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65" yWindow="-90" windowWidth="15480" windowHeight="7725" activeTab="1"/>
  </bookViews>
  <sheets>
    <sheet name="Divipola" sheetId="20" r:id="rId1"/>
    <sheet name="REPORTE DE EMERGENCIAS" sheetId="1" r:id="rId2"/>
  </sheets>
  <definedNames>
    <definedName name="_xlnm._FilterDatabase" localSheetId="1" hidden="1">'REPORTE DE EMERGENCIAS'!$A$2:$EU$2447</definedName>
    <definedName name="_xlnm.Print_Area" localSheetId="1">'REPORTE DE EMERGENCIAS'!$A$2:$DF$2372</definedName>
    <definedName name="_xlnm.Print_Titles" localSheetId="1">'REPORTE DE EMERGENCIAS'!$1:$2</definedName>
  </definedNames>
  <calcPr calcId="145621" fullCalcOnLoad="1"/>
</workbook>
</file>

<file path=xl/calcChain.xml><?xml version="1.0" encoding="utf-8"?>
<calcChain xmlns="http://schemas.openxmlformats.org/spreadsheetml/2006/main">
  <c r="J2326" i="1" l="1"/>
  <c r="K2326" i="1"/>
  <c r="J1695" i="1"/>
  <c r="K1695" i="1"/>
  <c r="J933" i="1"/>
  <c r="J2377" i="1"/>
  <c r="E1570" i="1"/>
  <c r="C1138" i="20"/>
  <c r="C1137" i="20"/>
  <c r="C1136" i="20"/>
  <c r="C1135" i="20"/>
  <c r="C1134" i="20"/>
  <c r="C1133" i="20"/>
  <c r="C1132" i="20"/>
  <c r="C1131" i="20"/>
  <c r="C1130" i="20"/>
  <c r="C1129" i="20"/>
  <c r="C1128" i="20"/>
  <c r="C1127" i="20"/>
  <c r="C1126" i="20"/>
  <c r="C1125" i="20"/>
  <c r="C1124" i="20"/>
  <c r="C1123" i="20"/>
  <c r="C1122" i="20"/>
  <c r="C1121" i="20"/>
  <c r="C1120" i="20"/>
  <c r="C1119" i="20"/>
  <c r="C1118" i="20"/>
  <c r="C1117" i="20"/>
  <c r="C1116" i="20"/>
  <c r="C1115" i="20"/>
  <c r="C1114" i="20"/>
  <c r="C1113" i="20"/>
  <c r="C1112" i="20"/>
  <c r="C1111" i="20"/>
  <c r="C1110" i="20"/>
  <c r="C1109" i="20"/>
  <c r="C1108" i="20"/>
  <c r="C1107" i="20"/>
  <c r="C1106" i="20"/>
  <c r="C1105" i="20"/>
  <c r="C1104" i="20"/>
  <c r="C1103" i="20"/>
  <c r="C1102" i="20"/>
  <c r="C1101" i="20"/>
  <c r="C1100" i="20"/>
  <c r="C1099" i="20"/>
  <c r="C1098" i="20"/>
  <c r="C1097" i="20"/>
  <c r="C1096" i="20"/>
  <c r="C1095" i="20"/>
  <c r="C1094" i="20"/>
  <c r="C1093" i="20"/>
  <c r="C1092" i="20"/>
  <c r="C1091" i="20"/>
  <c r="C1090" i="20"/>
  <c r="C1089" i="20"/>
  <c r="C1088" i="20"/>
  <c r="C1087" i="20"/>
  <c r="C1086" i="20"/>
  <c r="C1085" i="20"/>
  <c r="C1084" i="20"/>
  <c r="C1083" i="20"/>
  <c r="C1082" i="20"/>
  <c r="C1081" i="20"/>
  <c r="C1080" i="20"/>
  <c r="C1079" i="20"/>
  <c r="C1078" i="20"/>
  <c r="C1077" i="20"/>
  <c r="C1076" i="20"/>
  <c r="C1075" i="20"/>
  <c r="C1074" i="20"/>
  <c r="C1073" i="20"/>
  <c r="C1072" i="20"/>
  <c r="C1071" i="20"/>
  <c r="C1070" i="20"/>
  <c r="C1069" i="20"/>
  <c r="C1068" i="20"/>
  <c r="C1067" i="20"/>
  <c r="C1066" i="20"/>
  <c r="C1065" i="20"/>
  <c r="C1064" i="20"/>
  <c r="C1063" i="20"/>
  <c r="C1062" i="20"/>
  <c r="C1061" i="20"/>
  <c r="C1060" i="20"/>
  <c r="C1059" i="20"/>
  <c r="C1058" i="20"/>
  <c r="C1057" i="20"/>
  <c r="C1056" i="20"/>
  <c r="C1055" i="20"/>
  <c r="C1054" i="20"/>
  <c r="C1053" i="20"/>
  <c r="C1052" i="20"/>
  <c r="C1051" i="20"/>
  <c r="C1050" i="20"/>
  <c r="C1049" i="20"/>
  <c r="C1048" i="20"/>
  <c r="C1047" i="20"/>
  <c r="C1046" i="20"/>
  <c r="C1045" i="20"/>
  <c r="C1044" i="20"/>
  <c r="C1043" i="20"/>
  <c r="C1042" i="20"/>
  <c r="C1041" i="20"/>
  <c r="C1040" i="20"/>
  <c r="C1039" i="20"/>
  <c r="C1038" i="20"/>
  <c r="C1037" i="20"/>
  <c r="C1036" i="20"/>
  <c r="C1035" i="20"/>
  <c r="C1034" i="20"/>
  <c r="C1033" i="20"/>
  <c r="C1032" i="20"/>
  <c r="C1031" i="20"/>
  <c r="C1030" i="20"/>
  <c r="C1029" i="20"/>
  <c r="C1028" i="20"/>
  <c r="C1027" i="20"/>
  <c r="C1026" i="20"/>
  <c r="C1025" i="20"/>
  <c r="C1024" i="20"/>
  <c r="C1023" i="20"/>
  <c r="C1022" i="20"/>
  <c r="C1021" i="20"/>
  <c r="C1020" i="20"/>
  <c r="C1019" i="20"/>
  <c r="C1018" i="20"/>
  <c r="C1017" i="20"/>
  <c r="C1016" i="20"/>
  <c r="C1015" i="20"/>
  <c r="C1014" i="20"/>
  <c r="C1013" i="20"/>
  <c r="C1012" i="20"/>
  <c r="C1011" i="20"/>
  <c r="C1010" i="20"/>
  <c r="C1009" i="20"/>
  <c r="C1008" i="20"/>
  <c r="C1007" i="20"/>
  <c r="C1006" i="20"/>
  <c r="C1005" i="20"/>
  <c r="C1004" i="20"/>
  <c r="C1003" i="20"/>
  <c r="C1002" i="20"/>
  <c r="C1001" i="20"/>
  <c r="C1000" i="20"/>
  <c r="C999" i="20"/>
  <c r="C998" i="20"/>
  <c r="C997" i="20"/>
  <c r="C996" i="20"/>
  <c r="C995" i="20"/>
  <c r="C994" i="20"/>
  <c r="C993" i="20"/>
  <c r="C992" i="20"/>
  <c r="C991" i="20"/>
  <c r="C990" i="20"/>
  <c r="C989" i="20"/>
  <c r="C988" i="20"/>
  <c r="C987" i="20"/>
  <c r="C986" i="20"/>
  <c r="C985" i="20"/>
  <c r="C984" i="20"/>
  <c r="C983" i="20"/>
  <c r="C982" i="20"/>
  <c r="C981" i="20"/>
  <c r="C980" i="20"/>
  <c r="C979" i="20"/>
  <c r="C978" i="20"/>
  <c r="C977" i="20"/>
  <c r="C976" i="20"/>
  <c r="C975" i="20"/>
  <c r="C974" i="20"/>
  <c r="C973" i="20"/>
  <c r="C972" i="20"/>
  <c r="C971" i="20"/>
  <c r="C970" i="20"/>
  <c r="C969" i="20"/>
  <c r="C968" i="20"/>
  <c r="C967" i="20"/>
  <c r="C966" i="20"/>
  <c r="C965" i="20"/>
  <c r="C964" i="20"/>
  <c r="C963" i="20"/>
  <c r="C962" i="20"/>
  <c r="C961" i="20"/>
  <c r="C960" i="20"/>
  <c r="C959" i="20"/>
  <c r="C958" i="20"/>
  <c r="C957" i="20"/>
  <c r="C956" i="20"/>
  <c r="C955" i="20"/>
  <c r="C954" i="20"/>
  <c r="C953" i="20"/>
  <c r="C952" i="20"/>
  <c r="C951" i="20"/>
  <c r="C950" i="20"/>
  <c r="C949" i="20"/>
  <c r="C948" i="20"/>
  <c r="C947" i="20"/>
  <c r="C946" i="20"/>
  <c r="C945" i="20"/>
  <c r="C944" i="20"/>
  <c r="C943" i="20"/>
  <c r="C942" i="20"/>
  <c r="C941" i="20"/>
  <c r="C940" i="20"/>
  <c r="C939" i="20"/>
  <c r="C938" i="20"/>
  <c r="C937" i="20"/>
  <c r="C936" i="20"/>
  <c r="C935" i="20"/>
  <c r="C934" i="20"/>
  <c r="C933" i="20"/>
  <c r="C932" i="20"/>
  <c r="C931" i="20"/>
  <c r="C930" i="20"/>
  <c r="C929" i="20"/>
  <c r="C928" i="20"/>
  <c r="C927" i="20"/>
  <c r="C926" i="20"/>
  <c r="C925" i="20"/>
  <c r="C924" i="20"/>
  <c r="C923" i="20"/>
  <c r="C922" i="20"/>
  <c r="C921" i="20"/>
  <c r="C920" i="20"/>
  <c r="C919" i="20"/>
  <c r="C918" i="20"/>
  <c r="C917" i="20"/>
  <c r="C916" i="20"/>
  <c r="C915" i="20"/>
  <c r="C914" i="20"/>
  <c r="C913" i="20"/>
  <c r="C912" i="20"/>
  <c r="C911" i="20"/>
  <c r="C910" i="20"/>
  <c r="C909" i="20"/>
  <c r="C908" i="20"/>
  <c r="C907" i="20"/>
  <c r="C906" i="20"/>
  <c r="C905" i="20"/>
  <c r="C904" i="20"/>
  <c r="C903" i="20"/>
  <c r="C902" i="20"/>
  <c r="C901" i="20"/>
  <c r="C900" i="20"/>
  <c r="C899" i="20"/>
  <c r="C898" i="20"/>
  <c r="C897" i="20"/>
  <c r="C896" i="20"/>
  <c r="C895" i="20"/>
  <c r="C894" i="20"/>
  <c r="C893" i="20"/>
  <c r="C892" i="20"/>
  <c r="C891" i="20"/>
  <c r="C890" i="20"/>
  <c r="C889" i="20"/>
  <c r="C888" i="20"/>
  <c r="C887" i="20"/>
  <c r="C886" i="20"/>
  <c r="C885" i="20"/>
  <c r="C884" i="20"/>
  <c r="C883" i="20"/>
  <c r="C882" i="20"/>
  <c r="C881" i="20"/>
  <c r="C880" i="20"/>
  <c r="C879" i="20"/>
  <c r="C878" i="20"/>
  <c r="C877" i="20"/>
  <c r="C876" i="20"/>
  <c r="C875" i="20"/>
  <c r="C874" i="20"/>
  <c r="C873" i="20"/>
  <c r="C872" i="20"/>
  <c r="C871" i="20"/>
  <c r="C870" i="20"/>
  <c r="C869" i="20"/>
  <c r="C868" i="20"/>
  <c r="C867" i="20"/>
  <c r="C866" i="20"/>
  <c r="C865" i="20"/>
  <c r="C864" i="20"/>
  <c r="C863" i="20"/>
  <c r="C862" i="20"/>
  <c r="C861" i="20"/>
  <c r="C860" i="20"/>
  <c r="C859" i="20"/>
  <c r="C858" i="20"/>
  <c r="C857" i="20"/>
  <c r="C856" i="20"/>
  <c r="C855" i="20"/>
  <c r="C854" i="20"/>
  <c r="C853" i="20"/>
  <c r="C852" i="20"/>
  <c r="C851" i="20"/>
  <c r="C850" i="20"/>
  <c r="C849" i="20"/>
  <c r="C848" i="20"/>
  <c r="C847" i="20"/>
  <c r="C846" i="20"/>
  <c r="C845" i="20"/>
  <c r="C844" i="20"/>
  <c r="C843" i="20"/>
  <c r="C842" i="20"/>
  <c r="C841" i="20"/>
  <c r="C840" i="20"/>
  <c r="C839" i="20"/>
  <c r="C838" i="20"/>
  <c r="C837" i="20"/>
  <c r="C836" i="20"/>
  <c r="C835" i="20"/>
  <c r="C834" i="20"/>
  <c r="C833" i="20"/>
  <c r="C832" i="20"/>
  <c r="C831" i="20"/>
  <c r="C830" i="20"/>
  <c r="C829" i="20"/>
  <c r="C828" i="20"/>
  <c r="C827" i="20"/>
  <c r="C826" i="20"/>
  <c r="C825" i="20"/>
  <c r="C824" i="20"/>
  <c r="C823" i="20"/>
  <c r="C822" i="20"/>
  <c r="C821" i="20"/>
  <c r="C820" i="20"/>
  <c r="C819" i="20"/>
  <c r="C818" i="20"/>
  <c r="C817" i="20"/>
  <c r="C816" i="20"/>
  <c r="C815" i="20"/>
  <c r="C814" i="20"/>
  <c r="C813" i="20"/>
  <c r="C812" i="20"/>
  <c r="C811" i="20"/>
  <c r="C810" i="20"/>
  <c r="C809" i="20"/>
  <c r="C808" i="20"/>
  <c r="C807" i="20"/>
  <c r="C806" i="20"/>
  <c r="C805" i="20"/>
  <c r="C804" i="20"/>
  <c r="C803" i="20"/>
  <c r="C802" i="20"/>
  <c r="C801" i="20"/>
  <c r="C800" i="20"/>
  <c r="C799" i="20"/>
  <c r="C798" i="20"/>
  <c r="C797" i="20"/>
  <c r="C796" i="20"/>
  <c r="C795" i="20"/>
  <c r="C794" i="20"/>
  <c r="C793" i="20"/>
  <c r="C792" i="20"/>
  <c r="C791" i="20"/>
  <c r="C790" i="20"/>
  <c r="C789" i="20"/>
  <c r="C788" i="20"/>
  <c r="C787" i="20"/>
  <c r="C786" i="20"/>
  <c r="C785" i="20"/>
  <c r="C784" i="20"/>
  <c r="C783" i="20"/>
  <c r="C782" i="20"/>
  <c r="C781" i="20"/>
  <c r="C780" i="20"/>
  <c r="C779" i="20"/>
  <c r="C778" i="20"/>
  <c r="C777" i="20"/>
  <c r="C776" i="20"/>
  <c r="C775" i="20"/>
  <c r="C774" i="20"/>
  <c r="C773" i="20"/>
  <c r="C772" i="20"/>
  <c r="C771" i="20"/>
  <c r="C770" i="20"/>
  <c r="C769" i="20"/>
  <c r="C768" i="20"/>
  <c r="C767" i="20"/>
  <c r="C766" i="20"/>
  <c r="C765" i="20"/>
  <c r="C764" i="20"/>
  <c r="C763" i="20"/>
  <c r="C762" i="20"/>
  <c r="C761" i="20"/>
  <c r="C760" i="20"/>
  <c r="C759" i="20"/>
  <c r="C758" i="20"/>
  <c r="C757" i="20"/>
  <c r="C756" i="20"/>
  <c r="C755" i="20"/>
  <c r="C754" i="20"/>
  <c r="C753" i="20"/>
  <c r="C752" i="20"/>
  <c r="C751" i="20"/>
  <c r="C750" i="20"/>
  <c r="C749" i="20"/>
  <c r="C748" i="20"/>
  <c r="C747" i="20"/>
  <c r="C746" i="20"/>
  <c r="C745" i="20"/>
  <c r="C744" i="20"/>
  <c r="C743" i="20"/>
  <c r="C742" i="20"/>
  <c r="C741" i="20"/>
  <c r="C740" i="20"/>
  <c r="C739" i="20"/>
  <c r="C738" i="20"/>
  <c r="C737" i="20"/>
  <c r="C736" i="20"/>
  <c r="C735" i="20"/>
  <c r="C734" i="20"/>
  <c r="C733" i="20"/>
  <c r="C732" i="20"/>
  <c r="C731" i="20"/>
  <c r="C730" i="20"/>
  <c r="C729" i="20"/>
  <c r="C728" i="20"/>
  <c r="C727" i="20"/>
  <c r="C726" i="20"/>
  <c r="C725" i="20"/>
  <c r="C724" i="20"/>
  <c r="C723" i="20"/>
  <c r="C722" i="20"/>
  <c r="C721" i="20"/>
  <c r="C720" i="20"/>
  <c r="C719" i="20"/>
  <c r="C718" i="20"/>
  <c r="C717" i="20"/>
  <c r="C716" i="20"/>
  <c r="C715" i="20"/>
  <c r="C714" i="20"/>
  <c r="C713" i="20"/>
  <c r="C712" i="20"/>
  <c r="C711" i="20"/>
  <c r="C710" i="20"/>
  <c r="C709" i="20"/>
  <c r="C708" i="20"/>
  <c r="C707" i="20"/>
  <c r="C706" i="20"/>
  <c r="C705" i="20"/>
  <c r="C704" i="20"/>
  <c r="C703" i="20"/>
  <c r="C702" i="20"/>
  <c r="C701" i="20"/>
  <c r="C700" i="20"/>
  <c r="C699" i="20"/>
  <c r="C698" i="20"/>
  <c r="C697" i="20"/>
  <c r="C696" i="20"/>
  <c r="C695" i="20"/>
  <c r="C694" i="20"/>
  <c r="C693" i="20"/>
  <c r="C692" i="20"/>
  <c r="C691" i="20"/>
  <c r="C690" i="20"/>
  <c r="C689" i="20"/>
  <c r="C688" i="20"/>
  <c r="C687" i="20"/>
  <c r="C686" i="20"/>
  <c r="C685" i="20"/>
  <c r="C684" i="20"/>
  <c r="C683" i="20"/>
  <c r="C682" i="20"/>
  <c r="C681" i="20"/>
  <c r="C680" i="20"/>
  <c r="C679" i="20"/>
  <c r="C678" i="20"/>
  <c r="C677" i="20"/>
  <c r="C676" i="20"/>
  <c r="C675" i="20"/>
  <c r="C674" i="20"/>
  <c r="C673" i="20"/>
  <c r="C672" i="20"/>
  <c r="C671" i="20"/>
  <c r="C670" i="20"/>
  <c r="C669" i="20"/>
  <c r="C668" i="20"/>
  <c r="C667" i="20"/>
  <c r="C666" i="20"/>
  <c r="C665" i="20"/>
  <c r="C664" i="20"/>
  <c r="C663" i="20"/>
  <c r="C662" i="20"/>
  <c r="C661" i="20"/>
  <c r="C660" i="20"/>
  <c r="C659" i="20"/>
  <c r="C658" i="20"/>
  <c r="C657" i="20"/>
  <c r="C656" i="20"/>
  <c r="C655" i="20"/>
  <c r="C654" i="20"/>
  <c r="C653" i="20"/>
  <c r="C652" i="20"/>
  <c r="C651" i="20"/>
  <c r="C650" i="20"/>
  <c r="C649" i="20"/>
  <c r="C648" i="20"/>
  <c r="C647" i="20"/>
  <c r="C646" i="20"/>
  <c r="C645" i="20"/>
  <c r="C644" i="20"/>
  <c r="C643" i="20"/>
  <c r="C642" i="20"/>
  <c r="C641" i="20"/>
  <c r="C640" i="20"/>
  <c r="C639" i="20"/>
  <c r="C638" i="20"/>
  <c r="C637" i="20"/>
  <c r="C636" i="20"/>
  <c r="C635" i="20"/>
  <c r="C634" i="20"/>
  <c r="C633" i="20"/>
  <c r="C632" i="20"/>
  <c r="C631" i="20"/>
  <c r="C630" i="20"/>
  <c r="C629" i="20"/>
  <c r="C628" i="20"/>
  <c r="C627" i="20"/>
  <c r="C626" i="20"/>
  <c r="C625" i="20"/>
  <c r="C624" i="20"/>
  <c r="C623" i="20"/>
  <c r="C622" i="20"/>
  <c r="C621" i="20"/>
  <c r="C620" i="20"/>
  <c r="C619" i="20"/>
  <c r="C618" i="20"/>
  <c r="C617" i="20"/>
  <c r="C616" i="20"/>
  <c r="C615" i="20"/>
  <c r="C614" i="20"/>
  <c r="C613" i="20"/>
  <c r="C612" i="20"/>
  <c r="C611" i="20"/>
  <c r="C610" i="20"/>
  <c r="C609" i="20"/>
  <c r="C608" i="20"/>
  <c r="C607" i="20"/>
  <c r="C606" i="20"/>
  <c r="C605" i="20"/>
  <c r="C604" i="20"/>
  <c r="C603" i="20"/>
  <c r="C602" i="20"/>
  <c r="C601" i="20"/>
  <c r="C600" i="20"/>
  <c r="C599" i="20"/>
  <c r="C598" i="20"/>
  <c r="C597" i="20"/>
  <c r="C596" i="20"/>
  <c r="C595" i="20"/>
  <c r="C594" i="20"/>
  <c r="C593" i="20"/>
  <c r="C592" i="20"/>
  <c r="C591" i="20"/>
  <c r="C590" i="20"/>
  <c r="C589" i="20"/>
  <c r="C588" i="20"/>
  <c r="C587" i="20"/>
  <c r="C586" i="20"/>
  <c r="C585" i="20"/>
  <c r="C584" i="20"/>
  <c r="C583" i="20"/>
  <c r="C582" i="20"/>
  <c r="C581" i="20"/>
  <c r="C580" i="20"/>
  <c r="C579" i="20"/>
  <c r="C578" i="20"/>
  <c r="C577" i="20"/>
  <c r="C576" i="20"/>
  <c r="C575" i="20"/>
  <c r="C574" i="20"/>
  <c r="C573" i="20"/>
  <c r="C572" i="20"/>
  <c r="C571" i="20"/>
  <c r="C570" i="20"/>
  <c r="C569" i="20"/>
  <c r="C568" i="20"/>
  <c r="C567" i="20"/>
  <c r="C566" i="20"/>
  <c r="C565" i="20"/>
  <c r="C564" i="20"/>
  <c r="C563" i="20"/>
  <c r="C562" i="20"/>
  <c r="C561" i="20"/>
  <c r="C560" i="20"/>
  <c r="C559" i="20"/>
  <c r="C558" i="20"/>
  <c r="C557" i="20"/>
  <c r="C556" i="20"/>
  <c r="C555" i="20"/>
  <c r="C554" i="20"/>
  <c r="C553" i="20"/>
  <c r="C552" i="20"/>
  <c r="C551" i="20"/>
  <c r="C550" i="20"/>
  <c r="C549" i="20"/>
  <c r="C548" i="20"/>
  <c r="C547" i="20"/>
  <c r="C546" i="20"/>
  <c r="C545" i="20"/>
  <c r="C544" i="20"/>
  <c r="C543" i="20"/>
  <c r="C542" i="20"/>
  <c r="C541" i="20"/>
  <c r="C540" i="20"/>
  <c r="C539" i="20"/>
  <c r="C538" i="20"/>
  <c r="C537" i="20"/>
  <c r="C536" i="20"/>
  <c r="C535" i="20"/>
  <c r="C534" i="20"/>
  <c r="C533" i="20"/>
  <c r="C532" i="20"/>
  <c r="C531" i="20"/>
  <c r="C530" i="20"/>
  <c r="C529" i="20"/>
  <c r="C528" i="20"/>
  <c r="C527" i="20"/>
  <c r="C526" i="20"/>
  <c r="C525" i="20"/>
  <c r="C524" i="20"/>
  <c r="C523" i="20"/>
  <c r="C522" i="20"/>
  <c r="C521" i="20"/>
  <c r="C520" i="20"/>
  <c r="C519" i="20"/>
  <c r="C518" i="20"/>
  <c r="C517" i="20"/>
  <c r="C516" i="20"/>
  <c r="C515" i="20"/>
  <c r="C514" i="20"/>
  <c r="C513" i="20"/>
  <c r="C512" i="20"/>
  <c r="C511" i="20"/>
  <c r="C510" i="20"/>
  <c r="C509" i="20"/>
  <c r="C508" i="20"/>
  <c r="C507" i="20"/>
  <c r="C506" i="20"/>
  <c r="C505" i="20"/>
  <c r="C504" i="20"/>
  <c r="C503" i="20"/>
  <c r="C502" i="20"/>
  <c r="C501" i="20"/>
  <c r="C500" i="20"/>
  <c r="C499" i="20"/>
  <c r="C498" i="20"/>
  <c r="C497" i="20"/>
  <c r="C496" i="20"/>
  <c r="C495" i="20"/>
  <c r="C494" i="20"/>
  <c r="C493" i="20"/>
  <c r="C492" i="20"/>
  <c r="C491" i="20"/>
  <c r="C490" i="20"/>
  <c r="C489" i="20"/>
  <c r="C488" i="20"/>
  <c r="C487" i="20"/>
  <c r="C486" i="20"/>
  <c r="C485" i="20"/>
  <c r="C484" i="20"/>
  <c r="C483" i="20"/>
  <c r="C482" i="20"/>
  <c r="C481" i="20"/>
  <c r="C480" i="20"/>
  <c r="C479" i="20"/>
  <c r="C478" i="20"/>
  <c r="C477" i="20"/>
  <c r="C476" i="20"/>
  <c r="C475" i="20"/>
  <c r="C474" i="20"/>
  <c r="C473" i="20"/>
  <c r="C472" i="20"/>
  <c r="C471" i="20"/>
  <c r="C470" i="20"/>
  <c r="C469" i="20"/>
  <c r="C468" i="20"/>
  <c r="C467" i="20"/>
  <c r="C466" i="20"/>
  <c r="C465" i="20"/>
  <c r="C464" i="20"/>
  <c r="C463" i="20"/>
  <c r="C462" i="20"/>
  <c r="C461" i="20"/>
  <c r="C460" i="20"/>
  <c r="C459" i="20"/>
  <c r="C458" i="20"/>
  <c r="C457" i="20"/>
  <c r="C456" i="20"/>
  <c r="C455" i="20"/>
  <c r="C454" i="20"/>
  <c r="C453" i="20"/>
  <c r="C452" i="20"/>
  <c r="C451" i="20"/>
  <c r="C450" i="20"/>
  <c r="C449" i="20"/>
  <c r="C448" i="20"/>
  <c r="C447" i="20"/>
  <c r="C446" i="20"/>
  <c r="C445" i="20"/>
  <c r="C444" i="20"/>
  <c r="C443" i="20"/>
  <c r="C442" i="20"/>
  <c r="C441" i="20"/>
  <c r="C440" i="20"/>
  <c r="C439" i="20"/>
  <c r="C438" i="20"/>
  <c r="C437" i="20"/>
  <c r="C436" i="20"/>
  <c r="C435" i="20"/>
  <c r="C434" i="20"/>
  <c r="C433" i="20"/>
  <c r="C432" i="20"/>
  <c r="C431" i="20"/>
  <c r="C430" i="20"/>
  <c r="C429" i="20"/>
  <c r="C428" i="20"/>
  <c r="C427" i="20"/>
  <c r="C426" i="20"/>
  <c r="C425" i="20"/>
  <c r="C424" i="20"/>
  <c r="C423" i="20"/>
  <c r="C422" i="20"/>
  <c r="C421" i="20"/>
  <c r="C420" i="20"/>
  <c r="C419" i="20"/>
  <c r="C418" i="20"/>
  <c r="C417" i="20"/>
  <c r="C416" i="20"/>
  <c r="C415" i="20"/>
  <c r="C414" i="20"/>
  <c r="C413" i="20"/>
  <c r="C412" i="20"/>
  <c r="C411" i="20"/>
  <c r="C410" i="20"/>
  <c r="C409" i="20"/>
  <c r="C408" i="20"/>
  <c r="C407" i="20"/>
  <c r="C406" i="20"/>
  <c r="C405" i="20"/>
  <c r="C404" i="20"/>
  <c r="C403" i="20"/>
  <c r="C402" i="20"/>
  <c r="C401" i="20"/>
  <c r="C400" i="20"/>
  <c r="C399" i="20"/>
  <c r="C398" i="20"/>
  <c r="C397" i="20"/>
  <c r="C396" i="20"/>
  <c r="C395" i="20"/>
  <c r="C394" i="20"/>
  <c r="C393" i="20"/>
  <c r="C392" i="20"/>
  <c r="C391" i="20"/>
  <c r="C390" i="20"/>
  <c r="C389" i="20"/>
  <c r="C388" i="20"/>
  <c r="C387" i="20"/>
  <c r="C386" i="20"/>
  <c r="C385" i="20"/>
  <c r="C384" i="20"/>
  <c r="C383" i="20"/>
  <c r="C382" i="20"/>
  <c r="C381" i="20"/>
  <c r="C380" i="20"/>
  <c r="C379" i="20"/>
  <c r="C378" i="20"/>
  <c r="C377" i="20"/>
  <c r="C376" i="20"/>
  <c r="C375" i="20"/>
  <c r="C374" i="20"/>
  <c r="C373" i="20"/>
  <c r="C372" i="20"/>
  <c r="C371" i="20"/>
  <c r="C370" i="20"/>
  <c r="C369" i="20"/>
  <c r="C368" i="20"/>
  <c r="C367" i="20"/>
  <c r="C366" i="20"/>
  <c r="C365" i="20"/>
  <c r="C364" i="20"/>
  <c r="C363" i="20"/>
  <c r="C362" i="20"/>
  <c r="C361" i="20"/>
  <c r="C360" i="20"/>
  <c r="C359" i="20"/>
  <c r="C358" i="20"/>
  <c r="C357" i="20"/>
  <c r="C356" i="20"/>
  <c r="C355" i="20"/>
  <c r="C354" i="20"/>
  <c r="C353" i="20"/>
  <c r="C352" i="20"/>
  <c r="C351" i="20"/>
  <c r="C350" i="20"/>
  <c r="C349" i="20"/>
  <c r="C348" i="20"/>
  <c r="C347" i="20"/>
  <c r="C346" i="20"/>
  <c r="C345" i="20"/>
  <c r="C344" i="20"/>
  <c r="C343" i="20"/>
  <c r="C342" i="20"/>
  <c r="C341" i="20"/>
  <c r="C340" i="20"/>
  <c r="C339" i="20"/>
  <c r="C338" i="20"/>
  <c r="C337" i="20"/>
  <c r="C336" i="20"/>
  <c r="C335" i="20"/>
  <c r="C334" i="20"/>
  <c r="C333" i="20"/>
  <c r="C332" i="20"/>
  <c r="C331" i="20"/>
  <c r="C330" i="20"/>
  <c r="C329" i="20"/>
  <c r="C328" i="20"/>
  <c r="C327" i="20"/>
  <c r="C326" i="20"/>
  <c r="C325" i="20"/>
  <c r="C324" i="20"/>
  <c r="C323" i="20"/>
  <c r="C322" i="20"/>
  <c r="C321" i="20"/>
  <c r="C320" i="20"/>
  <c r="C319" i="20"/>
  <c r="C318" i="20"/>
  <c r="C317" i="20"/>
  <c r="C316" i="20"/>
  <c r="C315" i="20"/>
  <c r="C314" i="20"/>
  <c r="C313" i="20"/>
  <c r="C312" i="20"/>
  <c r="C311" i="20"/>
  <c r="C310" i="20"/>
  <c r="C309" i="20"/>
  <c r="C308" i="20"/>
  <c r="C307" i="20"/>
  <c r="C306" i="20"/>
  <c r="C305" i="20"/>
  <c r="C304" i="20"/>
  <c r="C303" i="20"/>
  <c r="C302" i="20"/>
  <c r="C301" i="20"/>
  <c r="C300" i="20"/>
  <c r="C299" i="20"/>
  <c r="C298" i="20"/>
  <c r="C297" i="20"/>
  <c r="C296" i="20"/>
  <c r="C295" i="20"/>
  <c r="C294" i="20"/>
  <c r="C293" i="20"/>
  <c r="C292" i="20"/>
  <c r="C291" i="20"/>
  <c r="C290" i="20"/>
  <c r="C289" i="20"/>
  <c r="C288" i="20"/>
  <c r="C287" i="20"/>
  <c r="C286" i="20"/>
  <c r="C285" i="20"/>
  <c r="C284" i="20"/>
  <c r="C283" i="20"/>
  <c r="C282" i="20"/>
  <c r="C281" i="20"/>
  <c r="C280" i="20"/>
  <c r="C279" i="20"/>
  <c r="C278" i="20"/>
  <c r="C277" i="20"/>
  <c r="C276" i="20"/>
  <c r="C275" i="20"/>
  <c r="C274" i="20"/>
  <c r="C273" i="20"/>
  <c r="C272" i="20"/>
  <c r="C271" i="20"/>
  <c r="C270" i="20"/>
  <c r="C269" i="20"/>
  <c r="C268" i="20"/>
  <c r="C267" i="20"/>
  <c r="C266" i="20"/>
  <c r="C265" i="20"/>
  <c r="C264" i="20"/>
  <c r="C263" i="20"/>
  <c r="C262" i="20"/>
  <c r="C261" i="20"/>
  <c r="C260" i="20"/>
  <c r="C259" i="20"/>
  <c r="C258" i="20"/>
  <c r="C257" i="20"/>
  <c r="C256" i="20"/>
  <c r="C255" i="20"/>
  <c r="C254" i="20"/>
  <c r="C253" i="20"/>
  <c r="C252" i="20"/>
  <c r="C251" i="20"/>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C150" i="20"/>
  <c r="C149" i="20"/>
  <c r="C148" i="20"/>
  <c r="C147" i="20"/>
  <c r="C146" i="20"/>
  <c r="C145" i="20"/>
  <c r="C144" i="20"/>
  <c r="C143" i="20"/>
  <c r="C142" i="20"/>
  <c r="C141" i="20"/>
  <c r="C140" i="20"/>
  <c r="C139" i="20"/>
  <c r="C138" i="20"/>
  <c r="C137" i="20"/>
  <c r="C136" i="20"/>
  <c r="C135" i="20"/>
  <c r="C134" i="20"/>
  <c r="C133" i="20"/>
  <c r="C132" i="20"/>
  <c r="C131" i="20"/>
  <c r="C130" i="20"/>
  <c r="C129" i="20"/>
  <c r="C128" i="20"/>
  <c r="C127" i="20"/>
  <c r="C126" i="20"/>
  <c r="C125" i="20"/>
  <c r="C124" i="20"/>
  <c r="C123" i="20"/>
  <c r="C122" i="20"/>
  <c r="C121" i="20"/>
  <c r="C120" i="20"/>
  <c r="C119" i="20"/>
  <c r="C118" i="20"/>
  <c r="C117" i="20"/>
  <c r="C116" i="20"/>
  <c r="C115" i="20"/>
  <c r="C114" i="20"/>
  <c r="C113" i="20"/>
  <c r="C112" i="20"/>
  <c r="C111" i="20"/>
  <c r="C110" i="20"/>
  <c r="C109" i="20"/>
  <c r="C108" i="20"/>
  <c r="C107" i="20"/>
  <c r="C106" i="20"/>
  <c r="C105" i="20"/>
  <c r="C104" i="20"/>
  <c r="C103" i="20"/>
  <c r="C102" i="20"/>
  <c r="C101" i="20"/>
  <c r="C100" i="20"/>
  <c r="C99" i="20"/>
  <c r="C98" i="20"/>
  <c r="C97" i="20"/>
  <c r="C96" i="20"/>
  <c r="C95" i="20"/>
  <c r="C94" i="20"/>
  <c r="C93" i="20"/>
  <c r="C92" i="20"/>
  <c r="C91" i="20"/>
  <c r="C90" i="20"/>
  <c r="C89" i="20"/>
  <c r="C88" i="20"/>
  <c r="C87" i="20"/>
  <c r="C86" i="20"/>
  <c r="C85" i="20"/>
  <c r="C84" i="20"/>
  <c r="C83" i="20"/>
  <c r="C82" i="20"/>
  <c r="C81" i="20"/>
  <c r="C80" i="20"/>
  <c r="C79" i="20"/>
  <c r="C78" i="20"/>
  <c r="C77" i="20"/>
  <c r="C76" i="20"/>
  <c r="C75" i="20"/>
  <c r="C74" i="20"/>
  <c r="C73" i="20"/>
  <c r="C72" i="20"/>
  <c r="C71" i="20"/>
  <c r="C70" i="20"/>
  <c r="C69" i="20"/>
  <c r="C68" i="20"/>
  <c r="C67" i="20"/>
  <c r="C66" i="20"/>
  <c r="C65" i="20"/>
  <c r="C64" i="20"/>
  <c r="C63" i="20"/>
  <c r="C62" i="20"/>
  <c r="C61" i="20"/>
  <c r="C60" i="20"/>
  <c r="C59" i="20"/>
  <c r="C58" i="20"/>
  <c r="C57" i="20"/>
  <c r="C56" i="20"/>
  <c r="C55" i="20"/>
  <c r="C54" i="20"/>
  <c r="C53" i="20"/>
  <c r="C52" i="20"/>
  <c r="C51" i="20"/>
  <c r="C50" i="20"/>
  <c r="C49" i="20"/>
  <c r="C48" i="20"/>
  <c r="C47" i="20"/>
  <c r="C46" i="20"/>
  <c r="C45" i="20"/>
  <c r="C44" i="20"/>
  <c r="C43" i="20"/>
  <c r="C42" i="20"/>
  <c r="C41" i="20"/>
  <c r="C40" i="20"/>
  <c r="C39" i="20"/>
  <c r="C38" i="20"/>
  <c r="C37" i="20"/>
  <c r="C36" i="20"/>
  <c r="C35" i="20"/>
  <c r="C34" i="20"/>
  <c r="C33" i="20"/>
  <c r="C32" i="20"/>
  <c r="C31" i="20"/>
  <c r="C30" i="20"/>
  <c r="C29" i="20"/>
  <c r="C28" i="20"/>
  <c r="C27" i="20"/>
  <c r="C26" i="20"/>
  <c r="C25" i="20"/>
  <c r="C24" i="20"/>
  <c r="C23" i="20"/>
  <c r="C22" i="20"/>
  <c r="C21" i="20"/>
  <c r="C20" i="20"/>
  <c r="C19" i="20"/>
  <c r="C18" i="20"/>
  <c r="C17" i="20"/>
  <c r="C16" i="20"/>
  <c r="C15" i="20"/>
  <c r="C14" i="20"/>
  <c r="C13" i="20"/>
  <c r="C12" i="20"/>
  <c r="C11" i="20"/>
  <c r="C10" i="20"/>
  <c r="C9" i="20"/>
  <c r="C8" i="20"/>
  <c r="C7" i="20"/>
  <c r="C6" i="20"/>
  <c r="C5" i="20"/>
  <c r="E1027" i="1" s="1"/>
  <c r="C4" i="20"/>
  <c r="C3" i="20"/>
  <c r="C2" i="20"/>
  <c r="J636" i="1"/>
  <c r="J2125" i="1"/>
  <c r="J1406" i="1"/>
  <c r="J2389" i="1"/>
  <c r="J2388" i="1"/>
  <c r="J476" i="1"/>
  <c r="J2376" i="1"/>
  <c r="J1816" i="1"/>
  <c r="K1816" i="1"/>
  <c r="J1597" i="1"/>
  <c r="K1597" i="1"/>
  <c r="J1791" i="1"/>
  <c r="J2072" i="1"/>
  <c r="J1493" i="1"/>
  <c r="J1959" i="1"/>
  <c r="J1743" i="1"/>
  <c r="J1577" i="1"/>
  <c r="J2039" i="1"/>
  <c r="J432" i="1"/>
  <c r="CA1035" i="1"/>
  <c r="Z1101" i="1"/>
  <c r="CV1101" i="1"/>
  <c r="Y1101" i="1"/>
  <c r="AW630" i="1"/>
  <c r="J2391" i="1"/>
  <c r="K2391" i="1"/>
  <c r="J1803" i="1"/>
  <c r="J2222" i="1"/>
  <c r="J2134" i="1"/>
  <c r="J1286" i="1"/>
  <c r="J2176" i="1"/>
  <c r="J979" i="1"/>
  <c r="J785" i="1"/>
  <c r="J1497" i="1"/>
  <c r="J2015" i="1"/>
  <c r="J2009" i="1"/>
  <c r="K2009" i="1"/>
  <c r="J1697" i="1"/>
  <c r="J2067" i="1"/>
  <c r="K2067" i="1"/>
  <c r="J1280" i="1"/>
  <c r="J1323" i="1"/>
  <c r="J2194" i="1"/>
  <c r="J1438" i="1"/>
  <c r="J1900" i="1"/>
  <c r="K1900" i="1"/>
  <c r="J2070" i="1"/>
  <c r="J2107" i="1"/>
  <c r="J2444" i="1"/>
  <c r="J451" i="1"/>
  <c r="J513" i="1"/>
  <c r="J1563" i="1"/>
  <c r="J2099" i="1"/>
  <c r="J2098" i="1"/>
  <c r="J2011" i="1"/>
  <c r="J2127" i="1"/>
  <c r="J2007" i="1"/>
  <c r="J1626" i="1"/>
  <c r="J1916" i="1"/>
  <c r="K1916" i="1"/>
  <c r="J1058" i="1"/>
  <c r="J2314" i="1"/>
  <c r="J2001" i="1"/>
  <c r="K2001" i="1"/>
  <c r="J2000" i="1"/>
  <c r="K2000" i="1"/>
  <c r="J1673" i="1"/>
  <c r="J659" i="1"/>
  <c r="J1741" i="1"/>
  <c r="J1788" i="1"/>
  <c r="J2304" i="1"/>
  <c r="EO2444" i="1"/>
  <c r="J1836" i="1"/>
  <c r="J633" i="1"/>
  <c r="J1305" i="1"/>
  <c r="EO2443" i="1"/>
  <c r="J958" i="1"/>
  <c r="J954" i="1"/>
  <c r="J955" i="1"/>
  <c r="J1825" i="1"/>
  <c r="K1825" i="1"/>
  <c r="J348" i="1"/>
  <c r="J1621" i="1"/>
  <c r="J635" i="1"/>
  <c r="J899" i="1"/>
  <c r="J1975" i="1"/>
  <c r="K1975" i="1"/>
  <c r="J690" i="1"/>
  <c r="J1786" i="1"/>
  <c r="J2035" i="1"/>
  <c r="K2035" i="1"/>
  <c r="J1302" i="1"/>
  <c r="J1573" i="1"/>
  <c r="J1618" i="1"/>
  <c r="J1974" i="1"/>
  <c r="J1307" i="1"/>
  <c r="J2345" i="1"/>
  <c r="J1829" i="1"/>
  <c r="J2447" i="1"/>
  <c r="EO2442" i="1"/>
  <c r="EO2441" i="1"/>
  <c r="J2445" i="1"/>
  <c r="EO2440" i="1"/>
  <c r="EO2439" i="1"/>
  <c r="J2443" i="1"/>
  <c r="EO2438" i="1"/>
  <c r="EO2437" i="1"/>
  <c r="J2441" i="1"/>
  <c r="EO2436" i="1"/>
  <c r="J2440" i="1"/>
  <c r="EO2435" i="1"/>
  <c r="J2439" i="1"/>
  <c r="EO2434" i="1"/>
  <c r="J2438" i="1"/>
  <c r="EO2433" i="1"/>
  <c r="J2437" i="1"/>
  <c r="EO2432" i="1"/>
  <c r="J2436" i="1"/>
  <c r="EO2431" i="1"/>
  <c r="J2435" i="1"/>
  <c r="EO2430" i="1"/>
  <c r="J2434" i="1"/>
  <c r="EO2429" i="1"/>
  <c r="EO2428" i="1"/>
  <c r="EO2427" i="1"/>
  <c r="J2431" i="1"/>
  <c r="EO2426" i="1"/>
  <c r="EO2425" i="1"/>
  <c r="EO2424" i="1"/>
  <c r="CV2493" i="1"/>
  <c r="Y2493" i="1"/>
  <c r="AB2493" i="1"/>
  <c r="AA2493" i="1"/>
  <c r="Z2493" i="1"/>
  <c r="CV2492" i="1"/>
  <c r="Y2492" i="1"/>
  <c r="AB2492" i="1"/>
  <c r="AA2492" i="1"/>
  <c r="Z2492" i="1"/>
  <c r="CV2491" i="1"/>
  <c r="Y2491" i="1"/>
  <c r="AB2491" i="1"/>
  <c r="AA2491" i="1"/>
  <c r="Z2491" i="1"/>
  <c r="CV2490" i="1"/>
  <c r="Y2490" i="1" s="1"/>
  <c r="AB2490" i="1"/>
  <c r="AA2490" i="1"/>
  <c r="Z2490" i="1"/>
  <c r="CV2489" i="1"/>
  <c r="Y2489" i="1"/>
  <c r="AB2489" i="1"/>
  <c r="AA2489" i="1"/>
  <c r="Z2489" i="1"/>
  <c r="CV2488" i="1"/>
  <c r="Y2488" i="1"/>
  <c r="AB2488" i="1"/>
  <c r="AA2488" i="1"/>
  <c r="Z2488" i="1"/>
  <c r="CV2487" i="1"/>
  <c r="Y2487" i="1"/>
  <c r="AB2487" i="1"/>
  <c r="AA2487" i="1"/>
  <c r="Z2487" i="1"/>
  <c r="CV2486" i="1"/>
  <c r="Y2486" i="1" s="1"/>
  <c r="AB2486" i="1"/>
  <c r="AA2486" i="1"/>
  <c r="Z2486" i="1"/>
  <c r="CV2485" i="1"/>
  <c r="Y2485" i="1"/>
  <c r="AB2485" i="1"/>
  <c r="AA2485" i="1"/>
  <c r="Z2485" i="1"/>
  <c r="CV2484" i="1"/>
  <c r="Y2484" i="1" s="1"/>
  <c r="AB2484" i="1"/>
  <c r="AA2484" i="1"/>
  <c r="Z2484" i="1"/>
  <c r="CV2483" i="1"/>
  <c r="Y2483" i="1"/>
  <c r="AB2483" i="1"/>
  <c r="AA2483" i="1"/>
  <c r="Z2483" i="1"/>
  <c r="CV2482" i="1"/>
  <c r="Y2482" i="1" s="1"/>
  <c r="AB2482" i="1"/>
  <c r="AA2482" i="1"/>
  <c r="Z2482" i="1"/>
  <c r="CV2481" i="1"/>
  <c r="Y2481" i="1"/>
  <c r="AB2481" i="1"/>
  <c r="AA2481" i="1"/>
  <c r="Z2481" i="1"/>
  <c r="CV2480" i="1"/>
  <c r="Y2480" i="1"/>
  <c r="AB2480" i="1"/>
  <c r="AA2480" i="1"/>
  <c r="Z2480" i="1"/>
  <c r="CV2479" i="1"/>
  <c r="Y2479" i="1" s="1"/>
  <c r="AB2479" i="1"/>
  <c r="AA2479" i="1"/>
  <c r="Z2479" i="1"/>
  <c r="CV2478" i="1"/>
  <c r="Y2478" i="1" s="1"/>
  <c r="AB2478" i="1"/>
  <c r="AA2478" i="1"/>
  <c r="Z2478" i="1"/>
  <c r="CV2477" i="1"/>
  <c r="Y2477" i="1"/>
  <c r="AB2477" i="1"/>
  <c r="AA2477" i="1"/>
  <c r="Z2477" i="1"/>
  <c r="CV2476" i="1"/>
  <c r="Y2476" i="1"/>
  <c r="AB2476" i="1"/>
  <c r="AA2476" i="1"/>
  <c r="Z2476" i="1"/>
  <c r="CV2475" i="1"/>
  <c r="Y2475" i="1"/>
  <c r="AB2475" i="1"/>
  <c r="AA2475" i="1"/>
  <c r="Z2475" i="1"/>
  <c r="CV2474" i="1"/>
  <c r="Y2474" i="1" s="1"/>
  <c r="AB2474" i="1"/>
  <c r="AA2474" i="1"/>
  <c r="Z2474" i="1"/>
  <c r="CV2473" i="1"/>
  <c r="Y2473" i="1"/>
  <c r="AB2473" i="1"/>
  <c r="AA2473" i="1"/>
  <c r="Z2473" i="1"/>
  <c r="CV2472" i="1"/>
  <c r="Y2472" i="1"/>
  <c r="AB2472" i="1"/>
  <c r="AA2472" i="1"/>
  <c r="Z2472" i="1"/>
  <c r="CV2471" i="1"/>
  <c r="Y2471" i="1"/>
  <c r="AB2471" i="1"/>
  <c r="AA2471" i="1"/>
  <c r="Z2471" i="1"/>
  <c r="CV2470" i="1"/>
  <c r="Y2470" i="1" s="1"/>
  <c r="AB2470" i="1"/>
  <c r="AA2470" i="1"/>
  <c r="Z2470" i="1"/>
  <c r="CV2469" i="1"/>
  <c r="Y2469" i="1"/>
  <c r="AB2469" i="1"/>
  <c r="AA2469" i="1"/>
  <c r="Z2469" i="1"/>
  <c r="CV2468" i="1"/>
  <c r="Y2468" i="1" s="1"/>
  <c r="AB2468" i="1"/>
  <c r="AA2468" i="1"/>
  <c r="Z2468" i="1"/>
  <c r="CV2467" i="1"/>
  <c r="Y2467" i="1"/>
  <c r="AB2467" i="1"/>
  <c r="AA2467" i="1"/>
  <c r="Z2467" i="1"/>
  <c r="CV2466" i="1"/>
  <c r="Y2466" i="1" s="1"/>
  <c r="AB2466" i="1"/>
  <c r="AA2466" i="1"/>
  <c r="Z2466" i="1"/>
  <c r="CV2465" i="1"/>
  <c r="Y2465" i="1"/>
  <c r="AB2465" i="1"/>
  <c r="AA2465" i="1"/>
  <c r="Z2465" i="1"/>
  <c r="CV2464" i="1"/>
  <c r="Y2464" i="1"/>
  <c r="AB2464" i="1"/>
  <c r="AA2464" i="1"/>
  <c r="Z2464" i="1"/>
  <c r="CV2463" i="1"/>
  <c r="Y2463" i="1" s="1"/>
  <c r="AB2463" i="1"/>
  <c r="AA2463" i="1"/>
  <c r="Z2463" i="1"/>
  <c r="CV2462" i="1"/>
  <c r="Y2462" i="1" s="1"/>
  <c r="AB2462" i="1"/>
  <c r="AA2462" i="1"/>
  <c r="Z2462" i="1"/>
  <c r="CV2461" i="1"/>
  <c r="Y2461" i="1"/>
  <c r="AB2461" i="1"/>
  <c r="AA2461" i="1"/>
  <c r="Z2461" i="1"/>
  <c r="CV2460" i="1"/>
  <c r="Y2460" i="1"/>
  <c r="AB2460" i="1"/>
  <c r="AA2460" i="1"/>
  <c r="Z2460" i="1"/>
  <c r="CV2459" i="1"/>
  <c r="Y2459" i="1"/>
  <c r="AB2459" i="1"/>
  <c r="AA2459" i="1"/>
  <c r="Z2459" i="1"/>
  <c r="CV2458" i="1"/>
  <c r="Y2458" i="1" s="1"/>
  <c r="AB2458" i="1"/>
  <c r="AA2458" i="1"/>
  <c r="Z2458" i="1"/>
  <c r="CV2457" i="1"/>
  <c r="Y2457" i="1"/>
  <c r="AB2457" i="1"/>
  <c r="AA2457" i="1"/>
  <c r="Z2457" i="1"/>
  <c r="CV2456" i="1"/>
  <c r="Y2456" i="1"/>
  <c r="AB2456" i="1"/>
  <c r="AA2456" i="1"/>
  <c r="Z2456" i="1"/>
  <c r="CV2455" i="1"/>
  <c r="Y2455" i="1"/>
  <c r="AB2455" i="1"/>
  <c r="AA2455" i="1"/>
  <c r="Z2455" i="1"/>
  <c r="CV2454" i="1"/>
  <c r="Y2454" i="1" s="1"/>
  <c r="AB2454" i="1"/>
  <c r="AA2454" i="1"/>
  <c r="Z2454" i="1"/>
  <c r="CV2453" i="1"/>
  <c r="Y2453" i="1"/>
  <c r="AB2453" i="1"/>
  <c r="AA2453" i="1"/>
  <c r="Z2453" i="1"/>
  <c r="CV2452" i="1"/>
  <c r="Y2452" i="1" s="1"/>
  <c r="AB2452" i="1"/>
  <c r="AA2452" i="1"/>
  <c r="Z2452" i="1"/>
  <c r="CV2451" i="1"/>
  <c r="Y2451" i="1"/>
  <c r="AB2451" i="1"/>
  <c r="AA2451" i="1"/>
  <c r="Z2451" i="1"/>
  <c r="CV2450" i="1"/>
  <c r="Y2450" i="1" s="1"/>
  <c r="AB2450" i="1"/>
  <c r="AA2450" i="1"/>
  <c r="Z2450" i="1"/>
  <c r="CV2449" i="1"/>
  <c r="Y2449" i="1"/>
  <c r="AB2449" i="1"/>
  <c r="AA2449" i="1"/>
  <c r="Z2449" i="1"/>
  <c r="CV2448" i="1"/>
  <c r="Y2448" i="1"/>
  <c r="AB2448" i="1"/>
  <c r="AA2448" i="1"/>
  <c r="Z2448" i="1"/>
  <c r="CV2326" i="1"/>
  <c r="Y2326" i="1" s="1"/>
  <c r="AB2326" i="1"/>
  <c r="AA2326" i="1"/>
  <c r="Z2326" i="1"/>
  <c r="CV2377" i="1"/>
  <c r="Y2377" i="1" s="1"/>
  <c r="AB2377" i="1"/>
  <c r="AA2377" i="1"/>
  <c r="Z2377" i="1"/>
  <c r="CV2304" i="1"/>
  <c r="Y2304" i="1"/>
  <c r="Z2304" i="1"/>
  <c r="AA2304" i="1"/>
  <c r="AB2304" i="1"/>
  <c r="CV1469" i="1"/>
  <c r="Y1469" i="1"/>
  <c r="Z1469" i="1"/>
  <c r="AA1469" i="1"/>
  <c r="AB1469" i="1"/>
  <c r="CV1305" i="1"/>
  <c r="Y1305" i="1"/>
  <c r="AB1305" i="1"/>
  <c r="AA1305" i="1"/>
  <c r="Z1305" i="1"/>
  <c r="CV2447" i="1"/>
  <c r="Y2447" i="1" s="1"/>
  <c r="AB2447" i="1"/>
  <c r="AA2447" i="1"/>
  <c r="Z2447" i="1"/>
  <c r="CV2446" i="1"/>
  <c r="Y2446" i="1" s="1"/>
  <c r="AB2446" i="1"/>
  <c r="AA2446" i="1"/>
  <c r="Z2446" i="1"/>
  <c r="CV2445" i="1"/>
  <c r="Y2445" i="1"/>
  <c r="AB2445" i="1"/>
  <c r="AA2445" i="1"/>
  <c r="Z2445" i="1"/>
  <c r="CV2444" i="1"/>
  <c r="Y2444" i="1"/>
  <c r="AE2444" i="1"/>
  <c r="AB2444" i="1"/>
  <c r="AA2444" i="1"/>
  <c r="Z2444" i="1"/>
  <c r="CV2443" i="1"/>
  <c r="Y2443" i="1" s="1"/>
  <c r="Z2443" i="1"/>
  <c r="AA2443" i="1"/>
  <c r="AB2443" i="1"/>
  <c r="CV2442" i="1"/>
  <c r="Y2442" i="1"/>
  <c r="AB2442" i="1"/>
  <c r="AA2442" i="1"/>
  <c r="Z2442" i="1"/>
  <c r="CV2441" i="1"/>
  <c r="Y2441" i="1"/>
  <c r="AB2441" i="1"/>
  <c r="AA2441" i="1"/>
  <c r="Z2441" i="1"/>
  <c r="CV2440" i="1"/>
  <c r="Y2440" i="1"/>
  <c r="AB2440" i="1"/>
  <c r="AA2440" i="1"/>
  <c r="Z2440" i="1"/>
  <c r="CV2439" i="1"/>
  <c r="Y2439" i="1" s="1"/>
  <c r="AB2439" i="1"/>
  <c r="AA2439" i="1"/>
  <c r="Z2439" i="1"/>
  <c r="CV2438" i="1"/>
  <c r="Y2438" i="1"/>
  <c r="AB2438" i="1"/>
  <c r="AA2438" i="1"/>
  <c r="Z2438" i="1"/>
  <c r="CV2437" i="1"/>
  <c r="Y2437" i="1"/>
  <c r="AB2437" i="1"/>
  <c r="AA2437" i="1"/>
  <c r="Z2437" i="1"/>
  <c r="CV2436" i="1"/>
  <c r="Y2436" i="1"/>
  <c r="AB2436" i="1"/>
  <c r="AA2436" i="1"/>
  <c r="Z2436" i="1"/>
  <c r="CV2435" i="1"/>
  <c r="Y2435" i="1" s="1"/>
  <c r="AB2435" i="1"/>
  <c r="AA2435" i="1"/>
  <c r="Z2435" i="1"/>
  <c r="CV2434" i="1"/>
  <c r="Y2434" i="1"/>
  <c r="AB2434" i="1"/>
  <c r="AA2434" i="1"/>
  <c r="Z2434" i="1"/>
  <c r="CV2433" i="1"/>
  <c r="Y2433" i="1"/>
  <c r="AB2433" i="1"/>
  <c r="AA2433" i="1"/>
  <c r="Z2433" i="1"/>
  <c r="CV2432" i="1"/>
  <c r="Y2432" i="1"/>
  <c r="AB2432" i="1"/>
  <c r="AA2432" i="1"/>
  <c r="Z2432" i="1"/>
  <c r="CV2431" i="1"/>
  <c r="Y2431" i="1" s="1"/>
  <c r="AB2431" i="1"/>
  <c r="AA2431" i="1"/>
  <c r="Z2431" i="1"/>
  <c r="CV2430" i="1"/>
  <c r="Y2430" i="1"/>
  <c r="AB2430" i="1"/>
  <c r="AA2430" i="1"/>
  <c r="Z2430" i="1"/>
  <c r="CV2429" i="1"/>
  <c r="Y2429" i="1"/>
  <c r="AB2429" i="1"/>
  <c r="AA2429" i="1"/>
  <c r="Z2429" i="1"/>
  <c r="EO2423" i="1"/>
  <c r="J2427" i="1"/>
  <c r="EO2422" i="1"/>
  <c r="EO2421" i="1"/>
  <c r="EO2420" i="1"/>
  <c r="EO2419" i="1"/>
  <c r="EO2418" i="1"/>
  <c r="EO2417" i="1"/>
  <c r="J2421" i="1"/>
  <c r="EO2416" i="1"/>
  <c r="J2420" i="1"/>
  <c r="EO2415" i="1"/>
  <c r="J2419" i="1"/>
  <c r="EO2414" i="1"/>
  <c r="J2418" i="1"/>
  <c r="EO2413" i="1"/>
  <c r="J2417" i="1"/>
  <c r="EO2412" i="1"/>
  <c r="J2416" i="1"/>
  <c r="EO2411" i="1"/>
  <c r="J2415" i="1"/>
  <c r="EO2410" i="1"/>
  <c r="J2414" i="1"/>
  <c r="EO2409" i="1"/>
  <c r="EO2408" i="1"/>
  <c r="J2412" i="1"/>
  <c r="EO2407" i="1"/>
  <c r="J2411" i="1"/>
  <c r="EO2406" i="1"/>
  <c r="J2410" i="1"/>
  <c r="EO2405" i="1"/>
  <c r="J2409" i="1"/>
  <c r="EO2404" i="1"/>
  <c r="J2408" i="1"/>
  <c r="EO2403" i="1"/>
  <c r="EO2402" i="1"/>
  <c r="EO2401" i="1"/>
  <c r="J2405" i="1"/>
  <c r="EO2400" i="1"/>
  <c r="EO2399" i="1"/>
  <c r="J1462" i="1"/>
  <c r="J794" i="1"/>
  <c r="J2043" i="1"/>
  <c r="J2322" i="1"/>
  <c r="J996" i="1"/>
  <c r="J1224" i="1"/>
  <c r="J966" i="1"/>
  <c r="J962" i="1"/>
  <c r="J956" i="1"/>
  <c r="J1492" i="1"/>
  <c r="J1029" i="1"/>
  <c r="J1071" i="1"/>
  <c r="J987" i="1"/>
  <c r="J986" i="1"/>
  <c r="J1067" i="1"/>
  <c r="J985" i="1"/>
  <c r="J1070" i="1"/>
  <c r="J859" i="1"/>
  <c r="J1044" i="1"/>
  <c r="J1300" i="1"/>
  <c r="J1003" i="1"/>
  <c r="J1042" i="1"/>
  <c r="J1338" i="1"/>
  <c r="J1955" i="1"/>
  <c r="J1954" i="1"/>
  <c r="J1002" i="1"/>
  <c r="J1552" i="1"/>
  <c r="J1409" i="1"/>
  <c r="J1174" i="1"/>
  <c r="K1174" i="1"/>
  <c r="J1687" i="1"/>
  <c r="K1687" i="1"/>
  <c r="J2071" i="1"/>
  <c r="K2071" i="1"/>
  <c r="J1436" i="1"/>
  <c r="K1436" i="1"/>
  <c r="J1382" i="1"/>
  <c r="J1841" i="1"/>
  <c r="K1841" i="1"/>
  <c r="J1840" i="1"/>
  <c r="K1840" i="1"/>
  <c r="J1686" i="1"/>
  <c r="J1937" i="1"/>
  <c r="K1937" i="1"/>
  <c r="J1812" i="1"/>
  <c r="J1724" i="1"/>
  <c r="J1435" i="1"/>
  <c r="J1739" i="1"/>
  <c r="K1739" i="1"/>
  <c r="J1173" i="1"/>
  <c r="J1205" i="1"/>
  <c r="K1205" i="1"/>
  <c r="J1873" i="1"/>
  <c r="J1490" i="1"/>
  <c r="CV754" i="1"/>
  <c r="Y754" i="1"/>
  <c r="AB754" i="1"/>
  <c r="AE754" i="1" s="1"/>
  <c r="AA754" i="1"/>
  <c r="Z754" i="1"/>
  <c r="EO1700" i="1"/>
  <c r="J2212" i="1"/>
  <c r="J409" i="1"/>
  <c r="J1746" i="1"/>
  <c r="CV2416" i="1"/>
  <c r="AB2416" i="1"/>
  <c r="AA2416" i="1"/>
  <c r="Z2416" i="1"/>
  <c r="Y2416" i="1"/>
  <c r="CV2415" i="1"/>
  <c r="Y2415" i="1" s="1"/>
  <c r="AE2415" i="1" s="1"/>
  <c r="AB2415" i="1"/>
  <c r="AA2415" i="1"/>
  <c r="Z2415" i="1"/>
  <c r="CV2414" i="1"/>
  <c r="Y2414" i="1"/>
  <c r="AB2414" i="1"/>
  <c r="AA2414" i="1"/>
  <c r="Z2414" i="1"/>
  <c r="CV2413" i="1"/>
  <c r="Y2413" i="1"/>
  <c r="AB2413" i="1"/>
  <c r="AA2413" i="1"/>
  <c r="Z2413" i="1"/>
  <c r="CV2412" i="1"/>
  <c r="Y2412" i="1" s="1"/>
  <c r="AB2412" i="1"/>
  <c r="AA2412" i="1"/>
  <c r="Z2412" i="1"/>
  <c r="CV2411" i="1"/>
  <c r="Y2411" i="1"/>
  <c r="AB2411" i="1"/>
  <c r="AA2411" i="1"/>
  <c r="Z2411" i="1"/>
  <c r="CV2410" i="1"/>
  <c r="Y2410" i="1"/>
  <c r="AB2410" i="1"/>
  <c r="AA2410" i="1"/>
  <c r="Z2410" i="1"/>
  <c r="CV2409" i="1"/>
  <c r="Y2409" i="1"/>
  <c r="AB2409" i="1"/>
  <c r="AA2409" i="1"/>
  <c r="Z2409" i="1"/>
  <c r="CV2408" i="1"/>
  <c r="Y2408" i="1" s="1"/>
  <c r="AB2408" i="1"/>
  <c r="AA2408" i="1"/>
  <c r="Z2408" i="1"/>
  <c r="CV2407" i="1"/>
  <c r="Y2407" i="1"/>
  <c r="AB2407" i="1"/>
  <c r="AA2407" i="1"/>
  <c r="Z2407" i="1"/>
  <c r="CV2406" i="1"/>
  <c r="Y2406" i="1"/>
  <c r="AB2406" i="1"/>
  <c r="AA2406" i="1"/>
  <c r="Z2406" i="1"/>
  <c r="CV2405" i="1"/>
  <c r="Y2405" i="1"/>
  <c r="AB2405" i="1"/>
  <c r="AA2405" i="1"/>
  <c r="Z2405" i="1"/>
  <c r="CV2404" i="1"/>
  <c r="Y2404" i="1" s="1"/>
  <c r="AB2404" i="1"/>
  <c r="AA2404" i="1"/>
  <c r="Z2404" i="1"/>
  <c r="CV2208" i="1"/>
  <c r="Y2208" i="1"/>
  <c r="AB2208" i="1"/>
  <c r="AA2208" i="1"/>
  <c r="Z2208" i="1"/>
  <c r="CV2059" i="1"/>
  <c r="Y2059" i="1"/>
  <c r="AB2059" i="1"/>
  <c r="AA2059" i="1"/>
  <c r="Z2059" i="1"/>
  <c r="CV2058" i="1"/>
  <c r="Y2058" i="1"/>
  <c r="AB2058" i="1"/>
  <c r="AA2058" i="1"/>
  <c r="Z2058" i="1"/>
  <c r="CV2050" i="1"/>
  <c r="Y2050" i="1" s="1"/>
  <c r="AB2050" i="1"/>
  <c r="AA2050" i="1"/>
  <c r="Z2050" i="1"/>
  <c r="CV2034" i="1"/>
  <c r="Y2034" i="1"/>
  <c r="AB2034" i="1"/>
  <c r="AA2034" i="1"/>
  <c r="Z2034" i="1"/>
  <c r="CV1992" i="1"/>
  <c r="Y1992" i="1"/>
  <c r="AE1992" i="1"/>
  <c r="AB1992" i="1"/>
  <c r="AA1992" i="1"/>
  <c r="Z1992" i="1"/>
  <c r="CV1951" i="1"/>
  <c r="Y1951" i="1" s="1"/>
  <c r="AB1951" i="1"/>
  <c r="AA1951" i="1"/>
  <c r="Z1951" i="1"/>
  <c r="CV1930" i="1"/>
  <c r="Y1930" i="1"/>
  <c r="AB1930" i="1"/>
  <c r="AA1930" i="1"/>
  <c r="Z1930" i="1"/>
  <c r="CV1912" i="1"/>
  <c r="Y1912" i="1"/>
  <c r="AB1912" i="1"/>
  <c r="AA1912" i="1"/>
  <c r="Z1912" i="1"/>
  <c r="CV1896" i="1"/>
  <c r="Y1896" i="1"/>
  <c r="AB1896" i="1"/>
  <c r="AA1896" i="1"/>
  <c r="Z1896" i="1"/>
  <c r="CV1885" i="1"/>
  <c r="Y1885" i="1" s="1"/>
  <c r="AB1885" i="1"/>
  <c r="AA1885" i="1"/>
  <c r="Z1885" i="1"/>
  <c r="CV1870" i="1"/>
  <c r="Y1870" i="1"/>
  <c r="AB1870" i="1"/>
  <c r="AA1870" i="1"/>
  <c r="Z1870" i="1"/>
  <c r="CV1869" i="1"/>
  <c r="Y1869" i="1"/>
  <c r="AB1869" i="1"/>
  <c r="AA1869" i="1"/>
  <c r="Z1869" i="1"/>
  <c r="CV1868" i="1"/>
  <c r="Y1868" i="1"/>
  <c r="AB1868" i="1"/>
  <c r="AA1868" i="1"/>
  <c r="Z1868" i="1"/>
  <c r="CV1781" i="1"/>
  <c r="Y1781" i="1" s="1"/>
  <c r="AB1781" i="1"/>
  <c r="AA1781" i="1"/>
  <c r="Z1781" i="1"/>
  <c r="CV1780" i="1"/>
  <c r="Y1780" i="1"/>
  <c r="AB1780" i="1"/>
  <c r="AA1780" i="1"/>
  <c r="Z1780" i="1"/>
  <c r="CV1779" i="1"/>
  <c r="Y1779" i="1"/>
  <c r="AB1779" i="1"/>
  <c r="AA1779" i="1"/>
  <c r="Z1779" i="1"/>
  <c r="CV1778" i="1"/>
  <c r="Y1778" i="1"/>
  <c r="AB1778" i="1"/>
  <c r="AA1778" i="1"/>
  <c r="Z1778" i="1"/>
  <c r="CV1777" i="1"/>
  <c r="Y1777" i="1" s="1"/>
  <c r="AB1777" i="1"/>
  <c r="AA1777" i="1"/>
  <c r="Z1777" i="1"/>
  <c r="CV1776" i="1"/>
  <c r="Y1776" i="1"/>
  <c r="AB1776" i="1"/>
  <c r="AA1776" i="1"/>
  <c r="Z1776" i="1"/>
  <c r="CV1736" i="1"/>
  <c r="Y1736" i="1"/>
  <c r="AB1736" i="1"/>
  <c r="AA1736" i="1"/>
  <c r="Z1736" i="1"/>
  <c r="CV1735" i="1"/>
  <c r="Y1735" i="1"/>
  <c r="AE1735" i="1" s="1"/>
  <c r="AB1735" i="1"/>
  <c r="AA1735" i="1"/>
  <c r="Z1735" i="1"/>
  <c r="CV1721" i="1"/>
  <c r="Y1721" i="1"/>
  <c r="AB1721" i="1"/>
  <c r="AA1721" i="1"/>
  <c r="Z1721" i="1"/>
  <c r="CV1720" i="1"/>
  <c r="Y1720" i="1"/>
  <c r="AB1720" i="1"/>
  <c r="AA1720" i="1"/>
  <c r="Z1720" i="1"/>
  <c r="CV1692" i="1"/>
  <c r="Y1692" i="1"/>
  <c r="AB1692" i="1"/>
  <c r="AA1692" i="1"/>
  <c r="Z1692" i="1"/>
  <c r="CV1609" i="1"/>
  <c r="Y1609" i="1" s="1"/>
  <c r="AB1609" i="1"/>
  <c r="AA1609" i="1"/>
  <c r="Z1609" i="1"/>
  <c r="CV1388" i="1"/>
  <c r="Y1388" i="1"/>
  <c r="AB1388" i="1"/>
  <c r="AA1388" i="1"/>
  <c r="Z1388" i="1"/>
  <c r="CV1387" i="1"/>
  <c r="Y1387" i="1"/>
  <c r="AB1387" i="1"/>
  <c r="AA1387" i="1"/>
  <c r="Z1387" i="1"/>
  <c r="CV1386" i="1"/>
  <c r="Y1386" i="1"/>
  <c r="AB1386" i="1"/>
  <c r="AA1386" i="1"/>
  <c r="Z1386" i="1"/>
  <c r="CV1385" i="1"/>
  <c r="Y1385" i="1" s="1"/>
  <c r="AB1385" i="1"/>
  <c r="AA1385" i="1"/>
  <c r="Z1385" i="1"/>
  <c r="CV1374" i="1"/>
  <c r="Y1374" i="1" s="1"/>
  <c r="AB1374" i="1"/>
  <c r="AA1374" i="1"/>
  <c r="Z1374" i="1"/>
  <c r="CV1262" i="1"/>
  <c r="Y1262" i="1"/>
  <c r="AB1262" i="1"/>
  <c r="AA1262" i="1"/>
  <c r="Z1262" i="1"/>
  <c r="CV836" i="1"/>
  <c r="Y836" i="1"/>
  <c r="AB836" i="1"/>
  <c r="AA836" i="1"/>
  <c r="Z836" i="1"/>
  <c r="CV775" i="1"/>
  <c r="Y775" i="1" s="1"/>
  <c r="AB775" i="1"/>
  <c r="AA775" i="1"/>
  <c r="Z775" i="1"/>
  <c r="CV608" i="1"/>
  <c r="Y608" i="1" s="1"/>
  <c r="AB608" i="1"/>
  <c r="AA608" i="1"/>
  <c r="Z608" i="1"/>
  <c r="CV584" i="1"/>
  <c r="Y584" i="1"/>
  <c r="AB584" i="1"/>
  <c r="AA584" i="1"/>
  <c r="Z584" i="1"/>
  <c r="CV583" i="1"/>
  <c r="Y583" i="1"/>
  <c r="AB583" i="1"/>
  <c r="AA583" i="1"/>
  <c r="Z583" i="1"/>
  <c r="CV572" i="1"/>
  <c r="Y572" i="1" s="1"/>
  <c r="AE572" i="1" s="1"/>
  <c r="AB572" i="1"/>
  <c r="AA572" i="1"/>
  <c r="Z572" i="1"/>
  <c r="CV556" i="1"/>
  <c r="Y556" i="1"/>
  <c r="AB556" i="1"/>
  <c r="AA556" i="1"/>
  <c r="Z556" i="1"/>
  <c r="CV502" i="1"/>
  <c r="Y502" i="1"/>
  <c r="AB502" i="1"/>
  <c r="AA502" i="1"/>
  <c r="Z502" i="1"/>
  <c r="CV495" i="1"/>
  <c r="Y495" i="1" s="1"/>
  <c r="AB495" i="1"/>
  <c r="AA495" i="1"/>
  <c r="Z495" i="1"/>
  <c r="CV469" i="1"/>
  <c r="Y469" i="1" s="1"/>
  <c r="AB469" i="1"/>
  <c r="AA469" i="1"/>
  <c r="Z469" i="1"/>
  <c r="J1031" i="1"/>
  <c r="J507" i="1"/>
  <c r="K507" i="1"/>
  <c r="J1753" i="1"/>
  <c r="K1753" i="1"/>
  <c r="J1466" i="1"/>
  <c r="J1464" i="1"/>
  <c r="J1893" i="1"/>
  <c r="K1893" i="1"/>
  <c r="J1649" i="1"/>
  <c r="J1297" i="1"/>
  <c r="K1297" i="1"/>
  <c r="J1666" i="1"/>
  <c r="J1648" i="1"/>
  <c r="J1551" i="1"/>
  <c r="J2301" i="1"/>
  <c r="K2301" i="1"/>
  <c r="J1078" i="1"/>
  <c r="J1549" i="1"/>
  <c r="J2092" i="1"/>
  <c r="J1665" i="1"/>
  <c r="K1665" i="1"/>
  <c r="J1295" i="1"/>
  <c r="J1640" i="1"/>
  <c r="J1834" i="1"/>
  <c r="K1834" i="1"/>
  <c r="J1852" i="1"/>
  <c r="J518" i="1"/>
  <c r="J1248" i="1"/>
  <c r="K1197" i="1"/>
  <c r="J1197" i="1"/>
  <c r="J1308" i="1"/>
  <c r="K1308" i="1"/>
  <c r="J1813" i="1"/>
  <c r="J471" i="1"/>
  <c r="K471" i="1"/>
  <c r="J658" i="1"/>
  <c r="J576" i="1"/>
  <c r="J375" i="1"/>
  <c r="J567" i="1"/>
  <c r="K567" i="1"/>
  <c r="J1146" i="1"/>
  <c r="J1196" i="1"/>
  <c r="CV2428" i="1"/>
  <c r="Y2428" i="1" s="1"/>
  <c r="AB2428" i="1"/>
  <c r="AA2428" i="1"/>
  <c r="Z2428" i="1"/>
  <c r="CV2427" i="1"/>
  <c r="Y2427" i="1"/>
  <c r="AB2427" i="1"/>
  <c r="AA2427" i="1"/>
  <c r="Z2427" i="1"/>
  <c r="CV2426" i="1"/>
  <c r="Y2426" i="1"/>
  <c r="AB2426" i="1"/>
  <c r="AA2426" i="1"/>
  <c r="Z2426" i="1"/>
  <c r="CV2425" i="1"/>
  <c r="Y2425" i="1" s="1"/>
  <c r="AB2425" i="1"/>
  <c r="AA2425" i="1"/>
  <c r="Z2425" i="1"/>
  <c r="CV2424" i="1"/>
  <c r="Y2424" i="1" s="1"/>
  <c r="AB2424" i="1"/>
  <c r="AA2424" i="1"/>
  <c r="Z2424" i="1"/>
  <c r="CV2423" i="1"/>
  <c r="Y2423" i="1"/>
  <c r="AB2423" i="1"/>
  <c r="AA2423" i="1"/>
  <c r="Z2423" i="1"/>
  <c r="CV2422" i="1"/>
  <c r="Y2422" i="1" s="1"/>
  <c r="AB2422" i="1"/>
  <c r="AA2422" i="1"/>
  <c r="Z2422" i="1"/>
  <c r="CV2421" i="1"/>
  <c r="Y2421" i="1" s="1"/>
  <c r="AB2421" i="1"/>
  <c r="AA2421" i="1"/>
  <c r="Z2421" i="1"/>
  <c r="CV2420" i="1"/>
  <c r="Y2420" i="1"/>
  <c r="AB2420" i="1"/>
  <c r="AA2420" i="1"/>
  <c r="Z2420" i="1"/>
  <c r="CV2419" i="1"/>
  <c r="Y2419" i="1"/>
  <c r="AB2419" i="1"/>
  <c r="AA2419" i="1"/>
  <c r="Z2419" i="1"/>
  <c r="CV2418" i="1"/>
  <c r="Y2418" i="1" s="1"/>
  <c r="AB2418" i="1"/>
  <c r="AA2418" i="1"/>
  <c r="Z2418" i="1"/>
  <c r="CV2417" i="1"/>
  <c r="Y2417" i="1" s="1"/>
  <c r="AB2417" i="1"/>
  <c r="AA2417" i="1"/>
  <c r="Z2417" i="1"/>
  <c r="CV425" i="1"/>
  <c r="Y425" i="1"/>
  <c r="AB425" i="1"/>
  <c r="AA425" i="1"/>
  <c r="Z425" i="1"/>
  <c r="CV400" i="1"/>
  <c r="Y400" i="1"/>
  <c r="AB400" i="1"/>
  <c r="AA400" i="1"/>
  <c r="Z400" i="1"/>
  <c r="CV357" i="1"/>
  <c r="Y357" i="1" s="1"/>
  <c r="AB357" i="1"/>
  <c r="AA357" i="1"/>
  <c r="Z357" i="1"/>
  <c r="CV2220" i="1"/>
  <c r="Y2220" i="1" s="1"/>
  <c r="AB2220" i="1"/>
  <c r="AA2220" i="1"/>
  <c r="Z2220" i="1"/>
  <c r="CV1036" i="1"/>
  <c r="Y1036" i="1"/>
  <c r="AB1036" i="1"/>
  <c r="AA1036" i="1"/>
  <c r="Z1036" i="1"/>
  <c r="CV480" i="1"/>
  <c r="Y480" i="1"/>
  <c r="AB480" i="1"/>
  <c r="AA480" i="1"/>
  <c r="Z480" i="1"/>
  <c r="CV2312" i="1"/>
  <c r="Y2312" i="1" s="1"/>
  <c r="AB2312" i="1"/>
  <c r="AA2312" i="1"/>
  <c r="Z2312" i="1"/>
  <c r="CV2350" i="1"/>
  <c r="Y2350" i="1" s="1"/>
  <c r="AB2350" i="1"/>
  <c r="AA2350" i="1"/>
  <c r="Z2350" i="1"/>
  <c r="CV1882" i="1"/>
  <c r="Y1882" i="1"/>
  <c r="AE1882" i="1"/>
  <c r="AB1882" i="1"/>
  <c r="AA1882" i="1"/>
  <c r="Z1882" i="1"/>
  <c r="CV1762" i="1"/>
  <c r="Y1762" i="1" s="1"/>
  <c r="AB1762" i="1"/>
  <c r="AA1762" i="1"/>
  <c r="Z1762" i="1"/>
  <c r="CV1505" i="1"/>
  <c r="Y1505" i="1" s="1"/>
  <c r="AB1505" i="1"/>
  <c r="AA1505" i="1"/>
  <c r="Z1505" i="1"/>
  <c r="CV998" i="1"/>
  <c r="Y998" i="1"/>
  <c r="AB998" i="1"/>
  <c r="AA998" i="1"/>
  <c r="Z998" i="1"/>
  <c r="CV1734" i="1"/>
  <c r="Y1734" i="1"/>
  <c r="AB1734" i="1"/>
  <c r="AA1734" i="1"/>
  <c r="Z1734" i="1"/>
  <c r="CV544" i="1"/>
  <c r="Y544" i="1" s="1"/>
  <c r="AB544" i="1"/>
  <c r="AA544" i="1"/>
  <c r="Z544" i="1"/>
  <c r="CV537" i="1"/>
  <c r="Y537" i="1" s="1"/>
  <c r="AB537" i="1"/>
  <c r="AA537" i="1"/>
  <c r="Z537" i="1"/>
  <c r="CV531" i="1"/>
  <c r="Y531" i="1"/>
  <c r="AB531" i="1"/>
  <c r="AA531" i="1"/>
  <c r="Z531" i="1"/>
  <c r="CV2285" i="1"/>
  <c r="Y2285" i="1"/>
  <c r="AB2285" i="1"/>
  <c r="AA2285" i="1"/>
  <c r="Z2285" i="1"/>
  <c r="J1636" i="1"/>
  <c r="J1831" i="1"/>
  <c r="J741" i="1"/>
  <c r="J1546" i="1"/>
  <c r="K1546" i="1"/>
  <c r="J1969" i="1"/>
  <c r="J710" i="1"/>
  <c r="K710" i="1"/>
  <c r="J1627" i="1"/>
  <c r="J2019" i="1"/>
  <c r="K2019" i="1"/>
  <c r="M1489" i="1"/>
  <c r="J1489" i="1"/>
  <c r="K1489" i="1"/>
  <c r="J2018" i="1"/>
  <c r="J2017" i="1"/>
  <c r="J2016" i="1"/>
  <c r="J1904" i="1"/>
  <c r="J2014" i="1"/>
  <c r="J2013" i="1"/>
  <c r="J2012" i="1"/>
  <c r="J1516" i="1"/>
  <c r="K1516" i="1"/>
  <c r="J385" i="1"/>
  <c r="K385" i="1"/>
  <c r="J1674" i="1"/>
  <c r="K1674" i="1"/>
  <c r="J563" i="1"/>
  <c r="K563" i="1"/>
  <c r="J1537" i="1"/>
  <c r="K1537" i="1"/>
  <c r="J2008" i="1"/>
  <c r="K2008" i="1"/>
  <c r="J2097" i="1"/>
  <c r="J1375" i="1"/>
  <c r="J1742" i="1"/>
  <c r="K1742" i="1"/>
  <c r="J1526" i="1"/>
  <c r="K1526" i="1"/>
  <c r="M416" i="1"/>
  <c r="J2006" i="1"/>
  <c r="J416" i="1"/>
  <c r="K416" i="1"/>
  <c r="M2005" i="1"/>
  <c r="J2005" i="1"/>
  <c r="K2005" i="1"/>
  <c r="J2004" i="1"/>
  <c r="J757" i="1"/>
  <c r="K757" i="1"/>
  <c r="M2351" i="1"/>
  <c r="J2003" i="1"/>
  <c r="K2003" i="1"/>
  <c r="M2002" i="1"/>
  <c r="J2002" i="1"/>
  <c r="K2002" i="1"/>
  <c r="M1488" i="1"/>
  <c r="K1488" i="1"/>
  <c r="J1488" i="1"/>
  <c r="J1437" i="1"/>
  <c r="J1412" i="1"/>
  <c r="J1417" i="1"/>
  <c r="K1417" i="1"/>
  <c r="J1832" i="1"/>
  <c r="K1832" i="1"/>
  <c r="J978" i="1"/>
  <c r="J1423" i="1"/>
  <c r="K1423" i="1"/>
  <c r="J1198" i="1"/>
  <c r="J1167" i="1"/>
  <c r="J1441" i="1"/>
  <c r="J1943" i="1"/>
  <c r="K1943" i="1"/>
  <c r="J766" i="1"/>
  <c r="J854" i="1"/>
  <c r="J1175" i="1"/>
  <c r="K1175" i="1"/>
  <c r="J1026" i="1"/>
  <c r="J2217" i="1"/>
  <c r="J1155" i="1"/>
  <c r="J739" i="1"/>
  <c r="J1110" i="1"/>
  <c r="K1110" i="1"/>
  <c r="J973" i="1"/>
  <c r="J1887" i="1"/>
  <c r="K1887" i="1"/>
  <c r="J1888" i="1"/>
  <c r="K1888" i="1"/>
  <c r="J970" i="1"/>
  <c r="K970" i="1"/>
  <c r="J699" i="1"/>
  <c r="K699" i="1"/>
  <c r="J1129" i="1"/>
  <c r="K1129" i="1"/>
  <c r="J2219" i="1"/>
  <c r="K2219" i="1"/>
  <c r="J1454" i="1"/>
  <c r="J1956" i="1"/>
  <c r="J1907" i="1"/>
  <c r="K1907" i="1"/>
  <c r="K1300" i="1"/>
  <c r="J777" i="1"/>
  <c r="J1737" i="1"/>
  <c r="J1276" i="1"/>
  <c r="J888" i="1"/>
  <c r="K1737" i="1"/>
  <c r="J999" i="1"/>
  <c r="K999" i="1"/>
  <c r="J1004" i="1"/>
  <c r="K1004" i="1"/>
  <c r="J1355" i="1"/>
  <c r="J1099" i="1"/>
  <c r="K1355" i="1"/>
  <c r="J1340" i="1"/>
  <c r="J801" i="1"/>
  <c r="J751" i="1"/>
  <c r="K1340" i="1"/>
  <c r="K1955" i="1"/>
  <c r="J1986" i="1"/>
  <c r="K1986" i="1"/>
  <c r="J1948" i="1"/>
  <c r="J1968" i="1"/>
  <c r="J1633" i="1"/>
  <c r="K1633" i="1"/>
  <c r="J1947" i="1"/>
  <c r="J592" i="1"/>
  <c r="K592" i="1"/>
  <c r="J1924" i="1"/>
  <c r="K1924" i="1"/>
  <c r="J1081" i="1"/>
  <c r="K1081" i="1"/>
  <c r="J977" i="1"/>
  <c r="K977" i="1"/>
  <c r="J1169" i="1"/>
  <c r="K1169" i="1"/>
  <c r="J1089" i="1"/>
  <c r="K1089" i="1"/>
  <c r="J1715" i="1"/>
  <c r="K1715" i="1"/>
  <c r="J1579" i="1"/>
  <c r="J1982" i="1"/>
  <c r="J1964" i="1"/>
  <c r="J603" i="1"/>
  <c r="K603" i="1"/>
  <c r="K736" i="1"/>
  <c r="J2296" i="1"/>
  <c r="J1130" i="1"/>
  <c r="J2191" i="1"/>
  <c r="K1258" i="1"/>
  <c r="J1245" i="1"/>
  <c r="K1245" i="1"/>
  <c r="EO3963" i="1"/>
  <c r="EO3962" i="1"/>
  <c r="EO3961" i="1"/>
  <c r="EO3960" i="1"/>
  <c r="EO3959" i="1"/>
  <c r="EO3958" i="1"/>
  <c r="EO3957" i="1"/>
  <c r="EO3956" i="1"/>
  <c r="EO3955" i="1"/>
  <c r="EO3954" i="1"/>
  <c r="EO3953" i="1"/>
  <c r="EO3952" i="1"/>
  <c r="EO3951" i="1"/>
  <c r="EO3950" i="1"/>
  <c r="EO3949" i="1"/>
  <c r="EO3948" i="1"/>
  <c r="EO3947" i="1"/>
  <c r="EO3946" i="1"/>
  <c r="EO3945" i="1"/>
  <c r="EO3944" i="1"/>
  <c r="EO3943" i="1"/>
  <c r="EO3942" i="1"/>
  <c r="EO3941" i="1"/>
  <c r="EO3940" i="1"/>
  <c r="EO3939" i="1"/>
  <c r="EO3938" i="1"/>
  <c r="EO3937" i="1"/>
  <c r="EO3936" i="1"/>
  <c r="EO3935" i="1"/>
  <c r="EO3934" i="1"/>
  <c r="EO3933" i="1"/>
  <c r="EO3932" i="1"/>
  <c r="EO3931" i="1"/>
  <c r="EO3930" i="1"/>
  <c r="EO3929" i="1"/>
  <c r="EO3928" i="1"/>
  <c r="EO3927" i="1"/>
  <c r="EO3926" i="1"/>
  <c r="EO3925" i="1"/>
  <c r="EO3924" i="1"/>
  <c r="EO3923" i="1"/>
  <c r="EO3922" i="1"/>
  <c r="EO3921" i="1"/>
  <c r="EO3920" i="1"/>
  <c r="EO3919" i="1"/>
  <c r="EO3918" i="1"/>
  <c r="EO3917" i="1"/>
  <c r="EO3916" i="1"/>
  <c r="EO3915" i="1"/>
  <c r="EO3914" i="1"/>
  <c r="EO3913" i="1"/>
  <c r="EO3912" i="1"/>
  <c r="EO3911" i="1"/>
  <c r="EO3910" i="1"/>
  <c r="EO3909" i="1"/>
  <c r="EO3908" i="1"/>
  <c r="EO3907" i="1"/>
  <c r="EO3906" i="1"/>
  <c r="EO3905" i="1"/>
  <c r="EO3904" i="1"/>
  <c r="EO3903" i="1"/>
  <c r="EO3902" i="1"/>
  <c r="EO3901" i="1"/>
  <c r="EO3900" i="1"/>
  <c r="EO3899" i="1"/>
  <c r="EO3898" i="1"/>
  <c r="EO3897" i="1"/>
  <c r="EO3896" i="1"/>
  <c r="EO3895" i="1"/>
  <c r="EO3894" i="1"/>
  <c r="EO3893" i="1"/>
  <c r="EO3892" i="1"/>
  <c r="EO3891" i="1"/>
  <c r="EO3890" i="1"/>
  <c r="EO3889" i="1"/>
  <c r="EO3888" i="1"/>
  <c r="EO3887" i="1"/>
  <c r="EO3886" i="1"/>
  <c r="EO3885" i="1"/>
  <c r="EO3884" i="1"/>
  <c r="EO3883" i="1"/>
  <c r="EO3882" i="1"/>
  <c r="EO3881" i="1"/>
  <c r="EO3880" i="1"/>
  <c r="EO3879" i="1"/>
  <c r="EO3878" i="1"/>
  <c r="EO3877" i="1"/>
  <c r="EO3876" i="1"/>
  <c r="EO3875" i="1"/>
  <c r="EO3874" i="1"/>
  <c r="EO3873" i="1"/>
  <c r="EO3872" i="1"/>
  <c r="EO3871" i="1"/>
  <c r="EO3870" i="1"/>
  <c r="EO3869" i="1"/>
  <c r="EO3868" i="1"/>
  <c r="EO3867" i="1"/>
  <c r="EO3866" i="1"/>
  <c r="EO3865" i="1"/>
  <c r="EO3864" i="1"/>
  <c r="EO3863" i="1"/>
  <c r="EO3862" i="1"/>
  <c r="EO3861" i="1"/>
  <c r="EO3860" i="1"/>
  <c r="EO3859" i="1"/>
  <c r="EO3858" i="1"/>
  <c r="EO3857" i="1"/>
  <c r="EO3856" i="1"/>
  <c r="EO3855" i="1"/>
  <c r="EO3854" i="1"/>
  <c r="EO3853" i="1"/>
  <c r="EO3852" i="1"/>
  <c r="EO3851" i="1"/>
  <c r="EO3850" i="1"/>
  <c r="EO3849" i="1"/>
  <c r="EO3848" i="1"/>
  <c r="EO3847" i="1"/>
  <c r="EO3846" i="1"/>
  <c r="EO3845" i="1"/>
  <c r="EO3844" i="1"/>
  <c r="EO3843" i="1"/>
  <c r="EO3842" i="1"/>
  <c r="EO3841" i="1"/>
  <c r="EO3840" i="1"/>
  <c r="EO3839" i="1"/>
  <c r="EO3838" i="1"/>
  <c r="EO3837" i="1"/>
  <c r="EO3836" i="1"/>
  <c r="EO3835" i="1"/>
  <c r="EO3834" i="1"/>
  <c r="EO3833" i="1"/>
  <c r="EO3832" i="1"/>
  <c r="EO3831" i="1"/>
  <c r="EO3830" i="1"/>
  <c r="EO3829" i="1"/>
  <c r="EO3828" i="1"/>
  <c r="EO3827" i="1"/>
  <c r="EO3826" i="1"/>
  <c r="EO3825" i="1"/>
  <c r="EO3824" i="1"/>
  <c r="EO3823" i="1"/>
  <c r="EO3822" i="1"/>
  <c r="EO3821" i="1"/>
  <c r="EO3820" i="1"/>
  <c r="EO3819" i="1"/>
  <c r="EO3818" i="1"/>
  <c r="EO3817" i="1"/>
  <c r="EO3816" i="1"/>
  <c r="EO3815" i="1"/>
  <c r="EO3814" i="1"/>
  <c r="EO3813" i="1"/>
  <c r="EO3812" i="1"/>
  <c r="EO3811" i="1"/>
  <c r="EO3810" i="1"/>
  <c r="EO3809" i="1"/>
  <c r="EO3808" i="1"/>
  <c r="EO3807" i="1"/>
  <c r="EO3806" i="1"/>
  <c r="EO3805" i="1"/>
  <c r="EO3804" i="1"/>
  <c r="EO3803" i="1"/>
  <c r="EO3802" i="1"/>
  <c r="EO3801" i="1"/>
  <c r="EO3800" i="1"/>
  <c r="EO3799" i="1"/>
  <c r="EO3798" i="1"/>
  <c r="EO3797" i="1"/>
  <c r="EO3796" i="1"/>
  <c r="EO3795" i="1"/>
  <c r="EO3794" i="1"/>
  <c r="EO3793" i="1"/>
  <c r="EO3792" i="1"/>
  <c r="EO3791" i="1"/>
  <c r="EO3790" i="1"/>
  <c r="EO3789" i="1"/>
  <c r="EO3788" i="1"/>
  <c r="EO3787" i="1"/>
  <c r="EO3786" i="1"/>
  <c r="EO3785" i="1"/>
  <c r="EO3784" i="1"/>
  <c r="EO3783" i="1"/>
  <c r="EO3782" i="1"/>
  <c r="EO3781" i="1"/>
  <c r="EO3780" i="1"/>
  <c r="EO3779" i="1"/>
  <c r="EO3778" i="1"/>
  <c r="EO3777" i="1"/>
  <c r="EO3776" i="1"/>
  <c r="EO3775" i="1"/>
  <c r="EO3774" i="1"/>
  <c r="EO3773" i="1"/>
  <c r="EO3772" i="1"/>
  <c r="EO3771" i="1"/>
  <c r="EO3770" i="1"/>
  <c r="EO3769" i="1"/>
  <c r="EO3768" i="1"/>
  <c r="EO3767" i="1"/>
  <c r="EO3766" i="1"/>
  <c r="EO3765" i="1"/>
  <c r="EO3764" i="1"/>
  <c r="EO3763" i="1"/>
  <c r="EO3762" i="1"/>
  <c r="EO3761" i="1"/>
  <c r="EO3760" i="1"/>
  <c r="EO3759" i="1"/>
  <c r="EO3758" i="1"/>
  <c r="EO3757" i="1"/>
  <c r="EO3756" i="1"/>
  <c r="EO3755" i="1"/>
  <c r="EO3754" i="1"/>
  <c r="EO3753" i="1"/>
  <c r="EO3752" i="1"/>
  <c r="EO3751" i="1"/>
  <c r="EO3750" i="1"/>
  <c r="EO3749" i="1"/>
  <c r="EO3748" i="1"/>
  <c r="EO3747" i="1"/>
  <c r="EO3746" i="1"/>
  <c r="EO3745" i="1"/>
  <c r="EO3744" i="1"/>
  <c r="EO3743" i="1"/>
  <c r="EO3742" i="1"/>
  <c r="EO3741" i="1"/>
  <c r="EO3740" i="1"/>
  <c r="EO3739" i="1"/>
  <c r="EO3738" i="1"/>
  <c r="EO3737" i="1"/>
  <c r="EO3736" i="1"/>
  <c r="EO3735" i="1"/>
  <c r="EO3734" i="1"/>
  <c r="EO3733" i="1"/>
  <c r="EO3732" i="1"/>
  <c r="EO3731" i="1"/>
  <c r="EO3730" i="1"/>
  <c r="EO3729" i="1"/>
  <c r="EO3728" i="1"/>
  <c r="EO3727" i="1"/>
  <c r="EO3726" i="1"/>
  <c r="EO3725" i="1"/>
  <c r="EO3724" i="1"/>
  <c r="EO3723" i="1"/>
  <c r="EO3722" i="1"/>
  <c r="EO3721" i="1"/>
  <c r="EO3720" i="1"/>
  <c r="EO3719" i="1"/>
  <c r="EO3718" i="1"/>
  <c r="EO3717" i="1"/>
  <c r="EO3716" i="1"/>
  <c r="EO3715" i="1"/>
  <c r="EO3714" i="1"/>
  <c r="EO3713" i="1"/>
  <c r="EO3712" i="1"/>
  <c r="EO3711" i="1"/>
  <c r="EO3710" i="1"/>
  <c r="EO3709" i="1"/>
  <c r="EO3708" i="1"/>
  <c r="EO3707" i="1"/>
  <c r="EO3706" i="1"/>
  <c r="EO3705" i="1"/>
  <c r="EO3704" i="1"/>
  <c r="EO3703" i="1"/>
  <c r="EO3702" i="1"/>
  <c r="EO3701" i="1"/>
  <c r="EO3700" i="1"/>
  <c r="EO3699" i="1"/>
  <c r="EO3698" i="1"/>
  <c r="EO3697" i="1"/>
  <c r="EO3696" i="1"/>
  <c r="EO3695" i="1"/>
  <c r="EO3694" i="1"/>
  <c r="EO3693" i="1"/>
  <c r="EO3692" i="1"/>
  <c r="EO3691" i="1"/>
  <c r="EO3690" i="1"/>
  <c r="EO3689" i="1"/>
  <c r="EO3688" i="1"/>
  <c r="EO3687" i="1"/>
  <c r="EO3686" i="1"/>
  <c r="EO3685" i="1"/>
  <c r="EO3684" i="1"/>
  <c r="EO3683" i="1"/>
  <c r="EO3682" i="1"/>
  <c r="EO3681" i="1"/>
  <c r="EO3680" i="1"/>
  <c r="EO3679" i="1"/>
  <c r="EO3678" i="1"/>
  <c r="EO3677" i="1"/>
  <c r="EO3676" i="1"/>
  <c r="EO3675" i="1"/>
  <c r="EO3674" i="1"/>
  <c r="EO3673" i="1"/>
  <c r="EO3672" i="1"/>
  <c r="EO3671" i="1"/>
  <c r="EO3670" i="1"/>
  <c r="EO3669" i="1"/>
  <c r="EO3668" i="1"/>
  <c r="EO3667" i="1"/>
  <c r="EO3666" i="1"/>
  <c r="EO3665" i="1"/>
  <c r="EO3664" i="1"/>
  <c r="EO3663" i="1"/>
  <c r="EO3662" i="1"/>
  <c r="EO3661" i="1"/>
  <c r="EO3660" i="1"/>
  <c r="EO3659" i="1"/>
  <c r="EO3658" i="1"/>
  <c r="EO3657" i="1"/>
  <c r="EO3656" i="1"/>
  <c r="EO3655" i="1"/>
  <c r="EO3654" i="1"/>
  <c r="EO3653" i="1"/>
  <c r="EO3652" i="1"/>
  <c r="EO3651" i="1"/>
  <c r="EO3650" i="1"/>
  <c r="EO3649" i="1"/>
  <c r="EO3648" i="1"/>
  <c r="EO3647" i="1"/>
  <c r="EO3646" i="1"/>
  <c r="EO3645" i="1"/>
  <c r="EO3644" i="1"/>
  <c r="EO3643" i="1"/>
  <c r="EO3642" i="1"/>
  <c r="EO3641" i="1"/>
  <c r="EO3640" i="1"/>
  <c r="EO3639" i="1"/>
  <c r="EO3638" i="1"/>
  <c r="EO3637" i="1"/>
  <c r="EO3636" i="1"/>
  <c r="EO3635" i="1"/>
  <c r="EO3634" i="1"/>
  <c r="EO3633" i="1"/>
  <c r="EO3632" i="1"/>
  <c r="EO3631" i="1"/>
  <c r="EO3630" i="1"/>
  <c r="EO3629" i="1"/>
  <c r="EO3628" i="1"/>
  <c r="EO3627" i="1"/>
  <c r="EO3626" i="1"/>
  <c r="EO3625" i="1"/>
  <c r="EO3624" i="1"/>
  <c r="EO3623" i="1"/>
  <c r="EO3622" i="1"/>
  <c r="EO3621" i="1"/>
  <c r="EO3620" i="1"/>
  <c r="EO3619" i="1"/>
  <c r="EO3618" i="1"/>
  <c r="EO3617" i="1"/>
  <c r="EO3616" i="1"/>
  <c r="EO3615" i="1"/>
  <c r="EO3614" i="1"/>
  <c r="EO3613" i="1"/>
  <c r="EO3612" i="1"/>
  <c r="EO3611" i="1"/>
  <c r="EO3610" i="1"/>
  <c r="EO3609" i="1"/>
  <c r="EO3608" i="1"/>
  <c r="EO3607" i="1"/>
  <c r="EO3606" i="1"/>
  <c r="EO3605" i="1"/>
  <c r="EO3604" i="1"/>
  <c r="EO3603" i="1"/>
  <c r="EO3602" i="1"/>
  <c r="EO3601" i="1"/>
  <c r="EO3600" i="1"/>
  <c r="EO3599" i="1"/>
  <c r="EO3598" i="1"/>
  <c r="EO3597" i="1"/>
  <c r="EO3596" i="1"/>
  <c r="EO3595" i="1"/>
  <c r="EO3594" i="1"/>
  <c r="EO3593" i="1"/>
  <c r="EO3592" i="1"/>
  <c r="EO3591" i="1"/>
  <c r="EO3590" i="1"/>
  <c r="EO3589" i="1"/>
  <c r="EO3588" i="1"/>
  <c r="EO3587" i="1"/>
  <c r="EO3586" i="1"/>
  <c r="EO3585" i="1"/>
  <c r="EO3584" i="1"/>
  <c r="EO3583" i="1"/>
  <c r="EO3582" i="1"/>
  <c r="EO3581" i="1"/>
  <c r="EO3580" i="1"/>
  <c r="EO3579" i="1"/>
  <c r="EO3578" i="1"/>
  <c r="EO3577" i="1"/>
  <c r="EO3576" i="1"/>
  <c r="EO3575" i="1"/>
  <c r="EO3574" i="1"/>
  <c r="EO3573" i="1"/>
  <c r="EO3572" i="1"/>
  <c r="EO3571" i="1"/>
  <c r="EO3570" i="1"/>
  <c r="EO3569" i="1"/>
  <c r="EO3568" i="1"/>
  <c r="EO3567" i="1"/>
  <c r="EO3566" i="1"/>
  <c r="EO3565" i="1"/>
  <c r="EO3564" i="1"/>
  <c r="EO3563" i="1"/>
  <c r="EO3562" i="1"/>
  <c r="EO3561" i="1"/>
  <c r="EO3560" i="1"/>
  <c r="EO3559" i="1"/>
  <c r="EO3558" i="1"/>
  <c r="EO3557" i="1"/>
  <c r="EO3556" i="1"/>
  <c r="EO3555" i="1"/>
  <c r="EO3554" i="1"/>
  <c r="EO3553" i="1"/>
  <c r="EO3552" i="1"/>
  <c r="EO3551" i="1"/>
  <c r="EO3550" i="1"/>
  <c r="EO3549" i="1"/>
  <c r="EO3548" i="1"/>
  <c r="EO3547" i="1"/>
  <c r="EO3546" i="1"/>
  <c r="EO3545" i="1"/>
  <c r="EO3544" i="1"/>
  <c r="EO3543" i="1"/>
  <c r="EO3542" i="1"/>
  <c r="EO3541" i="1"/>
  <c r="EO3540" i="1"/>
  <c r="EO3539" i="1"/>
  <c r="EO3538" i="1"/>
  <c r="EO3537" i="1"/>
  <c r="EO3536" i="1"/>
  <c r="EO3535" i="1"/>
  <c r="EO3534" i="1"/>
  <c r="EO3533" i="1"/>
  <c r="EO3532" i="1"/>
  <c r="EO3531" i="1"/>
  <c r="EO3530" i="1"/>
  <c r="EO3529" i="1"/>
  <c r="EO3528" i="1"/>
  <c r="EO3527" i="1"/>
  <c r="EO3526" i="1"/>
  <c r="EO3525" i="1"/>
  <c r="EO3524" i="1"/>
  <c r="EO3523" i="1"/>
  <c r="EO3522" i="1"/>
  <c r="EO3521" i="1"/>
  <c r="EO3520" i="1"/>
  <c r="EO3519" i="1"/>
  <c r="EO3518" i="1"/>
  <c r="EO3517" i="1"/>
  <c r="EO3516" i="1"/>
  <c r="EO3515" i="1"/>
  <c r="EO3514" i="1"/>
  <c r="EO3513" i="1"/>
  <c r="EO3512" i="1"/>
  <c r="EO3511" i="1"/>
  <c r="EO3510" i="1"/>
  <c r="EO3509" i="1"/>
  <c r="EO3508" i="1"/>
  <c r="EO3507" i="1"/>
  <c r="EO3506" i="1"/>
  <c r="EO3505" i="1"/>
  <c r="EO3504" i="1"/>
  <c r="EO3503" i="1"/>
  <c r="EO3502" i="1"/>
  <c r="EO3501" i="1"/>
  <c r="EO3500" i="1"/>
  <c r="EO3499" i="1"/>
  <c r="EO3498" i="1"/>
  <c r="EO3497" i="1"/>
  <c r="EO3496" i="1"/>
  <c r="EO3495" i="1"/>
  <c r="EO3494" i="1"/>
  <c r="EO3493" i="1"/>
  <c r="EO3492" i="1"/>
  <c r="EO3491" i="1"/>
  <c r="EO3490" i="1"/>
  <c r="EO3489" i="1"/>
  <c r="EO3488" i="1"/>
  <c r="EO3487" i="1"/>
  <c r="EO3486" i="1"/>
  <c r="EO3485" i="1"/>
  <c r="EO3484" i="1"/>
  <c r="EO3483" i="1"/>
  <c r="EO3482" i="1"/>
  <c r="EO3481" i="1"/>
  <c r="EO3480" i="1"/>
  <c r="EO3479" i="1"/>
  <c r="EO3478" i="1"/>
  <c r="EO3477" i="1"/>
  <c r="EO3476" i="1"/>
  <c r="EO3475" i="1"/>
  <c r="EO3474" i="1"/>
  <c r="EO3473" i="1"/>
  <c r="EO3472" i="1"/>
  <c r="EO3471" i="1"/>
  <c r="EO3470" i="1"/>
  <c r="EO3469" i="1"/>
  <c r="EO3468" i="1"/>
  <c r="EO3467" i="1"/>
  <c r="EO3466" i="1"/>
  <c r="EO3465" i="1"/>
  <c r="EO3464" i="1"/>
  <c r="EO3463" i="1"/>
  <c r="EO3462" i="1"/>
  <c r="EO3461" i="1"/>
  <c r="EO3460" i="1"/>
  <c r="EO3459" i="1"/>
  <c r="EO3458" i="1"/>
  <c r="EO3457" i="1"/>
  <c r="EO3456" i="1"/>
  <c r="EO3455" i="1"/>
  <c r="EO3454" i="1"/>
  <c r="EO3453" i="1"/>
  <c r="EO3452" i="1"/>
  <c r="EO3451" i="1"/>
  <c r="EO3450" i="1"/>
  <c r="EO3449" i="1"/>
  <c r="EO3448" i="1"/>
  <c r="EO3447" i="1"/>
  <c r="EO3446" i="1"/>
  <c r="EO3445" i="1"/>
  <c r="EO3444" i="1"/>
  <c r="EO3443" i="1"/>
  <c r="EO3442" i="1"/>
  <c r="EO3441" i="1"/>
  <c r="EO3440" i="1"/>
  <c r="EO3439" i="1"/>
  <c r="EO3438" i="1"/>
  <c r="EO3437" i="1"/>
  <c r="EO3436" i="1"/>
  <c r="EO3435" i="1"/>
  <c r="EO3434" i="1"/>
  <c r="EO3433" i="1"/>
  <c r="EO3432" i="1"/>
  <c r="EO3431" i="1"/>
  <c r="EO3430" i="1"/>
  <c r="EO3429" i="1"/>
  <c r="EO3428" i="1"/>
  <c r="EO3427" i="1"/>
  <c r="EO3426" i="1"/>
  <c r="EO3425" i="1"/>
  <c r="EO3424" i="1"/>
  <c r="EO3423" i="1"/>
  <c r="EO3422" i="1"/>
  <c r="EO3421" i="1"/>
  <c r="EO3420" i="1"/>
  <c r="EO3419" i="1"/>
  <c r="EO3418" i="1"/>
  <c r="EO3417" i="1"/>
  <c r="EO3416" i="1"/>
  <c r="EO3415" i="1"/>
  <c r="EO3414" i="1"/>
  <c r="EO3413" i="1"/>
  <c r="EO3412" i="1"/>
  <c r="EO3411" i="1"/>
  <c r="EO3410" i="1"/>
  <c r="EO3409" i="1"/>
  <c r="EO3408" i="1"/>
  <c r="EO3407" i="1"/>
  <c r="EO3406" i="1"/>
  <c r="EO3405" i="1"/>
  <c r="EO3404" i="1"/>
  <c r="EO3403" i="1"/>
  <c r="EO3402" i="1"/>
  <c r="EO3401" i="1"/>
  <c r="EO3400" i="1"/>
  <c r="EO3399" i="1"/>
  <c r="EO3398" i="1"/>
  <c r="EO3397" i="1"/>
  <c r="EO3396" i="1"/>
  <c r="EO3395" i="1"/>
  <c r="EO3394" i="1"/>
  <c r="EO3393" i="1"/>
  <c r="EO3392" i="1"/>
  <c r="EO3391" i="1"/>
  <c r="EO3390" i="1"/>
  <c r="EO3389" i="1"/>
  <c r="EO3388" i="1"/>
  <c r="EO3387" i="1"/>
  <c r="EO3386" i="1"/>
  <c r="EO3385" i="1"/>
  <c r="EO3384" i="1"/>
  <c r="EO3383" i="1"/>
  <c r="EO3382" i="1"/>
  <c r="EO3381" i="1"/>
  <c r="EO3380" i="1"/>
  <c r="EO3379" i="1"/>
  <c r="EO3378" i="1"/>
  <c r="EO3377" i="1"/>
  <c r="EO3376" i="1"/>
  <c r="EO3375" i="1"/>
  <c r="EO3374" i="1"/>
  <c r="EO3373" i="1"/>
  <c r="EO3372" i="1"/>
  <c r="EO3371" i="1"/>
  <c r="EO3370" i="1"/>
  <c r="EO3369" i="1"/>
  <c r="EO3368" i="1"/>
  <c r="EO3367" i="1"/>
  <c r="EO3366" i="1"/>
  <c r="EO3365" i="1"/>
  <c r="EO3364" i="1"/>
  <c r="EO3363" i="1"/>
  <c r="EO3362" i="1"/>
  <c r="EO3361" i="1"/>
  <c r="EO3360" i="1"/>
  <c r="EO3359" i="1"/>
  <c r="EO3358" i="1"/>
  <c r="EO3357" i="1"/>
  <c r="EO3356" i="1"/>
  <c r="EO3355" i="1"/>
  <c r="EO3354" i="1"/>
  <c r="EO3353" i="1"/>
  <c r="EO3352" i="1"/>
  <c r="EO3351" i="1"/>
  <c r="EO3350" i="1"/>
  <c r="EO3349" i="1"/>
  <c r="EO3348" i="1"/>
  <c r="EO3347" i="1"/>
  <c r="EO3346" i="1"/>
  <c r="EO3345" i="1"/>
  <c r="EO3344" i="1"/>
  <c r="EO3343" i="1"/>
  <c r="EO3342" i="1"/>
  <c r="EO3341" i="1"/>
  <c r="EO3340" i="1"/>
  <c r="EO3339" i="1"/>
  <c r="EO3338" i="1"/>
  <c r="EO3337" i="1"/>
  <c r="EO3336" i="1"/>
  <c r="EO3335" i="1"/>
  <c r="EO3334" i="1"/>
  <c r="EO3333" i="1"/>
  <c r="EO3332" i="1"/>
  <c r="EO3331" i="1"/>
  <c r="EO3330" i="1"/>
  <c r="EO3329" i="1"/>
  <c r="EO3328" i="1"/>
  <c r="EO3327" i="1"/>
  <c r="EO3326" i="1"/>
  <c r="EO3325" i="1"/>
  <c r="EO3324" i="1"/>
  <c r="EO3323" i="1"/>
  <c r="EO3322" i="1"/>
  <c r="EO3321" i="1"/>
  <c r="EO3320" i="1"/>
  <c r="EO3319" i="1"/>
  <c r="EO3318" i="1"/>
  <c r="EO3317" i="1"/>
  <c r="EO3316" i="1"/>
  <c r="EO3315" i="1"/>
  <c r="EO3314" i="1"/>
  <c r="EO3313" i="1"/>
  <c r="EO3312" i="1"/>
  <c r="EO3311" i="1"/>
  <c r="EO3310" i="1"/>
  <c r="EO3309" i="1"/>
  <c r="EO3308" i="1"/>
  <c r="EO3307" i="1"/>
  <c r="EO3306" i="1"/>
  <c r="EO3305" i="1"/>
  <c r="EO3304" i="1"/>
  <c r="EO3303" i="1"/>
  <c r="EO3302" i="1"/>
  <c r="EO3301" i="1"/>
  <c r="EO3300" i="1"/>
  <c r="EO3299" i="1"/>
  <c r="EO3298" i="1"/>
  <c r="EO3297" i="1"/>
  <c r="EO3296" i="1"/>
  <c r="EO3295" i="1"/>
  <c r="EO3294" i="1"/>
  <c r="EO3293" i="1"/>
  <c r="EO3292" i="1"/>
  <c r="EO3291" i="1"/>
  <c r="EO3290" i="1"/>
  <c r="EO3289" i="1"/>
  <c r="EO3288" i="1"/>
  <c r="EO3287" i="1"/>
  <c r="EO3286" i="1"/>
  <c r="EO3285" i="1"/>
  <c r="EO3284" i="1"/>
  <c r="EO3283" i="1"/>
  <c r="EO3282" i="1"/>
  <c r="EO3281" i="1"/>
  <c r="EO3280" i="1"/>
  <c r="EO3279" i="1"/>
  <c r="EO3278" i="1"/>
  <c r="EO3277" i="1"/>
  <c r="EO3276" i="1"/>
  <c r="EO3275" i="1"/>
  <c r="EO3274" i="1"/>
  <c r="EO3273" i="1"/>
  <c r="EO3272" i="1"/>
  <c r="EO3271" i="1"/>
  <c r="EO3270" i="1"/>
  <c r="EO3269" i="1"/>
  <c r="EO3268" i="1"/>
  <c r="EO3267" i="1"/>
  <c r="EO3266" i="1"/>
  <c r="EO3265" i="1"/>
  <c r="EO3264" i="1"/>
  <c r="EO3263" i="1"/>
  <c r="EO3262" i="1"/>
  <c r="EO3261" i="1"/>
  <c r="EO3260" i="1"/>
  <c r="EO3259" i="1"/>
  <c r="EO3258" i="1"/>
  <c r="EO3257" i="1"/>
  <c r="EO3256" i="1"/>
  <c r="EO3255" i="1"/>
  <c r="EO3254" i="1"/>
  <c r="EO3253" i="1"/>
  <c r="EO3252" i="1"/>
  <c r="EO3251" i="1"/>
  <c r="EO3250" i="1"/>
  <c r="EO3249" i="1"/>
  <c r="EO3248" i="1"/>
  <c r="EO3247" i="1"/>
  <c r="EO3246" i="1"/>
  <c r="EO3245" i="1"/>
  <c r="EO3244" i="1"/>
  <c r="EO3243" i="1"/>
  <c r="EO3242" i="1"/>
  <c r="EO3241" i="1"/>
  <c r="EO3240" i="1"/>
  <c r="EO3239" i="1"/>
  <c r="EO3238" i="1"/>
  <c r="EO3237" i="1"/>
  <c r="EO3236" i="1"/>
  <c r="EO3235" i="1"/>
  <c r="EO3234" i="1"/>
  <c r="EO3233" i="1"/>
  <c r="EO3232" i="1"/>
  <c r="EO3231" i="1"/>
  <c r="EO3230" i="1"/>
  <c r="EO3229" i="1"/>
  <c r="EO3228" i="1"/>
  <c r="EO3227" i="1"/>
  <c r="EO3226" i="1"/>
  <c r="EO3225" i="1"/>
  <c r="EO3224" i="1"/>
  <c r="EO3223" i="1"/>
  <c r="EO3222" i="1"/>
  <c r="EO3221" i="1"/>
  <c r="EO3220" i="1"/>
  <c r="EO3219" i="1"/>
  <c r="EO3218" i="1"/>
  <c r="EO3217" i="1"/>
  <c r="EO3216" i="1"/>
  <c r="EO3215" i="1"/>
  <c r="EO3214" i="1"/>
  <c r="EO3213" i="1"/>
  <c r="EO3212" i="1"/>
  <c r="EO3211" i="1"/>
  <c r="EO3210" i="1"/>
  <c r="EO3209" i="1"/>
  <c r="EO3208" i="1"/>
  <c r="EO3207" i="1"/>
  <c r="EO3206" i="1"/>
  <c r="EO3205" i="1"/>
  <c r="EO3204" i="1"/>
  <c r="EO3203" i="1"/>
  <c r="EO3202" i="1"/>
  <c r="EO3201" i="1"/>
  <c r="EO3200" i="1"/>
  <c r="EO3199" i="1"/>
  <c r="EO3198" i="1"/>
  <c r="EO3197" i="1"/>
  <c r="EO3196" i="1"/>
  <c r="EO3195" i="1"/>
  <c r="EO3194" i="1"/>
  <c r="EO3193" i="1"/>
  <c r="EO3192" i="1"/>
  <c r="EO3191" i="1"/>
  <c r="EO3190" i="1"/>
  <c r="EO3189" i="1"/>
  <c r="EO3188" i="1"/>
  <c r="EO3187" i="1"/>
  <c r="EO3186" i="1"/>
  <c r="EO3185" i="1"/>
  <c r="EO3184" i="1"/>
  <c r="EO3183" i="1"/>
  <c r="EO3182" i="1"/>
  <c r="EO3181" i="1"/>
  <c r="EO3180" i="1"/>
  <c r="EO3179" i="1"/>
  <c r="EO3178" i="1"/>
  <c r="EO3177" i="1"/>
  <c r="EO3176" i="1"/>
  <c r="EO3175" i="1"/>
  <c r="EO3174" i="1"/>
  <c r="EO3173" i="1"/>
  <c r="EO3172" i="1"/>
  <c r="EO3171" i="1"/>
  <c r="EO3170" i="1"/>
  <c r="EO3169" i="1"/>
  <c r="EO3168" i="1"/>
  <c r="EO3167" i="1"/>
  <c r="EO3166" i="1"/>
  <c r="EO3165" i="1"/>
  <c r="EO3164" i="1"/>
  <c r="EO3163" i="1"/>
  <c r="EO3162" i="1"/>
  <c r="EO3161" i="1"/>
  <c r="EO3160" i="1"/>
  <c r="EO3159" i="1"/>
  <c r="EO3158" i="1"/>
  <c r="EO3157" i="1"/>
  <c r="EO3156" i="1"/>
  <c r="EO3155" i="1"/>
  <c r="EO3154" i="1"/>
  <c r="EO3153" i="1"/>
  <c r="EO3152" i="1"/>
  <c r="EO3151" i="1"/>
  <c r="EO3150" i="1"/>
  <c r="EO3149" i="1"/>
  <c r="EO3148" i="1"/>
  <c r="EO3147" i="1"/>
  <c r="EO3146" i="1"/>
  <c r="EO3145" i="1"/>
  <c r="EO3144" i="1"/>
  <c r="EO3143" i="1"/>
  <c r="EO3142" i="1"/>
  <c r="EO3141" i="1"/>
  <c r="EO3140" i="1"/>
  <c r="EO3139" i="1"/>
  <c r="EO3138" i="1"/>
  <c r="EO3137" i="1"/>
  <c r="EO3136" i="1"/>
  <c r="EO3135" i="1"/>
  <c r="EO3134" i="1"/>
  <c r="EO3133" i="1"/>
  <c r="EO3132" i="1"/>
  <c r="EO3131" i="1"/>
  <c r="EO3130" i="1"/>
  <c r="EO3129" i="1"/>
  <c r="EO3128" i="1"/>
  <c r="EO3127" i="1"/>
  <c r="EO3126" i="1"/>
  <c r="EO3125" i="1"/>
  <c r="EO3124" i="1"/>
  <c r="EO3123" i="1"/>
  <c r="EO3122" i="1"/>
  <c r="EO3121" i="1"/>
  <c r="EO3120" i="1"/>
  <c r="EO3119" i="1"/>
  <c r="EO3118" i="1"/>
  <c r="EO3117" i="1"/>
  <c r="EO3116" i="1"/>
  <c r="EO3115" i="1"/>
  <c r="EO3114" i="1"/>
  <c r="EO3113" i="1"/>
  <c r="EO3112" i="1"/>
  <c r="EO3111" i="1"/>
  <c r="EO3110" i="1"/>
  <c r="EO3109" i="1"/>
  <c r="EO3108" i="1"/>
  <c r="EO3107" i="1"/>
  <c r="EO3106" i="1"/>
  <c r="EO3105" i="1"/>
  <c r="EO3104" i="1"/>
  <c r="EO3103" i="1"/>
  <c r="EO3102" i="1"/>
  <c r="EO3101" i="1"/>
  <c r="EO3100" i="1"/>
  <c r="EO3099" i="1"/>
  <c r="EO3098" i="1"/>
  <c r="EO3097" i="1"/>
  <c r="EO3096" i="1"/>
  <c r="EO3095" i="1"/>
  <c r="EO3094" i="1"/>
  <c r="EO3093" i="1"/>
  <c r="EO3092" i="1"/>
  <c r="EO3091" i="1"/>
  <c r="EO3090" i="1"/>
  <c r="EO3089" i="1"/>
  <c r="EO3088" i="1"/>
  <c r="EO3087" i="1"/>
  <c r="EO3086" i="1"/>
  <c r="EO3085" i="1"/>
  <c r="EO3084" i="1"/>
  <c r="EO3083" i="1"/>
  <c r="EO3082" i="1"/>
  <c r="EO3081" i="1"/>
  <c r="EO3080" i="1"/>
  <c r="EO3079" i="1"/>
  <c r="EO3078" i="1"/>
  <c r="EO3077" i="1"/>
  <c r="EO3076" i="1"/>
  <c r="EO3075" i="1"/>
  <c r="EO3074" i="1"/>
  <c r="EO3073" i="1"/>
  <c r="EO3072" i="1"/>
  <c r="EO3071" i="1"/>
  <c r="EO3070" i="1"/>
  <c r="EO3069" i="1"/>
  <c r="EO3068" i="1"/>
  <c r="EO3067" i="1"/>
  <c r="EO3066" i="1"/>
  <c r="EO3065" i="1"/>
  <c r="EO3064" i="1"/>
  <c r="EO3063" i="1"/>
  <c r="EO3062" i="1"/>
  <c r="EO3061" i="1"/>
  <c r="EO3060" i="1"/>
  <c r="EO3059" i="1"/>
  <c r="EO3058" i="1"/>
  <c r="EO3057" i="1"/>
  <c r="EO3056" i="1"/>
  <c r="EO3055" i="1"/>
  <c r="EO3054" i="1"/>
  <c r="EO3053" i="1"/>
  <c r="EO3052" i="1"/>
  <c r="EO3051" i="1"/>
  <c r="EO3050" i="1"/>
  <c r="EO3049" i="1"/>
  <c r="EO3048" i="1"/>
  <c r="EO3047" i="1"/>
  <c r="EO3046" i="1"/>
  <c r="EO3045" i="1"/>
  <c r="EO3044" i="1"/>
  <c r="EO3043" i="1"/>
  <c r="EO3042" i="1"/>
  <c r="EO3041" i="1"/>
  <c r="EO3040" i="1"/>
  <c r="EO3039" i="1"/>
  <c r="EO3038" i="1"/>
  <c r="EO3037" i="1"/>
  <c r="EO3036" i="1"/>
  <c r="EO3035" i="1"/>
  <c r="EO3034" i="1"/>
  <c r="EO3033" i="1"/>
  <c r="EO3032" i="1"/>
  <c r="EO3031" i="1"/>
  <c r="EO3030" i="1"/>
  <c r="EO3029" i="1"/>
  <c r="EO3028" i="1"/>
  <c r="EO3027" i="1"/>
  <c r="EO3026" i="1"/>
  <c r="EO3025" i="1"/>
  <c r="EO3024" i="1"/>
  <c r="EO3023" i="1"/>
  <c r="EO3022" i="1"/>
  <c r="EO3021" i="1"/>
  <c r="EO3020" i="1"/>
  <c r="EO3019" i="1"/>
  <c r="EO3018" i="1"/>
  <c r="EO3017" i="1"/>
  <c r="EO3016" i="1"/>
  <c r="EO3015" i="1"/>
  <c r="EO3014" i="1"/>
  <c r="EO3013" i="1"/>
  <c r="EO3012" i="1"/>
  <c r="EO3011" i="1"/>
  <c r="EO3010" i="1"/>
  <c r="EO3009" i="1"/>
  <c r="EO3008" i="1"/>
  <c r="EO3007" i="1"/>
  <c r="EO3006" i="1"/>
  <c r="EO3005" i="1"/>
  <c r="EO3004" i="1"/>
  <c r="EO3003" i="1"/>
  <c r="EO3002" i="1"/>
  <c r="EO3001" i="1"/>
  <c r="EO3000" i="1"/>
  <c r="EO2999" i="1"/>
  <c r="EO2998" i="1"/>
  <c r="EO2997" i="1"/>
  <c r="EO2996" i="1"/>
  <c r="EO2995" i="1"/>
  <c r="EO2994" i="1"/>
  <c r="EO2993" i="1"/>
  <c r="EO2992" i="1"/>
  <c r="EO2991" i="1"/>
  <c r="EO2990" i="1"/>
  <c r="EO2989" i="1"/>
  <c r="EO2988" i="1"/>
  <c r="EO2987" i="1"/>
  <c r="EO2986" i="1"/>
  <c r="EO2985" i="1"/>
  <c r="EO2984" i="1"/>
  <c r="EO2983" i="1"/>
  <c r="EO2982" i="1"/>
  <c r="EO2981" i="1"/>
  <c r="EO2980" i="1"/>
  <c r="EO2979" i="1"/>
  <c r="EO2978" i="1"/>
  <c r="EO2977" i="1"/>
  <c r="EO2976" i="1"/>
  <c r="EO2975" i="1"/>
  <c r="EO2974" i="1"/>
  <c r="EO2973" i="1"/>
  <c r="EO2972" i="1"/>
  <c r="EO2971" i="1"/>
  <c r="EO2970" i="1"/>
  <c r="EO2969" i="1"/>
  <c r="EO2968" i="1"/>
  <c r="EO2967" i="1"/>
  <c r="EO2966" i="1"/>
  <c r="EO2965" i="1"/>
  <c r="EO2964" i="1"/>
  <c r="EO2963" i="1"/>
  <c r="EO2962" i="1"/>
  <c r="EO2961" i="1"/>
  <c r="EO2960" i="1"/>
  <c r="EO2959" i="1"/>
  <c r="EO2958" i="1"/>
  <c r="EO2957" i="1"/>
  <c r="EO2956" i="1"/>
  <c r="EO2955" i="1"/>
  <c r="EO2954" i="1"/>
  <c r="EO2953" i="1"/>
  <c r="EO2952" i="1"/>
  <c r="EO2951" i="1"/>
  <c r="EO2950" i="1"/>
  <c r="EO2949" i="1"/>
  <c r="EO2948" i="1"/>
  <c r="EO2947" i="1"/>
  <c r="EO2946" i="1"/>
  <c r="EO2945" i="1"/>
  <c r="EO2944" i="1"/>
  <c r="EO2943" i="1"/>
  <c r="EO2942" i="1"/>
  <c r="EO2941" i="1"/>
  <c r="EO2940" i="1"/>
  <c r="EO2939" i="1"/>
  <c r="EO2938" i="1"/>
  <c r="EO2937" i="1"/>
  <c r="EO2936" i="1"/>
  <c r="EO2935" i="1"/>
  <c r="EO2934" i="1"/>
  <c r="EO2933" i="1"/>
  <c r="EO2932" i="1"/>
  <c r="EO2931" i="1"/>
  <c r="EO2930" i="1"/>
  <c r="EO2929" i="1"/>
  <c r="EO2928" i="1"/>
  <c r="EO2927" i="1"/>
  <c r="EO2926" i="1"/>
  <c r="EO2925" i="1"/>
  <c r="EO2924" i="1"/>
  <c r="EO2923" i="1"/>
  <c r="EO2922" i="1"/>
  <c r="EO2921" i="1"/>
  <c r="EO2920" i="1"/>
  <c r="EO2919" i="1"/>
  <c r="EO2918" i="1"/>
  <c r="EO2917" i="1"/>
  <c r="EO2916" i="1"/>
  <c r="EO2915" i="1"/>
  <c r="EO2914" i="1"/>
  <c r="EO2913" i="1"/>
  <c r="EO2912" i="1"/>
  <c r="EO2911" i="1"/>
  <c r="EO2910" i="1"/>
  <c r="EO2909" i="1"/>
  <c r="EO2908" i="1"/>
  <c r="EO2907" i="1"/>
  <c r="EO2906" i="1"/>
  <c r="EO2905" i="1"/>
  <c r="EO2904" i="1"/>
  <c r="EO2903" i="1"/>
  <c r="EO2902" i="1"/>
  <c r="EO2901" i="1"/>
  <c r="EO2900" i="1"/>
  <c r="EO2899" i="1"/>
  <c r="EO2898" i="1"/>
  <c r="EO2897" i="1"/>
  <c r="EO2896" i="1"/>
  <c r="EO2895" i="1"/>
  <c r="EO2894" i="1"/>
  <c r="EO2893" i="1"/>
  <c r="EO2892" i="1"/>
  <c r="EO2891" i="1"/>
  <c r="EO2890" i="1"/>
  <c r="EO2889" i="1"/>
  <c r="EO2888" i="1"/>
  <c r="EO2887" i="1"/>
  <c r="EO2886" i="1"/>
  <c r="EO2885" i="1"/>
  <c r="EO2884" i="1"/>
  <c r="EO2883" i="1"/>
  <c r="EO2882" i="1"/>
  <c r="EO2881" i="1"/>
  <c r="EO2880" i="1"/>
  <c r="EO2879" i="1"/>
  <c r="EO2878" i="1"/>
  <c r="EO2877" i="1"/>
  <c r="EO2876" i="1"/>
  <c r="EO2875" i="1"/>
  <c r="EO2874" i="1"/>
  <c r="EO2873" i="1"/>
  <c r="EO2872" i="1"/>
  <c r="EO2871" i="1"/>
  <c r="EO2870" i="1"/>
  <c r="EO2869" i="1"/>
  <c r="EO2868" i="1"/>
  <c r="EO2867" i="1"/>
  <c r="EO2866" i="1"/>
  <c r="EO2865" i="1"/>
  <c r="EO2864" i="1"/>
  <c r="EO2863" i="1"/>
  <c r="EO2862" i="1"/>
  <c r="EO2861" i="1"/>
  <c r="EO2860" i="1"/>
  <c r="EO2859" i="1"/>
  <c r="EO2858" i="1"/>
  <c r="EO2857" i="1"/>
  <c r="EO2856" i="1"/>
  <c r="EO2855" i="1"/>
  <c r="EO2854" i="1"/>
  <c r="EO2853" i="1"/>
  <c r="EO2852" i="1"/>
  <c r="EO2851" i="1"/>
  <c r="EO2850" i="1"/>
  <c r="EO2849" i="1"/>
  <c r="EO2848" i="1"/>
  <c r="EO2847" i="1"/>
  <c r="EO2846" i="1"/>
  <c r="EO2845" i="1"/>
  <c r="EO2844" i="1"/>
  <c r="EO2843" i="1"/>
  <c r="EO2842" i="1"/>
  <c r="EO2841" i="1"/>
  <c r="EO2840" i="1"/>
  <c r="EO2839" i="1"/>
  <c r="EO2838" i="1"/>
  <c r="EO2837" i="1"/>
  <c r="EO2836" i="1"/>
  <c r="EO2835" i="1"/>
  <c r="EO2834" i="1"/>
  <c r="EO2833" i="1"/>
  <c r="EO2832" i="1"/>
  <c r="EO2831" i="1"/>
  <c r="EO2830" i="1"/>
  <c r="EO2829" i="1"/>
  <c r="EO2828" i="1"/>
  <c r="EO2827" i="1"/>
  <c r="EO2826" i="1"/>
  <c r="EO2825" i="1"/>
  <c r="EO2824" i="1"/>
  <c r="EO2823" i="1"/>
  <c r="EO2822" i="1"/>
  <c r="EO2821" i="1"/>
  <c r="EO2820" i="1"/>
  <c r="EO2819" i="1"/>
  <c r="EO2818" i="1"/>
  <c r="EO2817" i="1"/>
  <c r="EO2816" i="1"/>
  <c r="EO2815" i="1"/>
  <c r="EO2814" i="1"/>
  <c r="EO2813" i="1"/>
  <c r="EO2812" i="1"/>
  <c r="EO2811" i="1"/>
  <c r="EO2810" i="1"/>
  <c r="EO2809" i="1"/>
  <c r="EO2808" i="1"/>
  <c r="EO2807" i="1"/>
  <c r="EO2806" i="1"/>
  <c r="EO2805" i="1"/>
  <c r="EO2804" i="1"/>
  <c r="EO2803" i="1"/>
  <c r="EO2802" i="1"/>
  <c r="EO2801" i="1"/>
  <c r="EO2800" i="1"/>
  <c r="EO2799" i="1"/>
  <c r="EO2798" i="1"/>
  <c r="EO2797" i="1"/>
  <c r="EO2796" i="1"/>
  <c r="EO2795" i="1"/>
  <c r="EO2794" i="1"/>
  <c r="EO2793" i="1"/>
  <c r="EO2792" i="1"/>
  <c r="EO2791" i="1"/>
  <c r="EO2790" i="1"/>
  <c r="EO2789" i="1"/>
  <c r="EO2788" i="1"/>
  <c r="EO2787" i="1"/>
  <c r="EO2786" i="1"/>
  <c r="EO2785" i="1"/>
  <c r="EO2784" i="1"/>
  <c r="EO2783" i="1"/>
  <c r="EO2782" i="1"/>
  <c r="EO2781" i="1"/>
  <c r="EO2780" i="1"/>
  <c r="EO2779" i="1"/>
  <c r="EO2778" i="1"/>
  <c r="EO2777" i="1"/>
  <c r="EO2776" i="1"/>
  <c r="EO2775" i="1"/>
  <c r="EO2774" i="1"/>
  <c r="EO2773" i="1"/>
  <c r="EO2772" i="1"/>
  <c r="EO2771" i="1"/>
  <c r="EO2770" i="1"/>
  <c r="EO2769" i="1"/>
  <c r="EO2768" i="1"/>
  <c r="EO2767" i="1"/>
  <c r="EO2766" i="1"/>
  <c r="EO2765" i="1"/>
  <c r="EO2764" i="1"/>
  <c r="EO2763" i="1"/>
  <c r="EO2762" i="1"/>
  <c r="EO2761" i="1"/>
  <c r="EO2760" i="1"/>
  <c r="EO2759" i="1"/>
  <c r="EO2758" i="1"/>
  <c r="EO2757" i="1"/>
  <c r="EO2756" i="1"/>
  <c r="EO2755" i="1"/>
  <c r="EO2754" i="1"/>
  <c r="EO2753" i="1"/>
  <c r="EO2752" i="1"/>
  <c r="EO2751" i="1"/>
  <c r="EO2750" i="1"/>
  <c r="EO2749" i="1"/>
  <c r="EO2748" i="1"/>
  <c r="EO2747" i="1"/>
  <c r="EO2746" i="1"/>
  <c r="EO2745" i="1"/>
  <c r="EO2744" i="1"/>
  <c r="EO2743" i="1"/>
  <c r="EO2742" i="1"/>
  <c r="EO2741" i="1"/>
  <c r="EO2740" i="1"/>
  <c r="EO2739" i="1"/>
  <c r="EO2738" i="1"/>
  <c r="EO2737" i="1"/>
  <c r="EO2736" i="1"/>
  <c r="EO2735" i="1"/>
  <c r="EO2734" i="1"/>
  <c r="EO2733" i="1"/>
  <c r="EO2732" i="1"/>
  <c r="EO2731" i="1"/>
  <c r="EO2730" i="1"/>
  <c r="EO2729" i="1"/>
  <c r="EO2728" i="1"/>
  <c r="EO2727" i="1"/>
  <c r="EO2726" i="1"/>
  <c r="EO2725" i="1"/>
  <c r="EO2724" i="1"/>
  <c r="EO2723" i="1"/>
  <c r="EO2722" i="1"/>
  <c r="EO2721" i="1"/>
  <c r="EO2720" i="1"/>
  <c r="EO2719" i="1"/>
  <c r="EO2718" i="1"/>
  <c r="EO2717" i="1"/>
  <c r="EO2716" i="1"/>
  <c r="EO2715" i="1"/>
  <c r="EO2714" i="1"/>
  <c r="EO2713" i="1"/>
  <c r="EO2712" i="1"/>
  <c r="EO2711" i="1"/>
  <c r="EO2710" i="1"/>
  <c r="EO2709" i="1"/>
  <c r="EO2708" i="1"/>
  <c r="EO2707" i="1"/>
  <c r="EO2706" i="1"/>
  <c r="EO2705" i="1"/>
  <c r="EO2704" i="1"/>
  <c r="EO2703" i="1"/>
  <c r="EO2702" i="1"/>
  <c r="EO2701" i="1"/>
  <c r="EO2700" i="1"/>
  <c r="EO2699" i="1"/>
  <c r="EO2698" i="1"/>
  <c r="EO2697" i="1"/>
  <c r="EO2696" i="1"/>
  <c r="EO2695" i="1"/>
  <c r="EO2694" i="1"/>
  <c r="EO2693" i="1"/>
  <c r="EO2692" i="1"/>
  <c r="EO2691" i="1"/>
  <c r="EO2690" i="1"/>
  <c r="EO2689" i="1"/>
  <c r="EO2688" i="1"/>
  <c r="EO2687" i="1"/>
  <c r="EO2686" i="1"/>
  <c r="EO2685" i="1"/>
  <c r="EO2684" i="1"/>
  <c r="EO2683" i="1"/>
  <c r="EO2682" i="1"/>
  <c r="EO2681" i="1"/>
  <c r="EO2680" i="1"/>
  <c r="EO2679" i="1"/>
  <c r="EO2678" i="1"/>
  <c r="EO2677" i="1"/>
  <c r="EO2676" i="1"/>
  <c r="EO2675" i="1"/>
  <c r="EO2674" i="1"/>
  <c r="EO2673" i="1"/>
  <c r="EO2672" i="1"/>
  <c r="EO2671" i="1"/>
  <c r="EO2670" i="1"/>
  <c r="EO2669" i="1"/>
  <c r="EO2668" i="1"/>
  <c r="EO2667" i="1"/>
  <c r="EO2666" i="1"/>
  <c r="EO2665" i="1"/>
  <c r="EO2664" i="1"/>
  <c r="EO2663" i="1"/>
  <c r="EO2662" i="1"/>
  <c r="EO2661" i="1"/>
  <c r="EO2660" i="1"/>
  <c r="EO2659" i="1"/>
  <c r="EO2658" i="1"/>
  <c r="EO2657" i="1"/>
  <c r="EO2656" i="1"/>
  <c r="EO2655" i="1"/>
  <c r="EO2654" i="1"/>
  <c r="EO2653" i="1"/>
  <c r="EO2652" i="1"/>
  <c r="EO2651" i="1"/>
  <c r="EO2650" i="1"/>
  <c r="EO2649" i="1"/>
  <c r="EO2648" i="1"/>
  <c r="EO2647" i="1"/>
  <c r="EO2646" i="1"/>
  <c r="EO2645" i="1"/>
  <c r="EO2644" i="1"/>
  <c r="EO2643" i="1"/>
  <c r="EO2642" i="1"/>
  <c r="EO2641" i="1"/>
  <c r="EO2640" i="1"/>
  <c r="EO2639" i="1"/>
  <c r="EO2638" i="1"/>
  <c r="EO2637" i="1"/>
  <c r="EO2636" i="1"/>
  <c r="EO2635" i="1"/>
  <c r="EO2634" i="1"/>
  <c r="EO2633" i="1"/>
  <c r="EO2632" i="1"/>
  <c r="EO2631" i="1"/>
  <c r="EO2630" i="1"/>
  <c r="EO2629" i="1"/>
  <c r="EO2628" i="1"/>
  <c r="EO2627" i="1"/>
  <c r="EO2626" i="1"/>
  <c r="EO2625" i="1"/>
  <c r="EO2624" i="1"/>
  <c r="EO2623" i="1"/>
  <c r="EO2622" i="1"/>
  <c r="EO2621" i="1"/>
  <c r="EO2620" i="1"/>
  <c r="EO2619" i="1"/>
  <c r="EO2618" i="1"/>
  <c r="EO2617" i="1"/>
  <c r="EO2616" i="1"/>
  <c r="EO2615" i="1"/>
  <c r="EO2614" i="1"/>
  <c r="EO2613" i="1"/>
  <c r="EO2612" i="1"/>
  <c r="EO2611" i="1"/>
  <c r="EO2610" i="1"/>
  <c r="EO2609" i="1"/>
  <c r="EO2608" i="1"/>
  <c r="EO2607" i="1"/>
  <c r="EO2606" i="1"/>
  <c r="EO2605" i="1"/>
  <c r="EO2604" i="1"/>
  <c r="EO2603" i="1"/>
  <c r="EO2602" i="1"/>
  <c r="EO2601" i="1"/>
  <c r="EO2600" i="1"/>
  <c r="EO2599" i="1"/>
  <c r="EO2598" i="1"/>
  <c r="EO2597" i="1"/>
  <c r="EO2596" i="1"/>
  <c r="EO2595" i="1"/>
  <c r="EO2594" i="1"/>
  <c r="EO2593" i="1"/>
  <c r="EO2592" i="1"/>
  <c r="EO2591" i="1"/>
  <c r="EO2590" i="1"/>
  <c r="EO2589" i="1"/>
  <c r="EO2588" i="1"/>
  <c r="EO2587" i="1"/>
  <c r="EO2586" i="1"/>
  <c r="EO2585" i="1"/>
  <c r="EO2584" i="1"/>
  <c r="EO2583" i="1"/>
  <c r="EO2582" i="1"/>
  <c r="EO2581" i="1"/>
  <c r="EO2580" i="1"/>
  <c r="EO2579" i="1"/>
  <c r="EO2578" i="1"/>
  <c r="EO2577" i="1"/>
  <c r="EO2576" i="1"/>
  <c r="EO2575" i="1"/>
  <c r="EO2574" i="1"/>
  <c r="EO2573" i="1"/>
  <c r="EO2572" i="1"/>
  <c r="EO2571" i="1"/>
  <c r="EO2570" i="1"/>
  <c r="EO2569" i="1"/>
  <c r="EO2568" i="1"/>
  <c r="EO2567" i="1"/>
  <c r="EO2566" i="1"/>
  <c r="EO2565" i="1"/>
  <c r="EO2564" i="1"/>
  <c r="EO2563" i="1"/>
  <c r="EO2562" i="1"/>
  <c r="EO2561" i="1"/>
  <c r="EO2560" i="1"/>
  <c r="EO2559" i="1"/>
  <c r="EO2558" i="1"/>
  <c r="EO2557" i="1"/>
  <c r="EO2556" i="1"/>
  <c r="EO2555" i="1"/>
  <c r="EO2554" i="1"/>
  <c r="EO2553" i="1"/>
  <c r="EO2552" i="1"/>
  <c r="EO2551" i="1"/>
  <c r="EO2550" i="1"/>
  <c r="EO2549" i="1"/>
  <c r="EO2548" i="1"/>
  <c r="EO2547" i="1"/>
  <c r="EO2546" i="1"/>
  <c r="EO2545" i="1"/>
  <c r="EO2544" i="1"/>
  <c r="EO2543" i="1"/>
  <c r="EO2542" i="1"/>
  <c r="EO2541" i="1"/>
  <c r="EO2540" i="1"/>
  <c r="EO2539" i="1"/>
  <c r="EO2538" i="1"/>
  <c r="EO2537" i="1"/>
  <c r="EO2536" i="1"/>
  <c r="EO2535" i="1"/>
  <c r="EO2534" i="1"/>
  <c r="EO2533" i="1"/>
  <c r="EO2532" i="1"/>
  <c r="EO2531" i="1"/>
  <c r="EO2530" i="1"/>
  <c r="EO2529" i="1"/>
  <c r="EO2528" i="1"/>
  <c r="EO2527" i="1"/>
  <c r="EO2526" i="1"/>
  <c r="EO2525" i="1"/>
  <c r="EO2524" i="1"/>
  <c r="EO2523" i="1"/>
  <c r="EO2522" i="1"/>
  <c r="EO2521" i="1"/>
  <c r="EO2520" i="1"/>
  <c r="EO2519" i="1"/>
  <c r="EO2518" i="1"/>
  <c r="EO2517" i="1"/>
  <c r="EO2516" i="1"/>
  <c r="EO2515" i="1"/>
  <c r="EO2514" i="1"/>
  <c r="EO2513" i="1"/>
  <c r="EO2512" i="1"/>
  <c r="EO2511" i="1"/>
  <c r="EO2510" i="1"/>
  <c r="EO2509" i="1"/>
  <c r="EO2508" i="1"/>
  <c r="EO2507" i="1"/>
  <c r="EO2506" i="1"/>
  <c r="EO2505" i="1"/>
  <c r="EO2504" i="1"/>
  <c r="EO2503" i="1"/>
  <c r="EO2502" i="1"/>
  <c r="EO2501" i="1"/>
  <c r="EO2500" i="1"/>
  <c r="EO2499" i="1"/>
  <c r="EO2498" i="1"/>
  <c r="EO2497" i="1"/>
  <c r="EO2496" i="1"/>
  <c r="EO2495" i="1"/>
  <c r="EO2494" i="1"/>
  <c r="EO2398" i="1"/>
  <c r="EO2397" i="1"/>
  <c r="EO2396" i="1"/>
  <c r="EO2395" i="1"/>
  <c r="EO2394" i="1"/>
  <c r="EO2393" i="1"/>
  <c r="EO2392" i="1"/>
  <c r="EO2391" i="1"/>
  <c r="EO2390" i="1"/>
  <c r="EO2389" i="1"/>
  <c r="EO2388" i="1"/>
  <c r="EO2387" i="1"/>
  <c r="EO2386" i="1"/>
  <c r="EO2385" i="1"/>
  <c r="EO2384" i="1"/>
  <c r="EO2383" i="1"/>
  <c r="EO2382" i="1"/>
  <c r="EO2381" i="1"/>
  <c r="EO2380" i="1"/>
  <c r="EO2379" i="1"/>
  <c r="EO2378" i="1"/>
  <c r="EO2377" i="1"/>
  <c r="EO2376" i="1"/>
  <c r="EO2375" i="1"/>
  <c r="EO2374" i="1"/>
  <c r="EO2373" i="1"/>
  <c r="EO2372" i="1"/>
  <c r="EO2371" i="1"/>
  <c r="EO2370" i="1"/>
  <c r="EO2369" i="1"/>
  <c r="EO2368" i="1"/>
  <c r="EO2367" i="1"/>
  <c r="EO2366" i="1"/>
  <c r="EO2365" i="1"/>
  <c r="EO2364" i="1"/>
  <c r="EO2363" i="1"/>
  <c r="EO2362" i="1"/>
  <c r="EO2361" i="1"/>
  <c r="EO2360" i="1"/>
  <c r="EO2359" i="1"/>
  <c r="EO2358" i="1"/>
  <c r="EO2357" i="1"/>
  <c r="EO2356" i="1"/>
  <c r="EO2355" i="1"/>
  <c r="EO2354" i="1"/>
  <c r="EO2353" i="1"/>
  <c r="EO2352" i="1"/>
  <c r="EO2351" i="1"/>
  <c r="EO2350" i="1"/>
  <c r="EO2349" i="1"/>
  <c r="EO2348" i="1"/>
  <c r="EO2347" i="1"/>
  <c r="EO2346" i="1"/>
  <c r="EO2345" i="1"/>
  <c r="EO2344" i="1"/>
  <c r="EO2343" i="1"/>
  <c r="EO2342" i="1"/>
  <c r="EO2341" i="1"/>
  <c r="EO2340" i="1"/>
  <c r="EO2339" i="1"/>
  <c r="EO2338" i="1"/>
  <c r="EO2337" i="1"/>
  <c r="EO2336" i="1"/>
  <c r="EO2335" i="1"/>
  <c r="EO2334" i="1"/>
  <c r="EO2333" i="1"/>
  <c r="EO2332" i="1"/>
  <c r="EO2331" i="1"/>
  <c r="EO2330" i="1"/>
  <c r="EO2329" i="1"/>
  <c r="EO2328" i="1"/>
  <c r="EO2327" i="1"/>
  <c r="EO2326" i="1"/>
  <c r="EO2325" i="1"/>
  <c r="EO2324" i="1"/>
  <c r="EO2323" i="1"/>
  <c r="EO2322" i="1"/>
  <c r="EO2321" i="1"/>
  <c r="EO2320" i="1"/>
  <c r="EO2319" i="1"/>
  <c r="EO2318" i="1"/>
  <c r="EO2317" i="1"/>
  <c r="EO2316" i="1"/>
  <c r="EO2315" i="1"/>
  <c r="EO2314" i="1"/>
  <c r="EO2313" i="1"/>
  <c r="EO2312" i="1"/>
  <c r="EO2311" i="1"/>
  <c r="EO2310" i="1"/>
  <c r="EO2309" i="1"/>
  <c r="EO2308" i="1"/>
  <c r="EO2307" i="1"/>
  <c r="EO2306" i="1"/>
  <c r="EO2305" i="1"/>
  <c r="EO2304" i="1"/>
  <c r="EO2303" i="1"/>
  <c r="EO2302" i="1"/>
  <c r="EO2301" i="1"/>
  <c r="EO2300" i="1"/>
  <c r="EO2299" i="1"/>
  <c r="EO2298" i="1"/>
  <c r="EO2297" i="1"/>
  <c r="EO2296" i="1"/>
  <c r="EO2295" i="1"/>
  <c r="EO2294" i="1"/>
  <c r="EO2293" i="1"/>
  <c r="EO2292" i="1"/>
  <c r="EO2291" i="1"/>
  <c r="EO2290" i="1"/>
  <c r="EO2289" i="1"/>
  <c r="EO2288" i="1"/>
  <c r="EO2287" i="1"/>
  <c r="EO2286" i="1"/>
  <c r="EO2285" i="1"/>
  <c r="EO2284" i="1"/>
  <c r="EO2283" i="1"/>
  <c r="EO2282" i="1"/>
  <c r="EO2281" i="1"/>
  <c r="EO2280" i="1"/>
  <c r="EO2279" i="1"/>
  <c r="EO2278" i="1"/>
  <c r="EO2277" i="1"/>
  <c r="EO2276" i="1"/>
  <c r="EO2275" i="1"/>
  <c r="EO2274" i="1"/>
  <c r="EO2273" i="1"/>
  <c r="EO2272" i="1"/>
  <c r="EO2271" i="1"/>
  <c r="EO2270" i="1"/>
  <c r="EO2269" i="1"/>
  <c r="EO2268" i="1"/>
  <c r="EO2267" i="1"/>
  <c r="EO2266" i="1"/>
  <c r="EO2265" i="1"/>
  <c r="EO2264" i="1"/>
  <c r="EO2263" i="1"/>
  <c r="EO2262" i="1"/>
  <c r="EO2261" i="1"/>
  <c r="EO2260" i="1"/>
  <c r="EO2259" i="1"/>
  <c r="EO2258" i="1"/>
  <c r="EO2257" i="1"/>
  <c r="EO2256" i="1"/>
  <c r="EO2255" i="1"/>
  <c r="EO2254" i="1"/>
  <c r="EO2253" i="1"/>
  <c r="EO2252" i="1"/>
  <c r="EO2251" i="1"/>
  <c r="EO2250" i="1"/>
  <c r="EO2249" i="1"/>
  <c r="EO2248" i="1"/>
  <c r="EO2247" i="1"/>
  <c r="EO2246" i="1"/>
  <c r="EO2245" i="1"/>
  <c r="EO2244" i="1"/>
  <c r="EO2243" i="1"/>
  <c r="EO2242" i="1"/>
  <c r="EO2241" i="1"/>
  <c r="EO2240" i="1"/>
  <c r="EO2239" i="1"/>
  <c r="EO2238" i="1"/>
  <c r="EO2237" i="1"/>
  <c r="EO2236" i="1"/>
  <c r="EO2235" i="1"/>
  <c r="EO2234" i="1"/>
  <c r="EO2233" i="1"/>
  <c r="EO2232" i="1"/>
  <c r="EO2231" i="1"/>
  <c r="EO2230" i="1"/>
  <c r="EO2229" i="1"/>
  <c r="EO2228" i="1"/>
  <c r="EO2227" i="1"/>
  <c r="EO2226" i="1"/>
  <c r="EO2225" i="1"/>
  <c r="EO2224" i="1"/>
  <c r="EO2223" i="1"/>
  <c r="EO2222" i="1"/>
  <c r="EO2221" i="1"/>
  <c r="EO2220" i="1"/>
  <c r="EO2219" i="1"/>
  <c r="EO2218" i="1"/>
  <c r="EO2217" i="1"/>
  <c r="EO2216" i="1"/>
  <c r="EO2215" i="1"/>
  <c r="EO2214" i="1"/>
  <c r="EO2213" i="1"/>
  <c r="EO2212" i="1"/>
  <c r="EO2211" i="1"/>
  <c r="EO2210" i="1"/>
  <c r="EO2209" i="1"/>
  <c r="EO2208" i="1"/>
  <c r="EO2207" i="1"/>
  <c r="EO2206" i="1"/>
  <c r="EO2205" i="1"/>
  <c r="EO2204" i="1"/>
  <c r="EO2203" i="1"/>
  <c r="EO2202" i="1"/>
  <c r="EO2201" i="1"/>
  <c r="EO2200" i="1"/>
  <c r="EO2199" i="1"/>
  <c r="EO2198" i="1"/>
  <c r="EO2197" i="1"/>
  <c r="EO2196" i="1"/>
  <c r="EO2195" i="1"/>
  <c r="EO2194" i="1"/>
  <c r="EO2193" i="1"/>
  <c r="EO2192" i="1"/>
  <c r="EO2191" i="1"/>
  <c r="EO2190" i="1"/>
  <c r="EO2189" i="1"/>
  <c r="EO2188" i="1"/>
  <c r="EO2187" i="1"/>
  <c r="EO2186" i="1"/>
  <c r="EO2185" i="1"/>
  <c r="EO2184" i="1"/>
  <c r="EO2183" i="1"/>
  <c r="EO2182" i="1"/>
  <c r="EO2181" i="1"/>
  <c r="EO2180" i="1"/>
  <c r="EO2179" i="1"/>
  <c r="EO2178" i="1"/>
  <c r="EO2177" i="1"/>
  <c r="EO2176" i="1"/>
  <c r="EO2175" i="1"/>
  <c r="EO2174" i="1"/>
  <c r="EO2173" i="1"/>
  <c r="EO2172" i="1"/>
  <c r="EO2171" i="1"/>
  <c r="EO2170" i="1"/>
  <c r="EO2169" i="1"/>
  <c r="EO2168" i="1"/>
  <c r="EO2167" i="1"/>
  <c r="EO2166" i="1"/>
  <c r="EO2165" i="1"/>
  <c r="EO2164" i="1"/>
  <c r="EO2163" i="1"/>
  <c r="EO2162" i="1"/>
  <c r="EO2161" i="1"/>
  <c r="EO2160" i="1"/>
  <c r="EO2159" i="1"/>
  <c r="EO2158" i="1"/>
  <c r="EO2157" i="1"/>
  <c r="EO2156" i="1"/>
  <c r="EO2155" i="1"/>
  <c r="EO2154" i="1"/>
  <c r="EO2153" i="1"/>
  <c r="EO2152" i="1"/>
  <c r="EO2151" i="1"/>
  <c r="EO2150" i="1"/>
  <c r="EO2149" i="1"/>
  <c r="EO2148" i="1"/>
  <c r="EO2147" i="1"/>
  <c r="EO2146" i="1"/>
  <c r="EO2145" i="1"/>
  <c r="EO2144" i="1"/>
  <c r="EO2143" i="1"/>
  <c r="EO2142" i="1"/>
  <c r="EO2141" i="1"/>
  <c r="EO2140" i="1"/>
  <c r="EO2139" i="1"/>
  <c r="EO2138" i="1"/>
  <c r="EO2137" i="1"/>
  <c r="EO2136" i="1"/>
  <c r="EO2135" i="1"/>
  <c r="EO2134" i="1"/>
  <c r="EO2133" i="1"/>
  <c r="EO2132" i="1"/>
  <c r="EO2131" i="1"/>
  <c r="EO2130" i="1"/>
  <c r="EO2129" i="1"/>
  <c r="EO2128" i="1"/>
  <c r="EO2127" i="1"/>
  <c r="EO2126" i="1"/>
  <c r="EO2125" i="1"/>
  <c r="EO2124" i="1"/>
  <c r="EO2123" i="1"/>
  <c r="EO2122" i="1"/>
  <c r="EO2121" i="1"/>
  <c r="EO2120" i="1"/>
  <c r="EO2119" i="1"/>
  <c r="EO2118" i="1"/>
  <c r="EO2117" i="1"/>
  <c r="EO2116" i="1"/>
  <c r="EO2115" i="1"/>
  <c r="EO2114" i="1"/>
  <c r="EO2113" i="1"/>
  <c r="EO2112" i="1"/>
  <c r="EO2111" i="1"/>
  <c r="EO2110" i="1"/>
  <c r="EO2109" i="1"/>
  <c r="EO2108" i="1"/>
  <c r="EO2107" i="1"/>
  <c r="EO2106" i="1"/>
  <c r="EO2105" i="1"/>
  <c r="EO2104" i="1"/>
  <c r="EO2103" i="1"/>
  <c r="EO2102" i="1"/>
  <c r="EO2101" i="1"/>
  <c r="EO2100" i="1"/>
  <c r="EO2099" i="1"/>
  <c r="EO2098" i="1"/>
  <c r="EO2097" i="1"/>
  <c r="EO2096" i="1"/>
  <c r="EO2095" i="1"/>
  <c r="EO2094" i="1"/>
  <c r="EO2093" i="1"/>
  <c r="EO2092" i="1"/>
  <c r="EO2091" i="1"/>
  <c r="EO2090" i="1"/>
  <c r="EO2089" i="1"/>
  <c r="EO2088" i="1"/>
  <c r="EO2087" i="1"/>
  <c r="EO2086" i="1"/>
  <c r="EO2085" i="1"/>
  <c r="EO2084" i="1"/>
  <c r="EO2083" i="1"/>
  <c r="EO2082" i="1"/>
  <c r="EO2081" i="1"/>
  <c r="EO2080" i="1"/>
  <c r="EO2079" i="1"/>
  <c r="EO2078" i="1"/>
  <c r="EO2077" i="1"/>
  <c r="EO2076" i="1"/>
  <c r="EO2075" i="1"/>
  <c r="EO2074" i="1"/>
  <c r="EO2073" i="1"/>
  <c r="EO2072" i="1"/>
  <c r="EO2071" i="1"/>
  <c r="EO2070" i="1"/>
  <c r="EO2069" i="1"/>
  <c r="EO2068" i="1"/>
  <c r="EO2067" i="1"/>
  <c r="EO2066" i="1"/>
  <c r="EO2065" i="1"/>
  <c r="EO2064" i="1"/>
  <c r="EO2063" i="1"/>
  <c r="EO2062" i="1"/>
  <c r="EO2061" i="1"/>
  <c r="EO2060" i="1"/>
  <c r="EO2059" i="1"/>
  <c r="EO2058" i="1"/>
  <c r="EO2057" i="1"/>
  <c r="EO2056" i="1"/>
  <c r="EO2055" i="1"/>
  <c r="EO2054" i="1"/>
  <c r="EO2053" i="1"/>
  <c r="EO2052" i="1"/>
  <c r="EO2051" i="1"/>
  <c r="EO2050" i="1"/>
  <c r="EO2049" i="1"/>
  <c r="EO2048" i="1"/>
  <c r="EO2047" i="1"/>
  <c r="EO2046" i="1"/>
  <c r="EO2045" i="1"/>
  <c r="EO2044" i="1"/>
  <c r="EO2043" i="1"/>
  <c r="EO2042" i="1"/>
  <c r="EO2041" i="1"/>
  <c r="EO2040" i="1"/>
  <c r="EO2039" i="1"/>
  <c r="EO2038" i="1"/>
  <c r="EO2037" i="1"/>
  <c r="EO2036" i="1"/>
  <c r="EO2035" i="1"/>
  <c r="EO2034" i="1"/>
  <c r="EO2033" i="1"/>
  <c r="EO2032" i="1"/>
  <c r="EO2031" i="1"/>
  <c r="EO2030" i="1"/>
  <c r="EO2029" i="1"/>
  <c r="EO2028" i="1"/>
  <c r="EO2027" i="1"/>
  <c r="EO2026" i="1"/>
  <c r="EO2025" i="1"/>
  <c r="EO2024" i="1"/>
  <c r="EO2023" i="1"/>
  <c r="EO2022" i="1"/>
  <c r="EO2021" i="1"/>
  <c r="EO2020" i="1"/>
  <c r="EO2019" i="1"/>
  <c r="EO2018" i="1"/>
  <c r="EO2017" i="1"/>
  <c r="EO2016" i="1"/>
  <c r="EO2015" i="1"/>
  <c r="EO2014" i="1"/>
  <c r="EO2013" i="1"/>
  <c r="EO2012" i="1"/>
  <c r="EO2011" i="1"/>
  <c r="EO2010" i="1"/>
  <c r="EO2009" i="1"/>
  <c r="EO2008" i="1"/>
  <c r="EO2007" i="1"/>
  <c r="EO2006" i="1"/>
  <c r="EO2005" i="1"/>
  <c r="EO2004" i="1"/>
  <c r="EO2003" i="1"/>
  <c r="EO2002" i="1"/>
  <c r="EO2001" i="1"/>
  <c r="EO2000" i="1"/>
  <c r="EO1999" i="1"/>
  <c r="EO1998" i="1"/>
  <c r="EO1997" i="1"/>
  <c r="EO1996" i="1"/>
  <c r="EO1995" i="1"/>
  <c r="EO1994" i="1"/>
  <c r="EO1993" i="1"/>
  <c r="EO1992" i="1"/>
  <c r="EO1991" i="1"/>
  <c r="EO1990" i="1"/>
  <c r="EO1989" i="1"/>
  <c r="EO1988" i="1"/>
  <c r="EO1987" i="1"/>
  <c r="EO1986" i="1"/>
  <c r="EO1985" i="1"/>
  <c r="EO1984" i="1"/>
  <c r="EO1983" i="1"/>
  <c r="EO1982" i="1"/>
  <c r="EO1981" i="1"/>
  <c r="EO1980" i="1"/>
  <c r="EO1979" i="1"/>
  <c r="EO1978" i="1"/>
  <c r="EO1977" i="1"/>
  <c r="EO1976" i="1"/>
  <c r="EO1975" i="1"/>
  <c r="EO1974" i="1"/>
  <c r="EO1973" i="1"/>
  <c r="EO1972" i="1"/>
  <c r="EO1971" i="1"/>
  <c r="EO1970" i="1"/>
  <c r="EO1969" i="1"/>
  <c r="EO1968" i="1"/>
  <c r="EO1967" i="1"/>
  <c r="EO1966" i="1"/>
  <c r="EO1965" i="1"/>
  <c r="EO1964" i="1"/>
  <c r="EO1963" i="1"/>
  <c r="EO1962" i="1"/>
  <c r="EO1961" i="1"/>
  <c r="EO1960" i="1"/>
  <c r="EO1959" i="1"/>
  <c r="EO1958" i="1"/>
  <c r="EO1957" i="1"/>
  <c r="EO1956" i="1"/>
  <c r="EO1955" i="1"/>
  <c r="EO1954" i="1"/>
  <c r="EO1953" i="1"/>
  <c r="EO1952" i="1"/>
  <c r="EO1951" i="1"/>
  <c r="EO1950" i="1"/>
  <c r="EO1949" i="1"/>
  <c r="EO1948" i="1"/>
  <c r="EO1947" i="1"/>
  <c r="EO1946" i="1"/>
  <c r="EO1945" i="1"/>
  <c r="EO1944" i="1"/>
  <c r="EO1943" i="1"/>
  <c r="EO1942" i="1"/>
  <c r="EO1941" i="1"/>
  <c r="EO1940" i="1"/>
  <c r="EO1939" i="1"/>
  <c r="EO1938" i="1"/>
  <c r="EO1937" i="1"/>
  <c r="EO1936" i="1"/>
  <c r="EO1935" i="1"/>
  <c r="EO1934" i="1"/>
  <c r="EO1933" i="1"/>
  <c r="EO1932" i="1"/>
  <c r="EO1931" i="1"/>
  <c r="EO1930" i="1"/>
  <c r="EO1929" i="1"/>
  <c r="EO1928" i="1"/>
  <c r="EO1927" i="1"/>
  <c r="EO1926" i="1"/>
  <c r="EO1925" i="1"/>
  <c r="EO1924" i="1"/>
  <c r="EO1923" i="1"/>
  <c r="EO1922" i="1"/>
  <c r="EO1921" i="1"/>
  <c r="EO1920" i="1"/>
  <c r="EO1919" i="1"/>
  <c r="EO1918" i="1"/>
  <c r="EO1917" i="1"/>
  <c r="EO1916" i="1"/>
  <c r="EO1915" i="1"/>
  <c r="EO1914" i="1"/>
  <c r="EO1913" i="1"/>
  <c r="EO1912" i="1"/>
  <c r="EO1911" i="1"/>
  <c r="EO1910" i="1"/>
  <c r="EO1909" i="1"/>
  <c r="EO1908" i="1"/>
  <c r="EO1907" i="1"/>
  <c r="EO1906" i="1"/>
  <c r="EO1905" i="1"/>
  <c r="EO1904" i="1"/>
  <c r="EO1903" i="1"/>
  <c r="EO1902" i="1"/>
  <c r="EO1901" i="1"/>
  <c r="EO1900" i="1"/>
  <c r="EO1899" i="1"/>
  <c r="EO1898" i="1"/>
  <c r="EO1897" i="1"/>
  <c r="EO1896" i="1"/>
  <c r="EO1895" i="1"/>
  <c r="EO1894" i="1"/>
  <c r="EO1893" i="1"/>
  <c r="EO1892" i="1"/>
  <c r="EO1891" i="1"/>
  <c r="EO1890" i="1"/>
  <c r="EO1889" i="1"/>
  <c r="EO1888" i="1"/>
  <c r="EO1887" i="1"/>
  <c r="EO1886" i="1"/>
  <c r="EO1885" i="1"/>
  <c r="EO1884" i="1"/>
  <c r="EO1883" i="1"/>
  <c r="EO1882" i="1"/>
  <c r="EO1881" i="1"/>
  <c r="EO1880" i="1"/>
  <c r="EO1879" i="1"/>
  <c r="EO1878" i="1"/>
  <c r="EO1877" i="1"/>
  <c r="EO1876" i="1"/>
  <c r="EO1875" i="1"/>
  <c r="EO1874" i="1"/>
  <c r="EO1873" i="1"/>
  <c r="EO1872" i="1"/>
  <c r="EO1871" i="1"/>
  <c r="EO1870" i="1"/>
  <c r="EO1869" i="1"/>
  <c r="EO1868" i="1"/>
  <c r="EO1867" i="1"/>
  <c r="EO1866" i="1"/>
  <c r="EO1865" i="1"/>
  <c r="EO1864" i="1"/>
  <c r="EO1863" i="1"/>
  <c r="EO1862" i="1"/>
  <c r="EO1861" i="1"/>
  <c r="EO1860" i="1"/>
  <c r="EO1859" i="1"/>
  <c r="EO1858" i="1"/>
  <c r="EO1857" i="1"/>
  <c r="EO1856" i="1"/>
  <c r="EO1855" i="1"/>
  <c r="EO1854" i="1"/>
  <c r="EO1853" i="1"/>
  <c r="EO1852" i="1"/>
  <c r="EO1851" i="1"/>
  <c r="EO1850" i="1"/>
  <c r="EO1849" i="1"/>
  <c r="EO1848" i="1"/>
  <c r="EO1847" i="1"/>
  <c r="EO1846" i="1"/>
  <c r="EO1845" i="1"/>
  <c r="EO1844" i="1"/>
  <c r="EO1843" i="1"/>
  <c r="EO1842" i="1"/>
  <c r="EO1841" i="1"/>
  <c r="EO1840" i="1"/>
  <c r="EO1839" i="1"/>
  <c r="EO1838" i="1"/>
  <c r="EO1837" i="1"/>
  <c r="EO1836" i="1"/>
  <c r="EO1835" i="1"/>
  <c r="EO1834" i="1"/>
  <c r="EO1833" i="1"/>
  <c r="EO1832" i="1"/>
  <c r="EO1831" i="1"/>
  <c r="EO1830" i="1"/>
  <c r="EO1829" i="1"/>
  <c r="EO1828" i="1"/>
  <c r="EO1827" i="1"/>
  <c r="EO1826" i="1"/>
  <c r="EO1825" i="1"/>
  <c r="EO1824" i="1"/>
  <c r="EO1823" i="1"/>
  <c r="EO1822" i="1"/>
  <c r="EO1821" i="1"/>
  <c r="EO1820" i="1"/>
  <c r="EO1819" i="1"/>
  <c r="EO1818" i="1"/>
  <c r="EO1817" i="1"/>
  <c r="EO1816" i="1"/>
  <c r="EO1815" i="1"/>
  <c r="EO1814" i="1"/>
  <c r="EO1813" i="1"/>
  <c r="EO1812" i="1"/>
  <c r="EO1811" i="1"/>
  <c r="EO1810" i="1"/>
  <c r="EO1809" i="1"/>
  <c r="EO1808" i="1"/>
  <c r="EO1807" i="1"/>
  <c r="EO1806" i="1"/>
  <c r="EO1805" i="1"/>
  <c r="EO1804" i="1"/>
  <c r="EO1803" i="1"/>
  <c r="EO1802" i="1"/>
  <c r="EO1801" i="1"/>
  <c r="EO1800" i="1"/>
  <c r="EO1799" i="1"/>
  <c r="EO1798" i="1"/>
  <c r="EO1797" i="1"/>
  <c r="EO1796" i="1"/>
  <c r="EO1795" i="1"/>
  <c r="EO1794" i="1"/>
  <c r="EO1793" i="1"/>
  <c r="EO1792" i="1"/>
  <c r="EO1791" i="1"/>
  <c r="EO1790" i="1"/>
  <c r="EO1789" i="1"/>
  <c r="EO1788" i="1"/>
  <c r="EO1787" i="1"/>
  <c r="EO1786" i="1"/>
  <c r="EO1785" i="1"/>
  <c r="EO1784" i="1"/>
  <c r="EO1783" i="1"/>
  <c r="EO1782" i="1"/>
  <c r="EO1781" i="1"/>
  <c r="EO1780" i="1"/>
  <c r="EO1779" i="1"/>
  <c r="EO1778" i="1"/>
  <c r="EO1777" i="1"/>
  <c r="EO1776" i="1"/>
  <c r="EO1775" i="1"/>
  <c r="EO1774" i="1"/>
  <c r="EO1773" i="1"/>
  <c r="EO1772" i="1"/>
  <c r="EO1771" i="1"/>
  <c r="EO1770" i="1"/>
  <c r="EO1769" i="1"/>
  <c r="EO1768" i="1"/>
  <c r="EO1767" i="1"/>
  <c r="EO1766" i="1"/>
  <c r="EO1765" i="1"/>
  <c r="EO1764" i="1"/>
  <c r="EO1763" i="1"/>
  <c r="EO1762" i="1"/>
  <c r="EO1761" i="1"/>
  <c r="EO1760" i="1"/>
  <c r="EO1759" i="1"/>
  <c r="EO1758" i="1"/>
  <c r="EO1757" i="1"/>
  <c r="EO1756" i="1"/>
  <c r="EO1755" i="1"/>
  <c r="EO1754" i="1"/>
  <c r="EO1753" i="1"/>
  <c r="EO1752" i="1"/>
  <c r="EO1751" i="1"/>
  <c r="EO1750" i="1"/>
  <c r="EO1749" i="1"/>
  <c r="EO1748" i="1"/>
  <c r="EO1747" i="1"/>
  <c r="EO1746" i="1"/>
  <c r="EO1745" i="1"/>
  <c r="EO1744" i="1"/>
  <c r="EO1743" i="1"/>
  <c r="EO1742" i="1"/>
  <c r="EO1741" i="1"/>
  <c r="EO1740" i="1"/>
  <c r="EO1739" i="1"/>
  <c r="EO1738" i="1"/>
  <c r="EO1737" i="1"/>
  <c r="EO1736" i="1"/>
  <c r="EO1735" i="1"/>
  <c r="EO1734" i="1"/>
  <c r="EO1733" i="1"/>
  <c r="EO1732" i="1"/>
  <c r="EO1731" i="1"/>
  <c r="EO1730" i="1"/>
  <c r="EO1729" i="1"/>
  <c r="EO1728" i="1"/>
  <c r="EO1727" i="1"/>
  <c r="EO1726" i="1"/>
  <c r="EO1725" i="1"/>
  <c r="EO1724" i="1"/>
  <c r="EO1723" i="1"/>
  <c r="EO1722" i="1"/>
  <c r="EO1721" i="1"/>
  <c r="EO1720" i="1"/>
  <c r="EO1719" i="1"/>
  <c r="EO1718" i="1"/>
  <c r="EO1717" i="1"/>
  <c r="EO1716" i="1"/>
  <c r="EO1715" i="1"/>
  <c r="EO1714" i="1"/>
  <c r="EO1713" i="1"/>
  <c r="EO1712" i="1"/>
  <c r="EO1711" i="1"/>
  <c r="EO1710" i="1"/>
  <c r="EO1709" i="1"/>
  <c r="EO1708" i="1"/>
  <c r="EO1707" i="1"/>
  <c r="EO1706" i="1"/>
  <c r="EO1705" i="1"/>
  <c r="EO1704" i="1"/>
  <c r="EO1703" i="1"/>
  <c r="EO1702" i="1"/>
  <c r="EO1701" i="1"/>
  <c r="EO1699" i="1"/>
  <c r="EO1698" i="1"/>
  <c r="EO1697" i="1"/>
  <c r="EO1696" i="1"/>
  <c r="EO1695" i="1"/>
  <c r="EO1694" i="1"/>
  <c r="EO1693" i="1"/>
  <c r="EO1692" i="1"/>
  <c r="EO1691" i="1"/>
  <c r="EO1690" i="1"/>
  <c r="EO1689" i="1"/>
  <c r="EO1688" i="1"/>
  <c r="EO1687" i="1"/>
  <c r="EO1686" i="1"/>
  <c r="EO1685" i="1"/>
  <c r="EO1684" i="1"/>
  <c r="EO1683" i="1"/>
  <c r="EO1682" i="1"/>
  <c r="EO1681" i="1"/>
  <c r="EO1680" i="1"/>
  <c r="EO1679" i="1"/>
  <c r="EO1678" i="1"/>
  <c r="EO1677" i="1"/>
  <c r="EO1676" i="1"/>
  <c r="EO1675" i="1"/>
  <c r="EO1674" i="1"/>
  <c r="EO1673" i="1"/>
  <c r="EO1672" i="1"/>
  <c r="EO1671" i="1"/>
  <c r="EO1670" i="1"/>
  <c r="EO1669" i="1"/>
  <c r="EO1668" i="1"/>
  <c r="EO1667" i="1"/>
  <c r="EO1666" i="1"/>
  <c r="EO1665" i="1"/>
  <c r="EO1664" i="1"/>
  <c r="EO1663" i="1"/>
  <c r="EO1662" i="1"/>
  <c r="EO1661" i="1"/>
  <c r="EO1660" i="1"/>
  <c r="EO1659" i="1"/>
  <c r="EO1658" i="1"/>
  <c r="EO1657" i="1"/>
  <c r="EO1656" i="1"/>
  <c r="EO1655" i="1"/>
  <c r="EO1654" i="1"/>
  <c r="EO1653" i="1"/>
  <c r="EO1652" i="1"/>
  <c r="EO1651" i="1"/>
  <c r="EO1650" i="1"/>
  <c r="EO1649" i="1"/>
  <c r="EO1648" i="1"/>
  <c r="EO1647" i="1"/>
  <c r="EO1646" i="1"/>
  <c r="EO1645" i="1"/>
  <c r="EO1644" i="1"/>
  <c r="EO1643" i="1"/>
  <c r="EO1642" i="1"/>
  <c r="EO1641" i="1"/>
  <c r="EO1640" i="1"/>
  <c r="EO1639" i="1"/>
  <c r="EO1638" i="1"/>
  <c r="EO1637" i="1"/>
  <c r="EO1636" i="1"/>
  <c r="EO1635" i="1"/>
  <c r="EO1634" i="1"/>
  <c r="EO1633" i="1"/>
  <c r="EO1632" i="1"/>
  <c r="EO1631" i="1"/>
  <c r="EO1630" i="1"/>
  <c r="EO1629" i="1"/>
  <c r="EO1628" i="1"/>
  <c r="EO1627" i="1"/>
  <c r="EO1626" i="1"/>
  <c r="EO1625" i="1"/>
  <c r="EO1624" i="1"/>
  <c r="EO1623" i="1"/>
  <c r="EO1622" i="1"/>
  <c r="EO1621" i="1"/>
  <c r="EO1620" i="1"/>
  <c r="EO1619" i="1"/>
  <c r="EO1618" i="1"/>
  <c r="EO1617" i="1"/>
  <c r="EO1616" i="1"/>
  <c r="EO1615" i="1"/>
  <c r="EO1614" i="1"/>
  <c r="EO1613" i="1"/>
  <c r="EO1612" i="1"/>
  <c r="EO1611" i="1"/>
  <c r="EO1610" i="1"/>
  <c r="EO1609" i="1"/>
  <c r="EO1608" i="1"/>
  <c r="EO1607" i="1"/>
  <c r="EO1606" i="1"/>
  <c r="EO1605" i="1"/>
  <c r="EO1604" i="1"/>
  <c r="EO1603" i="1"/>
  <c r="EO1602" i="1"/>
  <c r="EO1601" i="1"/>
  <c r="EO1600" i="1"/>
  <c r="EO1599" i="1"/>
  <c r="EO1598" i="1"/>
  <c r="EO1597" i="1"/>
  <c r="EO1596" i="1"/>
  <c r="EO1595" i="1"/>
  <c r="EO1594" i="1"/>
  <c r="EO1593" i="1"/>
  <c r="EO1592" i="1"/>
  <c r="EO1591" i="1"/>
  <c r="EO1590" i="1"/>
  <c r="EO1589" i="1"/>
  <c r="EO1588" i="1"/>
  <c r="EO1587" i="1"/>
  <c r="EO1586" i="1"/>
  <c r="EO1585" i="1"/>
  <c r="EO1584" i="1"/>
  <c r="EO1583" i="1"/>
  <c r="EO1582" i="1"/>
  <c r="EO1581" i="1"/>
  <c r="EO1580" i="1"/>
  <c r="EO1579" i="1"/>
  <c r="EO1578" i="1"/>
  <c r="EO1577" i="1"/>
  <c r="EO1576" i="1"/>
  <c r="EO1575" i="1"/>
  <c r="EO1574" i="1"/>
  <c r="EO1573" i="1"/>
  <c r="EO1572" i="1"/>
  <c r="EO1571" i="1"/>
  <c r="EO1570" i="1"/>
  <c r="EO1569" i="1"/>
  <c r="EO1568" i="1"/>
  <c r="EO1567" i="1"/>
  <c r="EO1566" i="1"/>
  <c r="EO1565" i="1"/>
  <c r="EO1564" i="1"/>
  <c r="EO1563" i="1"/>
  <c r="EO1562" i="1"/>
  <c r="EO1561" i="1"/>
  <c r="EO1560" i="1"/>
  <c r="EO1559" i="1"/>
  <c r="EO1558" i="1"/>
  <c r="EO1557" i="1"/>
  <c r="EO1556" i="1"/>
  <c r="EO1555" i="1"/>
  <c r="EO1554" i="1"/>
  <c r="EO1553" i="1"/>
  <c r="EO1552" i="1"/>
  <c r="EO1551" i="1"/>
  <c r="EO1550" i="1"/>
  <c r="EO1549" i="1"/>
  <c r="EO1548" i="1"/>
  <c r="EO1547" i="1"/>
  <c r="EO1546" i="1"/>
  <c r="EO1545" i="1"/>
  <c r="EO1544" i="1"/>
  <c r="EO1543" i="1"/>
  <c r="EO1542" i="1"/>
  <c r="EO1541" i="1"/>
  <c r="EO1540" i="1"/>
  <c r="EO1539" i="1"/>
  <c r="EO1538" i="1"/>
  <c r="EO1537" i="1"/>
  <c r="EO1536" i="1"/>
  <c r="EO1535" i="1"/>
  <c r="EO1534" i="1"/>
  <c r="EO1533" i="1"/>
  <c r="EO1532" i="1"/>
  <c r="EO1531" i="1"/>
  <c r="EO1530" i="1"/>
  <c r="EO1529" i="1"/>
  <c r="EO1528" i="1"/>
  <c r="EO1527" i="1"/>
  <c r="EO1526" i="1"/>
  <c r="EO1525" i="1"/>
  <c r="EO1524" i="1"/>
  <c r="EO1523" i="1"/>
  <c r="EO1522" i="1"/>
  <c r="EO1521" i="1"/>
  <c r="EO1520" i="1"/>
  <c r="EO1519" i="1"/>
  <c r="EO1518" i="1"/>
  <c r="EO1517" i="1"/>
  <c r="EO1516" i="1"/>
  <c r="EO1515" i="1"/>
  <c r="EO1514" i="1"/>
  <c r="EO1513" i="1"/>
  <c r="EO1512" i="1"/>
  <c r="EO1511" i="1"/>
  <c r="EO1510" i="1"/>
  <c r="EO1509" i="1"/>
  <c r="EO1508" i="1"/>
  <c r="EO1507" i="1"/>
  <c r="EO1506" i="1"/>
  <c r="EO1505" i="1"/>
  <c r="EO1504" i="1"/>
  <c r="EO1503" i="1"/>
  <c r="EO1502" i="1"/>
  <c r="EO1501" i="1"/>
  <c r="EO1500" i="1"/>
  <c r="EO1499" i="1"/>
  <c r="EO1498" i="1"/>
  <c r="EO1497" i="1"/>
  <c r="EO1496" i="1"/>
  <c r="EO1495" i="1"/>
  <c r="EO1494" i="1"/>
  <c r="EO1493" i="1"/>
  <c r="EO1492" i="1"/>
  <c r="EO1491" i="1"/>
  <c r="EO1490" i="1"/>
  <c r="EO1489" i="1"/>
  <c r="EO1488" i="1"/>
  <c r="EO1487" i="1"/>
  <c r="EO1486" i="1"/>
  <c r="EO1485" i="1"/>
  <c r="EO1484" i="1"/>
  <c r="EO1483" i="1"/>
  <c r="EO1482" i="1"/>
  <c r="EO1481" i="1"/>
  <c r="EO1480" i="1"/>
  <c r="EO1479" i="1"/>
  <c r="EO1478" i="1"/>
  <c r="EO1477" i="1"/>
  <c r="EO1476" i="1"/>
  <c r="EO1475" i="1"/>
  <c r="EO1474" i="1"/>
  <c r="EO1473" i="1"/>
  <c r="EO1472" i="1"/>
  <c r="EO1471" i="1"/>
  <c r="EO1470" i="1"/>
  <c r="EO1469" i="1"/>
  <c r="EO1468" i="1"/>
  <c r="EO1467" i="1"/>
  <c r="EO1466" i="1"/>
  <c r="EO1465" i="1"/>
  <c r="EO1464" i="1"/>
  <c r="EO1463" i="1"/>
  <c r="EO1462" i="1"/>
  <c r="EO1461" i="1"/>
  <c r="EO1460" i="1"/>
  <c r="EO1459" i="1"/>
  <c r="EO1458" i="1"/>
  <c r="EO1457" i="1"/>
  <c r="EO1456" i="1"/>
  <c r="EO1455" i="1"/>
  <c r="EO1454" i="1"/>
  <c r="EO1453" i="1"/>
  <c r="EO1452" i="1"/>
  <c r="EO1451" i="1"/>
  <c r="EO1450" i="1"/>
  <c r="EO1449" i="1"/>
  <c r="EO1448" i="1"/>
  <c r="EO1447" i="1"/>
  <c r="EO1446" i="1"/>
  <c r="EO1445" i="1"/>
  <c r="EO1444" i="1"/>
  <c r="EO1443" i="1"/>
  <c r="EO1442" i="1"/>
  <c r="EO1441" i="1"/>
  <c r="EO1440" i="1"/>
  <c r="EO1439" i="1"/>
  <c r="EO1438" i="1"/>
  <c r="EO1437" i="1"/>
  <c r="EO1436" i="1"/>
  <c r="EO1435" i="1"/>
  <c r="EO1434" i="1"/>
  <c r="EO1433" i="1"/>
  <c r="EO1432" i="1"/>
  <c r="EO1431" i="1"/>
  <c r="EO1430" i="1"/>
  <c r="EO1429" i="1"/>
  <c r="EO1428" i="1"/>
  <c r="EO1427" i="1"/>
  <c r="EO1426" i="1"/>
  <c r="EO1425" i="1"/>
  <c r="EO1424" i="1"/>
  <c r="EO1423" i="1"/>
  <c r="EO1422" i="1"/>
  <c r="EO1421" i="1"/>
  <c r="EO1420" i="1"/>
  <c r="EO1419" i="1"/>
  <c r="EO1418" i="1"/>
  <c r="EO1417" i="1"/>
  <c r="EO1416" i="1"/>
  <c r="EO1415" i="1"/>
  <c r="EO1414" i="1"/>
  <c r="EO1413" i="1"/>
  <c r="EO1412" i="1"/>
  <c r="EO1411" i="1"/>
  <c r="EO1410" i="1"/>
  <c r="EO1409" i="1"/>
  <c r="EO1408" i="1"/>
  <c r="EO1407" i="1"/>
  <c r="EO1406" i="1"/>
  <c r="EO1405" i="1"/>
  <c r="EO1404" i="1"/>
  <c r="EO1403" i="1"/>
  <c r="EO1402" i="1"/>
  <c r="EO1401" i="1"/>
  <c r="EO1400" i="1"/>
  <c r="EO1399" i="1"/>
  <c r="EO1398" i="1"/>
  <c r="EO1397" i="1"/>
  <c r="EO1396" i="1"/>
  <c r="EO1395" i="1"/>
  <c r="EO1394" i="1"/>
  <c r="EO1393" i="1"/>
  <c r="EO1392" i="1"/>
  <c r="EO1391" i="1"/>
  <c r="EO1390" i="1"/>
  <c r="EO1389" i="1"/>
  <c r="EO1388" i="1"/>
  <c r="EO1387" i="1"/>
  <c r="EO1386" i="1"/>
  <c r="EO1385" i="1"/>
  <c r="EO1384" i="1"/>
  <c r="EO1383" i="1"/>
  <c r="EO1382" i="1"/>
  <c r="EO1381" i="1"/>
  <c r="EO1380" i="1"/>
  <c r="EO1379" i="1"/>
  <c r="EO1378" i="1"/>
  <c r="EO1377" i="1"/>
  <c r="EO1376" i="1"/>
  <c r="EO1375" i="1"/>
  <c r="EO1374" i="1"/>
  <c r="EO1373" i="1"/>
  <c r="EO1372" i="1"/>
  <c r="EO1371" i="1"/>
  <c r="EO1370" i="1"/>
  <c r="EO1369" i="1"/>
  <c r="EO1368" i="1"/>
  <c r="EO1367" i="1"/>
  <c r="EO1366" i="1"/>
  <c r="EO1365" i="1"/>
  <c r="EO1364" i="1"/>
  <c r="EO1363" i="1"/>
  <c r="EO1362" i="1"/>
  <c r="EO1361" i="1"/>
  <c r="EO1360" i="1"/>
  <c r="EO1359" i="1"/>
  <c r="EO1358" i="1"/>
  <c r="EO1357" i="1"/>
  <c r="EO1356" i="1"/>
  <c r="EO1355" i="1"/>
  <c r="EO1354" i="1"/>
  <c r="EO1353" i="1"/>
  <c r="EO1352" i="1"/>
  <c r="EO1351" i="1"/>
  <c r="EO1350" i="1"/>
  <c r="EO1349" i="1"/>
  <c r="EO1348" i="1"/>
  <c r="EO1347" i="1"/>
  <c r="EO1346" i="1"/>
  <c r="EO1345" i="1"/>
  <c r="EO1344" i="1"/>
  <c r="EO1343" i="1"/>
  <c r="EO1342" i="1"/>
  <c r="EO1341" i="1"/>
  <c r="EO1340" i="1"/>
  <c r="EO1339" i="1"/>
  <c r="EO1338" i="1"/>
  <c r="EO1337" i="1"/>
  <c r="EO1336" i="1"/>
  <c r="EO1335" i="1"/>
  <c r="EO1334" i="1"/>
  <c r="EO1333" i="1"/>
  <c r="EO1332" i="1"/>
  <c r="EO1331" i="1"/>
  <c r="EO1330" i="1"/>
  <c r="EO1329" i="1"/>
  <c r="EO1328" i="1"/>
  <c r="EO1327" i="1"/>
  <c r="EO1326" i="1"/>
  <c r="EO1325" i="1"/>
  <c r="EO1324" i="1"/>
  <c r="EO1323" i="1"/>
  <c r="EO1322" i="1"/>
  <c r="EO1321" i="1"/>
  <c r="EO1320" i="1"/>
  <c r="EO1319" i="1"/>
  <c r="EO1318" i="1"/>
  <c r="EO1317" i="1"/>
  <c r="EO1316" i="1"/>
  <c r="EO1315" i="1"/>
  <c r="EO1314" i="1"/>
  <c r="EO1313" i="1"/>
  <c r="EO1312" i="1"/>
  <c r="EO1311" i="1"/>
  <c r="EO1310" i="1"/>
  <c r="EO1309" i="1"/>
  <c r="EO1308" i="1"/>
  <c r="EO1307" i="1"/>
  <c r="EO1306" i="1"/>
  <c r="EO1305" i="1"/>
  <c r="EO1304" i="1"/>
  <c r="EO1303" i="1"/>
  <c r="EO1302" i="1"/>
  <c r="EO1301" i="1"/>
  <c r="EO1300" i="1"/>
  <c r="EO1299" i="1"/>
  <c r="EO1298" i="1"/>
  <c r="EO1297" i="1"/>
  <c r="EO1296" i="1"/>
  <c r="EO1295" i="1"/>
  <c r="EO1294" i="1"/>
  <c r="EO1293" i="1"/>
  <c r="EO1292" i="1"/>
  <c r="EO1291" i="1"/>
  <c r="EO1290" i="1"/>
  <c r="EO1289" i="1"/>
  <c r="EO1288" i="1"/>
  <c r="EO1287" i="1"/>
  <c r="EO1286" i="1"/>
  <c r="EO1285" i="1"/>
  <c r="EO1284" i="1"/>
  <c r="EO1283" i="1"/>
  <c r="EO1282" i="1"/>
  <c r="EO1281" i="1"/>
  <c r="EO1280" i="1"/>
  <c r="EO1279" i="1"/>
  <c r="EO1278" i="1"/>
  <c r="EO1277" i="1"/>
  <c r="EO1276" i="1"/>
  <c r="EO1275" i="1"/>
  <c r="EO1274" i="1"/>
  <c r="EO1273" i="1"/>
  <c r="EO1272" i="1"/>
  <c r="EO1271" i="1"/>
  <c r="EO1270" i="1"/>
  <c r="EO1269" i="1"/>
  <c r="EO1268" i="1"/>
  <c r="EO1267" i="1"/>
  <c r="EO1266" i="1"/>
  <c r="EO1265" i="1"/>
  <c r="EO1264" i="1"/>
  <c r="EO1263" i="1"/>
  <c r="EO1262" i="1"/>
  <c r="EO1261" i="1"/>
  <c r="EO1260" i="1"/>
  <c r="EO1259" i="1"/>
  <c r="EO1258" i="1"/>
  <c r="EO1257" i="1"/>
  <c r="EO1256" i="1"/>
  <c r="EO1255" i="1"/>
  <c r="EO1254" i="1"/>
  <c r="EO1253" i="1"/>
  <c r="EO1252" i="1"/>
  <c r="EO1251" i="1"/>
  <c r="EO1250" i="1"/>
  <c r="EO1249" i="1"/>
  <c r="EO1248" i="1"/>
  <c r="EO1247" i="1"/>
  <c r="EO1246" i="1"/>
  <c r="EO1245" i="1"/>
  <c r="EO1244" i="1"/>
  <c r="EO1243" i="1"/>
  <c r="EO1242" i="1"/>
  <c r="EO1241" i="1"/>
  <c r="EO1240" i="1"/>
  <c r="EO1239" i="1"/>
  <c r="EO1238" i="1"/>
  <c r="EO1237" i="1"/>
  <c r="EO1236" i="1"/>
  <c r="EO1235" i="1"/>
  <c r="EO1234" i="1"/>
  <c r="EO1233" i="1"/>
  <c r="EO1232" i="1"/>
  <c r="EO1231" i="1"/>
  <c r="EO1230" i="1"/>
  <c r="EO1229" i="1"/>
  <c r="EO1228" i="1"/>
  <c r="EO1227" i="1"/>
  <c r="EO1226" i="1"/>
  <c r="EO1225" i="1"/>
  <c r="EO1224" i="1"/>
  <c r="EO1223" i="1"/>
  <c r="EO1222" i="1"/>
  <c r="EO1221" i="1"/>
  <c r="EO1220" i="1"/>
  <c r="EO1219" i="1"/>
  <c r="EO1218" i="1"/>
  <c r="EO1217" i="1"/>
  <c r="EO1216" i="1"/>
  <c r="EO1215" i="1"/>
  <c r="EO1214" i="1"/>
  <c r="EO1213" i="1"/>
  <c r="EO1212" i="1"/>
  <c r="EO1211" i="1"/>
  <c r="EO1210" i="1"/>
  <c r="EO1209" i="1"/>
  <c r="EO1208" i="1"/>
  <c r="EO1207" i="1"/>
  <c r="EO1206" i="1"/>
  <c r="EO1205" i="1"/>
  <c r="EO1204" i="1"/>
  <c r="EO1203" i="1"/>
  <c r="EO1202" i="1"/>
  <c r="EO1201" i="1"/>
  <c r="EO1200" i="1"/>
  <c r="EO1199" i="1"/>
  <c r="EO1198" i="1"/>
  <c r="EO1197" i="1"/>
  <c r="EO1196" i="1"/>
  <c r="EO1195" i="1"/>
  <c r="EO1194" i="1"/>
  <c r="EO1193" i="1"/>
  <c r="EO1192" i="1"/>
  <c r="EO1191" i="1"/>
  <c r="EO1190" i="1"/>
  <c r="EO1189" i="1"/>
  <c r="EO1188" i="1"/>
  <c r="EO1187" i="1"/>
  <c r="EO1186" i="1"/>
  <c r="EO1185" i="1"/>
  <c r="EO1184" i="1"/>
  <c r="EO1183" i="1"/>
  <c r="EO1182" i="1"/>
  <c r="EO1181" i="1"/>
  <c r="EO1180" i="1"/>
  <c r="EO1179" i="1"/>
  <c r="EO1178" i="1"/>
  <c r="EO1177" i="1"/>
  <c r="EO1176" i="1"/>
  <c r="EO1175" i="1"/>
  <c r="EO1174" i="1"/>
  <c r="EO1173" i="1"/>
  <c r="EO1172" i="1"/>
  <c r="EO1171" i="1"/>
  <c r="EO1170" i="1"/>
  <c r="EO1169" i="1"/>
  <c r="EO1168" i="1"/>
  <c r="EO1167" i="1"/>
  <c r="EO1166" i="1"/>
  <c r="EO1165" i="1"/>
  <c r="EO1164" i="1"/>
  <c r="EO1163" i="1"/>
  <c r="EO1162" i="1"/>
  <c r="EO1161" i="1"/>
  <c r="EO1160" i="1"/>
  <c r="EO1159" i="1"/>
  <c r="EO1158" i="1"/>
  <c r="EO1157" i="1"/>
  <c r="EO1156" i="1"/>
  <c r="EO1155" i="1"/>
  <c r="EO1154" i="1"/>
  <c r="EO1153" i="1"/>
  <c r="EO1152" i="1"/>
  <c r="EO1151" i="1"/>
  <c r="EU1150" i="1"/>
  <c r="EO1150" i="1"/>
  <c r="EU1149" i="1"/>
  <c r="EO1149" i="1"/>
  <c r="EU1148" i="1"/>
  <c r="EO1148" i="1"/>
  <c r="EU1147" i="1"/>
  <c r="EO1147" i="1"/>
  <c r="EU1146" i="1"/>
  <c r="EO1146" i="1"/>
  <c r="EU1145" i="1"/>
  <c r="EO1145" i="1"/>
  <c r="EU1144" i="1"/>
  <c r="EO1144" i="1"/>
  <c r="EU1143" i="1"/>
  <c r="EO1143" i="1"/>
  <c r="EU1142" i="1"/>
  <c r="EO1142" i="1"/>
  <c r="EU1141" i="1"/>
  <c r="EO1141" i="1"/>
  <c r="EU1140" i="1"/>
  <c r="EO1140" i="1"/>
  <c r="EU1139" i="1"/>
  <c r="EO1139" i="1"/>
  <c r="EU1138" i="1"/>
  <c r="EO1138" i="1"/>
  <c r="EU1137" i="1"/>
  <c r="EO1137" i="1"/>
  <c r="EU1136" i="1"/>
  <c r="EO1136" i="1"/>
  <c r="EU1135" i="1"/>
  <c r="EO1135" i="1"/>
  <c r="EU1134" i="1"/>
  <c r="EO1134" i="1"/>
  <c r="EU1133" i="1"/>
  <c r="EO1133" i="1"/>
  <c r="EU1132" i="1"/>
  <c r="EO1132" i="1"/>
  <c r="EU1131" i="1"/>
  <c r="EO1131" i="1"/>
  <c r="EU1130" i="1"/>
  <c r="EO1130" i="1"/>
  <c r="EU1129" i="1"/>
  <c r="EO1129" i="1"/>
  <c r="EU1128" i="1"/>
  <c r="EO1128" i="1"/>
  <c r="EU1127" i="1"/>
  <c r="EO1127" i="1"/>
  <c r="EU1126" i="1"/>
  <c r="EO1126" i="1"/>
  <c r="EU1125" i="1"/>
  <c r="EO1125" i="1"/>
  <c r="EU1124" i="1"/>
  <c r="EO1124" i="1"/>
  <c r="EU1123" i="1"/>
  <c r="EO1123" i="1"/>
  <c r="EU1122" i="1"/>
  <c r="EO1122" i="1"/>
  <c r="EU1121" i="1"/>
  <c r="EO1121" i="1"/>
  <c r="EU1120" i="1"/>
  <c r="EO1120" i="1"/>
  <c r="EU1119" i="1"/>
  <c r="EO1119" i="1"/>
  <c r="EU1118" i="1"/>
  <c r="EO1118" i="1"/>
  <c r="EO1117" i="1"/>
  <c r="EU1116" i="1"/>
  <c r="EO1116" i="1"/>
  <c r="EU1115" i="1"/>
  <c r="EO1115" i="1"/>
  <c r="EU1114" i="1"/>
  <c r="EO1114" i="1"/>
  <c r="EU1113" i="1"/>
  <c r="EO1113" i="1"/>
  <c r="EU1112" i="1"/>
  <c r="EO1112" i="1"/>
  <c r="EU1111" i="1"/>
  <c r="EO1111" i="1"/>
  <c r="EU1110" i="1"/>
  <c r="EO1110" i="1"/>
  <c r="EU1109" i="1"/>
  <c r="EO1109" i="1"/>
  <c r="EU1108" i="1"/>
  <c r="EO1108" i="1"/>
  <c r="EU1107" i="1"/>
  <c r="EO1107" i="1"/>
  <c r="EU1106" i="1"/>
  <c r="EO1106" i="1"/>
  <c r="EU1105" i="1"/>
  <c r="EO1105" i="1"/>
  <c r="EU1104" i="1"/>
  <c r="EO1104" i="1"/>
  <c r="EU1103" i="1"/>
  <c r="EO1103" i="1"/>
  <c r="EU1102" i="1"/>
  <c r="EO1102" i="1"/>
  <c r="EU1101" i="1"/>
  <c r="EO1101" i="1"/>
  <c r="EU1100" i="1"/>
  <c r="EO1100" i="1"/>
  <c r="EU1099" i="1"/>
  <c r="EO1099" i="1"/>
  <c r="EU1098" i="1"/>
  <c r="EO1098" i="1"/>
  <c r="EU1097" i="1"/>
  <c r="EO1097" i="1"/>
  <c r="EU1096" i="1"/>
  <c r="EO1096" i="1"/>
  <c r="EU1095" i="1"/>
  <c r="EO1095" i="1"/>
  <c r="EU1094" i="1"/>
  <c r="EO1094" i="1"/>
  <c r="EU1093" i="1"/>
  <c r="EO1093" i="1"/>
  <c r="EU1092" i="1"/>
  <c r="EO1092" i="1"/>
  <c r="EU1091" i="1"/>
  <c r="EO1091" i="1"/>
  <c r="EU1090" i="1"/>
  <c r="EO1090" i="1"/>
  <c r="EU1089" i="1"/>
  <c r="EO1089" i="1"/>
  <c r="EU1088" i="1"/>
  <c r="EO1088" i="1"/>
  <c r="EU1087" i="1"/>
  <c r="EO1087" i="1"/>
  <c r="EU1086" i="1"/>
  <c r="EO1086" i="1"/>
  <c r="EU1085" i="1"/>
  <c r="EO1085" i="1"/>
  <c r="EU1084" i="1"/>
  <c r="EO1084" i="1"/>
  <c r="EU1083" i="1"/>
  <c r="EO1083" i="1"/>
  <c r="EU1082" i="1"/>
  <c r="EO1082" i="1"/>
  <c r="EU1081" i="1"/>
  <c r="EO1081" i="1"/>
  <c r="EU1080" i="1"/>
  <c r="EO1080" i="1"/>
  <c r="EU1079" i="1"/>
  <c r="EO1079" i="1"/>
  <c r="EU1078" i="1"/>
  <c r="EO1078" i="1"/>
  <c r="EU1077" i="1"/>
  <c r="EO1077" i="1"/>
  <c r="EU1076" i="1"/>
  <c r="EO1076" i="1"/>
  <c r="EU1075" i="1"/>
  <c r="EO1075" i="1"/>
  <c r="EU1074" i="1"/>
  <c r="EO1074" i="1"/>
  <c r="EU1073" i="1"/>
  <c r="EO1073" i="1"/>
  <c r="EU1072" i="1"/>
  <c r="EO1072" i="1"/>
  <c r="EU1071" i="1"/>
  <c r="EO1071" i="1"/>
  <c r="EU1070" i="1"/>
  <c r="EO1070" i="1"/>
  <c r="EU1069" i="1"/>
  <c r="EO1069" i="1"/>
  <c r="EU1068" i="1"/>
  <c r="EO1068" i="1"/>
  <c r="EU1067" i="1"/>
  <c r="EO1067" i="1"/>
  <c r="EU1066" i="1"/>
  <c r="EO1066" i="1"/>
  <c r="EU1065" i="1"/>
  <c r="EO1065" i="1"/>
  <c r="EU1064" i="1"/>
  <c r="EO1064" i="1"/>
  <c r="EU1063" i="1"/>
  <c r="EO1063" i="1"/>
  <c r="EU1062" i="1"/>
  <c r="EO1062" i="1"/>
  <c r="EU1061" i="1"/>
  <c r="EO1061" i="1"/>
  <c r="EU1060" i="1"/>
  <c r="EO1060" i="1"/>
  <c r="EU1059" i="1"/>
  <c r="EO1059" i="1"/>
  <c r="EU1058" i="1"/>
  <c r="EO1058" i="1"/>
  <c r="EU1057" i="1"/>
  <c r="EO1057" i="1"/>
  <c r="EU1056" i="1"/>
  <c r="EO1056" i="1"/>
  <c r="EU1055" i="1"/>
  <c r="EO1055" i="1"/>
  <c r="EU1054" i="1"/>
  <c r="EO1054" i="1"/>
  <c r="EU1053" i="1"/>
  <c r="EO1053" i="1"/>
  <c r="EU1052" i="1"/>
  <c r="EO1052" i="1"/>
  <c r="EU1051" i="1"/>
  <c r="EO1051" i="1"/>
  <c r="EU1050" i="1"/>
  <c r="EO1050" i="1"/>
  <c r="EU1049" i="1"/>
  <c r="EO1049" i="1"/>
  <c r="EU1048" i="1"/>
  <c r="EO1048" i="1"/>
  <c r="EU1047" i="1"/>
  <c r="EO1047" i="1"/>
  <c r="EU1046" i="1"/>
  <c r="EO1046" i="1"/>
  <c r="EU1045" i="1"/>
  <c r="EO1045" i="1"/>
  <c r="EU1044" i="1"/>
  <c r="EO1044" i="1"/>
  <c r="EU1043" i="1"/>
  <c r="EO1043" i="1"/>
  <c r="EU1042" i="1"/>
  <c r="EO1042" i="1"/>
  <c r="EU1041" i="1"/>
  <c r="EO1041" i="1"/>
  <c r="EU1040" i="1"/>
  <c r="EO1040" i="1"/>
  <c r="EU1039" i="1"/>
  <c r="EO1039" i="1"/>
  <c r="EU1038" i="1"/>
  <c r="EO1038" i="1"/>
  <c r="EU1037" i="1"/>
  <c r="EO1037" i="1"/>
  <c r="EU1036" i="1"/>
  <c r="EO1036" i="1"/>
  <c r="EU1035" i="1"/>
  <c r="EO1035" i="1"/>
  <c r="EU1034" i="1"/>
  <c r="EO1034" i="1"/>
  <c r="EU1033" i="1"/>
  <c r="EO1033" i="1"/>
  <c r="EU1032" i="1"/>
  <c r="EO1032" i="1"/>
  <c r="EU1031" i="1"/>
  <c r="EO1031" i="1"/>
  <c r="EU1030" i="1"/>
  <c r="EO1030" i="1"/>
  <c r="EU1029" i="1"/>
  <c r="EO1029" i="1"/>
  <c r="EU1028" i="1"/>
  <c r="EO1028" i="1"/>
  <c r="EU1027" i="1"/>
  <c r="EO1027" i="1"/>
  <c r="EU1026" i="1"/>
  <c r="EO1026" i="1"/>
  <c r="EU1025" i="1"/>
  <c r="EO1025" i="1"/>
  <c r="EU1024" i="1"/>
  <c r="EO1024" i="1"/>
  <c r="EU1023" i="1"/>
  <c r="EO1023" i="1"/>
  <c r="EU1022" i="1"/>
  <c r="EO1022" i="1"/>
  <c r="EU1021" i="1"/>
  <c r="EO1021" i="1"/>
  <c r="EU1020" i="1"/>
  <c r="EO1020" i="1"/>
  <c r="EU1019" i="1"/>
  <c r="EO1019" i="1"/>
  <c r="EU1018" i="1"/>
  <c r="EO1018" i="1"/>
  <c r="EU1017" i="1"/>
  <c r="EO1017" i="1"/>
  <c r="EU1016" i="1"/>
  <c r="EO1016" i="1"/>
  <c r="EU1015" i="1"/>
  <c r="EO1015" i="1"/>
  <c r="EU1014" i="1"/>
  <c r="EO1014" i="1"/>
  <c r="EU1013" i="1"/>
  <c r="EO1013" i="1"/>
  <c r="EU1012" i="1"/>
  <c r="EO1012" i="1"/>
  <c r="EU1011" i="1"/>
  <c r="EO1011" i="1"/>
  <c r="EU1010" i="1"/>
  <c r="EO1010" i="1"/>
  <c r="EU1009" i="1"/>
  <c r="EO1009" i="1"/>
  <c r="EU1008" i="1"/>
  <c r="EO1008" i="1"/>
  <c r="EU1007" i="1"/>
  <c r="EO1007" i="1"/>
  <c r="EU1006" i="1"/>
  <c r="EO1006" i="1"/>
  <c r="EU1005" i="1"/>
  <c r="EO1005" i="1"/>
  <c r="EU1004" i="1"/>
  <c r="EO1004" i="1"/>
  <c r="EU1003" i="1"/>
  <c r="EO1003" i="1"/>
  <c r="EU1002" i="1"/>
  <c r="EO1002" i="1"/>
  <c r="EU1001" i="1"/>
  <c r="EO1001" i="1"/>
  <c r="EU1000" i="1"/>
  <c r="EO1000" i="1"/>
  <c r="EU999" i="1"/>
  <c r="EO999" i="1"/>
  <c r="EU998" i="1"/>
  <c r="EO998" i="1"/>
  <c r="EU997" i="1"/>
  <c r="EO997" i="1"/>
  <c r="EU996" i="1"/>
  <c r="EO996" i="1"/>
  <c r="EU995" i="1"/>
  <c r="EO995" i="1"/>
  <c r="EU994" i="1"/>
  <c r="EO994" i="1"/>
  <c r="EU993" i="1"/>
  <c r="EO993" i="1"/>
  <c r="EU992" i="1"/>
  <c r="EO992" i="1"/>
  <c r="EU991" i="1"/>
  <c r="EO991" i="1"/>
  <c r="EU990" i="1"/>
  <c r="EO990" i="1"/>
  <c r="EU989" i="1"/>
  <c r="EO989" i="1"/>
  <c r="EU988" i="1"/>
  <c r="EO988" i="1"/>
  <c r="EU987" i="1"/>
  <c r="EO987" i="1"/>
  <c r="EU986" i="1"/>
  <c r="EO986" i="1"/>
  <c r="EU985" i="1"/>
  <c r="EO985" i="1"/>
  <c r="EU984" i="1"/>
  <c r="EO984" i="1"/>
  <c r="EU983" i="1"/>
  <c r="EO983" i="1"/>
  <c r="EU982" i="1"/>
  <c r="EO982" i="1"/>
  <c r="EU981" i="1"/>
  <c r="EO981" i="1"/>
  <c r="EU980" i="1"/>
  <c r="EO980" i="1"/>
  <c r="EU979" i="1"/>
  <c r="EO979" i="1"/>
  <c r="EU978" i="1"/>
  <c r="EO978" i="1"/>
  <c r="EU977" i="1"/>
  <c r="EO977" i="1"/>
  <c r="EU976" i="1"/>
  <c r="EO976" i="1"/>
  <c r="EU975" i="1"/>
  <c r="EO975" i="1"/>
  <c r="EU974" i="1"/>
  <c r="EO974" i="1"/>
  <c r="EU973" i="1"/>
  <c r="EO973" i="1"/>
  <c r="EU972" i="1"/>
  <c r="EO972" i="1"/>
  <c r="EU971" i="1"/>
  <c r="EO971" i="1"/>
  <c r="EU970" i="1"/>
  <c r="EO970" i="1"/>
  <c r="EU969" i="1"/>
  <c r="EO969" i="1"/>
  <c r="EU968" i="1"/>
  <c r="EO968" i="1"/>
  <c r="EU967" i="1"/>
  <c r="EO967" i="1"/>
  <c r="EU966" i="1"/>
  <c r="EO966" i="1"/>
  <c r="EU965" i="1"/>
  <c r="EO965" i="1"/>
  <c r="EU964" i="1"/>
  <c r="EO964" i="1"/>
  <c r="EU963" i="1"/>
  <c r="EO963" i="1"/>
  <c r="EU962" i="1"/>
  <c r="EO962" i="1"/>
  <c r="EU961" i="1"/>
  <c r="EO961" i="1"/>
  <c r="EU960" i="1"/>
  <c r="EO960" i="1"/>
  <c r="EU959" i="1"/>
  <c r="EO959" i="1"/>
  <c r="EU958" i="1"/>
  <c r="EO958" i="1"/>
  <c r="EU957" i="1"/>
  <c r="EO957" i="1"/>
  <c r="EU956" i="1"/>
  <c r="EO956" i="1"/>
  <c r="EU955" i="1"/>
  <c r="EO955" i="1"/>
  <c r="EU954" i="1"/>
  <c r="EO954" i="1"/>
  <c r="EU953" i="1"/>
  <c r="EO953" i="1"/>
  <c r="EU952" i="1"/>
  <c r="EO952" i="1"/>
  <c r="EU951" i="1"/>
  <c r="EO951" i="1"/>
  <c r="EU950" i="1"/>
  <c r="EO950" i="1"/>
  <c r="EU949" i="1"/>
  <c r="EO949" i="1"/>
  <c r="EU948" i="1"/>
  <c r="EO948" i="1"/>
  <c r="EU947" i="1"/>
  <c r="EO947" i="1"/>
  <c r="EU946" i="1"/>
  <c r="EO946" i="1"/>
  <c r="EU945" i="1"/>
  <c r="EO945" i="1"/>
  <c r="EU944" i="1"/>
  <c r="EO944" i="1"/>
  <c r="EU943" i="1"/>
  <c r="EO943" i="1"/>
  <c r="EU942" i="1"/>
  <c r="EO942" i="1"/>
  <c r="EU941" i="1"/>
  <c r="EO941" i="1"/>
  <c r="EU940" i="1"/>
  <c r="EO940" i="1"/>
  <c r="EU939" i="1"/>
  <c r="EO939" i="1"/>
  <c r="EU938" i="1"/>
  <c r="EO938" i="1"/>
  <c r="EU937" i="1"/>
  <c r="EO937" i="1"/>
  <c r="EU936" i="1"/>
  <c r="EO936" i="1"/>
  <c r="EU935" i="1"/>
  <c r="EO935" i="1"/>
  <c r="EU934" i="1"/>
  <c r="EO934" i="1"/>
  <c r="EU933" i="1"/>
  <c r="EO933" i="1"/>
  <c r="EU932" i="1"/>
  <c r="EO932" i="1"/>
  <c r="EU931" i="1"/>
  <c r="EO931" i="1"/>
  <c r="EU930" i="1"/>
  <c r="EO930" i="1"/>
  <c r="EU929" i="1"/>
  <c r="EO929" i="1"/>
  <c r="EU928" i="1"/>
  <c r="EO928" i="1"/>
  <c r="EU927" i="1"/>
  <c r="EO927" i="1"/>
  <c r="EU926" i="1"/>
  <c r="EO926" i="1"/>
  <c r="EU925" i="1"/>
  <c r="EO925" i="1"/>
  <c r="EU924" i="1"/>
  <c r="EO924" i="1"/>
  <c r="EU923" i="1"/>
  <c r="EO923" i="1"/>
  <c r="EU922" i="1"/>
  <c r="EO922" i="1"/>
  <c r="EU921" i="1"/>
  <c r="EO921" i="1"/>
  <c r="EU920" i="1"/>
  <c r="EO920" i="1"/>
  <c r="EU919" i="1"/>
  <c r="EO919" i="1"/>
  <c r="EU918" i="1"/>
  <c r="EO918" i="1"/>
  <c r="EU917" i="1"/>
  <c r="EO917" i="1"/>
  <c r="EU916" i="1"/>
  <c r="EO916" i="1"/>
  <c r="EU915" i="1"/>
  <c r="EO915" i="1"/>
  <c r="EU914" i="1"/>
  <c r="EO914" i="1"/>
  <c r="EU913" i="1"/>
  <c r="EO913" i="1"/>
  <c r="EU912" i="1"/>
  <c r="EO912" i="1"/>
  <c r="EU911" i="1"/>
  <c r="EO911" i="1"/>
  <c r="EU910" i="1"/>
  <c r="EO910" i="1"/>
  <c r="EU909" i="1"/>
  <c r="EO909" i="1"/>
  <c r="EU908" i="1"/>
  <c r="EO908" i="1"/>
  <c r="EU907" i="1"/>
  <c r="EO907" i="1"/>
  <c r="EU906" i="1"/>
  <c r="EO906" i="1"/>
  <c r="EU905" i="1"/>
  <c r="EO905" i="1"/>
  <c r="EU904" i="1"/>
  <c r="EO904" i="1"/>
  <c r="EU903" i="1"/>
  <c r="EO903" i="1"/>
  <c r="EU902" i="1"/>
  <c r="EO902" i="1"/>
  <c r="EU901" i="1"/>
  <c r="EO901" i="1"/>
  <c r="EU900" i="1"/>
  <c r="EO900" i="1"/>
  <c r="EU899" i="1"/>
  <c r="EO899" i="1"/>
  <c r="EU898" i="1"/>
  <c r="EO898" i="1"/>
  <c r="EU897" i="1"/>
  <c r="EO897" i="1"/>
  <c r="EU896" i="1"/>
  <c r="EO896" i="1"/>
  <c r="EU895" i="1"/>
  <c r="EO895" i="1"/>
  <c r="EU894" i="1"/>
  <c r="EO894" i="1"/>
  <c r="EU893" i="1"/>
  <c r="EO893" i="1"/>
  <c r="EU892" i="1"/>
  <c r="EO892" i="1"/>
  <c r="EU891" i="1"/>
  <c r="EO891" i="1"/>
  <c r="EU890" i="1"/>
  <c r="EO890" i="1"/>
  <c r="EU889" i="1"/>
  <c r="EO889" i="1"/>
  <c r="EU888" i="1"/>
  <c r="EO888" i="1"/>
  <c r="EU887" i="1"/>
  <c r="EO887" i="1"/>
  <c r="EU886" i="1"/>
  <c r="EO886" i="1"/>
  <c r="EU885" i="1"/>
  <c r="EO885" i="1"/>
  <c r="EU884" i="1"/>
  <c r="EO884" i="1"/>
  <c r="EU883" i="1"/>
  <c r="EO883" i="1"/>
  <c r="EU882" i="1"/>
  <c r="EO882" i="1"/>
  <c r="EU881" i="1"/>
  <c r="EO881" i="1"/>
  <c r="EU880" i="1"/>
  <c r="EO880" i="1"/>
  <c r="EU879" i="1"/>
  <c r="EO879" i="1"/>
  <c r="EU878" i="1"/>
  <c r="EO878" i="1"/>
  <c r="EU877" i="1"/>
  <c r="EO877" i="1"/>
  <c r="EU876" i="1"/>
  <c r="EO876" i="1"/>
  <c r="EU875" i="1"/>
  <c r="EO875" i="1"/>
  <c r="EU874" i="1"/>
  <c r="EO874" i="1"/>
  <c r="EU873" i="1"/>
  <c r="EO873" i="1"/>
  <c r="EU872" i="1"/>
  <c r="EO872" i="1"/>
  <c r="EU871" i="1"/>
  <c r="EO871" i="1"/>
  <c r="EU870" i="1"/>
  <c r="EO870" i="1"/>
  <c r="EU869" i="1"/>
  <c r="EO869" i="1"/>
  <c r="EU868" i="1"/>
  <c r="EO868" i="1"/>
  <c r="EU867" i="1"/>
  <c r="EO867" i="1"/>
  <c r="EU866" i="1"/>
  <c r="EO866" i="1"/>
  <c r="EU865" i="1"/>
  <c r="EO865" i="1"/>
  <c r="EU864" i="1"/>
  <c r="EO864" i="1"/>
  <c r="EU863" i="1"/>
  <c r="EO863" i="1"/>
  <c r="EU862" i="1"/>
  <c r="EO862" i="1"/>
  <c r="EU861" i="1"/>
  <c r="EO861" i="1"/>
  <c r="EU860" i="1"/>
  <c r="EO860" i="1"/>
  <c r="EU859" i="1"/>
  <c r="EO859" i="1"/>
  <c r="EU858" i="1"/>
  <c r="EO858" i="1"/>
  <c r="EU857" i="1"/>
  <c r="EO857" i="1"/>
  <c r="EU856" i="1"/>
  <c r="EO856" i="1"/>
  <c r="EU855" i="1"/>
  <c r="EO855" i="1"/>
  <c r="EU854" i="1"/>
  <c r="EO854" i="1"/>
  <c r="EU853" i="1"/>
  <c r="EO853" i="1"/>
  <c r="EU852" i="1"/>
  <c r="EO852" i="1"/>
  <c r="EU851" i="1"/>
  <c r="EO851" i="1"/>
  <c r="EU850" i="1"/>
  <c r="EO850" i="1"/>
  <c r="EU849" i="1"/>
  <c r="EO849" i="1"/>
  <c r="EU848" i="1"/>
  <c r="EO848" i="1"/>
  <c r="EU847" i="1"/>
  <c r="EO847" i="1"/>
  <c r="EU846" i="1"/>
  <c r="EO846" i="1"/>
  <c r="EU845" i="1"/>
  <c r="EO845" i="1"/>
  <c r="EU844" i="1"/>
  <c r="EO844" i="1"/>
  <c r="EU843" i="1"/>
  <c r="EO843" i="1"/>
  <c r="EU842" i="1"/>
  <c r="EO842" i="1"/>
  <c r="EU841" i="1"/>
  <c r="EO841" i="1"/>
  <c r="EU840" i="1"/>
  <c r="EO840" i="1"/>
  <c r="EU839" i="1"/>
  <c r="EO839" i="1"/>
  <c r="EU838" i="1"/>
  <c r="EO838" i="1"/>
  <c r="EU837" i="1"/>
  <c r="EO837" i="1"/>
  <c r="EU836" i="1"/>
  <c r="EO836" i="1"/>
  <c r="EU835" i="1"/>
  <c r="EO835" i="1"/>
  <c r="EU834" i="1"/>
  <c r="EO834" i="1"/>
  <c r="EU833" i="1"/>
  <c r="EO833" i="1"/>
  <c r="EU832" i="1"/>
  <c r="EO832" i="1"/>
  <c r="EU831" i="1"/>
  <c r="EO831" i="1"/>
  <c r="EU830" i="1"/>
  <c r="EO830" i="1"/>
  <c r="EU829" i="1"/>
  <c r="EO829" i="1"/>
  <c r="EU828" i="1"/>
  <c r="EO828" i="1"/>
  <c r="EU827" i="1"/>
  <c r="EO827" i="1"/>
  <c r="EU826" i="1"/>
  <c r="EO826" i="1"/>
  <c r="EU825" i="1"/>
  <c r="EO825" i="1"/>
  <c r="EU824" i="1"/>
  <c r="EO824" i="1"/>
  <c r="EU823" i="1"/>
  <c r="EO823" i="1"/>
  <c r="EU822" i="1"/>
  <c r="EO822" i="1"/>
  <c r="EU821" i="1"/>
  <c r="EO821" i="1"/>
  <c r="EU820" i="1"/>
  <c r="EO820" i="1"/>
  <c r="EU819" i="1"/>
  <c r="EO819" i="1"/>
  <c r="EU818" i="1"/>
  <c r="EO818" i="1"/>
  <c r="EU817" i="1"/>
  <c r="EO817" i="1"/>
  <c r="EU816" i="1"/>
  <c r="EO816" i="1"/>
  <c r="EU815" i="1"/>
  <c r="EO815" i="1"/>
  <c r="EU814" i="1"/>
  <c r="EO814" i="1"/>
  <c r="EU813" i="1"/>
  <c r="EO813" i="1"/>
  <c r="EU812" i="1"/>
  <c r="EO812" i="1"/>
  <c r="EU811" i="1"/>
  <c r="EO811" i="1"/>
  <c r="EU810" i="1"/>
  <c r="EO810" i="1"/>
  <c r="EU809" i="1"/>
  <c r="EO809" i="1"/>
  <c r="EU808" i="1"/>
  <c r="EO808" i="1"/>
  <c r="EU807" i="1"/>
  <c r="EO807" i="1"/>
  <c r="EU806" i="1"/>
  <c r="EO806" i="1"/>
  <c r="EU805" i="1"/>
  <c r="EO805" i="1"/>
  <c r="EU804" i="1"/>
  <c r="EO804" i="1"/>
  <c r="EU803" i="1"/>
  <c r="EO803" i="1"/>
  <c r="EU802" i="1"/>
  <c r="EO802" i="1"/>
  <c r="EU801" i="1"/>
  <c r="EO801" i="1"/>
  <c r="EU800" i="1"/>
  <c r="EO800" i="1"/>
  <c r="EU799" i="1"/>
  <c r="EO799" i="1"/>
  <c r="EU798" i="1"/>
  <c r="EO798" i="1"/>
  <c r="EU797" i="1"/>
  <c r="EO797" i="1"/>
  <c r="EU796" i="1"/>
  <c r="EO796" i="1"/>
  <c r="EU795" i="1"/>
  <c r="EO795" i="1"/>
  <c r="EU794" i="1"/>
  <c r="EO794" i="1"/>
  <c r="EU793" i="1"/>
  <c r="EO793" i="1"/>
  <c r="EU792" i="1"/>
  <c r="EO792" i="1"/>
  <c r="EU791" i="1"/>
  <c r="EO791" i="1"/>
  <c r="EU790" i="1"/>
  <c r="EO790" i="1"/>
  <c r="EU789" i="1"/>
  <c r="EO789" i="1"/>
  <c r="EU788" i="1"/>
  <c r="EO788" i="1"/>
  <c r="EU787" i="1"/>
  <c r="EO787" i="1"/>
  <c r="EU786" i="1"/>
  <c r="EO786" i="1"/>
  <c r="EU785" i="1"/>
  <c r="EO785" i="1"/>
  <c r="EU784" i="1"/>
  <c r="EO784" i="1"/>
  <c r="EU783" i="1"/>
  <c r="EO783" i="1"/>
  <c r="EU782" i="1"/>
  <c r="EO782" i="1"/>
  <c r="EU781" i="1"/>
  <c r="EO781" i="1"/>
  <c r="EU780" i="1"/>
  <c r="EO780" i="1"/>
  <c r="EU779" i="1"/>
  <c r="EO779" i="1"/>
  <c r="EU778" i="1"/>
  <c r="EO778" i="1"/>
  <c r="EU777" i="1"/>
  <c r="EO777" i="1"/>
  <c r="EU776" i="1"/>
  <c r="EO776" i="1"/>
  <c r="EU775" i="1"/>
  <c r="EO775" i="1"/>
  <c r="EU774" i="1"/>
  <c r="EO774" i="1"/>
  <c r="EU773" i="1"/>
  <c r="EO773" i="1"/>
  <c r="EU772" i="1"/>
  <c r="EO772" i="1"/>
  <c r="EU771" i="1"/>
  <c r="EO771" i="1"/>
  <c r="EU770" i="1"/>
  <c r="EO770" i="1"/>
  <c r="EU769" i="1"/>
  <c r="EO769" i="1"/>
  <c r="EU768" i="1"/>
  <c r="EO768" i="1"/>
  <c r="EU767" i="1"/>
  <c r="EO767" i="1"/>
  <c r="EU766" i="1"/>
  <c r="EO766" i="1"/>
  <c r="EU765" i="1"/>
  <c r="EO765" i="1"/>
  <c r="EU764" i="1"/>
  <c r="EO764" i="1"/>
  <c r="EU763" i="1"/>
  <c r="EO763" i="1"/>
  <c r="EU762" i="1"/>
  <c r="EO762" i="1"/>
  <c r="EU761" i="1"/>
  <c r="EO761" i="1"/>
  <c r="EU760" i="1"/>
  <c r="EO760" i="1"/>
  <c r="EU759" i="1"/>
  <c r="EO759" i="1"/>
  <c r="EU758" i="1"/>
  <c r="EO758" i="1"/>
  <c r="EU757" i="1"/>
  <c r="EO757" i="1"/>
  <c r="EU756" i="1"/>
  <c r="EO756" i="1"/>
  <c r="EU755" i="1"/>
  <c r="EO755" i="1"/>
  <c r="EU754" i="1"/>
  <c r="EO754" i="1"/>
  <c r="EU753" i="1"/>
  <c r="EO753" i="1"/>
  <c r="EU752" i="1"/>
  <c r="EO752" i="1"/>
  <c r="EU751" i="1"/>
  <c r="EO751" i="1"/>
  <c r="EU750" i="1"/>
  <c r="EO750" i="1"/>
  <c r="EU749" i="1"/>
  <c r="EO749" i="1"/>
  <c r="EU748" i="1"/>
  <c r="EO748" i="1"/>
  <c r="EU747" i="1"/>
  <c r="EO747" i="1"/>
  <c r="EU746" i="1"/>
  <c r="EO746" i="1"/>
  <c r="EU745" i="1"/>
  <c r="EO745" i="1"/>
  <c r="EU744" i="1"/>
  <c r="EO744" i="1"/>
  <c r="EU743" i="1"/>
  <c r="EO743" i="1"/>
  <c r="EU742" i="1"/>
  <c r="EO742" i="1"/>
  <c r="EU741" i="1"/>
  <c r="EO741" i="1"/>
  <c r="EU740" i="1"/>
  <c r="EO740" i="1"/>
  <c r="EU739" i="1"/>
  <c r="EO739" i="1"/>
  <c r="EU738" i="1"/>
  <c r="EO738" i="1"/>
  <c r="EU737" i="1"/>
  <c r="EO737" i="1"/>
  <c r="EU736" i="1"/>
  <c r="EO736" i="1"/>
  <c r="EU735" i="1"/>
  <c r="EO735" i="1"/>
  <c r="EU734" i="1"/>
  <c r="EO734" i="1"/>
  <c r="EU733" i="1"/>
  <c r="EO733" i="1"/>
  <c r="EU732" i="1"/>
  <c r="EO732" i="1"/>
  <c r="EU731" i="1"/>
  <c r="EO731" i="1"/>
  <c r="EU730" i="1"/>
  <c r="EO730" i="1"/>
  <c r="EU729" i="1"/>
  <c r="EO729" i="1"/>
  <c r="EU728" i="1"/>
  <c r="EO728" i="1"/>
  <c r="EU727" i="1"/>
  <c r="EO727" i="1"/>
  <c r="EU726" i="1"/>
  <c r="EO726" i="1"/>
  <c r="EU725" i="1"/>
  <c r="EO725" i="1"/>
  <c r="EU724" i="1"/>
  <c r="EO724" i="1"/>
  <c r="EU723" i="1"/>
  <c r="EO723" i="1"/>
  <c r="EU722" i="1"/>
  <c r="EO722" i="1"/>
  <c r="EU721" i="1"/>
  <c r="EO721" i="1"/>
  <c r="EU720" i="1"/>
  <c r="EO720" i="1"/>
  <c r="EU719" i="1"/>
  <c r="EO719" i="1"/>
  <c r="EU718" i="1"/>
  <c r="EO718" i="1"/>
  <c r="EU717" i="1"/>
  <c r="EO717" i="1"/>
  <c r="EU716" i="1"/>
  <c r="EO716" i="1"/>
  <c r="EU715" i="1"/>
  <c r="EO715" i="1"/>
  <c r="EU714" i="1"/>
  <c r="EO714" i="1"/>
  <c r="EU713" i="1"/>
  <c r="EO713" i="1"/>
  <c r="EU712" i="1"/>
  <c r="EO712" i="1"/>
  <c r="EU711" i="1"/>
  <c r="EO711" i="1"/>
  <c r="EU710" i="1"/>
  <c r="EO710" i="1"/>
  <c r="EU709" i="1"/>
  <c r="EO709" i="1"/>
  <c r="EU708" i="1"/>
  <c r="EO708" i="1"/>
  <c r="EU707" i="1"/>
  <c r="EO707" i="1"/>
  <c r="EU706" i="1"/>
  <c r="EO706" i="1"/>
  <c r="EU705" i="1"/>
  <c r="EO705" i="1"/>
  <c r="EU704" i="1"/>
  <c r="EO704" i="1"/>
  <c r="EU703" i="1"/>
  <c r="EO703" i="1"/>
  <c r="EU702" i="1"/>
  <c r="EO702" i="1"/>
  <c r="EU701" i="1"/>
  <c r="EO701" i="1"/>
  <c r="EU700" i="1"/>
  <c r="EO700" i="1"/>
  <c r="EU699" i="1"/>
  <c r="EO699" i="1"/>
  <c r="EU698" i="1"/>
  <c r="EO698" i="1"/>
  <c r="EU697" i="1"/>
  <c r="EO697" i="1"/>
  <c r="EU696" i="1"/>
  <c r="EO696" i="1"/>
  <c r="EU695" i="1"/>
  <c r="EO695" i="1"/>
  <c r="EU694" i="1"/>
  <c r="EO694" i="1"/>
  <c r="EU693" i="1"/>
  <c r="EO693" i="1"/>
  <c r="EU692" i="1"/>
  <c r="EO692" i="1"/>
  <c r="EU691" i="1"/>
  <c r="EO691" i="1"/>
  <c r="EU690" i="1"/>
  <c r="EO690" i="1"/>
  <c r="EU689" i="1"/>
  <c r="EO689" i="1"/>
  <c r="EU688" i="1"/>
  <c r="EO688" i="1"/>
  <c r="EU687" i="1"/>
  <c r="EO687" i="1"/>
  <c r="EU686" i="1"/>
  <c r="EO686" i="1"/>
  <c r="EU685" i="1"/>
  <c r="EO685" i="1"/>
  <c r="EU684" i="1"/>
  <c r="EO684" i="1"/>
  <c r="EU683" i="1"/>
  <c r="EO683" i="1"/>
  <c r="EU682" i="1"/>
  <c r="EO682" i="1"/>
  <c r="EU681" i="1"/>
  <c r="EO681" i="1"/>
  <c r="EU680" i="1"/>
  <c r="EO680" i="1"/>
  <c r="EU679" i="1"/>
  <c r="EO679" i="1"/>
  <c r="EU678" i="1"/>
  <c r="EO678" i="1"/>
  <c r="EU677" i="1"/>
  <c r="EO677" i="1"/>
  <c r="EU676" i="1"/>
  <c r="EO676" i="1"/>
  <c r="EU675" i="1"/>
  <c r="EO675" i="1"/>
  <c r="EU674" i="1"/>
  <c r="EO674" i="1"/>
  <c r="EU673" i="1"/>
  <c r="EO673" i="1"/>
  <c r="EU672" i="1"/>
  <c r="EO672" i="1"/>
  <c r="EU671" i="1"/>
  <c r="EO671" i="1"/>
  <c r="EU670" i="1"/>
  <c r="EO670" i="1"/>
  <c r="EU669" i="1"/>
  <c r="EO669" i="1"/>
  <c r="EU668" i="1"/>
  <c r="EO668" i="1"/>
  <c r="EU667" i="1"/>
  <c r="EO667" i="1"/>
  <c r="EU666" i="1"/>
  <c r="EO666" i="1"/>
  <c r="EU665" i="1"/>
  <c r="EO665" i="1"/>
  <c r="EU664" i="1"/>
  <c r="EO664" i="1"/>
  <c r="EU663" i="1"/>
  <c r="EO663" i="1"/>
  <c r="EU662" i="1"/>
  <c r="EO662" i="1"/>
  <c r="EU661" i="1"/>
  <c r="EO661" i="1"/>
  <c r="EU660" i="1"/>
  <c r="EO660" i="1"/>
  <c r="EU659" i="1"/>
  <c r="EO659" i="1"/>
  <c r="EU658" i="1"/>
  <c r="EO658" i="1"/>
  <c r="EU657" i="1"/>
  <c r="EO657" i="1"/>
  <c r="EU656" i="1"/>
  <c r="EO656" i="1"/>
  <c r="EU655" i="1"/>
  <c r="EO655" i="1"/>
  <c r="EU654" i="1"/>
  <c r="EO654" i="1"/>
  <c r="EU653" i="1"/>
  <c r="EO653" i="1"/>
  <c r="EU652" i="1"/>
  <c r="EO652" i="1"/>
  <c r="EU651" i="1"/>
  <c r="EO651" i="1"/>
  <c r="EU650" i="1"/>
  <c r="EO650" i="1"/>
  <c r="EU649" i="1"/>
  <c r="EO649" i="1"/>
  <c r="EU648" i="1"/>
  <c r="EO648" i="1"/>
  <c r="EU647" i="1"/>
  <c r="EO647" i="1"/>
  <c r="EU646" i="1"/>
  <c r="EO646" i="1"/>
  <c r="EU645" i="1"/>
  <c r="EO645" i="1"/>
  <c r="EU644" i="1"/>
  <c r="EO644" i="1"/>
  <c r="EU643" i="1"/>
  <c r="EO643" i="1"/>
  <c r="EU642" i="1"/>
  <c r="EO642" i="1"/>
  <c r="EU641" i="1"/>
  <c r="EO641" i="1"/>
  <c r="EU640" i="1"/>
  <c r="EO640" i="1"/>
  <c r="EU639" i="1"/>
  <c r="EO639" i="1"/>
  <c r="EU638" i="1"/>
  <c r="EO638" i="1"/>
  <c r="EU637" i="1"/>
  <c r="EO637" i="1"/>
  <c r="EU636" i="1"/>
  <c r="EO636" i="1"/>
  <c r="EU635" i="1"/>
  <c r="EO635" i="1"/>
  <c r="EU634" i="1"/>
  <c r="EO634" i="1"/>
  <c r="EU633" i="1"/>
  <c r="EO633" i="1"/>
  <c r="EU632" i="1"/>
  <c r="EO632" i="1"/>
  <c r="EU631" i="1"/>
  <c r="EO631" i="1"/>
  <c r="EU630" i="1"/>
  <c r="EO630" i="1"/>
  <c r="EU629" i="1"/>
  <c r="EO629" i="1"/>
  <c r="EU628" i="1"/>
  <c r="EO628" i="1"/>
  <c r="EU627" i="1"/>
  <c r="EO627" i="1"/>
  <c r="EU626" i="1"/>
  <c r="EO626" i="1"/>
  <c r="EU625" i="1"/>
  <c r="EO625" i="1"/>
  <c r="EU624" i="1"/>
  <c r="EO624" i="1"/>
  <c r="EU623" i="1"/>
  <c r="EO623" i="1"/>
  <c r="EU622" i="1"/>
  <c r="EO622" i="1"/>
  <c r="EU621" i="1"/>
  <c r="EO621" i="1"/>
  <c r="EU620" i="1"/>
  <c r="EO620" i="1"/>
  <c r="EU619" i="1"/>
  <c r="EO619" i="1"/>
  <c r="EU618" i="1"/>
  <c r="EO618" i="1"/>
  <c r="EU617" i="1"/>
  <c r="EO617" i="1"/>
  <c r="EU616" i="1"/>
  <c r="EO616" i="1"/>
  <c r="EU615" i="1"/>
  <c r="EO615" i="1"/>
  <c r="EU614" i="1"/>
  <c r="EO614" i="1"/>
  <c r="EU613" i="1"/>
  <c r="EO613" i="1"/>
  <c r="EU612" i="1"/>
  <c r="EO612" i="1"/>
  <c r="EU611" i="1"/>
  <c r="EO611" i="1"/>
  <c r="EU610" i="1"/>
  <c r="EO610" i="1"/>
  <c r="EU609" i="1"/>
  <c r="EO609" i="1"/>
  <c r="EU608" i="1"/>
  <c r="EO608" i="1"/>
  <c r="EU607" i="1"/>
  <c r="EO607" i="1"/>
  <c r="EU606" i="1"/>
  <c r="EO606" i="1"/>
  <c r="EU605" i="1"/>
  <c r="EO605" i="1"/>
  <c r="EU604" i="1"/>
  <c r="EO604" i="1"/>
  <c r="EU603" i="1"/>
  <c r="EO603" i="1"/>
  <c r="EU602" i="1"/>
  <c r="EO602" i="1"/>
  <c r="EU601" i="1"/>
  <c r="EO601" i="1"/>
  <c r="EU600" i="1"/>
  <c r="EO600" i="1"/>
  <c r="EU599" i="1"/>
  <c r="EO599" i="1"/>
  <c r="EU598" i="1"/>
  <c r="EO598" i="1"/>
  <c r="EU597" i="1"/>
  <c r="EO597" i="1"/>
  <c r="EU596" i="1"/>
  <c r="EO596" i="1"/>
  <c r="EU595" i="1"/>
  <c r="EO595" i="1"/>
  <c r="EU594" i="1"/>
  <c r="EO594" i="1"/>
  <c r="EU593" i="1"/>
  <c r="EO593" i="1"/>
  <c r="EU592" i="1"/>
  <c r="EO592" i="1"/>
  <c r="EU591" i="1"/>
  <c r="EO591" i="1"/>
  <c r="EU590" i="1"/>
  <c r="EO590" i="1"/>
  <c r="EU589" i="1"/>
  <c r="EO589" i="1"/>
  <c r="EU588" i="1"/>
  <c r="EO588" i="1"/>
  <c r="EU587" i="1"/>
  <c r="EO587" i="1"/>
  <c r="EU586" i="1"/>
  <c r="EO586" i="1"/>
  <c r="EU585" i="1"/>
  <c r="EO585" i="1"/>
  <c r="EU584" i="1"/>
  <c r="EO584" i="1"/>
  <c r="EU583" i="1"/>
  <c r="EO583" i="1"/>
  <c r="EU582" i="1"/>
  <c r="EO582" i="1"/>
  <c r="EU581" i="1"/>
  <c r="EO581" i="1"/>
  <c r="EU580" i="1"/>
  <c r="EO580" i="1"/>
  <c r="EU579" i="1"/>
  <c r="EO579" i="1"/>
  <c r="EU578" i="1"/>
  <c r="EO578" i="1"/>
  <c r="EU577" i="1"/>
  <c r="EO577" i="1"/>
  <c r="EU576" i="1"/>
  <c r="EO576" i="1"/>
  <c r="EU575" i="1"/>
  <c r="EO575" i="1"/>
  <c r="EU574" i="1"/>
  <c r="EO574" i="1"/>
  <c r="EU573" i="1"/>
  <c r="EO573" i="1"/>
  <c r="EU572" i="1"/>
  <c r="EO572" i="1"/>
  <c r="EU571" i="1"/>
  <c r="EO571" i="1"/>
  <c r="EU570" i="1"/>
  <c r="EO570" i="1"/>
  <c r="EU569" i="1"/>
  <c r="EO569" i="1"/>
  <c r="EU568" i="1"/>
  <c r="EO568" i="1"/>
  <c r="EU567" i="1"/>
  <c r="EO567" i="1"/>
  <c r="EU566" i="1"/>
  <c r="EO566" i="1"/>
  <c r="EU565" i="1"/>
  <c r="EO565" i="1"/>
  <c r="EU564" i="1"/>
  <c r="EO564" i="1"/>
  <c r="EU563" i="1"/>
  <c r="EO563" i="1"/>
  <c r="EU562" i="1"/>
  <c r="EO562" i="1"/>
  <c r="EU561" i="1"/>
  <c r="EO561" i="1"/>
  <c r="EU560" i="1"/>
  <c r="EO560" i="1"/>
  <c r="EU559" i="1"/>
  <c r="EO559" i="1"/>
  <c r="EU558" i="1"/>
  <c r="EO558" i="1"/>
  <c r="EU557" i="1"/>
  <c r="EO557" i="1"/>
  <c r="EU556" i="1"/>
  <c r="EO556" i="1"/>
  <c r="EU555" i="1"/>
  <c r="EO555" i="1"/>
  <c r="EU554" i="1"/>
  <c r="EO554" i="1"/>
  <c r="EU553" i="1"/>
  <c r="EO553" i="1"/>
  <c r="EU552" i="1"/>
  <c r="EO552" i="1"/>
  <c r="EU551" i="1"/>
  <c r="EO551" i="1"/>
  <c r="EU550" i="1"/>
  <c r="EO550" i="1"/>
  <c r="EU549" i="1"/>
  <c r="EO549" i="1"/>
  <c r="EU548" i="1"/>
  <c r="EO548" i="1"/>
  <c r="EU547" i="1"/>
  <c r="EO547" i="1"/>
  <c r="EU546" i="1"/>
  <c r="EO546" i="1"/>
  <c r="EU545" i="1"/>
  <c r="EO545" i="1"/>
  <c r="EU544" i="1"/>
  <c r="EO544" i="1"/>
  <c r="EU543" i="1"/>
  <c r="EO543" i="1"/>
  <c r="EU542" i="1"/>
  <c r="EO542" i="1"/>
  <c r="EU541" i="1"/>
  <c r="EO541" i="1"/>
  <c r="EU540" i="1"/>
  <c r="EO540" i="1"/>
  <c r="EU539" i="1"/>
  <c r="EO539" i="1"/>
  <c r="EU538" i="1"/>
  <c r="EO538" i="1"/>
  <c r="EU537" i="1"/>
  <c r="EO537" i="1"/>
  <c r="EU536" i="1"/>
  <c r="EO536" i="1"/>
  <c r="EU535" i="1"/>
  <c r="EO535" i="1"/>
  <c r="EU534" i="1"/>
  <c r="EO534" i="1"/>
  <c r="EU533" i="1"/>
  <c r="EO533" i="1"/>
  <c r="EU532" i="1"/>
  <c r="EO532" i="1"/>
  <c r="EU531" i="1"/>
  <c r="EO531" i="1"/>
  <c r="EU530" i="1"/>
  <c r="EO530" i="1"/>
  <c r="EU529" i="1"/>
  <c r="EO529" i="1"/>
  <c r="EU528" i="1"/>
  <c r="EO528" i="1"/>
  <c r="EU527" i="1"/>
  <c r="EO527" i="1"/>
  <c r="EU526" i="1"/>
  <c r="EO526" i="1"/>
  <c r="EU525" i="1"/>
  <c r="EO525" i="1"/>
  <c r="EU524" i="1"/>
  <c r="EO524" i="1"/>
  <c r="EU523" i="1"/>
  <c r="EO523" i="1"/>
  <c r="EU522" i="1"/>
  <c r="EO522" i="1"/>
  <c r="EU521" i="1"/>
  <c r="EO521" i="1"/>
  <c r="EU520" i="1"/>
  <c r="EO520" i="1"/>
  <c r="EU519" i="1"/>
  <c r="EO519" i="1"/>
  <c r="EU518" i="1"/>
  <c r="EO518" i="1"/>
  <c r="EU517" i="1"/>
  <c r="EO517" i="1"/>
  <c r="EU516" i="1"/>
  <c r="EO516" i="1"/>
  <c r="EU515" i="1"/>
  <c r="EO515" i="1"/>
  <c r="EU514" i="1"/>
  <c r="EO514" i="1"/>
  <c r="EU513" i="1"/>
  <c r="EO513" i="1"/>
  <c r="EU512" i="1"/>
  <c r="EO512" i="1"/>
  <c r="EU511" i="1"/>
  <c r="EO511" i="1"/>
  <c r="EU510" i="1"/>
  <c r="EO510" i="1"/>
  <c r="EU509" i="1"/>
  <c r="EO509" i="1"/>
  <c r="EU508" i="1"/>
  <c r="EO508" i="1"/>
  <c r="EU507" i="1"/>
  <c r="EO507" i="1"/>
  <c r="EU506" i="1"/>
  <c r="EO506" i="1"/>
  <c r="EU505" i="1"/>
  <c r="EO505" i="1"/>
  <c r="EU504" i="1"/>
  <c r="EO504" i="1"/>
  <c r="EU503" i="1"/>
  <c r="EO503" i="1"/>
  <c r="EU502" i="1"/>
  <c r="EO502" i="1"/>
  <c r="EU501" i="1"/>
  <c r="EO501" i="1"/>
  <c r="EU500" i="1"/>
  <c r="EO500" i="1"/>
  <c r="EU499" i="1"/>
  <c r="EO499" i="1"/>
  <c r="EU498" i="1"/>
  <c r="EO498" i="1"/>
  <c r="EU497" i="1"/>
  <c r="EO497" i="1"/>
  <c r="EU496" i="1"/>
  <c r="EO496" i="1"/>
  <c r="EU495" i="1"/>
  <c r="EO495" i="1"/>
  <c r="EU494" i="1"/>
  <c r="EO494" i="1"/>
  <c r="EU493" i="1"/>
  <c r="EO493" i="1"/>
  <c r="EU492" i="1"/>
  <c r="EO492" i="1"/>
  <c r="EU491" i="1"/>
  <c r="EO491" i="1"/>
  <c r="EU490" i="1"/>
  <c r="EO490" i="1"/>
  <c r="EU489" i="1"/>
  <c r="EO489" i="1"/>
  <c r="EU488" i="1"/>
  <c r="EO488" i="1"/>
  <c r="EU487" i="1"/>
  <c r="EO487" i="1"/>
  <c r="EU486" i="1"/>
  <c r="EO486" i="1"/>
  <c r="EU485" i="1"/>
  <c r="EO485" i="1"/>
  <c r="EU484" i="1"/>
  <c r="EO484" i="1"/>
  <c r="EU483" i="1"/>
  <c r="EO483" i="1"/>
  <c r="EU482" i="1"/>
  <c r="EO482" i="1"/>
  <c r="EU481" i="1"/>
  <c r="EO481" i="1"/>
  <c r="EU480" i="1"/>
  <c r="EO480" i="1"/>
  <c r="EU479" i="1"/>
  <c r="EO479" i="1"/>
  <c r="EU478" i="1"/>
  <c r="EO478" i="1"/>
  <c r="EU477" i="1"/>
  <c r="EO477" i="1"/>
  <c r="EU476" i="1"/>
  <c r="EO476" i="1"/>
  <c r="EU475" i="1"/>
  <c r="EO475" i="1"/>
  <c r="EU474" i="1"/>
  <c r="EO474" i="1"/>
  <c r="EU473" i="1"/>
  <c r="EO473" i="1"/>
  <c r="EU472" i="1"/>
  <c r="EO472" i="1"/>
  <c r="EU471" i="1"/>
  <c r="EO471" i="1"/>
  <c r="EU470" i="1"/>
  <c r="EO470" i="1"/>
  <c r="EU469" i="1"/>
  <c r="EO469" i="1"/>
  <c r="EU468" i="1"/>
  <c r="EO468" i="1"/>
  <c r="EU467" i="1"/>
  <c r="EO467" i="1"/>
  <c r="EU466" i="1"/>
  <c r="EO466" i="1"/>
  <c r="EU465" i="1"/>
  <c r="EO465" i="1"/>
  <c r="EU464" i="1"/>
  <c r="EO464" i="1"/>
  <c r="EU463" i="1"/>
  <c r="EO463" i="1"/>
  <c r="EU462" i="1"/>
  <c r="EO462" i="1"/>
  <c r="EU461" i="1"/>
  <c r="EO461" i="1"/>
  <c r="EU460" i="1"/>
  <c r="EO460" i="1"/>
  <c r="EU459" i="1"/>
  <c r="EO459" i="1"/>
  <c r="EU458" i="1"/>
  <c r="EO458" i="1"/>
  <c r="EU457" i="1"/>
  <c r="EO457" i="1"/>
  <c r="EU456" i="1"/>
  <c r="EO456" i="1"/>
  <c r="EU455" i="1"/>
  <c r="EO455" i="1"/>
  <c r="EU454" i="1"/>
  <c r="EO454" i="1"/>
  <c r="EU453" i="1"/>
  <c r="EO453" i="1"/>
  <c r="EU452" i="1"/>
  <c r="EO452" i="1"/>
  <c r="EU451" i="1"/>
  <c r="EO451" i="1"/>
  <c r="EU450" i="1"/>
  <c r="EO450" i="1"/>
  <c r="EU449" i="1"/>
  <c r="EO449" i="1"/>
  <c r="EU448" i="1"/>
  <c r="EO448" i="1"/>
  <c r="EU447" i="1"/>
  <c r="EO447" i="1"/>
  <c r="EU446" i="1"/>
  <c r="EO446" i="1"/>
  <c r="EU445" i="1"/>
  <c r="EO445" i="1"/>
  <c r="EU444" i="1"/>
  <c r="EO444" i="1"/>
  <c r="EU443" i="1"/>
  <c r="EO443" i="1"/>
  <c r="EU442" i="1"/>
  <c r="EO442" i="1"/>
  <c r="EU441" i="1"/>
  <c r="EO441" i="1"/>
  <c r="EU440" i="1"/>
  <c r="EO440" i="1"/>
  <c r="EU439" i="1"/>
  <c r="EO439" i="1"/>
  <c r="EU438" i="1"/>
  <c r="EO438" i="1"/>
  <c r="EU437" i="1"/>
  <c r="EO437" i="1"/>
  <c r="EU436" i="1"/>
  <c r="EO436" i="1"/>
  <c r="EU435" i="1"/>
  <c r="EO435" i="1"/>
  <c r="EU434" i="1"/>
  <c r="EO434" i="1"/>
  <c r="EU433" i="1"/>
  <c r="EO433" i="1"/>
  <c r="EU432" i="1"/>
  <c r="EO432" i="1"/>
  <c r="EU431" i="1"/>
  <c r="EO431" i="1"/>
  <c r="EU430" i="1"/>
  <c r="EO430" i="1"/>
  <c r="EU429" i="1"/>
  <c r="EO429" i="1"/>
  <c r="EU428" i="1"/>
  <c r="EO428" i="1"/>
  <c r="EU427" i="1"/>
  <c r="EO427" i="1"/>
  <c r="EU426" i="1"/>
  <c r="EO426" i="1"/>
  <c r="EU425" i="1"/>
  <c r="EO425" i="1"/>
  <c r="EU424" i="1"/>
  <c r="EO424" i="1"/>
  <c r="EU423" i="1"/>
  <c r="EO423" i="1"/>
  <c r="EU422" i="1"/>
  <c r="EO422" i="1"/>
  <c r="EU421" i="1"/>
  <c r="EO421" i="1"/>
  <c r="EU420" i="1"/>
  <c r="EO420" i="1"/>
  <c r="EU419" i="1"/>
  <c r="EO419" i="1"/>
  <c r="EU418" i="1"/>
  <c r="EO418" i="1"/>
  <c r="EU417" i="1"/>
  <c r="EO417" i="1"/>
  <c r="EU416" i="1"/>
  <c r="EO416" i="1"/>
  <c r="EU415" i="1"/>
  <c r="EO415" i="1"/>
  <c r="EU414" i="1"/>
  <c r="EO414" i="1"/>
  <c r="EU413" i="1"/>
  <c r="EO413" i="1"/>
  <c r="EU412" i="1"/>
  <c r="EO412" i="1"/>
  <c r="EU411" i="1"/>
  <c r="EO411" i="1"/>
  <c r="EU410" i="1"/>
  <c r="EO410" i="1"/>
  <c r="EU409" i="1"/>
  <c r="EO409" i="1"/>
  <c r="EU408" i="1"/>
  <c r="EO408" i="1"/>
  <c r="EU407" i="1"/>
  <c r="EO407" i="1"/>
  <c r="EU406" i="1"/>
  <c r="EO406" i="1"/>
  <c r="EU405" i="1"/>
  <c r="EO405" i="1"/>
  <c r="EU404" i="1"/>
  <c r="EO404" i="1"/>
  <c r="EU403" i="1"/>
  <c r="EO403" i="1"/>
  <c r="EU402" i="1"/>
  <c r="EO402" i="1"/>
  <c r="EU401" i="1"/>
  <c r="EO401" i="1"/>
  <c r="EU400" i="1"/>
  <c r="EO400" i="1"/>
  <c r="EU399" i="1"/>
  <c r="EO399" i="1"/>
  <c r="EU398" i="1"/>
  <c r="EO398" i="1"/>
  <c r="EU397" i="1"/>
  <c r="EO397" i="1"/>
  <c r="EU396" i="1"/>
  <c r="EO396" i="1"/>
  <c r="EU395" i="1"/>
  <c r="EO395" i="1"/>
  <c r="EU394" i="1"/>
  <c r="EO394" i="1"/>
  <c r="EU393" i="1"/>
  <c r="EO393" i="1"/>
  <c r="EU392" i="1"/>
  <c r="EO392" i="1"/>
  <c r="EU391" i="1"/>
  <c r="EO391" i="1"/>
  <c r="EU390" i="1"/>
  <c r="EO390" i="1"/>
  <c r="EU389" i="1"/>
  <c r="EO389" i="1"/>
  <c r="EU388" i="1"/>
  <c r="EO388" i="1"/>
  <c r="EU387" i="1"/>
  <c r="EO387" i="1"/>
  <c r="EU386" i="1"/>
  <c r="EO386" i="1"/>
  <c r="EU385" i="1"/>
  <c r="EO385" i="1"/>
  <c r="EU384" i="1"/>
  <c r="EO384" i="1"/>
  <c r="EU383" i="1"/>
  <c r="EO383" i="1"/>
  <c r="EU382" i="1"/>
  <c r="EO382" i="1"/>
  <c r="EU381" i="1"/>
  <c r="EO381" i="1"/>
  <c r="EU380" i="1"/>
  <c r="EO380" i="1"/>
  <c r="EU379" i="1"/>
  <c r="EO379" i="1"/>
  <c r="EU378" i="1"/>
  <c r="EO378" i="1"/>
  <c r="EU377" i="1"/>
  <c r="EO377" i="1"/>
  <c r="EU376" i="1"/>
  <c r="EO376" i="1"/>
  <c r="EU375" i="1"/>
  <c r="EO375" i="1"/>
  <c r="EU374" i="1"/>
  <c r="EO374" i="1"/>
  <c r="EU373" i="1"/>
  <c r="EO373" i="1"/>
  <c r="EU372" i="1"/>
  <c r="EO372" i="1"/>
  <c r="EU371" i="1"/>
  <c r="EO371" i="1"/>
  <c r="EU370" i="1"/>
  <c r="EO370" i="1"/>
  <c r="EU369" i="1"/>
  <c r="EO369" i="1"/>
  <c r="EU368" i="1"/>
  <c r="EO368" i="1"/>
  <c r="EU367" i="1"/>
  <c r="EO367" i="1"/>
  <c r="EU366" i="1"/>
  <c r="EO366" i="1"/>
  <c r="EU365" i="1"/>
  <c r="EO365" i="1"/>
  <c r="EU364" i="1"/>
  <c r="EO364" i="1"/>
  <c r="EU363" i="1"/>
  <c r="EO363" i="1"/>
  <c r="EU362" i="1"/>
  <c r="EO362" i="1"/>
  <c r="EU361" i="1"/>
  <c r="EO361" i="1"/>
  <c r="EU360" i="1"/>
  <c r="EO360" i="1"/>
  <c r="EU359" i="1"/>
  <c r="EO359" i="1"/>
  <c r="EU358" i="1"/>
  <c r="EO358" i="1"/>
  <c r="EU357" i="1"/>
  <c r="EO357" i="1"/>
  <c r="EU356" i="1"/>
  <c r="EO356" i="1"/>
  <c r="EU355" i="1"/>
  <c r="EO355" i="1"/>
  <c r="EU354" i="1"/>
  <c r="EO354" i="1"/>
  <c r="EU353" i="1"/>
  <c r="EO353" i="1"/>
  <c r="EU352" i="1"/>
  <c r="EO352" i="1"/>
  <c r="EU351" i="1"/>
  <c r="EO351" i="1"/>
  <c r="EU350" i="1"/>
  <c r="EO350" i="1"/>
  <c r="EU349" i="1"/>
  <c r="EO349" i="1"/>
  <c r="EU348" i="1"/>
  <c r="EO348" i="1"/>
  <c r="EU347" i="1"/>
  <c r="EO347" i="1"/>
  <c r="EU346" i="1"/>
  <c r="EO346" i="1"/>
  <c r="EU345" i="1"/>
  <c r="EO345" i="1"/>
  <c r="EU344" i="1"/>
  <c r="EO344" i="1"/>
  <c r="EU343" i="1"/>
  <c r="EO343" i="1"/>
  <c r="EU342" i="1"/>
  <c r="EO342" i="1"/>
  <c r="EU341" i="1"/>
  <c r="EO341" i="1"/>
  <c r="EU340" i="1"/>
  <c r="EO340" i="1"/>
  <c r="EU339" i="1"/>
  <c r="EO339" i="1"/>
  <c r="EU338" i="1"/>
  <c r="EO338" i="1"/>
  <c r="EU337" i="1"/>
  <c r="EO337" i="1"/>
  <c r="EU336" i="1"/>
  <c r="EO336" i="1"/>
  <c r="EU335" i="1"/>
  <c r="EO335" i="1"/>
  <c r="EU334" i="1"/>
  <c r="EO334" i="1"/>
  <c r="EU333" i="1"/>
  <c r="EO333" i="1"/>
  <c r="EU332" i="1"/>
  <c r="EO332" i="1"/>
  <c r="EU331" i="1"/>
  <c r="EO331" i="1"/>
  <c r="EU330" i="1"/>
  <c r="EO330" i="1"/>
  <c r="EU329" i="1"/>
  <c r="EO329" i="1"/>
  <c r="EU328" i="1"/>
  <c r="EO328" i="1"/>
  <c r="EU327" i="1"/>
  <c r="EO327" i="1"/>
  <c r="EU326" i="1"/>
  <c r="EO326" i="1"/>
  <c r="EU325" i="1"/>
  <c r="EO325" i="1"/>
  <c r="EU324" i="1"/>
  <c r="EO324" i="1"/>
  <c r="EU323" i="1"/>
  <c r="EO323" i="1"/>
  <c r="EU322" i="1"/>
  <c r="EO322" i="1"/>
  <c r="EU321" i="1"/>
  <c r="EO321" i="1"/>
  <c r="EU320" i="1"/>
  <c r="EO320" i="1"/>
  <c r="EU319" i="1"/>
  <c r="EO319" i="1"/>
  <c r="EU318" i="1"/>
  <c r="EO318" i="1"/>
  <c r="EU317" i="1"/>
  <c r="EO317" i="1"/>
  <c r="EU316" i="1"/>
  <c r="EO316" i="1"/>
  <c r="EU315" i="1"/>
  <c r="EO315" i="1"/>
  <c r="EU314" i="1"/>
  <c r="EO314" i="1"/>
  <c r="EU313" i="1"/>
  <c r="EO313" i="1"/>
  <c r="EU312" i="1"/>
  <c r="EO312" i="1"/>
  <c r="EU311" i="1"/>
  <c r="EO311" i="1"/>
  <c r="EU310" i="1"/>
  <c r="EO310" i="1"/>
  <c r="EU309" i="1"/>
  <c r="EO309" i="1"/>
  <c r="EU308" i="1"/>
  <c r="EO308" i="1"/>
  <c r="EU307" i="1"/>
  <c r="EO307" i="1"/>
  <c r="EU306" i="1"/>
  <c r="EO306" i="1"/>
  <c r="EU305" i="1"/>
  <c r="EO305" i="1"/>
  <c r="EU304" i="1"/>
  <c r="EO304" i="1"/>
  <c r="EU303" i="1"/>
  <c r="EO303" i="1"/>
  <c r="EU302" i="1"/>
  <c r="EO302" i="1"/>
  <c r="EU301" i="1"/>
  <c r="EO301" i="1"/>
  <c r="EU300" i="1"/>
  <c r="EO300" i="1"/>
  <c r="EU299" i="1"/>
  <c r="EO299" i="1"/>
  <c r="EU298" i="1"/>
  <c r="EO298" i="1"/>
  <c r="EU297" i="1"/>
  <c r="EO297" i="1"/>
  <c r="EU296" i="1"/>
  <c r="EO296" i="1"/>
  <c r="EU295" i="1"/>
  <c r="EO295" i="1"/>
  <c r="EU294" i="1"/>
  <c r="EO294" i="1"/>
  <c r="EU293" i="1"/>
  <c r="EO293" i="1"/>
  <c r="EU292" i="1"/>
  <c r="EO292" i="1"/>
  <c r="EU291" i="1"/>
  <c r="EO291" i="1"/>
  <c r="EU290" i="1"/>
  <c r="EO290" i="1"/>
  <c r="EU289" i="1"/>
  <c r="EO289" i="1"/>
  <c r="EU288" i="1"/>
  <c r="EO288" i="1"/>
  <c r="EU287" i="1"/>
  <c r="EO287" i="1"/>
  <c r="EU286" i="1"/>
  <c r="EO286" i="1"/>
  <c r="EU285" i="1"/>
  <c r="EO285" i="1"/>
  <c r="EU284" i="1"/>
  <c r="EO284" i="1"/>
  <c r="EU283" i="1"/>
  <c r="EO283" i="1"/>
  <c r="EU282" i="1"/>
  <c r="EO282" i="1"/>
  <c r="EU281" i="1"/>
  <c r="EO281" i="1"/>
  <c r="EU280" i="1"/>
  <c r="EO280" i="1"/>
  <c r="EU279" i="1"/>
  <c r="EO279" i="1"/>
  <c r="EU278" i="1"/>
  <c r="EO278" i="1"/>
  <c r="EU277" i="1"/>
  <c r="EO277" i="1"/>
  <c r="EU276" i="1"/>
  <c r="EO276" i="1"/>
  <c r="EU275" i="1"/>
  <c r="EO275" i="1"/>
  <c r="EU274" i="1"/>
  <c r="EO274" i="1"/>
  <c r="EU273" i="1"/>
  <c r="EO273" i="1"/>
  <c r="EU272" i="1"/>
  <c r="EO272" i="1"/>
  <c r="EU271" i="1"/>
  <c r="EO271" i="1"/>
  <c r="EU270" i="1"/>
  <c r="EO270" i="1"/>
  <c r="EU269" i="1"/>
  <c r="EO269" i="1"/>
  <c r="EU268" i="1"/>
  <c r="EO268" i="1"/>
  <c r="EU267" i="1"/>
  <c r="EO267" i="1"/>
  <c r="EU266" i="1"/>
  <c r="EO266" i="1"/>
  <c r="EU265" i="1"/>
  <c r="EO265" i="1"/>
  <c r="EU264" i="1"/>
  <c r="EO264" i="1"/>
  <c r="EU263" i="1"/>
  <c r="EO263" i="1"/>
  <c r="EU262" i="1"/>
  <c r="EO262" i="1"/>
  <c r="EU261" i="1"/>
  <c r="EO261" i="1"/>
  <c r="EU260" i="1"/>
  <c r="EO260" i="1"/>
  <c r="EU259" i="1"/>
  <c r="EO259" i="1"/>
  <c r="EU258" i="1"/>
  <c r="EO258" i="1"/>
  <c r="EU257" i="1"/>
  <c r="EO257" i="1"/>
  <c r="EU256" i="1"/>
  <c r="EO256" i="1"/>
  <c r="EU255" i="1"/>
  <c r="EO255" i="1"/>
  <c r="EU254" i="1"/>
  <c r="EO254" i="1"/>
  <c r="EU253" i="1"/>
  <c r="EO253" i="1"/>
  <c r="EU252" i="1"/>
  <c r="EO252" i="1"/>
  <c r="EU251" i="1"/>
  <c r="EO251" i="1"/>
  <c r="EU250" i="1"/>
  <c r="EO250" i="1"/>
  <c r="EU249" i="1"/>
  <c r="EO249" i="1"/>
  <c r="EU248" i="1"/>
  <c r="EO248" i="1"/>
  <c r="EU247" i="1"/>
  <c r="EO247" i="1"/>
  <c r="EU246" i="1"/>
  <c r="EO246" i="1"/>
  <c r="EU245" i="1"/>
  <c r="EO245" i="1"/>
  <c r="EU244" i="1"/>
  <c r="EO244" i="1"/>
  <c r="EU243" i="1"/>
  <c r="EO243" i="1"/>
  <c r="EU242" i="1"/>
  <c r="EO242" i="1"/>
  <c r="EU241" i="1"/>
  <c r="EO241" i="1"/>
  <c r="EU240" i="1"/>
  <c r="EO240" i="1"/>
  <c r="EU239" i="1"/>
  <c r="EO239" i="1"/>
  <c r="EU238" i="1"/>
  <c r="EO238" i="1"/>
  <c r="EU237" i="1"/>
  <c r="EO237" i="1"/>
  <c r="EU236" i="1"/>
  <c r="EO236" i="1"/>
  <c r="EU235" i="1"/>
  <c r="EO235" i="1"/>
  <c r="EU234" i="1"/>
  <c r="EO234" i="1"/>
  <c r="EU233" i="1"/>
  <c r="EO233" i="1"/>
  <c r="EU232" i="1"/>
  <c r="EO232" i="1"/>
  <c r="EU231" i="1"/>
  <c r="EO231" i="1"/>
  <c r="EU230" i="1"/>
  <c r="EO230" i="1"/>
  <c r="EU229" i="1"/>
  <c r="EO229" i="1"/>
  <c r="EU228" i="1"/>
  <c r="EO228" i="1"/>
  <c r="EU227" i="1"/>
  <c r="EO227" i="1"/>
  <c r="EU226" i="1"/>
  <c r="EO226" i="1"/>
  <c r="EU225" i="1"/>
  <c r="EO225" i="1"/>
  <c r="EU224" i="1"/>
  <c r="EO224" i="1"/>
  <c r="EU223" i="1"/>
  <c r="EO223" i="1"/>
  <c r="EU222" i="1"/>
  <c r="EO222" i="1"/>
  <c r="EU221" i="1"/>
  <c r="EO221" i="1"/>
  <c r="EU220" i="1"/>
  <c r="EO220" i="1"/>
  <c r="EU219" i="1"/>
  <c r="EO219" i="1"/>
  <c r="EU218" i="1"/>
  <c r="EO218" i="1"/>
  <c r="EU217" i="1"/>
  <c r="EO217" i="1"/>
  <c r="EU216" i="1"/>
  <c r="EO216" i="1"/>
  <c r="EU215" i="1"/>
  <c r="EO215" i="1"/>
  <c r="EU214" i="1"/>
  <c r="EO214" i="1"/>
  <c r="EU213" i="1"/>
  <c r="EO213" i="1"/>
  <c r="EU212" i="1"/>
  <c r="EO212" i="1"/>
  <c r="EU211" i="1"/>
  <c r="EO211" i="1"/>
  <c r="EU210" i="1"/>
  <c r="EO210" i="1"/>
  <c r="EU209" i="1"/>
  <c r="EO209" i="1"/>
  <c r="EU208" i="1"/>
  <c r="EO208" i="1"/>
  <c r="EU207" i="1"/>
  <c r="EO207" i="1"/>
  <c r="EU206" i="1"/>
  <c r="EO206" i="1"/>
  <c r="EU205" i="1"/>
  <c r="EO205" i="1"/>
  <c r="EU204" i="1"/>
  <c r="EO204" i="1"/>
  <c r="EU203" i="1"/>
  <c r="EO203" i="1"/>
  <c r="EU202" i="1"/>
  <c r="EO202" i="1"/>
  <c r="EU201" i="1"/>
  <c r="EO201" i="1"/>
  <c r="EU200" i="1"/>
  <c r="EO200" i="1"/>
  <c r="EU199" i="1"/>
  <c r="EO199" i="1"/>
  <c r="EU198" i="1"/>
  <c r="EO198" i="1"/>
  <c r="EU197" i="1"/>
  <c r="EO197" i="1"/>
  <c r="EU196" i="1"/>
  <c r="EO196" i="1"/>
  <c r="EU195" i="1"/>
  <c r="EO195" i="1"/>
  <c r="EU194" i="1"/>
  <c r="EO194" i="1"/>
  <c r="EU193" i="1"/>
  <c r="EO193" i="1"/>
  <c r="EU192" i="1"/>
  <c r="EO192" i="1"/>
  <c r="EU191" i="1"/>
  <c r="EO191" i="1"/>
  <c r="EU190" i="1"/>
  <c r="EO190" i="1"/>
  <c r="EU189" i="1"/>
  <c r="EO189" i="1"/>
  <c r="EU188" i="1"/>
  <c r="EO188" i="1"/>
  <c r="EU187" i="1"/>
  <c r="EO187" i="1"/>
  <c r="EU186" i="1"/>
  <c r="EO186" i="1"/>
  <c r="EU185" i="1"/>
  <c r="EO185" i="1"/>
  <c r="EU184" i="1"/>
  <c r="EO184" i="1"/>
  <c r="EU183" i="1"/>
  <c r="EO183" i="1"/>
  <c r="EU182" i="1"/>
  <c r="EO182" i="1"/>
  <c r="EU181" i="1"/>
  <c r="EO181" i="1"/>
  <c r="EU180" i="1"/>
  <c r="EO180" i="1"/>
  <c r="EU179" i="1"/>
  <c r="EO179" i="1"/>
  <c r="EU178" i="1"/>
  <c r="EO178" i="1"/>
  <c r="EU177" i="1"/>
  <c r="EO177" i="1"/>
  <c r="EU176" i="1"/>
  <c r="EO176" i="1"/>
  <c r="EU175" i="1"/>
  <c r="EO175" i="1"/>
  <c r="EU174" i="1"/>
  <c r="EO174" i="1"/>
  <c r="EU173" i="1"/>
  <c r="EO173" i="1"/>
  <c r="EU172" i="1"/>
  <c r="EO172" i="1"/>
  <c r="EU171" i="1"/>
  <c r="EO171" i="1"/>
  <c r="EU170" i="1"/>
  <c r="EO170" i="1"/>
  <c r="EU169" i="1"/>
  <c r="EO169" i="1"/>
  <c r="EU168" i="1"/>
  <c r="EO168" i="1"/>
  <c r="EU167" i="1"/>
  <c r="EO167" i="1"/>
  <c r="EU166" i="1"/>
  <c r="EO166" i="1"/>
  <c r="EU165" i="1"/>
  <c r="EO165" i="1"/>
  <c r="EU164" i="1"/>
  <c r="EO164" i="1"/>
  <c r="EU163" i="1"/>
  <c r="EO163" i="1"/>
  <c r="EU162" i="1"/>
  <c r="EO162" i="1"/>
  <c r="EU161" i="1"/>
  <c r="EO161" i="1"/>
  <c r="EU160" i="1"/>
  <c r="EO160" i="1"/>
  <c r="EU159" i="1"/>
  <c r="EO159" i="1"/>
  <c r="EU158" i="1"/>
  <c r="EO158" i="1"/>
  <c r="EU157" i="1"/>
  <c r="EO157" i="1"/>
  <c r="EU156" i="1"/>
  <c r="EO156" i="1"/>
  <c r="EU155" i="1"/>
  <c r="EO155" i="1"/>
  <c r="EU154" i="1"/>
  <c r="EO154" i="1"/>
  <c r="EU153" i="1"/>
  <c r="EO153" i="1"/>
  <c r="EU152" i="1"/>
  <c r="EO152" i="1"/>
  <c r="EU151" i="1"/>
  <c r="EO151" i="1"/>
  <c r="EU150" i="1"/>
  <c r="EO150" i="1"/>
  <c r="EU149" i="1"/>
  <c r="EO149" i="1"/>
  <c r="EU148" i="1"/>
  <c r="EO148" i="1"/>
  <c r="EU147" i="1"/>
  <c r="EO147" i="1"/>
  <c r="EU146" i="1"/>
  <c r="EO146" i="1"/>
  <c r="EU145" i="1"/>
  <c r="EO145" i="1"/>
  <c r="EU144" i="1"/>
  <c r="EO144" i="1"/>
  <c r="EU143" i="1"/>
  <c r="EO143" i="1"/>
  <c r="EU142" i="1"/>
  <c r="EO142" i="1"/>
  <c r="EU141" i="1"/>
  <c r="EO141" i="1"/>
  <c r="EU140" i="1"/>
  <c r="EO140" i="1"/>
  <c r="EU139" i="1"/>
  <c r="EO139" i="1"/>
  <c r="EU138" i="1"/>
  <c r="EO138" i="1"/>
  <c r="EU137" i="1"/>
  <c r="EO137" i="1"/>
  <c r="EU136" i="1"/>
  <c r="EO136" i="1"/>
  <c r="EU135" i="1"/>
  <c r="EO135" i="1"/>
  <c r="EU134" i="1"/>
  <c r="EO134" i="1"/>
  <c r="EU133" i="1"/>
  <c r="EO133" i="1"/>
  <c r="EU132" i="1"/>
  <c r="EO132" i="1"/>
  <c r="EU131" i="1"/>
  <c r="EO131" i="1"/>
  <c r="EU130" i="1"/>
  <c r="EO130" i="1"/>
  <c r="EU129" i="1"/>
  <c r="EO129" i="1"/>
  <c r="EU128" i="1"/>
  <c r="EO128" i="1"/>
  <c r="EU127" i="1"/>
  <c r="EO127" i="1"/>
  <c r="EU126" i="1"/>
  <c r="EO126" i="1"/>
  <c r="EU125" i="1"/>
  <c r="EO125" i="1"/>
  <c r="EU124" i="1"/>
  <c r="EO124" i="1"/>
  <c r="EU123" i="1"/>
  <c r="EO123" i="1"/>
  <c r="EU122" i="1"/>
  <c r="EO122" i="1"/>
  <c r="EU121" i="1"/>
  <c r="EO121" i="1"/>
  <c r="EU120" i="1"/>
  <c r="EO120" i="1"/>
  <c r="EU119" i="1"/>
  <c r="EO119" i="1"/>
  <c r="EU118" i="1"/>
  <c r="EO118" i="1"/>
  <c r="EU117" i="1"/>
  <c r="EO117" i="1"/>
  <c r="EU116" i="1"/>
  <c r="EO116" i="1"/>
  <c r="EU115" i="1"/>
  <c r="EO115" i="1"/>
  <c r="EU114" i="1"/>
  <c r="EO114" i="1"/>
  <c r="EU113" i="1"/>
  <c r="EO113" i="1"/>
  <c r="EU112" i="1"/>
  <c r="EO112" i="1"/>
  <c r="EU111" i="1"/>
  <c r="EO111" i="1"/>
  <c r="EU110" i="1"/>
  <c r="EO110" i="1"/>
  <c r="EU109" i="1"/>
  <c r="EO109" i="1"/>
  <c r="EU108" i="1"/>
  <c r="EO108" i="1"/>
  <c r="EU107" i="1"/>
  <c r="EO107" i="1"/>
  <c r="EU106" i="1"/>
  <c r="EO106" i="1"/>
  <c r="EU105" i="1"/>
  <c r="EO105" i="1"/>
  <c r="EU104" i="1"/>
  <c r="EO104" i="1"/>
  <c r="EU103" i="1"/>
  <c r="EO103" i="1"/>
  <c r="EU102" i="1"/>
  <c r="EO102" i="1"/>
  <c r="EU101" i="1"/>
  <c r="EO101" i="1"/>
  <c r="EU100" i="1"/>
  <c r="EO100" i="1"/>
  <c r="EU99" i="1"/>
  <c r="EO99" i="1"/>
  <c r="EU98" i="1"/>
  <c r="EO98" i="1"/>
  <c r="EU97" i="1"/>
  <c r="EO97" i="1"/>
  <c r="EU96" i="1"/>
  <c r="EO96" i="1"/>
  <c r="EU95" i="1"/>
  <c r="EO95" i="1"/>
  <c r="EU94" i="1"/>
  <c r="EO94" i="1"/>
  <c r="EU93" i="1"/>
  <c r="EO93" i="1"/>
  <c r="EU92" i="1"/>
  <c r="EO92" i="1"/>
  <c r="EU91" i="1"/>
  <c r="EO91" i="1"/>
  <c r="EU90" i="1"/>
  <c r="EO90" i="1"/>
  <c r="EU89" i="1"/>
  <c r="EO89" i="1"/>
  <c r="EU88" i="1"/>
  <c r="EO88" i="1"/>
  <c r="EU87" i="1"/>
  <c r="EO87" i="1"/>
  <c r="EU86" i="1"/>
  <c r="EO86" i="1"/>
  <c r="EU85" i="1"/>
  <c r="EO85" i="1"/>
  <c r="EU84" i="1"/>
  <c r="EO84" i="1"/>
  <c r="EU83" i="1"/>
  <c r="EO83" i="1"/>
  <c r="EU82" i="1"/>
  <c r="EO82" i="1"/>
  <c r="EU81" i="1"/>
  <c r="EO81" i="1"/>
  <c r="EU80" i="1"/>
  <c r="EO80" i="1"/>
  <c r="EU79" i="1"/>
  <c r="EO79" i="1"/>
  <c r="EU78" i="1"/>
  <c r="EO78" i="1"/>
  <c r="EU77" i="1"/>
  <c r="EO77" i="1"/>
  <c r="EU76" i="1"/>
  <c r="EO76" i="1"/>
  <c r="EU75" i="1"/>
  <c r="EO75" i="1"/>
  <c r="EU74" i="1"/>
  <c r="EO74" i="1"/>
  <c r="EU73" i="1"/>
  <c r="EO73" i="1"/>
  <c r="EU72" i="1"/>
  <c r="EO72" i="1"/>
  <c r="EU71" i="1"/>
  <c r="EO71" i="1"/>
  <c r="EU70" i="1"/>
  <c r="EO70" i="1"/>
  <c r="EU69" i="1"/>
  <c r="EO69" i="1"/>
  <c r="EU68" i="1"/>
  <c r="EO68" i="1"/>
  <c r="EU67" i="1"/>
  <c r="EO67" i="1"/>
  <c r="EU66" i="1"/>
  <c r="EO66" i="1"/>
  <c r="EU65" i="1"/>
  <c r="EO65" i="1"/>
  <c r="EU64" i="1"/>
  <c r="EO64" i="1"/>
  <c r="EU63" i="1"/>
  <c r="EO63" i="1"/>
  <c r="EU62" i="1"/>
  <c r="EO62" i="1"/>
  <c r="EU61" i="1"/>
  <c r="EO61" i="1"/>
  <c r="EU60" i="1"/>
  <c r="EO60" i="1"/>
  <c r="EU59" i="1"/>
  <c r="EO59" i="1"/>
  <c r="EU58" i="1"/>
  <c r="EO58" i="1"/>
  <c r="EU57" i="1"/>
  <c r="EO57" i="1"/>
  <c r="EU56" i="1"/>
  <c r="EO56" i="1"/>
  <c r="EU55" i="1"/>
  <c r="EO55" i="1"/>
  <c r="EU54" i="1"/>
  <c r="EO54" i="1"/>
  <c r="EU53" i="1"/>
  <c r="EO53" i="1"/>
  <c r="EU52" i="1"/>
  <c r="EO52" i="1"/>
  <c r="EU51" i="1"/>
  <c r="EO51" i="1"/>
  <c r="EU50" i="1"/>
  <c r="EO50" i="1"/>
  <c r="EU49" i="1"/>
  <c r="EO49" i="1"/>
  <c r="EU48" i="1"/>
  <c r="EO48" i="1"/>
  <c r="EU47" i="1"/>
  <c r="EO47" i="1"/>
  <c r="EU46" i="1"/>
  <c r="EO46" i="1"/>
  <c r="EU45" i="1"/>
  <c r="EO45" i="1"/>
  <c r="EU44" i="1"/>
  <c r="EO44" i="1"/>
  <c r="EU43" i="1"/>
  <c r="EO43" i="1"/>
  <c r="EU42" i="1"/>
  <c r="EO42" i="1"/>
  <c r="EU41" i="1"/>
  <c r="EO41" i="1"/>
  <c r="EU40" i="1"/>
  <c r="EO40" i="1"/>
  <c r="EU39" i="1"/>
  <c r="EO39" i="1"/>
  <c r="EU38" i="1"/>
  <c r="EO38" i="1"/>
  <c r="EU37" i="1"/>
  <c r="EO37" i="1"/>
  <c r="EO36" i="1"/>
  <c r="EU35" i="1"/>
  <c r="EO35" i="1"/>
  <c r="EU34" i="1"/>
  <c r="EO34" i="1"/>
  <c r="EU33" i="1"/>
  <c r="EO33" i="1"/>
  <c r="EU32" i="1"/>
  <c r="EO32" i="1"/>
  <c r="EU31" i="1"/>
  <c r="EO31" i="1"/>
  <c r="EU30" i="1"/>
  <c r="EO30" i="1"/>
  <c r="EU29" i="1"/>
  <c r="EO29" i="1"/>
  <c r="EU28" i="1"/>
  <c r="EO28" i="1"/>
  <c r="EU27" i="1"/>
  <c r="EO27" i="1"/>
  <c r="EU26" i="1"/>
  <c r="EO26" i="1"/>
  <c r="EU25" i="1"/>
  <c r="EO25" i="1"/>
  <c r="EU24" i="1"/>
  <c r="EO24" i="1"/>
  <c r="EU23" i="1"/>
  <c r="EO23" i="1"/>
  <c r="EU22" i="1"/>
  <c r="EO22" i="1"/>
  <c r="EU21" i="1"/>
  <c r="EO21" i="1"/>
  <c r="EU20" i="1"/>
  <c r="EO20" i="1"/>
  <c r="EU19" i="1"/>
  <c r="EO19" i="1"/>
  <c r="EU18" i="1"/>
  <c r="EO18" i="1"/>
  <c r="EU17" i="1"/>
  <c r="EO17" i="1"/>
  <c r="EU16" i="1"/>
  <c r="EO16" i="1"/>
  <c r="EU15" i="1"/>
  <c r="EO15" i="1"/>
  <c r="EU14" i="1"/>
  <c r="EO14" i="1"/>
  <c r="EU13" i="1"/>
  <c r="EO13" i="1"/>
  <c r="EU12" i="1"/>
  <c r="EO12" i="1"/>
  <c r="EU11" i="1"/>
  <c r="EO11" i="1"/>
  <c r="EU10" i="1"/>
  <c r="EO10" i="1"/>
  <c r="EU9" i="1"/>
  <c r="EO9" i="1"/>
  <c r="EU8" i="1"/>
  <c r="EO8" i="1"/>
  <c r="EU7" i="1"/>
  <c r="EO7" i="1"/>
  <c r="EU6" i="1"/>
  <c r="EO6" i="1"/>
  <c r="EU5" i="1"/>
  <c r="EO5" i="1"/>
  <c r="EU4" i="1"/>
  <c r="EO4" i="1"/>
  <c r="EU3" i="1"/>
  <c r="EO3" i="1"/>
  <c r="J2119" i="1"/>
  <c r="K2119" i="1"/>
  <c r="J950" i="1"/>
  <c r="J980" i="1"/>
  <c r="J1672" i="1"/>
  <c r="K1672" i="1"/>
  <c r="K897" i="1"/>
  <c r="J680" i="1"/>
  <c r="J1545" i="1"/>
  <c r="J2053" i="1"/>
  <c r="K2053" i="1"/>
  <c r="M2053" i="1"/>
  <c r="M2394" i="1"/>
  <c r="J2394" i="1"/>
  <c r="K2394" i="1"/>
  <c r="J1544" i="1"/>
  <c r="K1544" i="1"/>
  <c r="J2054" i="1"/>
  <c r="K2054" i="1"/>
  <c r="J641" i="1"/>
  <c r="M1862" i="1"/>
  <c r="K1862" i="1"/>
  <c r="J1862" i="1"/>
  <c r="M1601" i="1"/>
  <c r="K1601" i="1"/>
  <c r="J1601" i="1"/>
  <c r="J1979" i="1"/>
  <c r="K1979" i="1"/>
  <c r="M2391" i="1"/>
  <c r="K1675" i="1"/>
  <c r="J1369" i="1"/>
  <c r="J877" i="1"/>
  <c r="K877" i="1"/>
  <c r="J1528" i="1"/>
  <c r="J949" i="1"/>
  <c r="J948" i="1"/>
  <c r="J587" i="1"/>
  <c r="J947" i="1"/>
  <c r="J2193" i="1"/>
  <c r="J889" i="1"/>
  <c r="J1439" i="1"/>
  <c r="K1439" i="1"/>
  <c r="J2359" i="1"/>
  <c r="J1376" i="1"/>
  <c r="J1675" i="1"/>
  <c r="J2020" i="1"/>
  <c r="K2020" i="1"/>
  <c r="J1700" i="1"/>
  <c r="J1726" i="1"/>
  <c r="K1726" i="1"/>
  <c r="J942" i="1"/>
  <c r="K942" i="1"/>
  <c r="J1592" i="1"/>
  <c r="K1592" i="1"/>
  <c r="J2188" i="1"/>
  <c r="J2189" i="1"/>
  <c r="J1045" i="1"/>
  <c r="K1045" i="1"/>
  <c r="J1047" i="1"/>
  <c r="J535" i="1"/>
  <c r="J1227" i="1"/>
  <c r="K1227" i="1"/>
  <c r="J761" i="1"/>
  <c r="J1131" i="1"/>
  <c r="K788" i="1"/>
  <c r="J788" i="1"/>
  <c r="J601" i="1"/>
  <c r="J360" i="1"/>
  <c r="M1715" i="1"/>
  <c r="M1039" i="1"/>
  <c r="J1039" i="1"/>
  <c r="K1039" i="1"/>
  <c r="M1579" i="1"/>
  <c r="L1579" i="1"/>
  <c r="J1200" i="1"/>
  <c r="J736" i="1"/>
  <c r="J1768" i="1"/>
  <c r="K1768" i="1"/>
  <c r="M1464" i="1"/>
  <c r="M2045" i="1"/>
  <c r="L1893" i="1"/>
  <c r="M1893" i="1"/>
  <c r="M1553" i="1"/>
  <c r="M1666" i="1"/>
  <c r="M1648" i="1"/>
  <c r="J1646" i="1"/>
  <c r="K1646" i="1"/>
  <c r="J1548" i="1"/>
  <c r="K1548" i="1"/>
  <c r="M1644" i="1"/>
  <c r="M1296" i="1"/>
  <c r="M2092" i="1"/>
  <c r="M1295" i="1"/>
  <c r="J1990" i="1"/>
  <c r="K1990" i="1"/>
  <c r="L1834" i="1"/>
  <c r="M1834" i="1"/>
  <c r="M1638" i="1"/>
  <c r="J2282" i="1"/>
  <c r="J2094" i="1"/>
  <c r="K2094" i="1"/>
  <c r="J1918" i="1"/>
  <c r="K1918" i="1"/>
  <c r="CV2217" i="1"/>
  <c r="Y2217" i="1" s="1"/>
  <c r="AB2217" i="1"/>
  <c r="AA2217" i="1"/>
  <c r="Z2217" i="1"/>
  <c r="CV2276" i="1"/>
  <c r="Y2276" i="1" s="1"/>
  <c r="AB2276" i="1"/>
  <c r="AA2276" i="1"/>
  <c r="Z2276" i="1"/>
  <c r="CV2296" i="1"/>
  <c r="Y2296" i="1" s="1"/>
  <c r="AB2296" i="1"/>
  <c r="AA2296" i="1"/>
  <c r="Z2296" i="1"/>
  <c r="CV2295" i="1"/>
  <c r="Y2295" i="1"/>
  <c r="AB2295" i="1"/>
  <c r="AA2295" i="1"/>
  <c r="Z2295" i="1"/>
  <c r="CV2294" i="1"/>
  <c r="Y2294" i="1" s="1"/>
  <c r="AB2294" i="1"/>
  <c r="AA2294" i="1"/>
  <c r="Z2294" i="1"/>
  <c r="CV2223" i="1"/>
  <c r="Y2223" i="1" s="1"/>
  <c r="AB2223" i="1"/>
  <c r="AA2223" i="1"/>
  <c r="Z2223" i="1"/>
  <c r="CV2191" i="1"/>
  <c r="Y2191" i="1" s="1"/>
  <c r="AB2191" i="1"/>
  <c r="AA2191" i="1"/>
  <c r="Z2191" i="1"/>
  <c r="CV2215" i="1"/>
  <c r="Y2215" i="1"/>
  <c r="AB2215" i="1"/>
  <c r="AA2215" i="1"/>
  <c r="Z2215" i="1"/>
  <c r="CV2210" i="1"/>
  <c r="Y2210" i="1" s="1"/>
  <c r="AB2210" i="1"/>
  <c r="AA2210" i="1"/>
  <c r="Z2210" i="1"/>
  <c r="CV2209" i="1"/>
  <c r="Y2209" i="1" s="1"/>
  <c r="AB2209" i="1"/>
  <c r="AA2209" i="1"/>
  <c r="Z2209" i="1"/>
  <c r="CV2206" i="1"/>
  <c r="Y2206" i="1" s="1"/>
  <c r="AB2206" i="1"/>
  <c r="AA2206" i="1"/>
  <c r="Z2206" i="1"/>
  <c r="CV2202" i="1"/>
  <c r="Y2202" i="1"/>
  <c r="AB2202" i="1"/>
  <c r="AA2202" i="1"/>
  <c r="Z2202" i="1"/>
  <c r="CV2200" i="1"/>
  <c r="Y2200" i="1" s="1"/>
  <c r="AB2200" i="1"/>
  <c r="AA2200" i="1"/>
  <c r="Z2200" i="1"/>
  <c r="CV2205" i="1"/>
  <c r="Y2205" i="1" s="1"/>
  <c r="AB2205" i="1"/>
  <c r="AA2205" i="1"/>
  <c r="Z2205" i="1"/>
  <c r="CV2199" i="1"/>
  <c r="Y2199" i="1" s="1"/>
  <c r="AB2199" i="1"/>
  <c r="AA2199" i="1"/>
  <c r="Z2199" i="1"/>
  <c r="CV2213" i="1"/>
  <c r="Y2213" i="1"/>
  <c r="AE2213" i="1" s="1"/>
  <c r="AB2213" i="1"/>
  <c r="AA2213" i="1"/>
  <c r="Z2213" i="1"/>
  <c r="CV2207" i="1"/>
  <c r="Y2207" i="1" s="1"/>
  <c r="AB2207" i="1"/>
  <c r="AA2207" i="1"/>
  <c r="Z2207" i="1"/>
  <c r="CV2204" i="1"/>
  <c r="Y2204" i="1" s="1"/>
  <c r="AB2204" i="1"/>
  <c r="AA2204" i="1"/>
  <c r="Z2204" i="1"/>
  <c r="CV2197" i="1"/>
  <c r="Y2197" i="1"/>
  <c r="AB2197" i="1"/>
  <c r="AA2197" i="1"/>
  <c r="Z2197" i="1"/>
  <c r="CV2211" i="1"/>
  <c r="Y2211" i="1" s="1"/>
  <c r="AB2211" i="1"/>
  <c r="AA2211" i="1"/>
  <c r="Z2211" i="1"/>
  <c r="CV2187" i="1"/>
  <c r="Y2187" i="1" s="1"/>
  <c r="AB2187" i="1"/>
  <c r="AA2187" i="1"/>
  <c r="Z2187" i="1"/>
  <c r="CV2188" i="1"/>
  <c r="Y2188" i="1" s="1"/>
  <c r="AB2188" i="1"/>
  <c r="AA2188" i="1"/>
  <c r="Z2188" i="1"/>
  <c r="CV2192" i="1"/>
  <c r="Y2192" i="1"/>
  <c r="AB2192" i="1"/>
  <c r="AA2192" i="1"/>
  <c r="Z2192" i="1"/>
  <c r="CV2190" i="1"/>
  <c r="Y2190" i="1" s="1"/>
  <c r="AB2190" i="1"/>
  <c r="AA2190" i="1"/>
  <c r="Z2190" i="1"/>
  <c r="CV2189" i="1"/>
  <c r="Y2189" i="1" s="1"/>
  <c r="AB2189" i="1"/>
  <c r="AA2189" i="1"/>
  <c r="Z2189" i="1"/>
  <c r="CV2303" i="1"/>
  <c r="Y2303" i="1" s="1"/>
  <c r="AB2303" i="1"/>
  <c r="AA2303" i="1"/>
  <c r="Z2303" i="1"/>
  <c r="CV2302" i="1"/>
  <c r="Y2302" i="1"/>
  <c r="AB2302" i="1"/>
  <c r="AA2302" i="1"/>
  <c r="Z2302" i="1"/>
  <c r="CV2301" i="1"/>
  <c r="Y2301" i="1" s="1"/>
  <c r="AB2301" i="1"/>
  <c r="AA2301" i="1"/>
  <c r="Z2301" i="1"/>
  <c r="CV744" i="1"/>
  <c r="Y744" i="1" s="1"/>
  <c r="AB744" i="1"/>
  <c r="AA744" i="1"/>
  <c r="Z744" i="1"/>
  <c r="CV2300" i="1"/>
  <c r="Y2300" i="1" s="1"/>
  <c r="AB2300" i="1"/>
  <c r="AA2300" i="1"/>
  <c r="Z2300" i="1"/>
  <c r="CV2299" i="1"/>
  <c r="Y2299" i="1"/>
  <c r="AB2299" i="1"/>
  <c r="AA2299" i="1"/>
  <c r="Z2299" i="1"/>
  <c r="CV2298" i="1"/>
  <c r="Y2298" i="1" s="1"/>
  <c r="AE2298" i="1" s="1"/>
  <c r="AB2298" i="1"/>
  <c r="AA2298" i="1"/>
  <c r="Z2298" i="1"/>
  <c r="CV1886" i="1"/>
  <c r="Y1886" i="1" s="1"/>
  <c r="AB1886" i="1"/>
  <c r="AA1886" i="1"/>
  <c r="Z1886" i="1"/>
  <c r="CV2274" i="1"/>
  <c r="Y2274" i="1"/>
  <c r="AB2274" i="1"/>
  <c r="AA2274" i="1"/>
  <c r="Z2274" i="1"/>
  <c r="CV2275" i="1"/>
  <c r="Y2275" i="1" s="1"/>
  <c r="AB2275" i="1"/>
  <c r="AA2275" i="1"/>
  <c r="Z2275" i="1"/>
  <c r="CV2272" i="1"/>
  <c r="Y2272" i="1"/>
  <c r="AB2272" i="1"/>
  <c r="AA2272" i="1"/>
  <c r="Z2272" i="1"/>
  <c r="CV2271" i="1"/>
  <c r="Y2271" i="1" s="1"/>
  <c r="AB2271" i="1"/>
  <c r="AA2271" i="1"/>
  <c r="Z2271" i="1"/>
  <c r="CV2270" i="1"/>
  <c r="Y2270" i="1"/>
  <c r="AB2270" i="1"/>
  <c r="AA2270" i="1"/>
  <c r="Z2270" i="1"/>
  <c r="CV2269" i="1"/>
  <c r="Y2269" i="1" s="1"/>
  <c r="AB2269" i="1"/>
  <c r="AA2269" i="1"/>
  <c r="Z2269" i="1"/>
  <c r="CV2268" i="1"/>
  <c r="Y2268" i="1"/>
  <c r="AB2268" i="1"/>
  <c r="AA2268" i="1"/>
  <c r="Z2268" i="1"/>
  <c r="CV2266" i="1"/>
  <c r="Y2266" i="1" s="1"/>
  <c r="AB2266" i="1"/>
  <c r="AA2266" i="1"/>
  <c r="Z2266" i="1"/>
  <c r="CV2265" i="1"/>
  <c r="Y2265" i="1"/>
  <c r="AB2265" i="1"/>
  <c r="AA2265" i="1"/>
  <c r="Z2265" i="1"/>
  <c r="CV2264" i="1"/>
  <c r="Y2264" i="1" s="1"/>
  <c r="AB2264" i="1"/>
  <c r="AA2264" i="1"/>
  <c r="Z2264" i="1"/>
  <c r="CV2263" i="1"/>
  <c r="Y2263" i="1"/>
  <c r="AB2263" i="1"/>
  <c r="AA2263" i="1"/>
  <c r="Z2263" i="1"/>
  <c r="CV2262" i="1"/>
  <c r="Y2262" i="1" s="1"/>
  <c r="AB2262" i="1"/>
  <c r="AA2262" i="1"/>
  <c r="Z2262" i="1"/>
  <c r="CV2261" i="1"/>
  <c r="Y2261" i="1"/>
  <c r="AB2261" i="1"/>
  <c r="AA2261" i="1"/>
  <c r="Z2261" i="1"/>
  <c r="K1865" i="1"/>
  <c r="J1865" i="1"/>
  <c r="M2321" i="1"/>
  <c r="M2084" i="1"/>
  <c r="L2321" i="1"/>
  <c r="K1475" i="1"/>
  <c r="J1475" i="1"/>
  <c r="M2066" i="1"/>
  <c r="K2066" i="1"/>
  <c r="J2066" i="1"/>
  <c r="M2373" i="1"/>
  <c r="J2373" i="1"/>
  <c r="K2373" i="1"/>
  <c r="J1714" i="1"/>
  <c r="J1759" i="1"/>
  <c r="K1759" i="1"/>
  <c r="L2347" i="1"/>
  <c r="J2347" i="1"/>
  <c r="K2347" i="1"/>
  <c r="J2320" i="1"/>
  <c r="K2320" i="1"/>
  <c r="J2352" i="1"/>
  <c r="K2352" i="1"/>
  <c r="J1769" i="1"/>
  <c r="J2108" i="1"/>
  <c r="M2108" i="1"/>
  <c r="K2108" i="1"/>
  <c r="M1775" i="1"/>
  <c r="J1775" i="1"/>
  <c r="K1775" i="1"/>
  <c r="M1856" i="1"/>
  <c r="J1856" i="1"/>
  <c r="J1973" i="1"/>
  <c r="J1275" i="1"/>
  <c r="K1275" i="1"/>
  <c r="J857" i="1"/>
  <c r="J1774" i="1"/>
  <c r="K1774" i="1"/>
  <c r="M1568" i="1"/>
  <c r="J1568" i="1"/>
  <c r="K1568" i="1"/>
  <c r="J1895" i="1"/>
  <c r="J501" i="1"/>
  <c r="J2049" i="1"/>
  <c r="J1384" i="1"/>
  <c r="J1512" i="1"/>
  <c r="K1512" i="1"/>
  <c r="J1523" i="1"/>
  <c r="M1261" i="1"/>
  <c r="J1114" i="1"/>
  <c r="K1114" i="1"/>
  <c r="J1884" i="1"/>
  <c r="M549" i="1"/>
  <c r="J2313" i="1"/>
  <c r="J1950" i="1"/>
  <c r="J1669" i="1"/>
  <c r="J1511" i="1"/>
  <c r="J1822" i="1"/>
  <c r="J2325" i="1"/>
  <c r="K2325" i="1"/>
  <c r="J2048" i="1"/>
  <c r="K2048" i="1"/>
  <c r="J1883" i="1"/>
  <c r="J1972" i="1"/>
  <c r="M2047" i="1"/>
  <c r="M2046" i="1"/>
  <c r="J2046" i="1"/>
  <c r="K2046" i="1"/>
  <c r="M2328" i="1"/>
  <c r="J2328" i="1"/>
  <c r="K2328" i="1"/>
  <c r="M1707" i="1"/>
  <c r="J1821" i="1"/>
  <c r="K1821" i="1"/>
  <c r="J2031" i="1"/>
  <c r="K2031" i="1"/>
  <c r="J1651" i="1"/>
  <c r="K1651" i="1"/>
  <c r="M2132" i="1"/>
  <c r="J2132" i="1"/>
  <c r="M1855" i="1"/>
  <c r="J1855" i="1"/>
  <c r="K1855" i="1"/>
  <c r="J1854" i="1"/>
  <c r="J2030" i="1"/>
  <c r="J1853" i="1"/>
  <c r="J2339" i="1"/>
  <c r="K2339" i="1"/>
  <c r="J1383" i="1"/>
  <c r="J1390" i="1"/>
  <c r="J2278" i="1"/>
  <c r="J2277" i="1"/>
  <c r="K2277" i="1"/>
  <c r="J2279" i="1"/>
  <c r="J2280" i="1"/>
  <c r="J1749" i="1"/>
  <c r="K1749" i="1"/>
  <c r="J1798" i="1"/>
  <c r="J555" i="1"/>
  <c r="K1798" i="1"/>
  <c r="J2052" i="1"/>
  <c r="J1472" i="1"/>
  <c r="J1860" i="1"/>
  <c r="K1860" i="1"/>
  <c r="J1530" i="1"/>
  <c r="K1530" i="1"/>
  <c r="J1656" i="1"/>
  <c r="K1656" i="1"/>
  <c r="J2037" i="1"/>
  <c r="K1234" i="1"/>
  <c r="M1530" i="1"/>
  <c r="K2037" i="1"/>
  <c r="J2087" i="1"/>
  <c r="K2087" i="1"/>
  <c r="J1331" i="1"/>
  <c r="J2116" i="1"/>
  <c r="K2116" i="1"/>
  <c r="J1676" i="1"/>
  <c r="K1676" i="1"/>
  <c r="J2196" i="1"/>
  <c r="K2196" i="1"/>
  <c r="J852" i="1"/>
  <c r="J675" i="1"/>
  <c r="K852" i="1"/>
  <c r="J1030" i="1"/>
  <c r="K1030" i="1"/>
  <c r="J866" i="1"/>
  <c r="J2305" i="1"/>
  <c r="K2305" i="1"/>
  <c r="J1035" i="1"/>
  <c r="K1035" i="1"/>
  <c r="J919" i="1"/>
  <c r="J2073" i="1"/>
  <c r="K919" i="1"/>
  <c r="J2372" i="1"/>
  <c r="K2372" i="1"/>
  <c r="J2337" i="1"/>
  <c r="J1625" i="1"/>
  <c r="J827" i="1"/>
  <c r="J1623" i="1"/>
  <c r="J826" i="1"/>
  <c r="J860" i="1"/>
  <c r="K860" i="1"/>
  <c r="J1839" i="1"/>
  <c r="J1116" i="1"/>
  <c r="J803" i="1"/>
  <c r="J802" i="1"/>
  <c r="J1934" i="1"/>
  <c r="J1576" i="1"/>
  <c r="J1575" i="1"/>
  <c r="J1083" i="1"/>
  <c r="M991" i="1"/>
  <c r="L991" i="1"/>
  <c r="J991" i="1"/>
  <c r="K991" i="1"/>
  <c r="J2385" i="1"/>
  <c r="J2384" i="1"/>
  <c r="J1591" i="1"/>
  <c r="K1591" i="1"/>
  <c r="J1999" i="1"/>
  <c r="J1358" i="1"/>
  <c r="J1723" i="1"/>
  <c r="J1958" i="1"/>
  <c r="J428" i="1"/>
  <c r="J1620" i="1"/>
  <c r="J1574" i="1"/>
  <c r="J1722" i="1"/>
  <c r="J1998" i="1"/>
  <c r="J1857" i="1"/>
  <c r="J1617" i="1"/>
  <c r="J822" i="1"/>
  <c r="J821" i="1"/>
  <c r="J1616" i="1"/>
  <c r="J1615" i="1"/>
  <c r="J1614" i="1"/>
  <c r="J1612" i="1"/>
  <c r="J564" i="1"/>
  <c r="J1277" i="1"/>
  <c r="K1277" i="1"/>
  <c r="Z3" i="1"/>
  <c r="AA3" i="1"/>
  <c r="AB3" i="1"/>
  <c r="CV3" i="1"/>
  <c r="Y3" i="1" s="1"/>
  <c r="Z4" i="1"/>
  <c r="AA4" i="1"/>
  <c r="AB4" i="1"/>
  <c r="CV4" i="1"/>
  <c r="Y4" i="1" s="1"/>
  <c r="Z5" i="1"/>
  <c r="AA5" i="1"/>
  <c r="AB5" i="1"/>
  <c r="CV5" i="1"/>
  <c r="Y5" i="1"/>
  <c r="Z6" i="1"/>
  <c r="AA6" i="1"/>
  <c r="AB6" i="1"/>
  <c r="CV6" i="1"/>
  <c r="Y6" i="1" s="1"/>
  <c r="Z7" i="1"/>
  <c r="AA7" i="1"/>
  <c r="AB7" i="1"/>
  <c r="CV7" i="1"/>
  <c r="Y7" i="1" s="1"/>
  <c r="J8" i="1"/>
  <c r="K8" i="1"/>
  <c r="Z8" i="1"/>
  <c r="AA8" i="1"/>
  <c r="AB8" i="1"/>
  <c r="CV8" i="1"/>
  <c r="Y8" i="1" s="1"/>
  <c r="Z9" i="1"/>
  <c r="AA9" i="1"/>
  <c r="CV9" i="1"/>
  <c r="Y9" i="1" s="1"/>
  <c r="CX9" i="1"/>
  <c r="AB9" i="1" s="1"/>
  <c r="Z10" i="1"/>
  <c r="AB10" i="1"/>
  <c r="CV10" i="1"/>
  <c r="Y10" i="1" s="1"/>
  <c r="DC10" i="1"/>
  <c r="DD10" i="1"/>
  <c r="Z11" i="1"/>
  <c r="AA11" i="1"/>
  <c r="AB11" i="1"/>
  <c r="AC11" i="1"/>
  <c r="CV11" i="1"/>
  <c r="Y11" i="1" s="1"/>
  <c r="M12" i="1"/>
  <c r="Z12" i="1"/>
  <c r="AA12" i="1"/>
  <c r="AB12" i="1"/>
  <c r="CV12" i="1"/>
  <c r="Y12" i="1" s="1"/>
  <c r="Z13" i="1"/>
  <c r="AA13" i="1"/>
  <c r="AB13" i="1"/>
  <c r="AC13" i="1"/>
  <c r="CV13" i="1"/>
  <c r="Y13" i="1" s="1"/>
  <c r="J14" i="1"/>
  <c r="AA14" i="1"/>
  <c r="AB14" i="1"/>
  <c r="CV14" i="1"/>
  <c r="Y14" i="1"/>
  <c r="AE14" i="1" s="1"/>
  <c r="CZ14" i="1"/>
  <c r="Z14" i="1" s="1"/>
  <c r="Z15" i="1"/>
  <c r="AA15" i="1"/>
  <c r="AB15" i="1"/>
  <c r="CV15" i="1"/>
  <c r="Y15" i="1"/>
  <c r="V16" i="1"/>
  <c r="Z16" i="1"/>
  <c r="AA16" i="1"/>
  <c r="AB16" i="1"/>
  <c r="CV16" i="1"/>
  <c r="Y16" i="1" s="1"/>
  <c r="J17" i="1"/>
  <c r="AA17" i="1"/>
  <c r="AB17" i="1"/>
  <c r="CV17" i="1"/>
  <c r="Y17" i="1" s="1"/>
  <c r="AE17" i="1"/>
  <c r="CZ17" i="1"/>
  <c r="Z17" i="1" s="1"/>
  <c r="Z18" i="1"/>
  <c r="AA18" i="1"/>
  <c r="AB18" i="1"/>
  <c r="CV18" i="1"/>
  <c r="Y18" i="1" s="1"/>
  <c r="Z19" i="1"/>
  <c r="AA19" i="1"/>
  <c r="AB19" i="1"/>
  <c r="AC19" i="1"/>
  <c r="CV19" i="1"/>
  <c r="Y19" i="1" s="1"/>
  <c r="Z20" i="1"/>
  <c r="AA20" i="1"/>
  <c r="AB20" i="1"/>
  <c r="CV20" i="1"/>
  <c r="Y20" i="1" s="1"/>
  <c r="Z21" i="1"/>
  <c r="AA21" i="1"/>
  <c r="AB21" i="1"/>
  <c r="AC21" i="1"/>
  <c r="CV21" i="1"/>
  <c r="Y21" i="1" s="1"/>
  <c r="AE21" i="1" s="1"/>
  <c r="Z22" i="1"/>
  <c r="AA22" i="1"/>
  <c r="AB22" i="1"/>
  <c r="AC22" i="1"/>
  <c r="CV22" i="1"/>
  <c r="Y22" i="1"/>
  <c r="AE22" i="1" s="1"/>
  <c r="AA23" i="1"/>
  <c r="AB23" i="1"/>
  <c r="CV23" i="1"/>
  <c r="Y23" i="1" s="1"/>
  <c r="AE23" i="1" s="1"/>
  <c r="CZ23" i="1"/>
  <c r="Z23" i="1"/>
  <c r="Z24" i="1"/>
  <c r="AA24" i="1"/>
  <c r="AB24" i="1"/>
  <c r="CV24" i="1"/>
  <c r="Y24" i="1" s="1"/>
  <c r="Z25" i="1"/>
  <c r="AA25" i="1"/>
  <c r="AB25" i="1"/>
  <c r="CV25" i="1"/>
  <c r="Y25" i="1" s="1"/>
  <c r="Z26" i="1"/>
  <c r="AA26" i="1"/>
  <c r="AB26" i="1"/>
  <c r="CV26" i="1"/>
  <c r="Y26" i="1" s="1"/>
  <c r="Z27" i="1"/>
  <c r="AA27" i="1"/>
  <c r="AB27" i="1"/>
  <c r="CV27" i="1"/>
  <c r="Y27" i="1"/>
  <c r="Z28" i="1"/>
  <c r="AA28" i="1"/>
  <c r="AB28" i="1"/>
  <c r="CV28" i="1"/>
  <c r="Y28" i="1" s="1"/>
  <c r="Z29" i="1"/>
  <c r="AA29" i="1"/>
  <c r="AB29" i="1"/>
  <c r="CV29" i="1"/>
  <c r="Y29" i="1" s="1"/>
  <c r="Z30" i="1"/>
  <c r="AA30" i="1"/>
  <c r="AB30" i="1"/>
  <c r="CV30" i="1"/>
  <c r="Y30" i="1" s="1"/>
  <c r="Z31" i="1"/>
  <c r="AA31" i="1"/>
  <c r="AB31" i="1"/>
  <c r="CV31" i="1"/>
  <c r="Y31" i="1"/>
  <c r="AE31" i="1" s="1"/>
  <c r="Z32" i="1"/>
  <c r="AA32" i="1"/>
  <c r="AB32" i="1"/>
  <c r="AC32" i="1"/>
  <c r="CV32" i="1"/>
  <c r="Y32" i="1" s="1"/>
  <c r="J33" i="1"/>
  <c r="Z33" i="1"/>
  <c r="AA33" i="1"/>
  <c r="CQ33" i="1"/>
  <c r="CS33" i="1"/>
  <c r="CX33" i="1"/>
  <c r="AB33" i="1" s="1"/>
  <c r="Z34" i="1"/>
  <c r="AA34" i="1"/>
  <c r="AB34" i="1"/>
  <c r="CA34" i="1"/>
  <c r="Z35" i="1"/>
  <c r="AA35" i="1"/>
  <c r="AB35" i="1"/>
  <c r="AC35" i="1"/>
  <c r="CV35" i="1"/>
  <c r="Y35" i="1" s="1"/>
  <c r="J36" i="1"/>
  <c r="Z36" i="1"/>
  <c r="AB36" i="1"/>
  <c r="AC36" i="1"/>
  <c r="CV36" i="1"/>
  <c r="Y36" i="1" s="1"/>
  <c r="DB36" i="1"/>
  <c r="DD36" i="1"/>
  <c r="Z37" i="1"/>
  <c r="AA37" i="1"/>
  <c r="AB37" i="1"/>
  <c r="CV37" i="1"/>
  <c r="Y37" i="1" s="1"/>
  <c r="AE37" i="1" s="1"/>
  <c r="Z38" i="1"/>
  <c r="AA38" i="1"/>
  <c r="AB38" i="1"/>
  <c r="CV38" i="1"/>
  <c r="Y38" i="1"/>
  <c r="K39" i="1"/>
  <c r="Z39" i="1"/>
  <c r="AA39" i="1"/>
  <c r="AB39" i="1"/>
  <c r="CV39" i="1"/>
  <c r="Y39" i="1" s="1"/>
  <c r="Z40" i="1"/>
  <c r="AA40" i="1"/>
  <c r="AE40" i="1" s="1"/>
  <c r="AB40" i="1"/>
  <c r="CV40" i="1"/>
  <c r="Y40" i="1" s="1"/>
  <c r="J41" i="1"/>
  <c r="AA41" i="1"/>
  <c r="AB41" i="1"/>
  <c r="CQ41" i="1"/>
  <c r="CV41" i="1" s="1"/>
  <c r="Y41" i="1" s="1"/>
  <c r="AE41" i="1" s="1"/>
  <c r="CY41" i="1"/>
  <c r="CZ41" i="1"/>
  <c r="Z41" i="1" s="1"/>
  <c r="Z42" i="1"/>
  <c r="AA42" i="1"/>
  <c r="AB42" i="1"/>
  <c r="CV42" i="1"/>
  <c r="Y42" i="1" s="1"/>
  <c r="Z43" i="1"/>
  <c r="AA43" i="1"/>
  <c r="AB43" i="1"/>
  <c r="CV43" i="1"/>
  <c r="Y43" i="1"/>
  <c r="Z44" i="1"/>
  <c r="AA44" i="1"/>
  <c r="AB44" i="1"/>
  <c r="CV44" i="1"/>
  <c r="Y44" i="1" s="1"/>
  <c r="Z45" i="1"/>
  <c r="AA45" i="1"/>
  <c r="AB45" i="1"/>
  <c r="CV45" i="1"/>
  <c r="Y45" i="1" s="1"/>
  <c r="Z46" i="1"/>
  <c r="AA46" i="1"/>
  <c r="AB46" i="1"/>
  <c r="CV46" i="1"/>
  <c r="Y46" i="1" s="1"/>
  <c r="J47" i="1"/>
  <c r="AB47" i="1"/>
  <c r="AW47" i="1"/>
  <c r="BA47" i="1"/>
  <c r="CQ47" i="1"/>
  <c r="CZ47" i="1"/>
  <c r="Z47" i="1" s="1"/>
  <c r="DD47" i="1"/>
  <c r="AA47" i="1"/>
  <c r="Z48" i="1"/>
  <c r="AB48" i="1"/>
  <c r="CV48" i="1"/>
  <c r="Y48" i="1"/>
  <c r="DB48" i="1"/>
  <c r="DD48" i="1"/>
  <c r="Z49" i="1"/>
  <c r="AB49" i="1"/>
  <c r="CV49" i="1"/>
  <c r="Y49" i="1" s="1"/>
  <c r="DB49" i="1"/>
  <c r="DD49" i="1"/>
  <c r="Z50" i="1"/>
  <c r="AA50" i="1"/>
  <c r="AB50" i="1"/>
  <c r="CV50" i="1"/>
  <c r="Y50" i="1" s="1"/>
  <c r="Z51" i="1"/>
  <c r="AA51" i="1"/>
  <c r="AB51" i="1"/>
  <c r="CV51" i="1"/>
  <c r="Y51" i="1" s="1"/>
  <c r="Z52" i="1"/>
  <c r="AA52" i="1"/>
  <c r="AB52" i="1"/>
  <c r="AC52" i="1"/>
  <c r="CV52" i="1"/>
  <c r="Y52" i="1"/>
  <c r="Z53" i="1"/>
  <c r="AA53" i="1"/>
  <c r="AB53" i="1"/>
  <c r="CV53" i="1"/>
  <c r="Y53" i="1" s="1"/>
  <c r="Z54" i="1"/>
  <c r="AA54" i="1"/>
  <c r="AB54" i="1"/>
  <c r="CV54" i="1"/>
  <c r="Y54" i="1" s="1"/>
  <c r="Z55" i="1"/>
  <c r="AA55" i="1"/>
  <c r="AB55" i="1"/>
  <c r="AC55" i="1"/>
  <c r="CV55" i="1"/>
  <c r="Y55" i="1"/>
  <c r="Z56" i="1"/>
  <c r="AA56" i="1"/>
  <c r="AB56" i="1"/>
  <c r="CV56" i="1"/>
  <c r="Y56" i="1" s="1"/>
  <c r="Z57" i="1"/>
  <c r="AA57" i="1"/>
  <c r="AB57" i="1"/>
  <c r="CV57" i="1"/>
  <c r="Y57" i="1" s="1"/>
  <c r="Z58" i="1"/>
  <c r="AA58" i="1"/>
  <c r="AB58" i="1"/>
  <c r="CV58" i="1"/>
  <c r="Y58" i="1" s="1"/>
  <c r="Z59" i="1"/>
  <c r="AA59" i="1"/>
  <c r="AB59" i="1"/>
  <c r="CV59" i="1"/>
  <c r="Y59" i="1"/>
  <c r="Z60" i="1"/>
  <c r="AA60" i="1"/>
  <c r="AB60" i="1"/>
  <c r="CV60" i="1"/>
  <c r="Y60" i="1" s="1"/>
  <c r="Z61" i="1"/>
  <c r="AA61" i="1"/>
  <c r="AB61" i="1"/>
  <c r="CV61" i="1"/>
  <c r="Y61" i="1" s="1"/>
  <c r="J62" i="1"/>
  <c r="K62" i="1"/>
  <c r="Z62" i="1"/>
  <c r="AB62" i="1"/>
  <c r="CV62" i="1"/>
  <c r="Y62" i="1"/>
  <c r="DD62" i="1"/>
  <c r="AA62" i="1" s="1"/>
  <c r="Z63" i="1"/>
  <c r="AA63" i="1"/>
  <c r="AB63" i="1"/>
  <c r="AC63" i="1"/>
  <c r="CV63" i="1"/>
  <c r="Y63" i="1"/>
  <c r="Z64" i="1"/>
  <c r="AA64" i="1"/>
  <c r="AB64" i="1"/>
  <c r="CK64" i="1"/>
  <c r="CQ64" i="1"/>
  <c r="Z65" i="1"/>
  <c r="AA65" i="1"/>
  <c r="AB65" i="1"/>
  <c r="CQ65" i="1"/>
  <c r="CV65" i="1" s="1"/>
  <c r="Y65" i="1" s="1"/>
  <c r="Z66" i="1"/>
  <c r="AA66" i="1"/>
  <c r="AB66" i="1"/>
  <c r="CV66" i="1"/>
  <c r="Y66" i="1"/>
  <c r="Z67" i="1"/>
  <c r="AA67" i="1"/>
  <c r="AB67" i="1"/>
  <c r="CV67" i="1"/>
  <c r="Y67" i="1" s="1"/>
  <c r="Z70" i="1"/>
  <c r="AA70" i="1"/>
  <c r="AB70" i="1"/>
  <c r="CV70" i="1"/>
  <c r="Y70" i="1" s="1"/>
  <c r="Z68" i="1"/>
  <c r="AA68" i="1"/>
  <c r="AB68" i="1"/>
  <c r="CV68" i="1"/>
  <c r="Y68" i="1" s="1"/>
  <c r="Z69" i="1"/>
  <c r="AA69" i="1"/>
  <c r="AB69" i="1"/>
  <c r="CV69" i="1"/>
  <c r="Y69" i="1"/>
  <c r="Z71" i="1"/>
  <c r="AA71" i="1"/>
  <c r="AB71" i="1"/>
  <c r="CV71" i="1"/>
  <c r="Y71" i="1" s="1"/>
  <c r="Z72" i="1"/>
  <c r="AA72" i="1"/>
  <c r="AB72" i="1"/>
  <c r="CV72" i="1"/>
  <c r="Y72" i="1" s="1"/>
  <c r="Z73" i="1"/>
  <c r="AA73" i="1"/>
  <c r="AE73" i="1" s="1"/>
  <c r="AB73" i="1"/>
  <c r="CV73" i="1"/>
  <c r="Y73" i="1" s="1"/>
  <c r="Z74" i="1"/>
  <c r="AA74" i="1"/>
  <c r="AB74" i="1"/>
  <c r="CV74" i="1"/>
  <c r="Y74" i="1" s="1"/>
  <c r="Z75" i="1"/>
  <c r="AA75" i="1"/>
  <c r="AB75" i="1"/>
  <c r="CV75" i="1"/>
  <c r="Y75" i="1" s="1"/>
  <c r="Z76" i="1"/>
  <c r="AA76" i="1"/>
  <c r="AB76" i="1"/>
  <c r="CV76" i="1"/>
  <c r="Y76" i="1" s="1"/>
  <c r="Z77" i="1"/>
  <c r="AA77" i="1"/>
  <c r="AB77" i="1"/>
  <c r="CV77" i="1"/>
  <c r="Y77" i="1"/>
  <c r="Z78" i="1"/>
  <c r="AA78" i="1"/>
  <c r="AB78" i="1"/>
  <c r="CV78" i="1"/>
  <c r="Y78" i="1" s="1"/>
  <c r="Z79" i="1"/>
  <c r="AA79" i="1"/>
  <c r="AB79" i="1"/>
  <c r="CV79" i="1"/>
  <c r="Y79" i="1" s="1"/>
  <c r="Z80" i="1"/>
  <c r="AA80" i="1"/>
  <c r="AB80" i="1"/>
  <c r="CV80" i="1"/>
  <c r="Y80" i="1" s="1"/>
  <c r="Z81" i="1"/>
  <c r="AA81" i="1"/>
  <c r="AB81" i="1"/>
  <c r="CV81" i="1"/>
  <c r="Y81" i="1"/>
  <c r="Z82" i="1"/>
  <c r="AA82" i="1"/>
  <c r="AB82" i="1"/>
  <c r="CV82" i="1"/>
  <c r="Y82" i="1" s="1"/>
  <c r="Z83" i="1"/>
  <c r="AA83" i="1"/>
  <c r="AB83" i="1"/>
  <c r="CV83" i="1"/>
  <c r="Y83" i="1" s="1"/>
  <c r="Z84" i="1"/>
  <c r="AA84" i="1"/>
  <c r="AB84" i="1"/>
  <c r="CV84" i="1"/>
  <c r="Y84" i="1" s="1"/>
  <c r="Z85" i="1"/>
  <c r="AA85" i="1"/>
  <c r="AB85" i="1"/>
  <c r="CV85" i="1"/>
  <c r="Y85" i="1"/>
  <c r="Z86" i="1"/>
  <c r="AA86" i="1"/>
  <c r="AB86" i="1"/>
  <c r="CV86" i="1"/>
  <c r="Y86" i="1" s="1"/>
  <c r="Z87" i="1"/>
  <c r="AA87" i="1"/>
  <c r="AB87" i="1"/>
  <c r="CV87" i="1"/>
  <c r="Y87" i="1" s="1"/>
  <c r="Z88" i="1"/>
  <c r="AA88" i="1"/>
  <c r="AB88" i="1"/>
  <c r="AC88" i="1"/>
  <c r="CV88" i="1"/>
  <c r="Y88" i="1"/>
  <c r="Z89" i="1"/>
  <c r="AA89" i="1"/>
  <c r="AB89" i="1"/>
  <c r="CV89" i="1"/>
  <c r="Y89" i="1" s="1"/>
  <c r="Z90" i="1"/>
  <c r="AA90" i="1"/>
  <c r="AB90" i="1"/>
  <c r="CV90" i="1"/>
  <c r="Y90" i="1" s="1"/>
  <c r="Z91" i="1"/>
  <c r="AA91" i="1"/>
  <c r="AB91" i="1"/>
  <c r="CV91" i="1"/>
  <c r="Y91" i="1" s="1"/>
  <c r="Z92" i="1"/>
  <c r="AA92" i="1"/>
  <c r="AB92" i="1"/>
  <c r="CV92" i="1"/>
  <c r="Y92" i="1"/>
  <c r="Z93" i="1"/>
  <c r="AA93" i="1"/>
  <c r="AB93" i="1"/>
  <c r="CV93" i="1"/>
  <c r="Y93" i="1" s="1"/>
  <c r="Z94" i="1"/>
  <c r="AA94" i="1"/>
  <c r="AB94" i="1"/>
  <c r="CV94" i="1"/>
  <c r="Y94" i="1" s="1"/>
  <c r="Z95" i="1"/>
  <c r="AA95" i="1"/>
  <c r="AB95" i="1"/>
  <c r="CV95" i="1"/>
  <c r="Y95" i="1"/>
  <c r="Z96" i="1"/>
  <c r="AA96" i="1"/>
  <c r="AB96" i="1"/>
  <c r="CV96" i="1"/>
  <c r="Y96" i="1" s="1"/>
  <c r="J97" i="1"/>
  <c r="Z97" i="1"/>
  <c r="AA97" i="1"/>
  <c r="AB97" i="1"/>
  <c r="CV97" i="1"/>
  <c r="Y97" i="1" s="1"/>
  <c r="Z98" i="1"/>
  <c r="AA98" i="1"/>
  <c r="AB98" i="1"/>
  <c r="CV98" i="1"/>
  <c r="Y98" i="1"/>
  <c r="Z99" i="1"/>
  <c r="AA99" i="1"/>
  <c r="AB99" i="1"/>
  <c r="CV99" i="1"/>
  <c r="Y99" i="1" s="1"/>
  <c r="AE99" i="1" s="1"/>
  <c r="J100" i="1"/>
  <c r="Z100" i="1"/>
  <c r="AA100" i="1"/>
  <c r="AB100" i="1"/>
  <c r="CV100" i="1"/>
  <c r="Y100" i="1"/>
  <c r="Z101" i="1"/>
  <c r="AA101" i="1"/>
  <c r="AB101" i="1"/>
  <c r="CV101" i="1"/>
  <c r="Y101" i="1" s="1"/>
  <c r="Z102" i="1"/>
  <c r="AA102" i="1"/>
  <c r="AB102" i="1"/>
  <c r="CV102" i="1"/>
  <c r="Y102" i="1" s="1"/>
  <c r="Z103" i="1"/>
  <c r="AA103" i="1"/>
  <c r="AB103" i="1"/>
  <c r="CV103" i="1"/>
  <c r="Y103" i="1" s="1"/>
  <c r="J104" i="1"/>
  <c r="Z104" i="1"/>
  <c r="AA104" i="1"/>
  <c r="AB104" i="1"/>
  <c r="CV104" i="1"/>
  <c r="Y104" i="1" s="1"/>
  <c r="Z105" i="1"/>
  <c r="AA105" i="1"/>
  <c r="AB105" i="1"/>
  <c r="CV105" i="1"/>
  <c r="Y105" i="1" s="1"/>
  <c r="Z106" i="1"/>
  <c r="AA106" i="1"/>
  <c r="AB106" i="1"/>
  <c r="CV106" i="1"/>
  <c r="Y106" i="1" s="1"/>
  <c r="Z107" i="1"/>
  <c r="AA107" i="1"/>
  <c r="AB107" i="1"/>
  <c r="CV107" i="1"/>
  <c r="Y107" i="1"/>
  <c r="Z108" i="1"/>
  <c r="AA108" i="1"/>
  <c r="AB108" i="1"/>
  <c r="CV108" i="1"/>
  <c r="Y108" i="1" s="1"/>
  <c r="Z109" i="1"/>
  <c r="AA109" i="1"/>
  <c r="AB109" i="1"/>
  <c r="CV109" i="1"/>
  <c r="Y109" i="1" s="1"/>
  <c r="Z110" i="1"/>
  <c r="AA110" i="1"/>
  <c r="AB110" i="1"/>
  <c r="CV110" i="1"/>
  <c r="Y110" i="1" s="1"/>
  <c r="K111" i="1"/>
  <c r="Z111" i="1"/>
  <c r="AA111" i="1"/>
  <c r="AB111" i="1"/>
  <c r="CV111" i="1"/>
  <c r="Y111" i="1" s="1"/>
  <c r="J112" i="1"/>
  <c r="Z112" i="1"/>
  <c r="AA112" i="1"/>
  <c r="AB112" i="1"/>
  <c r="CV112" i="1"/>
  <c r="Y112" i="1" s="1"/>
  <c r="Z113" i="1"/>
  <c r="AA113" i="1"/>
  <c r="AB113" i="1"/>
  <c r="CV113" i="1"/>
  <c r="Y113" i="1"/>
  <c r="J114" i="1"/>
  <c r="Z114" i="1"/>
  <c r="AA114" i="1"/>
  <c r="AB114" i="1"/>
  <c r="CV114" i="1"/>
  <c r="Y114" i="1" s="1"/>
  <c r="Z115" i="1"/>
  <c r="AA115" i="1"/>
  <c r="AB115" i="1"/>
  <c r="CV115" i="1"/>
  <c r="Y115" i="1" s="1"/>
  <c r="Z116" i="1"/>
  <c r="AA116" i="1"/>
  <c r="AB116" i="1"/>
  <c r="CV116" i="1"/>
  <c r="Y116" i="1"/>
  <c r="J117" i="1"/>
  <c r="Z117" i="1"/>
  <c r="AA117" i="1"/>
  <c r="AB117" i="1"/>
  <c r="CV117" i="1"/>
  <c r="Y117" i="1" s="1"/>
  <c r="Z118" i="1"/>
  <c r="AA118" i="1"/>
  <c r="AB118" i="1"/>
  <c r="CV118" i="1"/>
  <c r="Y118" i="1" s="1"/>
  <c r="Z119" i="1"/>
  <c r="AA119" i="1"/>
  <c r="AB119" i="1"/>
  <c r="CV119" i="1"/>
  <c r="Y119" i="1"/>
  <c r="Z120" i="1"/>
  <c r="AA120" i="1"/>
  <c r="AB120" i="1"/>
  <c r="CV120" i="1"/>
  <c r="Y120" i="1" s="1"/>
  <c r="Z121" i="1"/>
  <c r="AA121" i="1"/>
  <c r="AB121" i="1"/>
  <c r="CV121" i="1"/>
  <c r="Y121" i="1" s="1"/>
  <c r="Z122" i="1"/>
  <c r="AA122" i="1"/>
  <c r="AB122" i="1"/>
  <c r="CV122" i="1"/>
  <c r="Y122" i="1" s="1"/>
  <c r="Z123" i="1"/>
  <c r="AA123" i="1"/>
  <c r="AB123" i="1"/>
  <c r="CV123" i="1"/>
  <c r="Y123" i="1"/>
  <c r="Z124" i="1"/>
  <c r="AA124" i="1"/>
  <c r="AB124" i="1"/>
  <c r="CV124" i="1"/>
  <c r="Y124" i="1" s="1"/>
  <c r="Z125" i="1"/>
  <c r="AA125" i="1"/>
  <c r="AB125" i="1"/>
  <c r="CV125" i="1"/>
  <c r="Y125" i="1" s="1"/>
  <c r="Z126" i="1"/>
  <c r="AA126" i="1"/>
  <c r="AB126" i="1"/>
  <c r="CV126" i="1"/>
  <c r="Y126" i="1" s="1"/>
  <c r="Z127" i="1"/>
  <c r="AA127" i="1"/>
  <c r="AB127" i="1"/>
  <c r="CV127" i="1"/>
  <c r="Y127" i="1"/>
  <c r="Z128" i="1"/>
  <c r="AA128" i="1"/>
  <c r="AB128" i="1"/>
  <c r="CV128" i="1"/>
  <c r="Y128" i="1" s="1"/>
  <c r="Z129" i="1"/>
  <c r="AA129" i="1"/>
  <c r="AB129" i="1"/>
  <c r="CV129" i="1"/>
  <c r="Y129" i="1" s="1"/>
  <c r="Z130" i="1"/>
  <c r="AA130" i="1"/>
  <c r="AB130" i="1"/>
  <c r="CV130" i="1"/>
  <c r="Y130" i="1" s="1"/>
  <c r="Z131" i="1"/>
  <c r="AA131" i="1"/>
  <c r="AB131" i="1"/>
  <c r="CV131" i="1"/>
  <c r="Y131" i="1"/>
  <c r="Z132" i="1"/>
  <c r="AA132" i="1"/>
  <c r="AB132" i="1"/>
  <c r="CV132" i="1"/>
  <c r="Y132" i="1" s="1"/>
  <c r="Z133" i="1"/>
  <c r="AA133" i="1"/>
  <c r="AB133" i="1"/>
  <c r="CV133" i="1"/>
  <c r="Y133" i="1" s="1"/>
  <c r="Z134" i="1"/>
  <c r="AA134" i="1"/>
  <c r="AB134" i="1"/>
  <c r="CV134" i="1"/>
  <c r="Y134" i="1"/>
  <c r="Z135" i="1"/>
  <c r="AA135" i="1"/>
  <c r="AB135" i="1"/>
  <c r="CV135" i="1"/>
  <c r="Y135" i="1" s="1"/>
  <c r="Z136" i="1"/>
  <c r="AA136" i="1"/>
  <c r="AB136" i="1"/>
  <c r="CV136" i="1"/>
  <c r="Y136" i="1" s="1"/>
  <c r="Z137" i="1"/>
  <c r="AA137" i="1"/>
  <c r="AB137" i="1"/>
  <c r="CV137" i="1"/>
  <c r="Y137" i="1" s="1"/>
  <c r="Z138" i="1"/>
  <c r="AA138" i="1"/>
  <c r="AB138" i="1"/>
  <c r="CV138" i="1"/>
  <c r="Y138" i="1"/>
  <c r="Z139" i="1"/>
  <c r="AA139" i="1"/>
  <c r="AB139" i="1"/>
  <c r="CV139" i="1"/>
  <c r="Y139" i="1" s="1"/>
  <c r="Z140" i="1"/>
  <c r="AA140" i="1"/>
  <c r="AB140" i="1"/>
  <c r="CV140" i="1"/>
  <c r="Y140" i="1" s="1"/>
  <c r="Z141" i="1"/>
  <c r="AA141" i="1"/>
  <c r="AB141" i="1"/>
  <c r="CV141" i="1"/>
  <c r="Y141" i="1" s="1"/>
  <c r="Z142" i="1"/>
  <c r="AA142" i="1"/>
  <c r="AB142" i="1"/>
  <c r="CV142" i="1"/>
  <c r="Y142" i="1"/>
  <c r="Z143" i="1"/>
  <c r="AA143" i="1"/>
  <c r="AB143" i="1"/>
  <c r="CV143" i="1"/>
  <c r="Y143" i="1" s="1"/>
  <c r="Z144" i="1"/>
  <c r="AA144" i="1"/>
  <c r="AB144" i="1"/>
  <c r="CV144" i="1"/>
  <c r="Y144" i="1" s="1"/>
  <c r="Z145" i="1"/>
  <c r="AA145" i="1"/>
  <c r="AB145" i="1"/>
  <c r="CV145" i="1"/>
  <c r="Y145" i="1" s="1"/>
  <c r="Z146" i="1"/>
  <c r="AA146" i="1"/>
  <c r="AB146" i="1"/>
  <c r="CV146" i="1"/>
  <c r="Y146" i="1"/>
  <c r="Z147" i="1"/>
  <c r="AA147" i="1"/>
  <c r="AB147" i="1"/>
  <c r="CV147" i="1"/>
  <c r="Y147" i="1" s="1"/>
  <c r="AE147" i="1" s="1"/>
  <c r="Z148" i="1"/>
  <c r="AA148" i="1"/>
  <c r="AB148" i="1"/>
  <c r="CV148" i="1"/>
  <c r="Y148" i="1" s="1"/>
  <c r="Z149" i="1"/>
  <c r="AA149" i="1"/>
  <c r="AB149" i="1"/>
  <c r="CV149" i="1"/>
  <c r="Y149" i="1"/>
  <c r="Z153" i="1"/>
  <c r="AA153" i="1"/>
  <c r="AB153" i="1"/>
  <c r="CV153" i="1"/>
  <c r="Y153" i="1" s="1"/>
  <c r="Z154" i="1"/>
  <c r="AA154" i="1"/>
  <c r="AB154" i="1"/>
  <c r="CV154" i="1"/>
  <c r="Y154" i="1" s="1"/>
  <c r="Z150" i="1"/>
  <c r="AA150" i="1"/>
  <c r="AB150" i="1"/>
  <c r="CV150" i="1"/>
  <c r="Y150" i="1" s="1"/>
  <c r="Z151" i="1"/>
  <c r="AA151" i="1"/>
  <c r="AB151" i="1"/>
  <c r="CV151" i="1"/>
  <c r="Y151" i="1"/>
  <c r="Z152" i="1"/>
  <c r="AA152" i="1"/>
  <c r="AB152" i="1"/>
  <c r="CV152" i="1"/>
  <c r="Y152" i="1" s="1"/>
  <c r="Z155" i="1"/>
  <c r="AA155" i="1"/>
  <c r="AB155" i="1"/>
  <c r="CV155" i="1"/>
  <c r="Y155" i="1" s="1"/>
  <c r="Z156" i="1"/>
  <c r="AA156" i="1"/>
  <c r="AB156" i="1"/>
  <c r="CV156" i="1"/>
  <c r="Y156" i="1" s="1"/>
  <c r="Z157" i="1"/>
  <c r="AA157" i="1"/>
  <c r="AB157" i="1"/>
  <c r="CV157" i="1"/>
  <c r="Y157" i="1"/>
  <c r="Z158" i="1"/>
  <c r="AA158" i="1"/>
  <c r="AB158" i="1"/>
  <c r="CV158" i="1"/>
  <c r="Y158" i="1" s="1"/>
  <c r="Z159" i="1"/>
  <c r="AA159" i="1"/>
  <c r="AB159" i="1"/>
  <c r="CV159" i="1"/>
  <c r="Y159" i="1" s="1"/>
  <c r="Z160" i="1"/>
  <c r="AA160" i="1"/>
  <c r="AB160" i="1"/>
  <c r="CV160" i="1"/>
  <c r="Y160" i="1" s="1"/>
  <c r="Z161" i="1"/>
  <c r="AA161" i="1"/>
  <c r="AB161" i="1"/>
  <c r="CV161" i="1"/>
  <c r="Y161" i="1"/>
  <c r="Z162" i="1"/>
  <c r="AA162" i="1"/>
  <c r="AB162" i="1"/>
  <c r="CV162" i="1"/>
  <c r="Y162" i="1" s="1"/>
  <c r="Z163" i="1"/>
  <c r="AA163" i="1"/>
  <c r="AB163" i="1"/>
  <c r="CV163" i="1"/>
  <c r="Y163" i="1" s="1"/>
  <c r="Z164" i="1"/>
  <c r="AA164" i="1"/>
  <c r="AB164" i="1"/>
  <c r="CV164" i="1"/>
  <c r="Y164" i="1" s="1"/>
  <c r="Z165" i="1"/>
  <c r="AA165" i="1"/>
  <c r="AB165" i="1"/>
  <c r="AD165" i="1"/>
  <c r="CV165" i="1"/>
  <c r="Y165" i="1" s="1"/>
  <c r="Z166" i="1"/>
  <c r="AA166" i="1"/>
  <c r="AB166" i="1"/>
  <c r="CV166" i="1"/>
  <c r="Y166" i="1" s="1"/>
  <c r="Z167" i="1"/>
  <c r="AA167" i="1"/>
  <c r="AB167" i="1"/>
  <c r="CV167" i="1"/>
  <c r="Y167" i="1" s="1"/>
  <c r="Z168" i="1"/>
  <c r="AA168" i="1"/>
  <c r="AB168" i="1"/>
  <c r="CV168" i="1"/>
  <c r="Y168" i="1"/>
  <c r="Z169" i="1"/>
  <c r="AA169" i="1"/>
  <c r="AB169" i="1"/>
  <c r="CV169" i="1"/>
  <c r="Y169" i="1" s="1"/>
  <c r="Z170" i="1"/>
  <c r="AA170" i="1"/>
  <c r="AB170" i="1"/>
  <c r="CV170" i="1"/>
  <c r="Y170" i="1" s="1"/>
  <c r="Z171" i="1"/>
  <c r="AA171" i="1"/>
  <c r="AB171" i="1"/>
  <c r="CV171" i="1"/>
  <c r="Y171" i="1" s="1"/>
  <c r="Z172" i="1"/>
  <c r="AA172" i="1"/>
  <c r="AB172" i="1"/>
  <c r="CV172" i="1"/>
  <c r="Y172" i="1"/>
  <c r="Z173" i="1"/>
  <c r="AA173" i="1"/>
  <c r="AB173" i="1"/>
  <c r="CV173" i="1"/>
  <c r="Y173" i="1" s="1"/>
  <c r="Z174" i="1"/>
  <c r="AA174" i="1"/>
  <c r="AB174" i="1"/>
  <c r="CV174" i="1"/>
  <c r="Y174" i="1" s="1"/>
  <c r="Z175" i="1"/>
  <c r="AA175" i="1"/>
  <c r="AB175" i="1"/>
  <c r="CV175" i="1"/>
  <c r="Y175" i="1"/>
  <c r="Z176" i="1"/>
  <c r="AA176" i="1"/>
  <c r="AB176" i="1"/>
  <c r="AC176" i="1"/>
  <c r="CV176" i="1"/>
  <c r="Y176" i="1" s="1"/>
  <c r="Z177" i="1"/>
  <c r="AA177" i="1"/>
  <c r="AB177" i="1"/>
  <c r="AC177" i="1"/>
  <c r="CV177" i="1"/>
  <c r="Y177" i="1"/>
  <c r="Z178" i="1"/>
  <c r="AA178" i="1"/>
  <c r="AB178" i="1"/>
  <c r="CV178" i="1"/>
  <c r="Y178" i="1" s="1"/>
  <c r="J179" i="1"/>
  <c r="Z179" i="1"/>
  <c r="AB179" i="1"/>
  <c r="CV179" i="1"/>
  <c r="Y179" i="1" s="1"/>
  <c r="DB179" i="1"/>
  <c r="DC179" i="1"/>
  <c r="DD179" i="1"/>
  <c r="Z180" i="1"/>
  <c r="AA180" i="1"/>
  <c r="AB180" i="1"/>
  <c r="CV180" i="1"/>
  <c r="Y180" i="1" s="1"/>
  <c r="J181" i="1"/>
  <c r="Z181" i="1"/>
  <c r="AB181" i="1"/>
  <c r="CV181" i="1"/>
  <c r="Y181" i="1" s="1"/>
  <c r="DD181" i="1"/>
  <c r="AA181" i="1" s="1"/>
  <c r="Z182" i="1"/>
  <c r="AA182" i="1"/>
  <c r="AB182" i="1"/>
  <c r="CV182" i="1"/>
  <c r="Y182" i="1" s="1"/>
  <c r="Z183" i="1"/>
  <c r="AA183" i="1"/>
  <c r="AB183" i="1"/>
  <c r="AC183" i="1"/>
  <c r="CV183" i="1"/>
  <c r="Y183" i="1"/>
  <c r="Z184" i="1"/>
  <c r="AA184" i="1"/>
  <c r="AB184" i="1"/>
  <c r="CV184" i="1"/>
  <c r="Y184" i="1" s="1"/>
  <c r="Z185" i="1"/>
  <c r="AA185" i="1"/>
  <c r="AB185" i="1"/>
  <c r="CV185" i="1"/>
  <c r="Y185" i="1" s="1"/>
  <c r="Z186" i="1"/>
  <c r="AA186" i="1"/>
  <c r="AB186" i="1"/>
  <c r="CV186" i="1"/>
  <c r="Y186" i="1" s="1"/>
  <c r="Z187" i="1"/>
  <c r="AA187" i="1"/>
  <c r="AB187" i="1"/>
  <c r="CV187" i="1"/>
  <c r="Y187" i="1"/>
  <c r="Z188" i="1"/>
  <c r="AA188" i="1"/>
  <c r="AB188" i="1"/>
  <c r="CV188" i="1"/>
  <c r="Y188" i="1" s="1"/>
  <c r="Z189" i="1"/>
  <c r="AA189" i="1"/>
  <c r="AB189" i="1"/>
  <c r="AC189" i="1"/>
  <c r="CV189" i="1"/>
  <c r="Y189" i="1" s="1"/>
  <c r="Z190" i="1"/>
  <c r="AA190" i="1"/>
  <c r="AB190" i="1"/>
  <c r="CV190" i="1"/>
  <c r="Y190" i="1"/>
  <c r="Z191" i="1"/>
  <c r="AA191" i="1"/>
  <c r="AB191" i="1"/>
  <c r="CV191" i="1"/>
  <c r="Y191" i="1" s="1"/>
  <c r="J192" i="1"/>
  <c r="Z192" i="1"/>
  <c r="AA192" i="1"/>
  <c r="AB192" i="1"/>
  <c r="CV192" i="1"/>
  <c r="Y192" i="1" s="1"/>
  <c r="J194" i="1"/>
  <c r="K194" i="1"/>
  <c r="Z194" i="1"/>
  <c r="AA194" i="1"/>
  <c r="AB194" i="1"/>
  <c r="CV194" i="1"/>
  <c r="Y194" i="1" s="1"/>
  <c r="J193" i="1"/>
  <c r="Z193" i="1"/>
  <c r="AA193" i="1"/>
  <c r="AB193" i="1"/>
  <c r="CV193" i="1"/>
  <c r="Y193" i="1"/>
  <c r="Z195" i="1"/>
  <c r="AA195" i="1"/>
  <c r="AB195" i="1"/>
  <c r="CV195" i="1"/>
  <c r="Y195" i="1" s="1"/>
  <c r="Z196" i="1"/>
  <c r="AA196" i="1"/>
  <c r="AB196" i="1"/>
  <c r="AC196" i="1"/>
  <c r="CV196" i="1"/>
  <c r="Y196" i="1" s="1"/>
  <c r="Z197" i="1"/>
  <c r="AA197" i="1"/>
  <c r="AB197" i="1"/>
  <c r="CV197" i="1"/>
  <c r="Y197" i="1"/>
  <c r="AA198" i="1"/>
  <c r="AB198" i="1"/>
  <c r="CV198" i="1"/>
  <c r="Y198" i="1"/>
  <c r="CZ198" i="1"/>
  <c r="Z198" i="1" s="1"/>
  <c r="Z199" i="1"/>
  <c r="AA199" i="1"/>
  <c r="AB199" i="1"/>
  <c r="CV199" i="1"/>
  <c r="Y199" i="1" s="1"/>
  <c r="Z200" i="1"/>
  <c r="AA200" i="1"/>
  <c r="AB200" i="1"/>
  <c r="CV200" i="1"/>
  <c r="Y200" i="1"/>
  <c r="Z201" i="1"/>
  <c r="AA201" i="1"/>
  <c r="AB201" i="1"/>
  <c r="CV201" i="1"/>
  <c r="Y201" i="1"/>
  <c r="Z202" i="1"/>
  <c r="AA202" i="1"/>
  <c r="AB202" i="1"/>
  <c r="CV202" i="1"/>
  <c r="Y202" i="1" s="1"/>
  <c r="J203" i="1"/>
  <c r="Z203" i="1"/>
  <c r="AB203" i="1"/>
  <c r="CV203" i="1"/>
  <c r="Y203" i="1" s="1"/>
  <c r="DB203" i="1"/>
  <c r="DC203" i="1"/>
  <c r="DD203" i="1"/>
  <c r="Z204" i="1"/>
  <c r="AA204" i="1"/>
  <c r="AB204" i="1"/>
  <c r="CV204" i="1"/>
  <c r="Y204" i="1"/>
  <c r="AE204" i="1" s="1"/>
  <c r="J205" i="1"/>
  <c r="Z205" i="1"/>
  <c r="AA205" i="1"/>
  <c r="AB205" i="1"/>
  <c r="CV205" i="1"/>
  <c r="Y205" i="1" s="1"/>
  <c r="J206" i="1"/>
  <c r="Z206" i="1"/>
  <c r="AA206" i="1"/>
  <c r="AB206" i="1"/>
  <c r="AC206" i="1"/>
  <c r="CV206" i="1"/>
  <c r="Y206" i="1" s="1"/>
  <c r="J207" i="1"/>
  <c r="K207" i="1"/>
  <c r="AB207" i="1"/>
  <c r="BA207" i="1"/>
  <c r="CV207" i="1" s="1"/>
  <c r="Y207" i="1" s="1"/>
  <c r="CZ207" i="1"/>
  <c r="Z207" i="1" s="1"/>
  <c r="DD207" i="1"/>
  <c r="AA207" i="1"/>
  <c r="Z208" i="1"/>
  <c r="AA208" i="1"/>
  <c r="AB208" i="1"/>
  <c r="AC208" i="1"/>
  <c r="CV208" i="1"/>
  <c r="Y208" i="1" s="1"/>
  <c r="Z209" i="1"/>
  <c r="AA209" i="1"/>
  <c r="AE209" i="1" s="1"/>
  <c r="AB209" i="1"/>
  <c r="CV209" i="1"/>
  <c r="Y209" i="1" s="1"/>
  <c r="Z210" i="1"/>
  <c r="AA210" i="1"/>
  <c r="AB210" i="1"/>
  <c r="CV210" i="1"/>
  <c r="Y210" i="1"/>
  <c r="Z211" i="1"/>
  <c r="AA211" i="1"/>
  <c r="AB211" i="1"/>
  <c r="CV211" i="1"/>
  <c r="Y211" i="1" s="1"/>
  <c r="J212" i="1"/>
  <c r="Z212" i="1"/>
  <c r="AA212" i="1"/>
  <c r="AB212" i="1"/>
  <c r="CV212" i="1"/>
  <c r="Y212" i="1"/>
  <c r="Z213" i="1"/>
  <c r="AA213" i="1"/>
  <c r="AB213" i="1"/>
  <c r="CV213" i="1"/>
  <c r="Y213" i="1"/>
  <c r="Z214" i="1"/>
  <c r="AA214" i="1"/>
  <c r="AB214" i="1"/>
  <c r="AD214" i="1"/>
  <c r="CV214" i="1"/>
  <c r="Y214" i="1" s="1"/>
  <c r="Z215" i="1"/>
  <c r="AA215" i="1"/>
  <c r="AB215" i="1"/>
  <c r="CV215" i="1"/>
  <c r="Y215" i="1"/>
  <c r="J216" i="1"/>
  <c r="AB216" i="1"/>
  <c r="CQ216" i="1"/>
  <c r="CS216" i="1"/>
  <c r="CZ216" i="1"/>
  <c r="Z216" i="1" s="1"/>
  <c r="DD216" i="1"/>
  <c r="AA216" i="1"/>
  <c r="J217" i="1"/>
  <c r="AB217" i="1"/>
  <c r="CQ217" i="1"/>
  <c r="CS217" i="1"/>
  <c r="CZ217" i="1"/>
  <c r="Z217" i="1" s="1"/>
  <c r="DD217" i="1"/>
  <c r="AA217" i="1"/>
  <c r="J218" i="1"/>
  <c r="AB218" i="1"/>
  <c r="CQ218" i="1"/>
  <c r="CS218" i="1"/>
  <c r="CZ218" i="1"/>
  <c r="Z218" i="1" s="1"/>
  <c r="DD218" i="1"/>
  <c r="AA218" i="1"/>
  <c r="Z219" i="1"/>
  <c r="AA219" i="1"/>
  <c r="AB219" i="1"/>
  <c r="CV219" i="1"/>
  <c r="Y219" i="1"/>
  <c r="Z220" i="1"/>
  <c r="AA220" i="1"/>
  <c r="AB220" i="1"/>
  <c r="CV220" i="1"/>
  <c r="Y220" i="1" s="1"/>
  <c r="Z221" i="1"/>
  <c r="AA221" i="1"/>
  <c r="AB221" i="1"/>
  <c r="CV221" i="1"/>
  <c r="Y221" i="1" s="1"/>
  <c r="Z222" i="1"/>
  <c r="AA222" i="1"/>
  <c r="AB222" i="1"/>
  <c r="CV222" i="1"/>
  <c r="Y222" i="1"/>
  <c r="AA223" i="1"/>
  <c r="AB223" i="1"/>
  <c r="BA223" i="1"/>
  <c r="CQ223" i="1"/>
  <c r="CZ223" i="1"/>
  <c r="Z223" i="1" s="1"/>
  <c r="Z224" i="1"/>
  <c r="AB224" i="1"/>
  <c r="CV224" i="1"/>
  <c r="Y224" i="1" s="1"/>
  <c r="DD224" i="1"/>
  <c r="AA224" i="1"/>
  <c r="J225" i="1"/>
  <c r="Z225" i="1"/>
  <c r="AB225" i="1"/>
  <c r="CV225" i="1"/>
  <c r="Y225" i="1"/>
  <c r="DD225" i="1"/>
  <c r="AA225" i="1" s="1"/>
  <c r="Z226" i="1"/>
  <c r="AA226" i="1"/>
  <c r="AB226" i="1"/>
  <c r="CV226" i="1"/>
  <c r="Y226" i="1"/>
  <c r="Z227" i="1"/>
  <c r="AA227" i="1"/>
  <c r="AB227" i="1"/>
  <c r="CV227" i="1"/>
  <c r="Y227" i="1" s="1"/>
  <c r="Z228" i="1"/>
  <c r="AA228" i="1"/>
  <c r="AB228" i="1"/>
  <c r="CV228" i="1"/>
  <c r="Y228" i="1" s="1"/>
  <c r="J229" i="1"/>
  <c r="Z229" i="1"/>
  <c r="AA229" i="1"/>
  <c r="AB229" i="1"/>
  <c r="CV229" i="1"/>
  <c r="Y229" i="1"/>
  <c r="J230" i="1"/>
  <c r="Z230" i="1"/>
  <c r="AA230" i="1"/>
  <c r="AB230" i="1"/>
  <c r="CV230" i="1"/>
  <c r="Y230" i="1" s="1"/>
  <c r="J231" i="1"/>
  <c r="Z231" i="1"/>
  <c r="AA231" i="1"/>
  <c r="AB231" i="1"/>
  <c r="CV231" i="1"/>
  <c r="Y231" i="1"/>
  <c r="J232" i="1"/>
  <c r="AB232" i="1"/>
  <c r="CQ232" i="1"/>
  <c r="CS232" i="1"/>
  <c r="CZ232" i="1"/>
  <c r="Z232" i="1" s="1"/>
  <c r="DD232" i="1"/>
  <c r="AA232" i="1"/>
  <c r="Z233" i="1"/>
  <c r="AA233" i="1"/>
  <c r="AB233" i="1"/>
  <c r="CV233" i="1"/>
  <c r="Y233" i="1"/>
  <c r="Z234" i="1"/>
  <c r="AA234" i="1"/>
  <c r="AB234" i="1"/>
  <c r="CV234" i="1"/>
  <c r="Y234" i="1" s="1"/>
  <c r="Z235" i="1"/>
  <c r="AA235" i="1"/>
  <c r="AB235" i="1"/>
  <c r="CV235" i="1"/>
  <c r="Y235" i="1" s="1"/>
  <c r="Z236" i="1"/>
  <c r="AA236" i="1"/>
  <c r="AB236" i="1"/>
  <c r="CV236" i="1"/>
  <c r="Y236" i="1"/>
  <c r="Z237" i="1"/>
  <c r="AA237" i="1"/>
  <c r="AB237" i="1"/>
  <c r="CV237" i="1"/>
  <c r="Y237" i="1"/>
  <c r="Z238" i="1"/>
  <c r="AA238" i="1"/>
  <c r="AB238" i="1"/>
  <c r="CV238" i="1"/>
  <c r="Y238" i="1" s="1"/>
  <c r="Z239" i="1"/>
  <c r="AA239" i="1"/>
  <c r="AB239" i="1"/>
  <c r="CV239" i="1"/>
  <c r="Y239" i="1" s="1"/>
  <c r="Z240" i="1"/>
  <c r="AA240" i="1"/>
  <c r="AB240" i="1"/>
  <c r="CV240" i="1"/>
  <c r="Y240" i="1"/>
  <c r="J241" i="1"/>
  <c r="AA241" i="1"/>
  <c r="AB241" i="1"/>
  <c r="CQ241" i="1"/>
  <c r="CV241" i="1" s="1"/>
  <c r="Y241" i="1"/>
  <c r="CZ241" i="1"/>
  <c r="Z241" i="1"/>
  <c r="J242" i="1"/>
  <c r="AA242" i="1"/>
  <c r="AB242" i="1"/>
  <c r="CQ242" i="1"/>
  <c r="CV242" i="1" s="1"/>
  <c r="Y242" i="1"/>
  <c r="CZ242" i="1"/>
  <c r="Z242" i="1"/>
  <c r="J243" i="1"/>
  <c r="AA243" i="1"/>
  <c r="AB243" i="1"/>
  <c r="CQ243" i="1"/>
  <c r="CV243" i="1" s="1"/>
  <c r="Y243" i="1" s="1"/>
  <c r="CZ243" i="1"/>
  <c r="Z243" i="1"/>
  <c r="AB244" i="1"/>
  <c r="CV244" i="1"/>
  <c r="Y244" i="1" s="1"/>
  <c r="CZ244" i="1"/>
  <c r="Z244" i="1" s="1"/>
  <c r="DB244" i="1"/>
  <c r="DC244" i="1"/>
  <c r="DD244" i="1"/>
  <c r="Z342" i="1"/>
  <c r="AA342" i="1"/>
  <c r="AB342" i="1"/>
  <c r="CV342" i="1"/>
  <c r="Y342" i="1" s="1"/>
  <c r="J245" i="1"/>
  <c r="K245" i="1"/>
  <c r="Z245" i="1"/>
  <c r="AA245" i="1"/>
  <c r="AB245" i="1"/>
  <c r="CV245" i="1"/>
  <c r="Y245" i="1"/>
  <c r="Z246" i="1"/>
  <c r="AB246" i="1"/>
  <c r="CV246" i="1"/>
  <c r="Y246" i="1"/>
  <c r="DB246" i="1"/>
  <c r="DD246" i="1"/>
  <c r="Z247" i="1"/>
  <c r="AA247" i="1"/>
  <c r="AB247" i="1"/>
  <c r="CV247" i="1"/>
  <c r="Y247" i="1"/>
  <c r="AB248" i="1"/>
  <c r="CQ248" i="1"/>
  <c r="CS248" i="1"/>
  <c r="CZ248" i="1"/>
  <c r="Z248" i="1"/>
  <c r="DD248" i="1"/>
  <c r="AA248" i="1" s="1"/>
  <c r="J249" i="1"/>
  <c r="AB249" i="1"/>
  <c r="CQ249" i="1"/>
  <c r="CS249" i="1"/>
  <c r="CZ249" i="1"/>
  <c r="Z249" i="1"/>
  <c r="DD249" i="1"/>
  <c r="AA249" i="1" s="1"/>
  <c r="J250" i="1"/>
  <c r="AB250" i="1"/>
  <c r="CQ250" i="1"/>
  <c r="CS250" i="1"/>
  <c r="CZ250" i="1"/>
  <c r="Z250" i="1" s="1"/>
  <c r="DD250" i="1"/>
  <c r="AA250" i="1" s="1"/>
  <c r="J251" i="1"/>
  <c r="AB251" i="1"/>
  <c r="CQ251" i="1"/>
  <c r="CS251" i="1"/>
  <c r="CZ251" i="1"/>
  <c r="Z251" i="1" s="1"/>
  <c r="DD251" i="1"/>
  <c r="AA251" i="1" s="1"/>
  <c r="Z252" i="1"/>
  <c r="AB252" i="1"/>
  <c r="CV252" i="1"/>
  <c r="Y252" i="1" s="1"/>
  <c r="DB252" i="1"/>
  <c r="DD252" i="1"/>
  <c r="J253" i="1"/>
  <c r="Z253" i="1"/>
  <c r="AA253" i="1"/>
  <c r="AB253" i="1"/>
  <c r="CV253" i="1"/>
  <c r="Y253" i="1" s="1"/>
  <c r="Z254" i="1"/>
  <c r="AA254" i="1"/>
  <c r="AB254" i="1"/>
  <c r="CV254" i="1"/>
  <c r="Y254" i="1"/>
  <c r="J255" i="1"/>
  <c r="AB255" i="1"/>
  <c r="AC255" i="1"/>
  <c r="CQ255" i="1"/>
  <c r="CS255" i="1"/>
  <c r="CZ255" i="1"/>
  <c r="Z255" i="1" s="1"/>
  <c r="DD255" i="1"/>
  <c r="AA255" i="1" s="1"/>
  <c r="AA256" i="1"/>
  <c r="AB256" i="1"/>
  <c r="CV256" i="1"/>
  <c r="Y256" i="1" s="1"/>
  <c r="CZ256" i="1"/>
  <c r="Z256" i="1" s="1"/>
  <c r="Z257" i="1"/>
  <c r="AA257" i="1"/>
  <c r="AB257" i="1"/>
  <c r="CV257" i="1"/>
  <c r="Y257" i="1"/>
  <c r="Z258" i="1"/>
  <c r="AA258" i="1"/>
  <c r="AB258" i="1"/>
  <c r="AC258" i="1"/>
  <c r="CV258" i="1"/>
  <c r="Y258" i="1" s="1"/>
  <c r="Z259" i="1"/>
  <c r="AA259" i="1"/>
  <c r="AB259" i="1"/>
  <c r="CV259" i="1"/>
  <c r="Y259" i="1" s="1"/>
  <c r="Z260" i="1"/>
  <c r="AA260" i="1"/>
  <c r="AB260" i="1"/>
  <c r="CV260" i="1"/>
  <c r="Y260" i="1"/>
  <c r="Z261" i="1"/>
  <c r="AA261" i="1"/>
  <c r="CV261" i="1"/>
  <c r="Y261" i="1"/>
  <c r="CX261" i="1"/>
  <c r="AB261" i="1" s="1"/>
  <c r="J262" i="1"/>
  <c r="AA262" i="1"/>
  <c r="AB262" i="1"/>
  <c r="CV262" i="1"/>
  <c r="Y262" i="1" s="1"/>
  <c r="CZ262" i="1"/>
  <c r="Z262" i="1"/>
  <c r="Z263" i="1"/>
  <c r="AA263" i="1"/>
  <c r="AB263" i="1"/>
  <c r="CV263" i="1"/>
  <c r="Y263" i="1" s="1"/>
  <c r="J264" i="1"/>
  <c r="AA264" i="1"/>
  <c r="AB264" i="1"/>
  <c r="AC264" i="1"/>
  <c r="AW264" i="1"/>
  <c r="BC264" i="1"/>
  <c r="CQ264" i="1"/>
  <c r="CS264" i="1"/>
  <c r="CZ264" i="1"/>
  <c r="Z264" i="1"/>
  <c r="J265" i="1"/>
  <c r="M265" i="1"/>
  <c r="AA265" i="1"/>
  <c r="AB265" i="1"/>
  <c r="AC265" i="1"/>
  <c r="CQ265" i="1"/>
  <c r="CS265" i="1"/>
  <c r="CZ265" i="1"/>
  <c r="Z265" i="1"/>
  <c r="Z266" i="1"/>
  <c r="AA266" i="1"/>
  <c r="AB266" i="1"/>
  <c r="CV266" i="1"/>
  <c r="Y266" i="1" s="1"/>
  <c r="Z267" i="1"/>
  <c r="AA267" i="1"/>
  <c r="AB267" i="1"/>
  <c r="CV267" i="1"/>
  <c r="Y267" i="1" s="1"/>
  <c r="J268" i="1"/>
  <c r="Z268" i="1"/>
  <c r="AA268" i="1"/>
  <c r="AB268" i="1"/>
  <c r="AC268" i="1"/>
  <c r="CV268" i="1"/>
  <c r="Y268" i="1" s="1"/>
  <c r="Z269" i="1"/>
  <c r="AA269" i="1"/>
  <c r="AB269" i="1"/>
  <c r="CV269" i="1"/>
  <c r="Y269" i="1" s="1"/>
  <c r="Z270" i="1"/>
  <c r="AA270" i="1"/>
  <c r="AB270" i="1"/>
  <c r="CV270" i="1"/>
  <c r="Y270" i="1"/>
  <c r="Z271" i="1"/>
  <c r="AA271" i="1"/>
  <c r="AB271" i="1"/>
  <c r="CV271" i="1"/>
  <c r="Y271" i="1"/>
  <c r="Z272" i="1"/>
  <c r="AA272" i="1"/>
  <c r="AB272" i="1"/>
  <c r="CV272" i="1"/>
  <c r="Y272" i="1" s="1"/>
  <c r="Z273" i="1"/>
  <c r="AA273" i="1"/>
  <c r="AB273" i="1"/>
  <c r="CV273" i="1"/>
  <c r="Y273" i="1" s="1"/>
  <c r="AE273" i="1"/>
  <c r="Z274" i="1"/>
  <c r="AA274" i="1"/>
  <c r="AB274" i="1"/>
  <c r="CV274" i="1"/>
  <c r="Y274" i="1" s="1"/>
  <c r="J275" i="1"/>
  <c r="Z275" i="1"/>
  <c r="AA275" i="1"/>
  <c r="AB275" i="1"/>
  <c r="CV275" i="1"/>
  <c r="Y275" i="1" s="1"/>
  <c r="Z276" i="1"/>
  <c r="AA276" i="1"/>
  <c r="AB276" i="1"/>
  <c r="CV276" i="1"/>
  <c r="Y276" i="1"/>
  <c r="AE276" i="1"/>
  <c r="J277" i="1"/>
  <c r="AB277" i="1"/>
  <c r="BA277" i="1"/>
  <c r="CK277" i="1"/>
  <c r="CQ277" i="1"/>
  <c r="CS277" i="1"/>
  <c r="CZ277" i="1"/>
  <c r="Z277" i="1"/>
  <c r="DC277" i="1"/>
  <c r="DD277" i="1"/>
  <c r="AA277" i="1"/>
  <c r="V278" i="1"/>
  <c r="Z278" i="1"/>
  <c r="AA278" i="1"/>
  <c r="AB278" i="1"/>
  <c r="CV278" i="1"/>
  <c r="Y278" i="1" s="1"/>
  <c r="Z279" i="1"/>
  <c r="AB279" i="1"/>
  <c r="CV279" i="1"/>
  <c r="Y279" i="1" s="1"/>
  <c r="DC279" i="1"/>
  <c r="DD279" i="1"/>
  <c r="AA279" i="1" s="1"/>
  <c r="Z280" i="1"/>
  <c r="AA280" i="1"/>
  <c r="AB280" i="1"/>
  <c r="CV280" i="1"/>
  <c r="Y280" i="1" s="1"/>
  <c r="Z281" i="1"/>
  <c r="AA281" i="1"/>
  <c r="AB281" i="1"/>
  <c r="CV281" i="1"/>
  <c r="Y281" i="1" s="1"/>
  <c r="Z282" i="1"/>
  <c r="AA282" i="1"/>
  <c r="AB282" i="1"/>
  <c r="CV282" i="1"/>
  <c r="Y282" i="1"/>
  <c r="J283" i="1"/>
  <c r="Z283" i="1"/>
  <c r="AB283" i="1"/>
  <c r="BC283" i="1"/>
  <c r="CK283" i="1"/>
  <c r="DB283" i="1"/>
  <c r="DC283" i="1"/>
  <c r="DD283" i="1"/>
  <c r="Z284" i="1"/>
  <c r="AA284" i="1"/>
  <c r="AB284" i="1"/>
  <c r="CV284" i="1"/>
  <c r="Y284" i="1"/>
  <c r="J285" i="1"/>
  <c r="Z285" i="1"/>
  <c r="AA285" i="1"/>
  <c r="AB285" i="1"/>
  <c r="AC285" i="1"/>
  <c r="CV285" i="1"/>
  <c r="Y285" i="1"/>
  <c r="J286" i="1"/>
  <c r="Z286" i="1"/>
  <c r="AB286" i="1"/>
  <c r="CV286" i="1"/>
  <c r="Y286" i="1"/>
  <c r="DD286" i="1"/>
  <c r="AA286" i="1" s="1"/>
  <c r="Z287" i="1"/>
  <c r="AA287" i="1"/>
  <c r="AB287" i="1"/>
  <c r="CV287" i="1"/>
  <c r="Y287" i="1"/>
  <c r="Z288" i="1"/>
  <c r="AA288" i="1"/>
  <c r="AB288" i="1"/>
  <c r="CV288" i="1"/>
  <c r="Y288" i="1"/>
  <c r="AA289" i="1"/>
  <c r="AB289" i="1"/>
  <c r="CV289" i="1"/>
  <c r="Y289" i="1"/>
  <c r="CZ289" i="1"/>
  <c r="Z289" i="1" s="1"/>
  <c r="J290" i="1"/>
  <c r="Z290" i="1"/>
  <c r="AB290" i="1"/>
  <c r="CV290" i="1"/>
  <c r="Y290" i="1"/>
  <c r="DD290" i="1"/>
  <c r="AA290" i="1" s="1"/>
  <c r="AA291" i="1"/>
  <c r="AB291" i="1"/>
  <c r="CV291" i="1"/>
  <c r="Y291" i="1" s="1"/>
  <c r="CZ291" i="1"/>
  <c r="Z291" i="1"/>
  <c r="Z292" i="1"/>
  <c r="AA292" i="1"/>
  <c r="AB292" i="1"/>
  <c r="CV292" i="1"/>
  <c r="Y292" i="1"/>
  <c r="AE292" i="1" s="1"/>
  <c r="J293" i="1"/>
  <c r="K293" i="1"/>
  <c r="Z293" i="1"/>
  <c r="AA293" i="1"/>
  <c r="AB293" i="1"/>
  <c r="CV293" i="1"/>
  <c r="Y293" i="1"/>
  <c r="J294" i="1"/>
  <c r="M294" i="1"/>
  <c r="AB294" i="1"/>
  <c r="CQ294" i="1"/>
  <c r="CS294" i="1"/>
  <c r="CU294" i="1"/>
  <c r="CU2496" i="1"/>
  <c r="CZ294" i="1"/>
  <c r="Z294" i="1" s="1"/>
  <c r="DD294" i="1"/>
  <c r="AA294" i="1"/>
  <c r="Z295" i="1"/>
  <c r="AA295" i="1"/>
  <c r="AB295" i="1"/>
  <c r="CV295" i="1"/>
  <c r="Y295" i="1"/>
  <c r="Z296" i="1"/>
  <c r="AA296" i="1"/>
  <c r="AB296" i="1"/>
  <c r="CV296" i="1"/>
  <c r="Y296" i="1" s="1"/>
  <c r="AE296" i="1" s="1"/>
  <c r="Z297" i="1"/>
  <c r="AB297" i="1"/>
  <c r="CV297" i="1"/>
  <c r="Y297" i="1" s="1"/>
  <c r="DD297" i="1"/>
  <c r="AA297" i="1"/>
  <c r="AA298" i="1"/>
  <c r="AB298" i="1"/>
  <c r="CV298" i="1"/>
  <c r="Y298" i="1"/>
  <c r="CZ298" i="1"/>
  <c r="Z298" i="1" s="1"/>
  <c r="J299" i="1"/>
  <c r="AA299" i="1"/>
  <c r="AB299" i="1"/>
  <c r="CQ299" i="1"/>
  <c r="CS299" i="1"/>
  <c r="CZ299" i="1"/>
  <c r="Z299" i="1" s="1"/>
  <c r="J300" i="1"/>
  <c r="AA300" i="1"/>
  <c r="AB300" i="1"/>
  <c r="CQ300" i="1"/>
  <c r="CS300" i="1"/>
  <c r="CZ300" i="1"/>
  <c r="Z300" i="1" s="1"/>
  <c r="Z301" i="1"/>
  <c r="AB301" i="1"/>
  <c r="BA301" i="1"/>
  <c r="CK301" i="1"/>
  <c r="DC301" i="1"/>
  <c r="DD301" i="1"/>
  <c r="AA301" i="1"/>
  <c r="J302" i="1"/>
  <c r="Z302" i="1"/>
  <c r="AB302" i="1"/>
  <c r="CV302" i="1"/>
  <c r="Y302" i="1" s="1"/>
  <c r="DC302" i="1"/>
  <c r="DD302" i="1"/>
  <c r="AA302" i="1"/>
  <c r="J303" i="1"/>
  <c r="Z303" i="1"/>
  <c r="AB303" i="1"/>
  <c r="CV303" i="1"/>
  <c r="Y303" i="1" s="1"/>
  <c r="DD303" i="1"/>
  <c r="AA303" i="1" s="1"/>
  <c r="J304" i="1"/>
  <c r="Z304" i="1"/>
  <c r="AB304" i="1"/>
  <c r="CV304" i="1"/>
  <c r="Y304" i="1"/>
  <c r="DD304" i="1"/>
  <c r="AA304" i="1" s="1"/>
  <c r="J305" i="1"/>
  <c r="Z305" i="1"/>
  <c r="AB305" i="1"/>
  <c r="CV305" i="1"/>
  <c r="Y305" i="1" s="1"/>
  <c r="DC305" i="1"/>
  <c r="DD305" i="1"/>
  <c r="AA305" i="1" s="1"/>
  <c r="Z307" i="1"/>
  <c r="AA307" i="1"/>
  <c r="AB307" i="1"/>
  <c r="CV307" i="1"/>
  <c r="Y307" i="1" s="1"/>
  <c r="Z308" i="1"/>
  <c r="AB308" i="1"/>
  <c r="BC308" i="1"/>
  <c r="CK308" i="1"/>
  <c r="DD308" i="1"/>
  <c r="AA308" i="1"/>
  <c r="Z309" i="1"/>
  <c r="AA309" i="1"/>
  <c r="AB309" i="1"/>
  <c r="CV309" i="1"/>
  <c r="Y309" i="1" s="1"/>
  <c r="AB310" i="1"/>
  <c r="BA310" i="1"/>
  <c r="CK310" i="1"/>
  <c r="CZ310" i="1"/>
  <c r="Z310" i="1" s="1"/>
  <c r="DD310" i="1"/>
  <c r="AA310" i="1"/>
  <c r="J311" i="1"/>
  <c r="Z311" i="1"/>
  <c r="AB311" i="1"/>
  <c r="BA311" i="1"/>
  <c r="CK311" i="1"/>
  <c r="DC311" i="1"/>
  <c r="DD311" i="1"/>
  <c r="AA311" i="1"/>
  <c r="Z312" i="1"/>
  <c r="AB312" i="1"/>
  <c r="BA312" i="1"/>
  <c r="CK312" i="1"/>
  <c r="DC312" i="1"/>
  <c r="DD312" i="1"/>
  <c r="AA312" i="1"/>
  <c r="Z314" i="1"/>
  <c r="AA314" i="1"/>
  <c r="AB314" i="1"/>
  <c r="CV314" i="1"/>
  <c r="Y314" i="1"/>
  <c r="Z315" i="1"/>
  <c r="AA315" i="1"/>
  <c r="AB315" i="1"/>
  <c r="CV315" i="1"/>
  <c r="Y315" i="1" s="1"/>
  <c r="Z316" i="1"/>
  <c r="AA316" i="1"/>
  <c r="AE316" i="1" s="1"/>
  <c r="AB316" i="1"/>
  <c r="CV316" i="1"/>
  <c r="Y316" i="1" s="1"/>
  <c r="Z324" i="1"/>
  <c r="AA324" i="1"/>
  <c r="AB324" i="1"/>
  <c r="CV324" i="1"/>
  <c r="Y324" i="1"/>
  <c r="Z328" i="1"/>
  <c r="AA328" i="1"/>
  <c r="AB328" i="1"/>
  <c r="CV328" i="1"/>
  <c r="Y328" i="1" s="1"/>
  <c r="Z329" i="1"/>
  <c r="AB329" i="1"/>
  <c r="CV329" i="1"/>
  <c r="Y329" i="1" s="1"/>
  <c r="DD329" i="1"/>
  <c r="AA329" i="1"/>
  <c r="K330" i="1"/>
  <c r="AB330" i="1"/>
  <c r="BC330" i="1"/>
  <c r="CK330" i="1"/>
  <c r="CQ330" i="1"/>
  <c r="CS330" i="1"/>
  <c r="CZ330" i="1"/>
  <c r="Z330" i="1"/>
  <c r="DD330" i="1"/>
  <c r="AA330" i="1" s="1"/>
  <c r="Z334" i="1"/>
  <c r="AA334" i="1"/>
  <c r="AB334" i="1"/>
  <c r="CV334" i="1"/>
  <c r="Y334" i="1" s="1"/>
  <c r="Z336" i="1"/>
  <c r="AA336" i="1"/>
  <c r="AB336" i="1"/>
  <c r="CV336" i="1"/>
  <c r="Y336" i="1"/>
  <c r="AE336" i="1"/>
  <c r="J337" i="1"/>
  <c r="Z337" i="1"/>
  <c r="AB337" i="1"/>
  <c r="CV337" i="1"/>
  <c r="Y337" i="1" s="1"/>
  <c r="DD337" i="1"/>
  <c r="AA337" i="1"/>
  <c r="Z338" i="1"/>
  <c r="AA338" i="1"/>
  <c r="AB338" i="1"/>
  <c r="AC338" i="1"/>
  <c r="CV338" i="1"/>
  <c r="Y338" i="1" s="1"/>
  <c r="Z339" i="1"/>
  <c r="AA339" i="1"/>
  <c r="AB339" i="1"/>
  <c r="CV339" i="1"/>
  <c r="Y339" i="1" s="1"/>
  <c r="AE339" i="1"/>
  <c r="Z340" i="1"/>
  <c r="AA340" i="1"/>
  <c r="AB340" i="1"/>
  <c r="CV340" i="1"/>
  <c r="Y340" i="1" s="1"/>
  <c r="J341" i="1"/>
  <c r="Z341" i="1"/>
  <c r="AB341" i="1"/>
  <c r="CV341" i="1"/>
  <c r="Y341" i="1" s="1"/>
  <c r="DD341" i="1"/>
  <c r="AA341" i="1"/>
  <c r="Z344" i="1"/>
  <c r="AA344" i="1"/>
  <c r="AB344" i="1"/>
  <c r="CV344" i="1"/>
  <c r="Y344" i="1"/>
  <c r="Z345" i="1"/>
  <c r="AA345" i="1"/>
  <c r="AB345" i="1"/>
  <c r="CV345" i="1"/>
  <c r="Y345" i="1" s="1"/>
  <c r="Z346" i="1"/>
  <c r="AA346" i="1"/>
  <c r="AB346" i="1"/>
  <c r="CV346" i="1"/>
  <c r="Y346" i="1" s="1"/>
  <c r="J317" i="1"/>
  <c r="AA317" i="1"/>
  <c r="AB317" i="1"/>
  <c r="BC317" i="1"/>
  <c r="CK317" i="1"/>
  <c r="CQ317" i="1"/>
  <c r="CS317" i="1"/>
  <c r="CZ317" i="1"/>
  <c r="Z317" i="1"/>
  <c r="Z321" i="1"/>
  <c r="AA321" i="1"/>
  <c r="AB321" i="1"/>
  <c r="CV321" i="1"/>
  <c r="Y321" i="1"/>
  <c r="Z322" i="1"/>
  <c r="AA322" i="1"/>
  <c r="AB322" i="1"/>
  <c r="CV322" i="1"/>
  <c r="Y322" i="1" s="1"/>
  <c r="Z323" i="1"/>
  <c r="AA323" i="1"/>
  <c r="AB323" i="1"/>
  <c r="CV323" i="1"/>
  <c r="Y323" i="1" s="1"/>
  <c r="J306" i="1"/>
  <c r="Z306" i="1"/>
  <c r="AA306" i="1"/>
  <c r="AB306" i="1"/>
  <c r="CV306" i="1"/>
  <c r="Y306" i="1"/>
  <c r="J327" i="1"/>
  <c r="Z327" i="1"/>
  <c r="AA327" i="1"/>
  <c r="AB327" i="1"/>
  <c r="CV327" i="1"/>
  <c r="Y327" i="1" s="1"/>
  <c r="Z347" i="1"/>
  <c r="AA347" i="1"/>
  <c r="AB347" i="1"/>
  <c r="CV347" i="1"/>
  <c r="Y347" i="1"/>
  <c r="Z348" i="1"/>
  <c r="AA348" i="1"/>
  <c r="AB348" i="1"/>
  <c r="CV348" i="1"/>
  <c r="Y348" i="1"/>
  <c r="AE348" i="1" s="1"/>
  <c r="Z349" i="1"/>
  <c r="AA349" i="1"/>
  <c r="AB349" i="1"/>
  <c r="CV349" i="1"/>
  <c r="Y349" i="1" s="1"/>
  <c r="Z333" i="1"/>
  <c r="AA333" i="1"/>
  <c r="AB333" i="1"/>
  <c r="CV333" i="1"/>
  <c r="Y333" i="1"/>
  <c r="Z350" i="1"/>
  <c r="AA350" i="1"/>
  <c r="AB350" i="1"/>
  <c r="CV350" i="1"/>
  <c r="Y350" i="1" s="1"/>
  <c r="Z351" i="1"/>
  <c r="AA351" i="1"/>
  <c r="AB351" i="1"/>
  <c r="CV351" i="1"/>
  <c r="Y351" i="1" s="1"/>
  <c r="Z352" i="1"/>
  <c r="AA352" i="1"/>
  <c r="AB352" i="1"/>
  <c r="CV352" i="1"/>
  <c r="Y352" i="1" s="1"/>
  <c r="Z353" i="1"/>
  <c r="AA353" i="1"/>
  <c r="AB353" i="1"/>
  <c r="CV353" i="1"/>
  <c r="Y353" i="1"/>
  <c r="AA354" i="1"/>
  <c r="AB354" i="1"/>
  <c r="BA354" i="1"/>
  <c r="BC354" i="1"/>
  <c r="CK354" i="1"/>
  <c r="CQ354" i="1"/>
  <c r="CS354" i="1"/>
  <c r="CZ354" i="1"/>
  <c r="Z354" i="1"/>
  <c r="Z355" i="1"/>
  <c r="AA355" i="1"/>
  <c r="AB355" i="1"/>
  <c r="CV355" i="1"/>
  <c r="Y355" i="1" s="1"/>
  <c r="Z356" i="1"/>
  <c r="AA356" i="1"/>
  <c r="AB356" i="1"/>
  <c r="CV356" i="1"/>
  <c r="Y356" i="1" s="1"/>
  <c r="J313" i="1"/>
  <c r="AA313" i="1"/>
  <c r="AB313" i="1"/>
  <c r="AC313" i="1"/>
  <c r="CQ313" i="1"/>
  <c r="CV313" i="1" s="1"/>
  <c r="Y313" i="1" s="1"/>
  <c r="CZ313" i="1"/>
  <c r="Z313" i="1"/>
  <c r="Z358" i="1"/>
  <c r="AA358" i="1"/>
  <c r="AB358" i="1"/>
  <c r="CV358" i="1"/>
  <c r="Y358" i="1"/>
  <c r="Z359" i="1"/>
  <c r="AA359" i="1"/>
  <c r="AB359" i="1"/>
  <c r="CV359" i="1"/>
  <c r="Y359" i="1" s="1"/>
  <c r="AA360" i="1"/>
  <c r="AB360" i="1"/>
  <c r="BA360" i="1"/>
  <c r="CK360" i="1"/>
  <c r="CQ360" i="1"/>
  <c r="CS360" i="1"/>
  <c r="CZ360" i="1"/>
  <c r="Z360" i="1" s="1"/>
  <c r="AA361" i="1"/>
  <c r="AB361" i="1"/>
  <c r="BA361" i="1"/>
  <c r="CK361" i="1"/>
  <c r="CQ361" i="1"/>
  <c r="CS361" i="1"/>
  <c r="CZ361" i="1"/>
  <c r="Z361" i="1" s="1"/>
  <c r="J326" i="1"/>
  <c r="Z326" i="1"/>
  <c r="AA326" i="1"/>
  <c r="AB326" i="1"/>
  <c r="CV326" i="1"/>
  <c r="Y326" i="1"/>
  <c r="Z362" i="1"/>
  <c r="AA362" i="1"/>
  <c r="AB362" i="1"/>
  <c r="CV362" i="1"/>
  <c r="Y362" i="1" s="1"/>
  <c r="AB363" i="1"/>
  <c r="BC363" i="1"/>
  <c r="CK363" i="1"/>
  <c r="CQ363" i="1"/>
  <c r="CS363" i="1"/>
  <c r="CZ363" i="1"/>
  <c r="Z363" i="1"/>
  <c r="DC363" i="1"/>
  <c r="DD363" i="1"/>
  <c r="AA363" i="1" s="1"/>
  <c r="Z364" i="1"/>
  <c r="AA364" i="1"/>
  <c r="AB364" i="1"/>
  <c r="CV364" i="1"/>
  <c r="Y364" i="1"/>
  <c r="Z365" i="1"/>
  <c r="AA365" i="1"/>
  <c r="AB365" i="1"/>
  <c r="CV365" i="1"/>
  <c r="Y365" i="1"/>
  <c r="Z366" i="1"/>
  <c r="AA366" i="1"/>
  <c r="AB366" i="1"/>
  <c r="CV366" i="1"/>
  <c r="Y366" i="1" s="1"/>
  <c r="Z367" i="1"/>
  <c r="AA367" i="1"/>
  <c r="AB367" i="1"/>
  <c r="CV367" i="1"/>
  <c r="Y367" i="1" s="1"/>
  <c r="AE367" i="1" s="1"/>
  <c r="Z368" i="1"/>
  <c r="AA368" i="1"/>
  <c r="AB368" i="1"/>
  <c r="CV368" i="1"/>
  <c r="Y368" i="1"/>
  <c r="AA369" i="1"/>
  <c r="AB369" i="1"/>
  <c r="BC369" i="1"/>
  <c r="CO369" i="1"/>
  <c r="CZ369" i="1"/>
  <c r="Z369" i="1" s="1"/>
  <c r="Z370" i="1"/>
  <c r="AA370" i="1"/>
  <c r="AB370" i="1"/>
  <c r="CV370" i="1"/>
  <c r="Y370" i="1"/>
  <c r="Z371" i="1"/>
  <c r="AA371" i="1"/>
  <c r="AB371" i="1"/>
  <c r="CV371" i="1"/>
  <c r="Y371" i="1" s="1"/>
  <c r="AB372" i="1"/>
  <c r="BC372" i="1"/>
  <c r="CK372" i="1"/>
  <c r="CQ372" i="1"/>
  <c r="CS372" i="1"/>
  <c r="CZ372" i="1"/>
  <c r="Z372" i="1"/>
  <c r="DD372" i="1"/>
  <c r="AA372" i="1" s="1"/>
  <c r="Z373" i="1"/>
  <c r="AA373" i="1"/>
  <c r="AB373" i="1"/>
  <c r="CV373" i="1"/>
  <c r="Y373" i="1" s="1"/>
  <c r="Z374" i="1"/>
  <c r="AA374" i="1"/>
  <c r="AB374" i="1"/>
  <c r="CV374" i="1"/>
  <c r="Y374" i="1"/>
  <c r="Z375" i="1"/>
  <c r="AA375" i="1"/>
  <c r="AB375" i="1"/>
  <c r="CV375" i="1"/>
  <c r="Y375" i="1"/>
  <c r="Z376" i="1"/>
  <c r="AA376" i="1"/>
  <c r="AB376" i="1"/>
  <c r="CV376" i="1"/>
  <c r="Y376" i="1" s="1"/>
  <c r="J377" i="1"/>
  <c r="Z377" i="1"/>
  <c r="AA377" i="1"/>
  <c r="AB377" i="1"/>
  <c r="CV377" i="1"/>
  <c r="Y377" i="1"/>
  <c r="Z378" i="1"/>
  <c r="AA378" i="1"/>
  <c r="AB378" i="1"/>
  <c r="CV378" i="1"/>
  <c r="Y378" i="1"/>
  <c r="Z379" i="1"/>
  <c r="AA379" i="1"/>
  <c r="AB379" i="1"/>
  <c r="CV379" i="1"/>
  <c r="Y379" i="1" s="1"/>
  <c r="Z380" i="1"/>
  <c r="AA380" i="1"/>
  <c r="AB380" i="1"/>
  <c r="CV380" i="1"/>
  <c r="Y380" i="1" s="1"/>
  <c r="Z381" i="1"/>
  <c r="AA381" i="1"/>
  <c r="AB381" i="1"/>
  <c r="CV381" i="1"/>
  <c r="Y381" i="1"/>
  <c r="Z382" i="1"/>
  <c r="AA382" i="1"/>
  <c r="AB382" i="1"/>
  <c r="CV382" i="1"/>
  <c r="Y382" i="1" s="1"/>
  <c r="AA383" i="1"/>
  <c r="AB383" i="1"/>
  <c r="CV383" i="1"/>
  <c r="Y383" i="1" s="1"/>
  <c r="CZ383" i="1"/>
  <c r="Z383" i="1" s="1"/>
  <c r="Z384" i="1"/>
  <c r="AA384" i="1"/>
  <c r="AB384" i="1"/>
  <c r="CV384" i="1"/>
  <c r="Y384" i="1"/>
  <c r="Z332" i="1"/>
  <c r="AA332" i="1"/>
  <c r="AB332" i="1"/>
  <c r="CV332" i="1"/>
  <c r="Y332" i="1"/>
  <c r="Z385" i="1"/>
  <c r="AA385" i="1"/>
  <c r="AB385" i="1"/>
  <c r="CV385" i="1"/>
  <c r="Y385" i="1" s="1"/>
  <c r="J386" i="1"/>
  <c r="AA386" i="1"/>
  <c r="AB386" i="1"/>
  <c r="BA386" i="1"/>
  <c r="CK386" i="1"/>
  <c r="CZ386" i="1"/>
  <c r="Z386" i="1"/>
  <c r="Z343" i="1"/>
  <c r="AA343" i="1"/>
  <c r="AB343" i="1"/>
  <c r="CV343" i="1"/>
  <c r="Y343" i="1" s="1"/>
  <c r="Z387" i="1"/>
  <c r="AA387" i="1"/>
  <c r="AB387" i="1"/>
  <c r="CV387" i="1"/>
  <c r="Y387" i="1" s="1"/>
  <c r="J388" i="1"/>
  <c r="Z388" i="1"/>
  <c r="AA388" i="1"/>
  <c r="AB388" i="1"/>
  <c r="CV388" i="1"/>
  <c r="Y388" i="1" s="1"/>
  <c r="Z389" i="1"/>
  <c r="AA389" i="1"/>
  <c r="AB389" i="1"/>
  <c r="CV389" i="1"/>
  <c r="Y389" i="1" s="1"/>
  <c r="Z390" i="1"/>
  <c r="AA390" i="1"/>
  <c r="AB390" i="1"/>
  <c r="CV390" i="1"/>
  <c r="Y390" i="1" s="1"/>
  <c r="Z391" i="1"/>
  <c r="AA391" i="1"/>
  <c r="AB391" i="1"/>
  <c r="CV391" i="1"/>
  <c r="Y391" i="1"/>
  <c r="Z392" i="1"/>
  <c r="AA392" i="1"/>
  <c r="AB392" i="1"/>
  <c r="CV392" i="1"/>
  <c r="Y392" i="1"/>
  <c r="J393" i="1"/>
  <c r="K393" i="1"/>
  <c r="Z393" i="1"/>
  <c r="AA393" i="1"/>
  <c r="AB393" i="1"/>
  <c r="CV393" i="1"/>
  <c r="Y393" i="1"/>
  <c r="Z394" i="1"/>
  <c r="AA394" i="1"/>
  <c r="AB394" i="1"/>
  <c r="CV394" i="1"/>
  <c r="Y394" i="1"/>
  <c r="Z395" i="1"/>
  <c r="AA395" i="1"/>
  <c r="AB395" i="1"/>
  <c r="CV395" i="1"/>
  <c r="Y395" i="1" s="1"/>
  <c r="Z396" i="1"/>
  <c r="AA396" i="1"/>
  <c r="AB396" i="1"/>
  <c r="CV396" i="1"/>
  <c r="Y396" i="1" s="1"/>
  <c r="J397" i="1"/>
  <c r="AA397" i="1"/>
  <c r="AB397" i="1"/>
  <c r="BA397" i="1"/>
  <c r="CQ397" i="1"/>
  <c r="CS397" i="1"/>
  <c r="CZ397" i="1"/>
  <c r="Z397" i="1" s="1"/>
  <c r="Z398" i="1"/>
  <c r="AA398" i="1"/>
  <c r="AB398" i="1"/>
  <c r="CV398" i="1"/>
  <c r="Y398" i="1"/>
  <c r="Z399" i="1"/>
  <c r="AA399" i="1"/>
  <c r="AB399" i="1"/>
  <c r="CV399" i="1"/>
  <c r="Y399" i="1"/>
  <c r="J401" i="1"/>
  <c r="Z401" i="1"/>
  <c r="AA401" i="1"/>
  <c r="AB401" i="1"/>
  <c r="CV401" i="1"/>
  <c r="Y401" i="1" s="1"/>
  <c r="Z402" i="1"/>
  <c r="AA402" i="1"/>
  <c r="AB402" i="1"/>
  <c r="CV402" i="1"/>
  <c r="Y402" i="1"/>
  <c r="Z403" i="1"/>
  <c r="AA403" i="1"/>
  <c r="AB403" i="1"/>
  <c r="AC403" i="1"/>
  <c r="CV403" i="1"/>
  <c r="Y403" i="1" s="1"/>
  <c r="Z319" i="1"/>
  <c r="AA319" i="1"/>
  <c r="AB319" i="1"/>
  <c r="CV319" i="1"/>
  <c r="Y319" i="1" s="1"/>
  <c r="Z404" i="1"/>
  <c r="AA404" i="1"/>
  <c r="AB404" i="1"/>
  <c r="CV404" i="1"/>
  <c r="Y404" i="1"/>
  <c r="Z405" i="1"/>
  <c r="AA405" i="1"/>
  <c r="AB405" i="1"/>
  <c r="CV405" i="1"/>
  <c r="Y405" i="1" s="1"/>
  <c r="AE405" i="1" s="1"/>
  <c r="Z406" i="1"/>
  <c r="AA406" i="1"/>
  <c r="AB406" i="1"/>
  <c r="CV406" i="1"/>
  <c r="Y406" i="1" s="1"/>
  <c r="Z407" i="1"/>
  <c r="AA407" i="1"/>
  <c r="AB407" i="1"/>
  <c r="CV407" i="1"/>
  <c r="Y407" i="1"/>
  <c r="Z408" i="1"/>
  <c r="AA408" i="1"/>
  <c r="AB408" i="1"/>
  <c r="CV408" i="1"/>
  <c r="Y408" i="1"/>
  <c r="Z409" i="1"/>
  <c r="AA409" i="1"/>
  <c r="AB409" i="1"/>
  <c r="CV409" i="1"/>
  <c r="Y409" i="1" s="1"/>
  <c r="Z410" i="1"/>
  <c r="AA410" i="1"/>
  <c r="AB410" i="1"/>
  <c r="CV410" i="1"/>
  <c r="Y410" i="1" s="1"/>
  <c r="Z411" i="1"/>
  <c r="AA411" i="1"/>
  <c r="AB411" i="1"/>
  <c r="CV411" i="1"/>
  <c r="Y411" i="1"/>
  <c r="Z412" i="1"/>
  <c r="AA412" i="1"/>
  <c r="AB412" i="1"/>
  <c r="CV412" i="1"/>
  <c r="Y412" i="1" s="1"/>
  <c r="Z413" i="1"/>
  <c r="AA413" i="1"/>
  <c r="AB413" i="1"/>
  <c r="CV413" i="1"/>
  <c r="Y413" i="1" s="1"/>
  <c r="Z414" i="1"/>
  <c r="AA414" i="1"/>
  <c r="AB414" i="1"/>
  <c r="CV414" i="1"/>
  <c r="Y414" i="1" s="1"/>
  <c r="J415" i="1"/>
  <c r="Z415" i="1"/>
  <c r="AB415" i="1"/>
  <c r="CV415" i="1"/>
  <c r="Y415" i="1"/>
  <c r="DD415" i="1"/>
  <c r="AA415" i="1" s="1"/>
  <c r="Z331" i="1"/>
  <c r="AA331" i="1"/>
  <c r="AB331" i="1"/>
  <c r="CV331" i="1"/>
  <c r="Y331" i="1" s="1"/>
  <c r="AE331" i="1"/>
  <c r="Z416" i="1"/>
  <c r="AA416" i="1"/>
  <c r="AB416" i="1"/>
  <c r="CV416" i="1"/>
  <c r="Y416" i="1" s="1"/>
  <c r="J417" i="1"/>
  <c r="Z417" i="1"/>
  <c r="AA417" i="1"/>
  <c r="AB417" i="1"/>
  <c r="CV417" i="1"/>
  <c r="Y417" i="1" s="1"/>
  <c r="Z418" i="1"/>
  <c r="AA418" i="1"/>
  <c r="AB418" i="1"/>
  <c r="CV418" i="1"/>
  <c r="Y418" i="1"/>
  <c r="Z419" i="1"/>
  <c r="AA419" i="1"/>
  <c r="AB419" i="1"/>
  <c r="CV419" i="1"/>
  <c r="Y419" i="1"/>
  <c r="Z420" i="1"/>
  <c r="AA420" i="1"/>
  <c r="AB420" i="1"/>
  <c r="CV420" i="1"/>
  <c r="Y420" i="1" s="1"/>
  <c r="AA421" i="1"/>
  <c r="AB421" i="1"/>
  <c r="BA421" i="1"/>
  <c r="CK421" i="1"/>
  <c r="CO421" i="1"/>
  <c r="CQ421" i="1"/>
  <c r="CS421" i="1"/>
  <c r="CZ421" i="1"/>
  <c r="Z421" i="1" s="1"/>
  <c r="AA422" i="1"/>
  <c r="AB422" i="1"/>
  <c r="BA422" i="1"/>
  <c r="CK422" i="1"/>
  <c r="CO422" i="1"/>
  <c r="CQ422" i="1"/>
  <c r="CS422" i="1"/>
  <c r="CZ422" i="1"/>
  <c r="Z422" i="1"/>
  <c r="Z423" i="1"/>
  <c r="AA423" i="1"/>
  <c r="AB423" i="1"/>
  <c r="CV423" i="1"/>
  <c r="Y423" i="1" s="1"/>
  <c r="Z424" i="1"/>
  <c r="AA424" i="1"/>
  <c r="AB424" i="1"/>
  <c r="CV424" i="1"/>
  <c r="Y424" i="1" s="1"/>
  <c r="J426" i="1"/>
  <c r="Z426" i="1"/>
  <c r="AA426" i="1"/>
  <c r="AB426" i="1"/>
  <c r="CV426" i="1"/>
  <c r="Y426" i="1"/>
  <c r="Z427" i="1"/>
  <c r="AA427" i="1"/>
  <c r="AB427" i="1"/>
  <c r="CV427" i="1"/>
  <c r="Y427" i="1"/>
  <c r="Z428" i="1"/>
  <c r="AA428" i="1"/>
  <c r="AB428" i="1"/>
  <c r="CV428" i="1"/>
  <c r="Y428" i="1" s="1"/>
  <c r="Z429" i="1"/>
  <c r="AA429" i="1"/>
  <c r="AB429" i="1"/>
  <c r="CV429" i="1"/>
  <c r="Y429" i="1" s="1"/>
  <c r="Z430" i="1"/>
  <c r="AA430" i="1"/>
  <c r="AB430" i="1"/>
  <c r="CV430" i="1"/>
  <c r="Y430" i="1"/>
  <c r="Z325" i="1"/>
  <c r="AA325" i="1"/>
  <c r="AB325" i="1"/>
  <c r="CV325" i="1"/>
  <c r="Y325" i="1"/>
  <c r="Z431" i="1"/>
  <c r="AA431" i="1"/>
  <c r="AB431" i="1"/>
  <c r="CV431" i="1"/>
  <c r="Y431" i="1" s="1"/>
  <c r="Z432" i="1"/>
  <c r="AA432" i="1"/>
  <c r="AE432" i="1" s="1"/>
  <c r="AB432" i="1"/>
  <c r="CV432" i="1"/>
  <c r="Y432" i="1" s="1"/>
  <c r="Z433" i="1"/>
  <c r="AA433" i="1"/>
  <c r="AB433" i="1"/>
  <c r="CV433" i="1"/>
  <c r="Y433" i="1"/>
  <c r="Z434" i="1"/>
  <c r="AA434" i="1"/>
  <c r="AB434" i="1"/>
  <c r="CV434" i="1"/>
  <c r="Y434" i="1" s="1"/>
  <c r="J335" i="1"/>
  <c r="AA335" i="1"/>
  <c r="AB335" i="1"/>
  <c r="BC335" i="1"/>
  <c r="CK335" i="1"/>
  <c r="CQ335" i="1"/>
  <c r="CS335" i="1"/>
  <c r="CZ335" i="1"/>
  <c r="Z335" i="1" s="1"/>
  <c r="Z435" i="1"/>
  <c r="AA435" i="1"/>
  <c r="AB435" i="1"/>
  <c r="CV435" i="1"/>
  <c r="Y435" i="1"/>
  <c r="Z436" i="1"/>
  <c r="AA436" i="1"/>
  <c r="AB436" i="1"/>
  <c r="CV436" i="1"/>
  <c r="Y436" i="1"/>
  <c r="J437" i="1"/>
  <c r="AB437" i="1"/>
  <c r="BA437" i="1"/>
  <c r="CV437" i="1"/>
  <c r="Y437" i="1" s="1"/>
  <c r="CZ437" i="1"/>
  <c r="Z437" i="1"/>
  <c r="DD437" i="1"/>
  <c r="AA437" i="1" s="1"/>
  <c r="Z438" i="1"/>
  <c r="AA438" i="1"/>
  <c r="AB438" i="1"/>
  <c r="CV438" i="1"/>
  <c r="Y438" i="1" s="1"/>
  <c r="Z439" i="1"/>
  <c r="AA439" i="1"/>
  <c r="AB439" i="1"/>
  <c r="CV439" i="1"/>
  <c r="Y439" i="1"/>
  <c r="Z440" i="1"/>
  <c r="AA440" i="1"/>
  <c r="AB440" i="1"/>
  <c r="CV440" i="1"/>
  <c r="Y440" i="1"/>
  <c r="Z441" i="1"/>
  <c r="AA441" i="1"/>
  <c r="AB441" i="1"/>
  <c r="CV441" i="1"/>
  <c r="Y441" i="1" s="1"/>
  <c r="J442" i="1"/>
  <c r="AB442" i="1"/>
  <c r="CQ442" i="1"/>
  <c r="CV442" i="1" s="1"/>
  <c r="Y442" i="1" s="1"/>
  <c r="CZ442" i="1"/>
  <c r="Z442" i="1"/>
  <c r="DC442" i="1"/>
  <c r="DD442" i="1"/>
  <c r="AA442" i="1"/>
  <c r="Z443" i="1"/>
  <c r="AA443" i="1"/>
  <c r="AB443" i="1"/>
  <c r="CV443" i="1"/>
  <c r="Y443" i="1"/>
  <c r="Z444" i="1"/>
  <c r="AA444" i="1"/>
  <c r="AB444" i="1"/>
  <c r="CV444" i="1"/>
  <c r="Y444" i="1" s="1"/>
  <c r="J445" i="1"/>
  <c r="Z445" i="1"/>
  <c r="AA445" i="1"/>
  <c r="AB445" i="1"/>
  <c r="CV445" i="1"/>
  <c r="Y445" i="1"/>
  <c r="Z446" i="1"/>
  <c r="AA446" i="1"/>
  <c r="AB446" i="1"/>
  <c r="CV446" i="1"/>
  <c r="Y446" i="1"/>
  <c r="AB447" i="1"/>
  <c r="CQ447" i="1"/>
  <c r="CS447" i="1"/>
  <c r="CZ447" i="1"/>
  <c r="Z447" i="1" s="1"/>
  <c r="DD447" i="1"/>
  <c r="AA447" i="1"/>
  <c r="J448" i="1"/>
  <c r="Z448" i="1"/>
  <c r="AA448" i="1"/>
  <c r="AB448" i="1"/>
  <c r="CV448" i="1"/>
  <c r="Y448" i="1" s="1"/>
  <c r="Z449" i="1"/>
  <c r="AA449" i="1"/>
  <c r="AE449" i="1" s="1"/>
  <c r="AB449" i="1"/>
  <c r="CV449" i="1"/>
  <c r="Y449" i="1" s="1"/>
  <c r="J450" i="1"/>
  <c r="Z450" i="1"/>
  <c r="AA450" i="1"/>
  <c r="AB450" i="1"/>
  <c r="AD450" i="1"/>
  <c r="CV450" i="1"/>
  <c r="Y450" i="1" s="1"/>
  <c r="Z451" i="1"/>
  <c r="AA451" i="1"/>
  <c r="AB451" i="1"/>
  <c r="AD451" i="1"/>
  <c r="CV451" i="1"/>
  <c r="Y451" i="1"/>
  <c r="Z452" i="1"/>
  <c r="AA452" i="1"/>
  <c r="AB452" i="1"/>
  <c r="CV452" i="1"/>
  <c r="Y452" i="1" s="1"/>
  <c r="AE452" i="1" s="1"/>
  <c r="Z453" i="1"/>
  <c r="AA453" i="1"/>
  <c r="AB453" i="1"/>
  <c r="CV453" i="1"/>
  <c r="Y453" i="1"/>
  <c r="AA454" i="1"/>
  <c r="AB454" i="1"/>
  <c r="CQ454" i="1"/>
  <c r="CV454" i="1"/>
  <c r="Y454" i="1" s="1"/>
  <c r="CZ454" i="1"/>
  <c r="Z454" i="1" s="1"/>
  <c r="Z455" i="1"/>
  <c r="AA455" i="1"/>
  <c r="AB455" i="1"/>
  <c r="CV455" i="1"/>
  <c r="Y455" i="1"/>
  <c r="J456" i="1"/>
  <c r="Z456" i="1"/>
  <c r="AA456" i="1"/>
  <c r="AB456" i="1"/>
  <c r="CV456" i="1"/>
  <c r="Y456" i="1" s="1"/>
  <c r="Z457" i="1"/>
  <c r="AA457" i="1"/>
  <c r="AB457" i="1"/>
  <c r="CV457" i="1"/>
  <c r="Y457" i="1" s="1"/>
  <c r="J458" i="1"/>
  <c r="K458" i="1"/>
  <c r="M458" i="1"/>
  <c r="Z458" i="1"/>
  <c r="AB458" i="1"/>
  <c r="CV458" i="1"/>
  <c r="Y458" i="1" s="1"/>
  <c r="DD458" i="1"/>
  <c r="AA458" i="1"/>
  <c r="Z459" i="1"/>
  <c r="AA459" i="1"/>
  <c r="AB459" i="1"/>
  <c r="CV459" i="1"/>
  <c r="Y459" i="1" s="1"/>
  <c r="AE459" i="1" s="1"/>
  <c r="Z460" i="1"/>
  <c r="AA460" i="1"/>
  <c r="AB460" i="1"/>
  <c r="CV460" i="1"/>
  <c r="Y460" i="1" s="1"/>
  <c r="Z461" i="1"/>
  <c r="AA461" i="1"/>
  <c r="AB461" i="1"/>
  <c r="CV461" i="1"/>
  <c r="Y461" i="1"/>
  <c r="Z462" i="1"/>
  <c r="AA462" i="1"/>
  <c r="AB462" i="1"/>
  <c r="CV462" i="1"/>
  <c r="Y462" i="1"/>
  <c r="Z463" i="1"/>
  <c r="AA463" i="1"/>
  <c r="AB463" i="1"/>
  <c r="CV463" i="1"/>
  <c r="Y463" i="1" s="1"/>
  <c r="Z464" i="1"/>
  <c r="AA464" i="1"/>
  <c r="AB464" i="1"/>
  <c r="CV464" i="1"/>
  <c r="Y464" i="1" s="1"/>
  <c r="Z465" i="1"/>
  <c r="AA465" i="1"/>
  <c r="AB465" i="1"/>
  <c r="CV465" i="1"/>
  <c r="Y465" i="1"/>
  <c r="Z466" i="1"/>
  <c r="AA466" i="1"/>
  <c r="AB466" i="1"/>
  <c r="CV466" i="1"/>
  <c r="Y466" i="1" s="1"/>
  <c r="Z467" i="1"/>
  <c r="AA467" i="1"/>
  <c r="AB467" i="1"/>
  <c r="CV467" i="1"/>
  <c r="Y467" i="1" s="1"/>
  <c r="Z468" i="1"/>
  <c r="AA468" i="1"/>
  <c r="AB468" i="1"/>
  <c r="CV468" i="1"/>
  <c r="Y468" i="1" s="1"/>
  <c r="Z470" i="1"/>
  <c r="AA470" i="1"/>
  <c r="AB470" i="1"/>
  <c r="CV470" i="1"/>
  <c r="Y470" i="1"/>
  <c r="Z471" i="1"/>
  <c r="AA471" i="1"/>
  <c r="AB471" i="1"/>
  <c r="AC471" i="1"/>
  <c r="CV471" i="1"/>
  <c r="Y471" i="1" s="1"/>
  <c r="Z472" i="1"/>
  <c r="AA472" i="1"/>
  <c r="AB472" i="1"/>
  <c r="CV472" i="1"/>
  <c r="Y472" i="1" s="1"/>
  <c r="Z473" i="1"/>
  <c r="AA473" i="1"/>
  <c r="AB473" i="1"/>
  <c r="CV473" i="1"/>
  <c r="Y473" i="1"/>
  <c r="Z474" i="1"/>
  <c r="AA474" i="1"/>
  <c r="AB474" i="1"/>
  <c r="CV474" i="1"/>
  <c r="Y474" i="1" s="1"/>
  <c r="Z475" i="1"/>
  <c r="AA475" i="1"/>
  <c r="AB475" i="1"/>
  <c r="CV475" i="1"/>
  <c r="Y475" i="1" s="1"/>
  <c r="Z476" i="1"/>
  <c r="AA476" i="1"/>
  <c r="AB476" i="1"/>
  <c r="CV476" i="1"/>
  <c r="Y476" i="1" s="1"/>
  <c r="Z477" i="1"/>
  <c r="AA477" i="1"/>
  <c r="AB477" i="1"/>
  <c r="CV477" i="1"/>
  <c r="Y477" i="1"/>
  <c r="AA478" i="1"/>
  <c r="AB478" i="1"/>
  <c r="AD478" i="1"/>
  <c r="AF478" i="1"/>
  <c r="AF2496" i="1"/>
  <c r="CQ478" i="1"/>
  <c r="CS478" i="1"/>
  <c r="CZ478" i="1"/>
  <c r="Z478" i="1"/>
  <c r="Z479" i="1"/>
  <c r="AA479" i="1"/>
  <c r="AB479" i="1"/>
  <c r="CV479" i="1"/>
  <c r="Y479" i="1" s="1"/>
  <c r="Z481" i="1"/>
  <c r="AA481" i="1"/>
  <c r="AB481" i="1"/>
  <c r="CV481" i="1"/>
  <c r="Y481" i="1" s="1"/>
  <c r="Z482" i="1"/>
  <c r="AA482" i="1"/>
  <c r="AB482" i="1"/>
  <c r="CV482" i="1"/>
  <c r="Y482" i="1"/>
  <c r="Z483" i="1"/>
  <c r="AA483" i="1"/>
  <c r="AB483" i="1"/>
  <c r="CV483" i="1"/>
  <c r="Y483" i="1" s="1"/>
  <c r="Z484" i="1"/>
  <c r="AA484" i="1"/>
  <c r="AB484" i="1"/>
  <c r="CV484" i="1"/>
  <c r="Y484" i="1" s="1"/>
  <c r="Z485" i="1"/>
  <c r="AA485" i="1"/>
  <c r="AB485" i="1"/>
  <c r="CV485" i="1"/>
  <c r="Y485" i="1" s="1"/>
  <c r="Z486" i="1"/>
  <c r="AA486" i="1"/>
  <c r="AB486" i="1"/>
  <c r="CV486" i="1"/>
  <c r="Y486" i="1"/>
  <c r="Z487" i="1"/>
  <c r="AA487" i="1"/>
  <c r="AB487" i="1"/>
  <c r="CV487" i="1"/>
  <c r="Y487" i="1" s="1"/>
  <c r="Z488" i="1"/>
  <c r="AA488" i="1"/>
  <c r="AB488" i="1"/>
  <c r="CV488" i="1"/>
  <c r="Y488" i="1" s="1"/>
  <c r="J489" i="1"/>
  <c r="Z489" i="1"/>
  <c r="AA489" i="1"/>
  <c r="AB489" i="1"/>
  <c r="CV489" i="1"/>
  <c r="Y489" i="1" s="1"/>
  <c r="Z490" i="1"/>
  <c r="AA490" i="1"/>
  <c r="AC490" i="1"/>
  <c r="CV490" i="1"/>
  <c r="Y490" i="1"/>
  <c r="CX490" i="1"/>
  <c r="AB490" i="1"/>
  <c r="Z491" i="1"/>
  <c r="AA491" i="1"/>
  <c r="AB491" i="1"/>
  <c r="CV491" i="1"/>
  <c r="Y491" i="1" s="1"/>
  <c r="Z492" i="1"/>
  <c r="AA492" i="1"/>
  <c r="AB492" i="1"/>
  <c r="CV492" i="1"/>
  <c r="Y492" i="1"/>
  <c r="Z493" i="1"/>
  <c r="AA493" i="1"/>
  <c r="AB493" i="1"/>
  <c r="CV493" i="1"/>
  <c r="Y493" i="1"/>
  <c r="Z494" i="1"/>
  <c r="AA494" i="1"/>
  <c r="AB494" i="1"/>
  <c r="CV494" i="1"/>
  <c r="Y494" i="1" s="1"/>
  <c r="J496" i="1"/>
  <c r="AB496" i="1"/>
  <c r="BA496" i="1"/>
  <c r="CK496" i="1"/>
  <c r="CQ496" i="1"/>
  <c r="CS496" i="1"/>
  <c r="CZ496" i="1"/>
  <c r="Z496" i="1" s="1"/>
  <c r="DD496" i="1"/>
  <c r="AA496" i="1" s="1"/>
  <c r="AA497" i="1"/>
  <c r="AB497" i="1"/>
  <c r="CV497" i="1"/>
  <c r="Y497" i="1" s="1"/>
  <c r="CZ497" i="1"/>
  <c r="Z497" i="1"/>
  <c r="Z498" i="1"/>
  <c r="AA498" i="1"/>
  <c r="AB498" i="1"/>
  <c r="CV498" i="1"/>
  <c r="Y498" i="1"/>
  <c r="Z499" i="1"/>
  <c r="AA499" i="1"/>
  <c r="AB499" i="1"/>
  <c r="CV499" i="1"/>
  <c r="Y499" i="1" s="1"/>
  <c r="AE499" i="1" s="1"/>
  <c r="Z500" i="1"/>
  <c r="AA500" i="1"/>
  <c r="AB500" i="1"/>
  <c r="CV500" i="1"/>
  <c r="Y500" i="1" s="1"/>
  <c r="Z501" i="1"/>
  <c r="AA501" i="1"/>
  <c r="AB501" i="1"/>
  <c r="CV501" i="1"/>
  <c r="Y501" i="1"/>
  <c r="Z503" i="1"/>
  <c r="AA503" i="1"/>
  <c r="AB503" i="1"/>
  <c r="CV503" i="1"/>
  <c r="Y503" i="1" s="1"/>
  <c r="Z504" i="1"/>
  <c r="AA504" i="1"/>
  <c r="AB504" i="1"/>
  <c r="CV504" i="1"/>
  <c r="Y504" i="1"/>
  <c r="Z505" i="1"/>
  <c r="AA505" i="1"/>
  <c r="AB505" i="1"/>
  <c r="CV505" i="1"/>
  <c r="Y505" i="1"/>
  <c r="Z506" i="1"/>
  <c r="AA506" i="1"/>
  <c r="AB506" i="1"/>
  <c r="CV506" i="1"/>
  <c r="Y506" i="1" s="1"/>
  <c r="Z507" i="1"/>
  <c r="AA507" i="1"/>
  <c r="AB507" i="1"/>
  <c r="CV507" i="1"/>
  <c r="Y507" i="1"/>
  <c r="AA508" i="1"/>
  <c r="AB508" i="1"/>
  <c r="CV508" i="1"/>
  <c r="Y508" i="1"/>
  <c r="CZ508" i="1"/>
  <c r="Z508" i="1"/>
  <c r="AA509" i="1"/>
  <c r="AB509" i="1"/>
  <c r="CV509" i="1"/>
  <c r="Y509" i="1"/>
  <c r="CZ509" i="1"/>
  <c r="Z509" i="1"/>
  <c r="J510" i="1"/>
  <c r="AA510" i="1"/>
  <c r="AB510" i="1"/>
  <c r="CV510" i="1"/>
  <c r="Y510" i="1"/>
  <c r="CZ510" i="1"/>
  <c r="Z510" i="1" s="1"/>
  <c r="J511" i="1"/>
  <c r="AA511" i="1"/>
  <c r="AB511" i="1"/>
  <c r="CV511" i="1"/>
  <c r="Y511" i="1"/>
  <c r="CZ511" i="1"/>
  <c r="Z511" i="1" s="1"/>
  <c r="AA512" i="1"/>
  <c r="AB512" i="1"/>
  <c r="CV512" i="1"/>
  <c r="Y512" i="1" s="1"/>
  <c r="CZ512" i="1"/>
  <c r="Z512" i="1"/>
  <c r="AA513" i="1"/>
  <c r="AB513" i="1"/>
  <c r="CV513" i="1"/>
  <c r="Y513" i="1"/>
  <c r="CZ513" i="1"/>
  <c r="Z513" i="1" s="1"/>
  <c r="J514" i="1"/>
  <c r="AA514" i="1"/>
  <c r="AB514" i="1"/>
  <c r="CV514" i="1"/>
  <c r="Y514" i="1" s="1"/>
  <c r="CZ514" i="1"/>
  <c r="Z514" i="1"/>
  <c r="AA515" i="1"/>
  <c r="AB515" i="1"/>
  <c r="CV515" i="1"/>
  <c r="Y515" i="1"/>
  <c r="CZ515" i="1"/>
  <c r="Z515" i="1" s="1"/>
  <c r="J516" i="1"/>
  <c r="AA516" i="1"/>
  <c r="AB516" i="1"/>
  <c r="CV516" i="1"/>
  <c r="Y516" i="1"/>
  <c r="CZ516" i="1"/>
  <c r="Z516" i="1"/>
  <c r="AA517" i="1"/>
  <c r="AB517" i="1"/>
  <c r="CV517" i="1"/>
  <c r="Y517" i="1"/>
  <c r="CZ517" i="1"/>
  <c r="Z517" i="1"/>
  <c r="AA518" i="1"/>
  <c r="AB518" i="1"/>
  <c r="CV518" i="1"/>
  <c r="Y518" i="1"/>
  <c r="CZ518" i="1"/>
  <c r="Z518" i="1"/>
  <c r="AA519" i="1"/>
  <c r="AB519" i="1"/>
  <c r="CV519" i="1"/>
  <c r="Y519" i="1"/>
  <c r="CZ519" i="1"/>
  <c r="Z519" i="1"/>
  <c r="Z520" i="1"/>
  <c r="AA520" i="1"/>
  <c r="AB520" i="1"/>
  <c r="CV520" i="1"/>
  <c r="Y520" i="1"/>
  <c r="J521" i="1"/>
  <c r="Z521" i="1"/>
  <c r="AA521" i="1"/>
  <c r="AB521" i="1"/>
  <c r="CV521" i="1"/>
  <c r="Y521" i="1" s="1"/>
  <c r="Z522" i="1"/>
  <c r="AA522" i="1"/>
  <c r="AB522" i="1"/>
  <c r="CV522" i="1"/>
  <c r="Y522" i="1"/>
  <c r="Z523" i="1"/>
  <c r="AA523" i="1"/>
  <c r="AB523" i="1"/>
  <c r="CV523" i="1"/>
  <c r="Y523" i="1"/>
  <c r="Z524" i="1"/>
  <c r="AA524" i="1"/>
  <c r="AB524" i="1"/>
  <c r="CV524" i="1"/>
  <c r="Y524" i="1"/>
  <c r="J525" i="1"/>
  <c r="Z525" i="1"/>
  <c r="AA525" i="1"/>
  <c r="AB525" i="1"/>
  <c r="CV525" i="1"/>
  <c r="Y525" i="1"/>
  <c r="Z526" i="1"/>
  <c r="AA526" i="1"/>
  <c r="AB526" i="1"/>
  <c r="CV526" i="1"/>
  <c r="Y526" i="1"/>
  <c r="Z527" i="1"/>
  <c r="AA527" i="1"/>
  <c r="AB527" i="1"/>
  <c r="CV527" i="1"/>
  <c r="Y527" i="1"/>
  <c r="Z528" i="1"/>
  <c r="AA528" i="1"/>
  <c r="AB528" i="1"/>
  <c r="CV528" i="1"/>
  <c r="Y528" i="1" s="1"/>
  <c r="Z529" i="1"/>
  <c r="AA529" i="1"/>
  <c r="AB529" i="1"/>
  <c r="CV529" i="1"/>
  <c r="Y529" i="1"/>
  <c r="Z530" i="1"/>
  <c r="AA530" i="1"/>
  <c r="AB530" i="1"/>
  <c r="CV530" i="1"/>
  <c r="Y530" i="1"/>
  <c r="AA532" i="1"/>
  <c r="AB532" i="1"/>
  <c r="BA532" i="1"/>
  <c r="CQ532" i="1"/>
  <c r="CS532" i="1"/>
  <c r="CZ532" i="1"/>
  <c r="Z532" i="1"/>
  <c r="J533" i="1"/>
  <c r="AB533" i="1"/>
  <c r="BA533" i="1"/>
  <c r="CV533" i="1"/>
  <c r="Y533" i="1"/>
  <c r="CZ533" i="1"/>
  <c r="Z533" i="1" s="1"/>
  <c r="DD533" i="1"/>
  <c r="AA533" i="1"/>
  <c r="Z534" i="1"/>
  <c r="AA534" i="1"/>
  <c r="AB534" i="1"/>
  <c r="CV534" i="1"/>
  <c r="Y534" i="1" s="1"/>
  <c r="Z535" i="1"/>
  <c r="AA535" i="1"/>
  <c r="AB535" i="1"/>
  <c r="CV535" i="1"/>
  <c r="Y535" i="1" s="1"/>
  <c r="J536" i="1"/>
  <c r="Z536" i="1"/>
  <c r="AA536" i="1"/>
  <c r="AB536" i="1"/>
  <c r="CV536" i="1"/>
  <c r="Y536" i="1"/>
  <c r="AB538" i="1"/>
  <c r="BA538" i="1"/>
  <c r="CV538" i="1"/>
  <c r="Y538" i="1"/>
  <c r="Z538" i="1"/>
  <c r="CZ538" i="1"/>
  <c r="DD538" i="1"/>
  <c r="AA538" i="1"/>
  <c r="Z539" i="1"/>
  <c r="AA539" i="1"/>
  <c r="AB539" i="1"/>
  <c r="CV539" i="1"/>
  <c r="Y539" i="1"/>
  <c r="Z540" i="1"/>
  <c r="AA540" i="1"/>
  <c r="AB540" i="1"/>
  <c r="CV540" i="1"/>
  <c r="Y540" i="1" s="1"/>
  <c r="Z541" i="1"/>
  <c r="AA541" i="1"/>
  <c r="AB541" i="1"/>
  <c r="CV541" i="1"/>
  <c r="Y541" i="1"/>
  <c r="Z542" i="1"/>
  <c r="AA542" i="1"/>
  <c r="AB542" i="1"/>
  <c r="CV542" i="1"/>
  <c r="Y542" i="1"/>
  <c r="Z543" i="1"/>
  <c r="AA543" i="1"/>
  <c r="AB543" i="1"/>
  <c r="CV543" i="1"/>
  <c r="Y543" i="1"/>
  <c r="J545" i="1"/>
  <c r="AB545" i="1"/>
  <c r="BA545" i="1"/>
  <c r="CV545" i="1"/>
  <c r="Y545" i="1" s="1"/>
  <c r="CZ545" i="1"/>
  <c r="Z545" i="1"/>
  <c r="DD545" i="1"/>
  <c r="AA545" i="1" s="1"/>
  <c r="J546" i="1"/>
  <c r="AB546" i="1"/>
  <c r="BA546" i="1"/>
  <c r="CV546" i="1" s="1"/>
  <c r="Y546" i="1" s="1"/>
  <c r="CZ546" i="1"/>
  <c r="Z546" i="1"/>
  <c r="DD546" i="1"/>
  <c r="AA546" i="1"/>
  <c r="Z547" i="1"/>
  <c r="AA547" i="1"/>
  <c r="AB547" i="1"/>
  <c r="CV547" i="1"/>
  <c r="Y547" i="1"/>
  <c r="J548" i="1"/>
  <c r="AB548" i="1"/>
  <c r="BA548" i="1"/>
  <c r="CV548" i="1"/>
  <c r="Y548" i="1"/>
  <c r="CZ548" i="1"/>
  <c r="Z548" i="1"/>
  <c r="DD548" i="1"/>
  <c r="AA548" i="1"/>
  <c r="J549" i="1"/>
  <c r="AB549" i="1"/>
  <c r="BA549" i="1"/>
  <c r="CV549" i="1"/>
  <c r="Y549" i="1" s="1"/>
  <c r="CZ549" i="1"/>
  <c r="Z549" i="1" s="1"/>
  <c r="DD549" i="1"/>
  <c r="AA549" i="1"/>
  <c r="Z550" i="1"/>
  <c r="AA550" i="1"/>
  <c r="AB550" i="1"/>
  <c r="CV550" i="1"/>
  <c r="Y550" i="1"/>
  <c r="Z551" i="1"/>
  <c r="AA551" i="1"/>
  <c r="AB551" i="1"/>
  <c r="CV551" i="1"/>
  <c r="Y551" i="1" s="1"/>
  <c r="Z552" i="1"/>
  <c r="AA552" i="1"/>
  <c r="AB552" i="1"/>
  <c r="CV552" i="1"/>
  <c r="Y552" i="1" s="1"/>
  <c r="Z553" i="1"/>
  <c r="AA553" i="1"/>
  <c r="CV553" i="1"/>
  <c r="Y553" i="1" s="1"/>
  <c r="CW553" i="1"/>
  <c r="CX553" i="1"/>
  <c r="AB553" i="1"/>
  <c r="Z554" i="1"/>
  <c r="AA554" i="1"/>
  <c r="AB554" i="1"/>
  <c r="CV554" i="1"/>
  <c r="Y554" i="1" s="1"/>
  <c r="Z555" i="1"/>
  <c r="AA555" i="1"/>
  <c r="AB555" i="1"/>
  <c r="CV555" i="1"/>
  <c r="Y555" i="1"/>
  <c r="Z557" i="1"/>
  <c r="AA557" i="1"/>
  <c r="AB557" i="1"/>
  <c r="CV557" i="1"/>
  <c r="Y557" i="1"/>
  <c r="J558" i="1"/>
  <c r="V558" i="1"/>
  <c r="AA558" i="1"/>
  <c r="AB558" i="1"/>
  <c r="BC558" i="1"/>
  <c r="CK558" i="1"/>
  <c r="CQ558" i="1"/>
  <c r="CS558" i="1"/>
  <c r="CZ558" i="1"/>
  <c r="Z558" i="1" s="1"/>
  <c r="Z559" i="1"/>
  <c r="AA559" i="1"/>
  <c r="AB559" i="1"/>
  <c r="CV559" i="1"/>
  <c r="Y559" i="1"/>
  <c r="Z560" i="1"/>
  <c r="AA560" i="1"/>
  <c r="AB560" i="1"/>
  <c r="CV560" i="1"/>
  <c r="Y560" i="1"/>
  <c r="Z561" i="1"/>
  <c r="AA561" i="1"/>
  <c r="AB561" i="1"/>
  <c r="CV561" i="1"/>
  <c r="Y561" i="1" s="1"/>
  <c r="Z562" i="1"/>
  <c r="AA562" i="1"/>
  <c r="AB562" i="1"/>
  <c r="CV562" i="1"/>
  <c r="Y562" i="1" s="1"/>
  <c r="AA563" i="1"/>
  <c r="AB563" i="1"/>
  <c r="CK563" i="1"/>
  <c r="CQ563" i="1"/>
  <c r="CS563" i="1"/>
  <c r="CZ563" i="1"/>
  <c r="Z563" i="1"/>
  <c r="Z564" i="1"/>
  <c r="AA564" i="1"/>
  <c r="AB564" i="1"/>
  <c r="CV564" i="1"/>
  <c r="Y564" i="1" s="1"/>
  <c r="Z565" i="1"/>
  <c r="AA565" i="1"/>
  <c r="AB565" i="1"/>
  <c r="CV565" i="1"/>
  <c r="Y565" i="1"/>
  <c r="J566" i="1"/>
  <c r="Z566" i="1"/>
  <c r="AB566" i="1"/>
  <c r="CV566" i="1"/>
  <c r="Y566" i="1"/>
  <c r="DD566" i="1"/>
  <c r="AA566" i="1" s="1"/>
  <c r="AA567" i="1"/>
  <c r="AB567" i="1"/>
  <c r="BA567" i="1"/>
  <c r="BB567" i="1"/>
  <c r="BB2496" i="1"/>
  <c r="BC567" i="1"/>
  <c r="CJ567" i="1"/>
  <c r="CK567" i="1"/>
  <c r="CP567" i="1"/>
  <c r="CQ567" i="1"/>
  <c r="CR567" i="1"/>
  <c r="CS567" i="1"/>
  <c r="CY567" i="1"/>
  <c r="CZ567" i="1"/>
  <c r="Z567" i="1" s="1"/>
  <c r="Z568" i="1"/>
  <c r="AA568" i="1"/>
  <c r="AB568" i="1"/>
  <c r="CV568" i="1"/>
  <c r="Y568" i="1" s="1"/>
  <c r="AA569" i="1"/>
  <c r="AB569" i="1"/>
  <c r="CV569" i="1"/>
  <c r="Y569" i="1" s="1"/>
  <c r="CZ569" i="1"/>
  <c r="Z569" i="1"/>
  <c r="J570" i="1"/>
  <c r="AA570" i="1"/>
  <c r="AB570" i="1"/>
  <c r="CV570" i="1"/>
  <c r="Y570" i="1"/>
  <c r="CZ570" i="1"/>
  <c r="Z570" i="1"/>
  <c r="AA571" i="1"/>
  <c r="AB571" i="1"/>
  <c r="CV571" i="1"/>
  <c r="Y571" i="1"/>
  <c r="CZ571" i="1"/>
  <c r="Z571" i="1"/>
  <c r="Z573" i="1"/>
  <c r="AA573" i="1"/>
  <c r="AB573" i="1"/>
  <c r="CV573" i="1"/>
  <c r="Y573" i="1" s="1"/>
  <c r="Z574" i="1"/>
  <c r="AA574" i="1"/>
  <c r="AB574" i="1"/>
  <c r="CV574" i="1"/>
  <c r="Y574" i="1"/>
  <c r="Z575" i="1"/>
  <c r="AA575" i="1"/>
  <c r="AB575" i="1"/>
  <c r="CV575" i="1"/>
  <c r="Y575" i="1"/>
  <c r="AE575" i="1"/>
  <c r="Z576" i="1"/>
  <c r="AA576" i="1"/>
  <c r="AB576" i="1"/>
  <c r="CV576" i="1"/>
  <c r="Y576" i="1" s="1"/>
  <c r="Z577" i="1"/>
  <c r="AB577" i="1"/>
  <c r="BA577" i="1"/>
  <c r="CK577" i="1"/>
  <c r="CQ577" i="1"/>
  <c r="CS577" i="1"/>
  <c r="DC577" i="1"/>
  <c r="DD577" i="1"/>
  <c r="AA577" i="1"/>
  <c r="Z578" i="1"/>
  <c r="AA578" i="1"/>
  <c r="AB578" i="1"/>
  <c r="CV578" i="1"/>
  <c r="Y578" i="1"/>
  <c r="J579" i="1"/>
  <c r="AB579" i="1"/>
  <c r="BA579" i="1"/>
  <c r="CQ579" i="1"/>
  <c r="CS579" i="1"/>
  <c r="CZ579" i="1"/>
  <c r="Z579" i="1"/>
  <c r="DD579" i="1"/>
  <c r="AA579" i="1" s="1"/>
  <c r="Z580" i="1"/>
  <c r="AA580" i="1"/>
  <c r="AB580" i="1"/>
  <c r="CV580" i="1"/>
  <c r="Y580" i="1" s="1"/>
  <c r="J581" i="1"/>
  <c r="AB581" i="1"/>
  <c r="BA581" i="1"/>
  <c r="CQ581" i="1"/>
  <c r="CS581" i="1"/>
  <c r="CZ581" i="1"/>
  <c r="Z581" i="1"/>
  <c r="DD581" i="1"/>
  <c r="AA581" i="1"/>
  <c r="Z582" i="1"/>
  <c r="AA582" i="1"/>
  <c r="AB582" i="1"/>
  <c r="CV582" i="1"/>
  <c r="Y582" i="1"/>
  <c r="J585" i="1"/>
  <c r="K585" i="1"/>
  <c r="Z585" i="1"/>
  <c r="AA585" i="1"/>
  <c r="AB585" i="1"/>
  <c r="AE585" i="1" s="1"/>
  <c r="CV585" i="1"/>
  <c r="Y585" i="1"/>
  <c r="Z586" i="1"/>
  <c r="AA586" i="1"/>
  <c r="AB586" i="1"/>
  <c r="CV586" i="1"/>
  <c r="Y586" i="1"/>
  <c r="AA587" i="1"/>
  <c r="AB587" i="1"/>
  <c r="CO587" i="1"/>
  <c r="CS587" i="1"/>
  <c r="CZ587" i="1"/>
  <c r="Z587" i="1"/>
  <c r="J588" i="1"/>
  <c r="AA588" i="1"/>
  <c r="AB588" i="1"/>
  <c r="CV588" i="1"/>
  <c r="Y588" i="1"/>
  <c r="CZ588" i="1"/>
  <c r="Z588" i="1" s="1"/>
  <c r="Z589" i="1"/>
  <c r="AA589" i="1"/>
  <c r="AB589" i="1"/>
  <c r="CV589" i="1"/>
  <c r="Y589" i="1"/>
  <c r="Z590" i="1"/>
  <c r="AA590" i="1"/>
  <c r="AB590" i="1"/>
  <c r="CV590" i="1"/>
  <c r="Y590" i="1"/>
  <c r="AA591" i="1"/>
  <c r="BM591" i="1"/>
  <c r="CQ591" i="1"/>
  <c r="CS591" i="1"/>
  <c r="CX591" i="1"/>
  <c r="AB591" i="1" s="1"/>
  <c r="CZ591" i="1"/>
  <c r="Z591" i="1"/>
  <c r="Z592" i="1"/>
  <c r="AA592" i="1"/>
  <c r="AB592" i="1"/>
  <c r="CV592" i="1"/>
  <c r="Y592" i="1"/>
  <c r="Z593" i="1"/>
  <c r="AA593" i="1"/>
  <c r="AB593" i="1"/>
  <c r="CV593" i="1"/>
  <c r="Y593" i="1" s="1"/>
  <c r="Z594" i="1"/>
  <c r="AA594" i="1"/>
  <c r="AB594" i="1"/>
  <c r="CV594" i="1"/>
  <c r="Y594" i="1"/>
  <c r="J595" i="1"/>
  <c r="Z595" i="1"/>
  <c r="AA595" i="1"/>
  <c r="AB595" i="1"/>
  <c r="CV595" i="1"/>
  <c r="Y595" i="1" s="1"/>
  <c r="Z596" i="1"/>
  <c r="AA596" i="1"/>
  <c r="AB596" i="1"/>
  <c r="CV596" i="1"/>
  <c r="Y596" i="1" s="1"/>
  <c r="Z597" i="1"/>
  <c r="AA597" i="1"/>
  <c r="AB597" i="1"/>
  <c r="CV597" i="1"/>
  <c r="Y597" i="1"/>
  <c r="Z598" i="1"/>
  <c r="AA598" i="1"/>
  <c r="AB598" i="1"/>
  <c r="CV598" i="1"/>
  <c r="Y598" i="1"/>
  <c r="Z599" i="1"/>
  <c r="AA599" i="1"/>
  <c r="AB599" i="1"/>
  <c r="CV599" i="1"/>
  <c r="Y599" i="1" s="1"/>
  <c r="J600" i="1"/>
  <c r="K600" i="1"/>
  <c r="Z600" i="1"/>
  <c r="AA600" i="1"/>
  <c r="AB600" i="1"/>
  <c r="CV600" i="1"/>
  <c r="Y600" i="1"/>
  <c r="Z601" i="1"/>
  <c r="AA601" i="1"/>
  <c r="AB601" i="1"/>
  <c r="CV601" i="1"/>
  <c r="Y601" i="1" s="1"/>
  <c r="Z602" i="1"/>
  <c r="AA602" i="1"/>
  <c r="AB602" i="1"/>
  <c r="CV602" i="1"/>
  <c r="Y602" i="1" s="1"/>
  <c r="Z603" i="1"/>
  <c r="AA603" i="1"/>
  <c r="AB603" i="1"/>
  <c r="CV603" i="1"/>
  <c r="Y603" i="1"/>
  <c r="Z604" i="1"/>
  <c r="AA604" i="1"/>
  <c r="AB604" i="1"/>
  <c r="CV604" i="1"/>
  <c r="Y604" i="1"/>
  <c r="J605" i="1"/>
  <c r="K605" i="1"/>
  <c r="M605" i="1"/>
  <c r="Z605" i="1"/>
  <c r="AA605" i="1"/>
  <c r="AB605" i="1"/>
  <c r="CV605" i="1"/>
  <c r="Y605" i="1"/>
  <c r="Z606" i="1"/>
  <c r="AA606" i="1"/>
  <c r="AB606" i="1"/>
  <c r="CV606" i="1"/>
  <c r="Y606" i="1" s="1"/>
  <c r="Z607" i="1"/>
  <c r="AA607" i="1"/>
  <c r="AB607" i="1"/>
  <c r="CV607" i="1"/>
  <c r="Y607" i="1"/>
  <c r="AE607" i="1"/>
  <c r="Z609" i="1"/>
  <c r="AA609" i="1"/>
  <c r="AB609" i="1"/>
  <c r="CV609" i="1"/>
  <c r="Y609" i="1" s="1"/>
  <c r="Z610" i="1"/>
  <c r="AA610" i="1"/>
  <c r="AB610" i="1"/>
  <c r="CV610" i="1"/>
  <c r="Y610" i="1" s="1"/>
  <c r="Z611" i="1"/>
  <c r="AA611" i="1"/>
  <c r="AB611" i="1"/>
  <c r="CV611" i="1"/>
  <c r="Y611" i="1"/>
  <c r="Z612" i="1"/>
  <c r="AA612" i="1"/>
  <c r="AB612" i="1"/>
  <c r="CV612" i="1"/>
  <c r="Y612" i="1"/>
  <c r="Z613" i="1"/>
  <c r="AA613" i="1"/>
  <c r="AB613" i="1"/>
  <c r="CV613" i="1"/>
  <c r="Y613" i="1" s="1"/>
  <c r="Z614" i="1"/>
  <c r="AA614" i="1"/>
  <c r="AB614" i="1"/>
  <c r="CV614" i="1"/>
  <c r="Y614" i="1" s="1"/>
  <c r="J615" i="1"/>
  <c r="Z615" i="1"/>
  <c r="AA615" i="1"/>
  <c r="AB615" i="1"/>
  <c r="CV615" i="1"/>
  <c r="Y615" i="1"/>
  <c r="Z616" i="1"/>
  <c r="AA616" i="1"/>
  <c r="AB616" i="1"/>
  <c r="CV616" i="1"/>
  <c r="Y616" i="1"/>
  <c r="Z617" i="1"/>
  <c r="AA617" i="1"/>
  <c r="AB617" i="1"/>
  <c r="CV617" i="1"/>
  <c r="Y617" i="1" s="1"/>
  <c r="Z618" i="1"/>
  <c r="AA618" i="1"/>
  <c r="AB618" i="1"/>
  <c r="CV618" i="1"/>
  <c r="Y618" i="1"/>
  <c r="Z619" i="1"/>
  <c r="AA619" i="1"/>
  <c r="AB619" i="1"/>
  <c r="CV619" i="1"/>
  <c r="Y619" i="1"/>
  <c r="J620" i="1"/>
  <c r="Z620" i="1"/>
  <c r="AA620" i="1"/>
  <c r="AB620" i="1"/>
  <c r="CV620" i="1"/>
  <c r="Y620" i="1" s="1"/>
  <c r="DC620" i="1"/>
  <c r="J621" i="1"/>
  <c r="Z621" i="1"/>
  <c r="AA621" i="1"/>
  <c r="AB621" i="1"/>
  <c r="CV621" i="1"/>
  <c r="Y621" i="1" s="1"/>
  <c r="Z622" i="1"/>
  <c r="AA622" i="1"/>
  <c r="AB622" i="1"/>
  <c r="CV622" i="1"/>
  <c r="Y622" i="1" s="1"/>
  <c r="Z623" i="1"/>
  <c r="AA623" i="1"/>
  <c r="AB623" i="1"/>
  <c r="CV623" i="1"/>
  <c r="Y623" i="1"/>
  <c r="Z624" i="1"/>
  <c r="AA624" i="1"/>
  <c r="AB624" i="1"/>
  <c r="CV624" i="1"/>
  <c r="Y624" i="1"/>
  <c r="Z625" i="1"/>
  <c r="AA625" i="1"/>
  <c r="AB625" i="1"/>
  <c r="CV625" i="1"/>
  <c r="Y625" i="1" s="1"/>
  <c r="Z626" i="1"/>
  <c r="AA626" i="1"/>
  <c r="AB626" i="1"/>
  <c r="CV626" i="1"/>
  <c r="Y626" i="1" s="1"/>
  <c r="Z627" i="1"/>
  <c r="AA627" i="1"/>
  <c r="AB627" i="1"/>
  <c r="CV627" i="1"/>
  <c r="Y627" i="1"/>
  <c r="Z628" i="1"/>
  <c r="AA628" i="1"/>
  <c r="AB628" i="1"/>
  <c r="CV628" i="1"/>
  <c r="Y628" i="1"/>
  <c r="Z629" i="1"/>
  <c r="AA629" i="1"/>
  <c r="AB629" i="1"/>
  <c r="CV629" i="1"/>
  <c r="Y629" i="1"/>
  <c r="Z630" i="1"/>
  <c r="AA630" i="1"/>
  <c r="AB630" i="1"/>
  <c r="BA630" i="1"/>
  <c r="CI630" i="1"/>
  <c r="CQ630" i="1"/>
  <c r="CS630" i="1"/>
  <c r="Z631" i="1"/>
  <c r="AA631" i="1"/>
  <c r="AB631" i="1"/>
  <c r="CV631" i="1"/>
  <c r="Y631" i="1"/>
  <c r="Z632" i="1"/>
  <c r="AA632" i="1"/>
  <c r="AB632" i="1"/>
  <c r="CV632" i="1"/>
  <c r="Y632" i="1" s="1"/>
  <c r="Z633" i="1"/>
  <c r="AA633" i="1"/>
  <c r="AB633" i="1"/>
  <c r="CV633" i="1"/>
  <c r="Y633" i="1"/>
  <c r="Z634" i="1"/>
  <c r="AA634" i="1"/>
  <c r="AB634" i="1"/>
  <c r="CV634" i="1"/>
  <c r="Y634" i="1"/>
  <c r="Z635" i="1"/>
  <c r="AA635" i="1"/>
  <c r="AB635" i="1"/>
  <c r="CV635" i="1"/>
  <c r="Y635" i="1"/>
  <c r="Z636" i="1"/>
  <c r="AA636" i="1"/>
  <c r="AB636" i="1"/>
  <c r="CV636" i="1"/>
  <c r="Y636" i="1" s="1"/>
  <c r="J318" i="1"/>
  <c r="Z318" i="1"/>
  <c r="AB318" i="1"/>
  <c r="CV318" i="1"/>
  <c r="Y318" i="1"/>
  <c r="DD318" i="1"/>
  <c r="AA318" i="1" s="1"/>
  <c r="Z637" i="1"/>
  <c r="AA637" i="1"/>
  <c r="AB637" i="1"/>
  <c r="CV637" i="1"/>
  <c r="Y637" i="1" s="1"/>
  <c r="Z638" i="1"/>
  <c r="AA638" i="1"/>
  <c r="AB638" i="1"/>
  <c r="CV638" i="1"/>
  <c r="Y638" i="1"/>
  <c r="Z639" i="1"/>
  <c r="AA639" i="1"/>
  <c r="AB639" i="1"/>
  <c r="CV639" i="1"/>
  <c r="Y639" i="1"/>
  <c r="AE639" i="1"/>
  <c r="Z640" i="1"/>
  <c r="AA640" i="1"/>
  <c r="AB640" i="1"/>
  <c r="CV640" i="1"/>
  <c r="Y640" i="1" s="1"/>
  <c r="Z641" i="1"/>
  <c r="AA641" i="1"/>
  <c r="AB641" i="1"/>
  <c r="CV641" i="1"/>
  <c r="Y641" i="1"/>
  <c r="Z642" i="1"/>
  <c r="CO642" i="1"/>
  <c r="CV642" i="1" s="1"/>
  <c r="Y642" i="1" s="1"/>
  <c r="CX642" i="1"/>
  <c r="AB642" i="1" s="1"/>
  <c r="DD642" i="1"/>
  <c r="AA642" i="1"/>
  <c r="Z643" i="1"/>
  <c r="AA643" i="1"/>
  <c r="AB643" i="1"/>
  <c r="CV643" i="1"/>
  <c r="Y643" i="1"/>
  <c r="J644" i="1"/>
  <c r="Z644" i="1"/>
  <c r="CV644" i="1"/>
  <c r="Y644" i="1"/>
  <c r="CX644" i="1"/>
  <c r="AB644" i="1" s="1"/>
  <c r="DD644" i="1"/>
  <c r="AA644" i="1"/>
  <c r="Z645" i="1"/>
  <c r="AA645" i="1"/>
  <c r="AB645" i="1"/>
  <c r="CV645" i="1"/>
  <c r="Y645" i="1" s="1"/>
  <c r="Z646" i="1"/>
  <c r="AA646" i="1"/>
  <c r="AB646" i="1"/>
  <c r="CV646" i="1"/>
  <c r="Y646" i="1" s="1"/>
  <c r="Z647" i="1"/>
  <c r="AA647" i="1"/>
  <c r="AB647" i="1"/>
  <c r="CV647" i="1"/>
  <c r="Y647" i="1"/>
  <c r="Z648" i="1"/>
  <c r="AA648" i="1"/>
  <c r="AB648" i="1"/>
  <c r="CV648" i="1"/>
  <c r="Y648" i="1"/>
  <c r="Z649" i="1"/>
  <c r="AA649" i="1"/>
  <c r="AB649" i="1"/>
  <c r="CV649" i="1"/>
  <c r="Y649" i="1"/>
  <c r="Z650" i="1"/>
  <c r="AA650" i="1"/>
  <c r="AB650" i="1"/>
  <c r="CV650" i="1"/>
  <c r="Y650" i="1" s="1"/>
  <c r="Z651" i="1"/>
  <c r="AA651" i="1"/>
  <c r="AB651" i="1"/>
  <c r="CV651" i="1"/>
  <c r="Y651" i="1"/>
  <c r="Z652" i="1"/>
  <c r="AA652" i="1"/>
  <c r="AB652" i="1"/>
  <c r="CV652" i="1"/>
  <c r="Y652" i="1"/>
  <c r="Z653" i="1"/>
  <c r="AA653" i="1"/>
  <c r="AB653" i="1"/>
  <c r="CV653" i="1"/>
  <c r="Y653" i="1"/>
  <c r="Z654" i="1"/>
  <c r="AA654" i="1"/>
  <c r="AB654" i="1"/>
  <c r="CV654" i="1"/>
  <c r="Y654" i="1" s="1"/>
  <c r="M655" i="1"/>
  <c r="Z655" i="1"/>
  <c r="AA655" i="1"/>
  <c r="AB655" i="1"/>
  <c r="CV655" i="1"/>
  <c r="Y655" i="1"/>
  <c r="Z656" i="1"/>
  <c r="AA656" i="1"/>
  <c r="AB656" i="1"/>
  <c r="CV656" i="1"/>
  <c r="Y656" i="1" s="1"/>
  <c r="Z657" i="1"/>
  <c r="AA657" i="1"/>
  <c r="AB657" i="1"/>
  <c r="CV657" i="1"/>
  <c r="Y657" i="1" s="1"/>
  <c r="Z658" i="1"/>
  <c r="AA658" i="1"/>
  <c r="AB658" i="1"/>
  <c r="CV658" i="1"/>
  <c r="Y658" i="1"/>
  <c r="Z659" i="1"/>
  <c r="AA659" i="1"/>
  <c r="AB659" i="1"/>
  <c r="CV659" i="1"/>
  <c r="Y659" i="1"/>
  <c r="AE659" i="1" s="1"/>
  <c r="J660" i="1"/>
  <c r="K660" i="1"/>
  <c r="L660" i="1"/>
  <c r="Z660" i="1"/>
  <c r="AB660" i="1"/>
  <c r="BA660" i="1"/>
  <c r="CI660" i="1"/>
  <c r="CK660" i="1"/>
  <c r="DD660" i="1"/>
  <c r="AA660" i="1"/>
  <c r="J661" i="1"/>
  <c r="Z661" i="1"/>
  <c r="AA661" i="1"/>
  <c r="AB661" i="1"/>
  <c r="CV661" i="1"/>
  <c r="Y661" i="1" s="1"/>
  <c r="J662" i="1"/>
  <c r="AB662" i="1"/>
  <c r="CV662" i="1"/>
  <c r="Y662" i="1" s="1"/>
  <c r="CZ662" i="1"/>
  <c r="Z662" i="1"/>
  <c r="DC662" i="1"/>
  <c r="DD662" i="1"/>
  <c r="AA662" i="1" s="1"/>
  <c r="Z663" i="1"/>
  <c r="AA663" i="1"/>
  <c r="AB663" i="1"/>
  <c r="CV663" i="1"/>
  <c r="Y663" i="1"/>
  <c r="J664" i="1"/>
  <c r="Z664" i="1"/>
  <c r="AB664" i="1"/>
  <c r="CV664" i="1"/>
  <c r="Y664" i="1"/>
  <c r="DC664" i="1"/>
  <c r="DD664" i="1"/>
  <c r="AA664" i="1"/>
  <c r="Z665" i="1"/>
  <c r="AA665" i="1"/>
  <c r="AB665" i="1"/>
  <c r="CV665" i="1"/>
  <c r="Y665" i="1"/>
  <c r="Z666" i="1"/>
  <c r="AA666" i="1"/>
  <c r="AB666" i="1"/>
  <c r="CV666" i="1"/>
  <c r="Y666" i="1"/>
  <c r="Z667" i="1"/>
  <c r="AA667" i="1"/>
  <c r="AB667" i="1"/>
  <c r="CV667" i="1"/>
  <c r="Y667" i="1" s="1"/>
  <c r="Z668" i="1"/>
  <c r="AA668" i="1"/>
  <c r="AB668" i="1"/>
  <c r="CV668" i="1"/>
  <c r="Y668" i="1"/>
  <c r="Z669" i="1"/>
  <c r="AA669" i="1"/>
  <c r="AB669" i="1"/>
  <c r="CV669" i="1"/>
  <c r="Y669" i="1"/>
  <c r="Z670" i="1"/>
  <c r="AA670" i="1"/>
  <c r="AB670" i="1"/>
  <c r="CV670" i="1"/>
  <c r="Y670" i="1"/>
  <c r="Z671" i="1"/>
  <c r="AA671" i="1"/>
  <c r="AB671" i="1"/>
  <c r="CV671" i="1"/>
  <c r="Y671" i="1" s="1"/>
  <c r="AA672" i="1"/>
  <c r="AB672" i="1"/>
  <c r="AW672" i="1"/>
  <c r="CQ672" i="1"/>
  <c r="CZ672" i="1"/>
  <c r="Z672" i="1"/>
  <c r="Z673" i="1"/>
  <c r="AA673" i="1"/>
  <c r="AB673" i="1"/>
  <c r="CV673" i="1"/>
  <c r="Y673" i="1" s="1"/>
  <c r="Z674" i="1"/>
  <c r="AA674" i="1"/>
  <c r="AB674" i="1"/>
  <c r="CV674" i="1"/>
  <c r="Y674" i="1" s="1"/>
  <c r="Z320" i="1"/>
  <c r="AA320" i="1"/>
  <c r="AB320" i="1"/>
  <c r="CV320" i="1"/>
  <c r="Y320" i="1"/>
  <c r="AA675" i="1"/>
  <c r="AB675" i="1"/>
  <c r="BA675" i="1"/>
  <c r="CA675" i="1"/>
  <c r="CK675" i="1"/>
  <c r="CQ675" i="1"/>
  <c r="CS675" i="1"/>
  <c r="CZ675" i="1"/>
  <c r="Z675" i="1"/>
  <c r="Z676" i="1"/>
  <c r="AA676" i="1"/>
  <c r="AB676" i="1"/>
  <c r="CV676" i="1"/>
  <c r="Y676" i="1" s="1"/>
  <c r="Z677" i="1"/>
  <c r="AA677" i="1"/>
  <c r="AB677" i="1"/>
  <c r="CV677" i="1"/>
  <c r="Y677" i="1" s="1"/>
  <c r="Z678" i="1"/>
  <c r="AA678" i="1"/>
  <c r="AB678" i="1"/>
  <c r="CV678" i="1"/>
  <c r="Y678" i="1"/>
  <c r="J679" i="1"/>
  <c r="Z679" i="1"/>
  <c r="AA679" i="1"/>
  <c r="AB679" i="1"/>
  <c r="CO679" i="1"/>
  <c r="CV679" i="1"/>
  <c r="Y679" i="1" s="1"/>
  <c r="Z680" i="1"/>
  <c r="AA680" i="1"/>
  <c r="AB680" i="1"/>
  <c r="CV680" i="1"/>
  <c r="Y680" i="1"/>
  <c r="Z681" i="1"/>
  <c r="AA681" i="1"/>
  <c r="AB681" i="1"/>
  <c r="CV681" i="1"/>
  <c r="Y681" i="1"/>
  <c r="Z682" i="1"/>
  <c r="AA682" i="1"/>
  <c r="AB682" i="1"/>
  <c r="CV682" i="1"/>
  <c r="Y682" i="1"/>
  <c r="J683" i="1"/>
  <c r="Z683" i="1"/>
  <c r="AA683" i="1"/>
  <c r="AB683" i="1"/>
  <c r="CV683" i="1"/>
  <c r="Y683" i="1"/>
  <c r="Z684" i="1"/>
  <c r="AA684" i="1"/>
  <c r="AB684" i="1"/>
  <c r="CV684" i="1"/>
  <c r="Y684" i="1"/>
  <c r="AE684" i="1"/>
  <c r="Z685" i="1"/>
  <c r="AA685" i="1"/>
  <c r="AB685" i="1"/>
  <c r="CV685" i="1"/>
  <c r="Y685" i="1" s="1"/>
  <c r="AE685" i="1" s="1"/>
  <c r="AA686" i="1"/>
  <c r="AB686" i="1"/>
  <c r="BA686" i="1"/>
  <c r="CQ686" i="1"/>
  <c r="CS686" i="1"/>
  <c r="CZ686" i="1"/>
  <c r="Z686" i="1" s="1"/>
  <c r="Z687" i="1"/>
  <c r="AA687" i="1"/>
  <c r="AB687" i="1"/>
  <c r="CV687" i="1"/>
  <c r="Y687" i="1"/>
  <c r="Z688" i="1"/>
  <c r="AA688" i="1"/>
  <c r="AB688" i="1"/>
  <c r="CV688" i="1"/>
  <c r="Y688" i="1"/>
  <c r="Z689" i="1"/>
  <c r="AA689" i="1"/>
  <c r="AB689" i="1"/>
  <c r="CV689" i="1"/>
  <c r="Y689" i="1"/>
  <c r="Z690" i="1"/>
  <c r="AA690" i="1"/>
  <c r="AB690" i="1"/>
  <c r="CV690" i="1"/>
  <c r="Y690" i="1" s="1"/>
  <c r="Z691" i="1"/>
  <c r="AA691" i="1"/>
  <c r="AB691" i="1"/>
  <c r="CV691" i="1"/>
  <c r="Y691" i="1"/>
  <c r="Z692" i="1"/>
  <c r="AA692" i="1"/>
  <c r="AB692" i="1"/>
  <c r="CV692" i="1"/>
  <c r="Y692" i="1"/>
  <c r="J693" i="1"/>
  <c r="Z693" i="1"/>
  <c r="AA693" i="1"/>
  <c r="AB693" i="1"/>
  <c r="CV693" i="1"/>
  <c r="Y693" i="1" s="1"/>
  <c r="Z694" i="1"/>
  <c r="AA694" i="1"/>
  <c r="AB694" i="1"/>
  <c r="CV694" i="1"/>
  <c r="Y694" i="1"/>
  <c r="AE694" i="1"/>
  <c r="Z695" i="1"/>
  <c r="AA695" i="1"/>
  <c r="AB695" i="1"/>
  <c r="CV695" i="1"/>
  <c r="Y695" i="1" s="1"/>
  <c r="Z698" i="1"/>
  <c r="AA698" i="1"/>
  <c r="AB698" i="1"/>
  <c r="CV698" i="1"/>
  <c r="Y698" i="1" s="1"/>
  <c r="Z696" i="1"/>
  <c r="AA696" i="1"/>
  <c r="AB696" i="1"/>
  <c r="CV696" i="1"/>
  <c r="Y696" i="1"/>
  <c r="Z697" i="1"/>
  <c r="AA697" i="1"/>
  <c r="AB697" i="1"/>
  <c r="CV697" i="1"/>
  <c r="Y697" i="1"/>
  <c r="AA699" i="1"/>
  <c r="AB699" i="1"/>
  <c r="BM699" i="1"/>
  <c r="CA699" i="1"/>
  <c r="CO699" i="1"/>
  <c r="CQ699" i="1"/>
  <c r="CZ699" i="1"/>
  <c r="Z699" i="1"/>
  <c r="Z700" i="1"/>
  <c r="AA700" i="1"/>
  <c r="AB700" i="1"/>
  <c r="CV700" i="1"/>
  <c r="Y700" i="1"/>
  <c r="Z701" i="1"/>
  <c r="AA701" i="1"/>
  <c r="AB701" i="1"/>
  <c r="CV701" i="1"/>
  <c r="Y701" i="1" s="1"/>
  <c r="Z702" i="1"/>
  <c r="AA702" i="1"/>
  <c r="AB702" i="1"/>
  <c r="CV702" i="1"/>
  <c r="Y702" i="1"/>
  <c r="Z703" i="1"/>
  <c r="AA703" i="1"/>
  <c r="AB703" i="1"/>
  <c r="CV703" i="1"/>
  <c r="Y703" i="1"/>
  <c r="AE703" i="1"/>
  <c r="Z704" i="1"/>
  <c r="AA704" i="1"/>
  <c r="AB704" i="1"/>
  <c r="CV704" i="1"/>
  <c r="Y704" i="1" s="1"/>
  <c r="Z705" i="1"/>
  <c r="AA705" i="1"/>
  <c r="AB705" i="1"/>
  <c r="CV705" i="1"/>
  <c r="Y705" i="1"/>
  <c r="Z706" i="1"/>
  <c r="AA706" i="1"/>
  <c r="AB706" i="1"/>
  <c r="CV706" i="1"/>
  <c r="Y706" i="1"/>
  <c r="Z707" i="1"/>
  <c r="AA707" i="1"/>
  <c r="AB707" i="1"/>
  <c r="CV707" i="1"/>
  <c r="Y707" i="1"/>
  <c r="Z708" i="1"/>
  <c r="AA708" i="1"/>
  <c r="AB708" i="1"/>
  <c r="CV708" i="1"/>
  <c r="Y708" i="1" s="1"/>
  <c r="AA709" i="1"/>
  <c r="AB709" i="1"/>
  <c r="BA709" i="1"/>
  <c r="CK709" i="1"/>
  <c r="CQ709" i="1"/>
  <c r="CS709" i="1"/>
  <c r="CZ709" i="1"/>
  <c r="Z709" i="1" s="1"/>
  <c r="AB710" i="1"/>
  <c r="CQ710" i="1"/>
  <c r="CS710" i="1"/>
  <c r="CZ710" i="1"/>
  <c r="Z710" i="1"/>
  <c r="DD710" i="1"/>
  <c r="AA710" i="1"/>
  <c r="Z711" i="1"/>
  <c r="AA711" i="1"/>
  <c r="AB711" i="1"/>
  <c r="CV711" i="1"/>
  <c r="Y711" i="1" s="1"/>
  <c r="Z712" i="1"/>
  <c r="AA712" i="1"/>
  <c r="AB712" i="1"/>
  <c r="CV712" i="1"/>
  <c r="Y712" i="1"/>
  <c r="Z713" i="1"/>
  <c r="AA713" i="1"/>
  <c r="AB713" i="1"/>
  <c r="CV713" i="1"/>
  <c r="Y713" i="1"/>
  <c r="Z714" i="1"/>
  <c r="AA714" i="1"/>
  <c r="AB714" i="1"/>
  <c r="CV714" i="1"/>
  <c r="Y714" i="1"/>
  <c r="Z715" i="1"/>
  <c r="AA715" i="1"/>
  <c r="AB715" i="1"/>
  <c r="CV715" i="1"/>
  <c r="Y715" i="1" s="1"/>
  <c r="Z716" i="1"/>
  <c r="AA716" i="1"/>
  <c r="AB716" i="1"/>
  <c r="AE716" i="1" s="1"/>
  <c r="CV716" i="1"/>
  <c r="Y716" i="1"/>
  <c r="Z717" i="1"/>
  <c r="AA717" i="1"/>
  <c r="AB717" i="1"/>
  <c r="CV717" i="1"/>
  <c r="Y717" i="1"/>
  <c r="DG702" i="1"/>
  <c r="Z718" i="1"/>
  <c r="AA718" i="1"/>
  <c r="AB718" i="1"/>
  <c r="CV718" i="1"/>
  <c r="Y718" i="1"/>
  <c r="J719" i="1"/>
  <c r="Z719" i="1"/>
  <c r="AB719" i="1"/>
  <c r="CV719" i="1"/>
  <c r="Y719" i="1"/>
  <c r="AE719" i="1"/>
  <c r="DD719" i="1"/>
  <c r="AA719" i="1"/>
  <c r="Z720" i="1"/>
  <c r="AA720" i="1"/>
  <c r="AB720" i="1"/>
  <c r="CV720" i="1"/>
  <c r="Y720" i="1"/>
  <c r="Z721" i="1"/>
  <c r="AA721" i="1"/>
  <c r="AB721" i="1"/>
  <c r="CV721" i="1"/>
  <c r="Y721" i="1"/>
  <c r="Z722" i="1"/>
  <c r="AA722" i="1"/>
  <c r="AB722" i="1"/>
  <c r="CV722" i="1"/>
  <c r="Y722" i="1" s="1"/>
  <c r="Z723" i="1"/>
  <c r="AA723" i="1"/>
  <c r="CV723" i="1"/>
  <c r="Y723" i="1" s="1"/>
  <c r="CW723" i="1"/>
  <c r="CX723" i="1"/>
  <c r="AB723" i="1"/>
  <c r="Z724" i="1"/>
  <c r="AA724" i="1"/>
  <c r="AB724" i="1"/>
  <c r="CV724" i="1"/>
  <c r="Y724" i="1" s="1"/>
  <c r="Z725" i="1"/>
  <c r="AA725" i="1"/>
  <c r="AB725" i="1"/>
  <c r="CV725" i="1"/>
  <c r="Y725" i="1"/>
  <c r="J726" i="1"/>
  <c r="Z726" i="1"/>
  <c r="AA726" i="1"/>
  <c r="AB726" i="1"/>
  <c r="CV726" i="1"/>
  <c r="Y726" i="1"/>
  <c r="Z727" i="1"/>
  <c r="AA727" i="1"/>
  <c r="AB727" i="1"/>
  <c r="CV727" i="1"/>
  <c r="Y727" i="1" s="1"/>
  <c r="Z728" i="1"/>
  <c r="AA728" i="1"/>
  <c r="AB728" i="1"/>
  <c r="CV728" i="1"/>
  <c r="Y728" i="1"/>
  <c r="Z729" i="1"/>
  <c r="AA729" i="1"/>
  <c r="AB729" i="1"/>
  <c r="CV729" i="1"/>
  <c r="Y729" i="1"/>
  <c r="AE729" i="1"/>
  <c r="Z730" i="1"/>
  <c r="AA730" i="1"/>
  <c r="AB730" i="1"/>
  <c r="CV730" i="1"/>
  <c r="Y730" i="1" s="1"/>
  <c r="Z731" i="1"/>
  <c r="AA731" i="1"/>
  <c r="AB731" i="1"/>
  <c r="AC731" i="1"/>
  <c r="CV731" i="1"/>
  <c r="Y731" i="1"/>
  <c r="Z732" i="1"/>
  <c r="AB732" i="1"/>
  <c r="CV732" i="1"/>
  <c r="Y732" i="1"/>
  <c r="Z733" i="1"/>
  <c r="AA733" i="1"/>
  <c r="AB733" i="1"/>
  <c r="CV733" i="1"/>
  <c r="Y733" i="1" s="1"/>
  <c r="Z734" i="1"/>
  <c r="AA734" i="1"/>
  <c r="AB734" i="1"/>
  <c r="CV734" i="1"/>
  <c r="Y734" i="1" s="1"/>
  <c r="Z735" i="1"/>
  <c r="AA735" i="1"/>
  <c r="AB735" i="1"/>
  <c r="CV735" i="1"/>
  <c r="Y735" i="1"/>
  <c r="Z736" i="1"/>
  <c r="AA736" i="1"/>
  <c r="AB736" i="1"/>
  <c r="CV736" i="1"/>
  <c r="Y736" i="1"/>
  <c r="Z737" i="1"/>
  <c r="AA737" i="1"/>
  <c r="AB737" i="1"/>
  <c r="CV737" i="1"/>
  <c r="Y737" i="1" s="1"/>
  <c r="Z738" i="1"/>
  <c r="AA738" i="1"/>
  <c r="AB738" i="1"/>
  <c r="CV738" i="1"/>
  <c r="Y738" i="1" s="1"/>
  <c r="Z739" i="1"/>
  <c r="AA739" i="1"/>
  <c r="AB739" i="1"/>
  <c r="CV739" i="1"/>
  <c r="Y739" i="1"/>
  <c r="Z740" i="1"/>
  <c r="AB740" i="1"/>
  <c r="BA740" i="1"/>
  <c r="CV740" i="1"/>
  <c r="Y740" i="1"/>
  <c r="DC740" i="1"/>
  <c r="DD740" i="1"/>
  <c r="AA740" i="1"/>
  <c r="Z741" i="1"/>
  <c r="AB741" i="1"/>
  <c r="BA741" i="1"/>
  <c r="CV741" i="1"/>
  <c r="Y741" i="1"/>
  <c r="DC741" i="1"/>
  <c r="DD741" i="1"/>
  <c r="AA741" i="1"/>
  <c r="J742" i="1"/>
  <c r="Z742" i="1"/>
  <c r="AB742" i="1"/>
  <c r="BA742" i="1"/>
  <c r="CV742" i="1"/>
  <c r="Y742" i="1"/>
  <c r="DC742" i="1"/>
  <c r="DD742" i="1"/>
  <c r="AA742" i="1"/>
  <c r="Z743" i="1"/>
  <c r="AA743" i="1"/>
  <c r="AB743" i="1"/>
  <c r="CV743" i="1"/>
  <c r="Y743" i="1"/>
  <c r="Z745" i="1"/>
  <c r="AA745" i="1"/>
  <c r="AB745" i="1"/>
  <c r="CV745" i="1"/>
  <c r="Y745" i="1" s="1"/>
  <c r="Z746" i="1"/>
  <c r="AA746" i="1"/>
  <c r="AB746" i="1"/>
  <c r="CV746" i="1"/>
  <c r="Y746" i="1"/>
  <c r="Z747" i="1"/>
  <c r="AA747" i="1"/>
  <c r="AB747" i="1"/>
  <c r="CV747" i="1"/>
  <c r="Y747" i="1"/>
  <c r="Z748" i="1"/>
  <c r="AA748" i="1"/>
  <c r="AB748" i="1"/>
  <c r="CV748" i="1"/>
  <c r="Y748" i="1"/>
  <c r="Z749" i="1"/>
  <c r="AA749" i="1"/>
  <c r="AB749" i="1"/>
  <c r="CV749" i="1"/>
  <c r="Y749" i="1" s="1"/>
  <c r="Z750" i="1"/>
  <c r="AA750" i="1"/>
  <c r="AB750" i="1"/>
  <c r="CV750" i="1"/>
  <c r="Y750" i="1"/>
  <c r="Z751" i="1"/>
  <c r="AA751" i="1"/>
  <c r="AB751" i="1"/>
  <c r="CV751" i="1"/>
  <c r="Y751" i="1"/>
  <c r="Z752" i="1"/>
  <c r="AA752" i="1"/>
  <c r="AB752" i="1"/>
  <c r="CV752" i="1"/>
  <c r="Y752" i="1" s="1"/>
  <c r="AE752" i="1" s="1"/>
  <c r="Z753" i="1"/>
  <c r="AA753" i="1"/>
  <c r="AB753" i="1"/>
  <c r="CV753" i="1"/>
  <c r="Y753" i="1"/>
  <c r="Z2259" i="1"/>
  <c r="AA2259" i="1"/>
  <c r="AB2259" i="1"/>
  <c r="CV2259" i="1"/>
  <c r="Y2259" i="1"/>
  <c r="Z755" i="1"/>
  <c r="AA755" i="1"/>
  <c r="AB755" i="1"/>
  <c r="CV755" i="1"/>
  <c r="Y755" i="1" s="1"/>
  <c r="AA756" i="1"/>
  <c r="AB756" i="1"/>
  <c r="BC756" i="1"/>
  <c r="CO756" i="1"/>
  <c r="CY756" i="1"/>
  <c r="CZ756" i="1"/>
  <c r="Z756" i="1"/>
  <c r="AB757" i="1"/>
  <c r="BA757" i="1"/>
  <c r="CK757" i="1"/>
  <c r="CP757" i="1"/>
  <c r="CQ757" i="1"/>
  <c r="CS757" i="1"/>
  <c r="CY757" i="1"/>
  <c r="CZ757" i="1"/>
  <c r="Z757" i="1" s="1"/>
  <c r="DD757" i="1"/>
  <c r="AA757" i="1"/>
  <c r="Z758" i="1"/>
  <c r="AA758" i="1"/>
  <c r="AB758" i="1"/>
  <c r="CV758" i="1"/>
  <c r="Y758" i="1"/>
  <c r="AA759" i="1"/>
  <c r="AB759" i="1"/>
  <c r="BA759" i="1"/>
  <c r="CK759" i="1"/>
  <c r="CQ759" i="1"/>
  <c r="CS759" i="1"/>
  <c r="CZ759" i="1"/>
  <c r="Z759" i="1"/>
  <c r="Z760" i="1"/>
  <c r="AA760" i="1"/>
  <c r="AB760" i="1"/>
  <c r="AW760" i="1"/>
  <c r="BA760" i="1"/>
  <c r="BC760" i="1"/>
  <c r="CQ760" i="1"/>
  <c r="CS760" i="1"/>
  <c r="Z761" i="1"/>
  <c r="AA761" i="1"/>
  <c r="AB761" i="1"/>
  <c r="CV761" i="1"/>
  <c r="Y761" i="1" s="1"/>
  <c r="Z762" i="1"/>
  <c r="AA762" i="1"/>
  <c r="AB762" i="1"/>
  <c r="CV762" i="1"/>
  <c r="Y762" i="1" s="1"/>
  <c r="J763" i="1"/>
  <c r="Z763" i="1"/>
  <c r="AA763" i="1"/>
  <c r="AB763" i="1"/>
  <c r="CV763" i="1"/>
  <c r="Y763" i="1"/>
  <c r="Z764" i="1"/>
  <c r="AA764" i="1"/>
  <c r="AB764" i="1"/>
  <c r="CV764" i="1"/>
  <c r="Y764" i="1"/>
  <c r="Z765" i="1"/>
  <c r="AA765" i="1"/>
  <c r="AB765" i="1"/>
  <c r="CV765" i="1"/>
  <c r="Y765" i="1" s="1"/>
  <c r="Z766" i="1"/>
  <c r="AA766" i="1"/>
  <c r="AB766" i="1"/>
  <c r="CV766" i="1"/>
  <c r="Y766" i="1"/>
  <c r="Z767" i="1"/>
  <c r="AA767" i="1"/>
  <c r="AB767" i="1"/>
  <c r="CV767" i="1"/>
  <c r="Y767" i="1"/>
  <c r="Z768" i="1"/>
  <c r="AA768" i="1"/>
  <c r="AB768" i="1"/>
  <c r="CV768" i="1"/>
  <c r="Y768" i="1"/>
  <c r="Z769" i="1"/>
  <c r="AA769" i="1"/>
  <c r="AB769" i="1"/>
  <c r="CV769" i="1"/>
  <c r="Y769" i="1" s="1"/>
  <c r="AE769" i="1" s="1"/>
  <c r="Z770" i="1"/>
  <c r="AA770" i="1"/>
  <c r="AB770" i="1"/>
  <c r="CV770" i="1"/>
  <c r="Y770" i="1"/>
  <c r="Z771" i="1"/>
  <c r="AA771" i="1"/>
  <c r="AB771" i="1"/>
  <c r="CV771" i="1"/>
  <c r="Y771" i="1" s="1"/>
  <c r="Z772" i="1"/>
  <c r="AA772" i="1"/>
  <c r="AB772" i="1"/>
  <c r="CV772" i="1"/>
  <c r="Y772" i="1" s="1"/>
  <c r="AA773" i="1"/>
  <c r="BA773" i="1"/>
  <c r="CQ773" i="1"/>
  <c r="CS773" i="1"/>
  <c r="CX773" i="1"/>
  <c r="AB773" i="1"/>
  <c r="CZ773" i="1"/>
  <c r="Z773" i="1" s="1"/>
  <c r="Z774" i="1"/>
  <c r="AA774" i="1"/>
  <c r="AB774" i="1"/>
  <c r="CV774" i="1"/>
  <c r="Y774" i="1"/>
  <c r="J776" i="1"/>
  <c r="K776" i="1"/>
  <c r="L776" i="1"/>
  <c r="AA776" i="1"/>
  <c r="AB776" i="1"/>
  <c r="CQ776" i="1"/>
  <c r="CS776" i="1"/>
  <c r="CZ776" i="1"/>
  <c r="Z776" i="1"/>
  <c r="Z777" i="1"/>
  <c r="AA777" i="1"/>
  <c r="AB777" i="1"/>
  <c r="CV777" i="1"/>
  <c r="Y777" i="1"/>
  <c r="Z778" i="1"/>
  <c r="AA778" i="1"/>
  <c r="AB778" i="1"/>
  <c r="CV778" i="1"/>
  <c r="Y778" i="1" s="1"/>
  <c r="Z779" i="1"/>
  <c r="AA779" i="1"/>
  <c r="AB779" i="1"/>
  <c r="CV779" i="1"/>
  <c r="Y779" i="1"/>
  <c r="Z780" i="1"/>
  <c r="AA780" i="1"/>
  <c r="AB780" i="1"/>
  <c r="CV780" i="1"/>
  <c r="Y780" i="1"/>
  <c r="Z781" i="1"/>
  <c r="AA781" i="1"/>
  <c r="AB781" i="1"/>
  <c r="CV781" i="1"/>
  <c r="Y781" i="1" s="1"/>
  <c r="Z782" i="1"/>
  <c r="AA782" i="1"/>
  <c r="AB782" i="1"/>
  <c r="CV782" i="1"/>
  <c r="Y782" i="1" s="1"/>
  <c r="J783" i="1"/>
  <c r="Z783" i="1"/>
  <c r="AA783" i="1"/>
  <c r="AB783" i="1"/>
  <c r="CV783" i="1"/>
  <c r="Y783" i="1"/>
  <c r="J784" i="1"/>
  <c r="Z784" i="1"/>
  <c r="AA784" i="1"/>
  <c r="AB784" i="1"/>
  <c r="CV784" i="1"/>
  <c r="Y784" i="1" s="1"/>
  <c r="AA785" i="1"/>
  <c r="AB785" i="1"/>
  <c r="BM785" i="1"/>
  <c r="CN785" i="1"/>
  <c r="CO785" i="1"/>
  <c r="CY785" i="1"/>
  <c r="CZ785" i="1"/>
  <c r="Z785" i="1" s="1"/>
  <c r="Z786" i="1"/>
  <c r="AA786" i="1"/>
  <c r="AB786" i="1"/>
  <c r="AE786" i="1" s="1"/>
  <c r="CV786" i="1"/>
  <c r="Y786" i="1"/>
  <c r="Z787" i="1"/>
  <c r="AA787" i="1"/>
  <c r="AB787" i="1"/>
  <c r="CV787" i="1"/>
  <c r="Y787" i="1"/>
  <c r="Z788" i="1"/>
  <c r="AA788" i="1"/>
  <c r="AB788" i="1"/>
  <c r="CV788" i="1"/>
  <c r="Y788" i="1" s="1"/>
  <c r="Z789" i="1"/>
  <c r="AA789" i="1"/>
  <c r="AB789" i="1"/>
  <c r="CV789" i="1"/>
  <c r="Y789" i="1"/>
  <c r="Z790" i="1"/>
  <c r="AA790" i="1"/>
  <c r="AB790" i="1"/>
  <c r="CV790" i="1"/>
  <c r="Y790" i="1"/>
  <c r="Z791" i="1"/>
  <c r="AA791" i="1"/>
  <c r="AB791" i="1"/>
  <c r="CV791" i="1"/>
  <c r="Y791" i="1" s="1"/>
  <c r="Z792" i="1"/>
  <c r="AA792" i="1"/>
  <c r="AB792" i="1"/>
  <c r="CV792" i="1"/>
  <c r="Y792" i="1" s="1"/>
  <c r="Z793" i="1"/>
  <c r="AA793" i="1"/>
  <c r="AB793" i="1"/>
  <c r="CV793" i="1"/>
  <c r="Y793" i="1"/>
  <c r="AA794" i="1"/>
  <c r="AB794" i="1"/>
  <c r="BA794" i="1"/>
  <c r="BM794" i="1"/>
  <c r="BZ794" i="1"/>
  <c r="CA794" i="1"/>
  <c r="CN794" i="1"/>
  <c r="CO794" i="1"/>
  <c r="CP794" i="1"/>
  <c r="CQ794" i="1"/>
  <c r="CS794" i="1"/>
  <c r="CY794" i="1"/>
  <c r="CZ794" i="1"/>
  <c r="Z794" i="1" s="1"/>
  <c r="Z795" i="1"/>
  <c r="AA795" i="1"/>
  <c r="AB795" i="1"/>
  <c r="CV795" i="1"/>
  <c r="Y795" i="1" s="1"/>
  <c r="Z796" i="1"/>
  <c r="AA796" i="1"/>
  <c r="AB796" i="1"/>
  <c r="CV796" i="1"/>
  <c r="Y796" i="1"/>
  <c r="Z797" i="1"/>
  <c r="AA797" i="1"/>
  <c r="AB797" i="1"/>
  <c r="CV797" i="1"/>
  <c r="Y797" i="1"/>
  <c r="J798" i="1"/>
  <c r="AA798" i="1"/>
  <c r="CQ798" i="1"/>
  <c r="CS798" i="1"/>
  <c r="CX798" i="1"/>
  <c r="AB798" i="1" s="1"/>
  <c r="CZ798" i="1"/>
  <c r="Z798" i="1"/>
  <c r="AA799" i="1"/>
  <c r="CP799" i="1"/>
  <c r="CQ799" i="1"/>
  <c r="CR799" i="1"/>
  <c r="CS799" i="1"/>
  <c r="CX799" i="1"/>
  <c r="AB799" i="1"/>
  <c r="CY799" i="1"/>
  <c r="CZ799" i="1"/>
  <c r="Z799" i="1" s="1"/>
  <c r="Z800" i="1"/>
  <c r="AA800" i="1"/>
  <c r="AB800" i="1"/>
  <c r="CV800" i="1"/>
  <c r="Y800" i="1"/>
  <c r="Z801" i="1"/>
  <c r="AA801" i="1"/>
  <c r="AB801" i="1"/>
  <c r="BA801" i="1"/>
  <c r="CA801" i="1"/>
  <c r="Z802" i="1"/>
  <c r="AA802" i="1"/>
  <c r="AB802" i="1"/>
  <c r="CV802" i="1"/>
  <c r="Y802" i="1" s="1"/>
  <c r="Z803" i="1"/>
  <c r="AA803" i="1"/>
  <c r="AB803" i="1"/>
  <c r="CV803" i="1"/>
  <c r="Y803" i="1" s="1"/>
  <c r="Z804" i="1"/>
  <c r="AA804" i="1"/>
  <c r="AB804" i="1"/>
  <c r="CV804" i="1"/>
  <c r="Y804" i="1"/>
  <c r="Z805" i="1"/>
  <c r="AA805" i="1"/>
  <c r="AB805" i="1"/>
  <c r="CV805" i="1"/>
  <c r="Y805" i="1"/>
  <c r="Z806" i="1"/>
  <c r="AA806" i="1"/>
  <c r="AB806" i="1"/>
  <c r="CV806" i="1"/>
  <c r="Y806" i="1" s="1"/>
  <c r="Z807" i="1"/>
  <c r="AA807" i="1"/>
  <c r="AB807" i="1"/>
  <c r="CV807" i="1"/>
  <c r="Y807" i="1" s="1"/>
  <c r="Z808" i="1"/>
  <c r="AA808" i="1"/>
  <c r="AB808" i="1"/>
  <c r="CV808" i="1"/>
  <c r="Y808" i="1"/>
  <c r="Z809" i="1"/>
  <c r="AA809" i="1"/>
  <c r="AB809" i="1"/>
  <c r="CV809" i="1"/>
  <c r="Y809" i="1"/>
  <c r="Z810" i="1"/>
  <c r="AA810" i="1"/>
  <c r="AB810" i="1"/>
  <c r="CV810" i="1"/>
  <c r="Y810" i="1"/>
  <c r="Z811" i="1"/>
  <c r="AA811" i="1"/>
  <c r="AB811" i="1"/>
  <c r="CV811" i="1"/>
  <c r="Y811" i="1" s="1"/>
  <c r="Z812" i="1"/>
  <c r="AA812" i="1"/>
  <c r="AB812" i="1"/>
  <c r="CV812" i="1"/>
  <c r="Y812" i="1"/>
  <c r="J813" i="1"/>
  <c r="Z813" i="1"/>
  <c r="AA813" i="1"/>
  <c r="AB813" i="1"/>
  <c r="CV813" i="1"/>
  <c r="Y813" i="1"/>
  <c r="J814" i="1"/>
  <c r="AA814" i="1"/>
  <c r="AB814" i="1"/>
  <c r="AW814" i="1"/>
  <c r="BA814" i="1"/>
  <c r="CZ814" i="1"/>
  <c r="Z814" i="1" s="1"/>
  <c r="J815" i="1"/>
  <c r="K815" i="1"/>
  <c r="Z815" i="1"/>
  <c r="AA815" i="1"/>
  <c r="AB815" i="1"/>
  <c r="CV815" i="1"/>
  <c r="Y815" i="1"/>
  <c r="Z816" i="1"/>
  <c r="AA816" i="1"/>
  <c r="AB816" i="1"/>
  <c r="CV816" i="1"/>
  <c r="Y816" i="1" s="1"/>
  <c r="AE816" i="1" s="1"/>
  <c r="Z817" i="1"/>
  <c r="AA817" i="1"/>
  <c r="AB817" i="1"/>
  <c r="CV817" i="1"/>
  <c r="Y817" i="1" s="1"/>
  <c r="Z818" i="1"/>
  <c r="AA818" i="1"/>
  <c r="AB818" i="1"/>
  <c r="CV818" i="1"/>
  <c r="Y818" i="1"/>
  <c r="Z819" i="1"/>
  <c r="AA819" i="1"/>
  <c r="AB819" i="1"/>
  <c r="CV819" i="1"/>
  <c r="Y819" i="1" s="1"/>
  <c r="AA820" i="1"/>
  <c r="AB820" i="1"/>
  <c r="CQ820" i="1"/>
  <c r="CS820" i="1"/>
  <c r="CZ820" i="1"/>
  <c r="Z820" i="1" s="1"/>
  <c r="Z821" i="1"/>
  <c r="AA821" i="1"/>
  <c r="AB821" i="1"/>
  <c r="CV821" i="1"/>
  <c r="Y821" i="1"/>
  <c r="Z822" i="1"/>
  <c r="AA822" i="1"/>
  <c r="AB822" i="1"/>
  <c r="CV822" i="1"/>
  <c r="Y822" i="1"/>
  <c r="Z823" i="1"/>
  <c r="AA823" i="1"/>
  <c r="CV823" i="1"/>
  <c r="Y823" i="1"/>
  <c r="CW823" i="1"/>
  <c r="CX823" i="1"/>
  <c r="AB823" i="1"/>
  <c r="Z824" i="1"/>
  <c r="AA824" i="1"/>
  <c r="AB824" i="1"/>
  <c r="CV824" i="1"/>
  <c r="Y824" i="1"/>
  <c r="Z825" i="1"/>
  <c r="AA825" i="1"/>
  <c r="AB825" i="1"/>
  <c r="CV825" i="1"/>
  <c r="Y825" i="1" s="1"/>
  <c r="Z826" i="1"/>
  <c r="AA826" i="1"/>
  <c r="AB826" i="1"/>
  <c r="CV826" i="1"/>
  <c r="Y826" i="1" s="1"/>
  <c r="Z827" i="1"/>
  <c r="AA827" i="1"/>
  <c r="AB827" i="1"/>
  <c r="CV827" i="1"/>
  <c r="Y827" i="1"/>
  <c r="J828" i="1"/>
  <c r="AA828" i="1"/>
  <c r="AB828" i="1"/>
  <c r="BZ828" i="1"/>
  <c r="CA828" i="1"/>
  <c r="CQ828" i="1"/>
  <c r="CY828" i="1"/>
  <c r="CZ828" i="1"/>
  <c r="Z828" i="1"/>
  <c r="Z829" i="1"/>
  <c r="AA829" i="1"/>
  <c r="AB829" i="1"/>
  <c r="CV829" i="1"/>
  <c r="Y829" i="1" s="1"/>
  <c r="Z830" i="1"/>
  <c r="AA830" i="1"/>
  <c r="AB830" i="1"/>
  <c r="CV830" i="1"/>
  <c r="Y830" i="1"/>
  <c r="Z831" i="1"/>
  <c r="AA831" i="1"/>
  <c r="AB831" i="1"/>
  <c r="CV831" i="1"/>
  <c r="Y831" i="1" s="1"/>
  <c r="Z832" i="1"/>
  <c r="AA832" i="1"/>
  <c r="AB832" i="1"/>
  <c r="CV832" i="1"/>
  <c r="Y832" i="1"/>
  <c r="J833" i="1"/>
  <c r="K833" i="1"/>
  <c r="AA833" i="1"/>
  <c r="AB833" i="1"/>
  <c r="BC833" i="1"/>
  <c r="CQ833" i="1"/>
  <c r="CY833" i="1"/>
  <c r="CZ833" i="1"/>
  <c r="Z833" i="1" s="1"/>
  <c r="Z834" i="1"/>
  <c r="AA834" i="1"/>
  <c r="CV834" i="1"/>
  <c r="Y834" i="1" s="1"/>
  <c r="CW834" i="1"/>
  <c r="CX834" i="1"/>
  <c r="AB834" i="1"/>
  <c r="J835" i="1"/>
  <c r="K835" i="1"/>
  <c r="M835" i="1"/>
  <c r="AA835" i="1"/>
  <c r="AB835" i="1"/>
  <c r="CO835" i="1"/>
  <c r="CV835" i="1"/>
  <c r="Y835" i="1"/>
  <c r="CY835" i="1"/>
  <c r="CZ835" i="1"/>
  <c r="Z835" i="1"/>
  <c r="Z838" i="1"/>
  <c r="AA838" i="1"/>
  <c r="AB838" i="1"/>
  <c r="CV838" i="1"/>
  <c r="Y838" i="1"/>
  <c r="Z837" i="1"/>
  <c r="AA837" i="1"/>
  <c r="AB837" i="1"/>
  <c r="CV837" i="1"/>
  <c r="Y837" i="1" s="1"/>
  <c r="Z839" i="1"/>
  <c r="AA839" i="1"/>
  <c r="AB839" i="1"/>
  <c r="CV839" i="1"/>
  <c r="Y839" i="1"/>
  <c r="AA840" i="1"/>
  <c r="AC840" i="1"/>
  <c r="BM840" i="1"/>
  <c r="CA840" i="1"/>
  <c r="CK840" i="1"/>
  <c r="CP840" i="1"/>
  <c r="CQ840" i="1"/>
  <c r="CR840" i="1"/>
  <c r="CS840" i="1"/>
  <c r="CX840" i="1"/>
  <c r="AB840" i="1" s="1"/>
  <c r="CY840" i="1"/>
  <c r="CZ840" i="1"/>
  <c r="Z840" i="1"/>
  <c r="Z841" i="1"/>
  <c r="AA841" i="1"/>
  <c r="AB841" i="1"/>
  <c r="CV841" i="1"/>
  <c r="Y841" i="1" s="1"/>
  <c r="Z842" i="1"/>
  <c r="AA842" i="1"/>
  <c r="AB842" i="1"/>
  <c r="CV842" i="1"/>
  <c r="Y842" i="1"/>
  <c r="AE842" i="1"/>
  <c r="Z843" i="1"/>
  <c r="AA843" i="1"/>
  <c r="AB843" i="1"/>
  <c r="CV843" i="1"/>
  <c r="Y843" i="1" s="1"/>
  <c r="Z844" i="1"/>
  <c r="AA844" i="1"/>
  <c r="AB844" i="1"/>
  <c r="CV844" i="1"/>
  <c r="Y844" i="1" s="1"/>
  <c r="J845" i="1"/>
  <c r="Z845" i="1"/>
  <c r="AA845" i="1"/>
  <c r="AB845" i="1"/>
  <c r="CV845" i="1"/>
  <c r="Y845" i="1"/>
  <c r="Z846" i="1"/>
  <c r="AA846" i="1"/>
  <c r="CV846" i="1"/>
  <c r="Y846" i="1"/>
  <c r="CX846" i="1"/>
  <c r="AB846" i="1" s="1"/>
  <c r="Z847" i="1"/>
  <c r="AA847" i="1"/>
  <c r="AB847" i="1"/>
  <c r="CV847" i="1"/>
  <c r="Y847" i="1"/>
  <c r="Z848" i="1"/>
  <c r="AA848" i="1"/>
  <c r="AB848" i="1"/>
  <c r="CV848" i="1"/>
  <c r="Y848" i="1"/>
  <c r="Z849" i="1"/>
  <c r="AA849" i="1"/>
  <c r="AB849" i="1"/>
  <c r="CV849" i="1"/>
  <c r="Y849" i="1"/>
  <c r="Z850" i="1"/>
  <c r="AA850" i="1"/>
  <c r="AB850" i="1"/>
  <c r="CV850" i="1"/>
  <c r="Y850" i="1" s="1"/>
  <c r="J851" i="1"/>
  <c r="Z851" i="1"/>
  <c r="AA851" i="1"/>
  <c r="AB851" i="1"/>
  <c r="CV851" i="1"/>
  <c r="Y851" i="1" s="1"/>
  <c r="AA852" i="1"/>
  <c r="AB852" i="1"/>
  <c r="CA852" i="1"/>
  <c r="CQ852" i="1"/>
  <c r="CY852" i="1"/>
  <c r="CZ852" i="1"/>
  <c r="Z852" i="1"/>
  <c r="AA853" i="1"/>
  <c r="AB853" i="1"/>
  <c r="BZ853" i="1"/>
  <c r="CA853" i="1"/>
  <c r="CQ853" i="1"/>
  <c r="CY853" i="1"/>
  <c r="CZ853" i="1"/>
  <c r="Z853" i="1"/>
  <c r="Z854" i="1"/>
  <c r="AA854" i="1"/>
  <c r="AB854" i="1"/>
  <c r="CV854" i="1"/>
  <c r="Y854" i="1" s="1"/>
  <c r="Z855" i="1"/>
  <c r="AA855" i="1"/>
  <c r="AB855" i="1"/>
  <c r="CV855" i="1"/>
  <c r="Y855" i="1"/>
  <c r="Z856" i="1"/>
  <c r="AA856" i="1"/>
  <c r="AB856" i="1"/>
  <c r="CV856" i="1"/>
  <c r="Y856" i="1"/>
  <c r="AA857" i="1"/>
  <c r="AB857" i="1"/>
  <c r="CQ857" i="1"/>
  <c r="CV857" i="1"/>
  <c r="Y857" i="1" s="1"/>
  <c r="CZ857" i="1"/>
  <c r="Z857" i="1" s="1"/>
  <c r="Z858" i="1"/>
  <c r="AA858" i="1"/>
  <c r="AB858" i="1"/>
  <c r="CV858" i="1"/>
  <c r="Y858" i="1"/>
  <c r="AA859" i="1"/>
  <c r="AB859" i="1"/>
  <c r="CA859" i="1"/>
  <c r="CO859" i="1"/>
  <c r="CQ859" i="1"/>
  <c r="CS859" i="1"/>
  <c r="CY859" i="1"/>
  <c r="CZ859" i="1"/>
  <c r="Z859" i="1"/>
  <c r="Z860" i="1"/>
  <c r="AA860" i="1"/>
  <c r="AB860" i="1"/>
  <c r="CV860" i="1"/>
  <c r="Y860" i="1" s="1"/>
  <c r="AA861" i="1"/>
  <c r="AB861" i="1"/>
  <c r="CQ861" i="1"/>
  <c r="CS861" i="1"/>
  <c r="CY861" i="1"/>
  <c r="CZ861" i="1"/>
  <c r="Z861" i="1"/>
  <c r="Z862" i="1"/>
  <c r="AA862" i="1"/>
  <c r="AB862" i="1"/>
  <c r="CV862" i="1"/>
  <c r="Y862" i="1" s="1"/>
  <c r="Z863" i="1"/>
  <c r="AA863" i="1"/>
  <c r="AB863" i="1"/>
  <c r="CV863" i="1"/>
  <c r="Y863" i="1" s="1"/>
  <c r="J864" i="1"/>
  <c r="AA864" i="1"/>
  <c r="AB864" i="1"/>
  <c r="CO864" i="1"/>
  <c r="CV864" i="1"/>
  <c r="Y864" i="1"/>
  <c r="CZ864" i="1"/>
  <c r="Z864" i="1" s="1"/>
  <c r="Z865" i="1"/>
  <c r="AA865" i="1"/>
  <c r="AB865" i="1"/>
  <c r="CV865" i="1"/>
  <c r="Y865" i="1"/>
  <c r="AA866" i="1"/>
  <c r="AB866" i="1"/>
  <c r="CQ866" i="1"/>
  <c r="CV866" i="1"/>
  <c r="Y866" i="1" s="1"/>
  <c r="CZ866" i="1"/>
  <c r="Z866" i="1" s="1"/>
  <c r="AA867" i="1"/>
  <c r="AB867" i="1"/>
  <c r="CV867" i="1"/>
  <c r="Y867" i="1" s="1"/>
  <c r="CY867" i="1"/>
  <c r="CZ867" i="1"/>
  <c r="Z867" i="1"/>
  <c r="Z868" i="1"/>
  <c r="AA868" i="1"/>
  <c r="AB868" i="1"/>
  <c r="CV868" i="1"/>
  <c r="Y868" i="1" s="1"/>
  <c r="Z869" i="1"/>
  <c r="AA869" i="1"/>
  <c r="AB869" i="1"/>
  <c r="CV869" i="1"/>
  <c r="Y869" i="1"/>
  <c r="J870" i="1"/>
  <c r="Z870" i="1"/>
  <c r="AA870" i="1"/>
  <c r="AB870" i="1"/>
  <c r="CV870" i="1"/>
  <c r="Y870" i="1"/>
  <c r="Z871" i="1"/>
  <c r="AA871" i="1"/>
  <c r="CV871" i="1"/>
  <c r="Y871" i="1"/>
  <c r="CX871" i="1"/>
  <c r="AB871" i="1"/>
  <c r="Z872" i="1"/>
  <c r="AA872" i="1"/>
  <c r="AB872" i="1"/>
  <c r="CV872" i="1"/>
  <c r="Y872" i="1"/>
  <c r="J873" i="1"/>
  <c r="K873" i="1"/>
  <c r="AA873" i="1"/>
  <c r="AB873" i="1"/>
  <c r="CA873" i="1"/>
  <c r="CO873" i="1"/>
  <c r="CQ873" i="1"/>
  <c r="CS873" i="1"/>
  <c r="CY873" i="1"/>
  <c r="CZ873" i="1"/>
  <c r="Z873" i="1"/>
  <c r="Z874" i="1"/>
  <c r="AA874" i="1"/>
  <c r="AB874" i="1"/>
  <c r="CV874" i="1"/>
  <c r="Y874" i="1"/>
  <c r="AA875" i="1"/>
  <c r="AB875" i="1"/>
  <c r="CO875" i="1"/>
  <c r="CS875" i="1"/>
  <c r="CZ875" i="1"/>
  <c r="Z875" i="1" s="1"/>
  <c r="J876" i="1"/>
  <c r="AA876" i="1"/>
  <c r="AB876" i="1"/>
  <c r="CO876" i="1"/>
  <c r="CS876" i="1"/>
  <c r="CZ876" i="1"/>
  <c r="Z876" i="1"/>
  <c r="AA877" i="1"/>
  <c r="AB877" i="1"/>
  <c r="CO877" i="1"/>
  <c r="CS877" i="1"/>
  <c r="CZ877" i="1"/>
  <c r="Z877" i="1"/>
  <c r="Z878" i="1"/>
  <c r="AA878" i="1"/>
  <c r="AB878" i="1"/>
  <c r="CV878" i="1"/>
  <c r="Y878" i="1" s="1"/>
  <c r="Z879" i="1"/>
  <c r="AA879" i="1"/>
  <c r="AB879" i="1"/>
  <c r="CV879" i="1"/>
  <c r="Y879" i="1"/>
  <c r="Z880" i="1"/>
  <c r="AA880" i="1"/>
  <c r="AB880" i="1"/>
  <c r="CV880" i="1"/>
  <c r="Y880" i="1"/>
  <c r="J881" i="1"/>
  <c r="Z881" i="1"/>
  <c r="AA881" i="1"/>
  <c r="AB881" i="1"/>
  <c r="CV881" i="1"/>
  <c r="Y881" i="1" s="1"/>
  <c r="J882" i="1"/>
  <c r="AA882" i="1"/>
  <c r="AC882" i="1"/>
  <c r="BC882" i="1"/>
  <c r="CA882" i="1"/>
  <c r="CK882" i="1"/>
  <c r="CN882" i="1"/>
  <c r="CO882" i="1"/>
  <c r="CQ882" i="1"/>
  <c r="CW882" i="1"/>
  <c r="CX882" i="1"/>
  <c r="AB882" i="1" s="1"/>
  <c r="CY882" i="1"/>
  <c r="CZ882" i="1"/>
  <c r="Z882" i="1" s="1"/>
  <c r="Z883" i="1"/>
  <c r="AA883" i="1"/>
  <c r="AB883" i="1"/>
  <c r="CV883" i="1"/>
  <c r="Y883" i="1" s="1"/>
  <c r="AA884" i="1"/>
  <c r="AB884" i="1"/>
  <c r="CA884" i="1"/>
  <c r="CQ884" i="1"/>
  <c r="CY884" i="1"/>
  <c r="CZ884" i="1"/>
  <c r="Z884" i="1"/>
  <c r="J885" i="1"/>
  <c r="AA885" i="1"/>
  <c r="AB885" i="1"/>
  <c r="BZ885" i="1"/>
  <c r="CA885" i="1"/>
  <c r="CP885" i="1"/>
  <c r="CQ885" i="1"/>
  <c r="CS885" i="1"/>
  <c r="CY885" i="1"/>
  <c r="CZ885" i="1"/>
  <c r="Z885" i="1"/>
  <c r="Z886" i="1"/>
  <c r="AA886" i="1"/>
  <c r="AB886" i="1"/>
  <c r="CV886" i="1"/>
  <c r="Y886" i="1"/>
  <c r="Z887" i="1"/>
  <c r="AA887" i="1"/>
  <c r="AB887" i="1"/>
  <c r="CV887" i="1"/>
  <c r="Y887" i="1" s="1"/>
  <c r="Z888" i="1"/>
  <c r="AA888" i="1"/>
  <c r="AB888" i="1"/>
  <c r="CV888" i="1"/>
  <c r="Y888" i="1" s="1"/>
  <c r="AA889" i="1"/>
  <c r="AB889" i="1"/>
  <c r="AC889" i="1"/>
  <c r="CO889" i="1"/>
  <c r="CV889" i="1"/>
  <c r="Y889" i="1"/>
  <c r="CZ889" i="1"/>
  <c r="Z889" i="1" s="1"/>
  <c r="Z890" i="1"/>
  <c r="AA890" i="1"/>
  <c r="AB890" i="1"/>
  <c r="CV890" i="1"/>
  <c r="Y890" i="1"/>
  <c r="Z891" i="1"/>
  <c r="AA891" i="1"/>
  <c r="AB891" i="1"/>
  <c r="CV891" i="1"/>
  <c r="Y891" i="1"/>
  <c r="AA892" i="1"/>
  <c r="AB892" i="1"/>
  <c r="CA892" i="1"/>
  <c r="CO892" i="1"/>
  <c r="CQ892" i="1"/>
  <c r="CS892" i="1"/>
  <c r="CY892" i="1"/>
  <c r="CZ892" i="1"/>
  <c r="Z892" i="1"/>
  <c r="Z893" i="1"/>
  <c r="AA893" i="1"/>
  <c r="AB893" i="1"/>
  <c r="CV893" i="1"/>
  <c r="Y893" i="1" s="1"/>
  <c r="Z894" i="1"/>
  <c r="AA894" i="1"/>
  <c r="CV894" i="1"/>
  <c r="Y894" i="1" s="1"/>
  <c r="CW894" i="1"/>
  <c r="CX894" i="1"/>
  <c r="AB894" i="1" s="1"/>
  <c r="Z895" i="1"/>
  <c r="AA895" i="1"/>
  <c r="AB895" i="1"/>
  <c r="CV895" i="1"/>
  <c r="Y895" i="1" s="1"/>
  <c r="J896" i="1"/>
  <c r="AA896" i="1"/>
  <c r="AB896" i="1"/>
  <c r="AC896" i="1"/>
  <c r="CA896" i="1"/>
  <c r="CK896" i="1"/>
  <c r="CO896" i="1"/>
  <c r="CP896" i="1"/>
  <c r="CQ896" i="1"/>
  <c r="CR896" i="1"/>
  <c r="CS896" i="1"/>
  <c r="CY896" i="1"/>
  <c r="CZ896" i="1"/>
  <c r="Z896" i="1"/>
  <c r="Z897" i="1"/>
  <c r="AA897" i="1"/>
  <c r="AB897" i="1"/>
  <c r="CV897" i="1"/>
  <c r="Y897" i="1" s="1"/>
  <c r="Z898" i="1"/>
  <c r="AA898" i="1"/>
  <c r="AB898" i="1"/>
  <c r="CV898" i="1"/>
  <c r="Y898" i="1" s="1"/>
  <c r="Z899" i="1"/>
  <c r="AA899" i="1"/>
  <c r="AB899" i="1"/>
  <c r="CV899" i="1"/>
  <c r="Y899" i="1"/>
  <c r="Z900" i="1"/>
  <c r="AA900" i="1"/>
  <c r="AB900" i="1"/>
  <c r="CV900" i="1"/>
  <c r="Y900" i="1"/>
  <c r="Z901" i="1"/>
  <c r="AA901" i="1"/>
  <c r="AB901" i="1"/>
  <c r="CV901" i="1"/>
  <c r="Y901" i="1"/>
  <c r="J902" i="1"/>
  <c r="M902" i="1"/>
  <c r="Z902" i="1"/>
  <c r="AA902" i="1"/>
  <c r="AB902" i="1"/>
  <c r="CV902" i="1"/>
  <c r="Y902" i="1"/>
  <c r="Z903" i="1"/>
  <c r="AA903" i="1"/>
  <c r="AB903" i="1"/>
  <c r="CV903" i="1"/>
  <c r="Y903" i="1"/>
  <c r="J904" i="1"/>
  <c r="K904" i="1"/>
  <c r="AA904" i="1"/>
  <c r="AB904" i="1"/>
  <c r="CN904" i="1"/>
  <c r="CO904" i="1"/>
  <c r="CQ904" i="1"/>
  <c r="CS904" i="1"/>
  <c r="CZ904" i="1"/>
  <c r="Z904" i="1"/>
  <c r="Z905" i="1"/>
  <c r="AA905" i="1"/>
  <c r="AB905" i="1"/>
  <c r="CV905" i="1"/>
  <c r="Y905" i="1"/>
  <c r="Z906" i="1"/>
  <c r="AA906" i="1"/>
  <c r="AB906" i="1"/>
  <c r="CV906" i="1"/>
  <c r="Y906" i="1"/>
  <c r="Z907" i="1"/>
  <c r="AA907" i="1"/>
  <c r="AB907" i="1"/>
  <c r="CV907" i="1"/>
  <c r="Y907" i="1" s="1"/>
  <c r="Z908" i="1"/>
  <c r="AA908" i="1"/>
  <c r="AB908" i="1"/>
  <c r="CV908" i="1"/>
  <c r="Y908" i="1"/>
  <c r="J909" i="1"/>
  <c r="AA909" i="1"/>
  <c r="AB909" i="1"/>
  <c r="CO909" i="1"/>
  <c r="CV909" i="1" s="1"/>
  <c r="Y909" i="1" s="1"/>
  <c r="CZ909" i="1"/>
  <c r="Z909" i="1"/>
  <c r="Z910" i="1"/>
  <c r="AA910" i="1"/>
  <c r="AB910" i="1"/>
  <c r="CV910" i="1"/>
  <c r="Y910" i="1" s="1"/>
  <c r="Z911" i="1"/>
  <c r="AA911" i="1"/>
  <c r="AB911" i="1"/>
  <c r="CV911" i="1"/>
  <c r="Y911" i="1"/>
  <c r="AA912" i="1"/>
  <c r="AB912" i="1"/>
  <c r="CQ912" i="1"/>
  <c r="CS912" i="1"/>
  <c r="CZ912" i="1"/>
  <c r="Z912" i="1"/>
  <c r="Z913" i="1"/>
  <c r="AA913" i="1"/>
  <c r="AB913" i="1"/>
  <c r="AC913" i="1"/>
  <c r="CV913" i="1"/>
  <c r="Y913" i="1"/>
  <c r="Z914" i="1"/>
  <c r="AA914" i="1"/>
  <c r="AB914" i="1"/>
  <c r="CV914" i="1"/>
  <c r="Y914" i="1" s="1"/>
  <c r="Z915" i="1"/>
  <c r="AA915" i="1"/>
  <c r="AB915" i="1"/>
  <c r="CV915" i="1"/>
  <c r="Y915" i="1"/>
  <c r="AA916" i="1"/>
  <c r="AB916" i="1"/>
  <c r="BC916" i="1"/>
  <c r="CQ916" i="1"/>
  <c r="CS916" i="1"/>
  <c r="CZ916" i="1"/>
  <c r="Z916" i="1" s="1"/>
  <c r="J917" i="1"/>
  <c r="AA917" i="1"/>
  <c r="AB917" i="1"/>
  <c r="CO917" i="1"/>
  <c r="CS917" i="1"/>
  <c r="CZ917" i="1"/>
  <c r="Z917" i="1" s="1"/>
  <c r="AA918" i="1"/>
  <c r="AB918" i="1"/>
  <c r="AC918" i="1"/>
  <c r="CP918" i="1"/>
  <c r="CQ918" i="1"/>
  <c r="CR918" i="1"/>
  <c r="CS918" i="1"/>
  <c r="CY918" i="1"/>
  <c r="CZ918" i="1"/>
  <c r="Z918" i="1"/>
  <c r="AA919" i="1"/>
  <c r="AB919" i="1"/>
  <c r="BA919" i="1"/>
  <c r="CA919" i="1"/>
  <c r="CY919" i="1"/>
  <c r="CZ919" i="1"/>
  <c r="Z919" i="1" s="1"/>
  <c r="AA920" i="1"/>
  <c r="AB920" i="1"/>
  <c r="CA920" i="1"/>
  <c r="CQ920" i="1"/>
  <c r="CY920" i="1"/>
  <c r="CZ920" i="1"/>
  <c r="Z920" i="1"/>
  <c r="J921" i="1"/>
  <c r="AA921" i="1"/>
  <c r="AB921" i="1"/>
  <c r="CV921" i="1"/>
  <c r="Y921" i="1" s="1"/>
  <c r="CZ921" i="1"/>
  <c r="Z921" i="1" s="1"/>
  <c r="Z922" i="1"/>
  <c r="AA922" i="1"/>
  <c r="AB922" i="1"/>
  <c r="CV922" i="1"/>
  <c r="Y922" i="1"/>
  <c r="Z923" i="1"/>
  <c r="AA923" i="1"/>
  <c r="AB923" i="1"/>
  <c r="CV923" i="1"/>
  <c r="Y923" i="1" s="1"/>
  <c r="AE923" i="1"/>
  <c r="Z924" i="1"/>
  <c r="AA924" i="1"/>
  <c r="AB924" i="1"/>
  <c r="CV924" i="1"/>
  <c r="Y924" i="1" s="1"/>
  <c r="Z925" i="1"/>
  <c r="AA925" i="1"/>
  <c r="AB925" i="1"/>
  <c r="CV925" i="1"/>
  <c r="Y925" i="1" s="1"/>
  <c r="Z926" i="1"/>
  <c r="AA926" i="1"/>
  <c r="AB926" i="1"/>
  <c r="CV926" i="1"/>
  <c r="Y926" i="1" s="1"/>
  <c r="J927" i="1"/>
  <c r="Z927" i="1"/>
  <c r="AA927" i="1"/>
  <c r="AB927" i="1"/>
  <c r="CN927" i="1"/>
  <c r="CO927" i="1"/>
  <c r="CV927" i="1" s="1"/>
  <c r="Y927" i="1" s="1"/>
  <c r="J928" i="1"/>
  <c r="AA928" i="1"/>
  <c r="AB928" i="1"/>
  <c r="CN928" i="1"/>
  <c r="CO928" i="1"/>
  <c r="CQ928" i="1"/>
  <c r="CY928" i="1"/>
  <c r="CZ928" i="1"/>
  <c r="Z928" i="1"/>
  <c r="J929" i="1"/>
  <c r="AA929" i="1"/>
  <c r="BA929" i="1"/>
  <c r="BM929" i="1"/>
  <c r="BZ929" i="1"/>
  <c r="CA929" i="1"/>
  <c r="CK929" i="1"/>
  <c r="CO929" i="1"/>
  <c r="CQ929" i="1"/>
  <c r="CS929" i="1"/>
  <c r="CX929" i="1"/>
  <c r="AB929" i="1"/>
  <c r="CY929" i="1"/>
  <c r="CZ929" i="1"/>
  <c r="Z929" i="1" s="1"/>
  <c r="J930" i="1"/>
  <c r="AA930" i="1"/>
  <c r="AB930" i="1"/>
  <c r="AC930" i="1"/>
  <c r="CN930" i="1"/>
  <c r="CO930" i="1"/>
  <c r="CQ930" i="1"/>
  <c r="CY930" i="1"/>
  <c r="CZ930" i="1"/>
  <c r="Z930" i="1" s="1"/>
  <c r="J931" i="1"/>
  <c r="K931" i="1"/>
  <c r="AA931" i="1"/>
  <c r="AB931" i="1"/>
  <c r="CO931" i="1"/>
  <c r="CQ931" i="1"/>
  <c r="CS931" i="1"/>
  <c r="CZ931" i="1"/>
  <c r="Z931" i="1"/>
  <c r="J932" i="1"/>
  <c r="AA932" i="1"/>
  <c r="AB932" i="1"/>
  <c r="CN932" i="1"/>
  <c r="CO932" i="1"/>
  <c r="CQ932" i="1"/>
  <c r="CZ932" i="1"/>
  <c r="Z932" i="1"/>
  <c r="AA933" i="1"/>
  <c r="AB933" i="1"/>
  <c r="BA933" i="1"/>
  <c r="BM933" i="1"/>
  <c r="CA933" i="1"/>
  <c r="CK933" i="1"/>
  <c r="CN933" i="1"/>
  <c r="CO933" i="1"/>
  <c r="CQ933" i="1"/>
  <c r="CY933" i="1"/>
  <c r="CZ933" i="1"/>
  <c r="Z933" i="1"/>
  <c r="J934" i="1"/>
  <c r="AA934" i="1"/>
  <c r="AB934" i="1"/>
  <c r="CO934" i="1"/>
  <c r="CV934" i="1" s="1"/>
  <c r="Y934" i="1"/>
  <c r="CZ934" i="1"/>
  <c r="Z934" i="1" s="1"/>
  <c r="J935" i="1"/>
  <c r="AA935" i="1"/>
  <c r="AB935" i="1"/>
  <c r="CO935" i="1"/>
  <c r="CV935" i="1" s="1"/>
  <c r="Y935" i="1"/>
  <c r="CY935" i="1"/>
  <c r="CZ935" i="1"/>
  <c r="Z935" i="1" s="1"/>
  <c r="J936" i="1"/>
  <c r="AA936" i="1"/>
  <c r="AB936" i="1"/>
  <c r="CN936" i="1"/>
  <c r="CO936" i="1"/>
  <c r="CQ936" i="1"/>
  <c r="CY936" i="1"/>
  <c r="CZ936" i="1"/>
  <c r="Z936" i="1"/>
  <c r="J937" i="1"/>
  <c r="Z937" i="1"/>
  <c r="AA937" i="1"/>
  <c r="AB937" i="1"/>
  <c r="CV937" i="1"/>
  <c r="Y937" i="1"/>
  <c r="M938" i="1"/>
  <c r="Z938" i="1"/>
  <c r="AA938" i="1"/>
  <c r="AB938" i="1"/>
  <c r="CV938" i="1"/>
  <c r="Y938" i="1"/>
  <c r="Z939" i="1"/>
  <c r="AA939" i="1"/>
  <c r="AB939" i="1"/>
  <c r="CV939" i="1"/>
  <c r="Y939" i="1"/>
  <c r="J940" i="1"/>
  <c r="AA940" i="1"/>
  <c r="AB940" i="1"/>
  <c r="CN940" i="1"/>
  <c r="CO940" i="1"/>
  <c r="CQ940" i="1"/>
  <c r="CY940" i="1"/>
  <c r="CZ940" i="1"/>
  <c r="Z940" i="1"/>
  <c r="Z941" i="1"/>
  <c r="AA941" i="1"/>
  <c r="AB941" i="1"/>
  <c r="CV941" i="1"/>
  <c r="Y941" i="1" s="1"/>
  <c r="Z942" i="1"/>
  <c r="AA942" i="1"/>
  <c r="AB942" i="1"/>
  <c r="CV942" i="1"/>
  <c r="Y942" i="1"/>
  <c r="J943" i="1"/>
  <c r="AA943" i="1"/>
  <c r="AB943" i="1"/>
  <c r="CO943" i="1"/>
  <c r="CS943" i="1"/>
  <c r="CZ943" i="1"/>
  <c r="Z943" i="1" s="1"/>
  <c r="J944" i="1"/>
  <c r="AA944" i="1"/>
  <c r="AB944" i="1"/>
  <c r="CO944" i="1"/>
  <c r="CS944" i="1"/>
  <c r="CZ944" i="1"/>
  <c r="Z944" i="1" s="1"/>
  <c r="J945" i="1"/>
  <c r="AA945" i="1"/>
  <c r="AB945" i="1"/>
  <c r="CO945" i="1"/>
  <c r="CS945" i="1"/>
  <c r="CZ945" i="1"/>
  <c r="Z945" i="1" s="1"/>
  <c r="J946" i="1"/>
  <c r="Z946" i="1"/>
  <c r="AA946" i="1"/>
  <c r="AB946" i="1"/>
  <c r="CV946" i="1"/>
  <c r="Y946" i="1" s="1"/>
  <c r="Z947" i="1"/>
  <c r="AA947" i="1"/>
  <c r="AB947" i="1"/>
  <c r="CV947" i="1"/>
  <c r="Y947" i="1"/>
  <c r="AE947" i="1"/>
  <c r="Z948" i="1"/>
  <c r="AA948" i="1"/>
  <c r="AB948" i="1"/>
  <c r="CV948" i="1"/>
  <c r="Y948" i="1" s="1"/>
  <c r="AA949" i="1"/>
  <c r="AB949" i="1"/>
  <c r="CO949" i="1"/>
  <c r="CS949" i="1"/>
  <c r="CZ949" i="1"/>
  <c r="Z949" i="1"/>
  <c r="Z950" i="1"/>
  <c r="AA950" i="1"/>
  <c r="AB950" i="1"/>
  <c r="CV950" i="1"/>
  <c r="Y950" i="1"/>
  <c r="J951" i="1"/>
  <c r="K951" i="1"/>
  <c r="AA951" i="1"/>
  <c r="AB951" i="1"/>
  <c r="CV951" i="1"/>
  <c r="Y951" i="1" s="1"/>
  <c r="CZ951" i="1"/>
  <c r="Z951" i="1"/>
  <c r="AA952" i="1"/>
  <c r="AB952" i="1"/>
  <c r="CA952" i="1"/>
  <c r="CQ952" i="1"/>
  <c r="CY952" i="1"/>
  <c r="CZ952" i="1"/>
  <c r="Z952" i="1"/>
  <c r="BM953" i="1"/>
  <c r="BZ953" i="1"/>
  <c r="CA953" i="1"/>
  <c r="CO953" i="1"/>
  <c r="CX953" i="1"/>
  <c r="AB953" i="1"/>
  <c r="CY953" i="1"/>
  <c r="CZ953" i="1"/>
  <c r="Z953" i="1"/>
  <c r="DD953" i="1"/>
  <c r="AA953" i="1" s="1"/>
  <c r="AA954" i="1"/>
  <c r="BM954" i="1"/>
  <c r="BZ954" i="1"/>
  <c r="CA954" i="1"/>
  <c r="CO954" i="1"/>
  <c r="CX954" i="1"/>
  <c r="AB954" i="1"/>
  <c r="CY954" i="1"/>
  <c r="CZ954" i="1"/>
  <c r="Z954" i="1" s="1"/>
  <c r="AA955" i="1"/>
  <c r="BZ955" i="1"/>
  <c r="CA955" i="1"/>
  <c r="CO955" i="1"/>
  <c r="CW955" i="1"/>
  <c r="CX955" i="1"/>
  <c r="AB955" i="1"/>
  <c r="CY955" i="1"/>
  <c r="CZ955" i="1"/>
  <c r="Z955" i="1" s="1"/>
  <c r="BM956" i="1"/>
  <c r="BZ956" i="1"/>
  <c r="CA956" i="1"/>
  <c r="CN956" i="1"/>
  <c r="CO956" i="1"/>
  <c r="CX956" i="1"/>
  <c r="AB956" i="1" s="1"/>
  <c r="CY956" i="1"/>
  <c r="CZ956" i="1"/>
  <c r="Z956" i="1"/>
  <c r="DD956" i="1"/>
  <c r="AA956" i="1" s="1"/>
  <c r="AA957" i="1"/>
  <c r="BA957" i="1"/>
  <c r="BM957" i="1"/>
  <c r="BZ957" i="1"/>
  <c r="CA957" i="1"/>
  <c r="CO957" i="1"/>
  <c r="CQ957" i="1"/>
  <c r="CX957" i="1"/>
  <c r="AB957" i="1"/>
  <c r="CY957" i="1"/>
  <c r="CZ957" i="1"/>
  <c r="Z957" i="1" s="1"/>
  <c r="AA958" i="1"/>
  <c r="BA958" i="1"/>
  <c r="BM958" i="1"/>
  <c r="BZ958" i="1"/>
  <c r="CA958" i="1"/>
  <c r="CO958" i="1"/>
  <c r="CX958" i="1"/>
  <c r="AB958" i="1" s="1"/>
  <c r="CY958" i="1"/>
  <c r="CZ958" i="1"/>
  <c r="Z958" i="1"/>
  <c r="AA959" i="1"/>
  <c r="BM959" i="1"/>
  <c r="CA959" i="1"/>
  <c r="CO959" i="1"/>
  <c r="CX959" i="1"/>
  <c r="AB959" i="1"/>
  <c r="CY959" i="1"/>
  <c r="CZ959" i="1"/>
  <c r="Z959" i="1" s="1"/>
  <c r="AA960" i="1"/>
  <c r="CA960" i="1"/>
  <c r="CO960" i="1"/>
  <c r="CX960" i="1"/>
  <c r="AB960" i="1"/>
  <c r="CY960" i="1"/>
  <c r="CZ960" i="1"/>
  <c r="Z960" i="1" s="1"/>
  <c r="AA961" i="1"/>
  <c r="BM961" i="1"/>
  <c r="BZ961" i="1"/>
  <c r="CA961" i="1"/>
  <c r="CN961" i="1"/>
  <c r="CO961" i="1"/>
  <c r="CQ961" i="1"/>
  <c r="CX961" i="1"/>
  <c r="AB961" i="1"/>
  <c r="CY961" i="1"/>
  <c r="CZ961" i="1"/>
  <c r="Z961" i="1" s="1"/>
  <c r="AA962" i="1"/>
  <c r="BA962" i="1"/>
  <c r="BM962" i="1"/>
  <c r="BZ962" i="1"/>
  <c r="CA962" i="1"/>
  <c r="CO962" i="1"/>
  <c r="CX962" i="1"/>
  <c r="AB962" i="1" s="1"/>
  <c r="CY962" i="1"/>
  <c r="CZ962" i="1"/>
  <c r="Z962" i="1"/>
  <c r="BL963" i="1"/>
  <c r="BM963" i="1"/>
  <c r="BZ963" i="1"/>
  <c r="CA963" i="1"/>
  <c r="CN963" i="1"/>
  <c r="CO963" i="1"/>
  <c r="CQ963" i="1"/>
  <c r="CX963" i="1"/>
  <c r="AB963" i="1" s="1"/>
  <c r="CY963" i="1"/>
  <c r="CZ963" i="1"/>
  <c r="Z963" i="1" s="1"/>
  <c r="DD963" i="1"/>
  <c r="AA963" i="1"/>
  <c r="AA964" i="1"/>
  <c r="CA964" i="1"/>
  <c r="CO964" i="1"/>
  <c r="CX964" i="1"/>
  <c r="AB964" i="1" s="1"/>
  <c r="CY964" i="1"/>
  <c r="CZ964" i="1"/>
  <c r="Z964" i="1"/>
  <c r="AA965" i="1"/>
  <c r="BM965" i="1"/>
  <c r="CA965" i="1"/>
  <c r="CN965" i="1"/>
  <c r="CO965" i="1"/>
  <c r="CX965" i="1"/>
  <c r="AB965" i="1" s="1"/>
  <c r="CY965" i="1"/>
  <c r="CZ965" i="1"/>
  <c r="Z965" i="1" s="1"/>
  <c r="AA966" i="1"/>
  <c r="BA966" i="1"/>
  <c r="BM966" i="1"/>
  <c r="BZ966" i="1"/>
  <c r="CA966" i="1"/>
  <c r="CO966" i="1"/>
  <c r="CQ966" i="1"/>
  <c r="CX966" i="1"/>
  <c r="AB966" i="1" s="1"/>
  <c r="CY966" i="1"/>
  <c r="CZ966" i="1"/>
  <c r="Z966" i="1" s="1"/>
  <c r="AA967" i="1"/>
  <c r="AC967" i="1"/>
  <c r="BL967" i="1"/>
  <c r="BM967" i="1"/>
  <c r="BZ967" i="1"/>
  <c r="CA967" i="1"/>
  <c r="CN967" i="1"/>
  <c r="CO967" i="1"/>
  <c r="CQ967" i="1"/>
  <c r="CX967" i="1"/>
  <c r="AB967" i="1"/>
  <c r="CY967" i="1"/>
  <c r="CZ967" i="1"/>
  <c r="Z967" i="1"/>
  <c r="AA968" i="1"/>
  <c r="CA968" i="1"/>
  <c r="CO968" i="1"/>
  <c r="CX968" i="1"/>
  <c r="AB968" i="1"/>
  <c r="CZ968" i="1"/>
  <c r="Z968" i="1" s="1"/>
  <c r="AA969" i="1"/>
  <c r="BM969" i="1"/>
  <c r="BZ969" i="1"/>
  <c r="CA969" i="1"/>
  <c r="CO969" i="1"/>
  <c r="CX969" i="1"/>
  <c r="AB969" i="1" s="1"/>
  <c r="CY969" i="1"/>
  <c r="CZ969" i="1"/>
  <c r="Z969" i="1"/>
  <c r="AA970" i="1"/>
  <c r="BA970" i="1"/>
  <c r="BZ970" i="1"/>
  <c r="CA970" i="1"/>
  <c r="CK970" i="1"/>
  <c r="CO970" i="1"/>
  <c r="CS970" i="1"/>
  <c r="CX970" i="1"/>
  <c r="AB970" i="1" s="1"/>
  <c r="CY970" i="1"/>
  <c r="CZ970" i="1"/>
  <c r="Z970" i="1"/>
  <c r="AA971" i="1"/>
  <c r="BM971" i="1"/>
  <c r="BZ971" i="1"/>
  <c r="CA971" i="1"/>
  <c r="CN971" i="1"/>
  <c r="CO971" i="1"/>
  <c r="CX971" i="1"/>
  <c r="AB971" i="1"/>
  <c r="CY971" i="1"/>
  <c r="CZ971" i="1"/>
  <c r="Z971" i="1"/>
  <c r="Z972" i="1"/>
  <c r="AA972" i="1"/>
  <c r="AB972" i="1"/>
  <c r="CV972" i="1"/>
  <c r="Y972" i="1"/>
  <c r="Z973" i="1"/>
  <c r="AA973" i="1"/>
  <c r="AB973" i="1"/>
  <c r="CV973" i="1"/>
  <c r="Y973" i="1" s="1"/>
  <c r="Z974" i="1"/>
  <c r="AA974" i="1"/>
  <c r="AB974" i="1"/>
  <c r="CV974" i="1"/>
  <c r="Y974" i="1" s="1"/>
  <c r="AA975" i="1"/>
  <c r="AB975" i="1"/>
  <c r="CV975" i="1"/>
  <c r="Y975" i="1" s="1"/>
  <c r="CZ975" i="1"/>
  <c r="Z975" i="1"/>
  <c r="AA976" i="1"/>
  <c r="AB976" i="1"/>
  <c r="BM976" i="1"/>
  <c r="CK976" i="1"/>
  <c r="CQ976" i="1"/>
  <c r="CZ976" i="1"/>
  <c r="Z976" i="1"/>
  <c r="Z977" i="1"/>
  <c r="AA977" i="1"/>
  <c r="AB977" i="1"/>
  <c r="CV977" i="1"/>
  <c r="Y977" i="1"/>
  <c r="Z978" i="1"/>
  <c r="AA978" i="1"/>
  <c r="AB978" i="1"/>
  <c r="CV978" i="1"/>
  <c r="Y978" i="1" s="1"/>
  <c r="AA979" i="1"/>
  <c r="AB979" i="1"/>
  <c r="BC979" i="1"/>
  <c r="CO979" i="1"/>
  <c r="CQ979" i="1"/>
  <c r="CY979" i="1"/>
  <c r="CZ979" i="1"/>
  <c r="Z979" i="1" s="1"/>
  <c r="AA980" i="1"/>
  <c r="AB980" i="1"/>
  <c r="CO980" i="1"/>
  <c r="CS980" i="1"/>
  <c r="CZ980" i="1"/>
  <c r="Z980" i="1"/>
  <c r="Z981" i="1"/>
  <c r="AA981" i="1"/>
  <c r="AB981" i="1"/>
  <c r="CV981" i="1"/>
  <c r="Y981" i="1"/>
  <c r="M982" i="1"/>
  <c r="Z982" i="1"/>
  <c r="AA982" i="1"/>
  <c r="AB982" i="1"/>
  <c r="CV982" i="1"/>
  <c r="Y982" i="1" s="1"/>
  <c r="M983" i="1"/>
  <c r="Z983" i="1"/>
  <c r="AA983" i="1"/>
  <c r="AB983" i="1"/>
  <c r="AC983" i="1"/>
  <c r="CV983" i="1"/>
  <c r="Y983" i="1" s="1"/>
  <c r="AE983" i="1" s="1"/>
  <c r="AA984" i="1"/>
  <c r="AB984" i="1"/>
  <c r="CQ984" i="1"/>
  <c r="CV984" i="1" s="1"/>
  <c r="Y984" i="1" s="1"/>
  <c r="CY984" i="1"/>
  <c r="CZ984" i="1"/>
  <c r="Z984" i="1" s="1"/>
  <c r="AA985" i="1"/>
  <c r="CN985" i="1"/>
  <c r="CO985" i="1"/>
  <c r="CQ985" i="1"/>
  <c r="CX985" i="1"/>
  <c r="AB985" i="1"/>
  <c r="CY985" i="1"/>
  <c r="CZ985" i="1"/>
  <c r="Z985" i="1"/>
  <c r="AA986" i="1"/>
  <c r="AC986" i="1"/>
  <c r="BA986" i="1"/>
  <c r="CA986" i="1"/>
  <c r="CK986" i="1"/>
  <c r="CN986" i="1"/>
  <c r="CO986" i="1"/>
  <c r="CQ986" i="1"/>
  <c r="CX986" i="1"/>
  <c r="AB986" i="1" s="1"/>
  <c r="CY986" i="1"/>
  <c r="CZ986" i="1"/>
  <c r="Z986" i="1"/>
  <c r="AA987" i="1"/>
  <c r="AC987" i="1"/>
  <c r="BC987" i="1"/>
  <c r="CV987" i="1"/>
  <c r="Y987" i="1" s="1"/>
  <c r="CA987" i="1"/>
  <c r="CK987" i="1"/>
  <c r="CN987" i="1"/>
  <c r="CO987" i="1"/>
  <c r="CQ987" i="1"/>
  <c r="CX987" i="1"/>
  <c r="AB987" i="1"/>
  <c r="CY987" i="1"/>
  <c r="CZ987" i="1"/>
  <c r="Z987" i="1"/>
  <c r="J988" i="1"/>
  <c r="AA988" i="1"/>
  <c r="AB988" i="1"/>
  <c r="AC988" i="1"/>
  <c r="BC988" i="1"/>
  <c r="CK988" i="1"/>
  <c r="CN988" i="1"/>
  <c r="CO988" i="1"/>
  <c r="CQ988" i="1"/>
  <c r="CY988" i="1"/>
  <c r="CZ988" i="1"/>
  <c r="Z988" i="1"/>
  <c r="J989" i="1"/>
  <c r="AA989" i="1"/>
  <c r="AB989" i="1"/>
  <c r="BM989" i="1"/>
  <c r="CK989" i="1"/>
  <c r="CQ989" i="1"/>
  <c r="CS989" i="1"/>
  <c r="CZ989" i="1"/>
  <c r="Z989" i="1"/>
  <c r="J990" i="1"/>
  <c r="Z990" i="1"/>
  <c r="AA990" i="1"/>
  <c r="AB990" i="1"/>
  <c r="CV990" i="1"/>
  <c r="Y990" i="1" s="1"/>
  <c r="AA991" i="1"/>
  <c r="AB991" i="1"/>
  <c r="BM991" i="1"/>
  <c r="CO991" i="1"/>
  <c r="CQ991" i="1"/>
  <c r="CS991" i="1"/>
  <c r="CZ991" i="1"/>
  <c r="Z991" i="1" s="1"/>
  <c r="AA992" i="1"/>
  <c r="AB992" i="1"/>
  <c r="BC992" i="1"/>
  <c r="CQ992" i="1"/>
  <c r="CY992" i="1"/>
  <c r="CZ992" i="1"/>
  <c r="Z992" i="1"/>
  <c r="Z993" i="1"/>
  <c r="AA993" i="1"/>
  <c r="AB993" i="1"/>
  <c r="CV993" i="1"/>
  <c r="Y993" i="1" s="1"/>
  <c r="AA994" i="1"/>
  <c r="AB994" i="1"/>
  <c r="CA994" i="1"/>
  <c r="CQ994" i="1"/>
  <c r="CZ994" i="1"/>
  <c r="Z994" i="1"/>
  <c r="J995" i="1"/>
  <c r="AA995" i="1"/>
  <c r="BZ995" i="1"/>
  <c r="CA995" i="1"/>
  <c r="CO995" i="1"/>
  <c r="CX995" i="1"/>
  <c r="AB995" i="1"/>
  <c r="CY995" i="1"/>
  <c r="CZ995" i="1"/>
  <c r="Z995" i="1" s="1"/>
  <c r="AA996" i="1"/>
  <c r="BM996" i="1"/>
  <c r="BZ996" i="1"/>
  <c r="CA996" i="1"/>
  <c r="CO996" i="1"/>
  <c r="CQ996" i="1"/>
  <c r="CX996" i="1"/>
  <c r="AB996" i="1" s="1"/>
  <c r="CY996" i="1"/>
  <c r="CZ996" i="1"/>
  <c r="Z996" i="1" s="1"/>
  <c r="K997" i="1"/>
  <c r="AA997" i="1"/>
  <c r="BZ997" i="1"/>
  <c r="CA997" i="1"/>
  <c r="CO997" i="1"/>
  <c r="CX997" i="1"/>
  <c r="AB997" i="1"/>
  <c r="CY997" i="1"/>
  <c r="CZ997" i="1"/>
  <c r="Z997" i="1"/>
  <c r="AA999" i="1"/>
  <c r="AB999" i="1"/>
  <c r="CV999" i="1"/>
  <c r="Y999" i="1"/>
  <c r="CZ999" i="1"/>
  <c r="Z999" i="1" s="1"/>
  <c r="Z1000" i="1"/>
  <c r="AA1000" i="1"/>
  <c r="AB1000" i="1"/>
  <c r="CV1000" i="1"/>
  <c r="Y1000" i="1" s="1"/>
  <c r="Z1001" i="1"/>
  <c r="AA1001" i="1"/>
  <c r="AB1001" i="1"/>
  <c r="CV1001" i="1"/>
  <c r="Y1001" i="1"/>
  <c r="AA1002" i="1"/>
  <c r="AB1002" i="1"/>
  <c r="CV1002" i="1"/>
  <c r="Y1002" i="1"/>
  <c r="CZ1002" i="1"/>
  <c r="Z1002" i="1"/>
  <c r="Z1003" i="1"/>
  <c r="AA1003" i="1"/>
  <c r="AB1003" i="1"/>
  <c r="CV1003" i="1"/>
  <c r="Y1003" i="1" s="1"/>
  <c r="M1004" i="1"/>
  <c r="Z1004" i="1"/>
  <c r="AA1004" i="1"/>
  <c r="AB1004" i="1"/>
  <c r="CV1004" i="1"/>
  <c r="Y1004" i="1"/>
  <c r="J1005" i="1"/>
  <c r="AA1005" i="1"/>
  <c r="AB1005" i="1"/>
  <c r="CO1005" i="1"/>
  <c r="CV1005" i="1" s="1"/>
  <c r="Y1005" i="1" s="1"/>
  <c r="CZ1005" i="1"/>
  <c r="Z1005" i="1"/>
  <c r="Z1006" i="1"/>
  <c r="AA1006" i="1"/>
  <c r="AB1006" i="1"/>
  <c r="CV1006" i="1"/>
  <c r="Y1006" i="1" s="1"/>
  <c r="Z1007" i="1"/>
  <c r="AA1007" i="1"/>
  <c r="AB1007" i="1"/>
  <c r="CV1007" i="1"/>
  <c r="Y1007" i="1" s="1"/>
  <c r="Z1008" i="1"/>
  <c r="AA1008" i="1"/>
  <c r="AB1008" i="1"/>
  <c r="CV1008" i="1"/>
  <c r="Y1008" i="1"/>
  <c r="Z1009" i="1"/>
  <c r="AA1009" i="1"/>
  <c r="AB1009" i="1"/>
  <c r="CV1009" i="1"/>
  <c r="Y1009" i="1"/>
  <c r="Z1010" i="1"/>
  <c r="AA1010" i="1"/>
  <c r="AB1010" i="1"/>
  <c r="CV1010" i="1"/>
  <c r="Y1010" i="1" s="1"/>
  <c r="AA1011" i="1"/>
  <c r="BM1011" i="1"/>
  <c r="CA1011" i="1"/>
  <c r="CK1011" i="1"/>
  <c r="CO1011" i="1"/>
  <c r="CP1011" i="1"/>
  <c r="CQ1011" i="1"/>
  <c r="CX1011" i="1"/>
  <c r="AB1011" i="1" s="1"/>
  <c r="CY1011" i="1"/>
  <c r="CZ1011" i="1"/>
  <c r="Z1011" i="1"/>
  <c r="Z1012" i="1"/>
  <c r="AA1012" i="1"/>
  <c r="CV1012" i="1"/>
  <c r="Y1012" i="1"/>
  <c r="CX1012" i="1"/>
  <c r="AB1012" i="1"/>
  <c r="Z1013" i="1"/>
  <c r="AA1013" i="1"/>
  <c r="AB1013" i="1"/>
  <c r="CV1013" i="1"/>
  <c r="Y1013" i="1"/>
  <c r="Z1014" i="1"/>
  <c r="AA1014" i="1"/>
  <c r="CV1014" i="1"/>
  <c r="Y1014" i="1"/>
  <c r="CW1014" i="1"/>
  <c r="CX1014" i="1"/>
  <c r="AB1014" i="1"/>
  <c r="Z1015" i="1"/>
  <c r="AA1015" i="1"/>
  <c r="AB1015" i="1"/>
  <c r="CV1015" i="1"/>
  <c r="Y1015" i="1"/>
  <c r="Z1016" i="1"/>
  <c r="AA1016" i="1"/>
  <c r="AB1016" i="1"/>
  <c r="CV1016" i="1"/>
  <c r="Y1016" i="1"/>
  <c r="Z1017" i="1"/>
  <c r="AA1017" i="1"/>
  <c r="CV1017" i="1"/>
  <c r="Y1017" i="1"/>
  <c r="CX1017" i="1"/>
  <c r="AB1017" i="1"/>
  <c r="Z1018" i="1"/>
  <c r="AA1018" i="1"/>
  <c r="AB1018" i="1"/>
  <c r="CV1018" i="1"/>
  <c r="Y1018" i="1"/>
  <c r="AA1019" i="1"/>
  <c r="CQ1019" i="1"/>
  <c r="CS1019" i="1"/>
  <c r="CX1019" i="1"/>
  <c r="AB1019" i="1"/>
  <c r="CZ1019" i="1"/>
  <c r="Z1019" i="1"/>
  <c r="Z1020" i="1"/>
  <c r="AA1020" i="1"/>
  <c r="AB1020" i="1"/>
  <c r="CV1020" i="1"/>
  <c r="Y1020" i="1"/>
  <c r="Z1021" i="1"/>
  <c r="AA1021" i="1"/>
  <c r="AB1021" i="1"/>
  <c r="CV1021" i="1"/>
  <c r="Y1021" i="1"/>
  <c r="Z1022" i="1"/>
  <c r="AA1022" i="1"/>
  <c r="AB1022" i="1"/>
  <c r="CV1022" i="1"/>
  <c r="Y1022" i="1" s="1"/>
  <c r="J1023" i="1"/>
  <c r="K1023" i="1"/>
  <c r="Z1023" i="1"/>
  <c r="AA1023" i="1"/>
  <c r="AB1023" i="1"/>
  <c r="CV1023" i="1"/>
  <c r="Y1023" i="1" s="1"/>
  <c r="Z1024" i="1"/>
  <c r="AA1024" i="1"/>
  <c r="AB1024" i="1"/>
  <c r="CV1024" i="1"/>
  <c r="Y1024" i="1" s="1"/>
  <c r="AA1025" i="1"/>
  <c r="AB1025" i="1"/>
  <c r="CO1025" i="1"/>
  <c r="CQ1025" i="1"/>
  <c r="CZ1025" i="1"/>
  <c r="Z1025" i="1"/>
  <c r="AA1026" i="1"/>
  <c r="AB1026" i="1"/>
  <c r="BM1026" i="1"/>
  <c r="CQ1026" i="1"/>
  <c r="CS1026" i="1"/>
  <c r="CZ1026" i="1"/>
  <c r="Z1026" i="1"/>
  <c r="Z1027" i="1"/>
  <c r="AA1027" i="1"/>
  <c r="AB1027" i="1"/>
  <c r="CV1027" i="1"/>
  <c r="Y1027" i="1"/>
  <c r="Z1028" i="1"/>
  <c r="AA1028" i="1"/>
  <c r="AB1028" i="1"/>
  <c r="CV1028" i="1"/>
  <c r="Y1028" i="1" s="1"/>
  <c r="AA1029" i="1"/>
  <c r="AB1029" i="1"/>
  <c r="BZ1029" i="1"/>
  <c r="CA1029" i="1"/>
  <c r="CQ1029" i="1"/>
  <c r="CY1029" i="1"/>
  <c r="CZ1029" i="1"/>
  <c r="Z1029" i="1" s="1"/>
  <c r="AA1030" i="1"/>
  <c r="AB1030" i="1"/>
  <c r="CA1030" i="1"/>
  <c r="CQ1030" i="1"/>
  <c r="CY1030" i="1"/>
  <c r="CZ1030" i="1"/>
  <c r="Z1030" i="1"/>
  <c r="Z1031" i="1"/>
  <c r="AA1031" i="1"/>
  <c r="AB1031" i="1"/>
  <c r="CV1031" i="1"/>
  <c r="Y1031" i="1" s="1"/>
  <c r="Z1032" i="1"/>
  <c r="AA1032" i="1"/>
  <c r="AB1032" i="1"/>
  <c r="CV1032" i="1"/>
  <c r="Y1032" i="1" s="1"/>
  <c r="Z1033" i="1"/>
  <c r="AA1033" i="1"/>
  <c r="AB1033" i="1"/>
  <c r="CV1033" i="1"/>
  <c r="Y1033" i="1"/>
  <c r="Z1034" i="1"/>
  <c r="AA1034" i="1"/>
  <c r="AB1034" i="1"/>
  <c r="CV1034" i="1"/>
  <c r="Y1034" i="1"/>
  <c r="AA1035" i="1"/>
  <c r="AB1035" i="1"/>
  <c r="CQ1035" i="1"/>
  <c r="CY1035" i="1"/>
  <c r="CZ1035" i="1"/>
  <c r="Z1035" i="1" s="1"/>
  <c r="Z1037" i="1"/>
  <c r="AA1037" i="1"/>
  <c r="AB1037" i="1"/>
  <c r="CV1037" i="1"/>
  <c r="Y1037" i="1"/>
  <c r="Z1038" i="1"/>
  <c r="AA1038" i="1"/>
  <c r="CV1038" i="1"/>
  <c r="Y1038" i="1"/>
  <c r="CX1038" i="1"/>
  <c r="AB1038" i="1"/>
  <c r="Z1039" i="1"/>
  <c r="AA1039" i="1"/>
  <c r="AB1039" i="1"/>
  <c r="CV1039" i="1"/>
  <c r="Y1039" i="1" s="1"/>
  <c r="Z1040" i="1"/>
  <c r="AA1040" i="1"/>
  <c r="AB1040" i="1"/>
  <c r="CV1040" i="1"/>
  <c r="Y1040" i="1"/>
  <c r="Z1041" i="1"/>
  <c r="AA1041" i="1"/>
  <c r="AB1041" i="1"/>
  <c r="CV1041" i="1"/>
  <c r="Y1041" i="1"/>
  <c r="Z1042" i="1"/>
  <c r="AA1042" i="1"/>
  <c r="AB1042" i="1"/>
  <c r="CV1042" i="1"/>
  <c r="Y1042" i="1" s="1"/>
  <c r="Z1043" i="1"/>
  <c r="AA1043" i="1"/>
  <c r="AB1043" i="1"/>
  <c r="CV1043" i="1"/>
  <c r="Y1043" i="1" s="1"/>
  <c r="Z1044" i="1"/>
  <c r="AA1044" i="1"/>
  <c r="AB1044" i="1"/>
  <c r="CV1044" i="1"/>
  <c r="Y1044" i="1"/>
  <c r="Z1045" i="1"/>
  <c r="AA1045" i="1"/>
  <c r="AB1045" i="1"/>
  <c r="CV1045" i="1"/>
  <c r="Y1045" i="1"/>
  <c r="Z1046" i="1"/>
  <c r="AA1046" i="1"/>
  <c r="AB1046" i="1"/>
  <c r="CV1046" i="1"/>
  <c r="Y1046" i="1" s="1"/>
  <c r="AA1047" i="1"/>
  <c r="AB1047" i="1"/>
  <c r="BM1047" i="1"/>
  <c r="CK1047" i="1"/>
  <c r="CO1047" i="1"/>
  <c r="CQ1047" i="1"/>
  <c r="CS1047" i="1"/>
  <c r="CZ1047" i="1"/>
  <c r="Z1047" i="1" s="1"/>
  <c r="Z1048" i="1"/>
  <c r="AA1048" i="1"/>
  <c r="AB1048" i="1"/>
  <c r="CV1048" i="1"/>
  <c r="Y1048" i="1"/>
  <c r="J1049" i="1"/>
  <c r="Z1049" i="1"/>
  <c r="AA1049" i="1"/>
  <c r="AB1049" i="1"/>
  <c r="CV1049" i="1"/>
  <c r="Y1049" i="1" s="1"/>
  <c r="Z1050" i="1"/>
  <c r="AA1050" i="1"/>
  <c r="AB1050" i="1"/>
  <c r="CV1050" i="1"/>
  <c r="Y1050" i="1" s="1"/>
  <c r="AA1051" i="1"/>
  <c r="AB1051" i="1"/>
  <c r="CA1051" i="1"/>
  <c r="CQ1051" i="1"/>
  <c r="CY1051" i="1"/>
  <c r="CZ1051" i="1"/>
  <c r="Z1051" i="1"/>
  <c r="AA1052" i="1"/>
  <c r="AB1052" i="1"/>
  <c r="CA1052" i="1"/>
  <c r="CQ1052" i="1"/>
  <c r="CY1052" i="1"/>
  <c r="CZ1052" i="1"/>
  <c r="Z1052" i="1"/>
  <c r="Z1053" i="1"/>
  <c r="AA1053" i="1"/>
  <c r="AB1053" i="1"/>
  <c r="CV1053" i="1"/>
  <c r="Y1053" i="1"/>
  <c r="AE1053" i="1" s="1"/>
  <c r="Z1054" i="1"/>
  <c r="AA1054" i="1"/>
  <c r="AB1054" i="1"/>
  <c r="CV1054" i="1"/>
  <c r="Y1054" i="1"/>
  <c r="J1055" i="1"/>
  <c r="Z1055" i="1"/>
  <c r="AA1055" i="1"/>
  <c r="AB1055" i="1"/>
  <c r="CV1055" i="1"/>
  <c r="Y1055" i="1" s="1"/>
  <c r="AA1056" i="1"/>
  <c r="AB1056" i="1"/>
  <c r="CV1056" i="1"/>
  <c r="Y1056" i="1" s="1"/>
  <c r="CZ1056" i="1"/>
  <c r="Z1056" i="1"/>
  <c r="Z1057" i="1"/>
  <c r="AA1057" i="1"/>
  <c r="AB1057" i="1"/>
  <c r="CV1057" i="1"/>
  <c r="Y1057" i="1"/>
  <c r="Z1058" i="1"/>
  <c r="AA1058" i="1"/>
  <c r="AB1058" i="1"/>
  <c r="CV1058" i="1"/>
  <c r="Y1058" i="1" s="1"/>
  <c r="Z1059" i="1"/>
  <c r="AA1059" i="1"/>
  <c r="AB1059" i="1"/>
  <c r="CV1059" i="1"/>
  <c r="Y1059" i="1" s="1"/>
  <c r="Z1060" i="1"/>
  <c r="AA1060" i="1"/>
  <c r="AB1060" i="1"/>
  <c r="CV1060" i="1"/>
  <c r="Y1060" i="1"/>
  <c r="J1061" i="1"/>
  <c r="Z1061" i="1"/>
  <c r="AA1061" i="1"/>
  <c r="AB1061" i="1"/>
  <c r="CV1061" i="1"/>
  <c r="Y1061" i="1" s="1"/>
  <c r="AA1062" i="1"/>
  <c r="AB1062" i="1"/>
  <c r="BZ1062" i="1"/>
  <c r="CA1062" i="1"/>
  <c r="CQ1062" i="1"/>
  <c r="CY1062" i="1"/>
  <c r="CZ1062" i="1"/>
  <c r="Z1062" i="1" s="1"/>
  <c r="AA1063" i="1"/>
  <c r="AB1063" i="1"/>
  <c r="BZ1063" i="1"/>
  <c r="CA1063" i="1"/>
  <c r="CP1063" i="1"/>
  <c r="CQ1063" i="1"/>
  <c r="CY1063" i="1"/>
  <c r="CZ1063" i="1"/>
  <c r="Z1063" i="1" s="1"/>
  <c r="Z1064" i="1"/>
  <c r="AA1064" i="1"/>
  <c r="AB1064" i="1"/>
  <c r="CV1064" i="1"/>
  <c r="Y1064" i="1"/>
  <c r="Z1065" i="1"/>
  <c r="AA1065" i="1"/>
  <c r="AB1065" i="1"/>
  <c r="CV1065" i="1"/>
  <c r="Y1065" i="1"/>
  <c r="Z1066" i="1"/>
  <c r="AA1066" i="1"/>
  <c r="AB1066" i="1"/>
  <c r="CV1066" i="1"/>
  <c r="Y1066" i="1" s="1"/>
  <c r="AA1067" i="1"/>
  <c r="AB1067" i="1"/>
  <c r="AC1067" i="1"/>
  <c r="CA1067" i="1"/>
  <c r="CN1067" i="1"/>
  <c r="CO1067" i="1"/>
  <c r="CQ1067" i="1"/>
  <c r="CY1067" i="1"/>
  <c r="CZ1067" i="1"/>
  <c r="Z1067" i="1"/>
  <c r="Z1068" i="1"/>
  <c r="AA1068" i="1"/>
  <c r="AB1068" i="1"/>
  <c r="CV1068" i="1"/>
  <c r="Y1068" i="1"/>
  <c r="Z1069" i="1"/>
  <c r="AA1069" i="1"/>
  <c r="CV1069" i="1"/>
  <c r="Y1069" i="1"/>
  <c r="CX1069" i="1"/>
  <c r="AB1069" i="1" s="1"/>
  <c r="AA1070" i="1"/>
  <c r="AB1070" i="1"/>
  <c r="BA1070" i="1"/>
  <c r="CA1070" i="1"/>
  <c r="CK1070" i="1"/>
  <c r="CO1070" i="1"/>
  <c r="CQ1070" i="1"/>
  <c r="CY1070" i="1"/>
  <c r="CZ1070" i="1"/>
  <c r="Z1070" i="1"/>
  <c r="AA1071" i="1"/>
  <c r="AB1071" i="1"/>
  <c r="CK1071" i="1"/>
  <c r="CN1071" i="1"/>
  <c r="CO1071" i="1"/>
  <c r="CQ1071" i="1"/>
  <c r="CY1071" i="1"/>
  <c r="CZ1071" i="1"/>
  <c r="Z1071" i="1"/>
  <c r="Z1072" i="1"/>
  <c r="AA1072" i="1"/>
  <c r="AB1072" i="1"/>
  <c r="CV1072" i="1"/>
  <c r="Y1072" i="1" s="1"/>
  <c r="Z1073" i="1"/>
  <c r="AA1073" i="1"/>
  <c r="AB1073" i="1"/>
  <c r="CV1073" i="1"/>
  <c r="Y1073" i="1"/>
  <c r="Z1074" i="1"/>
  <c r="AA1074" i="1"/>
  <c r="AB1074" i="1"/>
  <c r="CV1074" i="1"/>
  <c r="Y1074" i="1"/>
  <c r="J1075" i="1"/>
  <c r="Z1075" i="1"/>
  <c r="AA1075" i="1"/>
  <c r="AB1075" i="1"/>
  <c r="CV1075" i="1"/>
  <c r="Y1075" i="1" s="1"/>
  <c r="Z1076" i="1"/>
  <c r="AA1076" i="1"/>
  <c r="AB1076" i="1"/>
  <c r="CV1076" i="1"/>
  <c r="Y1076" i="1"/>
  <c r="Z1077" i="1"/>
  <c r="AA1077" i="1"/>
  <c r="BC1077" i="1"/>
  <c r="CQ1077" i="1"/>
  <c r="CX1077" i="1"/>
  <c r="AB1077" i="1" s="1"/>
  <c r="Z1078" i="1"/>
  <c r="AA1078" i="1"/>
  <c r="AB1078" i="1"/>
  <c r="CV1078" i="1"/>
  <c r="Y1078" i="1" s="1"/>
  <c r="J1079" i="1"/>
  <c r="Z1079" i="1"/>
  <c r="AA1079" i="1"/>
  <c r="AB1079" i="1"/>
  <c r="CV1079" i="1"/>
  <c r="Y1079" i="1"/>
  <c r="Z1080" i="1"/>
  <c r="AA1080" i="1"/>
  <c r="AB1080" i="1"/>
  <c r="CV1080" i="1"/>
  <c r="Y1080" i="1" s="1"/>
  <c r="Z1081" i="1"/>
  <c r="AA1081" i="1"/>
  <c r="AB1081" i="1"/>
  <c r="CV1081" i="1"/>
  <c r="Y1081" i="1" s="1"/>
  <c r="AA1083" i="1"/>
  <c r="AB1083" i="1"/>
  <c r="BM1083" i="1"/>
  <c r="CO1083" i="1"/>
  <c r="CQ1083" i="1"/>
  <c r="CS1083" i="1"/>
  <c r="CZ1083" i="1"/>
  <c r="Z1083" i="1" s="1"/>
  <c r="Z1082" i="1"/>
  <c r="AA1082" i="1"/>
  <c r="AB1082" i="1"/>
  <c r="CV1082" i="1"/>
  <c r="Y1082" i="1"/>
  <c r="Z1084" i="1"/>
  <c r="AA1084" i="1"/>
  <c r="AB1084" i="1"/>
  <c r="CV1084" i="1"/>
  <c r="Y1084" i="1"/>
  <c r="Z1085" i="1"/>
  <c r="AA1085" i="1"/>
  <c r="AB1085" i="1"/>
  <c r="CV1085" i="1"/>
  <c r="Y1085" i="1" s="1"/>
  <c r="AA1086" i="1"/>
  <c r="AB1086" i="1"/>
  <c r="CV1086" i="1"/>
  <c r="Y1086" i="1" s="1"/>
  <c r="CZ1086" i="1"/>
  <c r="Z1086" i="1"/>
  <c r="J1087" i="1"/>
  <c r="K1087" i="1"/>
  <c r="Z1087" i="1"/>
  <c r="AA1087" i="1"/>
  <c r="AB1087" i="1"/>
  <c r="CV1087" i="1"/>
  <c r="Y1087" i="1" s="1"/>
  <c r="AA1088" i="1"/>
  <c r="AB1088" i="1"/>
  <c r="CP1088" i="1"/>
  <c r="CQ1088" i="1"/>
  <c r="CR1088" i="1"/>
  <c r="CS1088" i="1"/>
  <c r="CY1088" i="1"/>
  <c r="CZ1088" i="1"/>
  <c r="Z1088" i="1"/>
  <c r="L1089" i="1"/>
  <c r="Z1089" i="1"/>
  <c r="AA1089" i="1"/>
  <c r="AB1089" i="1"/>
  <c r="CV1089" i="1"/>
  <c r="Y1089" i="1" s="1"/>
  <c r="Z1090" i="1"/>
  <c r="AA1090" i="1"/>
  <c r="AB1090" i="1"/>
  <c r="CV1090" i="1"/>
  <c r="Y1090" i="1" s="1"/>
  <c r="Z1091" i="1"/>
  <c r="AA1091" i="1"/>
  <c r="AB1091" i="1"/>
  <c r="CV1091" i="1"/>
  <c r="Y1091" i="1"/>
  <c r="AB1092" i="1"/>
  <c r="CO1092" i="1"/>
  <c r="CV1092" i="1" s="1"/>
  <c r="Y1092" i="1" s="1"/>
  <c r="CZ1092" i="1"/>
  <c r="Z1092" i="1" s="1"/>
  <c r="DD1092" i="1"/>
  <c r="AA1092" i="1"/>
  <c r="AA1093" i="1"/>
  <c r="AB1093" i="1"/>
  <c r="BA1093" i="1"/>
  <c r="CQ1093" i="1"/>
  <c r="CY1093" i="1"/>
  <c r="CZ1093" i="1"/>
  <c r="Z1093" i="1" s="1"/>
  <c r="Z1094" i="1"/>
  <c r="AA1094" i="1"/>
  <c r="AB1094" i="1"/>
  <c r="CV1094" i="1"/>
  <c r="Y1094" i="1"/>
  <c r="Z1095" i="1"/>
  <c r="AA1095" i="1"/>
  <c r="AB1095" i="1"/>
  <c r="CV1095" i="1"/>
  <c r="Y1095" i="1"/>
  <c r="Z1096" i="1"/>
  <c r="AA1096" i="1"/>
  <c r="AB1096" i="1"/>
  <c r="CV1096" i="1"/>
  <c r="Y1096" i="1" s="1"/>
  <c r="Z1097" i="1"/>
  <c r="AA1097" i="1"/>
  <c r="AB1097" i="1"/>
  <c r="CV1097" i="1"/>
  <c r="Y1097" i="1" s="1"/>
  <c r="Z1098" i="1"/>
  <c r="AA1098" i="1"/>
  <c r="AB1098" i="1"/>
  <c r="CV1098" i="1"/>
  <c r="Y1098" i="1"/>
  <c r="Z1099" i="1"/>
  <c r="AA1099" i="1"/>
  <c r="AB1099" i="1"/>
  <c r="CV1099" i="1"/>
  <c r="Y1099" i="1"/>
  <c r="Z1100" i="1"/>
  <c r="AA1100" i="1"/>
  <c r="AB1100" i="1"/>
  <c r="CV1100" i="1"/>
  <c r="Y1100" i="1" s="1"/>
  <c r="AA1101" i="1"/>
  <c r="AB1101" i="1"/>
  <c r="Z1102" i="1"/>
  <c r="AA1102" i="1"/>
  <c r="AB1102" i="1"/>
  <c r="CV1102" i="1"/>
  <c r="Y1102" i="1"/>
  <c r="Z1103" i="1"/>
  <c r="AA1103" i="1"/>
  <c r="AB1103" i="1"/>
  <c r="CV1103" i="1"/>
  <c r="Y1103" i="1" s="1"/>
  <c r="Z1104" i="1"/>
  <c r="AA1104" i="1"/>
  <c r="AB1104" i="1"/>
  <c r="CV1104" i="1"/>
  <c r="Y1104" i="1" s="1"/>
  <c r="Z1105" i="1"/>
  <c r="AA1105" i="1"/>
  <c r="AB1105" i="1"/>
  <c r="CV1105" i="1"/>
  <c r="Y1105" i="1"/>
  <c r="Z1106" i="1"/>
  <c r="AA1106" i="1"/>
  <c r="AB1106" i="1"/>
  <c r="CV1106" i="1"/>
  <c r="Y1106" i="1" s="1"/>
  <c r="Z1107" i="1"/>
  <c r="AA1107" i="1"/>
  <c r="AB1107" i="1"/>
  <c r="CV1107" i="1"/>
  <c r="Y1107" i="1" s="1"/>
  <c r="M1108" i="1"/>
  <c r="AA1108" i="1"/>
  <c r="AW1108" i="1"/>
  <c r="BA1108" i="1"/>
  <c r="CA1108" i="1"/>
  <c r="CI1108" i="1"/>
  <c r="CQ1108" i="1"/>
  <c r="CS1108" i="1"/>
  <c r="CX1108" i="1"/>
  <c r="AB1108" i="1"/>
  <c r="CZ1108" i="1"/>
  <c r="Z1108" i="1" s="1"/>
  <c r="Z1109" i="1"/>
  <c r="AA1109" i="1"/>
  <c r="AB1109" i="1"/>
  <c r="CV1109" i="1"/>
  <c r="Y1109" i="1"/>
  <c r="AA1110" i="1"/>
  <c r="AB1110" i="1"/>
  <c r="CO1110" i="1"/>
  <c r="CQ1110" i="1"/>
  <c r="CZ1110" i="1"/>
  <c r="Z1110" i="1" s="1"/>
  <c r="Z1111" i="1"/>
  <c r="AA1111" i="1"/>
  <c r="AB1111" i="1"/>
  <c r="CV1111" i="1"/>
  <c r="Y1111" i="1" s="1"/>
  <c r="Z1112" i="1"/>
  <c r="AA1112" i="1"/>
  <c r="AB1112" i="1"/>
  <c r="CV1112" i="1"/>
  <c r="Y1112" i="1"/>
  <c r="Z1113" i="1"/>
  <c r="AA1113" i="1"/>
  <c r="AB1113" i="1"/>
  <c r="CV1113" i="1"/>
  <c r="Y1113" i="1"/>
  <c r="AB1114" i="1"/>
  <c r="AW1114" i="1"/>
  <c r="BA1114" i="1"/>
  <c r="CZ1114" i="1"/>
  <c r="Z1114" i="1"/>
  <c r="DD1114" i="1"/>
  <c r="AA1114" i="1"/>
  <c r="AA1115" i="1"/>
  <c r="AB1115" i="1"/>
  <c r="BZ1115" i="1"/>
  <c r="CA1115" i="1"/>
  <c r="CQ1115" i="1"/>
  <c r="CY1115" i="1"/>
  <c r="CZ1115" i="1"/>
  <c r="Z1115" i="1"/>
  <c r="AA1116" i="1"/>
  <c r="AB1116" i="1"/>
  <c r="BA1116" i="1"/>
  <c r="CK1116" i="1"/>
  <c r="CQ1116" i="1"/>
  <c r="CS1116" i="1"/>
  <c r="CZ1116" i="1"/>
  <c r="Z1116" i="1"/>
  <c r="J1117" i="1"/>
  <c r="K1117" i="1"/>
  <c r="AA1117" i="1"/>
  <c r="AB1117" i="1"/>
  <c r="BM1117" i="1"/>
  <c r="CQ1117" i="1"/>
  <c r="CS1117" i="1"/>
  <c r="CZ1117" i="1"/>
  <c r="Z1117" i="1"/>
  <c r="Z1118" i="1"/>
  <c r="AA1118" i="1"/>
  <c r="AB1118" i="1"/>
  <c r="CV1118" i="1"/>
  <c r="Y1118" i="1"/>
  <c r="Z1119" i="1"/>
  <c r="AA1119" i="1"/>
  <c r="AB1119" i="1"/>
  <c r="CV1119" i="1"/>
  <c r="Y1119" i="1" s="1"/>
  <c r="Z1120" i="1"/>
  <c r="AA1120" i="1"/>
  <c r="AB1120" i="1"/>
  <c r="CV1120" i="1"/>
  <c r="Y1120" i="1"/>
  <c r="Z1121" i="1"/>
  <c r="AA1121" i="1"/>
  <c r="AB1121" i="1"/>
  <c r="CV1121" i="1"/>
  <c r="Y1121" i="1"/>
  <c r="Z1122" i="1"/>
  <c r="AA1122" i="1"/>
  <c r="AB1122" i="1"/>
  <c r="CV1122" i="1"/>
  <c r="Y1122" i="1" s="1"/>
  <c r="AA1123" i="1"/>
  <c r="AB1123" i="1"/>
  <c r="CO1123" i="1"/>
  <c r="CV1123" i="1" s="1"/>
  <c r="Y1123" i="1" s="1"/>
  <c r="CZ1123" i="1"/>
  <c r="Z1123" i="1"/>
  <c r="Z1124" i="1"/>
  <c r="AA1124" i="1"/>
  <c r="AB1124" i="1"/>
  <c r="CV1124" i="1"/>
  <c r="Y1124" i="1" s="1"/>
  <c r="Z1125" i="1"/>
  <c r="AA1125" i="1"/>
  <c r="AB1125" i="1"/>
  <c r="CV1125" i="1"/>
  <c r="Y1125" i="1" s="1"/>
  <c r="AA1126" i="1"/>
  <c r="AB1126" i="1"/>
  <c r="BC1126" i="1"/>
  <c r="CO1126" i="1"/>
  <c r="CZ1126" i="1"/>
  <c r="Z1126" i="1"/>
  <c r="Z1127" i="1"/>
  <c r="AA1127" i="1"/>
  <c r="AB1127" i="1"/>
  <c r="CV1127" i="1"/>
  <c r="Y1127" i="1" s="1"/>
  <c r="Z1128" i="1"/>
  <c r="AA1128" i="1"/>
  <c r="AB1128" i="1"/>
  <c r="CV1128" i="1"/>
  <c r="Y1128" i="1" s="1"/>
  <c r="AA1129" i="1"/>
  <c r="BA1129" i="1"/>
  <c r="BZ1129" i="1"/>
  <c r="CA1129" i="1"/>
  <c r="CO1129" i="1"/>
  <c r="CX1129" i="1"/>
  <c r="AB1129" i="1" s="1"/>
  <c r="CY1129" i="1"/>
  <c r="CZ1129" i="1"/>
  <c r="Z1129" i="1" s="1"/>
  <c r="AA1130" i="1"/>
  <c r="AB1130" i="1"/>
  <c r="CV1130" i="1"/>
  <c r="Y1130" i="1" s="1"/>
  <c r="AE1130" i="1" s="1"/>
  <c r="CZ1130" i="1"/>
  <c r="Z1130" i="1"/>
  <c r="Z1131" i="1"/>
  <c r="AA1131" i="1"/>
  <c r="AB1131" i="1"/>
  <c r="CV1131" i="1"/>
  <c r="Y1131" i="1" s="1"/>
  <c r="Z1132" i="1"/>
  <c r="AA1132" i="1"/>
  <c r="AB1132" i="1"/>
  <c r="CV1132" i="1"/>
  <c r="Y1132" i="1" s="1"/>
  <c r="Z1133" i="1"/>
  <c r="AA1133" i="1"/>
  <c r="AB1133" i="1"/>
  <c r="CV1133" i="1"/>
  <c r="Y1133" i="1"/>
  <c r="Z1134" i="1"/>
  <c r="AA1134" i="1"/>
  <c r="AB1134" i="1"/>
  <c r="CV1134" i="1"/>
  <c r="Y1134" i="1"/>
  <c r="Z1135" i="1"/>
  <c r="AA1135" i="1"/>
  <c r="AB1135" i="1"/>
  <c r="CV1135" i="1"/>
  <c r="Y1135" i="1"/>
  <c r="Z1136" i="1"/>
  <c r="AA1136" i="1"/>
  <c r="AB1136" i="1"/>
  <c r="CV1136" i="1"/>
  <c r="Y1136" i="1" s="1"/>
  <c r="Z1137" i="1"/>
  <c r="AA1137" i="1"/>
  <c r="AB1137" i="1"/>
  <c r="CV1137" i="1"/>
  <c r="Y1137" i="1"/>
  <c r="Z1138" i="1"/>
  <c r="AA1138" i="1"/>
  <c r="AB1138" i="1"/>
  <c r="CV1138" i="1"/>
  <c r="Y1138" i="1"/>
  <c r="Z1139" i="1"/>
  <c r="AA1139" i="1"/>
  <c r="AB1139" i="1"/>
  <c r="CV1139" i="1"/>
  <c r="Y1139" i="1" s="1"/>
  <c r="Z1140" i="1"/>
  <c r="AA1140" i="1"/>
  <c r="AB1140" i="1"/>
  <c r="CV1140" i="1"/>
  <c r="Y1140" i="1" s="1"/>
  <c r="J1141" i="1"/>
  <c r="Z1141" i="1"/>
  <c r="AA1141" i="1"/>
  <c r="AB1141" i="1"/>
  <c r="CV1141" i="1"/>
  <c r="Y1141" i="1"/>
  <c r="Z1142" i="1"/>
  <c r="AA1142" i="1"/>
  <c r="AB1142" i="1"/>
  <c r="CV1142" i="1"/>
  <c r="Y1142" i="1" s="1"/>
  <c r="J1143" i="1"/>
  <c r="AA1143" i="1"/>
  <c r="AB1143" i="1"/>
  <c r="BA1143" i="1"/>
  <c r="CQ1143" i="1"/>
  <c r="CZ1143" i="1"/>
  <c r="Z1143" i="1"/>
  <c r="Z1144" i="1"/>
  <c r="AA1144" i="1"/>
  <c r="AB1144" i="1"/>
  <c r="CV1144" i="1"/>
  <c r="Y1144" i="1" s="1"/>
  <c r="Z1145" i="1"/>
  <c r="AA1145" i="1"/>
  <c r="AB1145" i="1"/>
  <c r="CV1145" i="1"/>
  <c r="Y1145" i="1" s="1"/>
  <c r="Z1146" i="1"/>
  <c r="AA1146" i="1"/>
  <c r="AB1146" i="1"/>
  <c r="CV1146" i="1"/>
  <c r="Y1146" i="1"/>
  <c r="Z1147" i="1"/>
  <c r="AA1147" i="1"/>
  <c r="AB1147" i="1"/>
  <c r="CV1147" i="1"/>
  <c r="Y1147" i="1"/>
  <c r="Z1148" i="1"/>
  <c r="AA1148" i="1"/>
  <c r="AB1148" i="1"/>
  <c r="CV1148" i="1"/>
  <c r="Y1148" i="1" s="1"/>
  <c r="AA1150" i="1"/>
  <c r="AB1150" i="1"/>
  <c r="CV1150" i="1"/>
  <c r="Y1150" i="1" s="1"/>
  <c r="CZ1150" i="1"/>
  <c r="Z1150" i="1"/>
  <c r="Z1149" i="1"/>
  <c r="AA1149" i="1"/>
  <c r="AB1149" i="1"/>
  <c r="CV1149" i="1"/>
  <c r="Y1149" i="1"/>
  <c r="Z1151" i="1"/>
  <c r="AA1151" i="1"/>
  <c r="CV1151" i="1"/>
  <c r="Y1151" i="1"/>
  <c r="CW1151" i="1"/>
  <c r="CX1151" i="1"/>
  <c r="AB1151" i="1"/>
  <c r="J1152" i="1"/>
  <c r="Z1152" i="1"/>
  <c r="AA1152" i="1"/>
  <c r="AB1152" i="1"/>
  <c r="CV1152" i="1"/>
  <c r="Y1152" i="1" s="1"/>
  <c r="Z1153" i="1"/>
  <c r="AA1153" i="1"/>
  <c r="AB1153" i="1"/>
  <c r="CV1153" i="1"/>
  <c r="Y1153" i="1" s="1"/>
  <c r="Z1154" i="1"/>
  <c r="AA1154" i="1"/>
  <c r="AB1154" i="1"/>
  <c r="CV1154" i="1"/>
  <c r="Y1154" i="1"/>
  <c r="AA1155" i="1"/>
  <c r="BM1155" i="1"/>
  <c r="CQ1155" i="1"/>
  <c r="CS1155" i="1"/>
  <c r="CX1155" i="1"/>
  <c r="AB1155" i="1"/>
  <c r="CZ1155" i="1"/>
  <c r="Z1155" i="1"/>
  <c r="AA1156" i="1"/>
  <c r="CA1156" i="1"/>
  <c r="CO1156" i="1"/>
  <c r="CX1156" i="1"/>
  <c r="AB1156" i="1"/>
  <c r="CY1156" i="1"/>
  <c r="CZ1156" i="1"/>
  <c r="Z1156" i="1"/>
  <c r="AA1157" i="1"/>
  <c r="BZ1157" i="1"/>
  <c r="CA1157" i="1"/>
  <c r="CO1157" i="1"/>
  <c r="CX1157" i="1"/>
  <c r="AB1157" i="1"/>
  <c r="CY1157" i="1"/>
  <c r="CZ1157" i="1"/>
  <c r="Z1157" i="1"/>
  <c r="Z1158" i="1"/>
  <c r="AA1158" i="1"/>
  <c r="AB1158" i="1"/>
  <c r="CV1158" i="1"/>
  <c r="Y1158" i="1"/>
  <c r="Z1159" i="1"/>
  <c r="AA1159" i="1"/>
  <c r="AB1159" i="1"/>
  <c r="CV1159" i="1"/>
  <c r="Y1159" i="1" s="1"/>
  <c r="Z1160" i="1"/>
  <c r="AA1160" i="1"/>
  <c r="AB1160" i="1"/>
  <c r="CV1160" i="1"/>
  <c r="Y1160" i="1"/>
  <c r="Z1161" i="1"/>
  <c r="AA1161" i="1"/>
  <c r="CA1161" i="1"/>
  <c r="CV1161" i="1"/>
  <c r="Y1161" i="1"/>
  <c r="CW1161" i="1"/>
  <c r="CX1161" i="1"/>
  <c r="AB1161" i="1"/>
  <c r="AA1162" i="1"/>
  <c r="AB1162" i="1"/>
  <c r="AC1162" i="1"/>
  <c r="BZ1162" i="1"/>
  <c r="CA1162" i="1"/>
  <c r="CV1162" i="1" s="1"/>
  <c r="Y1162" i="1" s="1"/>
  <c r="CZ1162" i="1"/>
  <c r="Z1162" i="1"/>
  <c r="Z1163" i="1"/>
  <c r="AA1163" i="1"/>
  <c r="AB1163" i="1"/>
  <c r="CV1163" i="1"/>
  <c r="Y1163" i="1" s="1"/>
  <c r="J1164" i="1"/>
  <c r="AA1164" i="1"/>
  <c r="AB1164" i="1"/>
  <c r="BA1164" i="1"/>
  <c r="CQ1164" i="1"/>
  <c r="CZ1164" i="1"/>
  <c r="Z1164" i="1"/>
  <c r="Z1165" i="1"/>
  <c r="AA1165" i="1"/>
  <c r="AB1165" i="1"/>
  <c r="CV1165" i="1"/>
  <c r="Y1165" i="1" s="1"/>
  <c r="Z1166" i="1"/>
  <c r="AA1166" i="1"/>
  <c r="AB1166" i="1"/>
  <c r="CV1166" i="1"/>
  <c r="Y1166" i="1" s="1"/>
  <c r="AA1167" i="1"/>
  <c r="AB1167" i="1"/>
  <c r="BM1167" i="1"/>
  <c r="CQ1167" i="1"/>
  <c r="CS1167" i="1"/>
  <c r="CZ1167" i="1"/>
  <c r="Z1167" i="1" s="1"/>
  <c r="Z1168" i="1"/>
  <c r="AA1168" i="1"/>
  <c r="AB1168" i="1"/>
  <c r="CV1168" i="1"/>
  <c r="Y1168" i="1" s="1"/>
  <c r="Z1169" i="1"/>
  <c r="AA1169" i="1"/>
  <c r="AB1169" i="1"/>
  <c r="CV1169" i="1"/>
  <c r="Y1169" i="1"/>
  <c r="Z1170" i="1"/>
  <c r="AA1170" i="1"/>
  <c r="AB1170" i="1"/>
  <c r="CV1170" i="1"/>
  <c r="Y1170" i="1"/>
  <c r="Z1171" i="1"/>
  <c r="AA1171" i="1"/>
  <c r="AB1171" i="1"/>
  <c r="CV1171" i="1"/>
  <c r="Y1171" i="1"/>
  <c r="Z1172" i="1"/>
  <c r="AA1172" i="1"/>
  <c r="AB1172" i="1"/>
  <c r="CV1172" i="1"/>
  <c r="Y1172" i="1" s="1"/>
  <c r="Z1173" i="1"/>
  <c r="AA1173" i="1"/>
  <c r="AB1173" i="1"/>
  <c r="CV1173" i="1"/>
  <c r="Y1173" i="1"/>
  <c r="AE1173" i="1"/>
  <c r="Z1174" i="1"/>
  <c r="AA1174" i="1"/>
  <c r="AB1174" i="1"/>
  <c r="CV1174" i="1"/>
  <c r="Y1174" i="1" s="1"/>
  <c r="AA1175" i="1"/>
  <c r="AB1175" i="1"/>
  <c r="BM1175" i="1"/>
  <c r="CQ1175" i="1"/>
  <c r="CS1175" i="1"/>
  <c r="CZ1175" i="1"/>
  <c r="Z1175" i="1"/>
  <c r="AA1176" i="1"/>
  <c r="AB1176" i="1"/>
  <c r="BA1176" i="1"/>
  <c r="CQ1176" i="1"/>
  <c r="CS1176" i="1"/>
  <c r="CY1176" i="1"/>
  <c r="CZ1176" i="1"/>
  <c r="Z1176" i="1"/>
  <c r="AA1177" i="1"/>
  <c r="AB1177" i="1"/>
  <c r="BM1177" i="1"/>
  <c r="CQ1177" i="1"/>
  <c r="CS1177" i="1"/>
  <c r="CZ1177" i="1"/>
  <c r="Z1177" i="1"/>
  <c r="Z1178" i="1"/>
  <c r="AA1178" i="1"/>
  <c r="AB1178" i="1"/>
  <c r="CV1178" i="1"/>
  <c r="Y1178" i="1"/>
  <c r="Z1179" i="1"/>
  <c r="AA1179" i="1"/>
  <c r="AB1179" i="1"/>
  <c r="CV1179" i="1"/>
  <c r="Y1179" i="1" s="1"/>
  <c r="Z1180" i="1"/>
  <c r="AA1180" i="1"/>
  <c r="AB1180" i="1"/>
  <c r="CV1180" i="1"/>
  <c r="Y1180" i="1" s="1"/>
  <c r="Z1181" i="1"/>
  <c r="AA1181" i="1"/>
  <c r="AB1181" i="1"/>
  <c r="CV1181" i="1"/>
  <c r="Y1181" i="1"/>
  <c r="J1182" i="1"/>
  <c r="K1182" i="1"/>
  <c r="M1182" i="1"/>
  <c r="Z1182" i="1"/>
  <c r="AA1182" i="1"/>
  <c r="AB1182" i="1"/>
  <c r="CV1182" i="1"/>
  <c r="Y1182" i="1"/>
  <c r="AB1183" i="1"/>
  <c r="BM1183" i="1"/>
  <c r="CK1183" i="1"/>
  <c r="CQ1183" i="1"/>
  <c r="CS1183" i="1"/>
  <c r="CZ1183" i="1"/>
  <c r="Z1183" i="1" s="1"/>
  <c r="DD1183" i="1"/>
  <c r="AA1183" i="1"/>
  <c r="Z1184" i="1"/>
  <c r="AA1184" i="1"/>
  <c r="AB1184" i="1"/>
  <c r="CV1184" i="1"/>
  <c r="Y1184" i="1" s="1"/>
  <c r="Z1185" i="1"/>
  <c r="AA1185" i="1"/>
  <c r="CV1185" i="1"/>
  <c r="Y1185" i="1" s="1"/>
  <c r="CW1185" i="1"/>
  <c r="CX1185" i="1"/>
  <c r="AB1185" i="1"/>
  <c r="Z1186" i="1"/>
  <c r="AA1186" i="1"/>
  <c r="AB1186" i="1"/>
  <c r="CV1186" i="1"/>
  <c r="Y1186" i="1" s="1"/>
  <c r="Z1187" i="1"/>
  <c r="AA1187" i="1"/>
  <c r="AB1187" i="1"/>
  <c r="CV1187" i="1"/>
  <c r="Y1187" i="1" s="1"/>
  <c r="Z1188" i="1"/>
  <c r="AA1188" i="1"/>
  <c r="AB1188" i="1"/>
  <c r="CV1188" i="1"/>
  <c r="Y1188" i="1"/>
  <c r="Z1189" i="1"/>
  <c r="AA1189" i="1"/>
  <c r="AB1189" i="1"/>
  <c r="CV1189" i="1"/>
  <c r="Y1189" i="1"/>
  <c r="M1190" i="1"/>
  <c r="Z1190" i="1"/>
  <c r="AA1190" i="1"/>
  <c r="AB1190" i="1"/>
  <c r="CV1190" i="1"/>
  <c r="Y1190" i="1" s="1"/>
  <c r="Z1191" i="1"/>
  <c r="AA1191" i="1"/>
  <c r="AB1191" i="1"/>
  <c r="CV1191" i="1"/>
  <c r="Y1191" i="1"/>
  <c r="Z1192" i="1"/>
  <c r="AA1192" i="1"/>
  <c r="AB1192" i="1"/>
  <c r="CV1192" i="1"/>
  <c r="Y1192" i="1"/>
  <c r="Z1193" i="1"/>
  <c r="AA1193" i="1"/>
  <c r="AB1193" i="1"/>
  <c r="CV1193" i="1"/>
  <c r="Y1193" i="1" s="1"/>
  <c r="Z1194" i="1"/>
  <c r="AA1194" i="1"/>
  <c r="AB1194" i="1"/>
  <c r="CV1194" i="1"/>
  <c r="Y1194" i="1" s="1"/>
  <c r="J1195" i="1"/>
  <c r="K1195" i="1"/>
  <c r="L1195" i="1"/>
  <c r="Z1195" i="1"/>
  <c r="AA1195" i="1"/>
  <c r="AB1195" i="1"/>
  <c r="CV1195" i="1"/>
  <c r="Y1195" i="1" s="1"/>
  <c r="Z1196" i="1"/>
  <c r="AB1196" i="1"/>
  <c r="CV1196" i="1"/>
  <c r="Y1196" i="1" s="1"/>
  <c r="DB1196" i="1"/>
  <c r="DD1196" i="1"/>
  <c r="Z1197" i="1"/>
  <c r="AA1197" i="1"/>
  <c r="AB1197" i="1"/>
  <c r="BA1197" i="1"/>
  <c r="CV1197" i="1"/>
  <c r="Y1197" i="1" s="1"/>
  <c r="AE1197" i="1" s="1"/>
  <c r="DD1197" i="1"/>
  <c r="AA1198" i="1"/>
  <c r="AB1198" i="1"/>
  <c r="BM1198" i="1"/>
  <c r="CQ1198" i="1"/>
  <c r="CS1198" i="1"/>
  <c r="CZ1198" i="1"/>
  <c r="Z1198" i="1"/>
  <c r="Z1199" i="1"/>
  <c r="AA1199" i="1"/>
  <c r="AB1199" i="1"/>
  <c r="CV1199" i="1"/>
  <c r="Y1199" i="1"/>
  <c r="Z1200" i="1"/>
  <c r="AA1200" i="1"/>
  <c r="AB1200" i="1"/>
  <c r="CV1200" i="1"/>
  <c r="Y1200" i="1" s="1"/>
  <c r="Z1201" i="1"/>
  <c r="AA1201" i="1"/>
  <c r="AB1201" i="1"/>
  <c r="AC1201" i="1"/>
  <c r="CV1201" i="1"/>
  <c r="Y1201" i="1"/>
  <c r="Z1202" i="1"/>
  <c r="AA1202" i="1"/>
  <c r="AB1202" i="1"/>
  <c r="CV1202" i="1"/>
  <c r="Y1202" i="1"/>
  <c r="Z1203" i="1"/>
  <c r="AA1203" i="1"/>
  <c r="AB1203" i="1"/>
  <c r="CV1203" i="1"/>
  <c r="Y1203" i="1" s="1"/>
  <c r="Z1204" i="1"/>
  <c r="AA1204" i="1"/>
  <c r="AB1204" i="1"/>
  <c r="AC1204" i="1"/>
  <c r="CV1204" i="1"/>
  <c r="Y1204" i="1"/>
  <c r="Z1205" i="1"/>
  <c r="AA1205" i="1"/>
  <c r="AB1205" i="1"/>
  <c r="CV1205" i="1"/>
  <c r="Y1205" i="1"/>
  <c r="J1206" i="1"/>
  <c r="AA1206" i="1"/>
  <c r="AB1206" i="1"/>
  <c r="CN1206" i="1"/>
  <c r="CO1206" i="1"/>
  <c r="CQ1206" i="1"/>
  <c r="CR1206" i="1"/>
  <c r="CS1206" i="1"/>
  <c r="CY1206" i="1"/>
  <c r="CZ1206" i="1"/>
  <c r="Z1206" i="1"/>
  <c r="Z1207" i="1"/>
  <c r="AA1207" i="1"/>
  <c r="AB1207" i="1"/>
  <c r="CV1207" i="1"/>
  <c r="Y1207" i="1"/>
  <c r="J1208" i="1"/>
  <c r="Z1208" i="1"/>
  <c r="AA1208" i="1"/>
  <c r="AB1208" i="1"/>
  <c r="CV1208" i="1"/>
  <c r="Y1208" i="1" s="1"/>
  <c r="Z1209" i="1"/>
  <c r="AA1209" i="1"/>
  <c r="AB1209" i="1"/>
  <c r="CV1209" i="1"/>
  <c r="Y1209" i="1"/>
  <c r="Z1210" i="1"/>
  <c r="AA1210" i="1"/>
  <c r="AB1210" i="1"/>
  <c r="CV1210" i="1"/>
  <c r="Y1210" i="1"/>
  <c r="Z1212" i="1"/>
  <c r="AA1212" i="1"/>
  <c r="AB1212" i="1"/>
  <c r="CV1212" i="1"/>
  <c r="Y1212" i="1" s="1"/>
  <c r="Z1211" i="1"/>
  <c r="AA1211" i="1"/>
  <c r="AB1211" i="1"/>
  <c r="CV1211" i="1"/>
  <c r="Y1211" i="1" s="1"/>
  <c r="J1213" i="1"/>
  <c r="Z1213" i="1"/>
  <c r="AA1213" i="1"/>
  <c r="AB1213" i="1"/>
  <c r="CV1213" i="1"/>
  <c r="Y1213" i="1"/>
  <c r="Z1214" i="1"/>
  <c r="AA1214" i="1"/>
  <c r="AB1214" i="1"/>
  <c r="CV1214" i="1"/>
  <c r="Y1214" i="1"/>
  <c r="Z1215" i="1"/>
  <c r="AA1215" i="1"/>
  <c r="AB1215" i="1"/>
  <c r="CV1215" i="1"/>
  <c r="Y1215" i="1" s="1"/>
  <c r="Z1216" i="1"/>
  <c r="AA1216" i="1"/>
  <c r="AB1216" i="1"/>
  <c r="CV1216" i="1"/>
  <c r="Y1216" i="1"/>
  <c r="Z1217" i="1"/>
  <c r="AA1217" i="1"/>
  <c r="AB1217" i="1"/>
  <c r="CV1217" i="1"/>
  <c r="Y1217" i="1"/>
  <c r="Z1218" i="1"/>
  <c r="AA1218" i="1"/>
  <c r="AB1218" i="1"/>
  <c r="CV1218" i="1"/>
  <c r="Y1218" i="1" s="1"/>
  <c r="Z1219" i="1"/>
  <c r="AA1219" i="1"/>
  <c r="AB1219" i="1"/>
  <c r="CV1219" i="1"/>
  <c r="Y1219" i="1" s="1"/>
  <c r="Z1220" i="1"/>
  <c r="AA1220" i="1"/>
  <c r="AB1220" i="1"/>
  <c r="CV1220" i="1"/>
  <c r="Y1220" i="1"/>
  <c r="Z1221" i="1"/>
  <c r="AA1221" i="1"/>
  <c r="AB1221" i="1"/>
  <c r="CV1221" i="1"/>
  <c r="Y1221" i="1"/>
  <c r="J1222" i="1"/>
  <c r="K1222" i="1"/>
  <c r="M1222" i="1"/>
  <c r="AA1222" i="1"/>
  <c r="AB1222" i="1"/>
  <c r="BC1222" i="1"/>
  <c r="CQ1222" i="1"/>
  <c r="CS1222" i="1"/>
  <c r="CZ1222" i="1"/>
  <c r="Z1222" i="1" s="1"/>
  <c r="AA1223" i="1"/>
  <c r="AB1223" i="1"/>
  <c r="AW1223" i="1"/>
  <c r="BA1223" i="1"/>
  <c r="CZ1223" i="1"/>
  <c r="Z1223" i="1"/>
  <c r="AA1224" i="1"/>
  <c r="BM1224" i="1"/>
  <c r="BZ1224" i="1"/>
  <c r="CA1224" i="1"/>
  <c r="CN1224" i="1"/>
  <c r="CO1224" i="1"/>
  <c r="CX1224" i="1"/>
  <c r="AB1224" i="1"/>
  <c r="CY1224" i="1"/>
  <c r="CZ1224" i="1"/>
  <c r="Z1224" i="1"/>
  <c r="Z1225" i="1"/>
  <c r="AA1225" i="1"/>
  <c r="AB1225" i="1"/>
  <c r="CV1225" i="1"/>
  <c r="Y1225" i="1"/>
  <c r="Z1226" i="1"/>
  <c r="AA1226" i="1"/>
  <c r="AB1226" i="1"/>
  <c r="CV1226" i="1"/>
  <c r="Y1226" i="1" s="1"/>
  <c r="Z1227" i="1"/>
  <c r="AA1227" i="1"/>
  <c r="AB1227" i="1"/>
  <c r="CV1227" i="1"/>
  <c r="Y1227" i="1" s="1"/>
  <c r="Z1228" i="1"/>
  <c r="AA1228" i="1"/>
  <c r="CV1228" i="1"/>
  <c r="Y1228" i="1" s="1"/>
  <c r="CX1228" i="1"/>
  <c r="AB1228" i="1"/>
  <c r="AB1229" i="1"/>
  <c r="CQ1229" i="1"/>
  <c r="CS1229" i="1"/>
  <c r="CZ1229" i="1"/>
  <c r="Z1229" i="1" s="1"/>
  <c r="DB1229" i="1"/>
  <c r="DD1229" i="1"/>
  <c r="AA1230" i="1"/>
  <c r="AB1230" i="1"/>
  <c r="CO1230" i="1"/>
  <c r="Y1230" i="1"/>
  <c r="CQ1230" i="1"/>
  <c r="CV1230" i="1" s="1"/>
  <c r="CS1230" i="1"/>
  <c r="CZ1230" i="1"/>
  <c r="AA1231" i="1"/>
  <c r="CV1231" i="1"/>
  <c r="Y1231" i="1" s="1"/>
  <c r="CW1231" i="1"/>
  <c r="CX1231" i="1"/>
  <c r="AB1231" i="1" s="1"/>
  <c r="CZ1231" i="1"/>
  <c r="Z1231" i="1"/>
  <c r="Z1232" i="1"/>
  <c r="AA1232" i="1"/>
  <c r="AB1232" i="1"/>
  <c r="CV1232" i="1"/>
  <c r="Y1232" i="1"/>
  <c r="Z1233" i="1"/>
  <c r="AA1233" i="1"/>
  <c r="AB1233" i="1"/>
  <c r="CV1233" i="1"/>
  <c r="Y1233" i="1" s="1"/>
  <c r="Z1234" i="1"/>
  <c r="AA1234" i="1"/>
  <c r="AB1234" i="1"/>
  <c r="CV1234" i="1"/>
  <c r="Y1234" i="1" s="1"/>
  <c r="Z1235" i="1"/>
  <c r="AA1235" i="1"/>
  <c r="AB1235" i="1"/>
  <c r="CV1235" i="1"/>
  <c r="Y1235" i="1"/>
  <c r="Z1236" i="1"/>
  <c r="AA1236" i="1"/>
  <c r="AB1236" i="1"/>
  <c r="AC1236" i="1"/>
  <c r="CV1236" i="1"/>
  <c r="Y1236" i="1"/>
  <c r="Z1237" i="1"/>
  <c r="AA1237" i="1"/>
  <c r="AB1237" i="1"/>
  <c r="CV1237" i="1"/>
  <c r="Y1237" i="1" s="1"/>
  <c r="Z1238" i="1"/>
  <c r="AA1238" i="1"/>
  <c r="AB1238" i="1"/>
  <c r="CV1238" i="1"/>
  <c r="Y1238" i="1"/>
  <c r="Z1239" i="1"/>
  <c r="AA1239" i="1"/>
  <c r="AB1239" i="1"/>
  <c r="CV1239" i="1"/>
  <c r="Y1239" i="1"/>
  <c r="J1240" i="1"/>
  <c r="Z1240" i="1"/>
  <c r="AA1240" i="1"/>
  <c r="AB1240" i="1"/>
  <c r="CV1240" i="1"/>
  <c r="Y1240" i="1" s="1"/>
  <c r="Z1241" i="1"/>
  <c r="AA1241" i="1"/>
  <c r="AB1241" i="1"/>
  <c r="CV1241" i="1"/>
  <c r="Y1241" i="1"/>
  <c r="Z1242" i="1"/>
  <c r="AA1242" i="1"/>
  <c r="AB1242" i="1"/>
  <c r="CV1242" i="1"/>
  <c r="Y1242" i="1"/>
  <c r="Z1243" i="1"/>
  <c r="AA1243" i="1"/>
  <c r="AB1243" i="1"/>
  <c r="CV1243" i="1"/>
  <c r="Y1243" i="1" s="1"/>
  <c r="J1244" i="1"/>
  <c r="Z1244" i="1"/>
  <c r="AA1244" i="1"/>
  <c r="AB1244" i="1"/>
  <c r="CV1244" i="1"/>
  <c r="Y1244" i="1"/>
  <c r="Z1245" i="1"/>
  <c r="AA1245" i="1"/>
  <c r="AB1245" i="1"/>
  <c r="CV1245" i="1"/>
  <c r="Y1245" i="1"/>
  <c r="J1250" i="1"/>
  <c r="Z1250" i="1"/>
  <c r="AA1250" i="1"/>
  <c r="AB1250" i="1"/>
  <c r="CV1250" i="1"/>
  <c r="Y1250" i="1" s="1"/>
  <c r="J1252" i="1"/>
  <c r="Z1252" i="1"/>
  <c r="AA1252" i="1"/>
  <c r="AB1252" i="1"/>
  <c r="CV1252" i="1"/>
  <c r="Y1252" i="1"/>
  <c r="J1247" i="1"/>
  <c r="Z1247" i="1"/>
  <c r="AA1247" i="1"/>
  <c r="AB1247" i="1"/>
  <c r="CV1247" i="1"/>
  <c r="Y1247" i="1" s="1"/>
  <c r="Z1248" i="1"/>
  <c r="AA1248" i="1"/>
  <c r="AB1248" i="1"/>
  <c r="AE1248" i="1" s="1"/>
  <c r="CV1248" i="1"/>
  <c r="Y1248" i="1"/>
  <c r="Z1246" i="1"/>
  <c r="AA1246" i="1"/>
  <c r="AB1246" i="1"/>
  <c r="CV1246" i="1"/>
  <c r="Y1246" i="1"/>
  <c r="Z1249" i="1"/>
  <c r="AA1249" i="1"/>
  <c r="AB1249" i="1"/>
  <c r="CV1249" i="1"/>
  <c r="Y1249" i="1" s="1"/>
  <c r="Z1251" i="1"/>
  <c r="AA1251" i="1"/>
  <c r="AB1251" i="1"/>
  <c r="CV1251" i="1"/>
  <c r="Y1251" i="1"/>
  <c r="J1253" i="1"/>
  <c r="Z1253" i="1"/>
  <c r="AA1253" i="1"/>
  <c r="AB1253" i="1"/>
  <c r="CV1253" i="1"/>
  <c r="Y1253" i="1" s="1"/>
  <c r="J1254" i="1"/>
  <c r="Z1254" i="1"/>
  <c r="AA1254" i="1"/>
  <c r="AB1254" i="1"/>
  <c r="CV1254" i="1"/>
  <c r="Y1254" i="1"/>
  <c r="J1255" i="1"/>
  <c r="Z1255" i="1"/>
  <c r="AA1255" i="1"/>
  <c r="AB1255" i="1"/>
  <c r="CV1255" i="1"/>
  <c r="Y1255" i="1" s="1"/>
  <c r="J1256" i="1"/>
  <c r="Z1256" i="1"/>
  <c r="AA1256" i="1"/>
  <c r="AB1256" i="1"/>
  <c r="CV1256" i="1"/>
  <c r="Y1256" i="1"/>
  <c r="Z1257" i="1"/>
  <c r="AA1257" i="1"/>
  <c r="AB1257" i="1"/>
  <c r="CV1257" i="1"/>
  <c r="Y1257" i="1"/>
  <c r="Z1258" i="1"/>
  <c r="AA1258" i="1"/>
  <c r="AB1258" i="1"/>
  <c r="CV1258" i="1"/>
  <c r="Y1258" i="1" s="1"/>
  <c r="Z1259" i="1"/>
  <c r="AA1259" i="1"/>
  <c r="AB1259" i="1"/>
  <c r="CV1259" i="1"/>
  <c r="Y1259" i="1" s="1"/>
  <c r="Z1260" i="1"/>
  <c r="AA1260" i="1"/>
  <c r="CV1260" i="1"/>
  <c r="Y1260" i="1" s="1"/>
  <c r="CW1260" i="1"/>
  <c r="CX1260" i="1"/>
  <c r="AB1260" i="1" s="1"/>
  <c r="J1261" i="1"/>
  <c r="AA1261" i="1"/>
  <c r="AB1261" i="1"/>
  <c r="BA1261" i="1"/>
  <c r="CQ1261" i="1"/>
  <c r="CZ1261" i="1"/>
  <c r="Z1261" i="1"/>
  <c r="Z1263" i="1"/>
  <c r="AA1263" i="1"/>
  <c r="AC1263" i="1"/>
  <c r="CV1263" i="1"/>
  <c r="Y1263" i="1" s="1"/>
  <c r="CX1263" i="1"/>
  <c r="AB1263" i="1"/>
  <c r="Z1264" i="1"/>
  <c r="AA1264" i="1"/>
  <c r="AB1264" i="1"/>
  <c r="CV1264" i="1"/>
  <c r="Y1264" i="1"/>
  <c r="J1265" i="1"/>
  <c r="Z1265" i="1"/>
  <c r="AA1265" i="1"/>
  <c r="AB1265" i="1"/>
  <c r="CV1265" i="1"/>
  <c r="Y1265" i="1" s="1"/>
  <c r="AA1266" i="1"/>
  <c r="AB1266" i="1"/>
  <c r="CV1266" i="1"/>
  <c r="Y1266" i="1" s="1"/>
  <c r="CZ1266" i="1"/>
  <c r="Z1266" i="1"/>
  <c r="Z1267" i="1"/>
  <c r="AA1267" i="1"/>
  <c r="AB1267" i="1"/>
  <c r="CV1267" i="1"/>
  <c r="Y1267" i="1" s="1"/>
  <c r="Z1268" i="1"/>
  <c r="AA1268" i="1"/>
  <c r="AB1268" i="1"/>
  <c r="CV1268" i="1"/>
  <c r="Y1268" i="1" s="1"/>
  <c r="Z1269" i="1"/>
  <c r="AA1269" i="1"/>
  <c r="AB1269" i="1"/>
  <c r="CV1269" i="1"/>
  <c r="Y1269" i="1"/>
  <c r="J1270" i="1"/>
  <c r="K1270" i="1"/>
  <c r="AA1270" i="1"/>
  <c r="AB1270" i="1"/>
  <c r="CO1270" i="1"/>
  <c r="CV1270" i="1" s="1"/>
  <c r="CZ1270" i="1"/>
  <c r="Z1270" i="1"/>
  <c r="Z1271" i="1"/>
  <c r="AA1271" i="1"/>
  <c r="AB1271" i="1"/>
  <c r="CV1271" i="1"/>
  <c r="Y1271" i="1"/>
  <c r="Z1272" i="1"/>
  <c r="AA1272" i="1"/>
  <c r="AB1272" i="1"/>
  <c r="CV1272" i="1"/>
  <c r="Y1272" i="1" s="1"/>
  <c r="Z1273" i="1"/>
  <c r="AA1273" i="1"/>
  <c r="AB1273" i="1"/>
  <c r="CV1273" i="1"/>
  <c r="Y1273" i="1" s="1"/>
  <c r="Z1274" i="1"/>
  <c r="AA1274" i="1"/>
  <c r="AB1274" i="1"/>
  <c r="CV1274" i="1"/>
  <c r="Y1274" i="1"/>
  <c r="Z1275" i="1"/>
  <c r="AA1275" i="1"/>
  <c r="AB1275" i="1"/>
  <c r="CV1275" i="1"/>
  <c r="Y1275" i="1"/>
  <c r="AA1276" i="1"/>
  <c r="AB1276" i="1"/>
  <c r="BA1276" i="1"/>
  <c r="CK1276" i="1"/>
  <c r="CQ1276" i="1"/>
  <c r="CS1276" i="1"/>
  <c r="CZ1276" i="1"/>
  <c r="Z1276" i="1"/>
  <c r="AA1277" i="1"/>
  <c r="AB1277" i="1"/>
  <c r="BA1277" i="1"/>
  <c r="CK1277" i="1"/>
  <c r="CQ1277" i="1"/>
  <c r="CS1277" i="1"/>
  <c r="CZ1277" i="1"/>
  <c r="Z1277" i="1"/>
  <c r="Z1278" i="1"/>
  <c r="AA1278" i="1"/>
  <c r="AB1278" i="1"/>
  <c r="CV1278" i="1"/>
  <c r="Y1278" i="1" s="1"/>
  <c r="Z1279" i="1"/>
  <c r="AA1279" i="1"/>
  <c r="AB1279" i="1"/>
  <c r="CV1279" i="1"/>
  <c r="Y1279" i="1" s="1"/>
  <c r="Z1280" i="1"/>
  <c r="AA1280" i="1"/>
  <c r="AB1280" i="1"/>
  <c r="CV1280" i="1"/>
  <c r="Y1280" i="1"/>
  <c r="Z1281" i="1"/>
  <c r="AA1281" i="1"/>
  <c r="AB1281" i="1"/>
  <c r="CV1281" i="1"/>
  <c r="Y1281" i="1" s="1"/>
  <c r="J1282" i="1"/>
  <c r="Z1282" i="1"/>
  <c r="AA1282" i="1"/>
  <c r="AB1282" i="1"/>
  <c r="CV1282" i="1"/>
  <c r="Y1282" i="1"/>
  <c r="Z1283" i="1"/>
  <c r="AA1283" i="1"/>
  <c r="AB1283" i="1"/>
  <c r="CV1283" i="1"/>
  <c r="Y1283" i="1"/>
  <c r="Z1284" i="1"/>
  <c r="AA1284" i="1"/>
  <c r="AB1284" i="1"/>
  <c r="CV1284" i="1"/>
  <c r="Y1284" i="1" s="1"/>
  <c r="AE1284" i="1" s="1"/>
  <c r="J1285" i="1"/>
  <c r="Z1285" i="1"/>
  <c r="AA1285" i="1"/>
  <c r="AB1285" i="1"/>
  <c r="CV1285" i="1"/>
  <c r="Y1285" i="1"/>
  <c r="AE1285" i="1" s="1"/>
  <c r="AA1286" i="1"/>
  <c r="AB1286" i="1"/>
  <c r="BA1286" i="1"/>
  <c r="CK1286" i="1"/>
  <c r="CQ1286" i="1"/>
  <c r="CS1286" i="1"/>
  <c r="CZ1286" i="1"/>
  <c r="Z1286" i="1" s="1"/>
  <c r="Z1287" i="1"/>
  <c r="AA1287" i="1"/>
  <c r="AB1287" i="1"/>
  <c r="CV1287" i="1"/>
  <c r="Y1287" i="1" s="1"/>
  <c r="J1288" i="1"/>
  <c r="Z1288" i="1"/>
  <c r="AA1288" i="1"/>
  <c r="AB1288" i="1"/>
  <c r="CV1288" i="1"/>
  <c r="Y1288" i="1"/>
  <c r="Z1289" i="1"/>
  <c r="AA1289" i="1"/>
  <c r="AB1289" i="1"/>
  <c r="CV1289" i="1"/>
  <c r="Y1289" i="1" s="1"/>
  <c r="AE1289" i="1" s="1"/>
  <c r="Z1290" i="1"/>
  <c r="AA1290" i="1"/>
  <c r="AB1290" i="1"/>
  <c r="CV1290" i="1"/>
  <c r="Y1290" i="1"/>
  <c r="Z1291" i="1"/>
  <c r="AA1291" i="1"/>
  <c r="AB1291" i="1"/>
  <c r="CV1291" i="1"/>
  <c r="Y1291" i="1"/>
  <c r="J1292" i="1"/>
  <c r="AA1292" i="1"/>
  <c r="AB1292" i="1"/>
  <c r="AC1292" i="1"/>
  <c r="CO1292" i="1"/>
  <c r="CV1292" i="1" s="1"/>
  <c r="CQ1292" i="1"/>
  <c r="CS1292" i="1"/>
  <c r="CZ1292" i="1"/>
  <c r="Z1292" i="1" s="1"/>
  <c r="AB1293" i="1"/>
  <c r="AW1293" i="1"/>
  <c r="BA1293" i="1"/>
  <c r="CK1293" i="1"/>
  <c r="CQ1293" i="1"/>
  <c r="CZ1293" i="1"/>
  <c r="Z1293" i="1" s="1"/>
  <c r="DD1293" i="1"/>
  <c r="AA1293" i="1"/>
  <c r="J1294" i="1"/>
  <c r="Z1294" i="1"/>
  <c r="AA1294" i="1"/>
  <c r="AB1294" i="1"/>
  <c r="CV1294" i="1"/>
  <c r="Y1294" i="1" s="1"/>
  <c r="Z1295" i="1"/>
  <c r="AA1295" i="1"/>
  <c r="AB1295" i="1"/>
  <c r="CV1295" i="1"/>
  <c r="Y1295" i="1" s="1"/>
  <c r="Z1296" i="1"/>
  <c r="AA1296" i="1"/>
  <c r="AB1296" i="1"/>
  <c r="CV1296" i="1"/>
  <c r="Y1296" i="1"/>
  <c r="Z1297" i="1"/>
  <c r="AA1297" i="1"/>
  <c r="AB1297" i="1"/>
  <c r="CV1297" i="1"/>
  <c r="Y1297" i="1"/>
  <c r="Z1298" i="1"/>
  <c r="AA1298" i="1"/>
  <c r="AB1298" i="1"/>
  <c r="CV1298" i="1"/>
  <c r="Y1298" i="1" s="1"/>
  <c r="Z1299" i="1"/>
  <c r="AA1299" i="1"/>
  <c r="AB1299" i="1"/>
  <c r="CV1299" i="1"/>
  <c r="Y1299" i="1" s="1"/>
  <c r="AA1300" i="1"/>
  <c r="AB1300" i="1"/>
  <c r="BL1300" i="1"/>
  <c r="BM1300" i="1"/>
  <c r="CP1300" i="1"/>
  <c r="CQ1300" i="1"/>
  <c r="CS1300" i="1"/>
  <c r="CY1300" i="1"/>
  <c r="CZ1300" i="1"/>
  <c r="Z1300" i="1"/>
  <c r="J1301" i="1"/>
  <c r="AA1301" i="1"/>
  <c r="AB1301" i="1"/>
  <c r="BA1301" i="1"/>
  <c r="CK1301" i="1"/>
  <c r="CQ1301" i="1"/>
  <c r="CS1301" i="1"/>
  <c r="CZ1301" i="1"/>
  <c r="Z1301" i="1"/>
  <c r="AA1302" i="1"/>
  <c r="AB1302" i="1"/>
  <c r="BA1302" i="1"/>
  <c r="CK1302" i="1"/>
  <c r="CQ1302" i="1"/>
  <c r="CS1302" i="1"/>
  <c r="CZ1302" i="1"/>
  <c r="Z1302" i="1"/>
  <c r="J1303" i="1"/>
  <c r="Z1303" i="1"/>
  <c r="AA1303" i="1"/>
  <c r="AB1303" i="1"/>
  <c r="CV1303" i="1"/>
  <c r="Y1303" i="1"/>
  <c r="Z1304" i="1"/>
  <c r="AA1304" i="1"/>
  <c r="AB1304" i="1"/>
  <c r="CV1304" i="1"/>
  <c r="Y1304" i="1"/>
  <c r="Z1306" i="1"/>
  <c r="AA1306" i="1"/>
  <c r="AB1306" i="1"/>
  <c r="CV1306" i="1"/>
  <c r="Y1306" i="1"/>
  <c r="Z1307" i="1"/>
  <c r="AA1307" i="1"/>
  <c r="AB1307" i="1"/>
  <c r="CV1307" i="1"/>
  <c r="Y1307" i="1" s="1"/>
  <c r="AB1308" i="1"/>
  <c r="BA1308" i="1"/>
  <c r="CS1308" i="1"/>
  <c r="CZ1308" i="1"/>
  <c r="Z1308" i="1"/>
  <c r="DD1308" i="1"/>
  <c r="AA1308" i="1" s="1"/>
  <c r="Z1309" i="1"/>
  <c r="AA1309" i="1"/>
  <c r="AB1309" i="1"/>
  <c r="CV1309" i="1"/>
  <c r="Y1309" i="1" s="1"/>
  <c r="Z1310" i="1"/>
  <c r="AA1310" i="1"/>
  <c r="AB1310" i="1"/>
  <c r="CV1310" i="1"/>
  <c r="Y1310" i="1"/>
  <c r="Z1311" i="1"/>
  <c r="AB1311" i="1"/>
  <c r="CV1311" i="1"/>
  <c r="Y1311" i="1"/>
  <c r="DC1311" i="1"/>
  <c r="DD1311" i="1"/>
  <c r="AA1311" i="1" s="1"/>
  <c r="Z1312" i="1"/>
  <c r="AA1312" i="1"/>
  <c r="AB1312" i="1"/>
  <c r="CV1312" i="1"/>
  <c r="Y1312" i="1"/>
  <c r="Z1313" i="1"/>
  <c r="AA1313" i="1"/>
  <c r="AB1313" i="1"/>
  <c r="CV1313" i="1"/>
  <c r="Y1313" i="1"/>
  <c r="Z1314" i="1"/>
  <c r="AA1314" i="1"/>
  <c r="AB1314" i="1"/>
  <c r="CV1314" i="1"/>
  <c r="Y1314" i="1" s="1"/>
  <c r="Z1315" i="1"/>
  <c r="AA1315" i="1"/>
  <c r="AB1315" i="1"/>
  <c r="CV1315" i="1"/>
  <c r="Y1315" i="1" s="1"/>
  <c r="Z1316" i="1"/>
  <c r="AA1316" i="1"/>
  <c r="AB1316" i="1"/>
  <c r="CV1316" i="1"/>
  <c r="Y1316" i="1"/>
  <c r="J1317" i="1"/>
  <c r="Z1317" i="1"/>
  <c r="AA1317" i="1"/>
  <c r="AB1317" i="1"/>
  <c r="CV1317" i="1"/>
  <c r="Y1317" i="1"/>
  <c r="Z1318" i="1"/>
  <c r="AA1318" i="1"/>
  <c r="AB1318" i="1"/>
  <c r="CV1318" i="1"/>
  <c r="Y1318" i="1" s="1"/>
  <c r="Z1319" i="1"/>
  <c r="AA1319" i="1"/>
  <c r="AB1319" i="1"/>
  <c r="CV1319" i="1"/>
  <c r="Y1319" i="1"/>
  <c r="AA1320" i="1"/>
  <c r="AB1320" i="1"/>
  <c r="BA1320" i="1"/>
  <c r="CO1320" i="1"/>
  <c r="CZ1320" i="1"/>
  <c r="Z1320" i="1" s="1"/>
  <c r="Z1321" i="1"/>
  <c r="AA1321" i="1"/>
  <c r="AB1321" i="1"/>
  <c r="CV1321" i="1"/>
  <c r="Y1321" i="1" s="1"/>
  <c r="Z1322" i="1"/>
  <c r="AA1322" i="1"/>
  <c r="AB1322" i="1"/>
  <c r="CV1322" i="1"/>
  <c r="Y1322" i="1"/>
  <c r="AA1323" i="1"/>
  <c r="AB1323" i="1"/>
  <c r="CQ1323" i="1"/>
  <c r="CV1323" i="1"/>
  <c r="Y1323" i="1"/>
  <c r="CZ1323" i="1"/>
  <c r="Z1323" i="1" s="1"/>
  <c r="Z1324" i="1"/>
  <c r="AA1324" i="1"/>
  <c r="AB1324" i="1"/>
  <c r="CV1324" i="1"/>
  <c r="Y1324" i="1"/>
  <c r="Z1325" i="1"/>
  <c r="AA1325" i="1"/>
  <c r="AB1325" i="1"/>
  <c r="CV1325" i="1"/>
  <c r="Y1325" i="1"/>
  <c r="AE1325" i="1" s="1"/>
  <c r="J1326" i="1"/>
  <c r="AA1326" i="1"/>
  <c r="AB1326" i="1"/>
  <c r="CQ1326" i="1"/>
  <c r="CV1326" i="1" s="1"/>
  <c r="Y1326" i="1" s="1"/>
  <c r="AE1326" i="1" s="1"/>
  <c r="CZ1326" i="1"/>
  <c r="Z1326" i="1" s="1"/>
  <c r="Z1327" i="1"/>
  <c r="AA1327" i="1"/>
  <c r="AB1327" i="1"/>
  <c r="CV1327" i="1"/>
  <c r="Y1327" i="1"/>
  <c r="Z1328" i="1"/>
  <c r="AA1328" i="1"/>
  <c r="AB1328" i="1"/>
  <c r="CV1328" i="1"/>
  <c r="Y1328" i="1"/>
  <c r="Z1329" i="1"/>
  <c r="AA1329" i="1"/>
  <c r="AB1329" i="1"/>
  <c r="CV1329" i="1"/>
  <c r="Y1329" i="1" s="1"/>
  <c r="Z1330" i="1"/>
  <c r="AA1330" i="1"/>
  <c r="AB1330" i="1"/>
  <c r="CV1330" i="1"/>
  <c r="Y1330" i="1" s="1"/>
  <c r="AA1331" i="1"/>
  <c r="AB1331" i="1"/>
  <c r="CV1331" i="1"/>
  <c r="Y1331" i="1" s="1"/>
  <c r="CY1331" i="1"/>
  <c r="CZ1331" i="1"/>
  <c r="Z1331" i="1"/>
  <c r="Z1332" i="1"/>
  <c r="AB1332" i="1"/>
  <c r="CV1332" i="1"/>
  <c r="Y1332" i="1"/>
  <c r="Z1333" i="1"/>
  <c r="AA1333" i="1"/>
  <c r="CV1333" i="1"/>
  <c r="Y1333" i="1"/>
  <c r="CW1333" i="1"/>
  <c r="CX1333" i="1"/>
  <c r="AB1333" i="1"/>
  <c r="Z1334" i="1"/>
  <c r="AA1334" i="1"/>
  <c r="AB1334" i="1"/>
  <c r="CV1334" i="1"/>
  <c r="Y1334" i="1"/>
  <c r="Z1335" i="1"/>
  <c r="AA1335" i="1"/>
  <c r="AB1335" i="1"/>
  <c r="CV1335" i="1"/>
  <c r="Y1335" i="1" s="1"/>
  <c r="AA1336" i="1"/>
  <c r="AB1336" i="1"/>
  <c r="BC1336" i="1"/>
  <c r="CK1336" i="1"/>
  <c r="CQ1336" i="1"/>
  <c r="CS1336" i="1"/>
  <c r="CZ1336" i="1"/>
  <c r="Z1336" i="1" s="1"/>
  <c r="J1337" i="1"/>
  <c r="K1337" i="1"/>
  <c r="M1337" i="1"/>
  <c r="Z1337" i="1"/>
  <c r="AA1337" i="1"/>
  <c r="AB1337" i="1"/>
  <c r="CV1337" i="1"/>
  <c r="Y1337" i="1" s="1"/>
  <c r="AA1338" i="1"/>
  <c r="AB1338" i="1"/>
  <c r="CV1338" i="1"/>
  <c r="Y1338" i="1" s="1"/>
  <c r="CZ1338" i="1"/>
  <c r="Z1338" i="1"/>
  <c r="J1339" i="1"/>
  <c r="AA1339" i="1"/>
  <c r="AB1339" i="1"/>
  <c r="CV1339" i="1"/>
  <c r="Y1339" i="1"/>
  <c r="CZ1339" i="1"/>
  <c r="Z1339" i="1"/>
  <c r="AA1340" i="1"/>
  <c r="AB1340" i="1"/>
  <c r="BC1340" i="1"/>
  <c r="CA1340" i="1"/>
  <c r="CQ1340" i="1"/>
  <c r="CS1340" i="1"/>
  <c r="CY1340" i="1"/>
  <c r="CZ1340" i="1"/>
  <c r="Z1340" i="1"/>
  <c r="Z1341" i="1"/>
  <c r="AA1341" i="1"/>
  <c r="AB1341" i="1"/>
  <c r="CV1341" i="1"/>
  <c r="Y1341" i="1"/>
  <c r="Z1342" i="1"/>
  <c r="AA1342" i="1"/>
  <c r="AB1342" i="1"/>
  <c r="CV1342" i="1"/>
  <c r="Y1342" i="1" s="1"/>
  <c r="Z1343" i="1"/>
  <c r="AA1343" i="1"/>
  <c r="AB1343" i="1"/>
  <c r="CV1343" i="1"/>
  <c r="Y1343" i="1"/>
  <c r="J1344" i="1"/>
  <c r="K1344" i="1"/>
  <c r="L1344" i="1"/>
  <c r="Z1344" i="1"/>
  <c r="AA1344" i="1"/>
  <c r="AB1344" i="1"/>
  <c r="CV1344" i="1"/>
  <c r="Y1344" i="1"/>
  <c r="J1345" i="1"/>
  <c r="AA1345" i="1"/>
  <c r="AC1345" i="1"/>
  <c r="BC1345" i="1"/>
  <c r="CK1345" i="1"/>
  <c r="CO1345" i="1"/>
  <c r="CQ1345" i="1"/>
  <c r="CX1345" i="1"/>
  <c r="AB1345" i="1"/>
  <c r="CY1345" i="1"/>
  <c r="CZ1345" i="1"/>
  <c r="Z1345" i="1"/>
  <c r="J1346" i="1"/>
  <c r="AA1346" i="1"/>
  <c r="AB1346" i="1"/>
  <c r="AC1346" i="1"/>
  <c r="BC1346" i="1"/>
  <c r="CN1346" i="1"/>
  <c r="CO1346" i="1"/>
  <c r="CQ1346" i="1"/>
  <c r="CY1346" i="1"/>
  <c r="CZ1346" i="1"/>
  <c r="Z1346" i="1" s="1"/>
  <c r="J1347" i="1"/>
  <c r="AA1347" i="1"/>
  <c r="AB1347" i="1"/>
  <c r="AC1347" i="1"/>
  <c r="CQ1347" i="1"/>
  <c r="CV1347" i="1"/>
  <c r="Y1347" i="1" s="1"/>
  <c r="CZ1347" i="1"/>
  <c r="Z1347" i="1"/>
  <c r="J1348" i="1"/>
  <c r="AA1348" i="1"/>
  <c r="AC1348" i="1"/>
  <c r="BC1348" i="1"/>
  <c r="CO1348" i="1"/>
  <c r="CQ1348" i="1"/>
  <c r="CX1348" i="1"/>
  <c r="AB1348" i="1"/>
  <c r="CZ1348" i="1"/>
  <c r="Z1348" i="1" s="1"/>
  <c r="J1349" i="1"/>
  <c r="AA1349" i="1"/>
  <c r="BA1349" i="1"/>
  <c r="CQ1349" i="1"/>
  <c r="CX1349" i="1"/>
  <c r="AB1349" i="1"/>
  <c r="CZ1349" i="1"/>
  <c r="Z1349" i="1" s="1"/>
  <c r="J1350" i="1"/>
  <c r="K1350" i="1"/>
  <c r="AA1350" i="1"/>
  <c r="AB1350" i="1"/>
  <c r="CO1350" i="1"/>
  <c r="CV1350" i="1"/>
  <c r="Y1350" i="1"/>
  <c r="CZ1350" i="1"/>
  <c r="Z1350" i="1" s="1"/>
  <c r="Z1351" i="1"/>
  <c r="AA1351" i="1"/>
  <c r="AB1351" i="1"/>
  <c r="CV1351" i="1"/>
  <c r="Y1351" i="1"/>
  <c r="Z1352" i="1"/>
  <c r="AA1352" i="1"/>
  <c r="AB1352" i="1"/>
  <c r="CV1352" i="1"/>
  <c r="Y1352" i="1"/>
  <c r="Z1353" i="1"/>
  <c r="AA1353" i="1"/>
  <c r="CV1353" i="1"/>
  <c r="Y1353" i="1"/>
  <c r="CW1353" i="1"/>
  <c r="CX1353" i="1"/>
  <c r="AB1353" i="1"/>
  <c r="J1354" i="1"/>
  <c r="AA1354" i="1"/>
  <c r="AB1354" i="1"/>
  <c r="CV1354" i="1"/>
  <c r="Y1354" i="1"/>
  <c r="CZ1354" i="1"/>
  <c r="Z1354" i="1" s="1"/>
  <c r="AA1355" i="1"/>
  <c r="AB1355" i="1"/>
  <c r="CV1355" i="1"/>
  <c r="Y1355" i="1" s="1"/>
  <c r="CZ1355" i="1"/>
  <c r="Z1355" i="1"/>
  <c r="Z1356" i="1"/>
  <c r="AA1356" i="1"/>
  <c r="AB1356" i="1"/>
  <c r="CV1356" i="1"/>
  <c r="Y1356" i="1" s="1"/>
  <c r="Z1357" i="1"/>
  <c r="AA1357" i="1"/>
  <c r="AB1357" i="1"/>
  <c r="CV1357" i="1"/>
  <c r="Y1357" i="1" s="1"/>
  <c r="AA1358" i="1"/>
  <c r="AB1358" i="1"/>
  <c r="BA1358" i="1"/>
  <c r="CK1358" i="1"/>
  <c r="CQ1358" i="1"/>
  <c r="CS1358" i="1"/>
  <c r="CZ1358" i="1"/>
  <c r="Z1358" i="1" s="1"/>
  <c r="Z1359" i="1"/>
  <c r="AA1359" i="1"/>
  <c r="AB1359" i="1"/>
  <c r="CV1359" i="1"/>
  <c r="Y1359" i="1"/>
  <c r="Z1361" i="1"/>
  <c r="AA1361" i="1"/>
  <c r="AB1361" i="1"/>
  <c r="CV1361" i="1"/>
  <c r="Y1361" i="1"/>
  <c r="Z1362" i="1"/>
  <c r="AA1362" i="1"/>
  <c r="AB1362" i="1"/>
  <c r="CV1362" i="1"/>
  <c r="Y1362" i="1" s="1"/>
  <c r="J1363" i="1"/>
  <c r="AA1363" i="1"/>
  <c r="AB1363" i="1"/>
  <c r="BA1363" i="1"/>
  <c r="BM1363" i="1"/>
  <c r="CZ1363" i="1"/>
  <c r="Z1363" i="1"/>
  <c r="Z1364" i="1"/>
  <c r="AA1364" i="1"/>
  <c r="AB1364" i="1"/>
  <c r="CV1364" i="1"/>
  <c r="Y1364" i="1" s="1"/>
  <c r="Z1365" i="1"/>
  <c r="AA1365" i="1"/>
  <c r="AB1365" i="1"/>
  <c r="CV1365" i="1"/>
  <c r="Y1365" i="1" s="1"/>
  <c r="Z1366" i="1"/>
  <c r="AA1366" i="1"/>
  <c r="AB1366" i="1"/>
  <c r="CV1366" i="1"/>
  <c r="Y1366" i="1"/>
  <c r="Z1367" i="1"/>
  <c r="AA1367" i="1"/>
  <c r="AB1367" i="1"/>
  <c r="CV1367" i="1"/>
  <c r="Y1367" i="1"/>
  <c r="J1368" i="1"/>
  <c r="Z1368" i="1"/>
  <c r="AA1368" i="1"/>
  <c r="AB1368" i="1"/>
  <c r="CV1368" i="1"/>
  <c r="Y1368" i="1" s="1"/>
  <c r="Z1369" i="1"/>
  <c r="AA1369" i="1"/>
  <c r="AB1369" i="1"/>
  <c r="CV1369" i="1"/>
  <c r="Y1369" i="1"/>
  <c r="Z1370" i="1"/>
  <c r="AA1370" i="1"/>
  <c r="AB1370" i="1"/>
  <c r="CV1370" i="1"/>
  <c r="Y1370" i="1"/>
  <c r="Z1371" i="1"/>
  <c r="AA1371" i="1"/>
  <c r="AB1371" i="1"/>
  <c r="CV1371" i="1"/>
  <c r="Y1371" i="1" s="1"/>
  <c r="Z1372" i="1"/>
  <c r="AA1372" i="1"/>
  <c r="CV1372" i="1"/>
  <c r="Y1372" i="1" s="1"/>
  <c r="CX1372" i="1"/>
  <c r="AB1372" i="1"/>
  <c r="Z1373" i="1"/>
  <c r="AA1373" i="1"/>
  <c r="AB1373" i="1"/>
  <c r="CV1373" i="1"/>
  <c r="Y1373" i="1"/>
  <c r="V1375" i="1"/>
  <c r="AB1375" i="1"/>
  <c r="BA1375" i="1"/>
  <c r="CQ1375" i="1"/>
  <c r="CS1375" i="1"/>
  <c r="CZ1375" i="1"/>
  <c r="Z1375" i="1"/>
  <c r="DD1375" i="1"/>
  <c r="AA1375" i="1" s="1"/>
  <c r="Z1376" i="1"/>
  <c r="AA1376" i="1"/>
  <c r="AB1376" i="1"/>
  <c r="CV1376" i="1"/>
  <c r="Y1376" i="1" s="1"/>
  <c r="Z1377" i="1"/>
  <c r="AA1377" i="1"/>
  <c r="AB1377" i="1"/>
  <c r="CV1377" i="1"/>
  <c r="Y1377" i="1"/>
  <c r="Z1378" i="1"/>
  <c r="AA1378" i="1"/>
  <c r="AB1378" i="1"/>
  <c r="CV1378" i="1"/>
  <c r="Y1378" i="1"/>
  <c r="J1379" i="1"/>
  <c r="K1379" i="1"/>
  <c r="Z1379" i="1"/>
  <c r="AA1379" i="1"/>
  <c r="AB1379" i="1"/>
  <c r="CV1379" i="1"/>
  <c r="Y1379" i="1"/>
  <c r="Z1380" i="1"/>
  <c r="AA1380" i="1"/>
  <c r="AB1380" i="1"/>
  <c r="CV1380" i="1"/>
  <c r="Y1380" i="1"/>
  <c r="Z1381" i="1"/>
  <c r="AA1381" i="1"/>
  <c r="AB1381" i="1"/>
  <c r="CV1381" i="1"/>
  <c r="Y1381" i="1" s="1"/>
  <c r="Z1382" i="1"/>
  <c r="AA1382" i="1"/>
  <c r="AB1382" i="1"/>
  <c r="CV1382" i="1"/>
  <c r="Y1382" i="1" s="1"/>
  <c r="Z1383" i="1"/>
  <c r="AA1383" i="1"/>
  <c r="AB1383" i="1"/>
  <c r="CV1383" i="1"/>
  <c r="Y1383" i="1"/>
  <c r="AA1384" i="1"/>
  <c r="AB1384" i="1"/>
  <c r="BA1384" i="1"/>
  <c r="CQ1384" i="1"/>
  <c r="CZ1384" i="1"/>
  <c r="Z1384" i="1" s="1"/>
  <c r="Z1389" i="1"/>
  <c r="AA1389" i="1"/>
  <c r="AB1389" i="1"/>
  <c r="CV1389" i="1"/>
  <c r="Y1389" i="1" s="1"/>
  <c r="Z1390" i="1"/>
  <c r="AA1390" i="1"/>
  <c r="AB1390" i="1"/>
  <c r="CV1390" i="1"/>
  <c r="Y1390" i="1"/>
  <c r="Z1391" i="1"/>
  <c r="AA1391" i="1"/>
  <c r="AB1391" i="1"/>
  <c r="CV1391" i="1"/>
  <c r="Y1391" i="1"/>
  <c r="Z1392" i="1"/>
  <c r="AA1392" i="1"/>
  <c r="AB1392" i="1"/>
  <c r="CV1392" i="1"/>
  <c r="Y1392" i="1"/>
  <c r="AA1393" i="1"/>
  <c r="AB1393" i="1"/>
  <c r="AC1393" i="1"/>
  <c r="CO1393" i="1"/>
  <c r="CQ1393" i="1"/>
  <c r="CS1393" i="1"/>
  <c r="CZ1393" i="1"/>
  <c r="Z1393" i="1"/>
  <c r="Z1394" i="1"/>
  <c r="AA1394" i="1"/>
  <c r="AB1394" i="1"/>
  <c r="CV1394" i="1"/>
  <c r="Y1394" i="1" s="1"/>
  <c r="AA1395" i="1"/>
  <c r="AB1395" i="1"/>
  <c r="CA1395" i="1"/>
  <c r="CV1395" i="1" s="1"/>
  <c r="Y1395" i="1" s="1"/>
  <c r="CZ1395" i="1"/>
  <c r="Z1395" i="1" s="1"/>
  <c r="Z1396" i="1"/>
  <c r="AA1396" i="1"/>
  <c r="AB1396" i="1"/>
  <c r="CV1396" i="1"/>
  <c r="Y1396" i="1" s="1"/>
  <c r="Z1397" i="1"/>
  <c r="AA1397" i="1"/>
  <c r="AB1397" i="1"/>
  <c r="CV1397" i="1"/>
  <c r="Y1397" i="1"/>
  <c r="Z1398" i="1"/>
  <c r="AA1398" i="1"/>
  <c r="AB1398" i="1"/>
  <c r="CV1398" i="1"/>
  <c r="Y1398" i="1"/>
  <c r="Z1399" i="1"/>
  <c r="AA1399" i="1"/>
  <c r="AB1399" i="1"/>
  <c r="CV1399" i="1"/>
  <c r="Y1399" i="1"/>
  <c r="Z1400" i="1"/>
  <c r="AA1400" i="1"/>
  <c r="AB1400" i="1"/>
  <c r="CV1400" i="1"/>
  <c r="Y1400" i="1" s="1"/>
  <c r="Z1401" i="1"/>
  <c r="AA1401" i="1"/>
  <c r="AB1401" i="1"/>
  <c r="CV1401" i="1"/>
  <c r="Y1401" i="1"/>
  <c r="Z1402" i="1"/>
  <c r="AA1402" i="1"/>
  <c r="AB1402" i="1"/>
  <c r="CV1402" i="1"/>
  <c r="Y1402" i="1"/>
  <c r="Z1403" i="1"/>
  <c r="AA1403" i="1"/>
  <c r="AB1403" i="1"/>
  <c r="CV1403" i="1"/>
  <c r="Y1403" i="1" s="1"/>
  <c r="Z1404" i="1"/>
  <c r="AA1404" i="1"/>
  <c r="AB1404" i="1"/>
  <c r="CV1404" i="1"/>
  <c r="Y1404" i="1" s="1"/>
  <c r="Z1405" i="1"/>
  <c r="AA1405" i="1"/>
  <c r="AB1405" i="1"/>
  <c r="CV1405" i="1"/>
  <c r="Y1405" i="1"/>
  <c r="M1406" i="1"/>
  <c r="Z1406" i="1"/>
  <c r="AA1406" i="1"/>
  <c r="AB1406" i="1"/>
  <c r="CV1406" i="1"/>
  <c r="Y1406" i="1" s="1"/>
  <c r="J1407" i="1"/>
  <c r="K1407" i="1"/>
  <c r="Z1407" i="1"/>
  <c r="AA1407" i="1"/>
  <c r="AB1407" i="1"/>
  <c r="CV1407" i="1"/>
  <c r="Y1407" i="1"/>
  <c r="Z1408" i="1"/>
  <c r="AA1408" i="1"/>
  <c r="AB1408" i="1"/>
  <c r="CV1408" i="1"/>
  <c r="Y1408" i="1" s="1"/>
  <c r="Z1409" i="1"/>
  <c r="AA1409" i="1"/>
  <c r="AB1409" i="1"/>
  <c r="CV1409" i="1"/>
  <c r="Y1409" i="1" s="1"/>
  <c r="Z1410" i="1"/>
  <c r="AA1410" i="1"/>
  <c r="AB1410" i="1"/>
  <c r="BA1410" i="1"/>
  <c r="BZ1410" i="1"/>
  <c r="CA1410" i="1"/>
  <c r="CH1410" i="1"/>
  <c r="CH2496" i="1" s="1"/>
  <c r="CI1410" i="1"/>
  <c r="CJ1410" i="1"/>
  <c r="CK1410" i="1"/>
  <c r="CP1410" i="1"/>
  <c r="CQ1410" i="1"/>
  <c r="Z1411" i="1"/>
  <c r="AA1411" i="1"/>
  <c r="AB1411" i="1"/>
  <c r="CV1411" i="1"/>
  <c r="Y1411" i="1"/>
  <c r="Z1412" i="1"/>
  <c r="AA1412" i="1"/>
  <c r="AB1412" i="1"/>
  <c r="CV1412" i="1"/>
  <c r="Y1412" i="1"/>
  <c r="Z1413" i="1"/>
  <c r="AA1413" i="1"/>
  <c r="AB1413" i="1"/>
  <c r="CV1413" i="1"/>
  <c r="Y1413" i="1" s="1"/>
  <c r="Z1414" i="1"/>
  <c r="AA1414" i="1"/>
  <c r="AB1414" i="1"/>
  <c r="CV1414" i="1"/>
  <c r="Y1414" i="1"/>
  <c r="Z1415" i="1"/>
  <c r="AA1415" i="1"/>
  <c r="AB1415" i="1"/>
  <c r="CV1415" i="1"/>
  <c r="Y1415" i="1"/>
  <c r="Z1416" i="1"/>
  <c r="AA1416" i="1"/>
  <c r="AB1416" i="1"/>
  <c r="CV1416" i="1"/>
  <c r="Y1416" i="1" s="1"/>
  <c r="Z1417" i="1"/>
  <c r="AA1417" i="1"/>
  <c r="AB1417" i="1"/>
  <c r="CV1417" i="1"/>
  <c r="Y1417" i="1" s="1"/>
  <c r="Z1418" i="1"/>
  <c r="AA1418" i="1"/>
  <c r="AB1418" i="1"/>
  <c r="CV1418" i="1"/>
  <c r="Y1418" i="1"/>
  <c r="Z1419" i="1"/>
  <c r="AA1419" i="1"/>
  <c r="AB1419" i="1"/>
  <c r="CV1419" i="1"/>
  <c r="Y1419" i="1"/>
  <c r="Z1420" i="1"/>
  <c r="AA1420" i="1"/>
  <c r="AB1420" i="1"/>
  <c r="CV1420" i="1"/>
  <c r="Y1420" i="1" s="1"/>
  <c r="AA1421" i="1"/>
  <c r="CA1421" i="1"/>
  <c r="CV1421" i="1"/>
  <c r="Y1421" i="1" s="1"/>
  <c r="CX1421" i="1"/>
  <c r="AB1421" i="1"/>
  <c r="CZ1421" i="1"/>
  <c r="Z1421" i="1" s="1"/>
  <c r="Z1422" i="1"/>
  <c r="AA1422" i="1"/>
  <c r="AB1422" i="1"/>
  <c r="CV1422" i="1"/>
  <c r="Y1422" i="1" s="1"/>
  <c r="Z1423" i="1"/>
  <c r="AA1423" i="1"/>
  <c r="AB1423" i="1"/>
  <c r="CV1423" i="1"/>
  <c r="Y1423" i="1"/>
  <c r="J1424" i="1"/>
  <c r="Z1424" i="1"/>
  <c r="AA1424" i="1"/>
  <c r="AB1424" i="1"/>
  <c r="CV1424" i="1"/>
  <c r="Y1424" i="1"/>
  <c r="Z1425" i="1"/>
  <c r="AA1425" i="1"/>
  <c r="AB1425" i="1"/>
  <c r="CV1425" i="1"/>
  <c r="Y1425" i="1" s="1"/>
  <c r="Z1426" i="1"/>
  <c r="AA1426" i="1"/>
  <c r="AB1426" i="1"/>
  <c r="CV1426" i="1"/>
  <c r="Y1426" i="1"/>
  <c r="J1427" i="1"/>
  <c r="Z1427" i="1"/>
  <c r="AA1427" i="1"/>
  <c r="AB1427" i="1"/>
  <c r="CV1427" i="1"/>
  <c r="Y1427" i="1"/>
  <c r="Z1428" i="1"/>
  <c r="AA1428" i="1"/>
  <c r="AB1428" i="1"/>
  <c r="CV1428" i="1"/>
  <c r="Y1428" i="1" s="1"/>
  <c r="Z1429" i="1"/>
  <c r="AA1429" i="1"/>
  <c r="AB1429" i="1"/>
  <c r="CV1429" i="1"/>
  <c r="Y1429" i="1"/>
  <c r="Z1430" i="1"/>
  <c r="AA1430" i="1"/>
  <c r="AB1430" i="1"/>
  <c r="CV1430" i="1"/>
  <c r="Y1430" i="1"/>
  <c r="Z1431" i="1"/>
  <c r="AA1431" i="1"/>
  <c r="AB1431" i="1"/>
  <c r="CV1431" i="1"/>
  <c r="Y1431" i="1" s="1"/>
  <c r="J1432" i="1"/>
  <c r="K1432" i="1"/>
  <c r="L1432" i="1"/>
  <c r="M1432" i="1"/>
  <c r="Z1432" i="1"/>
  <c r="AA1432" i="1"/>
  <c r="AB1432" i="1"/>
  <c r="CV1432" i="1"/>
  <c r="Y1432" i="1" s="1"/>
  <c r="Z1433" i="1"/>
  <c r="AA1433" i="1"/>
  <c r="AB1433" i="1"/>
  <c r="CV1433" i="1"/>
  <c r="Y1433" i="1"/>
  <c r="Z1434" i="1"/>
  <c r="AA1434" i="1"/>
  <c r="AB1434" i="1"/>
  <c r="CV1434" i="1"/>
  <c r="Y1434" i="1"/>
  <c r="Z1435" i="1"/>
  <c r="AA1435" i="1"/>
  <c r="AB1435" i="1"/>
  <c r="CV1435" i="1"/>
  <c r="Y1435" i="1" s="1"/>
  <c r="M1436" i="1"/>
  <c r="Z1436" i="1"/>
  <c r="AA1436" i="1"/>
  <c r="AB1436" i="1"/>
  <c r="CV1436" i="1"/>
  <c r="Y1436" i="1"/>
  <c r="Z1437" i="1"/>
  <c r="AA1437" i="1"/>
  <c r="AB1437" i="1"/>
  <c r="CV1437" i="1"/>
  <c r="Y1437" i="1"/>
  <c r="Z1438" i="1"/>
  <c r="AA1438" i="1"/>
  <c r="AB1438" i="1"/>
  <c r="CV1438" i="1"/>
  <c r="Y1438" i="1" s="1"/>
  <c r="AA1439" i="1"/>
  <c r="AB1439" i="1"/>
  <c r="AC1439" i="1"/>
  <c r="CO1439" i="1"/>
  <c r="CQ1439" i="1"/>
  <c r="CS1439" i="1"/>
  <c r="CZ1439" i="1"/>
  <c r="Z1439" i="1" s="1"/>
  <c r="AA1440" i="1"/>
  <c r="AB1440" i="1"/>
  <c r="CA1440" i="1"/>
  <c r="CV1440" i="1" s="1"/>
  <c r="Y1440" i="1" s="1"/>
  <c r="CZ1440" i="1"/>
  <c r="Z1440" i="1"/>
  <c r="Z1441" i="1"/>
  <c r="AA1441" i="1"/>
  <c r="AB1441" i="1"/>
  <c r="CV1441" i="1"/>
  <c r="Y1441" i="1"/>
  <c r="AA1442" i="1"/>
  <c r="AB1442" i="1"/>
  <c r="CA1442" i="1"/>
  <c r="CV1442" i="1"/>
  <c r="Y1442" i="1" s="1"/>
  <c r="CZ1442" i="1"/>
  <c r="Z1442" i="1"/>
  <c r="Z1443" i="1"/>
  <c r="AA1443" i="1"/>
  <c r="AB1443" i="1"/>
  <c r="CV1443" i="1"/>
  <c r="Y1443" i="1"/>
  <c r="Z1444" i="1"/>
  <c r="AA1444" i="1"/>
  <c r="AB1444" i="1"/>
  <c r="CV1444" i="1"/>
  <c r="Y1444" i="1" s="1"/>
  <c r="AA1445" i="1"/>
  <c r="AB1445" i="1"/>
  <c r="AC1445" i="1"/>
  <c r="BC1445" i="1"/>
  <c r="CK1445" i="1"/>
  <c r="CO1445" i="1"/>
  <c r="CQ1445" i="1"/>
  <c r="CS1445" i="1"/>
  <c r="CZ1445" i="1"/>
  <c r="Z1445" i="1"/>
  <c r="Z1446" i="1"/>
  <c r="AA1446" i="1"/>
  <c r="AB1446" i="1"/>
  <c r="CV1446" i="1"/>
  <c r="Y1446" i="1" s="1"/>
  <c r="Z1447" i="1"/>
  <c r="AA1447" i="1"/>
  <c r="AB1447" i="1"/>
  <c r="CV1447" i="1"/>
  <c r="Y1447" i="1" s="1"/>
  <c r="Z1448" i="1"/>
  <c r="AA1448" i="1"/>
  <c r="AB1448" i="1"/>
  <c r="CV1448" i="1"/>
  <c r="Y1448" i="1"/>
  <c r="Z1449" i="1"/>
  <c r="AA1449" i="1"/>
  <c r="AB1449" i="1"/>
  <c r="CV1449" i="1"/>
  <c r="Y1449" i="1"/>
  <c r="J1450" i="1"/>
  <c r="Z1450" i="1"/>
  <c r="AA1450" i="1"/>
  <c r="AB1450" i="1"/>
  <c r="CV1450" i="1"/>
  <c r="Y1450" i="1"/>
  <c r="J1451" i="1"/>
  <c r="Z1451" i="1"/>
  <c r="AA1451" i="1"/>
  <c r="AB1451" i="1"/>
  <c r="CV1451" i="1"/>
  <c r="Y1451" i="1"/>
  <c r="J1452" i="1"/>
  <c r="M1452" i="1"/>
  <c r="Z1452" i="1"/>
  <c r="AA1452" i="1"/>
  <c r="AB1452" i="1"/>
  <c r="CV1452" i="1"/>
  <c r="Y1452" i="1"/>
  <c r="J1453" i="1"/>
  <c r="Z1453" i="1"/>
  <c r="AA1453" i="1"/>
  <c r="AB1453" i="1"/>
  <c r="CV1453" i="1"/>
  <c r="Y1453" i="1" s="1"/>
  <c r="Z1454" i="1"/>
  <c r="AA1454" i="1"/>
  <c r="AB1454" i="1"/>
  <c r="CV1454" i="1"/>
  <c r="Y1454" i="1"/>
  <c r="Z1455" i="1"/>
  <c r="AA1455" i="1"/>
  <c r="AB1455" i="1"/>
  <c r="CV1455" i="1"/>
  <c r="Y1455" i="1"/>
  <c r="J1456" i="1"/>
  <c r="Z1456" i="1"/>
  <c r="AA1456" i="1"/>
  <c r="AB1456" i="1"/>
  <c r="CV1456" i="1"/>
  <c r="Y1456" i="1" s="1"/>
  <c r="J1457" i="1"/>
  <c r="Z1457" i="1"/>
  <c r="AA1457" i="1"/>
  <c r="AB1457" i="1"/>
  <c r="CV1457" i="1"/>
  <c r="Y1457" i="1"/>
  <c r="J1458" i="1"/>
  <c r="Z1458" i="1"/>
  <c r="AA1458" i="1"/>
  <c r="AB1458" i="1"/>
  <c r="CV1458" i="1"/>
  <c r="Y1458" i="1" s="1"/>
  <c r="J1459" i="1"/>
  <c r="Z1459" i="1"/>
  <c r="AA1459" i="1"/>
  <c r="AB1459" i="1"/>
  <c r="CV1459" i="1"/>
  <c r="Y1459" i="1"/>
  <c r="AA1460" i="1"/>
  <c r="AB1460" i="1"/>
  <c r="CO1460" i="1"/>
  <c r="CV1460" i="1"/>
  <c r="Y1460" i="1" s="1"/>
  <c r="AE1460" i="1" s="1"/>
  <c r="CZ1460" i="1"/>
  <c r="Z1460" i="1"/>
  <c r="Z1461" i="1"/>
  <c r="AA1461" i="1"/>
  <c r="AB1461" i="1"/>
  <c r="CV1461" i="1"/>
  <c r="Y1461" i="1"/>
  <c r="Z1462" i="1"/>
  <c r="AA1462" i="1"/>
  <c r="AB1462" i="1"/>
  <c r="CV1462" i="1"/>
  <c r="Y1462" i="1" s="1"/>
  <c r="Z1463" i="1"/>
  <c r="AA1463" i="1"/>
  <c r="AB1463" i="1"/>
  <c r="CV1463" i="1"/>
  <c r="Y1463" i="1"/>
  <c r="Z1464" i="1"/>
  <c r="AA1464" i="1"/>
  <c r="AB1464" i="1"/>
  <c r="CV1464" i="1"/>
  <c r="Y1464" i="1"/>
  <c r="Z1465" i="1"/>
  <c r="AA1465" i="1"/>
  <c r="AB1465" i="1"/>
  <c r="CV1465" i="1"/>
  <c r="Y1465" i="1"/>
  <c r="Z1466" i="1"/>
  <c r="AA1466" i="1"/>
  <c r="AB1466" i="1"/>
  <c r="CV1466" i="1"/>
  <c r="Y1466" i="1" s="1"/>
  <c r="Z1467" i="1"/>
  <c r="AA1467" i="1"/>
  <c r="AB1467" i="1"/>
  <c r="CV1467" i="1"/>
  <c r="Y1467" i="1"/>
  <c r="Z1468" i="1"/>
  <c r="AA1468" i="1"/>
  <c r="AB1468" i="1"/>
  <c r="CV1468" i="1"/>
  <c r="Y1468" i="1"/>
  <c r="Z1470" i="1"/>
  <c r="AA1470" i="1"/>
  <c r="AB1470" i="1"/>
  <c r="CV1470" i="1"/>
  <c r="Y1470" i="1" s="1"/>
  <c r="AA1471" i="1"/>
  <c r="AB1471" i="1"/>
  <c r="BA1471" i="1"/>
  <c r="CK1471" i="1"/>
  <c r="CQ1471" i="1"/>
  <c r="CS1471" i="1"/>
  <c r="CZ1471" i="1"/>
  <c r="Z1471" i="1" s="1"/>
  <c r="Z1472" i="1"/>
  <c r="AA1472" i="1"/>
  <c r="AB1472" i="1"/>
  <c r="CV1472" i="1"/>
  <c r="Y1472" i="1" s="1"/>
  <c r="Z1473" i="1"/>
  <c r="AA1473" i="1"/>
  <c r="AB1473" i="1"/>
  <c r="CV1473" i="1"/>
  <c r="Y1473" i="1"/>
  <c r="Z1474" i="1"/>
  <c r="AA1474" i="1"/>
  <c r="AB1474" i="1"/>
  <c r="CV1474" i="1"/>
  <c r="Y1474" i="1"/>
  <c r="Z1475" i="1"/>
  <c r="AA1475" i="1"/>
  <c r="AB1475" i="1"/>
  <c r="CV1475" i="1"/>
  <c r="Y1475" i="1" s="1"/>
  <c r="J1476" i="1"/>
  <c r="K1476" i="1"/>
  <c r="Z1476" i="1"/>
  <c r="AA1476" i="1"/>
  <c r="AB1476" i="1"/>
  <c r="CV1476" i="1"/>
  <c r="Y1476" i="1"/>
  <c r="Z1477" i="1"/>
  <c r="AA1477" i="1"/>
  <c r="AB1477" i="1"/>
  <c r="CV1477" i="1"/>
  <c r="Y1477" i="1" s="1"/>
  <c r="Z1478" i="1"/>
  <c r="AA1478" i="1"/>
  <c r="AB1478" i="1"/>
  <c r="CV1478" i="1"/>
  <c r="Y1478" i="1" s="1"/>
  <c r="Z1479" i="1"/>
  <c r="AA1479" i="1"/>
  <c r="AB1479" i="1"/>
  <c r="CV1479" i="1"/>
  <c r="Y1479" i="1"/>
  <c r="Z1480" i="1"/>
  <c r="AA1480" i="1"/>
  <c r="AB1480" i="1"/>
  <c r="CV1480" i="1"/>
  <c r="Y1480" i="1"/>
  <c r="Z1481" i="1"/>
  <c r="AA1481" i="1"/>
  <c r="AB1481" i="1"/>
  <c r="CV1481" i="1"/>
  <c r="Y1481" i="1" s="1"/>
  <c r="J1482" i="1"/>
  <c r="K1482" i="1"/>
  <c r="L1482" i="1"/>
  <c r="M1482" i="1"/>
  <c r="Z1482" i="1"/>
  <c r="AA1482" i="1"/>
  <c r="AB1482" i="1"/>
  <c r="CV1482" i="1"/>
  <c r="Y1482" i="1"/>
  <c r="Z1483" i="1"/>
  <c r="AA1483" i="1"/>
  <c r="AB1483" i="1"/>
  <c r="CV1483" i="1"/>
  <c r="Y1483" i="1"/>
  <c r="Z1484" i="1"/>
  <c r="AA1484" i="1"/>
  <c r="AB1484" i="1"/>
  <c r="CV1484" i="1"/>
  <c r="Y1484" i="1" s="1"/>
  <c r="Z1485" i="1"/>
  <c r="AA1485" i="1"/>
  <c r="AB1485" i="1"/>
  <c r="CV1485" i="1"/>
  <c r="Y1485" i="1" s="1"/>
  <c r="Z1486" i="1"/>
  <c r="AA1486" i="1"/>
  <c r="AB1486" i="1"/>
  <c r="CV1486" i="1"/>
  <c r="Y1486" i="1"/>
  <c r="Z1487" i="1"/>
  <c r="AA1487" i="1"/>
  <c r="AB1487" i="1"/>
  <c r="CV1487" i="1"/>
  <c r="Y1487" i="1"/>
  <c r="Z1488" i="1"/>
  <c r="AA1488" i="1"/>
  <c r="AB1488" i="1"/>
  <c r="CV1488" i="1"/>
  <c r="Y1488" i="1" s="1"/>
  <c r="Z1489" i="1"/>
  <c r="AA1489" i="1"/>
  <c r="AB1489" i="1"/>
  <c r="CV1489" i="1"/>
  <c r="Y1489" i="1" s="1"/>
  <c r="AA1490" i="1"/>
  <c r="AB1490" i="1"/>
  <c r="BC1490" i="1"/>
  <c r="CO1490" i="1"/>
  <c r="CY1490" i="1"/>
  <c r="CZ1490" i="1"/>
  <c r="Z1490" i="1"/>
  <c r="AA1491" i="1"/>
  <c r="AB1491" i="1"/>
  <c r="BC1491" i="1"/>
  <c r="CO1491" i="1"/>
  <c r="CY1491" i="1"/>
  <c r="CZ1491" i="1"/>
  <c r="Z1491" i="1"/>
  <c r="AA1492" i="1"/>
  <c r="AB1492" i="1"/>
  <c r="CV1492" i="1"/>
  <c r="Y1492" i="1"/>
  <c r="CZ1492" i="1"/>
  <c r="Z1492" i="1" s="1"/>
  <c r="AA1493" i="1"/>
  <c r="AB1493" i="1"/>
  <c r="BC1493" i="1"/>
  <c r="CO1493" i="1"/>
  <c r="CY1493" i="1"/>
  <c r="CZ1493" i="1"/>
  <c r="Z1493" i="1"/>
  <c r="AA1494" i="1"/>
  <c r="AB1494" i="1"/>
  <c r="CV1494" i="1"/>
  <c r="Y1494" i="1"/>
  <c r="CZ1494" i="1"/>
  <c r="Z1494" i="1"/>
  <c r="AA1495" i="1"/>
  <c r="AB1495" i="1"/>
  <c r="BC1495" i="1"/>
  <c r="CO1495" i="1"/>
  <c r="CY1495" i="1"/>
  <c r="CZ1495" i="1"/>
  <c r="Z1495" i="1" s="1"/>
  <c r="J1496" i="1"/>
  <c r="K1496" i="1"/>
  <c r="AA1496" i="1"/>
  <c r="AB1496" i="1"/>
  <c r="CV1496" i="1"/>
  <c r="Y1496" i="1"/>
  <c r="CZ1496" i="1"/>
  <c r="Z1496" i="1" s="1"/>
  <c r="AA1497" i="1"/>
  <c r="AB1497" i="1"/>
  <c r="CV1497" i="1"/>
  <c r="Y1497" i="1" s="1"/>
  <c r="CZ1497" i="1"/>
  <c r="Z1497" i="1"/>
  <c r="J1498" i="1"/>
  <c r="K1498" i="1"/>
  <c r="AA1498" i="1"/>
  <c r="AB1498" i="1"/>
  <c r="BC1498" i="1"/>
  <c r="CO1498" i="1"/>
  <c r="CY1498" i="1"/>
  <c r="CZ1498" i="1"/>
  <c r="Z1498" i="1"/>
  <c r="AA1499" i="1"/>
  <c r="AB1499" i="1"/>
  <c r="BC1499" i="1"/>
  <c r="CO1499" i="1"/>
  <c r="CY1499" i="1"/>
  <c r="CZ1499" i="1"/>
  <c r="Z1499" i="1"/>
  <c r="Z1501" i="1"/>
  <c r="AA1501" i="1"/>
  <c r="AB1501" i="1"/>
  <c r="CV1501" i="1"/>
  <c r="Y1501" i="1"/>
  <c r="Z1500" i="1"/>
  <c r="AA1500" i="1"/>
  <c r="AB1500" i="1"/>
  <c r="CV1500" i="1"/>
  <c r="Y1500" i="1" s="1"/>
  <c r="Z1502" i="1"/>
  <c r="AA1502" i="1"/>
  <c r="AB1502" i="1"/>
  <c r="CV1502" i="1"/>
  <c r="Y1502" i="1"/>
  <c r="Z1503" i="1"/>
  <c r="AA1503" i="1"/>
  <c r="AB1503" i="1"/>
  <c r="CV1503" i="1"/>
  <c r="Y1503" i="1"/>
  <c r="Z1504" i="1"/>
  <c r="AA1504" i="1"/>
  <c r="AB1504" i="1"/>
  <c r="CV1504" i="1"/>
  <c r="Y1504" i="1"/>
  <c r="J1506" i="1"/>
  <c r="AA1506" i="1"/>
  <c r="AB1506" i="1"/>
  <c r="BA1506" i="1"/>
  <c r="CQ1506" i="1"/>
  <c r="CZ1506" i="1"/>
  <c r="Z1506" i="1"/>
  <c r="Z1507" i="1"/>
  <c r="AA1507" i="1"/>
  <c r="AB1507" i="1"/>
  <c r="CV1507" i="1"/>
  <c r="Y1507" i="1"/>
  <c r="J1508" i="1"/>
  <c r="AA1508" i="1"/>
  <c r="AB1508" i="1"/>
  <c r="BA1508" i="1"/>
  <c r="CQ1508" i="1"/>
  <c r="CZ1508" i="1"/>
  <c r="Z1508" i="1"/>
  <c r="Z1509" i="1"/>
  <c r="AA1509" i="1"/>
  <c r="AB1509" i="1"/>
  <c r="CV1509" i="1"/>
  <c r="Y1509" i="1"/>
  <c r="J1510" i="1"/>
  <c r="AA1510" i="1"/>
  <c r="AB1510" i="1"/>
  <c r="BA1510" i="1"/>
  <c r="CQ1510" i="1"/>
  <c r="CZ1510" i="1"/>
  <c r="Z1510" i="1"/>
  <c r="Z1511" i="1"/>
  <c r="AA1511" i="1"/>
  <c r="AB1511" i="1"/>
  <c r="CV1511" i="1"/>
  <c r="Y1511" i="1"/>
  <c r="AA1512" i="1"/>
  <c r="AD1512" i="1"/>
  <c r="CA1512" i="1"/>
  <c r="CV1512" i="1"/>
  <c r="Y1512" i="1" s="1"/>
  <c r="CX1512" i="1"/>
  <c r="AB1512" i="1"/>
  <c r="CZ1512" i="1"/>
  <c r="Z1512" i="1" s="1"/>
  <c r="Z1513" i="1"/>
  <c r="AA1513" i="1"/>
  <c r="AB1513" i="1"/>
  <c r="CV1513" i="1"/>
  <c r="Y1513" i="1"/>
  <c r="Z1514" i="1"/>
  <c r="AA1514" i="1"/>
  <c r="AB1514" i="1"/>
  <c r="CV1514" i="1"/>
  <c r="Y1514" i="1"/>
  <c r="K1515" i="1"/>
  <c r="Z1515" i="1"/>
  <c r="AA1515" i="1"/>
  <c r="AB1515" i="1"/>
  <c r="CV1515" i="1"/>
  <c r="Y1515" i="1" s="1"/>
  <c r="Z1516" i="1"/>
  <c r="AA1516" i="1"/>
  <c r="AB1516" i="1"/>
  <c r="CV1516" i="1"/>
  <c r="Y1516" i="1"/>
  <c r="Z1517" i="1"/>
  <c r="AA1517" i="1"/>
  <c r="AB1517" i="1"/>
  <c r="CV1517" i="1"/>
  <c r="Y1517" i="1"/>
  <c r="Z1518" i="1"/>
  <c r="AA1518" i="1"/>
  <c r="AB1518" i="1"/>
  <c r="CV1518" i="1"/>
  <c r="Y1518" i="1"/>
  <c r="Z1519" i="1"/>
  <c r="AA1519" i="1"/>
  <c r="AB1519" i="1"/>
  <c r="CV1519" i="1"/>
  <c r="Y1519" i="1" s="1"/>
  <c r="AE1519" i="1" s="1"/>
  <c r="Z1520" i="1"/>
  <c r="AA1520" i="1"/>
  <c r="AB1520" i="1"/>
  <c r="CV1520" i="1"/>
  <c r="Y1520" i="1"/>
  <c r="Z1521" i="1"/>
  <c r="AA1521" i="1"/>
  <c r="AB1521" i="1"/>
  <c r="CV1521" i="1"/>
  <c r="Y1521" i="1" s="1"/>
  <c r="Z1522" i="1"/>
  <c r="AA1522" i="1"/>
  <c r="AB1522" i="1"/>
  <c r="CV1522" i="1"/>
  <c r="Y1522" i="1" s="1"/>
  <c r="AA1523" i="1"/>
  <c r="AB1523" i="1"/>
  <c r="BA1523" i="1"/>
  <c r="CQ1523" i="1"/>
  <c r="CZ1523" i="1"/>
  <c r="Z1523" i="1"/>
  <c r="Z1524" i="1"/>
  <c r="AA1524" i="1"/>
  <c r="AB1524" i="1"/>
  <c r="CV1524" i="1"/>
  <c r="Y1524" i="1" s="1"/>
  <c r="Z1525" i="1"/>
  <c r="AA1525" i="1"/>
  <c r="AB1525" i="1"/>
  <c r="CV1525" i="1"/>
  <c r="Y1525" i="1" s="1"/>
  <c r="Z1526" i="1"/>
  <c r="AA1526" i="1"/>
  <c r="AB1526" i="1"/>
  <c r="CV1526" i="1"/>
  <c r="Y1526" i="1"/>
  <c r="Z1527" i="1"/>
  <c r="AA1527" i="1"/>
  <c r="AB1527" i="1"/>
  <c r="CV1527" i="1"/>
  <c r="Y1527" i="1"/>
  <c r="Z1528" i="1"/>
  <c r="AA1528" i="1"/>
  <c r="AB1528" i="1"/>
  <c r="CV1528" i="1"/>
  <c r="Y1528" i="1"/>
  <c r="J1529" i="1"/>
  <c r="K1529" i="1"/>
  <c r="Z1529" i="1"/>
  <c r="AA1529" i="1"/>
  <c r="AB1529" i="1"/>
  <c r="CV1529" i="1"/>
  <c r="Y1529" i="1"/>
  <c r="Z1530" i="1"/>
  <c r="AA1530" i="1"/>
  <c r="AB1530" i="1"/>
  <c r="CV1530" i="1"/>
  <c r="Y1530" i="1"/>
  <c r="Z1531" i="1"/>
  <c r="AA1531" i="1"/>
  <c r="AB1531" i="1"/>
  <c r="CV1531" i="1"/>
  <c r="Y1531" i="1" s="1"/>
  <c r="Z1533" i="1"/>
  <c r="AA1533" i="1"/>
  <c r="AB1533" i="1"/>
  <c r="CV1533" i="1"/>
  <c r="Y1533" i="1"/>
  <c r="Z1534" i="1"/>
  <c r="AA1534" i="1"/>
  <c r="AB1534" i="1"/>
  <c r="AC1534" i="1"/>
  <c r="CV1534" i="1"/>
  <c r="Y1534" i="1"/>
  <c r="Z1535" i="1"/>
  <c r="AA1535" i="1"/>
  <c r="AB1535" i="1"/>
  <c r="CV1535" i="1"/>
  <c r="Y1535" i="1" s="1"/>
  <c r="J1536" i="1"/>
  <c r="Z1536" i="1"/>
  <c r="AA1536" i="1"/>
  <c r="AB1536" i="1"/>
  <c r="CV1536" i="1"/>
  <c r="Y1536" i="1"/>
  <c r="Z1537" i="1"/>
  <c r="AA1537" i="1"/>
  <c r="AB1537" i="1"/>
  <c r="CV1537" i="1"/>
  <c r="Y1537" i="1" s="1"/>
  <c r="Z1538" i="1"/>
  <c r="AA1538" i="1"/>
  <c r="AB1538" i="1"/>
  <c r="CV1538" i="1"/>
  <c r="Y1538" i="1" s="1"/>
  <c r="Z1539" i="1"/>
  <c r="AA1539" i="1"/>
  <c r="AB1539" i="1"/>
  <c r="CV1539" i="1"/>
  <c r="Y1539" i="1"/>
  <c r="Z1540" i="1"/>
  <c r="AA1540" i="1"/>
  <c r="AB1540" i="1"/>
  <c r="CV1540" i="1"/>
  <c r="Y1540" i="1"/>
  <c r="Z1541" i="1"/>
  <c r="AA1541" i="1"/>
  <c r="AB1541" i="1"/>
  <c r="CV1541" i="1"/>
  <c r="Y1541" i="1" s="1"/>
  <c r="AE1541" i="1" s="1"/>
  <c r="Z1542" i="1"/>
  <c r="AA1542" i="1"/>
  <c r="AB1542" i="1"/>
  <c r="CV1542" i="1"/>
  <c r="Y1542" i="1"/>
  <c r="Z1543" i="1"/>
  <c r="AA1543" i="1"/>
  <c r="AB1543" i="1"/>
  <c r="CV1543" i="1"/>
  <c r="Y1543" i="1"/>
  <c r="Z1544" i="1"/>
  <c r="AA1544" i="1"/>
  <c r="AB1544" i="1"/>
  <c r="CV1544" i="1"/>
  <c r="Y1544" i="1"/>
  <c r="Z1545" i="1"/>
  <c r="AA1545" i="1"/>
  <c r="AB1545" i="1"/>
  <c r="CV1545" i="1"/>
  <c r="Y1545" i="1" s="1"/>
  <c r="Z1546" i="1"/>
  <c r="AA1546" i="1"/>
  <c r="AB1546" i="1"/>
  <c r="CV1546" i="1"/>
  <c r="Y1546" i="1"/>
  <c r="Z1547" i="1"/>
  <c r="AA1547" i="1"/>
  <c r="AB1547" i="1"/>
  <c r="CV1547" i="1"/>
  <c r="Y1547" i="1"/>
  <c r="Z1548" i="1"/>
  <c r="AA1548" i="1"/>
  <c r="AB1548" i="1"/>
  <c r="CV1548" i="1"/>
  <c r="Y1548" i="1"/>
  <c r="Z1549" i="1"/>
  <c r="AA1549" i="1"/>
  <c r="AB1549" i="1"/>
  <c r="CV1549" i="1"/>
  <c r="Y1549" i="1" s="1"/>
  <c r="Z1550" i="1"/>
  <c r="AA1550" i="1"/>
  <c r="AB1550" i="1"/>
  <c r="CV1550" i="1"/>
  <c r="Y1550" i="1"/>
  <c r="Z1551" i="1"/>
  <c r="AA1551" i="1"/>
  <c r="AB1551" i="1"/>
  <c r="CV1551" i="1"/>
  <c r="Y1551" i="1"/>
  <c r="Z1552" i="1"/>
  <c r="AA1552" i="1"/>
  <c r="AB1552" i="1"/>
  <c r="CV1552" i="1"/>
  <c r="Y1552" i="1" s="1"/>
  <c r="Z1553" i="1"/>
  <c r="AA1553" i="1"/>
  <c r="AB1553" i="1"/>
  <c r="CV1553" i="1"/>
  <c r="Y1553" i="1" s="1"/>
  <c r="J1554" i="1"/>
  <c r="Z1554" i="1"/>
  <c r="AA1554" i="1"/>
  <c r="AB1554" i="1"/>
  <c r="CV1554" i="1"/>
  <c r="Y1554" i="1"/>
  <c r="Z1555" i="1"/>
  <c r="AA1555" i="1"/>
  <c r="AB1555" i="1"/>
  <c r="CV1555" i="1"/>
  <c r="Y1555" i="1" s="1"/>
  <c r="Z1556" i="1"/>
  <c r="AA1556" i="1"/>
  <c r="AB1556" i="1"/>
  <c r="CV1556" i="1"/>
  <c r="Y1556" i="1" s="1"/>
  <c r="Z1557" i="1"/>
  <c r="AA1557" i="1"/>
  <c r="AB1557" i="1"/>
  <c r="CV1557" i="1"/>
  <c r="Y1557" i="1"/>
  <c r="Z1558" i="1"/>
  <c r="AA1558" i="1"/>
  <c r="AB1558" i="1"/>
  <c r="CV1558" i="1"/>
  <c r="Y1558" i="1"/>
  <c r="Z1559" i="1"/>
  <c r="AA1559" i="1"/>
  <c r="AB1559" i="1"/>
  <c r="AC1559" i="1"/>
  <c r="CV1559" i="1"/>
  <c r="Y1559" i="1" s="1"/>
  <c r="Z1560" i="1"/>
  <c r="AA1560" i="1"/>
  <c r="AB1560" i="1"/>
  <c r="CV1560" i="1"/>
  <c r="Y1560" i="1"/>
  <c r="Z1561" i="1"/>
  <c r="AA1561" i="1"/>
  <c r="AB1561" i="1"/>
  <c r="CV1561" i="1"/>
  <c r="Y1561" i="1"/>
  <c r="Z1562" i="1"/>
  <c r="AA1562" i="1"/>
  <c r="AB1562" i="1"/>
  <c r="CV1562" i="1"/>
  <c r="Y1562" i="1"/>
  <c r="Z1563" i="1"/>
  <c r="AA1563" i="1"/>
  <c r="AB1563" i="1"/>
  <c r="CV1563" i="1"/>
  <c r="Y1563" i="1" s="1"/>
  <c r="Z1564" i="1"/>
  <c r="AA1564" i="1"/>
  <c r="AB1564" i="1"/>
  <c r="CV1564" i="1"/>
  <c r="Y1564" i="1"/>
  <c r="J1565" i="1"/>
  <c r="K1565" i="1"/>
  <c r="Z1565" i="1"/>
  <c r="AA1565" i="1"/>
  <c r="AB1565" i="1"/>
  <c r="CV1565" i="1"/>
  <c r="Y1565" i="1" s="1"/>
  <c r="Z1566" i="1"/>
  <c r="AA1566" i="1"/>
  <c r="AB1566" i="1"/>
  <c r="CV1566" i="1"/>
  <c r="Y1566" i="1"/>
  <c r="J1567" i="1"/>
  <c r="Z1567" i="1"/>
  <c r="AA1567" i="1"/>
  <c r="AB1567" i="1"/>
  <c r="CV1567" i="1"/>
  <c r="Y1567" i="1" s="1"/>
  <c r="AA1568" i="1"/>
  <c r="AB1568" i="1"/>
  <c r="BA1568" i="1"/>
  <c r="CQ1568" i="1"/>
  <c r="CZ1568" i="1"/>
  <c r="Z1568" i="1"/>
  <c r="J1569" i="1"/>
  <c r="AA1569" i="1"/>
  <c r="AB1569" i="1"/>
  <c r="BA1569" i="1"/>
  <c r="CQ1569" i="1"/>
  <c r="CZ1569" i="1"/>
  <c r="Z1569" i="1" s="1"/>
  <c r="Z1570" i="1"/>
  <c r="AA1570" i="1"/>
  <c r="AB1570" i="1"/>
  <c r="CV1570" i="1"/>
  <c r="Y1570" i="1"/>
  <c r="J1571" i="1"/>
  <c r="K1571" i="1"/>
  <c r="M1571" i="1"/>
  <c r="Z1571" i="1"/>
  <c r="AA1571" i="1"/>
  <c r="AB1571" i="1"/>
  <c r="CV1571" i="1"/>
  <c r="Y1571" i="1"/>
  <c r="Z1572" i="1"/>
  <c r="AA1572" i="1"/>
  <c r="AB1572" i="1"/>
  <c r="CV1572" i="1"/>
  <c r="Y1572" i="1"/>
  <c r="AA1573" i="1"/>
  <c r="AB1573" i="1"/>
  <c r="BA1573" i="1"/>
  <c r="CK1573" i="1"/>
  <c r="CQ1573" i="1"/>
  <c r="CS1573" i="1"/>
  <c r="CZ1573" i="1"/>
  <c r="Z1573" i="1"/>
  <c r="Z1574" i="1"/>
  <c r="AA1574" i="1"/>
  <c r="AB1574" i="1"/>
  <c r="CV1574" i="1"/>
  <c r="Y1574" i="1"/>
  <c r="AA1575" i="1"/>
  <c r="AB1575" i="1"/>
  <c r="BA1575" i="1"/>
  <c r="CK1575" i="1"/>
  <c r="CQ1575" i="1"/>
  <c r="CS1575" i="1"/>
  <c r="CZ1575" i="1"/>
  <c r="Z1575" i="1"/>
  <c r="AA1576" i="1"/>
  <c r="AB1576" i="1"/>
  <c r="BA1576" i="1"/>
  <c r="CK1576" i="1"/>
  <c r="CQ1576" i="1"/>
  <c r="CS1576" i="1"/>
  <c r="CZ1576" i="1"/>
  <c r="Z1576" i="1"/>
  <c r="Z1577" i="1"/>
  <c r="AA1577" i="1"/>
  <c r="AB1577" i="1"/>
  <c r="BC1577" i="1"/>
  <c r="CO1577" i="1"/>
  <c r="Z1578" i="1"/>
  <c r="AA1578" i="1"/>
  <c r="AB1578" i="1"/>
  <c r="CV1578" i="1"/>
  <c r="Y1578" i="1"/>
  <c r="K1579" i="1"/>
  <c r="Z1579" i="1"/>
  <c r="AA1579" i="1"/>
  <c r="AB1579" i="1"/>
  <c r="CV1579" i="1"/>
  <c r="Y1579" i="1"/>
  <c r="K1580" i="1"/>
  <c r="M1580" i="1"/>
  <c r="Z1580" i="1"/>
  <c r="AA1580" i="1"/>
  <c r="AB1580" i="1"/>
  <c r="CV1580" i="1"/>
  <c r="Y1580" i="1"/>
  <c r="Z1581" i="1"/>
  <c r="AA1581" i="1"/>
  <c r="AB1581" i="1"/>
  <c r="CV1581" i="1"/>
  <c r="Y1581" i="1"/>
  <c r="J1582" i="1"/>
  <c r="AA1582" i="1"/>
  <c r="AB1582" i="1"/>
  <c r="BA1582" i="1"/>
  <c r="CQ1582" i="1"/>
  <c r="CZ1582" i="1"/>
  <c r="Z1582" i="1"/>
  <c r="J1583" i="1"/>
  <c r="Z1583" i="1"/>
  <c r="AA1583" i="1"/>
  <c r="AB1583" i="1"/>
  <c r="CV1583" i="1"/>
  <c r="Y1583" i="1" s="1"/>
  <c r="Z1584" i="1"/>
  <c r="AA1584" i="1"/>
  <c r="AB1584" i="1"/>
  <c r="CV1584" i="1"/>
  <c r="Y1584" i="1"/>
  <c r="Z1585" i="1"/>
  <c r="AA1585" i="1"/>
  <c r="AB1585" i="1"/>
  <c r="CV1585" i="1"/>
  <c r="Y1585" i="1"/>
  <c r="AA1586" i="1"/>
  <c r="AB1586" i="1"/>
  <c r="CV1586" i="1"/>
  <c r="Y1586" i="1"/>
  <c r="CZ1586" i="1"/>
  <c r="Z1586" i="1" s="1"/>
  <c r="Z1587" i="1"/>
  <c r="AA1587" i="1"/>
  <c r="AB1587" i="1"/>
  <c r="CV1587" i="1"/>
  <c r="Y1587" i="1"/>
  <c r="Z1588" i="1"/>
  <c r="AA1588" i="1"/>
  <c r="AB1588" i="1"/>
  <c r="CV1588" i="1"/>
  <c r="Y1588" i="1"/>
  <c r="J1589" i="1"/>
  <c r="AA1589" i="1"/>
  <c r="AB1589" i="1"/>
  <c r="CV1589" i="1"/>
  <c r="Y1589" i="1" s="1"/>
  <c r="CZ1589" i="1"/>
  <c r="Z1589" i="1"/>
  <c r="Z1590" i="1"/>
  <c r="AA1590" i="1"/>
  <c r="AB1590" i="1"/>
  <c r="CV1590" i="1"/>
  <c r="Y1590" i="1"/>
  <c r="AA1591" i="1"/>
  <c r="AB1591" i="1"/>
  <c r="BM1591" i="1"/>
  <c r="CO1591" i="1"/>
  <c r="CQ1591" i="1"/>
  <c r="CS1591" i="1"/>
  <c r="CZ1591" i="1"/>
  <c r="Z1591" i="1"/>
  <c r="AA1592" i="1"/>
  <c r="AB1592" i="1"/>
  <c r="AC1592" i="1"/>
  <c r="BA1592" i="1"/>
  <c r="CO1592" i="1"/>
  <c r="CQ1592" i="1"/>
  <c r="CZ1592" i="1"/>
  <c r="Z1592" i="1" s="1"/>
  <c r="Z1593" i="1"/>
  <c r="AA1593" i="1"/>
  <c r="AB1593" i="1"/>
  <c r="CV1593" i="1"/>
  <c r="Y1593" i="1"/>
  <c r="J1594" i="1"/>
  <c r="K1594" i="1"/>
  <c r="Z1594" i="1"/>
  <c r="AA1594" i="1"/>
  <c r="AB1594" i="1"/>
  <c r="CV1594" i="1"/>
  <c r="Y1594" i="1" s="1"/>
  <c r="Z1595" i="1"/>
  <c r="AA1595" i="1"/>
  <c r="AB1595" i="1"/>
  <c r="CV1595" i="1"/>
  <c r="Y1595" i="1"/>
  <c r="AA1596" i="1"/>
  <c r="AB1596" i="1"/>
  <c r="BC1596" i="1"/>
  <c r="CO1596" i="1"/>
  <c r="CY1596" i="1"/>
  <c r="CZ1596" i="1"/>
  <c r="Z1596" i="1" s="1"/>
  <c r="AA1597" i="1"/>
  <c r="AB1597" i="1"/>
  <c r="CV1597" i="1"/>
  <c r="Y1597" i="1" s="1"/>
  <c r="CZ1597" i="1"/>
  <c r="Z1597" i="1"/>
  <c r="AA1598" i="1"/>
  <c r="AB1598" i="1"/>
  <c r="CO1598" i="1"/>
  <c r="CV1598" i="1"/>
  <c r="Y1598" i="1"/>
  <c r="CY1598" i="1"/>
  <c r="CZ1598" i="1"/>
  <c r="Z1598" i="1"/>
  <c r="Z1599" i="1"/>
  <c r="AA1599" i="1"/>
  <c r="AB1599" i="1"/>
  <c r="CV1599" i="1"/>
  <c r="Y1599" i="1"/>
  <c r="AA1604" i="1"/>
  <c r="CV1604" i="1"/>
  <c r="Y1604" i="1"/>
  <c r="CX1604" i="1"/>
  <c r="AB1604" i="1" s="1"/>
  <c r="CZ1604" i="1"/>
  <c r="Z1604" i="1"/>
  <c r="Z1600" i="1"/>
  <c r="AA1600" i="1"/>
  <c r="AB1600" i="1"/>
  <c r="CV1600" i="1"/>
  <c r="Y1600" i="1"/>
  <c r="Z1601" i="1"/>
  <c r="AA1601" i="1"/>
  <c r="AB1601" i="1"/>
  <c r="CV1601" i="1"/>
  <c r="Y1601" i="1" s="1"/>
  <c r="Z1602" i="1"/>
  <c r="AA1602" i="1"/>
  <c r="AB1602" i="1"/>
  <c r="CV1602" i="1"/>
  <c r="Y1602" i="1"/>
  <c r="Z1603" i="1"/>
  <c r="AA1603" i="1"/>
  <c r="AB1603" i="1"/>
  <c r="CV1603" i="1"/>
  <c r="Y1603" i="1"/>
  <c r="Z1605" i="1"/>
  <c r="AA1605" i="1"/>
  <c r="AB1605" i="1"/>
  <c r="CV1605" i="1"/>
  <c r="Y1605" i="1" s="1"/>
  <c r="Z1606" i="1"/>
  <c r="AA1606" i="1"/>
  <c r="AB1606" i="1"/>
  <c r="CV1606" i="1"/>
  <c r="Y1606" i="1" s="1"/>
  <c r="Z1607" i="1"/>
  <c r="AA1607" i="1"/>
  <c r="AB1607" i="1"/>
  <c r="CV1607" i="1"/>
  <c r="Y1607" i="1"/>
  <c r="J1608" i="1"/>
  <c r="K1608" i="1"/>
  <c r="Z1608" i="1"/>
  <c r="AA1608" i="1"/>
  <c r="AB1608" i="1"/>
  <c r="CV1608" i="1"/>
  <c r="Y1608" i="1" s="1"/>
  <c r="J1610" i="1"/>
  <c r="K1610" i="1"/>
  <c r="AA1610" i="1"/>
  <c r="AC1610" i="1"/>
  <c r="BA1610" i="1"/>
  <c r="CA1610" i="1"/>
  <c r="CK1610" i="1"/>
  <c r="CN1610" i="1"/>
  <c r="CO1610" i="1"/>
  <c r="CP1610" i="1"/>
  <c r="CQ1610" i="1"/>
  <c r="CX1610" i="1"/>
  <c r="AB1610" i="1"/>
  <c r="CY1610" i="1"/>
  <c r="CZ1610" i="1"/>
  <c r="Z1610" i="1" s="1"/>
  <c r="J1611" i="1"/>
  <c r="K1611" i="1"/>
  <c r="AA1611" i="1"/>
  <c r="AB1611" i="1"/>
  <c r="AC1611" i="1"/>
  <c r="BA1611" i="1"/>
  <c r="CO1611" i="1"/>
  <c r="CQ1611" i="1"/>
  <c r="CZ1611" i="1"/>
  <c r="Z1611" i="1"/>
  <c r="AA1612" i="1"/>
  <c r="AB1612" i="1"/>
  <c r="BA1612" i="1"/>
  <c r="CK1612" i="1"/>
  <c r="CQ1612" i="1"/>
  <c r="CS1612" i="1"/>
  <c r="CZ1612" i="1"/>
  <c r="Z1612" i="1"/>
  <c r="Z1613" i="1"/>
  <c r="AA1613" i="1"/>
  <c r="AB1613" i="1"/>
  <c r="CV1613" i="1"/>
  <c r="Y1613" i="1"/>
  <c r="AA1614" i="1"/>
  <c r="AB1614" i="1"/>
  <c r="BA1614" i="1"/>
  <c r="CK1614" i="1"/>
  <c r="CQ1614" i="1"/>
  <c r="CS1614" i="1"/>
  <c r="CZ1614" i="1"/>
  <c r="Z1614" i="1"/>
  <c r="Z1615" i="1"/>
  <c r="AA1615" i="1"/>
  <c r="AB1615" i="1"/>
  <c r="CV1615" i="1"/>
  <c r="Y1615" i="1" s="1"/>
  <c r="Z1616" i="1"/>
  <c r="AA1616" i="1"/>
  <c r="AB1616" i="1"/>
  <c r="CV1616" i="1"/>
  <c r="Y1616" i="1"/>
  <c r="AA1617" i="1"/>
  <c r="AB1617" i="1"/>
  <c r="BA1617" i="1"/>
  <c r="CK1617" i="1"/>
  <c r="CQ1617" i="1"/>
  <c r="CS1617" i="1"/>
  <c r="CZ1617" i="1"/>
  <c r="Z1617" i="1"/>
  <c r="Z1618" i="1"/>
  <c r="AA1618" i="1"/>
  <c r="AB1618" i="1"/>
  <c r="CV1618" i="1"/>
  <c r="Y1618" i="1"/>
  <c r="AA1619" i="1"/>
  <c r="AB1619" i="1"/>
  <c r="BA1619" i="1"/>
  <c r="CK1619" i="1"/>
  <c r="CQ1619" i="1"/>
  <c r="CS1619" i="1"/>
  <c r="CZ1619" i="1"/>
  <c r="Z1619" i="1"/>
  <c r="AA1620" i="1"/>
  <c r="AB1620" i="1"/>
  <c r="BA1620" i="1"/>
  <c r="CK1620" i="1"/>
  <c r="CQ1620" i="1"/>
  <c r="CS1620" i="1"/>
  <c r="CZ1620" i="1"/>
  <c r="Z1620" i="1"/>
  <c r="AA1621" i="1"/>
  <c r="AB1621" i="1"/>
  <c r="BA1621" i="1"/>
  <c r="CK1621" i="1"/>
  <c r="CQ1621" i="1"/>
  <c r="CS1621" i="1"/>
  <c r="CZ1621" i="1"/>
  <c r="Z1621" i="1"/>
  <c r="Z1622" i="1"/>
  <c r="AA1622" i="1"/>
  <c r="AB1622" i="1"/>
  <c r="CV1622" i="1"/>
  <c r="Y1622" i="1" s="1"/>
  <c r="AA1623" i="1"/>
  <c r="AB1623" i="1"/>
  <c r="BA1623" i="1"/>
  <c r="CK1623" i="1"/>
  <c r="CQ1623" i="1"/>
  <c r="CS1623" i="1"/>
  <c r="CZ1623" i="1"/>
  <c r="Z1623" i="1" s="1"/>
  <c r="Z1624" i="1"/>
  <c r="AA1624" i="1"/>
  <c r="AB1624" i="1"/>
  <c r="CV1624" i="1"/>
  <c r="Y1624" i="1" s="1"/>
  <c r="AA1625" i="1"/>
  <c r="AB1625" i="1"/>
  <c r="BA1625" i="1"/>
  <c r="CK1625" i="1"/>
  <c r="CQ1625" i="1"/>
  <c r="CS1625" i="1"/>
  <c r="CZ1625" i="1"/>
  <c r="Z1625" i="1"/>
  <c r="Z1626" i="1"/>
  <c r="AA1626" i="1"/>
  <c r="AB1626" i="1"/>
  <c r="CV1626" i="1"/>
  <c r="Y1626" i="1"/>
  <c r="Z1627" i="1"/>
  <c r="AA1627" i="1"/>
  <c r="AB1627" i="1"/>
  <c r="CV1627" i="1"/>
  <c r="Y1627" i="1"/>
  <c r="Z1628" i="1"/>
  <c r="AA1628" i="1"/>
  <c r="AB1628" i="1"/>
  <c r="CV1628" i="1"/>
  <c r="Y1628" i="1" s="1"/>
  <c r="Z1629" i="1"/>
  <c r="AA1629" i="1"/>
  <c r="AB1629" i="1"/>
  <c r="CV1629" i="1"/>
  <c r="Y1629" i="1"/>
  <c r="Z1630" i="1"/>
  <c r="AA1630" i="1"/>
  <c r="AB1630" i="1"/>
  <c r="CV1630" i="1"/>
  <c r="Y1630" i="1"/>
  <c r="Z1631" i="1"/>
  <c r="AA1631" i="1"/>
  <c r="AB1631" i="1"/>
  <c r="CV1631" i="1"/>
  <c r="Y1631" i="1"/>
  <c r="Z1632" i="1"/>
  <c r="AA1632" i="1"/>
  <c r="AB1632" i="1"/>
  <c r="CV1632" i="1"/>
  <c r="Y1632" i="1" s="1"/>
  <c r="Z1633" i="1"/>
  <c r="AA1633" i="1"/>
  <c r="AB1633" i="1"/>
  <c r="CV1633" i="1"/>
  <c r="Y1633" i="1"/>
  <c r="Z1634" i="1"/>
  <c r="AA1634" i="1"/>
  <c r="AB1634" i="1"/>
  <c r="CV1634" i="1"/>
  <c r="Y1634" i="1"/>
  <c r="Z1635" i="1"/>
  <c r="AA1635" i="1"/>
  <c r="AB1635" i="1"/>
  <c r="CV1635" i="1"/>
  <c r="Y1635" i="1" s="1"/>
  <c r="Z1636" i="1"/>
  <c r="AA1636" i="1"/>
  <c r="AB1636" i="1"/>
  <c r="CV1636" i="1"/>
  <c r="Y1636" i="1" s="1"/>
  <c r="Z1637" i="1"/>
  <c r="AA1637" i="1"/>
  <c r="AB1637" i="1"/>
  <c r="CV1637" i="1"/>
  <c r="Y1637" i="1"/>
  <c r="Z1638" i="1"/>
  <c r="AA1638" i="1"/>
  <c r="AB1638" i="1"/>
  <c r="CV1638" i="1"/>
  <c r="Y1638" i="1"/>
  <c r="Z1639" i="1"/>
  <c r="AA1639" i="1"/>
  <c r="AB1639" i="1"/>
  <c r="CV1639" i="1"/>
  <c r="Y1639" i="1" s="1"/>
  <c r="Z1640" i="1"/>
  <c r="AA1640" i="1"/>
  <c r="AB1640" i="1"/>
  <c r="CV1640" i="1"/>
  <c r="Y1640" i="1" s="1"/>
  <c r="Z1641" i="1"/>
  <c r="AA1641" i="1"/>
  <c r="AB1641" i="1"/>
  <c r="AE1641" i="1" s="1"/>
  <c r="CV1641" i="1"/>
  <c r="Y1641" i="1"/>
  <c r="Z1642" i="1"/>
  <c r="AA1642" i="1"/>
  <c r="AB1642" i="1"/>
  <c r="CV1642" i="1"/>
  <c r="Y1642" i="1"/>
  <c r="Z1643" i="1"/>
  <c r="AA1643" i="1"/>
  <c r="AB1643" i="1"/>
  <c r="CV1643" i="1"/>
  <c r="Y1643" i="1" s="1"/>
  <c r="Z1644" i="1"/>
  <c r="AA1644" i="1"/>
  <c r="AB1644" i="1"/>
  <c r="CV1644" i="1"/>
  <c r="Y1644" i="1"/>
  <c r="Z1645" i="1"/>
  <c r="AA1645" i="1"/>
  <c r="AB1645" i="1"/>
  <c r="CV1645" i="1"/>
  <c r="Y1645" i="1"/>
  <c r="Z1646" i="1"/>
  <c r="AA1646" i="1"/>
  <c r="AB1646" i="1"/>
  <c r="CV1646" i="1"/>
  <c r="Y1646" i="1"/>
  <c r="Z1647" i="1"/>
  <c r="AA1647" i="1"/>
  <c r="AB1647" i="1"/>
  <c r="CV1647" i="1"/>
  <c r="Y1647" i="1" s="1"/>
  <c r="Z1648" i="1"/>
  <c r="AA1648" i="1"/>
  <c r="AB1648" i="1"/>
  <c r="CV1648" i="1"/>
  <c r="Y1648" i="1"/>
  <c r="Z1649" i="1"/>
  <c r="AA1649" i="1"/>
  <c r="AB1649" i="1"/>
  <c r="CV1649" i="1"/>
  <c r="Y1649" i="1"/>
  <c r="J1650" i="1"/>
  <c r="AA1650" i="1"/>
  <c r="AB1650" i="1"/>
  <c r="BA1650" i="1"/>
  <c r="CQ1650" i="1"/>
  <c r="CZ1650" i="1"/>
  <c r="Z1650" i="1"/>
  <c r="AA1651" i="1"/>
  <c r="AB1651" i="1"/>
  <c r="BA1651" i="1"/>
  <c r="CQ1651" i="1"/>
  <c r="CZ1651" i="1"/>
  <c r="Z1651" i="1" s="1"/>
  <c r="Z1652" i="1"/>
  <c r="AA1652" i="1"/>
  <c r="AB1652" i="1"/>
  <c r="CV1652" i="1"/>
  <c r="Y1652" i="1" s="1"/>
  <c r="Z1653" i="1"/>
  <c r="AA1653" i="1"/>
  <c r="AB1653" i="1"/>
  <c r="CV1653" i="1"/>
  <c r="Y1653" i="1"/>
  <c r="J1654" i="1"/>
  <c r="Z1654" i="1"/>
  <c r="AA1654" i="1"/>
  <c r="AB1654" i="1"/>
  <c r="CV1654" i="1"/>
  <c r="Y1654" i="1" s="1"/>
  <c r="J1655" i="1"/>
  <c r="AA1655" i="1"/>
  <c r="AB1655" i="1"/>
  <c r="BA1655" i="1"/>
  <c r="CK1655" i="1"/>
  <c r="CQ1655" i="1"/>
  <c r="CS1655" i="1"/>
  <c r="CZ1655" i="1"/>
  <c r="Z1655" i="1" s="1"/>
  <c r="Z1656" i="1"/>
  <c r="AA1656" i="1"/>
  <c r="AB1656" i="1"/>
  <c r="CV1656" i="1"/>
  <c r="Y1656" i="1"/>
  <c r="Z1657" i="1"/>
  <c r="AA1657" i="1"/>
  <c r="AB1657" i="1"/>
  <c r="CV1657" i="1"/>
  <c r="Y1657" i="1"/>
  <c r="Z1658" i="1"/>
  <c r="AA1658" i="1"/>
  <c r="AB1658" i="1"/>
  <c r="CV1658" i="1"/>
  <c r="Y1658" i="1"/>
  <c r="Z1659" i="1"/>
  <c r="AA1659" i="1"/>
  <c r="AB1659" i="1"/>
  <c r="CV1659" i="1"/>
  <c r="Y1659" i="1" s="1"/>
  <c r="Z1660" i="1"/>
  <c r="AA1660" i="1"/>
  <c r="AB1660" i="1"/>
  <c r="CV1660" i="1"/>
  <c r="Y1660" i="1"/>
  <c r="J1661" i="1"/>
  <c r="K1661" i="1"/>
  <c r="M1661" i="1"/>
  <c r="Z1661" i="1"/>
  <c r="AA1661" i="1"/>
  <c r="AB1661" i="1"/>
  <c r="CV1661" i="1"/>
  <c r="Y1661" i="1"/>
  <c r="J1662" i="1"/>
  <c r="Z1662" i="1"/>
  <c r="AA1662" i="1"/>
  <c r="AB1662" i="1"/>
  <c r="CV1662" i="1"/>
  <c r="Y1662" i="1"/>
  <c r="J1663" i="1"/>
  <c r="Z1663" i="1"/>
  <c r="AA1663" i="1"/>
  <c r="AB1663" i="1"/>
  <c r="CV1663" i="1"/>
  <c r="Y1663" i="1"/>
  <c r="Z1664" i="1"/>
  <c r="AA1664" i="1"/>
  <c r="AB1664" i="1"/>
  <c r="CV1664" i="1"/>
  <c r="Y1664" i="1"/>
  <c r="Z1665" i="1"/>
  <c r="AA1665" i="1"/>
  <c r="AB1665" i="1"/>
  <c r="CV1665" i="1"/>
  <c r="Y1665" i="1"/>
  <c r="Z1666" i="1"/>
  <c r="AA1666" i="1"/>
  <c r="AB1666" i="1"/>
  <c r="CV1666" i="1"/>
  <c r="Y1666" i="1" s="1"/>
  <c r="Z1667" i="1"/>
  <c r="AA1667" i="1"/>
  <c r="AB1667" i="1"/>
  <c r="CV1667" i="1"/>
  <c r="Y1667" i="1"/>
  <c r="J1668" i="1"/>
  <c r="K1668" i="1"/>
  <c r="Z1668" i="1"/>
  <c r="AA1668" i="1"/>
  <c r="AB1668" i="1"/>
  <c r="CV1668" i="1"/>
  <c r="Y1668" i="1" s="1"/>
  <c r="AA1669" i="1"/>
  <c r="AB1669" i="1"/>
  <c r="BA1669" i="1"/>
  <c r="CQ1669" i="1"/>
  <c r="CZ1669" i="1"/>
  <c r="Z1669" i="1"/>
  <c r="Z1670" i="1"/>
  <c r="AA1670" i="1"/>
  <c r="AB1670" i="1"/>
  <c r="CV1670" i="1"/>
  <c r="Y1670" i="1" s="1"/>
  <c r="Z1671" i="1"/>
  <c r="AA1671" i="1"/>
  <c r="AB1671" i="1"/>
  <c r="CV1671" i="1"/>
  <c r="Y1671" i="1" s="1"/>
  <c r="Z1672" i="1"/>
  <c r="AA1672" i="1"/>
  <c r="AB1672" i="1"/>
  <c r="CV1672" i="1"/>
  <c r="Y1672" i="1"/>
  <c r="Z1673" i="1"/>
  <c r="AA1673" i="1"/>
  <c r="AB1673" i="1"/>
  <c r="CV1673" i="1"/>
  <c r="Y1673" i="1"/>
  <c r="Z1674" i="1"/>
  <c r="AA1674" i="1"/>
  <c r="AB1674" i="1"/>
  <c r="CV1674" i="1"/>
  <c r="Y1674" i="1"/>
  <c r="Z1675" i="1"/>
  <c r="AA1675" i="1"/>
  <c r="AB1675" i="1"/>
  <c r="CV1675" i="1"/>
  <c r="Y1675" i="1" s="1"/>
  <c r="Z1676" i="1"/>
  <c r="AA1676" i="1"/>
  <c r="AB1676" i="1"/>
  <c r="CV1676" i="1"/>
  <c r="Y1676" i="1"/>
  <c r="Z1677" i="1"/>
  <c r="AA1677" i="1"/>
  <c r="CV1677" i="1"/>
  <c r="Y1677" i="1"/>
  <c r="CX1677" i="1"/>
  <c r="AB1677" i="1"/>
  <c r="Z1678" i="1"/>
  <c r="AA1678" i="1"/>
  <c r="AB1678" i="1"/>
  <c r="CV1678" i="1"/>
  <c r="Y1678" i="1" s="1"/>
  <c r="Z1679" i="1"/>
  <c r="AA1679" i="1"/>
  <c r="AB1679" i="1"/>
  <c r="CQ1679" i="1"/>
  <c r="CV1679" i="1"/>
  <c r="Y1679" i="1"/>
  <c r="Z1680" i="1"/>
  <c r="AA1680" i="1"/>
  <c r="AB1680" i="1"/>
  <c r="CV1680" i="1"/>
  <c r="Y1680" i="1" s="1"/>
  <c r="Z1681" i="1"/>
  <c r="AA1681" i="1"/>
  <c r="AB1681" i="1"/>
  <c r="CV1681" i="1"/>
  <c r="Y1681" i="1" s="1"/>
  <c r="Z1682" i="1"/>
  <c r="AA1682" i="1"/>
  <c r="AB1682" i="1"/>
  <c r="CV1682" i="1"/>
  <c r="Y1682" i="1"/>
  <c r="J1683" i="1"/>
  <c r="K1683" i="1"/>
  <c r="Z1683" i="1"/>
  <c r="AA1683" i="1"/>
  <c r="AB1683" i="1"/>
  <c r="CV1683" i="1"/>
  <c r="Y1683" i="1"/>
  <c r="Z1684" i="1"/>
  <c r="AA1684" i="1"/>
  <c r="AB1684" i="1"/>
  <c r="CV1684" i="1"/>
  <c r="Y1684" i="1"/>
  <c r="Z1685" i="1"/>
  <c r="AA1685" i="1"/>
  <c r="AB1685" i="1"/>
  <c r="CV1685" i="1"/>
  <c r="Y1685" i="1"/>
  <c r="Z1686" i="1"/>
  <c r="AA1686" i="1"/>
  <c r="AB1686" i="1"/>
  <c r="CV1686" i="1"/>
  <c r="Y1686" i="1" s="1"/>
  <c r="Z1687" i="1"/>
  <c r="AA1687" i="1"/>
  <c r="AB1687" i="1"/>
  <c r="CV1687" i="1"/>
  <c r="Y1687" i="1"/>
  <c r="Z1688" i="1"/>
  <c r="AA1688" i="1"/>
  <c r="AB1688" i="1"/>
  <c r="CV1688" i="1"/>
  <c r="Y1688" i="1"/>
  <c r="Z1689" i="1"/>
  <c r="AA1689" i="1"/>
  <c r="AB1689" i="1"/>
  <c r="CV1689" i="1"/>
  <c r="Y1689" i="1"/>
  <c r="Z1690" i="1"/>
  <c r="AA1690" i="1"/>
  <c r="AB1690" i="1"/>
  <c r="CV1690" i="1"/>
  <c r="Y1690" i="1" s="1"/>
  <c r="Z1691" i="1"/>
  <c r="AA1691" i="1"/>
  <c r="AB1691" i="1"/>
  <c r="CV1691" i="1"/>
  <c r="Y1691" i="1"/>
  <c r="Z1693" i="1"/>
  <c r="AA1693" i="1"/>
  <c r="AB1693" i="1"/>
  <c r="CV1693" i="1"/>
  <c r="Y1693" i="1"/>
  <c r="Z1694" i="1"/>
  <c r="AA1694" i="1"/>
  <c r="AB1694" i="1"/>
  <c r="CV1694" i="1"/>
  <c r="Y1694" i="1" s="1"/>
  <c r="Z1695" i="1"/>
  <c r="AA1695" i="1"/>
  <c r="AB1695" i="1"/>
  <c r="CV1695" i="1"/>
  <c r="Y1695" i="1" s="1"/>
  <c r="Z1696" i="1"/>
  <c r="AA1696" i="1"/>
  <c r="AB1696" i="1"/>
  <c r="CV1696" i="1"/>
  <c r="Y1696" i="1"/>
  <c r="Z1697" i="1"/>
  <c r="AA1697" i="1"/>
  <c r="AB1697" i="1"/>
  <c r="CV1697" i="1"/>
  <c r="Y1697" i="1"/>
  <c r="Z1698" i="1"/>
  <c r="AA1698" i="1"/>
  <c r="AB1698" i="1"/>
  <c r="CV1698" i="1"/>
  <c r="Y1698" i="1" s="1"/>
  <c r="AE1698" i="1" s="1"/>
  <c r="Z1699" i="1"/>
  <c r="AA1699" i="1"/>
  <c r="AB1699" i="1"/>
  <c r="CV1699" i="1"/>
  <c r="Y1699" i="1"/>
  <c r="Z1700" i="1"/>
  <c r="AA1700" i="1"/>
  <c r="AB1700" i="1"/>
  <c r="CV1700" i="1"/>
  <c r="Y1700" i="1"/>
  <c r="Z1701" i="1"/>
  <c r="AA1701" i="1"/>
  <c r="AB1701" i="1"/>
  <c r="CV1701" i="1"/>
  <c r="Y1701" i="1"/>
  <c r="AA1702" i="1"/>
  <c r="AB1702" i="1"/>
  <c r="AZ1702" i="1"/>
  <c r="AZ2496" i="1"/>
  <c r="BA1702" i="1"/>
  <c r="CA1702" i="1"/>
  <c r="CI1702" i="1"/>
  <c r="CK1702" i="1"/>
  <c r="CQ1702" i="1"/>
  <c r="CS1702" i="1"/>
  <c r="CY1702" i="1"/>
  <c r="CZ1702" i="1"/>
  <c r="Z1702" i="1" s="1"/>
  <c r="J1703" i="1"/>
  <c r="Z1703" i="1"/>
  <c r="AA1703" i="1"/>
  <c r="AB1703" i="1"/>
  <c r="CV1703" i="1"/>
  <c r="Y1703" i="1"/>
  <c r="J1704" i="1"/>
  <c r="K1704" i="1"/>
  <c r="M1704" i="1"/>
  <c r="Z1704" i="1"/>
  <c r="AA1704" i="1"/>
  <c r="AB1704" i="1"/>
  <c r="CV1704" i="1"/>
  <c r="Y1704" i="1"/>
  <c r="J1705" i="1"/>
  <c r="K1705" i="1"/>
  <c r="M1705" i="1"/>
  <c r="Z1705" i="1"/>
  <c r="AA1705" i="1"/>
  <c r="AB1705" i="1"/>
  <c r="CV1705" i="1"/>
  <c r="Y1705" i="1"/>
  <c r="Z1706" i="1"/>
  <c r="AA1706" i="1"/>
  <c r="AB1706" i="1"/>
  <c r="CV1706" i="1"/>
  <c r="Y1706" i="1"/>
  <c r="J1707" i="1"/>
  <c r="Z1707" i="1"/>
  <c r="AA1707" i="1"/>
  <c r="AB1707" i="1"/>
  <c r="CV1707" i="1"/>
  <c r="Y1707" i="1"/>
  <c r="J1708" i="1"/>
  <c r="K1708" i="1"/>
  <c r="Z1708" i="1"/>
  <c r="AA1708" i="1"/>
  <c r="AB1708" i="1"/>
  <c r="CV1708" i="1"/>
  <c r="Y1708" i="1" s="1"/>
  <c r="AA1709" i="1"/>
  <c r="AB1709" i="1"/>
  <c r="BM1709" i="1"/>
  <c r="CO1709" i="1"/>
  <c r="CQ1709" i="1"/>
  <c r="CS1709" i="1"/>
  <c r="CZ1709" i="1"/>
  <c r="Z1709" i="1" s="1"/>
  <c r="Z1710" i="1"/>
  <c r="AA1710" i="1"/>
  <c r="AB1710" i="1"/>
  <c r="CV1710" i="1"/>
  <c r="Y1710" i="1"/>
  <c r="AE1710" i="1"/>
  <c r="Z1711" i="1"/>
  <c r="AA1711" i="1"/>
  <c r="AB1711" i="1"/>
  <c r="CV1711" i="1"/>
  <c r="Y1711" i="1" s="1"/>
  <c r="Z1712" i="1"/>
  <c r="AA1712" i="1"/>
  <c r="AB1712" i="1"/>
  <c r="CV1712" i="1"/>
  <c r="Y1712" i="1" s="1"/>
  <c r="Z1713" i="1"/>
  <c r="AA1713" i="1"/>
  <c r="AB1713" i="1"/>
  <c r="CV1713" i="1"/>
  <c r="Y1713" i="1"/>
  <c r="K1714" i="1"/>
  <c r="Z1714" i="1"/>
  <c r="AA1714" i="1"/>
  <c r="AB1714" i="1"/>
  <c r="CV1714" i="1"/>
  <c r="Y1714" i="1"/>
  <c r="Z1715" i="1"/>
  <c r="AA1715" i="1"/>
  <c r="AB1715" i="1"/>
  <c r="CV1715" i="1"/>
  <c r="Y1715" i="1" s="1"/>
  <c r="Z1716" i="1"/>
  <c r="AA1716" i="1"/>
  <c r="AB1716" i="1"/>
  <c r="CV1716" i="1"/>
  <c r="Y1716" i="1"/>
  <c r="AA1717" i="1"/>
  <c r="BA1717" i="1"/>
  <c r="CA1717" i="1"/>
  <c r="CK1717" i="1"/>
  <c r="CQ1717" i="1"/>
  <c r="CS1717" i="1"/>
  <c r="CX1717" i="1"/>
  <c r="AB1717" i="1"/>
  <c r="CZ1717" i="1"/>
  <c r="Z1717" i="1"/>
  <c r="J1718" i="1"/>
  <c r="K1718" i="1"/>
  <c r="M1718" i="1"/>
  <c r="Z1718" i="1"/>
  <c r="AA1718" i="1"/>
  <c r="AB1718" i="1"/>
  <c r="CV1718" i="1"/>
  <c r="Y1718" i="1"/>
  <c r="Z1719" i="1"/>
  <c r="AA1719" i="1"/>
  <c r="AB1719" i="1"/>
  <c r="CV1719" i="1"/>
  <c r="Y1719" i="1" s="1"/>
  <c r="M1722" i="1"/>
  <c r="Z1722" i="1"/>
  <c r="AA1722" i="1"/>
  <c r="AB1722" i="1"/>
  <c r="CV1722" i="1"/>
  <c r="Y1722" i="1"/>
  <c r="Z1723" i="1"/>
  <c r="AA1723" i="1"/>
  <c r="AB1723" i="1"/>
  <c r="CV1723" i="1"/>
  <c r="Y1723" i="1" s="1"/>
  <c r="Z1724" i="1"/>
  <c r="AA1724" i="1"/>
  <c r="AB1724" i="1"/>
  <c r="CV1724" i="1"/>
  <c r="Y1724" i="1" s="1"/>
  <c r="J1725" i="1"/>
  <c r="K1725" i="1"/>
  <c r="Z1725" i="1"/>
  <c r="AA1725" i="1"/>
  <c r="AB1725" i="1"/>
  <c r="CV1725" i="1"/>
  <c r="Y1725" i="1" s="1"/>
  <c r="Z1726" i="1"/>
  <c r="AA1726" i="1"/>
  <c r="AB1726" i="1"/>
  <c r="CV1726" i="1"/>
  <c r="Y1726" i="1"/>
  <c r="Z1727" i="1"/>
  <c r="AA1727" i="1"/>
  <c r="AB1727" i="1"/>
  <c r="CV1727" i="1"/>
  <c r="Y1727" i="1"/>
  <c r="Z1731" i="1"/>
  <c r="AA1731" i="1"/>
  <c r="AB1731" i="1"/>
  <c r="CV1731" i="1"/>
  <c r="Y1731" i="1"/>
  <c r="Z1730" i="1"/>
  <c r="AA1730" i="1"/>
  <c r="AB1730" i="1"/>
  <c r="CV1730" i="1"/>
  <c r="Y1730" i="1" s="1"/>
  <c r="Z1732" i="1"/>
  <c r="AA1732" i="1"/>
  <c r="AB1732" i="1"/>
  <c r="CV1732" i="1"/>
  <c r="Y1732" i="1"/>
  <c r="Z1733" i="1"/>
  <c r="AA1733" i="1"/>
  <c r="AB1733" i="1"/>
  <c r="CV1733" i="1"/>
  <c r="Y1733" i="1" s="1"/>
  <c r="AA1737" i="1"/>
  <c r="AB1737" i="1"/>
  <c r="CV1737" i="1"/>
  <c r="Y1737" i="1" s="1"/>
  <c r="CZ1737" i="1"/>
  <c r="Z1737" i="1" s="1"/>
  <c r="M1738" i="1"/>
  <c r="Z1738" i="1"/>
  <c r="AA1738" i="1"/>
  <c r="AB1738" i="1"/>
  <c r="CV1738" i="1"/>
  <c r="Y1738" i="1"/>
  <c r="Z1739" i="1"/>
  <c r="AA1739" i="1"/>
  <c r="AB1739" i="1"/>
  <c r="CV1739" i="1"/>
  <c r="Y1739" i="1" s="1"/>
  <c r="J1740" i="1"/>
  <c r="K1740" i="1"/>
  <c r="Z1740" i="1"/>
  <c r="AA1740" i="1"/>
  <c r="AB1740" i="1"/>
  <c r="CV1740" i="1"/>
  <c r="Y1740" i="1"/>
  <c r="Z1741" i="1"/>
  <c r="AA1741" i="1"/>
  <c r="AB1741" i="1"/>
  <c r="CV1741" i="1"/>
  <c r="Y1741" i="1" s="1"/>
  <c r="AA1742" i="1"/>
  <c r="AB1742" i="1"/>
  <c r="BA1742" i="1"/>
  <c r="CK1742" i="1"/>
  <c r="CQ1742" i="1"/>
  <c r="CZ1742" i="1"/>
  <c r="Z1742" i="1"/>
  <c r="AA1743" i="1"/>
  <c r="AB1743" i="1"/>
  <c r="BC1743" i="1"/>
  <c r="CO1743" i="1"/>
  <c r="CZ1743" i="1"/>
  <c r="Z1743" i="1" s="1"/>
  <c r="Z1744" i="1"/>
  <c r="AA1744" i="1"/>
  <c r="AB1744" i="1"/>
  <c r="CV1744" i="1"/>
  <c r="Y1744" i="1"/>
  <c r="Z1745" i="1"/>
  <c r="AA1745" i="1"/>
  <c r="AB1745" i="1"/>
  <c r="CV1745" i="1"/>
  <c r="Y1745" i="1"/>
  <c r="M1746" i="1"/>
  <c r="Z1746" i="1"/>
  <c r="AA1746" i="1"/>
  <c r="AB1746" i="1"/>
  <c r="CV1746" i="1"/>
  <c r="Y1746" i="1" s="1"/>
  <c r="Z1747" i="1"/>
  <c r="AA1747" i="1"/>
  <c r="AB1747" i="1"/>
  <c r="CV1747" i="1"/>
  <c r="Y1747" i="1"/>
  <c r="Z1748" i="1"/>
  <c r="AA1748" i="1"/>
  <c r="AB1748" i="1"/>
  <c r="CV1748" i="1"/>
  <c r="Y1748" i="1" s="1"/>
  <c r="Z1749" i="1"/>
  <c r="AA1749" i="1"/>
  <c r="AB1749" i="1"/>
  <c r="CV1749" i="1"/>
  <c r="Y1749" i="1"/>
  <c r="Z1750" i="1"/>
  <c r="AA1750" i="1"/>
  <c r="AB1750" i="1"/>
  <c r="CV1750" i="1"/>
  <c r="Y1750" i="1" s="1"/>
  <c r="Z1751" i="1"/>
  <c r="AA1751" i="1"/>
  <c r="AB1751" i="1"/>
  <c r="CV1751" i="1"/>
  <c r="Y1751" i="1"/>
  <c r="J1752" i="1"/>
  <c r="Z1752" i="1"/>
  <c r="AA1752" i="1"/>
  <c r="AB1752" i="1"/>
  <c r="CV1752" i="1"/>
  <c r="Y1752" i="1" s="1"/>
  <c r="Z1753" i="1"/>
  <c r="AA1753" i="1"/>
  <c r="AB1753" i="1"/>
  <c r="CV1753" i="1"/>
  <c r="Y1753" i="1" s="1"/>
  <c r="Z1754" i="1"/>
  <c r="AA1754" i="1"/>
  <c r="AB1754" i="1"/>
  <c r="CV1754" i="1"/>
  <c r="Y1754" i="1"/>
  <c r="Z1755" i="1"/>
  <c r="AA1755" i="1"/>
  <c r="AB1755" i="1"/>
  <c r="CV1755" i="1"/>
  <c r="Y1755" i="1"/>
  <c r="Z1756" i="1"/>
  <c r="AA1756" i="1"/>
  <c r="AB1756" i="1"/>
  <c r="CV1756" i="1"/>
  <c r="Y1756" i="1" s="1"/>
  <c r="Z1757" i="1"/>
  <c r="AA1757" i="1"/>
  <c r="AB1757" i="1"/>
  <c r="CV1757" i="1"/>
  <c r="Y1757" i="1" s="1"/>
  <c r="Z1758" i="1"/>
  <c r="AA1758" i="1"/>
  <c r="AB1758" i="1"/>
  <c r="CV1758" i="1"/>
  <c r="Y1758" i="1"/>
  <c r="Z1759" i="1"/>
  <c r="AA1759" i="1"/>
  <c r="AB1759" i="1"/>
  <c r="CV1759" i="1"/>
  <c r="Y1759" i="1"/>
  <c r="J1760" i="1"/>
  <c r="K1760" i="1"/>
  <c r="Z1760" i="1"/>
  <c r="AA1760" i="1"/>
  <c r="AB1760" i="1"/>
  <c r="CV1760" i="1"/>
  <c r="Y1760" i="1"/>
  <c r="Z1761" i="1"/>
  <c r="AA1761" i="1"/>
  <c r="AB1761" i="1"/>
  <c r="CV1761" i="1"/>
  <c r="Y1761" i="1"/>
  <c r="Z1763" i="1"/>
  <c r="AA1763" i="1"/>
  <c r="AB1763" i="1"/>
  <c r="CV1763" i="1"/>
  <c r="Y1763" i="1"/>
  <c r="J1764" i="1"/>
  <c r="Z1764" i="1"/>
  <c r="AA1764" i="1"/>
  <c r="AB1764" i="1"/>
  <c r="CV1764" i="1"/>
  <c r="Y1764" i="1"/>
  <c r="Z1765" i="1"/>
  <c r="AA1765" i="1"/>
  <c r="AB1765" i="1"/>
  <c r="CV1765" i="1"/>
  <c r="Y1765" i="1"/>
  <c r="Z1766" i="1"/>
  <c r="AA1766" i="1"/>
  <c r="AB1766" i="1"/>
  <c r="CV1766" i="1"/>
  <c r="Y1766" i="1"/>
  <c r="Z1767" i="1"/>
  <c r="AA1767" i="1"/>
  <c r="AB1767" i="1"/>
  <c r="CV1767" i="1"/>
  <c r="Y1767" i="1" s="1"/>
  <c r="Z1768" i="1"/>
  <c r="AA1768" i="1"/>
  <c r="AB1768" i="1"/>
  <c r="CV1768" i="1"/>
  <c r="Y1768" i="1"/>
  <c r="Z1769" i="1"/>
  <c r="AA1769" i="1"/>
  <c r="AB1769" i="1"/>
  <c r="CV1769" i="1"/>
  <c r="Y1769" i="1" s="1"/>
  <c r="J1770" i="1"/>
  <c r="Z1770" i="1"/>
  <c r="AA1770" i="1"/>
  <c r="AB1770" i="1"/>
  <c r="CV1770" i="1"/>
  <c r="Y1770" i="1" s="1"/>
  <c r="Z1771" i="1"/>
  <c r="AA1771" i="1"/>
  <c r="CV1771" i="1"/>
  <c r="Y1771" i="1" s="1"/>
  <c r="CX1771" i="1"/>
  <c r="AB1771" i="1"/>
  <c r="Z1772" i="1"/>
  <c r="AA1772" i="1"/>
  <c r="AB1772" i="1"/>
  <c r="CV1772" i="1"/>
  <c r="Y1772" i="1" s="1"/>
  <c r="J1773" i="1"/>
  <c r="K1773" i="1"/>
  <c r="Z1773" i="1"/>
  <c r="AA1773" i="1"/>
  <c r="AB1773" i="1"/>
  <c r="CV1773" i="1"/>
  <c r="Y1773" i="1"/>
  <c r="Z1774" i="1"/>
  <c r="AA1774" i="1"/>
  <c r="AB1774" i="1"/>
  <c r="CV1774" i="1"/>
  <c r="Y1774" i="1" s="1"/>
  <c r="Z1775" i="1"/>
  <c r="AA1775" i="1"/>
  <c r="AB1775" i="1"/>
  <c r="CV1775" i="1"/>
  <c r="Y1775" i="1" s="1"/>
  <c r="J1782" i="1"/>
  <c r="Z1782" i="1"/>
  <c r="AA1782" i="1"/>
  <c r="AB1782" i="1"/>
  <c r="CV1782" i="1"/>
  <c r="Y1782" i="1"/>
  <c r="Z1783" i="1"/>
  <c r="AA1783" i="1"/>
  <c r="AB1783" i="1"/>
  <c r="CV1783" i="1"/>
  <c r="Y1783" i="1"/>
  <c r="Z1784" i="1"/>
  <c r="AA1784" i="1"/>
  <c r="AB1784" i="1"/>
  <c r="CV1784" i="1"/>
  <c r="Y1784" i="1" s="1"/>
  <c r="Z1785" i="1"/>
  <c r="AA1785" i="1"/>
  <c r="AB1785" i="1"/>
  <c r="CV1785" i="1"/>
  <c r="Y1785" i="1"/>
  <c r="Z1786" i="1"/>
  <c r="AA1786" i="1"/>
  <c r="AB1786" i="1"/>
  <c r="CV1786" i="1"/>
  <c r="Y1786" i="1" s="1"/>
  <c r="Z1787" i="1"/>
  <c r="AA1787" i="1"/>
  <c r="AB1787" i="1"/>
  <c r="CV1787" i="1"/>
  <c r="Y1787" i="1"/>
  <c r="AE1787" i="1" s="1"/>
  <c r="Z1788" i="1"/>
  <c r="AA1788" i="1"/>
  <c r="AB1788" i="1"/>
  <c r="CV1788" i="1"/>
  <c r="Y1788" i="1"/>
  <c r="AE1788" i="1" s="1"/>
  <c r="Z1789" i="1"/>
  <c r="AA1789" i="1"/>
  <c r="AB1789" i="1"/>
  <c r="CV1789" i="1"/>
  <c r="Y1789" i="1" s="1"/>
  <c r="Z1790" i="1"/>
  <c r="AA1790" i="1"/>
  <c r="AB1790" i="1"/>
  <c r="CV1790" i="1"/>
  <c r="Y1790" i="1" s="1"/>
  <c r="AA1791" i="1"/>
  <c r="AB1791" i="1"/>
  <c r="BC1791" i="1"/>
  <c r="CO1791" i="1"/>
  <c r="CZ1791" i="1"/>
  <c r="Z1791" i="1"/>
  <c r="AA1792" i="1"/>
  <c r="AB1792" i="1"/>
  <c r="CO1792" i="1"/>
  <c r="CV1792" i="1"/>
  <c r="Y1792" i="1" s="1"/>
  <c r="CZ1792" i="1"/>
  <c r="Z1792" i="1"/>
  <c r="Z1793" i="1"/>
  <c r="AA1793" i="1"/>
  <c r="AB1793" i="1"/>
  <c r="CV1793" i="1"/>
  <c r="Y1793" i="1"/>
  <c r="Z1794" i="1"/>
  <c r="AA1794" i="1"/>
  <c r="AB1794" i="1"/>
  <c r="CV1794" i="1"/>
  <c r="Y1794" i="1" s="1"/>
  <c r="Z1795" i="1"/>
  <c r="AA1795" i="1"/>
  <c r="AB1795" i="1"/>
  <c r="CV1795" i="1"/>
  <c r="Y1795" i="1" s="1"/>
  <c r="Z1797" i="1"/>
  <c r="AA1797" i="1"/>
  <c r="AB1797" i="1"/>
  <c r="AE1797" i="1" s="1"/>
  <c r="CV1797" i="1"/>
  <c r="Y1797" i="1"/>
  <c r="Z1798" i="1"/>
  <c r="AA1798" i="1"/>
  <c r="AB1798" i="1"/>
  <c r="CV1798" i="1"/>
  <c r="Y1798" i="1"/>
  <c r="Z1799" i="1"/>
  <c r="AA1799" i="1"/>
  <c r="AB1799" i="1"/>
  <c r="CV1799" i="1"/>
  <c r="Y1799" i="1" s="1"/>
  <c r="Z1800" i="1"/>
  <c r="AA1800" i="1"/>
  <c r="AB1800" i="1"/>
  <c r="CV1800" i="1"/>
  <c r="Y1800" i="1"/>
  <c r="Z1801" i="1"/>
  <c r="AA1801" i="1"/>
  <c r="AB1801" i="1"/>
  <c r="CV1801" i="1"/>
  <c r="Y1801" i="1" s="1"/>
  <c r="Z1802" i="1"/>
  <c r="AA1802" i="1"/>
  <c r="AB1802" i="1"/>
  <c r="CV1802" i="1"/>
  <c r="Y1802" i="1"/>
  <c r="Z1803" i="1"/>
  <c r="AA1803" i="1"/>
  <c r="AB1803" i="1"/>
  <c r="CV1803" i="1"/>
  <c r="Y1803" i="1" s="1"/>
  <c r="Z1804" i="1"/>
  <c r="AA1804" i="1"/>
  <c r="AC1804" i="1"/>
  <c r="CV1804" i="1"/>
  <c r="Y1804" i="1"/>
  <c r="CW1804" i="1"/>
  <c r="CX1804" i="1"/>
  <c r="AB1804" i="1" s="1"/>
  <c r="Z1805" i="1"/>
  <c r="AA1805" i="1"/>
  <c r="AB1805" i="1"/>
  <c r="CV1805" i="1"/>
  <c r="Y1805" i="1"/>
  <c r="Z1806" i="1"/>
  <c r="AA1806" i="1"/>
  <c r="AB1806" i="1"/>
  <c r="CV1806" i="1"/>
  <c r="Y1806" i="1"/>
  <c r="Z1807" i="1"/>
  <c r="AA1807" i="1"/>
  <c r="AB1807" i="1"/>
  <c r="CV1807" i="1"/>
  <c r="Y1807" i="1" s="1"/>
  <c r="Z1808" i="1"/>
  <c r="AA1808" i="1"/>
  <c r="AB1808" i="1"/>
  <c r="CV1808" i="1"/>
  <c r="Y1808" i="1" s="1"/>
  <c r="Z1809" i="1"/>
  <c r="AA1809" i="1"/>
  <c r="AB1809" i="1"/>
  <c r="CV1809" i="1"/>
  <c r="Y1809" i="1"/>
  <c r="AA1810" i="1"/>
  <c r="AB1810" i="1"/>
  <c r="CO1810" i="1"/>
  <c r="CV1810" i="1"/>
  <c r="Y1810" i="1"/>
  <c r="CZ1810" i="1"/>
  <c r="Z1810" i="1" s="1"/>
  <c r="AA1811" i="1"/>
  <c r="AB1811" i="1"/>
  <c r="CV1811" i="1"/>
  <c r="Y1811" i="1" s="1"/>
  <c r="CZ1811" i="1"/>
  <c r="Z1811" i="1" s="1"/>
  <c r="Z1812" i="1"/>
  <c r="AA1812" i="1"/>
  <c r="AB1812" i="1"/>
  <c r="CV1812" i="1"/>
  <c r="Y1812" i="1" s="1"/>
  <c r="Z1813" i="1"/>
  <c r="AA1813" i="1"/>
  <c r="AB1813" i="1"/>
  <c r="CV1813" i="1"/>
  <c r="Y1813" i="1" s="1"/>
  <c r="Z1814" i="1"/>
  <c r="AA1814" i="1"/>
  <c r="AB1814" i="1"/>
  <c r="CV1814" i="1"/>
  <c r="Y1814" i="1"/>
  <c r="Z1815" i="1"/>
  <c r="AA1815" i="1"/>
  <c r="AB1815" i="1"/>
  <c r="CV1815" i="1"/>
  <c r="Y1815" i="1"/>
  <c r="AA1816" i="1"/>
  <c r="AB1816" i="1"/>
  <c r="BC1816" i="1"/>
  <c r="CO1816" i="1"/>
  <c r="CZ1816" i="1"/>
  <c r="Z1816" i="1" s="1"/>
  <c r="Z1817" i="1"/>
  <c r="AA1817" i="1"/>
  <c r="AB1817" i="1"/>
  <c r="CV1817" i="1"/>
  <c r="Y1817" i="1"/>
  <c r="Z1818" i="1"/>
  <c r="AA1818" i="1"/>
  <c r="AB1818" i="1"/>
  <c r="CV1818" i="1"/>
  <c r="Y1818" i="1"/>
  <c r="AE1818" i="1"/>
  <c r="Z1819" i="1"/>
  <c r="AA1819" i="1"/>
  <c r="AB1819" i="1"/>
  <c r="CV1819" i="1"/>
  <c r="Y1819" i="1" s="1"/>
  <c r="AA1820" i="1"/>
  <c r="AB1820" i="1"/>
  <c r="BA1820" i="1"/>
  <c r="CP1820" i="1"/>
  <c r="CQ1820" i="1"/>
  <c r="CY1820" i="1"/>
  <c r="CZ1820" i="1"/>
  <c r="Z1820" i="1" s="1"/>
  <c r="Z1821" i="1"/>
  <c r="AA1821" i="1"/>
  <c r="AB1821" i="1"/>
  <c r="CV1821" i="1"/>
  <c r="Y1821" i="1"/>
  <c r="Z1822" i="1"/>
  <c r="AA1822" i="1"/>
  <c r="AB1822" i="1"/>
  <c r="CV1822" i="1"/>
  <c r="Y1822" i="1" s="1"/>
  <c r="Z1823" i="1"/>
  <c r="AA1823" i="1"/>
  <c r="AB1823" i="1"/>
  <c r="CV1823" i="1"/>
  <c r="Y1823" i="1" s="1"/>
  <c r="Z1824" i="1"/>
  <c r="AA1824" i="1"/>
  <c r="AB1824" i="1"/>
  <c r="CV1824" i="1"/>
  <c r="Y1824" i="1" s="1"/>
  <c r="Z1825" i="1"/>
  <c r="AA1825" i="1"/>
  <c r="AB1825" i="1"/>
  <c r="CV1825" i="1"/>
  <c r="Y1825" i="1"/>
  <c r="Z1826" i="1"/>
  <c r="AA1826" i="1"/>
  <c r="AB1826" i="1"/>
  <c r="CV1826" i="1"/>
  <c r="Y1826" i="1"/>
  <c r="Z1827" i="1"/>
  <c r="AA1827" i="1"/>
  <c r="AB1827" i="1"/>
  <c r="CV1827" i="1"/>
  <c r="Y1827" i="1" s="1"/>
  <c r="AE1827" i="1" s="1"/>
  <c r="Z1828" i="1"/>
  <c r="AA1828" i="1"/>
  <c r="AB1828" i="1"/>
  <c r="CV1828" i="1"/>
  <c r="Y1828" i="1"/>
  <c r="Z1829" i="1"/>
  <c r="AA1829" i="1"/>
  <c r="AB1829" i="1"/>
  <c r="CV1829" i="1"/>
  <c r="Y1829" i="1"/>
  <c r="Z1830" i="1"/>
  <c r="AA1830" i="1"/>
  <c r="AB1830" i="1"/>
  <c r="CV1830" i="1"/>
  <c r="Y1830" i="1"/>
  <c r="Z1831" i="1"/>
  <c r="AA1831" i="1"/>
  <c r="AB1831" i="1"/>
  <c r="CV1831" i="1"/>
  <c r="Y1831" i="1" s="1"/>
  <c r="Z1832" i="1"/>
  <c r="AA1832" i="1"/>
  <c r="AB1832" i="1"/>
  <c r="CV1832" i="1"/>
  <c r="Y1832" i="1"/>
  <c r="Z1833" i="1"/>
  <c r="AA1833" i="1"/>
  <c r="AB1833" i="1"/>
  <c r="CV1833" i="1"/>
  <c r="Y1833" i="1" s="1"/>
  <c r="Z1834" i="1"/>
  <c r="AA1834" i="1"/>
  <c r="AB1834" i="1"/>
  <c r="CV1834" i="1"/>
  <c r="Y1834" i="1"/>
  <c r="AA1835" i="1"/>
  <c r="AB1835" i="1"/>
  <c r="CV1835" i="1"/>
  <c r="Y1835" i="1"/>
  <c r="CZ1835" i="1"/>
  <c r="Z1835" i="1"/>
  <c r="AA1836" i="1"/>
  <c r="AB1836" i="1"/>
  <c r="CV1836" i="1"/>
  <c r="Y1836" i="1"/>
  <c r="CZ1836" i="1"/>
  <c r="Z1836" i="1"/>
  <c r="AA1837" i="1"/>
  <c r="AB1837" i="1"/>
  <c r="CV1837" i="1"/>
  <c r="Y1837" i="1"/>
  <c r="CZ1837" i="1"/>
  <c r="Z1837" i="1"/>
  <c r="Z1838" i="1"/>
  <c r="AA1838" i="1"/>
  <c r="AB1838" i="1"/>
  <c r="CV1838" i="1"/>
  <c r="Y1838" i="1" s="1"/>
  <c r="Z1839" i="1"/>
  <c r="AA1839" i="1"/>
  <c r="AB1839" i="1"/>
  <c r="CV1839" i="1"/>
  <c r="Y1839" i="1"/>
  <c r="Z1840" i="1"/>
  <c r="AA1840" i="1"/>
  <c r="AB1840" i="1"/>
  <c r="CV1840" i="1"/>
  <c r="Y1840" i="1" s="1"/>
  <c r="Z1841" i="1"/>
  <c r="AA1841" i="1"/>
  <c r="AB1841" i="1"/>
  <c r="CV1841" i="1"/>
  <c r="Y1841" i="1"/>
  <c r="Z1843" i="1"/>
  <c r="AA1843" i="1"/>
  <c r="AB1843" i="1"/>
  <c r="CV1843" i="1"/>
  <c r="Y1843" i="1" s="1"/>
  <c r="Z1844" i="1"/>
  <c r="AA1844" i="1"/>
  <c r="AB1844" i="1"/>
  <c r="CV1844" i="1"/>
  <c r="Y1844" i="1" s="1"/>
  <c r="Z1845" i="1"/>
  <c r="AA1845" i="1"/>
  <c r="AE1845" i="1" s="1"/>
  <c r="AB1845" i="1"/>
  <c r="CV1845" i="1"/>
  <c r="Y1845" i="1" s="1"/>
  <c r="Z1846" i="1"/>
  <c r="AA1846" i="1"/>
  <c r="AB1846" i="1"/>
  <c r="CV1846" i="1"/>
  <c r="Y1846" i="1"/>
  <c r="Z1847" i="1"/>
  <c r="AA1847" i="1"/>
  <c r="AB1847" i="1"/>
  <c r="CV1847" i="1"/>
  <c r="Y1847" i="1" s="1"/>
  <c r="Z1848" i="1"/>
  <c r="AA1848" i="1"/>
  <c r="AB1848" i="1"/>
  <c r="CV1848" i="1"/>
  <c r="Y1848" i="1" s="1"/>
  <c r="J1849" i="1"/>
  <c r="K1849" i="1"/>
  <c r="Z1849" i="1"/>
  <c r="AA1849" i="1"/>
  <c r="AB1849" i="1"/>
  <c r="CV1849" i="1"/>
  <c r="Y1849" i="1"/>
  <c r="Z1850" i="1"/>
  <c r="AA1850" i="1"/>
  <c r="AB1850" i="1"/>
  <c r="CV1850" i="1"/>
  <c r="Y1850" i="1" s="1"/>
  <c r="Z1851" i="1"/>
  <c r="AA1851" i="1"/>
  <c r="AB1851" i="1"/>
  <c r="CV1851" i="1"/>
  <c r="Y1851" i="1"/>
  <c r="Z1852" i="1"/>
  <c r="AA1852" i="1"/>
  <c r="AB1852" i="1"/>
  <c r="CV1852" i="1"/>
  <c r="Y1852" i="1" s="1"/>
  <c r="AA1853" i="1"/>
  <c r="AB1853" i="1"/>
  <c r="BA1853" i="1"/>
  <c r="CQ1853" i="1"/>
  <c r="CZ1853" i="1"/>
  <c r="Z1853" i="1" s="1"/>
  <c r="AA1854" i="1"/>
  <c r="AB1854" i="1"/>
  <c r="BA1854" i="1"/>
  <c r="CQ1854" i="1"/>
  <c r="CZ1854" i="1"/>
  <c r="Z1854" i="1" s="1"/>
  <c r="Z1855" i="1"/>
  <c r="AA1855" i="1"/>
  <c r="AB1855" i="1"/>
  <c r="CV1855" i="1"/>
  <c r="Y1855" i="1" s="1"/>
  <c r="AE1855" i="1" s="1"/>
  <c r="Z1856" i="1"/>
  <c r="AA1856" i="1"/>
  <c r="AB1856" i="1"/>
  <c r="CV1856" i="1"/>
  <c r="Y1856" i="1"/>
  <c r="Z1857" i="1"/>
  <c r="AA1857" i="1"/>
  <c r="AB1857" i="1"/>
  <c r="CV1857" i="1"/>
  <c r="Y1857" i="1"/>
  <c r="Z1858" i="1"/>
  <c r="AA1858" i="1"/>
  <c r="AB1858" i="1"/>
  <c r="CV1858" i="1"/>
  <c r="Y1858" i="1" s="1"/>
  <c r="Z1859" i="1"/>
  <c r="AA1859" i="1"/>
  <c r="AB1859" i="1"/>
  <c r="CV1859" i="1"/>
  <c r="Y1859" i="1" s="1"/>
  <c r="Z1860" i="1"/>
  <c r="AA1860" i="1"/>
  <c r="AB1860" i="1"/>
  <c r="CV1860" i="1"/>
  <c r="Y1860" i="1"/>
  <c r="Z1861" i="1"/>
  <c r="AA1861" i="1"/>
  <c r="AB1861" i="1"/>
  <c r="CV1861" i="1"/>
  <c r="Y1861" i="1"/>
  <c r="Z1862" i="1"/>
  <c r="AA1862" i="1"/>
  <c r="AB1862" i="1"/>
  <c r="CV1862" i="1"/>
  <c r="Y1862" i="1"/>
  <c r="Z1863" i="1"/>
  <c r="AA1863" i="1"/>
  <c r="AB1863" i="1"/>
  <c r="CV1863" i="1"/>
  <c r="Y1863" i="1" s="1"/>
  <c r="AE1863" i="1" s="1"/>
  <c r="J1864" i="1"/>
  <c r="K1864" i="1"/>
  <c r="Z1864" i="1"/>
  <c r="AA1864" i="1"/>
  <c r="AB1864" i="1"/>
  <c r="CV1864" i="1"/>
  <c r="Y1864" i="1" s="1"/>
  <c r="Z1865" i="1"/>
  <c r="AA1865" i="1"/>
  <c r="AB1865" i="1"/>
  <c r="CV1865" i="1"/>
  <c r="Y1865" i="1"/>
  <c r="Z1866" i="1"/>
  <c r="AA1866" i="1"/>
  <c r="AB1866" i="1"/>
  <c r="CV1866" i="1"/>
  <c r="Y1866" i="1" s="1"/>
  <c r="Z1867" i="1"/>
  <c r="AA1867" i="1"/>
  <c r="AB1867" i="1"/>
  <c r="CV1867" i="1"/>
  <c r="Y1867" i="1" s="1"/>
  <c r="Z1871" i="1"/>
  <c r="AA1871" i="1"/>
  <c r="CA1871" i="1"/>
  <c r="CV1871" i="1" s="1"/>
  <c r="Y1871" i="1" s="1"/>
  <c r="CW1871" i="1"/>
  <c r="CX1871" i="1"/>
  <c r="AB1871" i="1" s="1"/>
  <c r="Z1872" i="1"/>
  <c r="AA1872" i="1"/>
  <c r="AB1872" i="1"/>
  <c r="CV1872" i="1"/>
  <c r="Y1872" i="1" s="1"/>
  <c r="Z1873" i="1"/>
  <c r="AA1873" i="1"/>
  <c r="AB1873" i="1"/>
  <c r="CV1873" i="1"/>
  <c r="Y1873" i="1"/>
  <c r="J1874" i="1"/>
  <c r="Z1874" i="1"/>
  <c r="AA1874" i="1"/>
  <c r="AB1874" i="1"/>
  <c r="CV1874" i="1"/>
  <c r="Y1874" i="1"/>
  <c r="Z1875" i="1"/>
  <c r="AA1875" i="1"/>
  <c r="AB1875" i="1"/>
  <c r="CV1875" i="1"/>
  <c r="Y1875" i="1" s="1"/>
  <c r="Z1876" i="1"/>
  <c r="AA1876" i="1"/>
  <c r="AB1876" i="1"/>
  <c r="CV1876" i="1"/>
  <c r="Y1876" i="1"/>
  <c r="Z1877" i="1"/>
  <c r="AA1877" i="1"/>
  <c r="AB1877" i="1"/>
  <c r="CV1877" i="1"/>
  <c r="Y1877" i="1" s="1"/>
  <c r="Z1878" i="1"/>
  <c r="AA1878" i="1"/>
  <c r="AB1878" i="1"/>
  <c r="CV1878" i="1"/>
  <c r="Y1878" i="1"/>
  <c r="AE1878" i="1" s="1"/>
  <c r="J1879" i="1"/>
  <c r="Z1879" i="1"/>
  <c r="AA1879" i="1"/>
  <c r="AB1879" i="1"/>
  <c r="CV1879" i="1"/>
  <c r="Y1879" i="1" s="1"/>
  <c r="AE1879" i="1" s="1"/>
  <c r="Z1880" i="1"/>
  <c r="AA1880" i="1"/>
  <c r="AB1880" i="1"/>
  <c r="CV1880" i="1"/>
  <c r="Y1880" i="1" s="1"/>
  <c r="Z1881" i="1"/>
  <c r="AA1881" i="1"/>
  <c r="AB1881" i="1"/>
  <c r="CV1881" i="1"/>
  <c r="Y1881" i="1"/>
  <c r="AA1883" i="1"/>
  <c r="AB1883" i="1"/>
  <c r="CQ1883" i="1"/>
  <c r="CV1883" i="1"/>
  <c r="Y1883" i="1"/>
  <c r="CZ1883" i="1"/>
  <c r="Z1883" i="1" s="1"/>
  <c r="Z1884" i="1"/>
  <c r="AA1884" i="1"/>
  <c r="AB1884" i="1"/>
  <c r="CV1884" i="1"/>
  <c r="Y1884" i="1"/>
  <c r="AA1887" i="1"/>
  <c r="AB1887" i="1"/>
  <c r="BM1887" i="1"/>
  <c r="CO1887" i="1"/>
  <c r="CZ1887" i="1"/>
  <c r="Z1887" i="1"/>
  <c r="AA1888" i="1"/>
  <c r="AB1888" i="1"/>
  <c r="BM1888" i="1"/>
  <c r="CA1888" i="1"/>
  <c r="CO1888" i="1"/>
  <c r="CY1888" i="1"/>
  <c r="CZ1888" i="1"/>
  <c r="Z1888" i="1"/>
  <c r="Z1889" i="1"/>
  <c r="AA1889" i="1"/>
  <c r="AB1889" i="1"/>
  <c r="CV1889" i="1"/>
  <c r="Y1889" i="1" s="1"/>
  <c r="Z1891" i="1"/>
  <c r="AA1891" i="1"/>
  <c r="AB1891" i="1"/>
  <c r="CV1891" i="1"/>
  <c r="Y1891" i="1"/>
  <c r="Z1890" i="1"/>
  <c r="AA1890" i="1"/>
  <c r="AB1890" i="1"/>
  <c r="CV1890" i="1"/>
  <c r="Y1890" i="1" s="1"/>
  <c r="J1892" i="1"/>
  <c r="Z1892" i="1"/>
  <c r="AA1892" i="1"/>
  <c r="AB1892" i="1"/>
  <c r="CV1892" i="1"/>
  <c r="Y1892" i="1" s="1"/>
  <c r="Z1893" i="1"/>
  <c r="AA1893" i="1"/>
  <c r="AB1893" i="1"/>
  <c r="CV1893" i="1"/>
  <c r="Y1893" i="1"/>
  <c r="Z1894" i="1"/>
  <c r="AA1894" i="1"/>
  <c r="AB1894" i="1"/>
  <c r="CV1894" i="1"/>
  <c r="Y1894" i="1" s="1"/>
  <c r="Z1895" i="1"/>
  <c r="AA1895" i="1"/>
  <c r="AB1895" i="1"/>
  <c r="CV1895" i="1"/>
  <c r="Y1895" i="1" s="1"/>
  <c r="Z1897" i="1"/>
  <c r="AA1897" i="1"/>
  <c r="AB1897" i="1"/>
  <c r="CV1897" i="1"/>
  <c r="Y1897" i="1" s="1"/>
  <c r="Z1898" i="1"/>
  <c r="AA1898" i="1"/>
  <c r="AB1898" i="1"/>
  <c r="CV1898" i="1"/>
  <c r="Y1898" i="1"/>
  <c r="AA1899" i="1"/>
  <c r="AB1899" i="1"/>
  <c r="BM1899" i="1"/>
  <c r="CA1899" i="1"/>
  <c r="CQ1899" i="1"/>
  <c r="CZ1899" i="1"/>
  <c r="Z1899" i="1" s="1"/>
  <c r="Z1900" i="1"/>
  <c r="AA1900" i="1"/>
  <c r="AB1900" i="1"/>
  <c r="CV1900" i="1"/>
  <c r="Y1900" i="1"/>
  <c r="Z1901" i="1"/>
  <c r="AA1901" i="1"/>
  <c r="AB1901" i="1"/>
  <c r="CV1901" i="1"/>
  <c r="Y1901" i="1"/>
  <c r="Z1902" i="1"/>
  <c r="AA1902" i="1"/>
  <c r="AB1902" i="1"/>
  <c r="CV1902" i="1"/>
  <c r="Y1902" i="1"/>
  <c r="Z1903" i="1"/>
  <c r="AA1903" i="1"/>
  <c r="AB1903" i="1"/>
  <c r="CV1903" i="1"/>
  <c r="Y1903" i="1" s="1"/>
  <c r="Z1904" i="1"/>
  <c r="AA1904" i="1"/>
  <c r="AB1904" i="1"/>
  <c r="CV1904" i="1"/>
  <c r="Y1904" i="1"/>
  <c r="AA1905" i="1"/>
  <c r="AB1905" i="1"/>
  <c r="BC1905" i="1"/>
  <c r="CO1905" i="1"/>
  <c r="CZ1905" i="1"/>
  <c r="Z1905" i="1" s="1"/>
  <c r="Z1906" i="1"/>
  <c r="AA1906" i="1"/>
  <c r="AB1906" i="1"/>
  <c r="CV1906" i="1"/>
  <c r="Y1906" i="1" s="1"/>
  <c r="Z1907" i="1"/>
  <c r="AA1907" i="1"/>
  <c r="AB1907" i="1"/>
  <c r="CV1907" i="1"/>
  <c r="Y1907" i="1"/>
  <c r="AE1907" i="1" s="1"/>
  <c r="Z1908" i="1"/>
  <c r="AA1908" i="1"/>
  <c r="AB1908" i="1"/>
  <c r="CV1908" i="1"/>
  <c r="Y1908" i="1"/>
  <c r="Z1909" i="1"/>
  <c r="AA1909" i="1"/>
  <c r="AB1909" i="1"/>
  <c r="CV1909" i="1"/>
  <c r="Y1909" i="1" s="1"/>
  <c r="Z1910" i="1"/>
  <c r="AA1910" i="1"/>
  <c r="AB1910" i="1"/>
  <c r="CV1910" i="1"/>
  <c r="Y1910" i="1"/>
  <c r="Z1911" i="1"/>
  <c r="AA1911" i="1"/>
  <c r="AB1911" i="1"/>
  <c r="CV1911" i="1"/>
  <c r="Y1911" i="1"/>
  <c r="AA1913" i="1"/>
  <c r="CA1913" i="1"/>
  <c r="CV1913" i="1"/>
  <c r="Y1913" i="1"/>
  <c r="CX1913" i="1"/>
  <c r="AB1913" i="1" s="1"/>
  <c r="CY1913" i="1"/>
  <c r="CZ1913" i="1"/>
  <c r="Z1913" i="1"/>
  <c r="Z1914" i="1"/>
  <c r="AA1914" i="1"/>
  <c r="AB1914" i="1"/>
  <c r="CV1914" i="1"/>
  <c r="Y1914" i="1" s="1"/>
  <c r="Z1915" i="1"/>
  <c r="AA1915" i="1"/>
  <c r="AB1915" i="1"/>
  <c r="CV1915" i="1"/>
  <c r="Y1915" i="1"/>
  <c r="Z1916" i="1"/>
  <c r="AA1916" i="1"/>
  <c r="AB1916" i="1"/>
  <c r="CV1916" i="1"/>
  <c r="Y1916" i="1"/>
  <c r="Z1917" i="1"/>
  <c r="AA1917" i="1"/>
  <c r="AB1917" i="1"/>
  <c r="CV1917" i="1"/>
  <c r="Y1917" i="1" s="1"/>
  <c r="AA1918" i="1"/>
  <c r="AB1918" i="1"/>
  <c r="BC1918" i="1"/>
  <c r="CO1918" i="1"/>
  <c r="CZ1918" i="1"/>
  <c r="Z1918" i="1"/>
  <c r="Z1919" i="1"/>
  <c r="AA1919" i="1"/>
  <c r="AB1919" i="1"/>
  <c r="CV1919" i="1"/>
  <c r="Y1919" i="1"/>
  <c r="Z1920" i="1"/>
  <c r="AA1920" i="1"/>
  <c r="AB1920" i="1"/>
  <c r="CV1920" i="1"/>
  <c r="Y1920" i="1" s="1"/>
  <c r="Z1921" i="1"/>
  <c r="AA1921" i="1"/>
  <c r="AB1921" i="1"/>
  <c r="CV1921" i="1"/>
  <c r="Y1921" i="1" s="1"/>
  <c r="Z1922" i="1"/>
  <c r="AA1922" i="1"/>
  <c r="AB1922" i="1"/>
  <c r="CV1922" i="1"/>
  <c r="Y1922" i="1"/>
  <c r="Z1923" i="1"/>
  <c r="AA1923" i="1"/>
  <c r="AB1923" i="1"/>
  <c r="CV1923" i="1"/>
  <c r="Y1923" i="1" s="1"/>
  <c r="Z1924" i="1"/>
  <c r="AA1924" i="1"/>
  <c r="AB1924" i="1"/>
  <c r="CV1924" i="1"/>
  <c r="Y1924" i="1"/>
  <c r="Z1925" i="1"/>
  <c r="AA1925" i="1"/>
  <c r="AB1925" i="1"/>
  <c r="CV1925" i="1"/>
  <c r="Y1925" i="1" s="1"/>
  <c r="Z1926" i="1"/>
  <c r="AA1926" i="1"/>
  <c r="AB1926" i="1"/>
  <c r="CV1926" i="1"/>
  <c r="Y1926" i="1"/>
  <c r="Z1927" i="1"/>
  <c r="AA1927" i="1"/>
  <c r="AB1927" i="1"/>
  <c r="CV1927" i="1"/>
  <c r="Y1927" i="1"/>
  <c r="Z1928" i="1"/>
  <c r="AA1928" i="1"/>
  <c r="AB1928" i="1"/>
  <c r="CV1928" i="1"/>
  <c r="Y1928" i="1" s="1"/>
  <c r="Z1929" i="1"/>
  <c r="AA1929" i="1"/>
  <c r="AB1929" i="1"/>
  <c r="CV1929" i="1"/>
  <c r="Y1929" i="1" s="1"/>
  <c r="Z1931" i="1"/>
  <c r="AA1931" i="1"/>
  <c r="AB1931" i="1"/>
  <c r="CV1931" i="1"/>
  <c r="Y1931" i="1"/>
  <c r="J1932" i="1"/>
  <c r="AA1932" i="1"/>
  <c r="AB1932" i="1"/>
  <c r="AC1932" i="1"/>
  <c r="BA1932" i="1"/>
  <c r="CK1932" i="1"/>
  <c r="CO1932" i="1"/>
  <c r="CQ1932" i="1"/>
  <c r="CZ1932" i="1"/>
  <c r="Z1932" i="1"/>
  <c r="J1933" i="1"/>
  <c r="AA1933" i="1"/>
  <c r="AB1933" i="1"/>
  <c r="AC1933" i="1"/>
  <c r="CV1933" i="1"/>
  <c r="Y1933" i="1"/>
  <c r="CZ1933" i="1"/>
  <c r="Z1933" i="1"/>
  <c r="Z1934" i="1"/>
  <c r="AA1934" i="1"/>
  <c r="AB1934" i="1"/>
  <c r="CV1934" i="1"/>
  <c r="Y1934" i="1" s="1"/>
  <c r="Z1935" i="1"/>
  <c r="AA1935" i="1"/>
  <c r="AB1935" i="1"/>
  <c r="CV1935" i="1"/>
  <c r="Y1935" i="1"/>
  <c r="Z1936" i="1"/>
  <c r="AA1936" i="1"/>
  <c r="AB1936" i="1"/>
  <c r="CV1936" i="1"/>
  <c r="Y1936" i="1"/>
  <c r="Z1937" i="1"/>
  <c r="AA1937" i="1"/>
  <c r="AB1937" i="1"/>
  <c r="CV1937" i="1"/>
  <c r="Y1937" i="1" s="1"/>
  <c r="Z1938" i="1"/>
  <c r="AA1938" i="1"/>
  <c r="AB1938" i="1"/>
  <c r="CV1938" i="1"/>
  <c r="Y1938" i="1" s="1"/>
  <c r="Z1939" i="1"/>
  <c r="AA1939" i="1"/>
  <c r="AB1939" i="1"/>
  <c r="CV1939" i="1"/>
  <c r="Y1939" i="1"/>
  <c r="Z1940" i="1"/>
  <c r="AA1940" i="1"/>
  <c r="AB1940" i="1"/>
  <c r="CV1940" i="1"/>
  <c r="Y1940" i="1" s="1"/>
  <c r="Z1941" i="1"/>
  <c r="AA1941" i="1"/>
  <c r="AB1941" i="1"/>
  <c r="CV1941" i="1"/>
  <c r="Y1941" i="1"/>
  <c r="Z1943" i="1"/>
  <c r="AA1943" i="1"/>
  <c r="AB1943" i="1"/>
  <c r="CV1943" i="1"/>
  <c r="Y1943" i="1" s="1"/>
  <c r="Z1942" i="1"/>
  <c r="AA1942" i="1"/>
  <c r="AB1942" i="1"/>
  <c r="CV1942" i="1"/>
  <c r="Y1942" i="1"/>
  <c r="Z1944" i="1"/>
  <c r="AA1944" i="1"/>
  <c r="AB1944" i="1"/>
  <c r="CV1944" i="1"/>
  <c r="Y1944" i="1"/>
  <c r="Z1945" i="1"/>
  <c r="AA1945" i="1"/>
  <c r="AB1945" i="1"/>
  <c r="CV1945" i="1"/>
  <c r="Y1945" i="1" s="1"/>
  <c r="Z1946" i="1"/>
  <c r="AA1946" i="1"/>
  <c r="AB1946" i="1"/>
  <c r="CV1946" i="1"/>
  <c r="Y1946" i="1" s="1"/>
  <c r="K1947" i="1"/>
  <c r="Z1947" i="1"/>
  <c r="AA1947" i="1"/>
  <c r="AB1947" i="1"/>
  <c r="CV1947" i="1"/>
  <c r="Y1947" i="1" s="1"/>
  <c r="K1948" i="1"/>
  <c r="Z1948" i="1"/>
  <c r="AA1948" i="1"/>
  <c r="AB1948" i="1"/>
  <c r="CV1948" i="1"/>
  <c r="Y1948" i="1" s="1"/>
  <c r="Z1949" i="1"/>
  <c r="AA1949" i="1"/>
  <c r="AB1949" i="1"/>
  <c r="CV1949" i="1"/>
  <c r="Y1949" i="1"/>
  <c r="Z1950" i="1"/>
  <c r="AA1950" i="1"/>
  <c r="AB1950" i="1"/>
  <c r="CV1950" i="1"/>
  <c r="Y1950" i="1"/>
  <c r="AE1950" i="1" s="1"/>
  <c r="Z1952" i="1"/>
  <c r="AA1952" i="1"/>
  <c r="AB1952" i="1"/>
  <c r="CV1952" i="1"/>
  <c r="Y1952" i="1" s="1"/>
  <c r="Z1953" i="1"/>
  <c r="AA1953" i="1"/>
  <c r="AB1953" i="1"/>
  <c r="CV1953" i="1"/>
  <c r="Y1953" i="1"/>
  <c r="Z1954" i="1"/>
  <c r="AA1954" i="1"/>
  <c r="AB1954" i="1"/>
  <c r="CV1954" i="1"/>
  <c r="Y1954" i="1" s="1"/>
  <c r="Z1955" i="1"/>
  <c r="AA1955" i="1"/>
  <c r="AB1955" i="1"/>
  <c r="CV1955" i="1"/>
  <c r="Y1955" i="1"/>
  <c r="Z1956" i="1"/>
  <c r="AA1956" i="1"/>
  <c r="AB1956" i="1"/>
  <c r="CV1956" i="1"/>
  <c r="Y1956" i="1" s="1"/>
  <c r="Z1957" i="1"/>
  <c r="AA1957" i="1"/>
  <c r="AB1957" i="1"/>
  <c r="CV1957" i="1"/>
  <c r="Y1957" i="1"/>
  <c r="AE1957" i="1"/>
  <c r="Z1958" i="1"/>
  <c r="AA1958" i="1"/>
  <c r="AB1958" i="1"/>
  <c r="CV1958" i="1"/>
  <c r="Y1958" i="1" s="1"/>
  <c r="AA1959" i="1"/>
  <c r="AB1959" i="1"/>
  <c r="BC1959" i="1"/>
  <c r="CO1959" i="1"/>
  <c r="CZ1959" i="1"/>
  <c r="Z1959" i="1"/>
  <c r="Z1960" i="1"/>
  <c r="AA1960" i="1"/>
  <c r="AB1960" i="1"/>
  <c r="CV1960" i="1"/>
  <c r="Y1960" i="1"/>
  <c r="Z1961" i="1"/>
  <c r="AA1961" i="1"/>
  <c r="AB1961" i="1"/>
  <c r="CV1961" i="1"/>
  <c r="Y1961" i="1" s="1"/>
  <c r="Z1962" i="1"/>
  <c r="AA1962" i="1"/>
  <c r="AB1962" i="1"/>
  <c r="CV1962" i="1"/>
  <c r="Y1962" i="1" s="1"/>
  <c r="AE1962" i="1"/>
  <c r="Z1963" i="1"/>
  <c r="AA1963" i="1"/>
  <c r="AB1963" i="1"/>
  <c r="CV1963" i="1"/>
  <c r="Y1963" i="1" s="1"/>
  <c r="Z1964" i="1"/>
  <c r="AA1964" i="1"/>
  <c r="AB1964" i="1"/>
  <c r="CV1964" i="1"/>
  <c r="Y1964" i="1"/>
  <c r="Z1965" i="1"/>
  <c r="AA1965" i="1"/>
  <c r="AB1965" i="1"/>
  <c r="CV1965" i="1"/>
  <c r="Y1965" i="1" s="1"/>
  <c r="Z1966" i="1"/>
  <c r="AA1966" i="1"/>
  <c r="AB1966" i="1"/>
  <c r="CV1966" i="1"/>
  <c r="Y1966" i="1"/>
  <c r="Z1967" i="1"/>
  <c r="AA1967" i="1"/>
  <c r="AB1967" i="1"/>
  <c r="CV1967" i="1"/>
  <c r="Y1967" i="1"/>
  <c r="Z1968" i="1"/>
  <c r="AA1968" i="1"/>
  <c r="AB1968" i="1"/>
  <c r="CV1968" i="1"/>
  <c r="Y1968" i="1" s="1"/>
  <c r="Z1969" i="1"/>
  <c r="AA1969" i="1"/>
  <c r="AB1969" i="1"/>
  <c r="CV1969" i="1"/>
  <c r="Y1969" i="1" s="1"/>
  <c r="Z1970" i="1"/>
  <c r="AA1970" i="1"/>
  <c r="AB1970" i="1"/>
  <c r="CV1970" i="1"/>
  <c r="Y1970" i="1"/>
  <c r="J1971" i="1"/>
  <c r="K1971" i="1"/>
  <c r="AA1971" i="1"/>
  <c r="AB1971" i="1"/>
  <c r="CQ1971" i="1"/>
  <c r="CS1971" i="1"/>
  <c r="CZ1971" i="1"/>
  <c r="Z1971" i="1"/>
  <c r="AA1972" i="1"/>
  <c r="AB1972" i="1"/>
  <c r="CQ1972" i="1"/>
  <c r="CV1972" i="1"/>
  <c r="Y1972" i="1" s="1"/>
  <c r="CZ1972" i="1"/>
  <c r="Z1972" i="1" s="1"/>
  <c r="Z1973" i="1"/>
  <c r="AA1973" i="1"/>
  <c r="AB1973" i="1"/>
  <c r="CV1973" i="1"/>
  <c r="Y1973" i="1"/>
  <c r="Z1974" i="1"/>
  <c r="AA1974" i="1"/>
  <c r="AB1974" i="1"/>
  <c r="CV1974" i="1"/>
  <c r="Y1974" i="1"/>
  <c r="Z1975" i="1"/>
  <c r="AA1975" i="1"/>
  <c r="AB1975" i="1"/>
  <c r="CV1975" i="1"/>
  <c r="Y1975" i="1" s="1"/>
  <c r="AE1975" i="1" s="1"/>
  <c r="Z1976" i="1"/>
  <c r="AA1976" i="1"/>
  <c r="AB1976" i="1"/>
  <c r="CV1976" i="1"/>
  <c r="Y1976" i="1"/>
  <c r="Z1977" i="1"/>
  <c r="AA1977" i="1"/>
  <c r="AB1977" i="1"/>
  <c r="CV1977" i="1"/>
  <c r="Y1977" i="1" s="1"/>
  <c r="Z1978" i="1"/>
  <c r="AA1978" i="1"/>
  <c r="AB1978" i="1"/>
  <c r="CV1978" i="1"/>
  <c r="Y1978" i="1"/>
  <c r="Z1979" i="1"/>
  <c r="AA1979" i="1"/>
  <c r="AB1979" i="1"/>
  <c r="CV1979" i="1"/>
  <c r="Y1979" i="1" s="1"/>
  <c r="AE1979" i="1" s="1"/>
  <c r="Z1980" i="1"/>
  <c r="AA1980" i="1"/>
  <c r="AB1980" i="1"/>
  <c r="CV1980" i="1"/>
  <c r="Y1980" i="1"/>
  <c r="Z1981" i="1"/>
  <c r="AA1981" i="1"/>
  <c r="AB1981" i="1"/>
  <c r="CV1981" i="1"/>
  <c r="Y1981" i="1" s="1"/>
  <c r="Z1982" i="1"/>
  <c r="AA1982" i="1"/>
  <c r="AB1982" i="1"/>
  <c r="CV1982" i="1"/>
  <c r="Y1982" i="1" s="1"/>
  <c r="Z1983" i="1"/>
  <c r="AA1983" i="1"/>
  <c r="AB1983" i="1"/>
  <c r="CV1983" i="1"/>
  <c r="Y1983" i="1"/>
  <c r="Z1984" i="1"/>
  <c r="AA1984" i="1"/>
  <c r="AB1984" i="1"/>
  <c r="CV1984" i="1"/>
  <c r="Y1984" i="1" s="1"/>
  <c r="Z1985" i="1"/>
  <c r="AA1985" i="1"/>
  <c r="AB1985" i="1"/>
  <c r="CV1985" i="1"/>
  <c r="Y1985" i="1"/>
  <c r="Z1986" i="1"/>
  <c r="AA1986" i="1"/>
  <c r="AB1986" i="1"/>
  <c r="CV1986" i="1"/>
  <c r="Y1986" i="1" s="1"/>
  <c r="Z1987" i="1"/>
  <c r="AA1987" i="1"/>
  <c r="AB1987" i="1"/>
  <c r="CV1987" i="1"/>
  <c r="Y1987" i="1"/>
  <c r="Z1988" i="1"/>
  <c r="AA1988" i="1"/>
  <c r="AB1988" i="1"/>
  <c r="CV1988" i="1"/>
  <c r="Y1988" i="1"/>
  <c r="Z1989" i="1"/>
  <c r="AA1989" i="1"/>
  <c r="AB1989" i="1"/>
  <c r="CV1989" i="1"/>
  <c r="Y1989" i="1" s="1"/>
  <c r="Z1990" i="1"/>
  <c r="AA1990" i="1"/>
  <c r="AB1990" i="1"/>
  <c r="CV1990" i="1"/>
  <c r="Y1990" i="1" s="1"/>
  <c r="Z1991" i="1"/>
  <c r="AA1991" i="1"/>
  <c r="AB1991" i="1"/>
  <c r="CV1991" i="1"/>
  <c r="Y1991" i="1"/>
  <c r="Z1993" i="1"/>
  <c r="AA1993" i="1"/>
  <c r="AB1993" i="1"/>
  <c r="CV1993" i="1"/>
  <c r="Y1993" i="1" s="1"/>
  <c r="J1994" i="1"/>
  <c r="K1994" i="1"/>
  <c r="Z1994" i="1"/>
  <c r="AA1994" i="1"/>
  <c r="AB1994" i="1"/>
  <c r="CV1994" i="1"/>
  <c r="Y1994" i="1"/>
  <c r="J1995" i="1"/>
  <c r="K1995" i="1"/>
  <c r="Z1995" i="1"/>
  <c r="AA1995" i="1"/>
  <c r="AB1995" i="1"/>
  <c r="CV1995" i="1"/>
  <c r="Y1995" i="1" s="1"/>
  <c r="J1996" i="1"/>
  <c r="K1996" i="1"/>
  <c r="Z1996" i="1"/>
  <c r="AA1996" i="1"/>
  <c r="AB1996" i="1"/>
  <c r="CV1996" i="1"/>
  <c r="Y1996" i="1" s="1"/>
  <c r="J1997" i="1"/>
  <c r="K1997" i="1"/>
  <c r="Z1997" i="1"/>
  <c r="AA1997" i="1"/>
  <c r="AB1997" i="1"/>
  <c r="CV1997" i="1"/>
  <c r="Y1997" i="1"/>
  <c r="Z1998" i="1"/>
  <c r="AA1998" i="1"/>
  <c r="AB1998" i="1"/>
  <c r="CV1998" i="1"/>
  <c r="Y1998" i="1" s="1"/>
  <c r="Z1999" i="1"/>
  <c r="AA1999" i="1"/>
  <c r="AB1999" i="1"/>
  <c r="CV1999" i="1"/>
  <c r="Y1999" i="1" s="1"/>
  <c r="Z2000" i="1"/>
  <c r="AA2000" i="1"/>
  <c r="AB2000" i="1"/>
  <c r="CV2000" i="1"/>
  <c r="Y2000" i="1"/>
  <c r="V2001" i="1"/>
  <c r="Z2001" i="1"/>
  <c r="AA2001" i="1"/>
  <c r="AB2001" i="1"/>
  <c r="CV2001" i="1"/>
  <c r="Y2001" i="1"/>
  <c r="Z2002" i="1"/>
  <c r="AA2002" i="1"/>
  <c r="AB2002" i="1"/>
  <c r="CV2002" i="1"/>
  <c r="Y2002" i="1" s="1"/>
  <c r="Z2003" i="1"/>
  <c r="AA2003" i="1"/>
  <c r="AB2003" i="1"/>
  <c r="CV2003" i="1"/>
  <c r="Y2003" i="1" s="1"/>
  <c r="Z2004" i="1"/>
  <c r="AA2004" i="1"/>
  <c r="AB2004" i="1"/>
  <c r="CV2004" i="1"/>
  <c r="Y2004" i="1"/>
  <c r="Z2005" i="1"/>
  <c r="AA2005" i="1"/>
  <c r="AB2005" i="1"/>
  <c r="CV2005" i="1"/>
  <c r="Y2005" i="1" s="1"/>
  <c r="Z2006" i="1"/>
  <c r="AA2006" i="1"/>
  <c r="AB2006" i="1"/>
  <c r="CV2006" i="1"/>
  <c r="Y2006" i="1"/>
  <c r="Z2007" i="1"/>
  <c r="AA2007" i="1"/>
  <c r="AB2007" i="1"/>
  <c r="CV2007" i="1"/>
  <c r="Y2007" i="1" s="1"/>
  <c r="Z2008" i="1"/>
  <c r="AA2008" i="1"/>
  <c r="AB2008" i="1"/>
  <c r="CV2008" i="1"/>
  <c r="Y2008" i="1"/>
  <c r="Z2009" i="1"/>
  <c r="AA2009" i="1"/>
  <c r="AB2009" i="1"/>
  <c r="CV2009" i="1"/>
  <c r="Y2009" i="1" s="1"/>
  <c r="Z2010" i="1"/>
  <c r="AA2010" i="1"/>
  <c r="AB2010" i="1"/>
  <c r="CV2010" i="1"/>
  <c r="Y2010" i="1"/>
  <c r="Z2011" i="1"/>
  <c r="AA2011" i="1"/>
  <c r="AB2011" i="1"/>
  <c r="CV2011" i="1"/>
  <c r="Y2011" i="1" s="1"/>
  <c r="Z2012" i="1"/>
  <c r="AA2012" i="1"/>
  <c r="AB2012" i="1"/>
  <c r="CV2012" i="1"/>
  <c r="Y2012" i="1"/>
  <c r="Z2013" i="1"/>
  <c r="AA2013" i="1"/>
  <c r="AB2013" i="1"/>
  <c r="CV2013" i="1"/>
  <c r="Y2013" i="1" s="1"/>
  <c r="Z2014" i="1"/>
  <c r="AA2014" i="1"/>
  <c r="AB2014" i="1"/>
  <c r="CV2014" i="1"/>
  <c r="Y2014" i="1"/>
  <c r="Z2015" i="1"/>
  <c r="AA2015" i="1"/>
  <c r="AB2015" i="1"/>
  <c r="CV2015" i="1"/>
  <c r="Y2015" i="1" s="1"/>
  <c r="Z2016" i="1"/>
  <c r="AA2016" i="1"/>
  <c r="AB2016" i="1"/>
  <c r="CV2016" i="1"/>
  <c r="Y2016" i="1"/>
  <c r="Z2017" i="1"/>
  <c r="AA2017" i="1"/>
  <c r="AB2017" i="1"/>
  <c r="CV2017" i="1"/>
  <c r="Y2017" i="1" s="1"/>
  <c r="Z2018" i="1"/>
  <c r="AA2018" i="1"/>
  <c r="AB2018" i="1"/>
  <c r="CV2018" i="1"/>
  <c r="Y2018" i="1"/>
  <c r="Z2019" i="1"/>
  <c r="AA2019" i="1"/>
  <c r="AB2019" i="1"/>
  <c r="CV2019" i="1"/>
  <c r="Y2019" i="1" s="1"/>
  <c r="Z2020" i="1"/>
  <c r="AA2020" i="1"/>
  <c r="AB2020" i="1"/>
  <c r="CV2020" i="1"/>
  <c r="Y2020" i="1"/>
  <c r="Z2021" i="1"/>
  <c r="AA2021" i="1"/>
  <c r="AB2021" i="1"/>
  <c r="CV2021" i="1"/>
  <c r="Y2021" i="1" s="1"/>
  <c r="Z2022" i="1"/>
  <c r="AA2022" i="1"/>
  <c r="AB2022" i="1"/>
  <c r="CV2022" i="1"/>
  <c r="Y2022" i="1"/>
  <c r="Z2023" i="1"/>
  <c r="AA2023" i="1"/>
  <c r="AB2023" i="1"/>
  <c r="CV2023" i="1"/>
  <c r="Y2023" i="1" s="1"/>
  <c r="Z2024" i="1"/>
  <c r="AA2024" i="1"/>
  <c r="AB2024" i="1"/>
  <c r="CV2024" i="1"/>
  <c r="Y2024" i="1"/>
  <c r="Z2025" i="1"/>
  <c r="AA2025" i="1"/>
  <c r="AB2025" i="1"/>
  <c r="CV2025" i="1"/>
  <c r="Y2025" i="1" s="1"/>
  <c r="Z2026" i="1"/>
  <c r="AA2026" i="1"/>
  <c r="AB2026" i="1"/>
  <c r="CV2026" i="1"/>
  <c r="Y2026" i="1"/>
  <c r="Z2027" i="1"/>
  <c r="AA2027" i="1"/>
  <c r="AB2027" i="1"/>
  <c r="CV2027" i="1"/>
  <c r="Y2027" i="1" s="1"/>
  <c r="Z2028" i="1"/>
  <c r="AA2028" i="1"/>
  <c r="AB2028" i="1"/>
  <c r="CV2028" i="1"/>
  <c r="Y2028" i="1"/>
  <c r="Z2029" i="1"/>
  <c r="AA2029" i="1"/>
  <c r="AB2029" i="1"/>
  <c r="CV2029" i="1"/>
  <c r="Y2029" i="1" s="1"/>
  <c r="Z2030" i="1"/>
  <c r="AA2030" i="1"/>
  <c r="AB2030" i="1"/>
  <c r="CV2030" i="1"/>
  <c r="Y2030" i="1"/>
  <c r="Z2031" i="1"/>
  <c r="AA2031" i="1"/>
  <c r="AB2031" i="1"/>
  <c r="CV2031" i="1"/>
  <c r="Y2031" i="1" s="1"/>
  <c r="Z2032" i="1"/>
  <c r="AA2032" i="1"/>
  <c r="AB2032" i="1"/>
  <c r="CV2032" i="1"/>
  <c r="Y2032" i="1"/>
  <c r="Z2033" i="1"/>
  <c r="AA2033" i="1"/>
  <c r="AB2033" i="1"/>
  <c r="CV2033" i="1"/>
  <c r="Y2033" i="1" s="1"/>
  <c r="Z2035" i="1"/>
  <c r="AA2035" i="1"/>
  <c r="AB2035" i="1"/>
  <c r="CV2035" i="1"/>
  <c r="Y2035" i="1"/>
  <c r="Z2036" i="1"/>
  <c r="AA2036" i="1"/>
  <c r="AB2036" i="1"/>
  <c r="CV2036" i="1"/>
  <c r="Y2036" i="1" s="1"/>
  <c r="AE2036" i="1" s="1"/>
  <c r="Z2037" i="1"/>
  <c r="AA2037" i="1"/>
  <c r="AB2037" i="1"/>
  <c r="CV2037" i="1"/>
  <c r="Y2037" i="1" s="1"/>
  <c r="AE2037" i="1" s="1"/>
  <c r="Z2038" i="1"/>
  <c r="AA2038" i="1"/>
  <c r="AB2038" i="1"/>
  <c r="CV2038" i="1"/>
  <c r="Y2038" i="1" s="1"/>
  <c r="Z2039" i="1"/>
  <c r="AA2039" i="1"/>
  <c r="AB2039" i="1"/>
  <c r="CV2039" i="1"/>
  <c r="Y2039" i="1"/>
  <c r="M2040" i="1"/>
  <c r="Z2040" i="1"/>
  <c r="AA2040" i="1"/>
  <c r="AB2040" i="1"/>
  <c r="CV2040" i="1"/>
  <c r="Y2040" i="1"/>
  <c r="Z2041" i="1"/>
  <c r="AA2041" i="1"/>
  <c r="AB2041" i="1"/>
  <c r="CV2041" i="1"/>
  <c r="Y2041" i="1" s="1"/>
  <c r="Z2042" i="1"/>
  <c r="AA2042" i="1"/>
  <c r="AB2042" i="1"/>
  <c r="CV2042" i="1"/>
  <c r="Y2042" i="1"/>
  <c r="Z2043" i="1"/>
  <c r="AA2043" i="1"/>
  <c r="AB2043" i="1"/>
  <c r="CV2043" i="1"/>
  <c r="Y2043" i="1" s="1"/>
  <c r="Z2044" i="1"/>
  <c r="AA2044" i="1"/>
  <c r="AB2044" i="1"/>
  <c r="CV2044" i="1"/>
  <c r="Y2044" i="1"/>
  <c r="Z2045" i="1"/>
  <c r="AA2045" i="1"/>
  <c r="AB2045" i="1"/>
  <c r="CV2045" i="1"/>
  <c r="Y2045" i="1" s="1"/>
  <c r="Z2046" i="1"/>
  <c r="AA2046" i="1"/>
  <c r="AB2046" i="1"/>
  <c r="CV2046" i="1"/>
  <c r="Y2046" i="1"/>
  <c r="J2047" i="1"/>
  <c r="K2047" i="1"/>
  <c r="Z2047" i="1"/>
  <c r="AA2047" i="1"/>
  <c r="AB2047" i="1"/>
  <c r="CV2047" i="1"/>
  <c r="Y2047" i="1" s="1"/>
  <c r="Z2048" i="1"/>
  <c r="AA2048" i="1"/>
  <c r="AB2048" i="1"/>
  <c r="CV2048" i="1"/>
  <c r="Y2048" i="1"/>
  <c r="Z2049" i="1"/>
  <c r="AA2049" i="1"/>
  <c r="AB2049" i="1"/>
  <c r="CV2049" i="1"/>
  <c r="Y2049" i="1" s="1"/>
  <c r="J2051" i="1"/>
  <c r="Z2051" i="1"/>
  <c r="AA2051" i="1"/>
  <c r="AB2051" i="1"/>
  <c r="CV2051" i="1"/>
  <c r="Y2051" i="1" s="1"/>
  <c r="Z2052" i="1"/>
  <c r="AA2052" i="1"/>
  <c r="AB2052" i="1"/>
  <c r="CV2052" i="1"/>
  <c r="Y2052" i="1"/>
  <c r="AE2052" i="1" s="1"/>
  <c r="Z2053" i="1"/>
  <c r="AA2053" i="1"/>
  <c r="AB2053" i="1"/>
  <c r="CV2053" i="1"/>
  <c r="Y2053" i="1"/>
  <c r="Z2054" i="1"/>
  <c r="AA2054" i="1"/>
  <c r="AB2054" i="1"/>
  <c r="CV2054" i="1"/>
  <c r="Y2054" i="1" s="1"/>
  <c r="Z2055" i="1"/>
  <c r="AA2055" i="1"/>
  <c r="AB2055" i="1"/>
  <c r="CV2055" i="1"/>
  <c r="Y2055" i="1"/>
  <c r="Z2056" i="1"/>
  <c r="AA2056" i="1"/>
  <c r="AB2056" i="1"/>
  <c r="CV2056" i="1"/>
  <c r="Y2056" i="1" s="1"/>
  <c r="AE2056" i="1" s="1"/>
  <c r="Z2057" i="1"/>
  <c r="AA2057" i="1"/>
  <c r="AB2057" i="1"/>
  <c r="CV2057" i="1"/>
  <c r="Y2057" i="1" s="1"/>
  <c r="Z2060" i="1"/>
  <c r="AA2060" i="1"/>
  <c r="AB2060" i="1"/>
  <c r="CV2060" i="1"/>
  <c r="Y2060" i="1"/>
  <c r="AE2060" i="1" s="1"/>
  <c r="Z2061" i="1"/>
  <c r="AA2061" i="1"/>
  <c r="AB2061" i="1"/>
  <c r="CV2061" i="1"/>
  <c r="Y2061" i="1"/>
  <c r="AE2061" i="1" s="1"/>
  <c r="Z2062" i="1"/>
  <c r="AA2062" i="1"/>
  <c r="AB2062" i="1"/>
  <c r="CV2062" i="1"/>
  <c r="Y2062" i="1"/>
  <c r="AE2062" i="1" s="1"/>
  <c r="Z2063" i="1"/>
  <c r="AA2063" i="1"/>
  <c r="AB2063" i="1"/>
  <c r="CV2063" i="1"/>
  <c r="Y2063" i="1"/>
  <c r="Z2064" i="1"/>
  <c r="AA2064" i="1"/>
  <c r="AB2064" i="1"/>
  <c r="CV2064" i="1"/>
  <c r="Y2064" i="1" s="1"/>
  <c r="AE2064" i="1" s="1"/>
  <c r="Z2065" i="1"/>
  <c r="AA2065" i="1"/>
  <c r="AB2065" i="1"/>
  <c r="CV2065" i="1"/>
  <c r="Y2065" i="1" s="1"/>
  <c r="AE2065" i="1" s="1"/>
  <c r="Z2066" i="1"/>
  <c r="AA2066" i="1"/>
  <c r="AB2066" i="1"/>
  <c r="CV2066" i="1"/>
  <c r="Y2066" i="1" s="1"/>
  <c r="AE2066" i="1" s="1"/>
  <c r="Z2067" i="1"/>
  <c r="AA2067" i="1"/>
  <c r="AB2067" i="1"/>
  <c r="CV2067" i="1"/>
  <c r="Y2067" i="1" s="1"/>
  <c r="J2068" i="1"/>
  <c r="Z2068" i="1"/>
  <c r="AA2068" i="1"/>
  <c r="AB2068" i="1"/>
  <c r="CV2068" i="1"/>
  <c r="Y2068" i="1" s="1"/>
  <c r="Z2069" i="1"/>
  <c r="AA2069" i="1"/>
  <c r="AB2069" i="1"/>
  <c r="CV2069" i="1"/>
  <c r="Y2069" i="1"/>
  <c r="Z2070" i="1"/>
  <c r="AA2070" i="1"/>
  <c r="AB2070" i="1"/>
  <c r="CV2070" i="1"/>
  <c r="Y2070" i="1" s="1"/>
  <c r="Z2071" i="1"/>
  <c r="AA2071" i="1"/>
  <c r="AB2071" i="1"/>
  <c r="CV2071" i="1"/>
  <c r="Y2071" i="1"/>
  <c r="AA2072" i="1"/>
  <c r="AB2072" i="1"/>
  <c r="BC2072" i="1"/>
  <c r="CO2072" i="1"/>
  <c r="CZ2072" i="1"/>
  <c r="Z2072" i="1"/>
  <c r="K2073" i="1"/>
  <c r="M2073" i="1"/>
  <c r="Z2073" i="1"/>
  <c r="AA2073" i="1"/>
  <c r="AB2073" i="1"/>
  <c r="CV2073" i="1"/>
  <c r="Y2073" i="1" s="1"/>
  <c r="AA2074" i="1"/>
  <c r="AB2074" i="1"/>
  <c r="CV2074" i="1"/>
  <c r="Y2074" i="1" s="1"/>
  <c r="CZ2074" i="1"/>
  <c r="Z2074" i="1" s="1"/>
  <c r="Z2075" i="1"/>
  <c r="AA2075" i="1"/>
  <c r="AB2075" i="1"/>
  <c r="CV2075" i="1"/>
  <c r="Y2075" i="1"/>
  <c r="AE2075" i="1" s="1"/>
  <c r="AA2076" i="1"/>
  <c r="CV2076" i="1"/>
  <c r="Y2076" i="1"/>
  <c r="CW2076" i="1"/>
  <c r="CX2076" i="1"/>
  <c r="AB2076" i="1" s="1"/>
  <c r="CZ2076" i="1"/>
  <c r="Z2076" i="1" s="1"/>
  <c r="Z2077" i="1"/>
  <c r="AA2077" i="1"/>
  <c r="AB2077" i="1"/>
  <c r="CV2077" i="1"/>
  <c r="Y2077" i="1"/>
  <c r="Z2078" i="1"/>
  <c r="AA2078" i="1"/>
  <c r="AB2078" i="1"/>
  <c r="CV2078" i="1"/>
  <c r="Y2078" i="1" s="1"/>
  <c r="Z2079" i="1"/>
  <c r="AA2079" i="1"/>
  <c r="AB2079" i="1"/>
  <c r="CV2079" i="1"/>
  <c r="Y2079" i="1"/>
  <c r="Z2080" i="1"/>
  <c r="AA2080" i="1"/>
  <c r="AB2080" i="1"/>
  <c r="CV2080" i="1"/>
  <c r="Y2080" i="1" s="1"/>
  <c r="Z2081" i="1"/>
  <c r="AA2081" i="1"/>
  <c r="AB2081" i="1"/>
  <c r="CV2081" i="1"/>
  <c r="Y2081" i="1"/>
  <c r="AE2081" i="1" s="1"/>
  <c r="Z2082" i="1"/>
  <c r="AA2082" i="1"/>
  <c r="AB2082" i="1"/>
  <c r="CV2082" i="1"/>
  <c r="Y2082" i="1"/>
  <c r="AE2082" i="1" s="1"/>
  <c r="Z2083" i="1"/>
  <c r="AA2083" i="1"/>
  <c r="AB2083" i="1"/>
  <c r="CV2083" i="1"/>
  <c r="Y2083" i="1"/>
  <c r="Z2084" i="1"/>
  <c r="AA2084" i="1"/>
  <c r="AB2084" i="1"/>
  <c r="CV2084" i="1"/>
  <c r="Y2084" i="1" s="1"/>
  <c r="J2085" i="1"/>
  <c r="K2085" i="1"/>
  <c r="Z2085" i="1"/>
  <c r="AA2085" i="1"/>
  <c r="AB2085" i="1"/>
  <c r="CV2085" i="1"/>
  <c r="Y2085" i="1"/>
  <c r="Z2086" i="1"/>
  <c r="AA2086" i="1"/>
  <c r="AB2086" i="1"/>
  <c r="CV2086" i="1"/>
  <c r="Y2086" i="1" s="1"/>
  <c r="Z2087" i="1"/>
  <c r="AA2087" i="1"/>
  <c r="AB2087" i="1"/>
  <c r="CV2087" i="1"/>
  <c r="Y2087" i="1"/>
  <c r="Z2088" i="1"/>
  <c r="AA2088" i="1"/>
  <c r="AB2088" i="1"/>
  <c r="CV2088" i="1"/>
  <c r="Y2088" i="1" s="1"/>
  <c r="AE2088" i="1" s="1"/>
  <c r="Z2089" i="1"/>
  <c r="AA2089" i="1"/>
  <c r="AB2089" i="1"/>
  <c r="CV2089" i="1"/>
  <c r="Y2089" i="1" s="1"/>
  <c r="Z2090" i="1"/>
  <c r="AA2090" i="1"/>
  <c r="AB2090" i="1"/>
  <c r="CV2090" i="1"/>
  <c r="Y2090" i="1"/>
  <c r="Z2091" i="1"/>
  <c r="AA2091" i="1"/>
  <c r="AB2091" i="1"/>
  <c r="CV2091" i="1"/>
  <c r="Y2091" i="1" s="1"/>
  <c r="Z2092" i="1"/>
  <c r="AA2092" i="1"/>
  <c r="AB2092" i="1"/>
  <c r="CV2092" i="1"/>
  <c r="Y2092" i="1"/>
  <c r="Z2093" i="1"/>
  <c r="AA2093" i="1"/>
  <c r="AB2093" i="1"/>
  <c r="CV2093" i="1"/>
  <c r="Y2093" i="1" s="1"/>
  <c r="AA2094" i="1"/>
  <c r="AB2094" i="1"/>
  <c r="BC2094" i="1"/>
  <c r="CO2094" i="1"/>
  <c r="CZ2094" i="1"/>
  <c r="Z2094" i="1" s="1"/>
  <c r="Z2095" i="1"/>
  <c r="AA2095" i="1"/>
  <c r="AB2095" i="1"/>
  <c r="CV2095" i="1"/>
  <c r="Y2095" i="1"/>
  <c r="Z2096" i="1"/>
  <c r="AA2096" i="1"/>
  <c r="AB2096" i="1"/>
  <c r="CV2096" i="1"/>
  <c r="Y2096" i="1" s="1"/>
  <c r="K2097" i="1"/>
  <c r="Z2097" i="1"/>
  <c r="AA2097" i="1"/>
  <c r="AB2097" i="1"/>
  <c r="CV2097" i="1"/>
  <c r="Y2097" i="1" s="1"/>
  <c r="Z2098" i="1"/>
  <c r="AA2098" i="1"/>
  <c r="AB2098" i="1"/>
  <c r="CV2098" i="1"/>
  <c r="Y2098" i="1"/>
  <c r="Z2099" i="1"/>
  <c r="AA2099" i="1"/>
  <c r="AB2099" i="1"/>
  <c r="CV2099" i="1"/>
  <c r="Y2099" i="1" s="1"/>
  <c r="Z2100" i="1"/>
  <c r="AA2100" i="1"/>
  <c r="AB2100" i="1"/>
  <c r="CV2100" i="1"/>
  <c r="Y2100" i="1"/>
  <c r="AE2100" i="1" s="1"/>
  <c r="Z2101" i="1"/>
  <c r="AA2101" i="1"/>
  <c r="AB2101" i="1"/>
  <c r="CV2101" i="1"/>
  <c r="Y2101" i="1"/>
  <c r="Z2102" i="1"/>
  <c r="AA2102" i="1"/>
  <c r="AB2102" i="1"/>
  <c r="CV2102" i="1"/>
  <c r="Y2102" i="1" s="1"/>
  <c r="Z2103" i="1"/>
  <c r="AA2103" i="1"/>
  <c r="AB2103" i="1"/>
  <c r="CV2103" i="1"/>
  <c r="Y2103" i="1"/>
  <c r="Z2104" i="1"/>
  <c r="AA2104" i="1"/>
  <c r="AB2104" i="1"/>
  <c r="CV2104" i="1"/>
  <c r="Y2104" i="1" s="1"/>
  <c r="J2105" i="1"/>
  <c r="Z2105" i="1"/>
  <c r="AA2105" i="1"/>
  <c r="AB2105" i="1"/>
  <c r="CV2105" i="1"/>
  <c r="Y2105" i="1" s="1"/>
  <c r="J2106" i="1"/>
  <c r="Z2106" i="1"/>
  <c r="AA2106" i="1"/>
  <c r="AB2106" i="1"/>
  <c r="CV2106" i="1"/>
  <c r="Y2106" i="1" s="1"/>
  <c r="Z2107" i="1"/>
  <c r="AA2107" i="1"/>
  <c r="AB2107" i="1"/>
  <c r="CV2107" i="1"/>
  <c r="Y2107" i="1"/>
  <c r="Z2108" i="1"/>
  <c r="AA2108" i="1"/>
  <c r="AB2108" i="1"/>
  <c r="CV2108" i="1"/>
  <c r="Y2108" i="1" s="1"/>
  <c r="Z2109" i="1"/>
  <c r="AA2109" i="1"/>
  <c r="AB2109" i="1"/>
  <c r="CV2109" i="1"/>
  <c r="Y2109" i="1"/>
  <c r="Z2110" i="1"/>
  <c r="AA2110" i="1"/>
  <c r="AB2110" i="1"/>
  <c r="CV2110" i="1"/>
  <c r="Y2110" i="1" s="1"/>
  <c r="Z2111" i="1"/>
  <c r="AA2111" i="1"/>
  <c r="AB2111" i="1"/>
  <c r="CV2111" i="1"/>
  <c r="Y2111" i="1"/>
  <c r="Z2112" i="1"/>
  <c r="AA2112" i="1"/>
  <c r="AB2112" i="1"/>
  <c r="CV2112" i="1"/>
  <c r="Y2112" i="1" s="1"/>
  <c r="J2113" i="1"/>
  <c r="K2113" i="1"/>
  <c r="Z2113" i="1"/>
  <c r="AA2113" i="1"/>
  <c r="AB2113" i="1"/>
  <c r="CV2113" i="1"/>
  <c r="Y2113" i="1"/>
  <c r="Z2114" i="1"/>
  <c r="AA2114" i="1"/>
  <c r="AB2114" i="1"/>
  <c r="CV2114" i="1"/>
  <c r="Y2114" i="1" s="1"/>
  <c r="Z2115" i="1"/>
  <c r="AA2115" i="1"/>
  <c r="AB2115" i="1"/>
  <c r="CV2115" i="1"/>
  <c r="Y2115" i="1"/>
  <c r="AA2116" i="1"/>
  <c r="AB2116" i="1"/>
  <c r="CV2116" i="1"/>
  <c r="Y2116" i="1"/>
  <c r="CZ2116" i="1"/>
  <c r="Z2116" i="1"/>
  <c r="J2117" i="1"/>
  <c r="Z2117" i="1"/>
  <c r="AA2117" i="1"/>
  <c r="AB2117" i="1"/>
  <c r="CV2117" i="1"/>
  <c r="Y2117" i="1"/>
  <c r="AA2118" i="1"/>
  <c r="AB2118" i="1"/>
  <c r="BC2118" i="1"/>
  <c r="BM2118" i="1"/>
  <c r="CN2118" i="1"/>
  <c r="CO2118" i="1"/>
  <c r="CS2118" i="1"/>
  <c r="CY2118" i="1"/>
  <c r="CZ2118" i="1"/>
  <c r="Z2118" i="1"/>
  <c r="AA2119" i="1"/>
  <c r="AB2119" i="1"/>
  <c r="BC2119" i="1"/>
  <c r="BM2119" i="1"/>
  <c r="CO2119" i="1"/>
  <c r="CS2119" i="1"/>
  <c r="CZ2119" i="1"/>
  <c r="Z2119" i="1"/>
  <c r="J2120" i="1"/>
  <c r="AA2120" i="1"/>
  <c r="AB2120" i="1"/>
  <c r="BC2120" i="1"/>
  <c r="BM2120" i="1"/>
  <c r="CO2120" i="1"/>
  <c r="CS2120" i="1"/>
  <c r="CZ2120" i="1"/>
  <c r="Z2120" i="1" s="1"/>
  <c r="Z2121" i="1"/>
  <c r="AA2121" i="1"/>
  <c r="AB2121" i="1"/>
  <c r="CV2121" i="1"/>
  <c r="Y2121" i="1"/>
  <c r="Z2122" i="1"/>
  <c r="AA2122" i="1"/>
  <c r="AB2122" i="1"/>
  <c r="CV2122" i="1"/>
  <c r="Y2122" i="1" s="1"/>
  <c r="AE2122" i="1" s="1"/>
  <c r="Z2123" i="1"/>
  <c r="AA2123" i="1"/>
  <c r="AB2123" i="1"/>
  <c r="CV2123" i="1"/>
  <c r="Y2123" i="1" s="1"/>
  <c r="Z2124" i="1"/>
  <c r="AA2124" i="1"/>
  <c r="AB2124" i="1"/>
  <c r="CV2124" i="1"/>
  <c r="Y2124" i="1"/>
  <c r="AE2124" i="1" s="1"/>
  <c r="Z2125" i="1"/>
  <c r="AA2125" i="1"/>
  <c r="AB2125" i="1"/>
  <c r="CV2125" i="1"/>
  <c r="Y2125" i="1"/>
  <c r="AE2125" i="1" s="1"/>
  <c r="J2126" i="1"/>
  <c r="Z2126" i="1"/>
  <c r="AA2126" i="1"/>
  <c r="AB2126" i="1"/>
  <c r="CV2126" i="1"/>
  <c r="Y2126" i="1" s="1"/>
  <c r="Z2127" i="1"/>
  <c r="AA2127" i="1"/>
  <c r="AB2127" i="1"/>
  <c r="CV2127" i="1"/>
  <c r="Y2127" i="1"/>
  <c r="Z2128" i="1"/>
  <c r="AA2128" i="1"/>
  <c r="AB2128" i="1"/>
  <c r="CV2128" i="1"/>
  <c r="Y2128" i="1" s="1"/>
  <c r="Z2129" i="1"/>
  <c r="AA2129" i="1"/>
  <c r="AB2129" i="1"/>
  <c r="CV2129" i="1"/>
  <c r="Y2129" i="1"/>
  <c r="Z2130" i="1"/>
  <c r="AA2130" i="1"/>
  <c r="AB2130" i="1"/>
  <c r="CV2130" i="1"/>
  <c r="Y2130" i="1" s="1"/>
  <c r="Z2131" i="1"/>
  <c r="AA2131" i="1"/>
  <c r="AB2131" i="1"/>
  <c r="CV2131" i="1"/>
  <c r="Y2131" i="1"/>
  <c r="Z2132" i="1"/>
  <c r="AA2132" i="1"/>
  <c r="AB2132" i="1"/>
  <c r="CV2132" i="1"/>
  <c r="Y2132" i="1" s="1"/>
  <c r="Z2133" i="1"/>
  <c r="AA2133" i="1"/>
  <c r="AB2133" i="1"/>
  <c r="CV2133" i="1"/>
  <c r="Y2133" i="1"/>
  <c r="Z2134" i="1"/>
  <c r="AA2134" i="1"/>
  <c r="AB2134" i="1"/>
  <c r="CV2134" i="1"/>
  <c r="Y2134" i="1" s="1"/>
  <c r="Z2135" i="1"/>
  <c r="AA2135" i="1"/>
  <c r="AB2135" i="1"/>
  <c r="CV2135" i="1"/>
  <c r="Y2135" i="1"/>
  <c r="Z2136" i="1"/>
  <c r="AA2136" i="1"/>
  <c r="AB2136" i="1"/>
  <c r="CV2136" i="1"/>
  <c r="Y2136" i="1" s="1"/>
  <c r="Z2137" i="1"/>
  <c r="AA2137" i="1"/>
  <c r="AB2137" i="1"/>
  <c r="CV2137" i="1"/>
  <c r="Y2137" i="1"/>
  <c r="Z2138" i="1"/>
  <c r="AA2138" i="1"/>
  <c r="AB2138" i="1"/>
  <c r="CV2138" i="1"/>
  <c r="Y2138" i="1" s="1"/>
  <c r="Z2139" i="1"/>
  <c r="AA2139" i="1"/>
  <c r="AB2139" i="1"/>
  <c r="CV2139" i="1"/>
  <c r="Y2139" i="1"/>
  <c r="Z2140" i="1"/>
  <c r="AA2140" i="1"/>
  <c r="AB2140" i="1"/>
  <c r="CV2140" i="1"/>
  <c r="Y2140" i="1" s="1"/>
  <c r="Z2141" i="1"/>
  <c r="AA2141" i="1"/>
  <c r="AB2141" i="1"/>
  <c r="CV2141" i="1"/>
  <c r="Y2141" i="1"/>
  <c r="Z2142" i="1"/>
  <c r="AA2142" i="1"/>
  <c r="AB2142" i="1"/>
  <c r="CV2142" i="1"/>
  <c r="Y2142" i="1" s="1"/>
  <c r="Z2143" i="1"/>
  <c r="AA2143" i="1"/>
  <c r="AB2143" i="1"/>
  <c r="CV2143" i="1"/>
  <c r="Y2143" i="1"/>
  <c r="Z2144" i="1"/>
  <c r="AA2144" i="1"/>
  <c r="AB2144" i="1"/>
  <c r="CV2144" i="1"/>
  <c r="Y2144" i="1" s="1"/>
  <c r="Z2145" i="1"/>
  <c r="AA2145" i="1"/>
  <c r="AB2145" i="1"/>
  <c r="CV2145" i="1"/>
  <c r="Y2145" i="1"/>
  <c r="Z2146" i="1"/>
  <c r="AA2146" i="1"/>
  <c r="AB2146" i="1"/>
  <c r="CV2146" i="1"/>
  <c r="Y2146" i="1" s="1"/>
  <c r="AE2146" i="1" s="1"/>
  <c r="Z2147" i="1"/>
  <c r="AA2147" i="1"/>
  <c r="AB2147" i="1"/>
  <c r="CV2147" i="1"/>
  <c r="Y2147" i="1" s="1"/>
  <c r="AA2148" i="1"/>
  <c r="AB2148" i="1"/>
  <c r="BC2148" i="1"/>
  <c r="CK2148" i="1"/>
  <c r="CO2148" i="1"/>
  <c r="CQ2148" i="1"/>
  <c r="CS2148" i="1"/>
  <c r="CY2148" i="1"/>
  <c r="CZ2148" i="1"/>
  <c r="Z2148" i="1" s="1"/>
  <c r="Z2149" i="1"/>
  <c r="AA2149" i="1"/>
  <c r="AB2149" i="1"/>
  <c r="CV2149" i="1"/>
  <c r="Y2149" i="1"/>
  <c r="Z2150" i="1"/>
  <c r="AA2150" i="1"/>
  <c r="AB2150" i="1"/>
  <c r="CV2150" i="1"/>
  <c r="Y2150" i="1" s="1"/>
  <c r="Z2161" i="1"/>
  <c r="AA2161" i="1"/>
  <c r="AB2161" i="1"/>
  <c r="CV2161" i="1"/>
  <c r="Y2161" i="1"/>
  <c r="Z2164" i="1"/>
  <c r="AA2164" i="1"/>
  <c r="AB2164" i="1"/>
  <c r="CV2164" i="1"/>
  <c r="Y2164" i="1" s="1"/>
  <c r="Z2151" i="1"/>
  <c r="AA2151" i="1"/>
  <c r="AB2151" i="1"/>
  <c r="CV2151" i="1"/>
  <c r="Y2151" i="1"/>
  <c r="Z2152" i="1"/>
  <c r="AA2152" i="1"/>
  <c r="AB2152" i="1"/>
  <c r="CV2152" i="1"/>
  <c r="Y2152" i="1" s="1"/>
  <c r="Z2153" i="1"/>
  <c r="AA2153" i="1"/>
  <c r="AB2153" i="1"/>
  <c r="CV2153" i="1"/>
  <c r="Y2153" i="1"/>
  <c r="Z2154" i="1"/>
  <c r="AA2154" i="1"/>
  <c r="AB2154" i="1"/>
  <c r="CV2154" i="1"/>
  <c r="Y2154" i="1" s="1"/>
  <c r="Z2155" i="1"/>
  <c r="AA2155" i="1"/>
  <c r="AB2155" i="1"/>
  <c r="CV2155" i="1"/>
  <c r="Y2155" i="1"/>
  <c r="Z2156" i="1"/>
  <c r="AA2156" i="1"/>
  <c r="AB2156" i="1"/>
  <c r="CV2156" i="1"/>
  <c r="Y2156" i="1" s="1"/>
  <c r="Z2157" i="1"/>
  <c r="AA2157" i="1"/>
  <c r="AB2157" i="1"/>
  <c r="CV2157" i="1"/>
  <c r="Y2157" i="1"/>
  <c r="AE2157" i="1" s="1"/>
  <c r="Z2158" i="1"/>
  <c r="AA2158" i="1"/>
  <c r="AB2158" i="1"/>
  <c r="CV2158" i="1"/>
  <c r="Y2158" i="1"/>
  <c r="Z2159" i="1"/>
  <c r="AA2159" i="1"/>
  <c r="AB2159" i="1"/>
  <c r="CV2159" i="1"/>
  <c r="Y2159" i="1" s="1"/>
  <c r="AE2159" i="1" s="1"/>
  <c r="Z2160" i="1"/>
  <c r="AA2160" i="1"/>
  <c r="AB2160" i="1"/>
  <c r="CV2160" i="1"/>
  <c r="Y2160" i="1" s="1"/>
  <c r="Z2162" i="1"/>
  <c r="AA2162" i="1"/>
  <c r="AB2162" i="1"/>
  <c r="CV2162" i="1"/>
  <c r="Y2162" i="1"/>
  <c r="AE2162" i="1" s="1"/>
  <c r="Z2163" i="1"/>
  <c r="AA2163" i="1"/>
  <c r="AB2163" i="1"/>
  <c r="CV2163" i="1"/>
  <c r="Y2163" i="1"/>
  <c r="AE2163" i="1" s="1"/>
  <c r="Z2165" i="1"/>
  <c r="AA2165" i="1"/>
  <c r="AB2165" i="1"/>
  <c r="CV2165" i="1"/>
  <c r="Y2165" i="1"/>
  <c r="AE2165" i="1" s="1"/>
  <c r="Z2166" i="1"/>
  <c r="AA2166" i="1"/>
  <c r="AB2166" i="1"/>
  <c r="CV2166" i="1"/>
  <c r="Y2166" i="1"/>
  <c r="Z2167" i="1"/>
  <c r="AA2167" i="1"/>
  <c r="AB2167" i="1"/>
  <c r="CV2167" i="1"/>
  <c r="Y2167" i="1" s="1"/>
  <c r="Z2168" i="1"/>
  <c r="AA2168" i="1"/>
  <c r="AB2168" i="1"/>
  <c r="CV2168" i="1"/>
  <c r="Y2168" i="1"/>
  <c r="AE2168" i="1" s="1"/>
  <c r="Z2169" i="1"/>
  <c r="AA2169" i="1"/>
  <c r="AB2169" i="1"/>
  <c r="CV2169" i="1"/>
  <c r="Y2169" i="1"/>
  <c r="AE2169" i="1" s="1"/>
  <c r="Z2170" i="1"/>
  <c r="AA2170" i="1"/>
  <c r="AB2170" i="1"/>
  <c r="CV2170" i="1"/>
  <c r="Y2170" i="1"/>
  <c r="Z2171" i="1"/>
  <c r="AA2171" i="1"/>
  <c r="AB2171" i="1"/>
  <c r="CV2171" i="1"/>
  <c r="Y2171" i="1" s="1"/>
  <c r="AE2171" i="1" s="1"/>
  <c r="Z2172" i="1"/>
  <c r="AA2172" i="1"/>
  <c r="AB2172" i="1"/>
  <c r="CV2172" i="1"/>
  <c r="Y2172" i="1" s="1"/>
  <c r="Z2173" i="1"/>
  <c r="AA2173" i="1"/>
  <c r="AB2173" i="1"/>
  <c r="CV2173" i="1"/>
  <c r="Y2173" i="1"/>
  <c r="AE2173" i="1" s="1"/>
  <c r="Z2174" i="1"/>
  <c r="AA2174" i="1"/>
  <c r="AB2174" i="1"/>
  <c r="CV2174" i="1"/>
  <c r="Y2174" i="1"/>
  <c r="Z2175" i="1"/>
  <c r="AA2175" i="1"/>
  <c r="AB2175" i="1"/>
  <c r="CV2175" i="1"/>
  <c r="Y2175" i="1" s="1"/>
  <c r="AE2175" i="1" s="1"/>
  <c r="Z2176" i="1"/>
  <c r="AA2176" i="1"/>
  <c r="AB2176" i="1"/>
  <c r="CV2176" i="1"/>
  <c r="Y2176" i="1" s="1"/>
  <c r="Z2177" i="1"/>
  <c r="AA2177" i="1"/>
  <c r="AB2177" i="1"/>
  <c r="CV2177" i="1"/>
  <c r="Y2177" i="1"/>
  <c r="AE2177" i="1" s="1"/>
  <c r="Z2178" i="1"/>
  <c r="AA2178" i="1"/>
  <c r="AB2178" i="1"/>
  <c r="CV2178" i="1"/>
  <c r="Y2178" i="1"/>
  <c r="AE2178" i="1" s="1"/>
  <c r="Z2179" i="1"/>
  <c r="AA2179" i="1"/>
  <c r="AB2179" i="1"/>
  <c r="CV2179" i="1"/>
  <c r="Y2179" i="1"/>
  <c r="Z2180" i="1"/>
  <c r="AA2180" i="1"/>
  <c r="AB2180" i="1"/>
  <c r="CV2180" i="1"/>
  <c r="Y2180" i="1" s="1"/>
  <c r="AE2180" i="1" s="1"/>
  <c r="J2181" i="1"/>
  <c r="Z2181" i="1"/>
  <c r="AA2181" i="1"/>
  <c r="AB2181" i="1"/>
  <c r="CV2181" i="1"/>
  <c r="Y2181" i="1"/>
  <c r="J2182" i="1"/>
  <c r="Z2182" i="1"/>
  <c r="AA2182" i="1"/>
  <c r="AB2182" i="1"/>
  <c r="CV2182" i="1"/>
  <c r="Y2182" i="1"/>
  <c r="Z2183" i="1"/>
  <c r="AA2183" i="1"/>
  <c r="AB2183" i="1"/>
  <c r="CV2183" i="1"/>
  <c r="Y2183" i="1" s="1"/>
  <c r="AE2183" i="1" s="1"/>
  <c r="Z2184" i="1"/>
  <c r="AA2184" i="1"/>
  <c r="AB2184" i="1"/>
  <c r="CV2184" i="1"/>
  <c r="Y2184" i="1" s="1"/>
  <c r="J2185" i="1"/>
  <c r="Z2185" i="1"/>
  <c r="AA2185" i="1"/>
  <c r="AB2185" i="1"/>
  <c r="CV2185" i="1"/>
  <c r="Y2185" i="1" s="1"/>
  <c r="J2186" i="1"/>
  <c r="Z2186" i="1"/>
  <c r="AA2186" i="1"/>
  <c r="AB2186" i="1"/>
  <c r="CV2186" i="1"/>
  <c r="Y2186" i="1" s="1"/>
  <c r="Z2193" i="1"/>
  <c r="AA2193" i="1"/>
  <c r="AB2193" i="1"/>
  <c r="CV2193" i="1"/>
  <c r="Y2193" i="1"/>
  <c r="AE2193" i="1" s="1"/>
  <c r="Z2194" i="1"/>
  <c r="AA2194" i="1"/>
  <c r="AB2194" i="1"/>
  <c r="CV2194" i="1"/>
  <c r="Y2194" i="1"/>
  <c r="AE2194" i="1" s="1"/>
  <c r="AA2195" i="1"/>
  <c r="AB2195" i="1"/>
  <c r="CV2195" i="1"/>
  <c r="Y2195" i="1" s="1"/>
  <c r="CZ2195" i="1"/>
  <c r="Z2195" i="1" s="1"/>
  <c r="AA2196" i="1"/>
  <c r="AB2196" i="1"/>
  <c r="CV2196" i="1"/>
  <c r="Y2196" i="1" s="1"/>
  <c r="CZ2196" i="1"/>
  <c r="Z2196" i="1" s="1"/>
  <c r="Z2198" i="1"/>
  <c r="AA2198" i="1"/>
  <c r="AB2198" i="1"/>
  <c r="CV2198" i="1"/>
  <c r="Y2198" i="1"/>
  <c r="AE2198" i="1" s="1"/>
  <c r="Z2218" i="1"/>
  <c r="AA2218" i="1"/>
  <c r="AB2218" i="1"/>
  <c r="CV2218" i="1"/>
  <c r="Y2218" i="1"/>
  <c r="Z2219" i="1"/>
  <c r="AA2219" i="1"/>
  <c r="AB2219" i="1"/>
  <c r="CV2219" i="1"/>
  <c r="Y2219" i="1" s="1"/>
  <c r="Z2221" i="1"/>
  <c r="AA2221" i="1"/>
  <c r="AB2221" i="1"/>
  <c r="CV2221" i="1"/>
  <c r="Y2221" i="1"/>
  <c r="AE2221" i="1" s="1"/>
  <c r="Z2222" i="1"/>
  <c r="AA2222" i="1"/>
  <c r="AB2222" i="1"/>
  <c r="CV2222" i="1"/>
  <c r="Y2222" i="1"/>
  <c r="AE2222" i="1" s="1"/>
  <c r="Z2224" i="1"/>
  <c r="AA2224" i="1"/>
  <c r="AB2224" i="1"/>
  <c r="CV2224" i="1"/>
  <c r="Y2224" i="1"/>
  <c r="Z2225" i="1"/>
  <c r="AA2225" i="1"/>
  <c r="AB2225" i="1"/>
  <c r="CV2225" i="1"/>
  <c r="Y2225" i="1" s="1"/>
  <c r="AE2225" i="1" s="1"/>
  <c r="Z2239" i="1"/>
  <c r="AA2239" i="1"/>
  <c r="AB2239" i="1"/>
  <c r="CV2239" i="1"/>
  <c r="Y2239" i="1" s="1"/>
  <c r="AE2239" i="1" s="1"/>
  <c r="Z2245" i="1"/>
  <c r="AA2245" i="1"/>
  <c r="AB2245" i="1"/>
  <c r="CV2245" i="1"/>
  <c r="Y2245" i="1" s="1"/>
  <c r="AE2245" i="1" s="1"/>
  <c r="Z2267" i="1"/>
  <c r="AA2267" i="1"/>
  <c r="AB2267" i="1"/>
  <c r="CV2267" i="1"/>
  <c r="Y2267" i="1" s="1"/>
  <c r="Z2273" i="1"/>
  <c r="AA2273" i="1"/>
  <c r="AB2273" i="1"/>
  <c r="CV2273" i="1"/>
  <c r="Y2273" i="1"/>
  <c r="AE2273" i="1" s="1"/>
  <c r="Z2281" i="1"/>
  <c r="AA2281" i="1"/>
  <c r="AB2281" i="1"/>
  <c r="CV2281" i="1"/>
  <c r="Y2281" i="1"/>
  <c r="Z2282" i="1"/>
  <c r="AA2282" i="1"/>
  <c r="AB2282" i="1"/>
  <c r="CV2282" i="1"/>
  <c r="Y2282" i="1" s="1"/>
  <c r="AE2282" i="1" s="1"/>
  <c r="Z2283" i="1"/>
  <c r="AA2283" i="1"/>
  <c r="AB2283" i="1"/>
  <c r="CV2283" i="1"/>
  <c r="Y2283" i="1" s="1"/>
  <c r="Z2284" i="1"/>
  <c r="AA2284" i="1"/>
  <c r="AB2284" i="1"/>
  <c r="CV2284" i="1"/>
  <c r="Y2284" i="1"/>
  <c r="J2286" i="1"/>
  <c r="Z2286" i="1"/>
  <c r="AA2286" i="1"/>
  <c r="AB2286" i="1"/>
  <c r="CV2286" i="1"/>
  <c r="Y2286" i="1"/>
  <c r="J2287" i="1"/>
  <c r="Z2287" i="1"/>
  <c r="AA2287" i="1"/>
  <c r="AB2287" i="1"/>
  <c r="CV2287" i="1"/>
  <c r="Y2287" i="1"/>
  <c r="AE2287" i="1" s="1"/>
  <c r="Z2288" i="1"/>
  <c r="AA2288" i="1"/>
  <c r="AB2288" i="1"/>
  <c r="CV2288" i="1"/>
  <c r="Y2288" i="1"/>
  <c r="J2289" i="1"/>
  <c r="Z2289" i="1"/>
  <c r="AA2289" i="1"/>
  <c r="AB2289" i="1"/>
  <c r="CV2289" i="1"/>
  <c r="Y2289" i="1"/>
  <c r="J2290" i="1"/>
  <c r="Z2290" i="1"/>
  <c r="AA2290" i="1"/>
  <c r="AB2290" i="1"/>
  <c r="CV2290" i="1"/>
  <c r="Y2290" i="1"/>
  <c r="J2291" i="1"/>
  <c r="Z2291" i="1"/>
  <c r="AA2291" i="1"/>
  <c r="AB2291" i="1"/>
  <c r="CV2291" i="1"/>
  <c r="Y2291" i="1"/>
  <c r="J2292" i="1"/>
  <c r="Z2292" i="1"/>
  <c r="AA2292" i="1"/>
  <c r="AB2292" i="1"/>
  <c r="CV2292" i="1"/>
  <c r="Y2292" i="1"/>
  <c r="Z2293" i="1"/>
  <c r="AA2293" i="1"/>
  <c r="AB2293" i="1"/>
  <c r="CV2293" i="1"/>
  <c r="Y2293" i="1" s="1"/>
  <c r="AA2297" i="1"/>
  <c r="AB2297" i="1"/>
  <c r="BC2297" i="1"/>
  <c r="BM2297" i="1"/>
  <c r="CS2297" i="1"/>
  <c r="CZ2297" i="1"/>
  <c r="Z2297" i="1"/>
  <c r="AA2305" i="1"/>
  <c r="AB2305" i="1"/>
  <c r="CV2305" i="1"/>
  <c r="Y2305" i="1"/>
  <c r="CZ2305" i="1"/>
  <c r="Z2305" i="1"/>
  <c r="Z2306" i="1"/>
  <c r="AA2306" i="1"/>
  <c r="AB2306" i="1"/>
  <c r="CV2306" i="1"/>
  <c r="Y2306" i="1" s="1"/>
  <c r="AE2306" i="1" s="1"/>
  <c r="Z2307" i="1"/>
  <c r="AA2307" i="1"/>
  <c r="AB2307" i="1"/>
  <c r="CV2307" i="1"/>
  <c r="Y2307" i="1" s="1"/>
  <c r="AE2307" i="1" s="1"/>
  <c r="Z2308" i="1"/>
  <c r="AA2308" i="1"/>
  <c r="AB2308" i="1"/>
  <c r="CV2308" i="1"/>
  <c r="Y2308" i="1" s="1"/>
  <c r="AE2308" i="1" s="1"/>
  <c r="Z2309" i="1"/>
  <c r="AA2309" i="1"/>
  <c r="AB2309" i="1"/>
  <c r="CV2309" i="1"/>
  <c r="Y2309" i="1" s="1"/>
  <c r="Z2311" i="1"/>
  <c r="AA2311" i="1"/>
  <c r="AB2311" i="1"/>
  <c r="CV2311" i="1"/>
  <c r="Y2311" i="1"/>
  <c r="AE2311" i="1" s="1"/>
  <c r="Z2313" i="1"/>
  <c r="AA2313" i="1"/>
  <c r="AB2313" i="1"/>
  <c r="CV2313" i="1"/>
  <c r="Y2313" i="1"/>
  <c r="Z2314" i="1"/>
  <c r="AA2314" i="1"/>
  <c r="AB2314" i="1"/>
  <c r="CV2314" i="1"/>
  <c r="Y2314" i="1" s="1"/>
  <c r="AE2314" i="1" s="1"/>
  <c r="Z2315" i="1"/>
  <c r="AA2315" i="1"/>
  <c r="AB2315" i="1"/>
  <c r="CV2315" i="1"/>
  <c r="Y2315" i="1" s="1"/>
  <c r="AA2316" i="1"/>
  <c r="AB2316" i="1"/>
  <c r="CV2316" i="1"/>
  <c r="Y2316" i="1" s="1"/>
  <c r="CZ2316" i="1"/>
  <c r="Z2316" i="1" s="1"/>
  <c r="Z2317" i="1"/>
  <c r="AA2317" i="1"/>
  <c r="AB2317" i="1"/>
  <c r="CV2317" i="1"/>
  <c r="Y2317" i="1"/>
  <c r="Z2318" i="1"/>
  <c r="AA2318" i="1"/>
  <c r="AB2318" i="1"/>
  <c r="CV2318" i="1"/>
  <c r="Y2318" i="1" s="1"/>
  <c r="Z2319" i="1"/>
  <c r="AA2319" i="1"/>
  <c r="CA2319" i="1"/>
  <c r="CV2319" i="1" s="1"/>
  <c r="Y2319" i="1" s="1"/>
  <c r="CX2319" i="1"/>
  <c r="AB2319" i="1"/>
  <c r="Z2320" i="1"/>
  <c r="AA2320" i="1"/>
  <c r="AB2320" i="1"/>
  <c r="CV2320" i="1"/>
  <c r="Y2320" i="1" s="1"/>
  <c r="J2321" i="1"/>
  <c r="Z2321" i="1"/>
  <c r="AA2321" i="1"/>
  <c r="AB2321" i="1"/>
  <c r="CV2321" i="1"/>
  <c r="Y2321" i="1" s="1"/>
  <c r="Z2322" i="1"/>
  <c r="AA2322" i="1"/>
  <c r="AB2322" i="1"/>
  <c r="CV2322" i="1"/>
  <c r="Y2322" i="1"/>
  <c r="Z2323" i="1"/>
  <c r="AA2323" i="1"/>
  <c r="AB2323" i="1"/>
  <c r="CV2323" i="1"/>
  <c r="Y2323" i="1" s="1"/>
  <c r="Z2324" i="1"/>
  <c r="AA2324" i="1"/>
  <c r="AB2324" i="1"/>
  <c r="CV2324" i="1"/>
  <c r="Y2324" i="1"/>
  <c r="Z2325" i="1"/>
  <c r="AA2325" i="1"/>
  <c r="AB2325" i="1"/>
  <c r="CV2325" i="1"/>
  <c r="Y2325" i="1" s="1"/>
  <c r="Z2327" i="1"/>
  <c r="AA2327" i="1"/>
  <c r="AB2327" i="1"/>
  <c r="CV2327" i="1"/>
  <c r="Y2327" i="1"/>
  <c r="AA2328" i="1"/>
  <c r="AB2328" i="1"/>
  <c r="CQ2328" i="1"/>
  <c r="CV2328" i="1"/>
  <c r="Y2328" i="1" s="1"/>
  <c r="CZ2328" i="1"/>
  <c r="Z2328" i="1" s="1"/>
  <c r="Z2329" i="1"/>
  <c r="AA2329" i="1"/>
  <c r="AB2329" i="1"/>
  <c r="CV2329" i="1"/>
  <c r="Y2329" i="1"/>
  <c r="Z2330" i="1"/>
  <c r="AA2330" i="1"/>
  <c r="AB2330" i="1"/>
  <c r="CV2330" i="1"/>
  <c r="Y2330" i="1" s="1"/>
  <c r="Z2331" i="1"/>
  <c r="AA2331" i="1"/>
  <c r="AB2331" i="1"/>
  <c r="CV2331" i="1"/>
  <c r="Y2331" i="1"/>
  <c r="Z2332" i="1"/>
  <c r="AA2332" i="1"/>
  <c r="AB2332" i="1"/>
  <c r="CV2332" i="1"/>
  <c r="Y2332" i="1" s="1"/>
  <c r="J2333" i="1"/>
  <c r="K2333" i="1"/>
  <c r="Z2333" i="1"/>
  <c r="AA2333" i="1"/>
  <c r="AB2333" i="1"/>
  <c r="CV2333" i="1"/>
  <c r="Y2333" i="1"/>
  <c r="Z2334" i="1"/>
  <c r="AA2334" i="1"/>
  <c r="AB2334" i="1"/>
  <c r="CV2334" i="1"/>
  <c r="Y2334" i="1" s="1"/>
  <c r="Z2335" i="1"/>
  <c r="AA2335" i="1"/>
  <c r="AB2335" i="1"/>
  <c r="CV2335" i="1"/>
  <c r="Y2335" i="1"/>
  <c r="J2336" i="1"/>
  <c r="Z2336" i="1"/>
  <c r="AA2336" i="1"/>
  <c r="AB2336" i="1"/>
  <c r="CV2336" i="1"/>
  <c r="Y2336" i="1"/>
  <c r="AE2336" i="1" s="1"/>
  <c r="AA2337" i="1"/>
  <c r="AB2337" i="1"/>
  <c r="CO2337" i="1"/>
  <c r="CV2337" i="1" s="1"/>
  <c r="Y2337" i="1" s="1"/>
  <c r="CZ2337" i="1"/>
  <c r="Z2337" i="1"/>
  <c r="Z2338" i="1"/>
  <c r="AA2338" i="1"/>
  <c r="AB2338" i="1"/>
  <c r="CV2338" i="1"/>
  <c r="Y2338" i="1" s="1"/>
  <c r="AE2338" i="1" s="1"/>
  <c r="Z2339" i="1"/>
  <c r="AA2339" i="1"/>
  <c r="AB2339" i="1"/>
  <c r="CV2339" i="1"/>
  <c r="Y2339" i="1" s="1"/>
  <c r="Z2340" i="1"/>
  <c r="AA2340" i="1"/>
  <c r="AB2340" i="1"/>
  <c r="CV2340" i="1"/>
  <c r="Y2340" i="1"/>
  <c r="Z2341" i="1"/>
  <c r="AA2341" i="1"/>
  <c r="AB2341" i="1"/>
  <c r="CV2341" i="1"/>
  <c r="Y2341" i="1" s="1"/>
  <c r="Z2342" i="1"/>
  <c r="AA2342" i="1"/>
  <c r="AB2342" i="1"/>
  <c r="BA2342" i="1"/>
  <c r="CK2342" i="1"/>
  <c r="Z2343" i="1"/>
  <c r="AA2343" i="1"/>
  <c r="AB2343" i="1"/>
  <c r="CV2343" i="1"/>
  <c r="Y2343" i="1" s="1"/>
  <c r="K2344" i="1"/>
  <c r="Z2344" i="1"/>
  <c r="AA2344" i="1"/>
  <c r="AB2344" i="1"/>
  <c r="CV2344" i="1"/>
  <c r="Y2344" i="1" s="1"/>
  <c r="Z2345" i="1"/>
  <c r="AA2345" i="1"/>
  <c r="AB2345" i="1"/>
  <c r="CV2345" i="1"/>
  <c r="Y2345" i="1"/>
  <c r="Z2346" i="1"/>
  <c r="AA2346" i="1"/>
  <c r="AB2346" i="1"/>
  <c r="CV2346" i="1"/>
  <c r="Y2346" i="1" s="1"/>
  <c r="Z2347" i="1"/>
  <c r="AA2347" i="1"/>
  <c r="AB2347" i="1"/>
  <c r="CV2347" i="1"/>
  <c r="Y2347" i="1"/>
  <c r="AE2347" i="1" s="1"/>
  <c r="Z2348" i="1"/>
  <c r="AA2348" i="1"/>
  <c r="AB2348" i="1"/>
  <c r="CV2348" i="1"/>
  <c r="Y2348" i="1"/>
  <c r="Z2349" i="1"/>
  <c r="AA2349" i="1"/>
  <c r="AB2349" i="1"/>
  <c r="CV2349" i="1"/>
  <c r="Y2349" i="1" s="1"/>
  <c r="AE2349" i="1" s="1"/>
  <c r="Z2351" i="1"/>
  <c r="AA2351" i="1"/>
  <c r="AB2351" i="1"/>
  <c r="CV2351" i="1"/>
  <c r="Y2351" i="1" s="1"/>
  <c r="M2352" i="1"/>
  <c r="Z2352" i="1"/>
  <c r="AA2352" i="1"/>
  <c r="AB2352" i="1"/>
  <c r="CV2352" i="1"/>
  <c r="Y2352" i="1" s="1"/>
  <c r="Z2353" i="1"/>
  <c r="AA2353" i="1"/>
  <c r="AB2353" i="1"/>
  <c r="CV2353" i="1"/>
  <c r="Y2353" i="1"/>
  <c r="Z2354" i="1"/>
  <c r="AA2354" i="1"/>
  <c r="AB2354" i="1"/>
  <c r="CV2354" i="1"/>
  <c r="Y2354" i="1" s="1"/>
  <c r="J2355" i="1"/>
  <c r="Z2355" i="1"/>
  <c r="AA2355" i="1"/>
  <c r="AB2355" i="1"/>
  <c r="CV2355" i="1"/>
  <c r="Y2355" i="1" s="1"/>
  <c r="Z2356" i="1"/>
  <c r="AA2356" i="1"/>
  <c r="AB2356" i="1"/>
  <c r="CV2356" i="1"/>
  <c r="Y2356" i="1"/>
  <c r="AE2356" i="1" s="1"/>
  <c r="Z2357" i="1"/>
  <c r="AA2357" i="1"/>
  <c r="AB2357" i="1"/>
  <c r="CV2357" i="1"/>
  <c r="Y2357" i="1"/>
  <c r="Z2358" i="1"/>
  <c r="AA2358" i="1"/>
  <c r="AB2358" i="1"/>
  <c r="CV2358" i="1"/>
  <c r="Y2358" i="1" s="1"/>
  <c r="AE2358" i="1" s="1"/>
  <c r="Z2359" i="1"/>
  <c r="AA2359" i="1"/>
  <c r="AB2359" i="1"/>
  <c r="CV2359" i="1"/>
  <c r="Y2359" i="1" s="1"/>
  <c r="Z2360" i="1"/>
  <c r="AA2360" i="1"/>
  <c r="AB2360" i="1"/>
  <c r="CV2360" i="1"/>
  <c r="Y2360" i="1"/>
  <c r="Z2361" i="1"/>
  <c r="AA2361" i="1"/>
  <c r="AB2361" i="1"/>
  <c r="CV2361" i="1"/>
  <c r="Y2361" i="1" s="1"/>
  <c r="Z2362" i="1"/>
  <c r="AA2362" i="1"/>
  <c r="AB2362" i="1"/>
  <c r="CV2362" i="1"/>
  <c r="Y2362" i="1"/>
  <c r="Z2363" i="1"/>
  <c r="AA2363" i="1"/>
  <c r="AB2363" i="1"/>
  <c r="CV2363" i="1"/>
  <c r="Y2363" i="1" s="1"/>
  <c r="Z2364" i="1"/>
  <c r="AA2364" i="1"/>
  <c r="AB2364" i="1"/>
  <c r="CV2364" i="1"/>
  <c r="Y2364" i="1"/>
  <c r="Z2365" i="1"/>
  <c r="AA2365" i="1"/>
  <c r="AB2365" i="1"/>
  <c r="CV2365" i="1"/>
  <c r="Y2365" i="1" s="1"/>
  <c r="Z2366" i="1"/>
  <c r="AA2366" i="1"/>
  <c r="AB2366" i="1"/>
  <c r="CV2366" i="1"/>
  <c r="Y2366" i="1"/>
  <c r="Z2367" i="1"/>
  <c r="AA2367" i="1"/>
  <c r="AB2367" i="1"/>
  <c r="CV2367" i="1"/>
  <c r="Y2367" i="1" s="1"/>
  <c r="Z2368" i="1"/>
  <c r="AA2368" i="1"/>
  <c r="AB2368" i="1"/>
  <c r="CV2368" i="1"/>
  <c r="Y2368" i="1"/>
  <c r="J2369" i="1"/>
  <c r="Z2369" i="1"/>
  <c r="AA2369" i="1"/>
  <c r="AB2369" i="1"/>
  <c r="CV2369" i="1"/>
  <c r="Y2369" i="1"/>
  <c r="Z2370" i="1"/>
  <c r="AA2370" i="1"/>
  <c r="AB2370" i="1"/>
  <c r="CV2370" i="1"/>
  <c r="Y2370" i="1" s="1"/>
  <c r="J2371" i="1"/>
  <c r="K2371" i="1"/>
  <c r="Z2371" i="1"/>
  <c r="AA2371" i="1"/>
  <c r="AB2371" i="1"/>
  <c r="CV2371" i="1"/>
  <c r="Y2371" i="1"/>
  <c r="Z2372" i="1"/>
  <c r="AA2372" i="1"/>
  <c r="AB2372" i="1"/>
  <c r="CV2372" i="1"/>
  <c r="Y2372" i="1" s="1"/>
  <c r="Z2373" i="1"/>
  <c r="AA2373" i="1"/>
  <c r="AB2373" i="1"/>
  <c r="CV2373" i="1"/>
  <c r="Y2373" i="1"/>
  <c r="Z2374" i="1"/>
  <c r="AA2374" i="1"/>
  <c r="AB2374" i="1"/>
  <c r="CV2374" i="1"/>
  <c r="Y2374" i="1" s="1"/>
  <c r="Z2375" i="1"/>
  <c r="AA2375" i="1"/>
  <c r="AB2375" i="1"/>
  <c r="CV2375" i="1"/>
  <c r="Y2375" i="1"/>
  <c r="Z2376" i="1"/>
  <c r="AA2376" i="1"/>
  <c r="AB2376" i="1"/>
  <c r="CV2376" i="1"/>
  <c r="Y2376" i="1" s="1"/>
  <c r="Z2393" i="1"/>
  <c r="AA2393" i="1"/>
  <c r="AB2393" i="1"/>
  <c r="CV2393" i="1"/>
  <c r="Y2393" i="1"/>
  <c r="AE2393" i="1" s="1"/>
  <c r="Z2395" i="1"/>
  <c r="AA2395" i="1"/>
  <c r="AB2395" i="1"/>
  <c r="CV2395" i="1"/>
  <c r="Y2395" i="1"/>
  <c r="Z2394" i="1"/>
  <c r="AA2394" i="1"/>
  <c r="AB2394" i="1"/>
  <c r="CV2394" i="1"/>
  <c r="Y2394" i="1" s="1"/>
  <c r="AE2394" i="1" s="1"/>
  <c r="J2390" i="1"/>
  <c r="Z2390" i="1"/>
  <c r="AA2390" i="1"/>
  <c r="AB2390" i="1"/>
  <c r="CV2390" i="1"/>
  <c r="Y2390" i="1"/>
  <c r="Z2396" i="1"/>
  <c r="AA2396" i="1"/>
  <c r="AB2396" i="1"/>
  <c r="CV2396" i="1"/>
  <c r="Y2396" i="1" s="1"/>
  <c r="Z2397" i="1"/>
  <c r="AA2397" i="1"/>
  <c r="AB2397" i="1"/>
  <c r="CV2397" i="1"/>
  <c r="Y2397" i="1"/>
  <c r="Z2398" i="1"/>
  <c r="AA2398" i="1"/>
  <c r="AB2398" i="1"/>
  <c r="CV2398" i="1"/>
  <c r="Y2398" i="1" s="1"/>
  <c r="Z2402" i="1"/>
  <c r="AA2402" i="1"/>
  <c r="AB2402" i="1"/>
  <c r="CV2402" i="1"/>
  <c r="Y2402" i="1"/>
  <c r="Z2399" i="1"/>
  <c r="AA2399" i="1"/>
  <c r="AB2399" i="1"/>
  <c r="CV2399" i="1"/>
  <c r="Y2399" i="1" s="1"/>
  <c r="Z2400" i="1"/>
  <c r="AA2400" i="1"/>
  <c r="AB2400" i="1"/>
  <c r="CV2400" i="1"/>
  <c r="Y2400" i="1"/>
  <c r="Z2401" i="1"/>
  <c r="AA2401" i="1"/>
  <c r="AB2401" i="1"/>
  <c r="CV2401" i="1"/>
  <c r="Y2401" i="1" s="1"/>
  <c r="Z2403" i="1"/>
  <c r="AA2403" i="1"/>
  <c r="AB2403" i="1"/>
  <c r="CV2403" i="1"/>
  <c r="Y2403" i="1"/>
  <c r="J2386" i="1"/>
  <c r="Z2386" i="1"/>
  <c r="AA2386" i="1"/>
  <c r="AB2386" i="1"/>
  <c r="CV2386" i="1"/>
  <c r="Y2386" i="1"/>
  <c r="J2387" i="1"/>
  <c r="Z2387" i="1"/>
  <c r="AA2387" i="1"/>
  <c r="AB2387" i="1"/>
  <c r="CV2387" i="1"/>
  <c r="Y2387" i="1"/>
  <c r="Z2389" i="1"/>
  <c r="AA2389" i="1"/>
  <c r="AB2389" i="1"/>
  <c r="CV2389" i="1"/>
  <c r="Y2389" i="1" s="1"/>
  <c r="Z2392" i="1"/>
  <c r="AA2392" i="1"/>
  <c r="AB2392" i="1"/>
  <c r="CV2392" i="1"/>
  <c r="Y2392" i="1"/>
  <c r="Z2391" i="1"/>
  <c r="AA2391" i="1"/>
  <c r="AB2391" i="1"/>
  <c r="CV2391" i="1"/>
  <c r="Y2391" i="1" s="1"/>
  <c r="Z2216" i="1"/>
  <c r="AA2216" i="1"/>
  <c r="AB2216" i="1"/>
  <c r="CV2216" i="1"/>
  <c r="Y2216" i="1"/>
  <c r="J2378" i="1"/>
  <c r="Z2378" i="1"/>
  <c r="AA2378" i="1"/>
  <c r="AB2378" i="1"/>
  <c r="CV2378" i="1"/>
  <c r="Y2378" i="1"/>
  <c r="J2379" i="1"/>
  <c r="Z2379" i="1"/>
  <c r="AA2379" i="1"/>
  <c r="AB2379" i="1"/>
  <c r="CV2379" i="1"/>
  <c r="Y2379" i="1"/>
  <c r="Z2380" i="1"/>
  <c r="AA2380" i="1"/>
  <c r="AB2380" i="1"/>
  <c r="CV2380" i="1"/>
  <c r="Y2380" i="1" s="1"/>
  <c r="Z2381" i="1"/>
  <c r="AA2381" i="1"/>
  <c r="AB2381" i="1"/>
  <c r="CV2381" i="1"/>
  <c r="Y2381" i="1"/>
  <c r="Z2382" i="1"/>
  <c r="AA2382" i="1"/>
  <c r="AB2382" i="1"/>
  <c r="CV2382" i="1"/>
  <c r="Y2382" i="1" s="1"/>
  <c r="Z2383" i="1"/>
  <c r="AA2383" i="1"/>
  <c r="AB2383" i="1"/>
  <c r="CV2383" i="1"/>
  <c r="Y2383" i="1"/>
  <c r="Z2384" i="1"/>
  <c r="AA2384" i="1"/>
  <c r="AB2384" i="1"/>
  <c r="CV2384" i="1"/>
  <c r="Y2384" i="1" s="1"/>
  <c r="Z2385" i="1"/>
  <c r="AA2385" i="1"/>
  <c r="AB2385" i="1"/>
  <c r="CV2385" i="1"/>
  <c r="Y2385" i="1"/>
  <c r="AE2385" i="1" s="1"/>
  <c r="Z2388" i="1"/>
  <c r="AA2388" i="1"/>
  <c r="AB2388" i="1"/>
  <c r="CV2388" i="1"/>
  <c r="Y2388" i="1"/>
  <c r="Z1842" i="1"/>
  <c r="AA1842" i="1"/>
  <c r="AB1842" i="1"/>
  <c r="CV1842" i="1"/>
  <c r="Y1842" i="1" s="1"/>
  <c r="Z1728" i="1"/>
  <c r="AA1728" i="1"/>
  <c r="AB1728" i="1"/>
  <c r="CV1728" i="1"/>
  <c r="Y1728" i="1"/>
  <c r="Z1729" i="1"/>
  <c r="AA1729" i="1"/>
  <c r="AB1729" i="1"/>
  <c r="CV1729" i="1"/>
  <c r="Y1729" i="1" s="1"/>
  <c r="AE1729" i="1" s="1"/>
  <c r="Z2201" i="1"/>
  <c r="AA2201" i="1"/>
  <c r="AB2201" i="1"/>
  <c r="CV2201" i="1"/>
  <c r="Y2201" i="1" s="1"/>
  <c r="Z2280" i="1"/>
  <c r="AA2280" i="1"/>
  <c r="AB2280" i="1"/>
  <c r="CV2280" i="1"/>
  <c r="Y2280" i="1"/>
  <c r="Z2203" i="1"/>
  <c r="AA2203" i="1"/>
  <c r="AB2203" i="1"/>
  <c r="CV2203" i="1"/>
  <c r="Y2203" i="1" s="1"/>
  <c r="Z1360" i="1"/>
  <c r="AA1360" i="1"/>
  <c r="AB1360" i="1"/>
  <c r="CV1360" i="1"/>
  <c r="Y1360" i="1"/>
  <c r="Z2310" i="1"/>
  <c r="AA2310" i="1"/>
  <c r="AB2310" i="1"/>
  <c r="CV2310" i="1"/>
  <c r="Y2310" i="1" s="1"/>
  <c r="Z1796" i="1"/>
  <c r="AA1796" i="1"/>
  <c r="AB1796" i="1"/>
  <c r="CV1796" i="1"/>
  <c r="Y1796" i="1"/>
  <c r="Z2212" i="1"/>
  <c r="AA2212" i="1"/>
  <c r="AB2212" i="1"/>
  <c r="CV2212" i="1"/>
  <c r="Y2212" i="1" s="1"/>
  <c r="Z1532" i="1"/>
  <c r="AA1532" i="1"/>
  <c r="AB1532" i="1"/>
  <c r="CV1532" i="1"/>
  <c r="Y1532" i="1"/>
  <c r="Z2214" i="1"/>
  <c r="AA2214" i="1"/>
  <c r="AB2214" i="1"/>
  <c r="CV2214" i="1"/>
  <c r="Y2214" i="1" s="1"/>
  <c r="Z2279" i="1"/>
  <c r="AA2279" i="1"/>
  <c r="AB2279" i="1"/>
  <c r="CV2279" i="1"/>
  <c r="Y2279" i="1"/>
  <c r="AE2279" i="1" s="1"/>
  <c r="Z2277" i="1"/>
  <c r="AA2277" i="1"/>
  <c r="AB2277" i="1"/>
  <c r="CV2277" i="1"/>
  <c r="Y2277" i="1"/>
  <c r="Z2278" i="1"/>
  <c r="AA2278" i="1"/>
  <c r="AB2278" i="1"/>
  <c r="CV2278" i="1"/>
  <c r="Y2278" i="1" s="1"/>
  <c r="AE2278" i="1" s="1"/>
  <c r="Z2226" i="1"/>
  <c r="AA2226" i="1"/>
  <c r="AB2226" i="1"/>
  <c r="CV2226" i="1"/>
  <c r="Y2226" i="1" s="1"/>
  <c r="Z2227" i="1"/>
  <c r="AA2227" i="1"/>
  <c r="AB2227" i="1"/>
  <c r="CV2227" i="1"/>
  <c r="Y2227" i="1"/>
  <c r="Z2228" i="1"/>
  <c r="AA2228" i="1"/>
  <c r="AB2228" i="1"/>
  <c r="CV2228" i="1"/>
  <c r="Y2228" i="1" s="1"/>
  <c r="Z2229" i="1"/>
  <c r="AA2229" i="1"/>
  <c r="AB2229" i="1"/>
  <c r="CV2229" i="1"/>
  <c r="Y2229" i="1"/>
  <c r="AE2229" i="1" s="1"/>
  <c r="Z2230" i="1"/>
  <c r="AA2230" i="1"/>
  <c r="AB2230" i="1"/>
  <c r="CV2230" i="1"/>
  <c r="Y2230" i="1"/>
  <c r="Z2231" i="1"/>
  <c r="AA2231" i="1"/>
  <c r="AB2231" i="1"/>
  <c r="CV2231" i="1"/>
  <c r="Y2231" i="1" s="1"/>
  <c r="Z2232" i="1"/>
  <c r="AA2232" i="1"/>
  <c r="AB2232" i="1"/>
  <c r="CV2232" i="1"/>
  <c r="Y2232" i="1"/>
  <c r="Z2233" i="1"/>
  <c r="AA2233" i="1"/>
  <c r="AB2233" i="1"/>
  <c r="CV2233" i="1"/>
  <c r="Y2233" i="1" s="1"/>
  <c r="Z2234" i="1"/>
  <c r="AA2234" i="1"/>
  <c r="AB2234" i="1"/>
  <c r="CV2234" i="1"/>
  <c r="Y2234" i="1"/>
  <c r="Z2236" i="1"/>
  <c r="AA2236" i="1"/>
  <c r="AB2236" i="1"/>
  <c r="CV2236" i="1"/>
  <c r="Y2236" i="1" s="1"/>
  <c r="Z2237" i="1"/>
  <c r="AA2237" i="1"/>
  <c r="AB2237" i="1"/>
  <c r="CV2237" i="1"/>
  <c r="Y2237" i="1"/>
  <c r="Z2238" i="1"/>
  <c r="AA2238" i="1"/>
  <c r="AB2238" i="1"/>
  <c r="CV2238" i="1"/>
  <c r="Y2238" i="1" s="1"/>
  <c r="Z2235" i="1"/>
  <c r="AA2235" i="1"/>
  <c r="AB2235" i="1"/>
  <c r="CV2235" i="1"/>
  <c r="Y2235" i="1"/>
  <c r="Z2240" i="1"/>
  <c r="AA2240" i="1"/>
  <c r="AB2240" i="1"/>
  <c r="CV2240" i="1"/>
  <c r="Y2240" i="1" s="1"/>
  <c r="AE2240" i="1" s="1"/>
  <c r="Z2241" i="1"/>
  <c r="AA2241" i="1"/>
  <c r="AB2241" i="1"/>
  <c r="CV2241" i="1"/>
  <c r="Y2241" i="1" s="1"/>
  <c r="Z2242" i="1"/>
  <c r="AA2242" i="1"/>
  <c r="AB2242" i="1"/>
  <c r="CV2242" i="1"/>
  <c r="Y2242" i="1"/>
  <c r="AE2242" i="1" s="1"/>
  <c r="Z2243" i="1"/>
  <c r="AA2243" i="1"/>
  <c r="AB2243" i="1"/>
  <c r="CV2243" i="1"/>
  <c r="Y2243" i="1"/>
  <c r="Z2244" i="1"/>
  <c r="AA2244" i="1"/>
  <c r="AB2244" i="1"/>
  <c r="CV2244" i="1"/>
  <c r="Y2244" i="1" s="1"/>
  <c r="Z2246" i="1"/>
  <c r="AA2246" i="1"/>
  <c r="AB2246" i="1"/>
  <c r="CV2246" i="1"/>
  <c r="Y2246" i="1"/>
  <c r="Z2248" i="1"/>
  <c r="AA2248" i="1"/>
  <c r="AB2248" i="1"/>
  <c r="CV2248" i="1"/>
  <c r="Y2248" i="1" s="1"/>
  <c r="Z2247" i="1"/>
  <c r="AA2247" i="1"/>
  <c r="AB2247" i="1"/>
  <c r="CV2247" i="1"/>
  <c r="Y2247" i="1"/>
  <c r="Z2249" i="1"/>
  <c r="AA2249" i="1"/>
  <c r="AB2249" i="1"/>
  <c r="CV2249" i="1"/>
  <c r="Y2249" i="1" s="1"/>
  <c r="Z2250" i="1"/>
  <c r="AA2250" i="1"/>
  <c r="AB2250" i="1"/>
  <c r="CV2250" i="1"/>
  <c r="Y2250" i="1"/>
  <c r="Z2251" i="1"/>
  <c r="AA2251" i="1"/>
  <c r="AB2251" i="1"/>
  <c r="CV2251" i="1"/>
  <c r="Y2251" i="1" s="1"/>
  <c r="Z2252" i="1"/>
  <c r="AA2252" i="1"/>
  <c r="AB2252" i="1"/>
  <c r="CV2252" i="1"/>
  <c r="Y2252" i="1"/>
  <c r="Z2253" i="1"/>
  <c r="AA2253" i="1"/>
  <c r="AB2253" i="1"/>
  <c r="CV2253" i="1"/>
  <c r="Y2253" i="1" s="1"/>
  <c r="Z2254" i="1"/>
  <c r="AA2254" i="1"/>
  <c r="AB2254" i="1"/>
  <c r="CV2254" i="1"/>
  <c r="Y2254" i="1"/>
  <c r="Z2255" i="1"/>
  <c r="AA2255" i="1"/>
  <c r="AB2255" i="1"/>
  <c r="CV2255" i="1"/>
  <c r="Y2255" i="1" s="1"/>
  <c r="Z2256" i="1"/>
  <c r="AA2256" i="1"/>
  <c r="AB2256" i="1"/>
  <c r="CV2256" i="1"/>
  <c r="Y2256" i="1"/>
  <c r="Z2258" i="1"/>
  <c r="AA2258" i="1"/>
  <c r="AB2258" i="1"/>
  <c r="CV2258" i="1"/>
  <c r="Y2258" i="1" s="1"/>
  <c r="Z2257" i="1"/>
  <c r="AA2257" i="1"/>
  <c r="AB2257" i="1"/>
  <c r="CV2257" i="1"/>
  <c r="Y2257" i="1"/>
  <c r="Z2260" i="1"/>
  <c r="AA2260" i="1"/>
  <c r="AB2260" i="1"/>
  <c r="CV2260" i="1"/>
  <c r="Y2260" i="1" s="1"/>
  <c r="Z2494" i="1"/>
  <c r="AA2494" i="1"/>
  <c r="AB2494" i="1"/>
  <c r="CV2494" i="1"/>
  <c r="Y2494" i="1"/>
  <c r="AE2494" i="1" s="1"/>
  <c r="Z2495" i="1"/>
  <c r="AA2495" i="1"/>
  <c r="AB2495" i="1"/>
  <c r="CV2495" i="1"/>
  <c r="Y2495" i="1"/>
  <c r="AE2495" i="1" s="1"/>
  <c r="G2496" i="1"/>
  <c r="H2496" i="1"/>
  <c r="I2496" i="1"/>
  <c r="N2496" i="1"/>
  <c r="O2496" i="1"/>
  <c r="P2496" i="1"/>
  <c r="Q2496" i="1"/>
  <c r="R2496" i="1"/>
  <c r="S2496" i="1"/>
  <c r="T2496" i="1"/>
  <c r="U2496" i="1"/>
  <c r="AN2496" i="1"/>
  <c r="AO2496" i="1"/>
  <c r="AP2496" i="1"/>
  <c r="AQ2496" i="1"/>
  <c r="AR2496" i="1"/>
  <c r="AS2496" i="1"/>
  <c r="AT2496" i="1"/>
  <c r="AU2496" i="1"/>
  <c r="AV2496" i="1"/>
  <c r="AX2496" i="1"/>
  <c r="BD2496" i="1"/>
  <c r="BE2496" i="1"/>
  <c r="BF2496" i="1"/>
  <c r="BG2496" i="1"/>
  <c r="BH2496" i="1"/>
  <c r="BI2496" i="1"/>
  <c r="BJ2496" i="1"/>
  <c r="BK2496" i="1"/>
  <c r="BN2496" i="1"/>
  <c r="BO2496" i="1"/>
  <c r="BP2496" i="1"/>
  <c r="BQ2496" i="1"/>
  <c r="BR2496" i="1"/>
  <c r="BS2496" i="1"/>
  <c r="BT2496" i="1"/>
  <c r="BU2496" i="1"/>
  <c r="BV2496" i="1"/>
  <c r="BW2496" i="1"/>
  <c r="BX2496" i="1"/>
  <c r="BY2496" i="1"/>
  <c r="CB2496" i="1"/>
  <c r="CD2496" i="1"/>
  <c r="CE2496" i="1"/>
  <c r="CF2496" i="1"/>
  <c r="CG2496" i="1"/>
  <c r="CL2496" i="1"/>
  <c r="CM2496" i="1"/>
  <c r="CT2496" i="1"/>
  <c r="DA2496" i="1"/>
  <c r="CV422" i="1"/>
  <c r="Y422" i="1" s="1"/>
  <c r="CV577" i="1"/>
  <c r="Y577" i="1" s="1"/>
  <c r="CV956" i="1"/>
  <c r="Y956" i="1" s="1"/>
  <c r="CV567" i="1"/>
  <c r="Y567" i="1" s="1"/>
  <c r="CV1063" i="1"/>
  <c r="Y1063" i="1" s="1"/>
  <c r="CV248" i="1"/>
  <c r="Y248" i="1" s="1"/>
  <c r="AE248" i="1" s="1"/>
  <c r="CV33" i="1"/>
  <c r="Y33" i="1"/>
  <c r="AE33" i="1" s="1"/>
  <c r="CV1582" i="1"/>
  <c r="Y1582" i="1" s="1"/>
  <c r="AE1582" i="1" s="1"/>
  <c r="CV1445" i="1"/>
  <c r="Y1445" i="1" s="1"/>
  <c r="AE1445" i="1" s="1"/>
  <c r="CV1224" i="1"/>
  <c r="Y1224" i="1" s="1"/>
  <c r="AE1224" i="1" s="1"/>
  <c r="CV985" i="1"/>
  <c r="Y985" i="1"/>
  <c r="AE985" i="1" s="1"/>
  <c r="AA179" i="1"/>
  <c r="CV1932" i="1"/>
  <c r="Y1932" i="1"/>
  <c r="CV992" i="1"/>
  <c r="Y992" i="1" s="1"/>
  <c r="CV991" i="1"/>
  <c r="Y991" i="1"/>
  <c r="CV710" i="1"/>
  <c r="Y710" i="1" s="1"/>
  <c r="CV686" i="1"/>
  <c r="Y686" i="1"/>
  <c r="AA244" i="1"/>
  <c r="CV1156" i="1"/>
  <c r="Y1156" i="1" s="1"/>
  <c r="AE1156" i="1" s="1"/>
  <c r="CV1126" i="1"/>
  <c r="Y1126" i="1" s="1"/>
  <c r="AE1126" i="1" s="1"/>
  <c r="CV979" i="1"/>
  <c r="Y979" i="1" s="1"/>
  <c r="AE979" i="1" s="1"/>
  <c r="CV1358" i="1"/>
  <c r="Y1358" i="1"/>
  <c r="AE1358" i="1" s="1"/>
  <c r="CV919" i="1"/>
  <c r="Y919" i="1" s="1"/>
  <c r="CV794" i="1"/>
  <c r="Y794" i="1" s="1"/>
  <c r="CV989" i="1"/>
  <c r="Y989" i="1" s="1"/>
  <c r="CV971" i="1"/>
  <c r="Y971" i="1" s="1"/>
  <c r="CV963" i="1"/>
  <c r="Y963" i="1" s="1"/>
  <c r="CV1577" i="1"/>
  <c r="Y1577" i="1" s="1"/>
  <c r="CV1569" i="1"/>
  <c r="Y1569" i="1" s="1"/>
  <c r="CV1568" i="1"/>
  <c r="Y1568" i="1" s="1"/>
  <c r="CV1510" i="1"/>
  <c r="Y1510" i="1" s="1"/>
  <c r="AE1510" i="1"/>
  <c r="CV1506" i="1"/>
  <c r="Y1506" i="1" s="1"/>
  <c r="AE1506" i="1" s="1"/>
  <c r="CV1499" i="1"/>
  <c r="Y1499" i="1" s="1"/>
  <c r="CV1498" i="1"/>
  <c r="Y1498" i="1" s="1"/>
  <c r="CV1495" i="1"/>
  <c r="Y1495" i="1" s="1"/>
  <c r="CV1363" i="1"/>
  <c r="Y1363" i="1" s="1"/>
  <c r="CV1348" i="1"/>
  <c r="Y1348" i="1" s="1"/>
  <c r="AA1229" i="1"/>
  <c r="CV1177" i="1"/>
  <c r="Y1177" i="1"/>
  <c r="AE1177" i="1" s="1"/>
  <c r="CV1157" i="1"/>
  <c r="Y1157" i="1" s="1"/>
  <c r="AE1157" i="1" s="1"/>
  <c r="CV1114" i="1"/>
  <c r="Y1114" i="1" s="1"/>
  <c r="AE1114" i="1" s="1"/>
  <c r="CV1093" i="1"/>
  <c r="Y1093" i="1" s="1"/>
  <c r="CV1077" i="1"/>
  <c r="Y1077" i="1" s="1"/>
  <c r="CV1052" i="1"/>
  <c r="Y1052" i="1" s="1"/>
  <c r="CV1030" i="1"/>
  <c r="Y1030" i="1" s="1"/>
  <c r="CV1029" i="1"/>
  <c r="Y1029" i="1" s="1"/>
  <c r="CV997" i="1"/>
  <c r="Y997" i="1" s="1"/>
  <c r="CV965" i="1"/>
  <c r="Y965" i="1" s="1"/>
  <c r="CV964" i="1"/>
  <c r="Y964" i="1" s="1"/>
  <c r="CV960" i="1"/>
  <c r="Y960" i="1" s="1"/>
  <c r="CV955" i="1"/>
  <c r="Y955" i="1" s="1"/>
  <c r="AE955" i="1" s="1"/>
  <c r="CV954" i="1"/>
  <c r="Y954" i="1"/>
  <c r="CV952" i="1"/>
  <c r="Y952" i="1"/>
  <c r="CV949" i="1"/>
  <c r="Y949" i="1" s="1"/>
  <c r="CV945" i="1"/>
  <c r="Y945" i="1"/>
  <c r="CV944" i="1"/>
  <c r="Y944" i="1" s="1"/>
  <c r="CV936" i="1"/>
  <c r="Y936" i="1"/>
  <c r="CV932" i="1"/>
  <c r="Y932" i="1" s="1"/>
  <c r="CV912" i="1"/>
  <c r="Y912" i="1"/>
  <c r="CV904" i="1"/>
  <c r="Y904" i="1" s="1"/>
  <c r="CV896" i="1"/>
  <c r="Y896" i="1"/>
  <c r="CV884" i="1"/>
  <c r="Y884" i="1" s="1"/>
  <c r="CV877" i="1"/>
  <c r="Y877" i="1"/>
  <c r="CV875" i="1"/>
  <c r="Y875" i="1" s="1"/>
  <c r="CV861" i="1"/>
  <c r="Y861" i="1"/>
  <c r="AE861" i="1" s="1"/>
  <c r="CV853" i="1"/>
  <c r="Y853" i="1" s="1"/>
  <c r="CV852" i="1"/>
  <c r="Y852" i="1" s="1"/>
  <c r="CV828" i="1"/>
  <c r="Y828" i="1" s="1"/>
  <c r="CV820" i="1"/>
  <c r="Y820" i="1" s="1"/>
  <c r="CV814" i="1"/>
  <c r="Y814" i="1" s="1"/>
  <c r="CV801" i="1"/>
  <c r="Y801" i="1" s="1"/>
  <c r="CV798" i="1"/>
  <c r="Y798" i="1" s="1"/>
  <c r="AE798" i="1"/>
  <c r="CV776" i="1"/>
  <c r="Y776" i="1" s="1"/>
  <c r="AE776" i="1" s="1"/>
  <c r="CV1346" i="1"/>
  <c r="Y1346" i="1" s="1"/>
  <c r="AE1346" i="1" s="1"/>
  <c r="CV1345" i="1"/>
  <c r="Y1345" i="1"/>
  <c r="AE1345" i="1" s="1"/>
  <c r="CV1336" i="1"/>
  <c r="Y1336" i="1" s="1"/>
  <c r="CV1175" i="1"/>
  <c r="Y1175" i="1" s="1"/>
  <c r="AE1175" i="1" s="1"/>
  <c r="CV1167" i="1"/>
  <c r="Y1167" i="1"/>
  <c r="AE1167" i="1" s="1"/>
  <c r="CV1117" i="1"/>
  <c r="Y1117" i="1" s="1"/>
  <c r="AE1117" i="1"/>
  <c r="CV1108" i="1"/>
  <c r="Y1108" i="1" s="1"/>
  <c r="AE1108" i="1" s="1"/>
  <c r="CV1088" i="1"/>
  <c r="Y1088" i="1" s="1"/>
  <c r="AE1088" i="1" s="1"/>
  <c r="CV1071" i="1"/>
  <c r="Y1071" i="1"/>
  <c r="CV1026" i="1"/>
  <c r="Y1026" i="1" s="1"/>
  <c r="AE1026" i="1" s="1"/>
  <c r="CV988" i="1"/>
  <c r="Y988" i="1" s="1"/>
  <c r="AE988" i="1" s="1"/>
  <c r="CV966" i="1"/>
  <c r="Y966" i="1"/>
  <c r="AE966" i="1" s="1"/>
  <c r="CV962" i="1"/>
  <c r="Y962" i="1" s="1"/>
  <c r="CV959" i="1"/>
  <c r="Y959" i="1" s="1"/>
  <c r="AE959" i="1" s="1"/>
  <c r="CV958" i="1"/>
  <c r="Y958" i="1"/>
  <c r="AE958" i="1" s="1"/>
  <c r="CV929" i="1"/>
  <c r="Y929" i="1" s="1"/>
  <c r="AE929" i="1"/>
  <c r="CV918" i="1"/>
  <c r="Y918" i="1" s="1"/>
  <c r="CV840" i="1"/>
  <c r="Y840" i="1"/>
  <c r="AE840" i="1" s="1"/>
  <c r="CV785" i="1"/>
  <c r="Y785" i="1" s="1"/>
  <c r="AE785" i="1" s="1"/>
  <c r="CV675" i="1"/>
  <c r="Y675" i="1" s="1"/>
  <c r="AE675" i="1" s="1"/>
  <c r="CV2342" i="1"/>
  <c r="Y2342" i="1" s="1"/>
  <c r="CV2297" i="1"/>
  <c r="Y2297" i="1" s="1"/>
  <c r="AE2297" i="1" s="1"/>
  <c r="CV2119" i="1"/>
  <c r="Y2119" i="1" s="1"/>
  <c r="AE2119" i="1" s="1"/>
  <c r="CV2072" i="1"/>
  <c r="Y2072" i="1" s="1"/>
  <c r="AE2072" i="1" s="1"/>
  <c r="CV1971" i="1"/>
  <c r="Y1971" i="1"/>
  <c r="CV1959" i="1"/>
  <c r="Y1959" i="1" s="1"/>
  <c r="AE1959" i="1" s="1"/>
  <c r="CV1918" i="1"/>
  <c r="Y1918" i="1" s="1"/>
  <c r="AE1918" i="1" s="1"/>
  <c r="CV1853" i="1"/>
  <c r="Y1853" i="1"/>
  <c r="AE1853" i="1" s="1"/>
  <c r="CV1743" i="1"/>
  <c r="Y1743" i="1" s="1"/>
  <c r="CV1742" i="1"/>
  <c r="Y1742" i="1" s="1"/>
  <c r="AE1742" i="1" s="1"/>
  <c r="CV1669" i="1"/>
  <c r="Y1669" i="1"/>
  <c r="AE1669" i="1" s="1"/>
  <c r="CV1651" i="1"/>
  <c r="Y1651" i="1" s="1"/>
  <c r="AE1651" i="1"/>
  <c r="CV1625" i="1"/>
  <c r="Y1625" i="1" s="1"/>
  <c r="CV1621" i="1"/>
  <c r="Y1621" i="1"/>
  <c r="AE1621" i="1" s="1"/>
  <c r="CV1620" i="1"/>
  <c r="Y1620" i="1" s="1"/>
  <c r="AE1620" i="1"/>
  <c r="CV1619" i="1"/>
  <c r="Y1619" i="1" s="1"/>
  <c r="AE1619" i="1" s="1"/>
  <c r="CV1617" i="1"/>
  <c r="Y1617" i="1" s="1"/>
  <c r="CV1614" i="1"/>
  <c r="Y1614" i="1" s="1"/>
  <c r="CV1612" i="1"/>
  <c r="Y1612" i="1" s="1"/>
  <c r="CV591" i="1"/>
  <c r="Y591" i="1" s="1"/>
  <c r="CV478" i="1"/>
  <c r="Y478" i="1" s="1"/>
  <c r="CV311" i="1"/>
  <c r="Y311" i="1" s="1"/>
  <c r="AE311" i="1"/>
  <c r="CV310" i="1"/>
  <c r="Y310" i="1"/>
  <c r="CV308" i="1"/>
  <c r="Y308" i="1"/>
  <c r="CV299" i="1"/>
  <c r="Y299" i="1"/>
  <c r="CV251" i="1"/>
  <c r="Y251" i="1"/>
  <c r="AE251" i="1" s="1"/>
  <c r="CV1410" i="1"/>
  <c r="Y1410" i="1" s="1"/>
  <c r="CP2496" i="1"/>
  <c r="CV496" i="1"/>
  <c r="Y496" i="1"/>
  <c r="AE496" i="1" s="1"/>
  <c r="CV757" i="1"/>
  <c r="Y757" i="1"/>
  <c r="AE757" i="1" s="1"/>
  <c r="CV976" i="1"/>
  <c r="Y976" i="1"/>
  <c r="CV709" i="1"/>
  <c r="Y709" i="1" s="1"/>
  <c r="AE709" i="1" s="1"/>
  <c r="CV672" i="1"/>
  <c r="Y672" i="1"/>
  <c r="CV660" i="1"/>
  <c r="Y660" i="1" s="1"/>
  <c r="AE660" i="1" s="1"/>
  <c r="CV581" i="1"/>
  <c r="Y581" i="1"/>
  <c r="CV317" i="1"/>
  <c r="Y317" i="1" s="1"/>
  <c r="AE317" i="1" s="1"/>
  <c r="AA283" i="1"/>
  <c r="CV283" i="1"/>
  <c r="Y283" i="1"/>
  <c r="CV216" i="1"/>
  <c r="Y216" i="1" s="1"/>
  <c r="CV64" i="1"/>
  <c r="Y64" i="1" s="1"/>
  <c r="AA49" i="1"/>
  <c r="CV1717" i="1"/>
  <c r="Y1717" i="1"/>
  <c r="AE1717" i="1" s="1"/>
  <c r="CV1899" i="1"/>
  <c r="Y1899" i="1" s="1"/>
  <c r="AE1899" i="1" s="1"/>
  <c r="CV1887" i="1"/>
  <c r="Y1887" i="1"/>
  <c r="AE1887" i="1" s="1"/>
  <c r="CV1493" i="1"/>
  <c r="Y1493" i="1" s="1"/>
  <c r="AE1493" i="1" s="1"/>
  <c r="CV1491" i="1"/>
  <c r="Y1491" i="1" s="1"/>
  <c r="AE1491" i="1" s="1"/>
  <c r="CV1393" i="1"/>
  <c r="Y1393" i="1" s="1"/>
  <c r="AE1393" i="1" s="1"/>
  <c r="CV1384" i="1"/>
  <c r="Y1384" i="1" s="1"/>
  <c r="AE1384" i="1" s="1"/>
  <c r="CV1300" i="1"/>
  <c r="Y1300" i="1" s="1"/>
  <c r="AE1300" i="1" s="1"/>
  <c r="BM2496" i="1"/>
  <c r="CV980" i="1"/>
  <c r="Y980" i="1"/>
  <c r="CV969" i="1"/>
  <c r="Y969" i="1"/>
  <c r="CV968" i="1"/>
  <c r="Y968" i="1"/>
  <c r="CV967" i="1"/>
  <c r="Y967" i="1"/>
  <c r="CV920" i="1"/>
  <c r="Y920" i="1"/>
  <c r="CV756" i="1"/>
  <c r="Y756" i="1"/>
  <c r="CV579" i="1"/>
  <c r="Y579" i="1"/>
  <c r="V2496" i="1"/>
  <c r="CV447" i="1"/>
  <c r="Y447" i="1" s="1"/>
  <c r="AE447" i="1" s="1"/>
  <c r="CV386" i="1"/>
  <c r="Y386" i="1"/>
  <c r="CV369" i="1"/>
  <c r="Y369" i="1" s="1"/>
  <c r="AE369" i="1" s="1"/>
  <c r="CV312" i="1"/>
  <c r="Y312" i="1" s="1"/>
  <c r="AE312" i="1" s="1"/>
  <c r="CV301" i="1"/>
  <c r="Y301" i="1"/>
  <c r="AE301" i="1"/>
  <c r="CV265" i="1"/>
  <c r="Y265" i="1" s="1"/>
  <c r="AE265" i="1" s="1"/>
  <c r="CV232" i="1"/>
  <c r="Y232" i="1"/>
  <c r="AE232" i="1" s="1"/>
  <c r="CV223" i="1"/>
  <c r="Y223" i="1"/>
  <c r="CV218" i="1"/>
  <c r="Y218" i="1" s="1"/>
  <c r="AE218" i="1" s="1"/>
  <c r="CV217" i="1"/>
  <c r="Y217" i="1"/>
  <c r="AE217" i="1"/>
  <c r="CV2094" i="1"/>
  <c r="Y2094" i="1"/>
  <c r="CV1905" i="1"/>
  <c r="Y1905" i="1"/>
  <c r="CV1854" i="1"/>
  <c r="Y1854" i="1" s="1"/>
  <c r="AE1854" i="1" s="1"/>
  <c r="CV1816" i="1"/>
  <c r="Y1816" i="1"/>
  <c r="CV1596" i="1"/>
  <c r="Y1596" i="1" s="1"/>
  <c r="AE1596" i="1" s="1"/>
  <c r="CV1523" i="1"/>
  <c r="Y1523" i="1"/>
  <c r="CV1490" i="1"/>
  <c r="Y1490" i="1" s="1"/>
  <c r="AE1490" i="1" s="1"/>
  <c r="CV1349" i="1"/>
  <c r="Y1349" i="1"/>
  <c r="CV1320" i="1"/>
  <c r="Y1320" i="1" s="1"/>
  <c r="AE1320" i="1" s="1"/>
  <c r="CV1261" i="1"/>
  <c r="Y1261" i="1"/>
  <c r="CV1222" i="1"/>
  <c r="Y1222" i="1" s="1"/>
  <c r="AE1222" i="1" s="1"/>
  <c r="CV1198" i="1"/>
  <c r="Y1198" i="1"/>
  <c r="CV1164" i="1"/>
  <c r="Y1164" i="1" s="1"/>
  <c r="AE1164" i="1" s="1"/>
  <c r="CV1143" i="1"/>
  <c r="Y1143" i="1"/>
  <c r="CV1129" i="1"/>
  <c r="Y1129" i="1" s="1"/>
  <c r="AE1129" i="1" s="1"/>
  <c r="CV1115" i="1"/>
  <c r="Y1115" i="1"/>
  <c r="CV1110" i="1"/>
  <c r="Y1110" i="1" s="1"/>
  <c r="AE1110" i="1" s="1"/>
  <c r="AY2496" i="1"/>
  <c r="CV1062" i="1"/>
  <c r="Y1062" i="1" s="1"/>
  <c r="AE1062" i="1" s="1"/>
  <c r="CV1051" i="1"/>
  <c r="Y1051" i="1"/>
  <c r="CV1025" i="1"/>
  <c r="Y1025" i="1" s="1"/>
  <c r="AE1025" i="1" s="1"/>
  <c r="CV1019" i="1"/>
  <c r="Y1019" i="1"/>
  <c r="CV1011" i="1"/>
  <c r="Y1011" i="1" s="1"/>
  <c r="AE1011" i="1" s="1"/>
  <c r="CV995" i="1"/>
  <c r="Y995" i="1"/>
  <c r="CV994" i="1"/>
  <c r="Y994" i="1" s="1"/>
  <c r="AE994" i="1" s="1"/>
  <c r="CV961" i="1"/>
  <c r="Y961" i="1"/>
  <c r="CV953" i="1"/>
  <c r="Y953" i="1" s="1"/>
  <c r="AE953" i="1" s="1"/>
  <c r="CV943" i="1"/>
  <c r="Y943" i="1"/>
  <c r="CV940" i="1"/>
  <c r="Y940" i="1" s="1"/>
  <c r="AE940" i="1" s="1"/>
  <c r="CV930" i="1"/>
  <c r="Y930" i="1"/>
  <c r="CV928" i="1"/>
  <c r="Y928" i="1" s="1"/>
  <c r="AE928" i="1" s="1"/>
  <c r="CV885" i="1"/>
  <c r="Y885" i="1"/>
  <c r="CV833" i="1"/>
  <c r="Y833" i="1" s="1"/>
  <c r="AE833" i="1" s="1"/>
  <c r="CV773" i="1"/>
  <c r="Y773" i="1"/>
  <c r="CV587" i="1"/>
  <c r="Y587" i="1" s="1"/>
  <c r="AE587" i="1" s="1"/>
  <c r="CV255" i="1"/>
  <c r="Y255" i="1"/>
  <c r="AA252" i="1"/>
  <c r="CV250" i="1"/>
  <c r="Y250" i="1"/>
  <c r="AE250" i="1"/>
  <c r="CV249" i="1"/>
  <c r="Y249" i="1" s="1"/>
  <c r="AE249" i="1" s="1"/>
  <c r="AA246" i="1"/>
  <c r="AA36" i="1"/>
  <c r="CV1293" i="1"/>
  <c r="Y1293" i="1"/>
  <c r="AE1293" i="1"/>
  <c r="CV1286" i="1"/>
  <c r="Y1286" i="1" s="1"/>
  <c r="AE1286" i="1" s="1"/>
  <c r="CV1277" i="1"/>
  <c r="Y1277" i="1"/>
  <c r="AE1277" i="1" s="1"/>
  <c r="CV1206" i="1"/>
  <c r="Y1206" i="1"/>
  <c r="AE1206" i="1"/>
  <c r="CV1083" i="1"/>
  <c r="Y1083" i="1"/>
  <c r="AE1083" i="1"/>
  <c r="CV1070" i="1"/>
  <c r="Y1070" i="1" s="1"/>
  <c r="AE1070" i="1" s="1"/>
  <c r="CV1067" i="1"/>
  <c r="Y1067" i="1"/>
  <c r="AE1067" i="1" s="1"/>
  <c r="CV970" i="1"/>
  <c r="Y970" i="1"/>
  <c r="AE970" i="1"/>
  <c r="CV957" i="1"/>
  <c r="Y957" i="1"/>
  <c r="AE957" i="1"/>
  <c r="CV892" i="1"/>
  <c r="Y892" i="1" s="1"/>
  <c r="AE892" i="1" s="1"/>
  <c r="CV859" i="1"/>
  <c r="Y859" i="1"/>
  <c r="AE859" i="1" s="1"/>
  <c r="CV799" i="1"/>
  <c r="Y799" i="1"/>
  <c r="CI2496" i="1"/>
  <c r="CR2496" i="1"/>
  <c r="CJ2496" i="1"/>
  <c r="CV558" i="1"/>
  <c r="Y558" i="1"/>
  <c r="AE558" i="1" s="1"/>
  <c r="AD2496" i="1"/>
  <c r="CV397" i="1"/>
  <c r="Y397" i="1"/>
  <c r="AE397" i="1" s="1"/>
  <c r="CV363" i="1"/>
  <c r="Y363" i="1" s="1"/>
  <c r="AE363" i="1" s="1"/>
  <c r="CV361" i="1"/>
  <c r="Y361" i="1" s="1"/>
  <c r="AE361" i="1" s="1"/>
  <c r="CV264" i="1"/>
  <c r="Y264" i="1"/>
  <c r="CC2496" i="1"/>
  <c r="CV1035" i="1"/>
  <c r="Y1035" i="1" s="1"/>
  <c r="AE1035" i="1" s="1"/>
  <c r="CV1116" i="1"/>
  <c r="Y1116" i="1" s="1"/>
  <c r="AE1116" i="1" s="1"/>
  <c r="CV2120" i="1"/>
  <c r="Y2120" i="1"/>
  <c r="CV1702" i="1"/>
  <c r="Y1702" i="1"/>
  <c r="CV1591" i="1"/>
  <c r="Y1591" i="1"/>
  <c r="CV1575" i="1"/>
  <c r="Y1575" i="1"/>
  <c r="CV1573" i="1"/>
  <c r="Y1573" i="1"/>
  <c r="CV1302" i="1"/>
  <c r="Y1302" i="1"/>
  <c r="CV1047" i="1"/>
  <c r="Y1047" i="1"/>
  <c r="CV996" i="1"/>
  <c r="Y996" i="1"/>
  <c r="CV931" i="1"/>
  <c r="Y931" i="1"/>
  <c r="CV882" i="1"/>
  <c r="Y882" i="1"/>
  <c r="CV873" i="1"/>
  <c r="Y873" i="1"/>
  <c r="CV760" i="1"/>
  <c r="Y760" i="1"/>
  <c r="CV421" i="1"/>
  <c r="Y421" i="1"/>
  <c r="CK2496" i="1"/>
  <c r="DC2496" i="1"/>
  <c r="CV34" i="1"/>
  <c r="Y34" i="1"/>
  <c r="AE34" i="1" s="1"/>
  <c r="CA2496" i="1"/>
  <c r="CV563" i="1"/>
  <c r="Y563" i="1"/>
  <c r="CW2496" i="1"/>
  <c r="CV532" i="1"/>
  <c r="Y532" i="1" s="1"/>
  <c r="AE532" i="1" s="1"/>
  <c r="CV360" i="1"/>
  <c r="Y360" i="1"/>
  <c r="CV354" i="1"/>
  <c r="Y354" i="1"/>
  <c r="AE354" i="1"/>
  <c r="CV277" i="1"/>
  <c r="Y277" i="1" s="1"/>
  <c r="AE277" i="1" s="1"/>
  <c r="CV47" i="1"/>
  <c r="Y47" i="1"/>
  <c r="AE47" i="1"/>
  <c r="CV1791" i="1"/>
  <c r="Y1791" i="1"/>
  <c r="CV1650" i="1"/>
  <c r="Y1650" i="1"/>
  <c r="CV1610" i="1"/>
  <c r="Y1610" i="1" s="1"/>
  <c r="AE1610" i="1" s="1"/>
  <c r="CV1508" i="1"/>
  <c r="Y1508" i="1"/>
  <c r="CV1308" i="1"/>
  <c r="Y1308" i="1" s="1"/>
  <c r="AE1308" i="1" s="1"/>
  <c r="CV1229" i="1"/>
  <c r="Y1229" i="1" s="1"/>
  <c r="AE1229" i="1" s="1"/>
  <c r="CV1223" i="1"/>
  <c r="Y1223" i="1"/>
  <c r="AE1223" i="1"/>
  <c r="AA1196" i="1"/>
  <c r="CV1176" i="1"/>
  <c r="Y1176" i="1"/>
  <c r="AE1176" i="1"/>
  <c r="CV917" i="1"/>
  <c r="Y917" i="1" s="1"/>
  <c r="AE917" i="1" s="1"/>
  <c r="CV876" i="1"/>
  <c r="Y876" i="1"/>
  <c r="CV300" i="1"/>
  <c r="Y300" i="1" s="1"/>
  <c r="AE300" i="1" s="1"/>
  <c r="AA48" i="1"/>
  <c r="CV2148" i="1"/>
  <c r="Y2148" i="1" s="1"/>
  <c r="AE2148" i="1" s="1"/>
  <c r="CV1820" i="1"/>
  <c r="Y1820" i="1"/>
  <c r="AE1820" i="1" s="1"/>
  <c r="CV1655" i="1"/>
  <c r="Y1655" i="1"/>
  <c r="AE1655" i="1"/>
  <c r="CV1471" i="1"/>
  <c r="Y1471" i="1" s="1"/>
  <c r="AE1471" i="1" s="1"/>
  <c r="CV1276" i="1"/>
  <c r="Y1276" i="1" s="1"/>
  <c r="AE1276" i="1" s="1"/>
  <c r="CV1155" i="1"/>
  <c r="Y1155" i="1"/>
  <c r="AE1155" i="1" s="1"/>
  <c r="AW2496" i="1"/>
  <c r="CV986" i="1"/>
  <c r="Y986" i="1"/>
  <c r="BL2496" i="1"/>
  <c r="BZ2496" i="1"/>
  <c r="CV933" i="1"/>
  <c r="Y933" i="1"/>
  <c r="CN2496" i="1"/>
  <c r="CV916" i="1"/>
  <c r="Y916" i="1" s="1"/>
  <c r="AE916" i="1" s="1"/>
  <c r="CY2496" i="1"/>
  <c r="L2496" i="1"/>
  <c r="CV759" i="1"/>
  <c r="Y759" i="1"/>
  <c r="AE759" i="1" s="1"/>
  <c r="CV699" i="1"/>
  <c r="Y699" i="1" s="1"/>
  <c r="AE699" i="1" s="1"/>
  <c r="CV630" i="1"/>
  <c r="Y630" i="1"/>
  <c r="AE630" i="1" s="1"/>
  <c r="AA10" i="1"/>
  <c r="DD2496" i="1"/>
  <c r="CV2118" i="1"/>
  <c r="Y2118" i="1" s="1"/>
  <c r="AE2118" i="1" s="1"/>
  <c r="CV1888" i="1"/>
  <c r="Y1888" i="1"/>
  <c r="CV1709" i="1"/>
  <c r="Y1709" i="1" s="1"/>
  <c r="AE1709" i="1" s="1"/>
  <c r="CV1623" i="1"/>
  <c r="Y1623" i="1"/>
  <c r="AE1623" i="1" s="1"/>
  <c r="CV1611" i="1"/>
  <c r="Y1611" i="1"/>
  <c r="AE1611" i="1"/>
  <c r="CV1576" i="1"/>
  <c r="Y1576" i="1" s="1"/>
  <c r="AE1576" i="1" s="1"/>
  <c r="CV1375" i="1"/>
  <c r="Y1375" i="1"/>
  <c r="AE1375" i="1" s="1"/>
  <c r="CV1340" i="1"/>
  <c r="Y1340" i="1"/>
  <c r="AE1340" i="1"/>
  <c r="CV1301" i="1"/>
  <c r="Y1301" i="1" s="1"/>
  <c r="AE1301" i="1" s="1"/>
  <c r="CV1183" i="1"/>
  <c r="Y1183" i="1" s="1"/>
  <c r="AE1183" i="1" s="1"/>
  <c r="CV335" i="1"/>
  <c r="Y335" i="1"/>
  <c r="AE335" i="1" s="1"/>
  <c r="CV372" i="1"/>
  <c r="Y372" i="1"/>
  <c r="AE372" i="1"/>
  <c r="CV330" i="1"/>
  <c r="Y330" i="1" s="1"/>
  <c r="AE330" i="1" s="1"/>
  <c r="CV294" i="1"/>
  <c r="Y294" i="1"/>
  <c r="AE294" i="1" s="1"/>
  <c r="M2496" i="1"/>
  <c r="CS2496" i="1"/>
  <c r="AA203" i="1"/>
  <c r="K2496" i="1"/>
  <c r="DB2496" i="1"/>
  <c r="BA2496" i="1"/>
  <c r="CQ2496" i="1"/>
  <c r="AC2496" i="1"/>
  <c r="AE323" i="1"/>
  <c r="AE182" i="1"/>
  <c r="AE72" i="1"/>
  <c r="J2496" i="1"/>
  <c r="AE230" i="1"/>
  <c r="AE1886" i="1"/>
  <c r="AE2276" i="1"/>
  <c r="Z1230" i="1"/>
  <c r="AE306" i="1"/>
  <c r="AE1721" i="1"/>
  <c r="AE2405" i="1"/>
  <c r="AE865" i="1"/>
  <c r="AE145" i="1"/>
  <c r="AE91" i="1"/>
  <c r="AE282" i="1"/>
  <c r="AE791" i="1"/>
  <c r="AE1161" i="1"/>
  <c r="AE78" i="1"/>
  <c r="AE433" i="1"/>
  <c r="AE2448" i="1"/>
  <c r="AE2449" i="1"/>
  <c r="AE2450" i="1"/>
  <c r="AE2451" i="1"/>
  <c r="AE2452" i="1"/>
  <c r="AE2453" i="1"/>
  <c r="AE2454" i="1"/>
  <c r="AE2455" i="1"/>
  <c r="AE2456" i="1"/>
  <c r="AE2457" i="1"/>
  <c r="AE2458" i="1"/>
  <c r="AE2459" i="1"/>
  <c r="AE2460" i="1"/>
  <c r="AE2461" i="1"/>
  <c r="AE2462" i="1"/>
  <c r="AE2463" i="1"/>
  <c r="AE2464" i="1"/>
  <c r="AE2465" i="1"/>
  <c r="AE2466" i="1"/>
  <c r="AE2467" i="1"/>
  <c r="AE2468" i="1"/>
  <c r="AE2469" i="1"/>
  <c r="AE2470" i="1"/>
  <c r="AE2471" i="1"/>
  <c r="AE2472" i="1"/>
  <c r="AE2473" i="1"/>
  <c r="AE2474" i="1"/>
  <c r="AE2475" i="1"/>
  <c r="AE2476" i="1"/>
  <c r="AE2477" i="1"/>
  <c r="AE2478" i="1"/>
  <c r="AE2479" i="1"/>
  <c r="AE2480" i="1"/>
  <c r="AE2481" i="1"/>
  <c r="AE2482" i="1"/>
  <c r="AE2483" i="1"/>
  <c r="AE2484" i="1"/>
  <c r="AE2485" i="1"/>
  <c r="AE2486" i="1"/>
  <c r="AE2487" i="1"/>
  <c r="AE2488" i="1"/>
  <c r="AE2489" i="1"/>
  <c r="AE2490" i="1"/>
  <c r="AE2491" i="1"/>
  <c r="AE2492" i="1"/>
  <c r="AE2493" i="1"/>
  <c r="AE115" i="1"/>
  <c r="AE327" i="1"/>
  <c r="AE324" i="1"/>
  <c r="AE198" i="1"/>
  <c r="AE19" i="1"/>
  <c r="AE5" i="1"/>
  <c r="AE2265" i="1"/>
  <c r="AE2301" i="1"/>
  <c r="AE2200" i="1"/>
  <c r="AE1505" i="1"/>
  <c r="AE2425" i="1"/>
  <c r="AE836" i="1"/>
  <c r="AE1776" i="1"/>
  <c r="AE2058" i="1"/>
  <c r="AE2416" i="1"/>
  <c r="AE266" i="1"/>
  <c r="AE697" i="1"/>
  <c r="AE458" i="1"/>
  <c r="AE479" i="1"/>
  <c r="AE121" i="1"/>
  <c r="AE4" i="1"/>
  <c r="AE1010" i="1"/>
  <c r="AE334" i="1"/>
  <c r="CV1439" i="1"/>
  <c r="Y1439" i="1"/>
  <c r="AE1439" i="1" s="1"/>
  <c r="AE43" i="1"/>
  <c r="AE531" i="1"/>
  <c r="AE1103" i="1"/>
  <c r="AE407" i="1"/>
  <c r="AE542" i="1"/>
  <c r="AE508" i="1"/>
  <c r="AE420" i="1"/>
  <c r="AE165" i="1"/>
  <c r="AE340" i="1"/>
  <c r="AE112" i="1"/>
  <c r="AE2427" i="1"/>
  <c r="AE67" i="1"/>
  <c r="AE905" i="1"/>
  <c r="AE345" i="1"/>
  <c r="AE704" i="1"/>
  <c r="AE309" i="1"/>
  <c r="AE1023" i="1"/>
  <c r="AE589" i="1"/>
  <c r="AE513" i="1"/>
  <c r="AE58" i="1"/>
  <c r="AE894" i="1"/>
  <c r="AE350" i="1"/>
  <c r="AE835" i="1"/>
  <c r="AE705" i="1"/>
  <c r="AE215" i="1"/>
  <c r="AE626" i="1"/>
  <c r="AE617" i="1"/>
  <c r="AE104" i="1"/>
  <c r="AE871" i="1"/>
  <c r="AE1119" i="1"/>
  <c r="AE430" i="1"/>
  <c r="AE313" i="1"/>
  <c r="AE224" i="1"/>
  <c r="AE1105" i="1"/>
  <c r="AE270" i="1"/>
  <c r="AE565" i="1"/>
  <c r="AE257" i="1"/>
  <c r="AE559" i="1"/>
  <c r="AE206" i="1"/>
  <c r="AE909" i="1"/>
  <c r="AE696" i="1"/>
  <c r="AE560" i="1"/>
  <c r="AE908" i="1"/>
  <c r="AE1031" i="1"/>
  <c r="AE155" i="1"/>
  <c r="AE681" i="1"/>
  <c r="AE635" i="1"/>
  <c r="AE123" i="1"/>
  <c r="AE1145" i="1"/>
  <c r="AE1314" i="1"/>
  <c r="AE766" i="1"/>
  <c r="AE674" i="1"/>
  <c r="AE239" i="1"/>
  <c r="AE444" i="1"/>
  <c r="AE428" i="1"/>
  <c r="AE414" i="1"/>
  <c r="AE356" i="1"/>
  <c r="AE79" i="1"/>
  <c r="AE1378" i="1"/>
  <c r="AE941" i="1"/>
  <c r="AE707" i="1"/>
  <c r="AE631" i="1"/>
  <c r="AE606" i="1"/>
  <c r="AE448" i="1"/>
  <c r="AE1141" i="1"/>
  <c r="AE819" i="1"/>
  <c r="AE670" i="1"/>
  <c r="AE596" i="1"/>
  <c r="AE768" i="1"/>
  <c r="AE620" i="1"/>
  <c r="AE371" i="1"/>
  <c r="AE784" i="1"/>
  <c r="AE629" i="1"/>
  <c r="AE561" i="1"/>
  <c r="AE441" i="1"/>
  <c r="AE365" i="1"/>
  <c r="AE27" i="1"/>
  <c r="AE1009" i="1"/>
  <c r="AE494" i="1"/>
  <c r="AE207" i="1"/>
  <c r="AE52" i="1"/>
  <c r="AE910" i="1"/>
  <c r="AE396" i="1"/>
  <c r="AE321" i="1"/>
  <c r="AE390" i="1"/>
  <c r="AE284" i="1"/>
  <c r="AE45" i="1"/>
  <c r="AE75" i="1"/>
  <c r="AE793" i="1"/>
  <c r="AE497" i="1"/>
  <c r="AE625" i="1"/>
  <c r="AE2295" i="1"/>
  <c r="AE1100" i="1"/>
  <c r="AE883" i="1"/>
  <c r="AE636" i="1"/>
  <c r="AE615" i="1"/>
  <c r="AE599" i="1"/>
  <c r="AE580" i="1"/>
  <c r="AE573" i="1"/>
  <c r="AE1896" i="1"/>
  <c r="AE161" i="1"/>
  <c r="AE70" i="1"/>
  <c r="AE36" i="1"/>
  <c r="AE254" i="1"/>
  <c r="AE2275" i="1"/>
  <c r="AE469" i="1"/>
  <c r="AE464" i="1"/>
  <c r="AE435" i="1"/>
  <c r="AE333" i="1"/>
  <c r="AE117" i="1"/>
  <c r="AE83" i="1"/>
  <c r="AE2211" i="1"/>
  <c r="AE1041" i="1"/>
  <c r="AE533" i="1"/>
  <c r="AE426" i="1"/>
  <c r="AE116" i="1"/>
  <c r="AE16" i="1"/>
  <c r="AE2410" i="1"/>
  <c r="AE644" i="1"/>
  <c r="AE457" i="1"/>
  <c r="AE446" i="1"/>
  <c r="AE424" i="1"/>
  <c r="AE261" i="1"/>
  <c r="AE2202" i="1"/>
  <c r="AE1778" i="1"/>
  <c r="AE673" i="1"/>
  <c r="AE578" i="1"/>
  <c r="AE290" i="1"/>
  <c r="AE151" i="1"/>
  <c r="AE59" i="1"/>
  <c r="AE775" i="1"/>
  <c r="AE1134" i="1"/>
  <c r="AE412" i="1"/>
  <c r="AE378" i="1"/>
  <c r="AE61" i="1"/>
  <c r="AE30" i="1"/>
  <c r="AE1123" i="1"/>
  <c r="AE463" i="1"/>
  <c r="AE445" i="1"/>
  <c r="AE624" i="1"/>
  <c r="AE253" i="1"/>
  <c r="AE57" i="1"/>
  <c r="E2446" i="1"/>
  <c r="E2444" i="1"/>
  <c r="E2442" i="1"/>
  <c r="E2440" i="1"/>
  <c r="E2438" i="1"/>
  <c r="E2436" i="1"/>
  <c r="E2434" i="1"/>
  <c r="E2432" i="1"/>
  <c r="E2430" i="1"/>
  <c r="E2428" i="1"/>
  <c r="E2426" i="1"/>
  <c r="E2424" i="1"/>
  <c r="E2422" i="1"/>
  <c r="E2420" i="1"/>
  <c r="E2418" i="1"/>
  <c r="E2416" i="1"/>
  <c r="E2414" i="1"/>
  <c r="E2402" i="1"/>
  <c r="E2400" i="1"/>
  <c r="E2398" i="1"/>
  <c r="E2396" i="1"/>
  <c r="E2394" i="1"/>
  <c r="E2392" i="1"/>
  <c r="E2390" i="1"/>
  <c r="E2388" i="1"/>
  <c r="E2386" i="1"/>
  <c r="E2384" i="1"/>
  <c r="E2375" i="1"/>
  <c r="E2373" i="1"/>
  <c r="E2371" i="1"/>
  <c r="E2369" i="1"/>
  <c r="E2367" i="1"/>
  <c r="E2365" i="1"/>
  <c r="E2363" i="1"/>
  <c r="E2361" i="1"/>
  <c r="E2359" i="1"/>
  <c r="E2355" i="1"/>
  <c r="E2353" i="1"/>
  <c r="E2351" i="1"/>
  <c r="E2349" i="1"/>
  <c r="E2347" i="1"/>
  <c r="E2345" i="1"/>
  <c r="E2343" i="1"/>
  <c r="E2341" i="1"/>
  <c r="E2339" i="1"/>
  <c r="E2337" i="1"/>
  <c r="E2333" i="1"/>
  <c r="E2331" i="1"/>
  <c r="E2329" i="1"/>
  <c r="E2327" i="1"/>
  <c r="E2324" i="1"/>
  <c r="E2322" i="1"/>
  <c r="E2320" i="1"/>
  <c r="E2318" i="1"/>
  <c r="E2316" i="1"/>
  <c r="E2314" i="1"/>
  <c r="E2312" i="1"/>
  <c r="E2310" i="1"/>
  <c r="E2308" i="1"/>
  <c r="E2306" i="1"/>
  <c r="E2304" i="1"/>
  <c r="E2302" i="1"/>
  <c r="E2300" i="1"/>
  <c r="E2298" i="1"/>
  <c r="E2296" i="1"/>
  <c r="E2294" i="1"/>
  <c r="E2292" i="1"/>
  <c r="E2290" i="1"/>
  <c r="E2288" i="1"/>
  <c r="E2286" i="1"/>
  <c r="E2284" i="1"/>
  <c r="E2282" i="1"/>
  <c r="E2280" i="1"/>
  <c r="E2278" i="1"/>
  <c r="E2276" i="1"/>
  <c r="E2274" i="1"/>
  <c r="E2272" i="1"/>
  <c r="E2270" i="1"/>
  <c r="E2268" i="1"/>
  <c r="E2266" i="1"/>
  <c r="E2264" i="1"/>
  <c r="E2262" i="1"/>
  <c r="E2260" i="1"/>
  <c r="E2258" i="1"/>
  <c r="E2256" i="1"/>
  <c r="E2254" i="1"/>
  <c r="E2252" i="1"/>
  <c r="E2250" i="1"/>
  <c r="E2248" i="1"/>
  <c r="E2246" i="1"/>
  <c r="E2244" i="1"/>
  <c r="E2242" i="1"/>
  <c r="E2240" i="1"/>
  <c r="E2238" i="1"/>
  <c r="E2236" i="1"/>
  <c r="E2234" i="1"/>
  <c r="E2232" i="1"/>
  <c r="E2230" i="1"/>
  <c r="E2228" i="1"/>
  <c r="E2226" i="1"/>
  <c r="E2224" i="1"/>
  <c r="E2222" i="1"/>
  <c r="E2220" i="1"/>
  <c r="E2218" i="1"/>
  <c r="E2216" i="1"/>
  <c r="E2214" i="1"/>
  <c r="E2212" i="1"/>
  <c r="E2210" i="1"/>
  <c r="E2208" i="1"/>
  <c r="E2206" i="1"/>
  <c r="E2204" i="1"/>
  <c r="E2202" i="1"/>
  <c r="E2200" i="1"/>
  <c r="E2198" i="1"/>
  <c r="E2196" i="1"/>
  <c r="E2194" i="1"/>
  <c r="E2192" i="1"/>
  <c r="E2190" i="1"/>
  <c r="E2188" i="1"/>
  <c r="E2186" i="1"/>
  <c r="E2184" i="1"/>
  <c r="E2182" i="1"/>
  <c r="E2180" i="1"/>
  <c r="E2148" i="1"/>
  <c r="E2132" i="1"/>
  <c r="E2130" i="1"/>
  <c r="E2128" i="1"/>
  <c r="E2126" i="1"/>
  <c r="E2124" i="1"/>
  <c r="E2122" i="1"/>
  <c r="E2120" i="1"/>
  <c r="E2118" i="1"/>
  <c r="E2116" i="1"/>
  <c r="E2114" i="1"/>
  <c r="E2108" i="1"/>
  <c r="E2106" i="1"/>
  <c r="E2104" i="1"/>
  <c r="E2102" i="1"/>
  <c r="E2100" i="1"/>
  <c r="E2098" i="1"/>
  <c r="E2096" i="1"/>
  <c r="E2094" i="1"/>
  <c r="E2092" i="1"/>
  <c r="E2090" i="1"/>
  <c r="E2088" i="1"/>
  <c r="E2086" i="1"/>
  <c r="E2084" i="1"/>
  <c r="E2082" i="1"/>
  <c r="E2080" i="1"/>
  <c r="E2078" i="1"/>
  <c r="E2076" i="1"/>
  <c r="E2074" i="1"/>
  <c r="E2072" i="1"/>
  <c r="E2070" i="1"/>
  <c r="E2068" i="1"/>
  <c r="E2066" i="1"/>
  <c r="E2064" i="1"/>
  <c r="E2062" i="1"/>
  <c r="E2060" i="1"/>
  <c r="E2058" i="1"/>
  <c r="E2056" i="1"/>
  <c r="E2054" i="1"/>
  <c r="E2052" i="1"/>
  <c r="E2050" i="1"/>
  <c r="E2048" i="1"/>
  <c r="E2046" i="1"/>
  <c r="E2044" i="1"/>
  <c r="E2042" i="1"/>
  <c r="E2040" i="1"/>
  <c r="E2038" i="1"/>
  <c r="E2036" i="1"/>
  <c r="E2034" i="1"/>
  <c r="E2032" i="1"/>
  <c r="E2030" i="1"/>
  <c r="E2028" i="1"/>
  <c r="E2026" i="1"/>
  <c r="E2024" i="1"/>
  <c r="E2022" i="1"/>
  <c r="E2020" i="1"/>
  <c r="E2018" i="1"/>
  <c r="E2016" i="1"/>
  <c r="E2014" i="1"/>
  <c r="E2012" i="1"/>
  <c r="E2010" i="1"/>
  <c r="E2008" i="1"/>
  <c r="E2006" i="1"/>
  <c r="E2004" i="1"/>
  <c r="E2002" i="1"/>
  <c r="E2000" i="1"/>
  <c r="E1998" i="1"/>
  <c r="E1996" i="1"/>
  <c r="E1994" i="1"/>
  <c r="E1992" i="1"/>
  <c r="E1990" i="1"/>
  <c r="E1988" i="1"/>
  <c r="E1986" i="1"/>
  <c r="E1984" i="1"/>
  <c r="E1982" i="1"/>
  <c r="E1980" i="1"/>
  <c r="E1978" i="1"/>
  <c r="E1976" i="1"/>
  <c r="E1974" i="1"/>
  <c r="E1972" i="1"/>
  <c r="E1970" i="1"/>
  <c r="E1968" i="1"/>
  <c r="E1966" i="1"/>
  <c r="E1964" i="1"/>
  <c r="E1962" i="1"/>
  <c r="E1960" i="1"/>
  <c r="E1958" i="1"/>
  <c r="E1950" i="1"/>
  <c r="E1948" i="1"/>
  <c r="E1946" i="1"/>
  <c r="E1944" i="1"/>
  <c r="E1942" i="1"/>
  <c r="E1940" i="1"/>
  <c r="E1938" i="1"/>
  <c r="E1936" i="1"/>
  <c r="E1934" i="1"/>
  <c r="E1932" i="1"/>
  <c r="E1930" i="1"/>
  <c r="E1928" i="1"/>
  <c r="E1926" i="1"/>
  <c r="E1924" i="1"/>
  <c r="E1922" i="1"/>
  <c r="E1920" i="1"/>
  <c r="E1918" i="1"/>
  <c r="E1916" i="1"/>
  <c r="E1914" i="1"/>
  <c r="E1912" i="1"/>
  <c r="E1910" i="1"/>
  <c r="E1908" i="1"/>
  <c r="E1904" i="1"/>
  <c r="E1902" i="1"/>
  <c r="E1900" i="1"/>
  <c r="E1898" i="1"/>
  <c r="E1896" i="1"/>
  <c r="E1894" i="1"/>
  <c r="E1892" i="1"/>
  <c r="E1890" i="1"/>
  <c r="E1888" i="1"/>
  <c r="E1886" i="1"/>
  <c r="E1884" i="1"/>
  <c r="E1882" i="1"/>
  <c r="E1880" i="1"/>
  <c r="E1878" i="1"/>
  <c r="E1876" i="1"/>
  <c r="E1874" i="1"/>
  <c r="E1872" i="1"/>
  <c r="E1870" i="1"/>
  <c r="E1868" i="1"/>
  <c r="E1866" i="1"/>
  <c r="E1864" i="1"/>
  <c r="E1862" i="1"/>
  <c r="E2447" i="1"/>
  <c r="E2445" i="1"/>
  <c r="E2443" i="1"/>
  <c r="E2441" i="1"/>
  <c r="E2439" i="1"/>
  <c r="E2437" i="1"/>
  <c r="E2435" i="1"/>
  <c r="E2433" i="1"/>
  <c r="E2431" i="1"/>
  <c r="E2429" i="1"/>
  <c r="E2427" i="1"/>
  <c r="E2425" i="1"/>
  <c r="E2423" i="1"/>
  <c r="E2421" i="1"/>
  <c r="E2419" i="1"/>
  <c r="E2417" i="1"/>
  <c r="E2415" i="1"/>
  <c r="E2413" i="1"/>
  <c r="E2403" i="1"/>
  <c r="E2401" i="1"/>
  <c r="E2399" i="1"/>
  <c r="E2397" i="1"/>
  <c r="E2395" i="1"/>
  <c r="E2393" i="1"/>
  <c r="E2391" i="1"/>
  <c r="E2389" i="1"/>
  <c r="E2387" i="1"/>
  <c r="E2385" i="1"/>
  <c r="E2383" i="1"/>
  <c r="E2376" i="1"/>
  <c r="E2374" i="1"/>
  <c r="E2372" i="1"/>
  <c r="E2370" i="1"/>
  <c r="E2368" i="1"/>
  <c r="E2366" i="1"/>
  <c r="E2364" i="1"/>
  <c r="E2360" i="1"/>
  <c r="E2356" i="1"/>
  <c r="E2354" i="1"/>
  <c r="E2352" i="1"/>
  <c r="E2350" i="1"/>
  <c r="E2348" i="1"/>
  <c r="E2346" i="1"/>
  <c r="E2344" i="1"/>
  <c r="E2342" i="1"/>
  <c r="E2340" i="1"/>
  <c r="E2338" i="1"/>
  <c r="E2336" i="1"/>
  <c r="E2334" i="1"/>
  <c r="E2332" i="1"/>
  <c r="E2330" i="1"/>
  <c r="E2328" i="1"/>
  <c r="E2325" i="1"/>
  <c r="E2323" i="1"/>
  <c r="E2321" i="1"/>
  <c r="E2319" i="1"/>
  <c r="E2317" i="1"/>
  <c r="E2315" i="1"/>
  <c r="E2313" i="1"/>
  <c r="E2311" i="1"/>
  <c r="E2309" i="1"/>
  <c r="E2307" i="1"/>
  <c r="E2305" i="1"/>
  <c r="E2303" i="1"/>
  <c r="E2301" i="1"/>
  <c r="E2299" i="1"/>
  <c r="E2297" i="1"/>
  <c r="E2295" i="1"/>
  <c r="E2293" i="1"/>
  <c r="E2291" i="1"/>
  <c r="E2289" i="1"/>
  <c r="E2287" i="1"/>
  <c r="E2285" i="1"/>
  <c r="E2283" i="1"/>
  <c r="E2281" i="1"/>
  <c r="E2279" i="1"/>
  <c r="E2277" i="1"/>
  <c r="E2275" i="1"/>
  <c r="E2273" i="1"/>
  <c r="E2271" i="1"/>
  <c r="E2269" i="1"/>
  <c r="E2267" i="1"/>
  <c r="E2265" i="1"/>
  <c r="E2263" i="1"/>
  <c r="E2261" i="1"/>
  <c r="E2259" i="1"/>
  <c r="E2257" i="1"/>
  <c r="E2255" i="1"/>
  <c r="E2253" i="1"/>
  <c r="E2251" i="1"/>
  <c r="E2249" i="1"/>
  <c r="E2247" i="1"/>
  <c r="E2245" i="1"/>
  <c r="E2243" i="1"/>
  <c r="E2241" i="1"/>
  <c r="E2239" i="1"/>
  <c r="E2237" i="1"/>
  <c r="E2235" i="1"/>
  <c r="E2233" i="1"/>
  <c r="E2231" i="1"/>
  <c r="E2229" i="1"/>
  <c r="E2227" i="1"/>
  <c r="E2225" i="1"/>
  <c r="E2223" i="1"/>
  <c r="E2221" i="1"/>
  <c r="E2219" i="1"/>
  <c r="E2217" i="1"/>
  <c r="E2215" i="1"/>
  <c r="E2213" i="1"/>
  <c r="E2211" i="1"/>
  <c r="E2209" i="1"/>
  <c r="E2207" i="1"/>
  <c r="E2205" i="1"/>
  <c r="E2203" i="1"/>
  <c r="E2201" i="1"/>
  <c r="E2199" i="1"/>
  <c r="E2197" i="1"/>
  <c r="E2195" i="1"/>
  <c r="E2193" i="1"/>
  <c r="E2191" i="1"/>
  <c r="E2189" i="1"/>
  <c r="E2187" i="1"/>
  <c r="E2185" i="1"/>
  <c r="E2183" i="1"/>
  <c r="E2181" i="1"/>
  <c r="E2179" i="1"/>
  <c r="E2133" i="1"/>
  <c r="E2131" i="1"/>
  <c r="E2129" i="1"/>
  <c r="E2127" i="1"/>
  <c r="E2123" i="1"/>
  <c r="E2121" i="1"/>
  <c r="E2119" i="1"/>
  <c r="E2117" i="1"/>
  <c r="E2115" i="1"/>
  <c r="E2113" i="1"/>
  <c r="E2107" i="1"/>
  <c r="E2105" i="1"/>
  <c r="E2103" i="1"/>
  <c r="E2101" i="1"/>
  <c r="E2099" i="1"/>
  <c r="E2097" i="1"/>
  <c r="E2095" i="1"/>
  <c r="E2093" i="1"/>
  <c r="E2091" i="1"/>
  <c r="E2089" i="1"/>
  <c r="E2087" i="1"/>
  <c r="E2085" i="1"/>
  <c r="E2083" i="1"/>
  <c r="E2081" i="1"/>
  <c r="E2079" i="1"/>
  <c r="E2077" i="1"/>
  <c r="E2075" i="1"/>
  <c r="E2073" i="1"/>
  <c r="E2071" i="1"/>
  <c r="E2069" i="1"/>
  <c r="E2067" i="1"/>
  <c r="E2065" i="1"/>
  <c r="E2063" i="1"/>
  <c r="E2061" i="1"/>
  <c r="E2059" i="1"/>
  <c r="E2057" i="1"/>
  <c r="E2055" i="1"/>
  <c r="E2053" i="1"/>
  <c r="E2049" i="1"/>
  <c r="E2047" i="1"/>
  <c r="E2045" i="1"/>
  <c r="E2043" i="1"/>
  <c r="E2041" i="1"/>
  <c r="E2039" i="1"/>
  <c r="E2037" i="1"/>
  <c r="E2035" i="1"/>
  <c r="E2033" i="1"/>
  <c r="E2031" i="1"/>
  <c r="E2029" i="1"/>
  <c r="E2027" i="1"/>
  <c r="E2025" i="1"/>
  <c r="E2023" i="1"/>
  <c r="E2021" i="1"/>
  <c r="E2019" i="1"/>
  <c r="E2017" i="1"/>
  <c r="E2015" i="1"/>
  <c r="E2013" i="1"/>
  <c r="E2011" i="1"/>
  <c r="E2009" i="1"/>
  <c r="E2007" i="1"/>
  <c r="E2005" i="1"/>
  <c r="E2003" i="1"/>
  <c r="E2001" i="1"/>
  <c r="E1999" i="1"/>
  <c r="E1997" i="1"/>
  <c r="E1995" i="1"/>
  <c r="E1993" i="1"/>
  <c r="E1991" i="1"/>
  <c r="E1989" i="1"/>
  <c r="E1987" i="1"/>
  <c r="E1985" i="1"/>
  <c r="E1983" i="1"/>
  <c r="E1981" i="1"/>
  <c r="E1979" i="1"/>
  <c r="E1977" i="1"/>
  <c r="E1975" i="1"/>
  <c r="E1973" i="1"/>
  <c r="E1971" i="1"/>
  <c r="E1969" i="1"/>
  <c r="E1967" i="1"/>
  <c r="E1965" i="1"/>
  <c r="E1963" i="1"/>
  <c r="E1961" i="1"/>
  <c r="E1959" i="1"/>
  <c r="E1957" i="1"/>
  <c r="E1951" i="1"/>
  <c r="E1949" i="1"/>
  <c r="E1947" i="1"/>
  <c r="E1945" i="1"/>
  <c r="E1943" i="1"/>
  <c r="E1941" i="1"/>
  <c r="E1939" i="1"/>
  <c r="E1937" i="1"/>
  <c r="E1935" i="1"/>
  <c r="E1933" i="1"/>
  <c r="E1929" i="1"/>
  <c r="E1927" i="1"/>
  <c r="E1925" i="1"/>
  <c r="E1923" i="1"/>
  <c r="E1921" i="1"/>
  <c r="E1919" i="1"/>
  <c r="E1917" i="1"/>
  <c r="E1915" i="1"/>
  <c r="E1913" i="1"/>
  <c r="E1911" i="1"/>
  <c r="E1909" i="1"/>
  <c r="E1905" i="1"/>
  <c r="E1903" i="1"/>
  <c r="E1901" i="1"/>
  <c r="E1899" i="1"/>
  <c r="E1897" i="1"/>
  <c r="E1895" i="1"/>
  <c r="E1893" i="1"/>
  <c r="E1891" i="1"/>
  <c r="E1889" i="1"/>
  <c r="E1887" i="1"/>
  <c r="E1885" i="1"/>
  <c r="E1883" i="1"/>
  <c r="E1881" i="1"/>
  <c r="E1879" i="1"/>
  <c r="E1877" i="1"/>
  <c r="E1875" i="1"/>
  <c r="E1873" i="1"/>
  <c r="E1871" i="1"/>
  <c r="E1869" i="1"/>
  <c r="E1867" i="1"/>
  <c r="E1865" i="1"/>
  <c r="E1863" i="1"/>
  <c r="E1861" i="1"/>
  <c r="E1859" i="1"/>
  <c r="E1858" i="1"/>
  <c r="E1856" i="1"/>
  <c r="E1854" i="1"/>
  <c r="E1852" i="1"/>
  <c r="E1850" i="1"/>
  <c r="E1848" i="1"/>
  <c r="E1846" i="1"/>
  <c r="E1844" i="1"/>
  <c r="E1842" i="1"/>
  <c r="E1840" i="1"/>
  <c r="E1834" i="1"/>
  <c r="E1832" i="1"/>
  <c r="E1830" i="1"/>
  <c r="E1828" i="1"/>
  <c r="E1824" i="1"/>
  <c r="E1822" i="1"/>
  <c r="E1820" i="1"/>
  <c r="E1818" i="1"/>
  <c r="E1816" i="1"/>
  <c r="E1814" i="1"/>
  <c r="E1812" i="1"/>
  <c r="E1810" i="1"/>
  <c r="E1808" i="1"/>
  <c r="E1804" i="1"/>
  <c r="E1802" i="1"/>
  <c r="E1800" i="1"/>
  <c r="E1798" i="1"/>
  <c r="E1796" i="1"/>
  <c r="E1794" i="1"/>
  <c r="E1792" i="1"/>
  <c r="E1790" i="1"/>
  <c r="E1788" i="1"/>
  <c r="E1786" i="1"/>
  <c r="E1780" i="1"/>
  <c r="E1778" i="1"/>
  <c r="E1776" i="1"/>
  <c r="E1774" i="1"/>
  <c r="E1772" i="1"/>
  <c r="E1770" i="1"/>
  <c r="E1768" i="1"/>
  <c r="E1766" i="1"/>
  <c r="E1764" i="1"/>
  <c r="E1762" i="1"/>
  <c r="E1760" i="1"/>
  <c r="E1758" i="1"/>
  <c r="E1756" i="1"/>
  <c r="E1754" i="1"/>
  <c r="E1752" i="1"/>
  <c r="E1750" i="1"/>
  <c r="E1748" i="1"/>
  <c r="E1746" i="1"/>
  <c r="E1744" i="1"/>
  <c r="E1742" i="1"/>
  <c r="E1740" i="1"/>
  <c r="E1738" i="1"/>
  <c r="E1736" i="1"/>
  <c r="E1734" i="1"/>
  <c r="E1732" i="1"/>
  <c r="E1730" i="1"/>
  <c r="E1728" i="1"/>
  <c r="E1726" i="1"/>
  <c r="E1724" i="1"/>
  <c r="E1722" i="1"/>
  <c r="E1720" i="1"/>
  <c r="E1718" i="1"/>
  <c r="E1716" i="1"/>
  <c r="E1714" i="1"/>
  <c r="E1712" i="1"/>
  <c r="E1710" i="1"/>
  <c r="E1708" i="1"/>
  <c r="E1706" i="1"/>
  <c r="E1704" i="1"/>
  <c r="E1702" i="1"/>
  <c r="E1700" i="1"/>
  <c r="E1698" i="1"/>
  <c r="E1696" i="1"/>
  <c r="E1692" i="1"/>
  <c r="E1690" i="1"/>
  <c r="E1688" i="1"/>
  <c r="E1686" i="1"/>
  <c r="E1684" i="1"/>
  <c r="E1682" i="1"/>
  <c r="E1680" i="1"/>
  <c r="E1678" i="1"/>
  <c r="E1676" i="1"/>
  <c r="E1674" i="1"/>
  <c r="E1668" i="1"/>
  <c r="E1666" i="1"/>
  <c r="E1664" i="1"/>
  <c r="E1662" i="1"/>
  <c r="E1660" i="1"/>
  <c r="E1658" i="1"/>
  <c r="E1656" i="1"/>
  <c r="E1654" i="1"/>
  <c r="E1650" i="1"/>
  <c r="E1648" i="1"/>
  <c r="E1646" i="1"/>
  <c r="E1644" i="1"/>
  <c r="E1642" i="1"/>
  <c r="E1640" i="1"/>
  <c r="E1638" i="1"/>
  <c r="E1636" i="1"/>
  <c r="E1634" i="1"/>
  <c r="E1632" i="1"/>
  <c r="E1630" i="1"/>
  <c r="E1628" i="1"/>
  <c r="E1626" i="1"/>
  <c r="E1624" i="1"/>
  <c r="E1622" i="1"/>
  <c r="E1620" i="1"/>
  <c r="E1618" i="1"/>
  <c r="E1616" i="1"/>
  <c r="E1614" i="1"/>
  <c r="E1612" i="1"/>
  <c r="E1610" i="1"/>
  <c r="E1608" i="1"/>
  <c r="E1606" i="1"/>
  <c r="E1604" i="1"/>
  <c r="E1602" i="1"/>
  <c r="E1600" i="1"/>
  <c r="E1598" i="1"/>
  <c r="E1596" i="1"/>
  <c r="E1594" i="1"/>
  <c r="E1592" i="1"/>
  <c r="E1590" i="1"/>
  <c r="E1582" i="1"/>
  <c r="E1580" i="1"/>
  <c r="E1578" i="1"/>
  <c r="E1576" i="1"/>
  <c r="E1574" i="1"/>
  <c r="E1572" i="1"/>
  <c r="E1568" i="1"/>
  <c r="E1566" i="1"/>
  <c r="E1564" i="1"/>
  <c r="E1562" i="1"/>
  <c r="E1560" i="1"/>
  <c r="E1558" i="1"/>
  <c r="E1556" i="1"/>
  <c r="E1554" i="1"/>
  <c r="E1552" i="1"/>
  <c r="E1550" i="1"/>
  <c r="E1548" i="1"/>
  <c r="E1546" i="1"/>
  <c r="E1544" i="1"/>
  <c r="E1542" i="1"/>
  <c r="E1540" i="1"/>
  <c r="E1538" i="1"/>
  <c r="E1536" i="1"/>
  <c r="E1534" i="1"/>
  <c r="E1532" i="1"/>
  <c r="E1530" i="1"/>
  <c r="E1528" i="1"/>
  <c r="E1526" i="1"/>
  <c r="E1522" i="1"/>
  <c r="E1520" i="1"/>
  <c r="E1518" i="1"/>
  <c r="E1516" i="1"/>
  <c r="E1514" i="1"/>
  <c r="E1512" i="1"/>
  <c r="E1510" i="1"/>
  <c r="E1508" i="1"/>
  <c r="E1506" i="1"/>
  <c r="E1504" i="1"/>
  <c r="E1502" i="1"/>
  <c r="E1500" i="1"/>
  <c r="E1498" i="1"/>
  <c r="E1496" i="1"/>
  <c r="E1494" i="1"/>
  <c r="E1492" i="1"/>
  <c r="E1490" i="1"/>
  <c r="E1488" i="1"/>
  <c r="E1474" i="1"/>
  <c r="E1472" i="1"/>
  <c r="E1468" i="1"/>
  <c r="E1466" i="1"/>
  <c r="E1464" i="1"/>
  <c r="E1462" i="1"/>
  <c r="E1460" i="1"/>
  <c r="E1458" i="1"/>
  <c r="E1456" i="1"/>
  <c r="E1454" i="1"/>
  <c r="E1452" i="1"/>
  <c r="E1450" i="1"/>
  <c r="E1448" i="1"/>
  <c r="E1446" i="1"/>
  <c r="E1444" i="1"/>
  <c r="E1442" i="1"/>
  <c r="E1440" i="1"/>
  <c r="E1438" i="1"/>
  <c r="E1436" i="1"/>
  <c r="E1434" i="1"/>
  <c r="E1430" i="1"/>
  <c r="E1428" i="1"/>
  <c r="E1426" i="1"/>
  <c r="E1424" i="1"/>
  <c r="E1422" i="1"/>
  <c r="E1420" i="1"/>
  <c r="E1418" i="1"/>
  <c r="E1416" i="1"/>
  <c r="E1414" i="1"/>
  <c r="E1412" i="1"/>
  <c r="E1410" i="1"/>
  <c r="E1408" i="1"/>
  <c r="E1402" i="1"/>
  <c r="E1400" i="1"/>
  <c r="E1398" i="1"/>
  <c r="E1396" i="1"/>
  <c r="E1394" i="1"/>
  <c r="E1392" i="1"/>
  <c r="E1390" i="1"/>
  <c r="E1388" i="1"/>
  <c r="E1386" i="1"/>
  <c r="E1384" i="1"/>
  <c r="E1382" i="1"/>
  <c r="E1378" i="1"/>
  <c r="E1376" i="1"/>
  <c r="E1374" i="1"/>
  <c r="E1372" i="1"/>
  <c r="E1370" i="1"/>
  <c r="E1368" i="1"/>
  <c r="E1366" i="1"/>
  <c r="E1364" i="1"/>
  <c r="E1362" i="1"/>
  <c r="E1360" i="1"/>
  <c r="E1358" i="1"/>
  <c r="E1356" i="1"/>
  <c r="E1350" i="1"/>
  <c r="E1348" i="1"/>
  <c r="E1346" i="1"/>
  <c r="E1342" i="1"/>
  <c r="E1336" i="1"/>
  <c r="E1334" i="1"/>
  <c r="E1332" i="1"/>
  <c r="E1330" i="1"/>
  <c r="E1328" i="1"/>
  <c r="E1326" i="1"/>
  <c r="E1324" i="1"/>
  <c r="E1322" i="1"/>
  <c r="E1320" i="1"/>
  <c r="E1318" i="1"/>
  <c r="E1316" i="1"/>
  <c r="E1314" i="1"/>
  <c r="E1312" i="1"/>
  <c r="E1310" i="1"/>
  <c r="E1308" i="1"/>
  <c r="E1306" i="1"/>
  <c r="E1304" i="1"/>
  <c r="E1302" i="1"/>
  <c r="E1296" i="1"/>
  <c r="E1294" i="1"/>
  <c r="E1292" i="1"/>
  <c r="E1290" i="1"/>
  <c r="E1288" i="1"/>
  <c r="E1286" i="1"/>
  <c r="E1284" i="1"/>
  <c r="E1282" i="1"/>
  <c r="E1860" i="1"/>
  <c r="E1857" i="1"/>
  <c r="E1855" i="1"/>
  <c r="E1853" i="1"/>
  <c r="E1851" i="1"/>
  <c r="E1849" i="1"/>
  <c r="E1847" i="1"/>
  <c r="E1845" i="1"/>
  <c r="E1843" i="1"/>
  <c r="E1841" i="1"/>
  <c r="E1839" i="1"/>
  <c r="E1833" i="1"/>
  <c r="E1831" i="1"/>
  <c r="E1829" i="1"/>
  <c r="E1823" i="1"/>
  <c r="E1821" i="1"/>
  <c r="E1819" i="1"/>
  <c r="E1817" i="1"/>
  <c r="E1815" i="1"/>
  <c r="E1813" i="1"/>
  <c r="E1809" i="1"/>
  <c r="E1807" i="1"/>
  <c r="E1805" i="1"/>
  <c r="E1803" i="1"/>
  <c r="E1801" i="1"/>
  <c r="E1799" i="1"/>
  <c r="E1797" i="1"/>
  <c r="E1795" i="1"/>
  <c r="E1793" i="1"/>
  <c r="E1791" i="1"/>
  <c r="E1789" i="1"/>
  <c r="E1787" i="1"/>
  <c r="E1785" i="1"/>
  <c r="E1783" i="1"/>
  <c r="E1781" i="1"/>
  <c r="E1779" i="1"/>
  <c r="E1777" i="1"/>
  <c r="E1775" i="1"/>
  <c r="E1773" i="1"/>
  <c r="E1771" i="1"/>
  <c r="E1769" i="1"/>
  <c r="E1767" i="1"/>
  <c r="E1765" i="1"/>
  <c r="E1763" i="1"/>
  <c r="E1761" i="1"/>
  <c r="E1759" i="1"/>
  <c r="E1757" i="1"/>
  <c r="E1755" i="1"/>
  <c r="E1753" i="1"/>
  <c r="E1751" i="1"/>
  <c r="E1749" i="1"/>
  <c r="E1747" i="1"/>
  <c r="E1745" i="1"/>
  <c r="E1743" i="1"/>
  <c r="E1741" i="1"/>
  <c r="E1739" i="1"/>
  <c r="E1735" i="1"/>
  <c r="E1733" i="1"/>
  <c r="E1731" i="1"/>
  <c r="E1729" i="1"/>
  <c r="E1727" i="1"/>
  <c r="E1725" i="1"/>
  <c r="E1723" i="1"/>
  <c r="E1721" i="1"/>
  <c r="E1719" i="1"/>
  <c r="E1717" i="1"/>
  <c r="E1715" i="1"/>
  <c r="E1713" i="1"/>
  <c r="E1711" i="1"/>
  <c r="E1709" i="1"/>
  <c r="E1707" i="1"/>
  <c r="E1705" i="1"/>
  <c r="E1703" i="1"/>
  <c r="E1701" i="1"/>
  <c r="E1699" i="1"/>
  <c r="E1697" i="1"/>
  <c r="E1695" i="1"/>
  <c r="E1691" i="1"/>
  <c r="E1689" i="1"/>
  <c r="E1687" i="1"/>
  <c r="E1685" i="1"/>
  <c r="E1683" i="1"/>
  <c r="E1681" i="1"/>
  <c r="E1679" i="1"/>
  <c r="E1677" i="1"/>
  <c r="E1675" i="1"/>
  <c r="E1673" i="1"/>
  <c r="E1669" i="1"/>
  <c r="E1667" i="1"/>
  <c r="E1665" i="1"/>
  <c r="E1663" i="1"/>
  <c r="E1661" i="1"/>
  <c r="E1659" i="1"/>
  <c r="E1657" i="1"/>
  <c r="E1655" i="1"/>
  <c r="E1651" i="1"/>
  <c r="E1649" i="1"/>
  <c r="E1647" i="1"/>
  <c r="E1645" i="1"/>
  <c r="E1643" i="1"/>
  <c r="E1641" i="1"/>
  <c r="E1639" i="1"/>
  <c r="E1637" i="1"/>
  <c r="E1635" i="1"/>
  <c r="E1633" i="1"/>
  <c r="E1631" i="1"/>
  <c r="E1629" i="1"/>
  <c r="E1627" i="1"/>
  <c r="E1625" i="1"/>
  <c r="E1623" i="1"/>
  <c r="E1621" i="1"/>
  <c r="E1619" i="1"/>
  <c r="E1617" i="1"/>
  <c r="E1615" i="1"/>
  <c r="E1613" i="1"/>
  <c r="E1611" i="1"/>
  <c r="E1609" i="1"/>
  <c r="E1607" i="1"/>
  <c r="E1605" i="1"/>
  <c r="E1603" i="1"/>
  <c r="E1601" i="1"/>
  <c r="E1599" i="1"/>
  <c r="E1597" i="1"/>
  <c r="E1595" i="1"/>
  <c r="E1593" i="1"/>
  <c r="E1591" i="1"/>
  <c r="E1589" i="1"/>
  <c r="E1583" i="1"/>
  <c r="E1581" i="1"/>
  <c r="E1579" i="1"/>
  <c r="E1577" i="1"/>
  <c r="E1575" i="1"/>
  <c r="E1573" i="1"/>
  <c r="E1569" i="1"/>
  <c r="E1567" i="1"/>
  <c r="E1565" i="1"/>
  <c r="E1563" i="1"/>
  <c r="E1561" i="1"/>
  <c r="E1559" i="1"/>
  <c r="E1557" i="1"/>
  <c r="E1555" i="1"/>
  <c r="E1553" i="1"/>
  <c r="E1551" i="1"/>
  <c r="E1549" i="1"/>
  <c r="E1547" i="1"/>
  <c r="E1545" i="1"/>
  <c r="E1543" i="1"/>
  <c r="E1541" i="1"/>
  <c r="E1539" i="1"/>
  <c r="E1537" i="1"/>
  <c r="E1535" i="1"/>
  <c r="E1533" i="1"/>
  <c r="E1531" i="1"/>
  <c r="E1529" i="1"/>
  <c r="E1527" i="1"/>
  <c r="E1523" i="1"/>
  <c r="E1521" i="1"/>
  <c r="E1519" i="1"/>
  <c r="E1517" i="1"/>
  <c r="E1515" i="1"/>
  <c r="E1513" i="1"/>
  <c r="E1511" i="1"/>
  <c r="E1509" i="1"/>
  <c r="E1507" i="1"/>
  <c r="E1505" i="1"/>
  <c r="E1503" i="1"/>
  <c r="E1501" i="1"/>
  <c r="E1499" i="1"/>
  <c r="E1497" i="1"/>
  <c r="E1495" i="1"/>
  <c r="E1493" i="1"/>
  <c r="E1491" i="1"/>
  <c r="E1489" i="1"/>
  <c r="E1487" i="1"/>
  <c r="E1475" i="1"/>
  <c r="E1473" i="1"/>
  <c r="E1471" i="1"/>
  <c r="E1467" i="1"/>
  <c r="E1465" i="1"/>
  <c r="E1463" i="1"/>
  <c r="E1461" i="1"/>
  <c r="E1459" i="1"/>
  <c r="E1457" i="1"/>
  <c r="E1455" i="1"/>
  <c r="E1453" i="1"/>
  <c r="E1451" i="1"/>
  <c r="E1449" i="1"/>
  <c r="E1447" i="1"/>
  <c r="E1445" i="1"/>
  <c r="E1443" i="1"/>
  <c r="E1441" i="1"/>
  <c r="E1439" i="1"/>
  <c r="E1437" i="1"/>
  <c r="E1435" i="1"/>
  <c r="E1429" i="1"/>
  <c r="E1427" i="1"/>
  <c r="E1425" i="1"/>
  <c r="E1423" i="1"/>
  <c r="E1421" i="1"/>
  <c r="E1419" i="1"/>
  <c r="E1417" i="1"/>
  <c r="E1415" i="1"/>
  <c r="E1413" i="1"/>
  <c r="E1411" i="1"/>
  <c r="E1409" i="1"/>
  <c r="E1403" i="1"/>
  <c r="E1401" i="1"/>
  <c r="E1399" i="1"/>
  <c r="E1397" i="1"/>
  <c r="E1395" i="1"/>
  <c r="E1393" i="1"/>
  <c r="E1391" i="1"/>
  <c r="E1389" i="1"/>
  <c r="E1387" i="1"/>
  <c r="E1385" i="1"/>
  <c r="E1383" i="1"/>
  <c r="E1381" i="1"/>
  <c r="E1377" i="1"/>
  <c r="E1375" i="1"/>
  <c r="E1373" i="1"/>
  <c r="E1371" i="1"/>
  <c r="E1369" i="1"/>
  <c r="E1367" i="1"/>
  <c r="E1365" i="1"/>
  <c r="E1363" i="1"/>
  <c r="E1361" i="1"/>
  <c r="E1359" i="1"/>
  <c r="E1353" i="1"/>
  <c r="E1351" i="1"/>
  <c r="E1349" i="1"/>
  <c r="E1347" i="1"/>
  <c r="E1345" i="1"/>
  <c r="E1343" i="1"/>
  <c r="E1341" i="1"/>
  <c r="E1335" i="1"/>
  <c r="E1333" i="1"/>
  <c r="E1331" i="1"/>
  <c r="E1329" i="1"/>
  <c r="E1327" i="1"/>
  <c r="E1325" i="1"/>
  <c r="E1323" i="1"/>
  <c r="E1321" i="1"/>
  <c r="E1319" i="1"/>
  <c r="E1317" i="1"/>
  <c r="E1315" i="1"/>
  <c r="E1311" i="1"/>
  <c r="E1309" i="1"/>
  <c r="E1307" i="1"/>
  <c r="E1305" i="1"/>
  <c r="E1303" i="1"/>
  <c r="E1301" i="1"/>
  <c r="E1297" i="1"/>
  <c r="E1295" i="1"/>
  <c r="E1293" i="1"/>
  <c r="E1291" i="1"/>
  <c r="E1289" i="1"/>
  <c r="E1287" i="1"/>
  <c r="E1285" i="1"/>
  <c r="E1281" i="1"/>
  <c r="E1279" i="1"/>
  <c r="E1277" i="1"/>
  <c r="E1278" i="1"/>
  <c r="E1275" i="1"/>
  <c r="E1273" i="1"/>
  <c r="E1271" i="1"/>
  <c r="E1267" i="1"/>
  <c r="E1265" i="1"/>
  <c r="E1263" i="1"/>
  <c r="E1261" i="1"/>
  <c r="E1259" i="1"/>
  <c r="E1257" i="1"/>
  <c r="E1255" i="1"/>
  <c r="E1253" i="1"/>
  <c r="E1251" i="1"/>
  <c r="E1249" i="1"/>
  <c r="E1247" i="1"/>
  <c r="E1245" i="1"/>
  <c r="E1243" i="1"/>
  <c r="E1241" i="1"/>
  <c r="E1239" i="1"/>
  <c r="E1237" i="1"/>
  <c r="E1235" i="1"/>
  <c r="E1233" i="1"/>
  <c r="E1231" i="1"/>
  <c r="E1229" i="1"/>
  <c r="E1225" i="1"/>
  <c r="E1223" i="1"/>
  <c r="E1221" i="1"/>
  <c r="E1219" i="1"/>
  <c r="E1217" i="1"/>
  <c r="E1215" i="1"/>
  <c r="E1213" i="1"/>
  <c r="E1211" i="1"/>
  <c r="E1207" i="1"/>
  <c r="E1205" i="1"/>
  <c r="E1203" i="1"/>
  <c r="E1201" i="1"/>
  <c r="E1199" i="1"/>
  <c r="E1197" i="1"/>
  <c r="E1187" i="1"/>
  <c r="E1185" i="1"/>
  <c r="E1181" i="1"/>
  <c r="E1179" i="1"/>
  <c r="E1177" i="1"/>
  <c r="E1175" i="1"/>
  <c r="E1173" i="1"/>
  <c r="E1169" i="1"/>
  <c r="E1167" i="1"/>
  <c r="E1163" i="1"/>
  <c r="E1161" i="1"/>
  <c r="E1159" i="1"/>
  <c r="E1157" i="1"/>
  <c r="E1155" i="1"/>
  <c r="E1153" i="1"/>
  <c r="E1151" i="1"/>
  <c r="E1149" i="1"/>
  <c r="E1147" i="1"/>
  <c r="E1143" i="1"/>
  <c r="E1141" i="1"/>
  <c r="E1139" i="1"/>
  <c r="E1137" i="1"/>
  <c r="E1135" i="1"/>
  <c r="E1133" i="1"/>
  <c r="E1131" i="1"/>
  <c r="E1129" i="1"/>
  <c r="E1127" i="1"/>
  <c r="E1123" i="1"/>
  <c r="E1121" i="1"/>
  <c r="E1119" i="1"/>
  <c r="E1117" i="1"/>
  <c r="E1115" i="1"/>
  <c r="E1113" i="1"/>
  <c r="E1111" i="1"/>
  <c r="E1103" i="1"/>
  <c r="E1101" i="1"/>
  <c r="E1097" i="1"/>
  <c r="E1095" i="1"/>
  <c r="E1093" i="1"/>
  <c r="E1089" i="1"/>
  <c r="E1087" i="1"/>
  <c r="E1085" i="1"/>
  <c r="E1083" i="1"/>
  <c r="E1081" i="1"/>
  <c r="E1079" i="1"/>
  <c r="E1077" i="1"/>
  <c r="E1075" i="1"/>
  <c r="E1073" i="1"/>
  <c r="E1071" i="1"/>
  <c r="E1069" i="1"/>
  <c r="E1067" i="1"/>
  <c r="E1065" i="1"/>
  <c r="E1063" i="1"/>
  <c r="E1061" i="1"/>
  <c r="E1059" i="1"/>
  <c r="E1057" i="1"/>
  <c r="E1055" i="1"/>
  <c r="E1053" i="1"/>
  <c r="E1051" i="1"/>
  <c r="E1049" i="1"/>
  <c r="E1047" i="1"/>
  <c r="E1045" i="1"/>
  <c r="E1041" i="1"/>
  <c r="E1039" i="1"/>
  <c r="E1037" i="1"/>
  <c r="E1035" i="1"/>
  <c r="E1033" i="1"/>
  <c r="E1031" i="1"/>
  <c r="E1029" i="1"/>
  <c r="E1025" i="1"/>
  <c r="E1023" i="1"/>
  <c r="E1019" i="1"/>
  <c r="E1017" i="1"/>
  <c r="E1013" i="1"/>
  <c r="E1011" i="1"/>
  <c r="E1007" i="1"/>
  <c r="E1005" i="1"/>
  <c r="E1001" i="1"/>
  <c r="E997" i="1"/>
  <c r="E995" i="1"/>
  <c r="E993" i="1"/>
  <c r="E991" i="1"/>
  <c r="E989" i="1"/>
  <c r="E987" i="1"/>
  <c r="E985" i="1"/>
  <c r="E983" i="1"/>
  <c r="E981" i="1"/>
  <c r="E979" i="1"/>
  <c r="E977" i="1"/>
  <c r="E975" i="1"/>
  <c r="E973" i="1"/>
  <c r="E971" i="1"/>
  <c r="E969" i="1"/>
  <c r="E967" i="1"/>
  <c r="E965" i="1"/>
  <c r="E963" i="1"/>
  <c r="E961" i="1"/>
  <c r="E959" i="1"/>
  <c r="E957" i="1"/>
  <c r="E955" i="1"/>
  <c r="E953" i="1"/>
  <c r="E951" i="1"/>
  <c r="E949" i="1"/>
  <c r="E947" i="1"/>
  <c r="E945" i="1"/>
  <c r="E943" i="1"/>
  <c r="E941" i="1"/>
  <c r="E937" i="1"/>
  <c r="E935" i="1"/>
  <c r="E933" i="1"/>
  <c r="E931" i="1"/>
  <c r="E929" i="1"/>
  <c r="E927" i="1"/>
  <c r="E923" i="1"/>
  <c r="E921" i="1"/>
  <c r="E919" i="1"/>
  <c r="E917" i="1"/>
  <c r="E915" i="1"/>
  <c r="E913" i="1"/>
  <c r="E911" i="1"/>
  <c r="E909" i="1"/>
  <c r="E907" i="1"/>
  <c r="E905" i="1"/>
  <c r="E903" i="1"/>
  <c r="E901" i="1"/>
  <c r="E899" i="1"/>
  <c r="E897" i="1"/>
  <c r="E895" i="1"/>
  <c r="E893" i="1"/>
  <c r="E891" i="1"/>
  <c r="E889" i="1"/>
  <c r="E887" i="1"/>
  <c r="E885" i="1"/>
  <c r="E883" i="1"/>
  <c r="E881" i="1"/>
  <c r="E879" i="1"/>
  <c r="E877" i="1"/>
  <c r="E875" i="1"/>
  <c r="E873" i="1"/>
  <c r="E871" i="1"/>
  <c r="E869" i="1"/>
  <c r="E867" i="1"/>
  <c r="E865" i="1"/>
  <c r="E863" i="1"/>
  <c r="E861" i="1"/>
  <c r="E859" i="1"/>
  <c r="E857" i="1"/>
  <c r="E855" i="1"/>
  <c r="E853" i="1"/>
  <c r="E851" i="1"/>
  <c r="E847" i="1"/>
  <c r="E845" i="1"/>
  <c r="E843" i="1"/>
  <c r="E835" i="1"/>
  <c r="E833" i="1"/>
  <c r="E831" i="1"/>
  <c r="E829" i="1"/>
  <c r="E827" i="1"/>
  <c r="E825" i="1"/>
  <c r="E823" i="1"/>
  <c r="E821" i="1"/>
  <c r="E817" i="1"/>
  <c r="E815" i="1"/>
  <c r="E813" i="1"/>
  <c r="E811" i="1"/>
  <c r="E809" i="1"/>
  <c r="E807" i="1"/>
  <c r="E805" i="1"/>
  <c r="E803" i="1"/>
  <c r="E799" i="1"/>
  <c r="E797" i="1"/>
  <c r="E795" i="1"/>
  <c r="E793" i="1"/>
  <c r="E789" i="1"/>
  <c r="E787" i="1"/>
  <c r="E785" i="1"/>
  <c r="E783" i="1"/>
  <c r="E781" i="1"/>
  <c r="E779" i="1"/>
  <c r="E775" i="1"/>
  <c r="E773" i="1"/>
  <c r="E771" i="1"/>
  <c r="E769" i="1"/>
  <c r="E767" i="1"/>
  <c r="E765" i="1"/>
  <c r="E763" i="1"/>
  <c r="E759" i="1"/>
  <c r="E757" i="1"/>
  <c r="E753" i="1"/>
  <c r="E747" i="1"/>
  <c r="E745" i="1"/>
  <c r="E743" i="1"/>
  <c r="E741" i="1"/>
  <c r="E739" i="1"/>
  <c r="E737" i="1"/>
  <c r="E735" i="1"/>
  <c r="E733" i="1"/>
  <c r="E731" i="1"/>
  <c r="E725" i="1"/>
  <c r="E723" i="1"/>
  <c r="E721" i="1"/>
  <c r="E719" i="1"/>
  <c r="E717" i="1"/>
  <c r="E715" i="1"/>
  <c r="E711" i="1"/>
  <c r="E709" i="1"/>
  <c r="E705" i="1"/>
  <c r="E703" i="1"/>
  <c r="E701" i="1"/>
  <c r="E699" i="1"/>
  <c r="E697" i="1"/>
  <c r="E695" i="1"/>
  <c r="E693" i="1"/>
  <c r="E691" i="1"/>
  <c r="E689" i="1"/>
  <c r="E683" i="1"/>
  <c r="E681" i="1"/>
  <c r="E679" i="1"/>
  <c r="E677" i="1"/>
  <c r="E675" i="1"/>
  <c r="E671" i="1"/>
  <c r="E669" i="1"/>
  <c r="E667" i="1"/>
  <c r="E665" i="1"/>
  <c r="E663" i="1"/>
  <c r="E661" i="1"/>
  <c r="E659" i="1"/>
  <c r="E657" i="1"/>
  <c r="E653" i="1"/>
  <c r="E651" i="1"/>
  <c r="E649" i="1"/>
  <c r="E647" i="1"/>
  <c r="E645" i="1"/>
  <c r="E643" i="1"/>
  <c r="E641" i="1"/>
  <c r="E639" i="1"/>
  <c r="E637" i="1"/>
  <c r="E635" i="1"/>
  <c r="E629" i="1"/>
  <c r="E627" i="1"/>
  <c r="E625" i="1"/>
  <c r="E621" i="1"/>
  <c r="E619" i="1"/>
  <c r="E617" i="1"/>
  <c r="E615" i="1"/>
  <c r="E607" i="1"/>
  <c r="E605" i="1"/>
  <c r="E603" i="1"/>
  <c r="E601" i="1"/>
  <c r="E599" i="1"/>
  <c r="E597" i="1"/>
  <c r="E595" i="1"/>
  <c r="E591" i="1"/>
  <c r="E589" i="1"/>
  <c r="E587" i="1"/>
  <c r="E585" i="1"/>
  <c r="E583" i="1"/>
  <c r="E581" i="1"/>
  <c r="E579" i="1"/>
  <c r="E577" i="1"/>
  <c r="E575" i="1"/>
  <c r="E571" i="1"/>
  <c r="E569" i="1"/>
  <c r="E567" i="1"/>
  <c r="E565" i="1"/>
  <c r="E563" i="1"/>
  <c r="E561" i="1"/>
  <c r="E559" i="1"/>
  <c r="E557" i="1"/>
  <c r="E555" i="1"/>
  <c r="E553" i="1"/>
  <c r="E551" i="1"/>
  <c r="E549" i="1"/>
  <c r="E547" i="1"/>
  <c r="E545" i="1"/>
  <c r="E543" i="1"/>
  <c r="E541" i="1"/>
  <c r="E539" i="1"/>
  <c r="E537" i="1"/>
  <c r="E535" i="1"/>
  <c r="E533" i="1"/>
  <c r="E531" i="1"/>
  <c r="E527" i="1"/>
  <c r="E525" i="1"/>
  <c r="E523" i="1"/>
  <c r="E521" i="1"/>
  <c r="E519" i="1"/>
  <c r="E517" i="1"/>
  <c r="E515" i="1"/>
  <c r="E513" i="1"/>
  <c r="E511" i="1"/>
  <c r="E509" i="1"/>
  <c r="E507" i="1"/>
  <c r="E505" i="1"/>
  <c r="E503" i="1"/>
  <c r="E501" i="1"/>
  <c r="E499" i="1"/>
  <c r="E497" i="1"/>
  <c r="E495" i="1"/>
  <c r="E493" i="1"/>
  <c r="E491" i="1"/>
  <c r="E487" i="1"/>
  <c r="E485" i="1"/>
  <c r="E483" i="1"/>
  <c r="E479" i="1"/>
  <c r="E477" i="1"/>
  <c r="E473" i="1"/>
  <c r="E471" i="1"/>
  <c r="E469" i="1"/>
  <c r="E467" i="1"/>
  <c r="E463" i="1"/>
  <c r="E459" i="1"/>
  <c r="E457" i="1"/>
  <c r="E455" i="1"/>
  <c r="E451" i="1"/>
  <c r="E449" i="1"/>
  <c r="E447" i="1"/>
  <c r="E445" i="1"/>
  <c r="E443" i="1"/>
  <c r="E441" i="1"/>
  <c r="E439" i="1"/>
  <c r="E437" i="1"/>
  <c r="E435" i="1"/>
  <c r="E433" i="1"/>
  <c r="E431" i="1"/>
  <c r="E429" i="1"/>
  <c r="E427" i="1"/>
  <c r="E425" i="1"/>
  <c r="E423" i="1"/>
  <c r="E421" i="1"/>
  <c r="E419" i="1"/>
  <c r="E417" i="1"/>
  <c r="E415" i="1"/>
  <c r="E413" i="1"/>
  <c r="E411" i="1"/>
  <c r="E409" i="1"/>
  <c r="E407" i="1"/>
  <c r="E405" i="1"/>
  <c r="E403" i="1"/>
  <c r="E399" i="1"/>
  <c r="E397" i="1"/>
  <c r="E395" i="1"/>
  <c r="E393" i="1"/>
  <c r="E391" i="1"/>
  <c r="E389" i="1"/>
  <c r="E387" i="1"/>
  <c r="E385" i="1"/>
  <c r="E383" i="1"/>
  <c r="E381" i="1"/>
  <c r="E379" i="1"/>
  <c r="E377" i="1"/>
  <c r="E375" i="1"/>
  <c r="E373" i="1"/>
  <c r="E371" i="1"/>
  <c r="E369" i="1"/>
  <c r="E367" i="1"/>
  <c r="E365" i="1"/>
  <c r="E363" i="1"/>
  <c r="E361" i="1"/>
  <c r="E359" i="1"/>
  <c r="E357" i="1"/>
  <c r="E355" i="1"/>
  <c r="E353" i="1"/>
  <c r="E351" i="1"/>
  <c r="E349" i="1"/>
  <c r="E347" i="1"/>
  <c r="E345" i="1"/>
  <c r="E343" i="1"/>
  <c r="E341" i="1"/>
  <c r="E339" i="1"/>
  <c r="E337" i="1"/>
  <c r="E335" i="1"/>
  <c r="E333" i="1"/>
  <c r="E331" i="1"/>
  <c r="E329" i="1"/>
  <c r="E327" i="1"/>
  <c r="E325" i="1"/>
  <c r="E323" i="1"/>
  <c r="E321" i="1"/>
  <c r="E319" i="1"/>
  <c r="E317" i="1"/>
  <c r="E315" i="1"/>
  <c r="E313" i="1"/>
  <c r="E311" i="1"/>
  <c r="E309" i="1"/>
  <c r="E307" i="1"/>
  <c r="E305" i="1"/>
  <c r="E303" i="1"/>
  <c r="E301" i="1"/>
  <c r="E297" i="1"/>
  <c r="E295" i="1"/>
  <c r="E293" i="1"/>
  <c r="E291" i="1"/>
  <c r="E289" i="1"/>
  <c r="E287" i="1"/>
  <c r="E285" i="1"/>
  <c r="E283" i="1"/>
  <c r="E281" i="1"/>
  <c r="E277" i="1"/>
  <c r="E275" i="1"/>
  <c r="E271" i="1"/>
  <c r="E269" i="1"/>
  <c r="E267" i="1"/>
  <c r="E265" i="1"/>
  <c r="E263" i="1"/>
  <c r="E261" i="1"/>
  <c r="E259" i="1"/>
  <c r="E257" i="1"/>
  <c r="E255" i="1"/>
  <c r="E253" i="1"/>
  <c r="E251" i="1"/>
  <c r="E249" i="1"/>
  <c r="E247" i="1"/>
  <c r="E245" i="1"/>
  <c r="E243" i="1"/>
  <c r="E241" i="1"/>
  <c r="E239" i="1"/>
  <c r="E237" i="1"/>
  <c r="E235" i="1"/>
  <c r="E233" i="1"/>
  <c r="E231" i="1"/>
  <c r="E229" i="1"/>
  <c r="E227" i="1"/>
  <c r="E225" i="1"/>
  <c r="E223" i="1"/>
  <c r="E221" i="1"/>
  <c r="E219" i="1"/>
  <c r="E217" i="1"/>
  <c r="E215" i="1"/>
  <c r="E213" i="1"/>
  <c r="E211" i="1"/>
  <c r="E209" i="1"/>
  <c r="E207" i="1"/>
  <c r="E203" i="1"/>
  <c r="E201" i="1"/>
  <c r="E199" i="1"/>
  <c r="E197" i="1"/>
  <c r="E195" i="1"/>
  <c r="E193" i="1"/>
  <c r="E191" i="1"/>
  <c r="E189" i="1"/>
  <c r="E187" i="1"/>
  <c r="E185" i="1"/>
  <c r="E183" i="1"/>
  <c r="E181" i="1"/>
  <c r="E179" i="1"/>
  <c r="E177" i="1"/>
  <c r="E175" i="1"/>
  <c r="E173" i="1"/>
  <c r="E171" i="1"/>
  <c r="E169" i="1"/>
  <c r="E167" i="1"/>
  <c r="E165" i="1"/>
  <c r="E163" i="1"/>
  <c r="E161" i="1"/>
  <c r="E159" i="1"/>
  <c r="E157" i="1"/>
  <c r="E155" i="1"/>
  <c r="E153" i="1"/>
  <c r="E151" i="1"/>
  <c r="E149" i="1"/>
  <c r="E147" i="1"/>
  <c r="E145" i="1"/>
  <c r="E143" i="1"/>
  <c r="E141" i="1"/>
  <c r="E139" i="1"/>
  <c r="E137" i="1"/>
  <c r="E135" i="1"/>
  <c r="E133" i="1"/>
  <c r="E131" i="1"/>
  <c r="E129" i="1"/>
  <c r="E127" i="1"/>
  <c r="E125" i="1"/>
  <c r="E123" i="1"/>
  <c r="E1280" i="1"/>
  <c r="E1274" i="1"/>
  <c r="E1272" i="1"/>
  <c r="E1270" i="1"/>
  <c r="E1268" i="1"/>
  <c r="E1266" i="1"/>
  <c r="E1262" i="1"/>
  <c r="E1260" i="1"/>
  <c r="E1258" i="1"/>
  <c r="E1256" i="1"/>
  <c r="E1254" i="1"/>
  <c r="E1252" i="1"/>
  <c r="E1250" i="1"/>
  <c r="E1248" i="1"/>
  <c r="E1246" i="1"/>
  <c r="E1244" i="1"/>
  <c r="E1242" i="1"/>
  <c r="E1240" i="1"/>
  <c r="E1238" i="1"/>
  <c r="E1236" i="1"/>
  <c r="E1234" i="1"/>
  <c r="E1232" i="1"/>
  <c r="E1230" i="1"/>
  <c r="E1228" i="1"/>
  <c r="E1226" i="1"/>
  <c r="E1224" i="1"/>
  <c r="E1222" i="1"/>
  <c r="E1220" i="1"/>
  <c r="E1218" i="1"/>
  <c r="E1216" i="1"/>
  <c r="E1212" i="1"/>
  <c r="E1210" i="1"/>
  <c r="E1208" i="1"/>
  <c r="E1206" i="1"/>
  <c r="E1202" i="1"/>
  <c r="E1200" i="1"/>
  <c r="E1198" i="1"/>
  <c r="E1196" i="1"/>
  <c r="E1186" i="1"/>
  <c r="E1184" i="1"/>
  <c r="E1180" i="1"/>
  <c r="E1178" i="1"/>
  <c r="E1176" i="1"/>
  <c r="E1174" i="1"/>
  <c r="E1172" i="1"/>
  <c r="E1168" i="1"/>
  <c r="E1166" i="1"/>
  <c r="E1164" i="1"/>
  <c r="E1162" i="1"/>
  <c r="E1158" i="1"/>
  <c r="E1156" i="1"/>
  <c r="E1154" i="1"/>
  <c r="E1152" i="1"/>
  <c r="E1150" i="1"/>
  <c r="E1148" i="1"/>
  <c r="E1146" i="1"/>
  <c r="E1144" i="1"/>
  <c r="E1142" i="1"/>
  <c r="E1140" i="1"/>
  <c r="E1136" i="1"/>
  <c r="E1134" i="1"/>
  <c r="E1132" i="1"/>
  <c r="E1130" i="1"/>
  <c r="E1128" i="1"/>
  <c r="E1126" i="1"/>
  <c r="E1120" i="1"/>
  <c r="E1118" i="1"/>
  <c r="E1116" i="1"/>
  <c r="E1114" i="1"/>
  <c r="E1112" i="1"/>
  <c r="E1110" i="1"/>
  <c r="E1102" i="1"/>
  <c r="E1100" i="1"/>
  <c r="E1096" i="1"/>
  <c r="E1092" i="1"/>
  <c r="E1090" i="1"/>
  <c r="E1088" i="1"/>
  <c r="E1086" i="1"/>
  <c r="E1084" i="1"/>
  <c r="E1082" i="1"/>
  <c r="E1080" i="1"/>
  <c r="E1078" i="1"/>
  <c r="E1076" i="1"/>
  <c r="E1074" i="1"/>
  <c r="E1072" i="1"/>
  <c r="E1070" i="1"/>
  <c r="E1068" i="1"/>
  <c r="E1064" i="1"/>
  <c r="E1062" i="1"/>
  <c r="E1060" i="1"/>
  <c r="E1058" i="1"/>
  <c r="E1054" i="1"/>
  <c r="E1052" i="1"/>
  <c r="E1050" i="1"/>
  <c r="E1048" i="1"/>
  <c r="E1046" i="1"/>
  <c r="E1040" i="1"/>
  <c r="E1038" i="1"/>
  <c r="E1036" i="1"/>
  <c r="E1034" i="1"/>
  <c r="E1032" i="1"/>
  <c r="E1030" i="1"/>
  <c r="E1028" i="1"/>
  <c r="E1026" i="1"/>
  <c r="E1024" i="1"/>
  <c r="E1022" i="1"/>
  <c r="E1018" i="1"/>
  <c r="E1014" i="1"/>
  <c r="E1012" i="1"/>
  <c r="E1008" i="1"/>
  <c r="E1006" i="1"/>
  <c r="E1000" i="1"/>
  <c r="E998" i="1"/>
  <c r="E996" i="1"/>
  <c r="E994" i="1"/>
  <c r="E992" i="1"/>
  <c r="E990" i="1"/>
  <c r="E988" i="1"/>
  <c r="E986" i="1"/>
  <c r="E984" i="1"/>
  <c r="E982" i="1"/>
  <c r="E980" i="1"/>
  <c r="E978" i="1"/>
  <c r="E976" i="1"/>
  <c r="E974" i="1"/>
  <c r="E972" i="1"/>
  <c r="E970" i="1"/>
  <c r="E968" i="1"/>
  <c r="E966" i="1"/>
  <c r="E964" i="1"/>
  <c r="E962" i="1"/>
  <c r="E960" i="1"/>
  <c r="E958" i="1"/>
  <c r="E956" i="1"/>
  <c r="E954" i="1"/>
  <c r="E952" i="1"/>
  <c r="E950" i="1"/>
  <c r="E948" i="1"/>
  <c r="E946" i="1"/>
  <c r="E944" i="1"/>
  <c r="E942" i="1"/>
  <c r="E940" i="1"/>
  <c r="E936" i="1"/>
  <c r="E934" i="1"/>
  <c r="E932" i="1"/>
  <c r="E930" i="1"/>
  <c r="E928" i="1"/>
  <c r="E924" i="1"/>
  <c r="E922" i="1"/>
  <c r="E920" i="1"/>
  <c r="E918" i="1"/>
  <c r="E916" i="1"/>
  <c r="E914" i="1"/>
  <c r="E912" i="1"/>
  <c r="E910" i="1"/>
  <c r="E908" i="1"/>
  <c r="E906" i="1"/>
  <c r="E904" i="1"/>
  <c r="E902" i="1"/>
  <c r="E900" i="1"/>
  <c r="E898" i="1"/>
  <c r="E896" i="1"/>
  <c r="E894" i="1"/>
  <c r="E892" i="1"/>
  <c r="E890" i="1"/>
  <c r="E886" i="1"/>
  <c r="E884" i="1"/>
  <c r="E882" i="1"/>
  <c r="E880" i="1"/>
  <c r="E876" i="1"/>
  <c r="E874" i="1"/>
  <c r="E872" i="1"/>
  <c r="E870" i="1"/>
  <c r="E868" i="1"/>
  <c r="E866" i="1"/>
  <c r="E864" i="1"/>
  <c r="E862" i="1"/>
  <c r="E860" i="1"/>
  <c r="E856" i="1"/>
  <c r="E854" i="1"/>
  <c r="E852" i="1"/>
  <c r="E846" i="1"/>
  <c r="E844" i="1"/>
  <c r="E842" i="1"/>
  <c r="E836" i="1"/>
  <c r="E834" i="1"/>
  <c r="E832" i="1"/>
  <c r="E830" i="1"/>
  <c r="E828" i="1"/>
  <c r="E826" i="1"/>
  <c r="E824" i="1"/>
  <c r="E822" i="1"/>
  <c r="E820" i="1"/>
  <c r="E818" i="1"/>
  <c r="E816" i="1"/>
  <c r="E814" i="1"/>
  <c r="E810" i="1"/>
  <c r="E808" i="1"/>
  <c r="E806" i="1"/>
  <c r="E804" i="1"/>
  <c r="E802" i="1"/>
  <c r="E796" i="1"/>
  <c r="E794" i="1"/>
  <c r="E792" i="1"/>
  <c r="E790" i="1"/>
  <c r="E788" i="1"/>
  <c r="E786" i="1"/>
  <c r="E784" i="1"/>
  <c r="E782" i="1"/>
  <c r="E780" i="1"/>
  <c r="E774" i="1"/>
  <c r="E772" i="1"/>
  <c r="E770" i="1"/>
  <c r="E768" i="1"/>
  <c r="E766" i="1"/>
  <c r="E764" i="1"/>
  <c r="E762" i="1"/>
  <c r="E760" i="1"/>
  <c r="E758" i="1"/>
  <c r="E756" i="1"/>
  <c r="E754" i="1"/>
  <c r="E752" i="1"/>
  <c r="E748" i="1"/>
  <c r="E746" i="1"/>
  <c r="E744" i="1"/>
  <c r="E742" i="1"/>
  <c r="E740" i="1"/>
  <c r="E738" i="1"/>
  <c r="E736" i="1"/>
  <c r="E734" i="1"/>
  <c r="E732" i="1"/>
  <c r="E726" i="1"/>
  <c r="E722" i="1"/>
  <c r="E720" i="1"/>
  <c r="E716" i="1"/>
  <c r="E712" i="1"/>
  <c r="E710" i="1"/>
  <c r="E708" i="1"/>
  <c r="E706" i="1"/>
  <c r="E704" i="1"/>
  <c r="E702" i="1"/>
  <c r="E700" i="1"/>
  <c r="E698" i="1"/>
  <c r="E696" i="1"/>
  <c r="E694" i="1"/>
  <c r="E692" i="1"/>
  <c r="E690" i="1"/>
  <c r="E684" i="1"/>
  <c r="E682" i="1"/>
  <c r="E680" i="1"/>
  <c r="E678" i="1"/>
  <c r="E676" i="1"/>
  <c r="E674" i="1"/>
  <c r="E670" i="1"/>
  <c r="E666" i="1"/>
  <c r="E664" i="1"/>
  <c r="E662" i="1"/>
  <c r="E660" i="1"/>
  <c r="E658" i="1"/>
  <c r="E654" i="1"/>
  <c r="E652" i="1"/>
  <c r="E650" i="1"/>
  <c r="E648" i="1"/>
  <c r="E646" i="1"/>
  <c r="E644" i="1"/>
  <c r="E642" i="1"/>
  <c r="E640" i="1"/>
  <c r="E638" i="1"/>
  <c r="E636" i="1"/>
  <c r="E634" i="1"/>
  <c r="E628" i="1"/>
  <c r="E626" i="1"/>
  <c r="E624" i="1"/>
  <c r="E620" i="1"/>
  <c r="E618" i="1"/>
  <c r="E616" i="1"/>
  <c r="E614" i="1"/>
  <c r="E612" i="1"/>
  <c r="E608" i="1"/>
  <c r="E606" i="1"/>
  <c r="E604" i="1"/>
  <c r="E602" i="1"/>
  <c r="E600" i="1"/>
  <c r="E598" i="1"/>
  <c r="E596" i="1"/>
  <c r="E594" i="1"/>
  <c r="E592" i="1"/>
  <c r="E590" i="1"/>
  <c r="E588" i="1"/>
  <c r="E586" i="1"/>
  <c r="E584" i="1"/>
  <c r="E582" i="1"/>
  <c r="E580" i="1"/>
  <c r="E578" i="1"/>
  <c r="E576" i="1"/>
  <c r="E574" i="1"/>
  <c r="E572" i="1"/>
  <c r="E570" i="1"/>
  <c r="E568" i="1"/>
  <c r="E566" i="1"/>
  <c r="E564" i="1"/>
  <c r="E560" i="1"/>
  <c r="E558" i="1"/>
  <c r="E556" i="1"/>
  <c r="E554" i="1"/>
  <c r="E552" i="1"/>
  <c r="E550" i="1"/>
  <c r="E548" i="1"/>
  <c r="E546" i="1"/>
  <c r="E544" i="1"/>
  <c r="E542" i="1"/>
  <c r="E540" i="1"/>
  <c r="E538" i="1"/>
  <c r="E536" i="1"/>
  <c r="E534" i="1"/>
  <c r="E532" i="1"/>
  <c r="E530" i="1"/>
  <c r="E528" i="1"/>
  <c r="E524" i="1"/>
  <c r="E522" i="1"/>
  <c r="E520" i="1"/>
  <c r="E518" i="1"/>
  <c r="E516" i="1"/>
  <c r="E514" i="1"/>
  <c r="E512" i="1"/>
  <c r="E510" i="1"/>
  <c r="E508" i="1"/>
  <c r="E506" i="1"/>
  <c r="E504" i="1"/>
  <c r="E502" i="1"/>
  <c r="E500" i="1"/>
  <c r="E498" i="1"/>
  <c r="E496" i="1"/>
  <c r="E494" i="1"/>
  <c r="E492" i="1"/>
  <c r="E490" i="1"/>
  <c r="E486" i="1"/>
  <c r="E484" i="1"/>
  <c r="E482" i="1"/>
  <c r="E480" i="1"/>
  <c r="E478" i="1"/>
  <c r="E476" i="1"/>
  <c r="E474" i="1"/>
  <c r="E472" i="1"/>
  <c r="E466" i="1"/>
  <c r="E464" i="1"/>
  <c r="E462" i="1"/>
  <c r="E458" i="1"/>
  <c r="E456" i="1"/>
  <c r="E454" i="1"/>
  <c r="E452" i="1"/>
  <c r="E450" i="1"/>
  <c r="E448" i="1"/>
  <c r="E446" i="1"/>
  <c r="E444" i="1"/>
  <c r="E442" i="1"/>
  <c r="E438" i="1"/>
  <c r="E436" i="1"/>
  <c r="E434" i="1"/>
  <c r="E432" i="1"/>
  <c r="E430" i="1"/>
  <c r="E428" i="1"/>
  <c r="E424" i="1"/>
  <c r="E422" i="1"/>
  <c r="E420" i="1"/>
  <c r="E418" i="1"/>
  <c r="E416" i="1"/>
  <c r="E414" i="1"/>
  <c r="E412" i="1"/>
  <c r="E410" i="1"/>
  <c r="E408" i="1"/>
  <c r="E406" i="1"/>
  <c r="E404" i="1"/>
  <c r="E400" i="1"/>
  <c r="E398" i="1"/>
  <c r="E396" i="1"/>
  <c r="E394" i="1"/>
  <c r="E392" i="1"/>
  <c r="E390" i="1"/>
  <c r="E386" i="1"/>
  <c r="E384" i="1"/>
  <c r="E382" i="1"/>
  <c r="E380" i="1"/>
  <c r="E378" i="1"/>
  <c r="E376" i="1"/>
  <c r="E374" i="1"/>
  <c r="E372" i="1"/>
  <c r="E370" i="1"/>
  <c r="E368" i="1"/>
  <c r="E366" i="1"/>
  <c r="E364" i="1"/>
  <c r="E362" i="1"/>
  <c r="E360" i="1"/>
  <c r="E358" i="1"/>
  <c r="E356" i="1"/>
  <c r="E354" i="1"/>
  <c r="E352" i="1"/>
  <c r="E350" i="1"/>
  <c r="E348" i="1"/>
  <c r="E346" i="1"/>
  <c r="E344" i="1"/>
  <c r="E340" i="1"/>
  <c r="E338" i="1"/>
  <c r="E336" i="1"/>
  <c r="E334" i="1"/>
  <c r="E330" i="1"/>
  <c r="E328" i="1"/>
  <c r="E326" i="1"/>
  <c r="E324" i="1"/>
  <c r="E322" i="1"/>
  <c r="E320" i="1"/>
  <c r="E318" i="1"/>
  <c r="E316" i="1"/>
  <c r="E314" i="1"/>
  <c r="E312" i="1"/>
  <c r="E310" i="1"/>
  <c r="E308" i="1"/>
  <c r="E306" i="1"/>
  <c r="E304" i="1"/>
  <c r="E302" i="1"/>
  <c r="E298" i="1"/>
  <c r="E296" i="1"/>
  <c r="E294" i="1"/>
  <c r="E290" i="1"/>
  <c r="E288" i="1"/>
  <c r="E286" i="1"/>
  <c r="E284" i="1"/>
  <c r="E282" i="1"/>
  <c r="E280" i="1"/>
  <c r="E278" i="1"/>
  <c r="E276" i="1"/>
  <c r="E274" i="1"/>
  <c r="E272" i="1"/>
  <c r="E270" i="1"/>
  <c r="E268" i="1"/>
  <c r="E266" i="1"/>
  <c r="E262" i="1"/>
  <c r="E260" i="1"/>
  <c r="E258" i="1"/>
  <c r="E256" i="1"/>
  <c r="E254" i="1"/>
  <c r="E252" i="1"/>
  <c r="E250" i="1"/>
  <c r="E248" i="1"/>
  <c r="E246" i="1"/>
  <c r="E242" i="1"/>
  <c r="E240" i="1"/>
  <c r="E238" i="1"/>
  <c r="E236" i="1"/>
  <c r="E234" i="1"/>
  <c r="E232" i="1"/>
  <c r="E230" i="1"/>
  <c r="E228" i="1"/>
  <c r="E226" i="1"/>
  <c r="E224" i="1"/>
  <c r="E222" i="1"/>
  <c r="E220" i="1"/>
  <c r="E218" i="1"/>
  <c r="E216" i="1"/>
  <c r="E214" i="1"/>
  <c r="E212" i="1"/>
  <c r="E210" i="1"/>
  <c r="E208" i="1"/>
  <c r="E206" i="1"/>
  <c r="E204" i="1"/>
  <c r="E202" i="1"/>
  <c r="E200" i="1"/>
  <c r="E198" i="1"/>
  <c r="E196" i="1"/>
  <c r="E194" i="1"/>
  <c r="E192" i="1"/>
  <c r="E190" i="1"/>
  <c r="E188" i="1"/>
  <c r="E186" i="1"/>
  <c r="E184" i="1"/>
  <c r="E182" i="1"/>
  <c r="E180" i="1"/>
  <c r="E178" i="1"/>
  <c r="E176" i="1"/>
  <c r="E174" i="1"/>
  <c r="E172" i="1"/>
  <c r="E170" i="1"/>
  <c r="E168" i="1"/>
  <c r="E166" i="1"/>
  <c r="E164" i="1"/>
  <c r="E162" i="1"/>
  <c r="E160" i="1"/>
  <c r="E158" i="1"/>
  <c r="E156" i="1"/>
  <c r="E154" i="1"/>
  <c r="E152" i="1"/>
  <c r="E150" i="1"/>
  <c r="E148" i="1"/>
  <c r="E146" i="1"/>
  <c r="E144" i="1"/>
  <c r="E142" i="1"/>
  <c r="E140" i="1"/>
  <c r="E138" i="1"/>
  <c r="E136" i="1"/>
  <c r="E134" i="1"/>
  <c r="E132" i="1"/>
  <c r="E130" i="1"/>
  <c r="E128" i="1"/>
  <c r="E126" i="1"/>
  <c r="E124" i="1"/>
  <c r="E122" i="1"/>
  <c r="E120" i="1"/>
  <c r="E118" i="1"/>
  <c r="E116" i="1"/>
  <c r="E114" i="1"/>
  <c r="E112" i="1"/>
  <c r="E110" i="1"/>
  <c r="E8" i="1"/>
  <c r="E12" i="1"/>
  <c r="E14" i="1"/>
  <c r="E16" i="1"/>
  <c r="E18" i="1"/>
  <c r="E20" i="1"/>
  <c r="E22" i="1"/>
  <c r="E30" i="1"/>
  <c r="E32" i="1"/>
  <c r="E34" i="1"/>
  <c r="E36" i="1"/>
  <c r="E38" i="1"/>
  <c r="E42" i="1"/>
  <c r="E44" i="1"/>
  <c r="E46" i="1"/>
  <c r="E48" i="1"/>
  <c r="E50" i="1"/>
  <c r="E52" i="1"/>
  <c r="E54" i="1"/>
  <c r="E56" i="1"/>
  <c r="E58" i="1"/>
  <c r="E60" i="1"/>
  <c r="E62" i="1"/>
  <c r="E64" i="1"/>
  <c r="E66" i="1"/>
  <c r="E68" i="1"/>
  <c r="E70" i="1"/>
  <c r="E72" i="1"/>
  <c r="E74" i="1"/>
  <c r="E76" i="1"/>
  <c r="E78" i="1"/>
  <c r="E80" i="1"/>
  <c r="E82" i="1"/>
  <c r="E84" i="1"/>
  <c r="E86" i="1"/>
  <c r="E88" i="1"/>
  <c r="E90" i="1"/>
  <c r="E92" i="1"/>
  <c r="E94" i="1"/>
  <c r="E96" i="1"/>
  <c r="E98" i="1"/>
  <c r="E100" i="1"/>
  <c r="E102" i="1"/>
  <c r="E104" i="1"/>
  <c r="E106" i="1"/>
  <c r="E108" i="1"/>
  <c r="E111" i="1"/>
  <c r="E115" i="1"/>
  <c r="E119" i="1"/>
  <c r="E3" i="1"/>
  <c r="E5" i="1"/>
  <c r="E7" i="1"/>
  <c r="E9" i="1"/>
  <c r="E11" i="1"/>
  <c r="E13" i="1"/>
  <c r="E15" i="1"/>
  <c r="E17" i="1"/>
  <c r="E19" i="1"/>
  <c r="E21" i="1"/>
  <c r="E23" i="1"/>
  <c r="E31" i="1"/>
  <c r="E33" i="1"/>
  <c r="E35" i="1"/>
  <c r="E37" i="1"/>
  <c r="E39" i="1"/>
  <c r="E41" i="1"/>
  <c r="E43" i="1"/>
  <c r="E45" i="1"/>
  <c r="E47" i="1"/>
  <c r="E49" i="1"/>
  <c r="E51" i="1"/>
  <c r="E53" i="1"/>
  <c r="E55" i="1"/>
  <c r="E57" i="1"/>
  <c r="E59" i="1"/>
  <c r="E61" i="1"/>
  <c r="E63" i="1"/>
  <c r="E65" i="1"/>
  <c r="E67" i="1"/>
  <c r="E69" i="1"/>
  <c r="E71" i="1"/>
  <c r="E73" i="1"/>
  <c r="E75" i="1"/>
  <c r="E77" i="1"/>
  <c r="E79" i="1"/>
  <c r="E81" i="1"/>
  <c r="E83" i="1"/>
  <c r="E85" i="1"/>
  <c r="E87" i="1"/>
  <c r="E89" i="1"/>
  <c r="E91" i="1"/>
  <c r="E93" i="1"/>
  <c r="E95" i="1"/>
  <c r="E97" i="1"/>
  <c r="E99" i="1"/>
  <c r="E101" i="1"/>
  <c r="E103" i="1"/>
  <c r="E105" i="1"/>
  <c r="E107" i="1"/>
  <c r="E109" i="1"/>
  <c r="E113" i="1"/>
  <c r="E117" i="1"/>
  <c r="E121" i="1"/>
  <c r="AE1603" i="1"/>
  <c r="AE1552" i="1"/>
  <c r="AE1149" i="1"/>
  <c r="AE1111" i="1"/>
  <c r="AE569" i="1"/>
  <c r="AE654" i="1"/>
  <c r="AE588" i="1"/>
  <c r="AE553" i="1"/>
  <c r="AE545" i="1"/>
  <c r="AE467" i="1"/>
  <c r="AE2188" i="1"/>
  <c r="AE1414" i="1"/>
  <c r="AE557" i="1"/>
  <c r="AE803" i="1"/>
  <c r="AE1237" i="1"/>
  <c r="AE711" i="1"/>
  <c r="AE633" i="1"/>
  <c r="AE431" i="1"/>
  <c r="AE271" i="1"/>
  <c r="AE1760" i="1"/>
  <c r="AE1540" i="1"/>
  <c r="AE1412" i="1"/>
  <c r="AE841" i="1"/>
  <c r="AE825" i="1"/>
  <c r="AE774" i="1"/>
  <c r="AE708" i="1"/>
  <c r="AE627" i="1"/>
  <c r="AE438" i="1"/>
  <c r="AE114" i="1"/>
  <c r="AE90" i="1"/>
  <c r="AE1844" i="1"/>
  <c r="AE1700" i="1"/>
  <c r="AE1659" i="1"/>
  <c r="AE1608" i="1"/>
  <c r="AE1486" i="1"/>
  <c r="AE1426" i="1"/>
  <c r="AE1238" i="1"/>
  <c r="AE1220" i="1"/>
  <c r="AE950" i="1"/>
  <c r="AE831" i="1"/>
  <c r="AE748" i="1"/>
  <c r="AE634" i="1"/>
  <c r="AE601" i="1"/>
  <c r="AE574" i="1"/>
  <c r="AE523" i="1"/>
  <c r="AE127" i="1"/>
  <c r="AE1712" i="1"/>
  <c r="AE1673" i="1"/>
  <c r="AE1615" i="1"/>
  <c r="AE1597" i="1"/>
  <c r="AE1399" i="1"/>
  <c r="AE491" i="1"/>
  <c r="AE77" i="1"/>
  <c r="AE1756" i="1"/>
  <c r="AE1604" i="1"/>
  <c r="AE1379" i="1"/>
  <c r="AE1309" i="1"/>
  <c r="AE609" i="1"/>
  <c r="AE586" i="1"/>
  <c r="AE389" i="1"/>
  <c r="AE357" i="1"/>
  <c r="AE2422" i="1"/>
  <c r="AE1405" i="1"/>
  <c r="AE1877" i="1"/>
  <c r="AE1766" i="1"/>
  <c r="AE1520" i="1"/>
  <c r="AE1482" i="1"/>
  <c r="AE1470" i="1"/>
  <c r="AE1578" i="1"/>
  <c r="AE1546" i="1"/>
  <c r="AE1403" i="1"/>
  <c r="AE1303" i="1"/>
  <c r="AE1244" i="1"/>
  <c r="AE1226" i="1"/>
  <c r="AE1606" i="1"/>
  <c r="AE1366" i="1"/>
  <c r="AE1408" i="1"/>
  <c r="AE1356" i="1"/>
  <c r="AE1703" i="1"/>
  <c r="AE1678" i="1"/>
  <c r="AE1401" i="1"/>
  <c r="AE1142" i="1"/>
  <c r="AE1065" i="1"/>
  <c r="AE68" i="1"/>
  <c r="AE29" i="1"/>
  <c r="AE1875" i="1"/>
  <c r="AE1512" i="1"/>
  <c r="AE1497" i="1"/>
  <c r="AE1069" i="1"/>
  <c r="AE1715" i="1"/>
  <c r="AE1675" i="1"/>
  <c r="AE1583" i="1"/>
  <c r="AE1556" i="1"/>
  <c r="AE1503" i="1"/>
  <c r="AE1496" i="1"/>
  <c r="AE1475" i="1"/>
  <c r="AE1437" i="1"/>
  <c r="AE1391" i="1"/>
  <c r="AE1351" i="1"/>
  <c r="AE1318" i="1"/>
  <c r="AE1299" i="1"/>
  <c r="AE1295" i="1"/>
  <c r="AE1200" i="1"/>
  <c r="AE1189" i="1"/>
  <c r="AE1144" i="1"/>
  <c r="AE1085" i="1"/>
  <c r="AE1080" i="1"/>
  <c r="AE1042" i="1"/>
  <c r="AE119" i="1"/>
  <c r="AE85" i="1"/>
  <c r="AE2008" i="1"/>
  <c r="AE1945" i="1"/>
  <c r="AE1667" i="1"/>
  <c r="AE1826" i="1"/>
  <c r="AE1738" i="1"/>
  <c r="AE486" i="1"/>
  <c r="AE1033" i="1"/>
  <c r="AE411" i="1"/>
  <c r="AE2439" i="1"/>
  <c r="AE1397" i="1"/>
  <c r="AE1383" i="1"/>
  <c r="AE1257" i="1"/>
  <c r="AE870" i="1"/>
  <c r="AE863" i="1"/>
  <c r="AE701" i="1"/>
  <c r="AE320" i="1"/>
  <c r="AE592" i="1"/>
  <c r="AE1518" i="1"/>
  <c r="AE1504" i="1"/>
  <c r="AE893" i="1"/>
  <c r="AE1193" i="1"/>
  <c r="AE869" i="1"/>
  <c r="AE676" i="1"/>
  <c r="AE597" i="1"/>
  <c r="AE1328" i="1"/>
  <c r="AE1683" i="1"/>
  <c r="AE1649" i="1"/>
  <c r="AE1507" i="1"/>
  <c r="AE1323" i="1"/>
  <c r="AE1218" i="1"/>
  <c r="AE1212" i="1"/>
  <c r="AE1209" i="1"/>
  <c r="AE1204" i="1"/>
  <c r="AE1159" i="1"/>
  <c r="AE1102" i="1"/>
  <c r="AE1095" i="1"/>
  <c r="AE1013" i="1"/>
  <c r="AE834" i="1"/>
  <c r="AE779" i="1"/>
  <c r="AE648" i="1"/>
  <c r="AE555" i="1"/>
  <c r="AE451" i="1"/>
  <c r="AE401" i="1"/>
  <c r="AE1513" i="1"/>
  <c r="AE1369" i="1"/>
  <c r="AE1243" i="1"/>
  <c r="AE470" i="1"/>
  <c r="AE450" i="1"/>
  <c r="AE82" i="1"/>
  <c r="AE66" i="1"/>
  <c r="AE1811" i="1"/>
  <c r="AE55" i="1"/>
  <c r="AE461" i="1"/>
  <c r="AE201" i="1"/>
  <c r="AE108" i="1"/>
  <c r="AE1775" i="1"/>
  <c r="AE1739" i="1"/>
  <c r="AE1718" i="1"/>
  <c r="AE1567" i="1"/>
  <c r="AE1476" i="1"/>
  <c r="AE1466" i="1"/>
  <c r="AE1448" i="1"/>
  <c r="AE1430" i="1"/>
  <c r="AE1131" i="1"/>
  <c r="AE837" i="1"/>
  <c r="AE809" i="1"/>
  <c r="AE391" i="1"/>
  <c r="AE1872" i="1"/>
  <c r="AE1829" i="1"/>
  <c r="AE1784" i="1"/>
  <c r="AE1652" i="1"/>
  <c r="AE1587" i="1"/>
  <c r="AE1544" i="1"/>
  <c r="AE1436" i="1"/>
  <c r="AE1153" i="1"/>
  <c r="AE1118" i="1"/>
  <c r="AE1068" i="1"/>
  <c r="AE1003" i="1"/>
  <c r="AE848" i="1"/>
  <c r="AE800" i="1"/>
  <c r="AE667" i="1"/>
  <c r="AE399" i="1"/>
  <c r="AE338" i="1"/>
  <c r="AE2205" i="1"/>
  <c r="AE921" i="1"/>
  <c r="AE220" i="1"/>
  <c r="AE93" i="1"/>
  <c r="AE54" i="1"/>
  <c r="AE2014" i="1"/>
  <c r="AE1747" i="1"/>
  <c r="AE1657" i="1"/>
  <c r="AE1637" i="1"/>
  <c r="AE1588" i="1"/>
  <c r="AE1562" i="1"/>
  <c r="AE1551" i="1"/>
  <c r="AE1530" i="1"/>
  <c r="AE1487" i="1"/>
  <c r="AE1468" i="1"/>
  <c r="AE1413" i="1"/>
  <c r="AE1268" i="1"/>
  <c r="AE942" i="1"/>
  <c r="AE937" i="1"/>
  <c r="AE695" i="1"/>
  <c r="AE649" i="1"/>
  <c r="AE488" i="1"/>
  <c r="AE113" i="1"/>
  <c r="AE1931" i="1"/>
  <c r="AE1825" i="1"/>
  <c r="AE1773" i="1"/>
  <c r="AE1732" i="1"/>
  <c r="AE1647" i="1"/>
  <c r="AE1618" i="1"/>
  <c r="AE1605" i="1"/>
  <c r="AE1581" i="1"/>
  <c r="AE1566" i="1"/>
  <c r="AE1548" i="1"/>
  <c r="AE1526" i="1"/>
  <c r="AE1516" i="1"/>
  <c r="AE1502" i="1"/>
  <c r="AE1474" i="1"/>
  <c r="AE1434" i="1"/>
  <c r="AE1395" i="1"/>
  <c r="AE1280" i="1"/>
  <c r="AE1233" i="1"/>
  <c r="AE1203" i="1"/>
  <c r="AE1191" i="1"/>
  <c r="AE1137" i="1"/>
  <c r="AE890" i="1"/>
  <c r="AE847" i="1"/>
  <c r="AE739" i="1"/>
  <c r="AE410" i="1"/>
  <c r="AE398" i="1"/>
  <c r="AE44" i="1"/>
  <c r="AE2006" i="1"/>
  <c r="AE1691" i="1"/>
  <c r="AE1643" i="1"/>
  <c r="AE1201" i="1"/>
  <c r="AE938" i="1"/>
  <c r="AE934" i="1"/>
  <c r="AE887" i="1"/>
  <c r="AE743" i="1"/>
  <c r="AE690" i="1"/>
  <c r="AE51" i="1"/>
  <c r="AE28" i="1"/>
  <c r="AE935" i="1"/>
  <c r="AE546" i="1"/>
  <c r="AE742" i="1"/>
  <c r="AE1699" i="1"/>
  <c r="AE1682" i="1"/>
  <c r="AE1642" i="1"/>
  <c r="AE1626" i="1"/>
  <c r="AE1428" i="1"/>
  <c r="AE1398" i="1"/>
  <c r="AE1370" i="1"/>
  <c r="AE1329" i="1"/>
  <c r="AE1310" i="1"/>
  <c r="AE1240" i="1"/>
  <c r="AE1221" i="1"/>
  <c r="AE1208" i="1"/>
  <c r="AE1205" i="1"/>
  <c r="AE1199" i="1"/>
  <c r="AE1803" i="1"/>
  <c r="AE1794" i="1"/>
  <c r="AE1389" i="1"/>
  <c r="AE1273" i="1"/>
  <c r="AE1258" i="1"/>
  <c r="AE1171" i="1"/>
  <c r="AE1799" i="1"/>
  <c r="AE1789" i="1"/>
  <c r="AE1759" i="1"/>
  <c r="AE1695" i="1"/>
  <c r="AE1674" i="1"/>
  <c r="AE1665" i="1"/>
  <c r="AE1646" i="1"/>
  <c r="AE1630" i="1"/>
  <c r="AE1559" i="1"/>
  <c r="AE1554" i="1"/>
  <c r="AE1549" i="1"/>
  <c r="AE1485" i="1"/>
  <c r="AE1425" i="1"/>
  <c r="AE1402" i="1"/>
  <c r="AE1394" i="1"/>
  <c r="AE1380" i="1"/>
  <c r="AE1365" i="1"/>
  <c r="AE1332" i="1"/>
  <c r="AE1311" i="1"/>
  <c r="AE1246" i="1"/>
  <c r="AE1225" i="1"/>
  <c r="AE1217" i="1"/>
  <c r="AE1207" i="1"/>
  <c r="AE1202" i="1"/>
  <c r="AE1192" i="1"/>
  <c r="AE1178" i="1"/>
  <c r="Y1270" i="1"/>
  <c r="AE1270" i="1"/>
  <c r="AE455" i="1"/>
  <c r="AE623" i="1"/>
  <c r="AE613" i="1"/>
  <c r="AE1848" i="1"/>
  <c r="AE1706" i="1"/>
  <c r="AE1686" i="1"/>
  <c r="AE1392" i="1"/>
  <c r="AE1316" i="1"/>
  <c r="AE1180" i="1"/>
  <c r="AE1154" i="1"/>
  <c r="AE1147" i="1"/>
  <c r="AE1135" i="1"/>
  <c r="AE1082" i="1"/>
  <c r="AE927" i="1"/>
  <c r="AE807" i="1"/>
  <c r="AE763" i="1"/>
  <c r="AE724" i="1"/>
  <c r="AE722" i="1"/>
  <c r="AE706" i="1"/>
  <c r="AE362" i="1"/>
  <c r="AE1480" i="1"/>
  <c r="AE1429" i="1"/>
  <c r="AE406" i="1"/>
  <c r="AE358" i="1"/>
  <c r="AE1645" i="1"/>
  <c r="AE1601" i="1"/>
  <c r="AE1424" i="1"/>
  <c r="AE1993" i="1"/>
  <c r="AE1707" i="1"/>
  <c r="AE1087" i="1"/>
  <c r="AE727" i="1"/>
  <c r="AE723" i="1"/>
  <c r="AE713" i="1"/>
  <c r="AE318" i="1"/>
  <c r="AE616" i="1"/>
  <c r="AE595" i="1"/>
  <c r="AE2270" i="1"/>
  <c r="AE1671" i="1"/>
  <c r="AE1537" i="1"/>
  <c r="AE456" i="1"/>
  <c r="AE419" i="1"/>
  <c r="AE1967" i="1"/>
  <c r="AE1958" i="1"/>
  <c r="AE1928" i="1"/>
  <c r="AE1893" i="1"/>
  <c r="AE1741" i="1"/>
  <c r="AE1616" i="1"/>
  <c r="AE1584" i="1"/>
  <c r="AE1555" i="1"/>
  <c r="AE1409" i="1"/>
  <c r="AE1298" i="1"/>
  <c r="AE1253" i="1"/>
  <c r="AE1216" i="1"/>
  <c r="AE1158" i="1"/>
  <c r="AE1109" i="1"/>
  <c r="AE1098" i="1"/>
  <c r="AE1084" i="1"/>
  <c r="AE1022" i="1"/>
  <c r="AE926" i="1"/>
  <c r="AE872" i="1"/>
  <c r="AE845" i="1"/>
  <c r="AE780" i="1"/>
  <c r="AE736" i="1"/>
  <c r="AE689" i="1"/>
  <c r="AE682" i="1"/>
  <c r="AE679" i="1"/>
  <c r="AE663" i="1"/>
  <c r="AE661" i="1"/>
  <c r="AE604" i="1"/>
  <c r="AE551" i="1"/>
  <c r="AE489" i="1"/>
  <c r="AE415" i="1"/>
  <c r="AE279" i="1"/>
  <c r="AE225" i="1"/>
  <c r="AE505" i="1"/>
  <c r="AE423" i="1"/>
  <c r="AE293" i="1"/>
  <c r="AE169" i="1"/>
  <c r="AE2300" i="1"/>
  <c r="AE2166" i="1"/>
  <c r="AE2039" i="1"/>
  <c r="AE1857" i="1"/>
  <c r="AE1744" i="1"/>
  <c r="AE1694" i="1"/>
  <c r="AE1638" i="1"/>
  <c r="AE1561" i="1"/>
  <c r="AE1553" i="1"/>
  <c r="AE1534" i="1"/>
  <c r="AE1411" i="1"/>
  <c r="AE1404" i="1"/>
  <c r="AE1249" i="1"/>
  <c r="AE1195" i="1"/>
  <c r="AE1187" i="1"/>
  <c r="AE1165" i="1"/>
  <c r="AE1160" i="1"/>
  <c r="AE1148" i="1"/>
  <c r="AE1121" i="1"/>
  <c r="AE846" i="1"/>
  <c r="AE844" i="1"/>
  <c r="AE792" i="1"/>
  <c r="AE698" i="1"/>
  <c r="AE683" i="1"/>
  <c r="AE666" i="1"/>
  <c r="AE662" i="1"/>
  <c r="AE605" i="1"/>
  <c r="AE2261" i="1"/>
  <c r="AE2409" i="1"/>
  <c r="AE1469" i="1"/>
  <c r="AE2152" i="1"/>
  <c r="AE1984" i="1"/>
  <c r="AE1563" i="1"/>
  <c r="AE1533" i="1"/>
  <c r="AE1382" i="1"/>
  <c r="AE1327" i="1"/>
  <c r="AE1255" i="1"/>
  <c r="AE1169" i="1"/>
  <c r="AE1122" i="1"/>
  <c r="AE1099" i="1"/>
  <c r="AE811" i="1"/>
  <c r="AE187" i="1"/>
  <c r="AE1737" i="1"/>
  <c r="AE1350" i="1"/>
  <c r="AE427" i="1"/>
  <c r="AE353" i="1"/>
  <c r="AE1939" i="1"/>
  <c r="AE1937" i="1"/>
  <c r="AE1935" i="1"/>
  <c r="AE1917" i="1"/>
  <c r="AE1903" i="1"/>
  <c r="AE1670" i="1"/>
  <c r="AE1634" i="1"/>
  <c r="AE1479" i="1"/>
  <c r="AE1357" i="1"/>
  <c r="AE1282" i="1"/>
  <c r="AE1227" i="1"/>
  <c r="AE1163" i="1"/>
  <c r="AE878" i="1"/>
  <c r="AE735" i="1"/>
  <c r="AE641" i="1"/>
  <c r="AE550" i="1"/>
  <c r="AE484" i="1"/>
  <c r="AE1972" i="1"/>
  <c r="AE2048" i="1"/>
  <c r="AE1999" i="1"/>
  <c r="AE1961" i="1"/>
  <c r="AE1926" i="1"/>
  <c r="AE1908" i="1"/>
  <c r="AE1891" i="1"/>
  <c r="AE1733" i="1"/>
  <c r="AE1558" i="1"/>
  <c r="AE1543" i="1"/>
  <c r="AE1368" i="1"/>
  <c r="AE1296" i="1"/>
  <c r="AE1254" i="1"/>
  <c r="AE1219" i="1"/>
  <c r="AE1194" i="1"/>
  <c r="AE1152" i="1"/>
  <c r="AE972" i="1"/>
  <c r="AE874" i="1"/>
  <c r="AE700" i="1"/>
  <c r="AE645" i="1"/>
  <c r="AE413" i="1"/>
  <c r="AE366" i="1"/>
  <c r="AE1231" i="1"/>
  <c r="AE1228" i="1"/>
  <c r="AE1150" i="1"/>
  <c r="AE642" i="1"/>
  <c r="AE110" i="1"/>
  <c r="AE1196" i="1"/>
  <c r="AE2186" i="1"/>
  <c r="AE2134" i="1"/>
  <c r="AE2121" i="1"/>
  <c r="AE2089" i="1"/>
  <c r="AE2079" i="1"/>
  <c r="AE2055" i="1"/>
  <c r="AE2038" i="1"/>
  <c r="AE2033" i="1"/>
  <c r="AE2029" i="1"/>
  <c r="AE2023" i="1"/>
  <c r="AE1938" i="1"/>
  <c r="AE1911" i="1"/>
  <c r="AE1895" i="1"/>
  <c r="AE1874" i="1"/>
  <c r="AE1867" i="1"/>
  <c r="AE1831" i="1"/>
  <c r="AE1813" i="1"/>
  <c r="AE1783" i="1"/>
  <c r="AE1764" i="1"/>
  <c r="AE1754" i="1"/>
  <c r="AE1701" i="1"/>
  <c r="AE1684" i="1"/>
  <c r="AE1663" i="1"/>
  <c r="AE1628" i="1"/>
  <c r="AE1600" i="1"/>
  <c r="AE1492" i="1"/>
  <c r="AE1477" i="1"/>
  <c r="AE1449" i="1"/>
  <c r="AE1390" i="1"/>
  <c r="AE1213" i="1"/>
  <c r="AE1146" i="1"/>
  <c r="AE1090" i="1"/>
  <c r="AE462" i="1"/>
  <c r="AE388" i="1"/>
  <c r="AE374" i="1"/>
  <c r="AE2414" i="1"/>
  <c r="AE2445" i="1"/>
  <c r="AE1792" i="1"/>
  <c r="AE795" i="1"/>
  <c r="AE665" i="1"/>
  <c r="AE632" i="1"/>
  <c r="AE547" i="1"/>
  <c r="AE490" i="1"/>
  <c r="AE107" i="1"/>
  <c r="AE2429" i="1"/>
  <c r="AE2344" i="1"/>
  <c r="AE2337" i="1"/>
  <c r="AE2176" i="1"/>
  <c r="AE2019" i="1"/>
  <c r="AE2007" i="1"/>
  <c r="AE1960" i="1"/>
  <c r="AE1919" i="1"/>
  <c r="AE2130" i="1"/>
  <c r="AE2117" i="1"/>
  <c r="AE2113" i="1"/>
  <c r="AE2107" i="1"/>
  <c r="AE2101" i="1"/>
  <c r="AE2070" i="1"/>
  <c r="AE2051" i="1"/>
  <c r="AE2041" i="1"/>
  <c r="AE1545" i="1"/>
  <c r="AE280" i="1"/>
  <c r="AE235" i="1"/>
  <c r="AE136" i="1"/>
  <c r="AE120" i="1"/>
  <c r="AE221" i="1"/>
  <c r="AE2348" i="1"/>
  <c r="AE2126" i="1"/>
  <c r="AE1970" i="1"/>
  <c r="AE1834" i="1"/>
  <c r="AE1774" i="1"/>
  <c r="AE1565" i="1"/>
  <c r="AE1400" i="1"/>
  <c r="AE2218" i="1"/>
  <c r="AE2184" i="1"/>
  <c r="AE1982" i="1"/>
  <c r="AE1980" i="1"/>
  <c r="AE1976" i="1"/>
  <c r="AE1942" i="1"/>
  <c r="AE1941" i="1"/>
  <c r="AE1913" i="1"/>
  <c r="AE1851" i="1"/>
  <c r="AE1850" i="1"/>
  <c r="AE1810" i="1"/>
  <c r="AE1801" i="1"/>
  <c r="AE1719" i="1"/>
  <c r="AE1704" i="1"/>
  <c r="AE1690" i="1"/>
  <c r="AE1688" i="1"/>
  <c r="AE1687" i="1"/>
  <c r="AE1635" i="1"/>
  <c r="AE1632" i="1"/>
  <c r="AE1570" i="1"/>
  <c r="AE1525" i="1"/>
  <c r="AE1522" i="1"/>
  <c r="AE1521" i="1"/>
  <c r="AE1517" i="1"/>
  <c r="AE1509" i="1"/>
  <c r="AE1463" i="1"/>
  <c r="AE1462" i="1"/>
  <c r="AE1461" i="1"/>
  <c r="AE1455" i="1"/>
  <c r="AE1453" i="1"/>
  <c r="AE1441" i="1"/>
  <c r="AE1438" i="1"/>
  <c r="AE1421" i="1"/>
  <c r="AE1419" i="1"/>
  <c r="AE1418" i="1"/>
  <c r="AE1417" i="1"/>
  <c r="AE1373" i="1"/>
  <c r="AE1361" i="1"/>
  <c r="AE1359" i="1"/>
  <c r="AE1347" i="1"/>
  <c r="AE1343" i="1"/>
  <c r="AE1342" i="1"/>
  <c r="AE1341" i="1"/>
  <c r="AE1339" i="1"/>
  <c r="AE1338" i="1"/>
  <c r="AE1337" i="1"/>
  <c r="AE1333" i="1"/>
  <c r="AE1322" i="1"/>
  <c r="AE1319" i="1"/>
  <c r="AE1317" i="1"/>
  <c r="AE1312" i="1"/>
  <c r="AE1307" i="1"/>
  <c r="AE1306" i="1"/>
  <c r="AE1297" i="1"/>
  <c r="AE1290" i="1"/>
  <c r="AE1288" i="1"/>
  <c r="AE1283" i="1"/>
  <c r="AE1281" i="1"/>
  <c r="AE1274" i="1"/>
  <c r="AE1272" i="1"/>
  <c r="AE1271" i="1"/>
  <c r="AE1269" i="1"/>
  <c r="AE1267" i="1"/>
  <c r="AE1266" i="1"/>
  <c r="AE1265" i="1"/>
  <c r="AE1264" i="1"/>
  <c r="AE1263" i="1"/>
  <c r="AE1260" i="1"/>
  <c r="AE1256" i="1"/>
  <c r="AE1251" i="1"/>
  <c r="AE1250" i="1"/>
  <c r="AE1245" i="1"/>
  <c r="AE1242" i="1"/>
  <c r="AE1239" i="1"/>
  <c r="AE1236" i="1"/>
  <c r="AE1235" i="1"/>
  <c r="AE1234" i="1"/>
  <c r="AE1232" i="1"/>
  <c r="AE1214" i="1"/>
  <c r="AE1210" i="1"/>
  <c r="AE1190" i="1"/>
  <c r="AE1127" i="1"/>
  <c r="AE1057" i="1"/>
  <c r="AE1050" i="1"/>
  <c r="AE1049" i="1"/>
  <c r="AE1048" i="1"/>
  <c r="AE1046" i="1"/>
  <c r="AE1045" i="1"/>
  <c r="AE1044" i="1"/>
  <c r="AE1038" i="1"/>
  <c r="AE1037" i="1"/>
  <c r="AE1034" i="1"/>
  <c r="AE1028" i="1"/>
  <c r="AE1027" i="1"/>
  <c r="AE1024" i="1"/>
  <c r="AE1018" i="1"/>
  <c r="AE1007" i="1"/>
  <c r="AE1005" i="1"/>
  <c r="AE1004" i="1"/>
  <c r="AE1000" i="1"/>
  <c r="AE999" i="1"/>
  <c r="AE987" i="1"/>
  <c r="AE984" i="1"/>
  <c r="AE975" i="1"/>
  <c r="AE974" i="1"/>
  <c r="AE973" i="1"/>
  <c r="AE951" i="1"/>
  <c r="AE925" i="1"/>
  <c r="AE915" i="1"/>
  <c r="AE914" i="1"/>
  <c r="AE913" i="1"/>
  <c r="AE911" i="1"/>
  <c r="AE907" i="1"/>
  <c r="AE906" i="1"/>
  <c r="AE902" i="1"/>
  <c r="AE900" i="1"/>
  <c r="AE899" i="1"/>
  <c r="AE897" i="1"/>
  <c r="AE891" i="1"/>
  <c r="AE889" i="1"/>
  <c r="AE888" i="1"/>
  <c r="AE824" i="1"/>
  <c r="AE823" i="1"/>
  <c r="AE821" i="1"/>
  <c r="AE817" i="1"/>
  <c r="AE815" i="1"/>
  <c r="AE813" i="1"/>
  <c r="AE812" i="1"/>
  <c r="AE808" i="1"/>
  <c r="AE806" i="1"/>
  <c r="AE797" i="1"/>
  <c r="AE796" i="1"/>
  <c r="AE790" i="1"/>
  <c r="AE783" i="1"/>
  <c r="AE782" i="1"/>
  <c r="AE781" i="1"/>
  <c r="AE778" i="1"/>
  <c r="AE777" i="1"/>
  <c r="AE771" i="1"/>
  <c r="AE770" i="1"/>
  <c r="AE765" i="1"/>
  <c r="AE764" i="1"/>
  <c r="AE762" i="1"/>
  <c r="AE758" i="1"/>
  <c r="AE2259" i="1"/>
  <c r="AE750" i="1"/>
  <c r="AE749" i="1"/>
  <c r="AE658" i="1"/>
  <c r="AE543" i="1"/>
  <c r="AE541" i="1"/>
  <c r="AE540" i="1"/>
  <c r="AE534" i="1"/>
  <c r="AE530" i="1"/>
  <c r="AE529" i="1"/>
  <c r="AE528" i="1"/>
  <c r="AE526" i="1"/>
  <c r="AE524" i="1"/>
  <c r="AE518" i="1"/>
  <c r="AE516" i="1"/>
  <c r="AE509" i="1"/>
  <c r="AE507" i="1"/>
  <c r="AE506" i="1"/>
  <c r="AE504" i="1"/>
  <c r="AE503" i="1"/>
  <c r="AE500" i="1"/>
  <c r="AE498" i="1"/>
  <c r="AE493" i="1"/>
  <c r="AE477" i="1"/>
  <c r="AE476" i="1"/>
  <c r="AE475" i="1"/>
  <c r="AE473" i="1"/>
  <c r="AE471" i="1"/>
  <c r="AE465" i="1"/>
  <c r="AE403" i="1"/>
  <c r="AE402" i="1"/>
  <c r="AE395" i="1"/>
  <c r="AE393" i="1"/>
  <c r="AE387" i="1"/>
  <c r="AE343" i="1"/>
  <c r="AE385" i="1"/>
  <c r="AE332" i="1"/>
  <c r="AE384" i="1"/>
  <c r="AE383" i="1"/>
  <c r="AE382" i="1"/>
  <c r="AE381" i="1"/>
  <c r="AE377" i="1"/>
  <c r="AE376" i="1"/>
  <c r="AE370" i="1"/>
  <c r="AE368" i="1"/>
  <c r="AE355" i="1"/>
  <c r="AE352" i="1"/>
  <c r="AE349" i="1"/>
  <c r="AE337" i="1"/>
  <c r="AE314" i="1"/>
  <c r="AE307" i="1"/>
  <c r="AE297" i="1"/>
  <c r="AE295" i="1"/>
  <c r="AE269" i="1"/>
  <c r="AE260" i="1"/>
  <c r="AE256" i="1"/>
  <c r="AE252" i="1"/>
  <c r="AE247" i="1"/>
  <c r="AE228" i="1"/>
  <c r="AE227" i="1"/>
  <c r="AE226" i="1"/>
  <c r="AE219" i="1"/>
  <c r="AE214" i="1"/>
  <c r="AE213" i="1"/>
  <c r="AE211" i="1"/>
  <c r="AE210" i="1"/>
  <c r="AE205" i="1"/>
  <c r="AE202" i="1"/>
  <c r="AE197" i="1"/>
  <c r="AE194" i="1"/>
  <c r="AE191" i="1"/>
  <c r="AE190" i="1"/>
  <c r="AE189" i="1"/>
  <c r="AE186" i="1"/>
  <c r="AE184" i="1"/>
  <c r="AE181" i="1"/>
  <c r="AE177" i="1"/>
  <c r="AE176" i="1"/>
  <c r="AE172" i="1"/>
  <c r="AE170" i="1"/>
  <c r="AE167" i="1"/>
  <c r="AE166" i="1"/>
  <c r="AE164" i="1"/>
  <c r="AE162" i="1"/>
  <c r="AE160" i="1"/>
  <c r="AE159" i="1"/>
  <c r="AE156" i="1"/>
  <c r="AE152" i="1"/>
  <c r="AE154" i="1"/>
  <c r="AE149" i="1"/>
  <c r="AE148" i="1"/>
  <c r="AE146" i="1"/>
  <c r="AE139" i="1"/>
  <c r="AE135" i="1"/>
  <c r="AE134" i="1"/>
  <c r="AE132" i="1"/>
  <c r="Z2496" i="1"/>
  <c r="AE2430" i="1"/>
  <c r="AE2431" i="1"/>
  <c r="AE2434" i="1"/>
  <c r="AE2435" i="1"/>
  <c r="AE2438" i="1"/>
  <c r="AE2442" i="1"/>
  <c r="AE2446" i="1"/>
  <c r="AE2447" i="1"/>
  <c r="AE1305" i="1"/>
  <c r="AE1870" i="1"/>
  <c r="AE2034" i="1"/>
  <c r="AE2050" i="1"/>
  <c r="BC2496" i="1"/>
  <c r="CO2496" i="1"/>
  <c r="AE664" i="1"/>
  <c r="AE9" i="1"/>
  <c r="AE2266" i="1"/>
  <c r="AE2423" i="1"/>
  <c r="AE877" i="1"/>
  <c r="AE964" i="1"/>
  <c r="AE1569" i="1"/>
  <c r="AE2290" i="1"/>
  <c r="AE2281" i="1"/>
  <c r="AE2196" i="1"/>
  <c r="AE2172" i="1"/>
  <c r="AE2076" i="1"/>
  <c r="AE1996" i="1"/>
  <c r="AE1906" i="1"/>
  <c r="AE1904" i="1"/>
  <c r="AE1894" i="1"/>
  <c r="AE1866" i="1"/>
  <c r="AE1662" i="1"/>
  <c r="AE1595" i="1"/>
  <c r="AE1594" i="1"/>
  <c r="AE1542" i="1"/>
  <c r="AE1415" i="1"/>
  <c r="AE1241" i="1"/>
  <c r="AE1133" i="1"/>
  <c r="AE1132" i="1"/>
  <c r="AE1125" i="1"/>
  <c r="AE1059" i="1"/>
  <c r="AE1055" i="1"/>
  <c r="AE946" i="1"/>
  <c r="AE939" i="1"/>
  <c r="AE881" i="1"/>
  <c r="AE832" i="1"/>
  <c r="AE805" i="1"/>
  <c r="AE804" i="1"/>
  <c r="AE747" i="1"/>
  <c r="AE668" i="1"/>
  <c r="AE652" i="1"/>
  <c r="AE651" i="1"/>
  <c r="AE582" i="1"/>
  <c r="AE501" i="1"/>
  <c r="AE487" i="1"/>
  <c r="AE417" i="1"/>
  <c r="AE409" i="1"/>
  <c r="AE373" i="1"/>
  <c r="AE303" i="1"/>
  <c r="AE298" i="1"/>
  <c r="AE274" i="1"/>
  <c r="AE258" i="1"/>
  <c r="AE212" i="1"/>
  <c r="AE196" i="1"/>
  <c r="AE178" i="1"/>
  <c r="AE168" i="1"/>
  <c r="AE140" i="1"/>
  <c r="AE138" i="1"/>
  <c r="AE131" i="1"/>
  <c r="AE130" i="1"/>
  <c r="AE103" i="1"/>
  <c r="AE100" i="1"/>
  <c r="AE96" i="1"/>
  <c r="AE88" i="1"/>
  <c r="AE62" i="1"/>
  <c r="AE38" i="1"/>
  <c r="AE24" i="1"/>
  <c r="AE18" i="1"/>
  <c r="AE12" i="1"/>
  <c r="AE2269" i="1"/>
  <c r="AE2299" i="1"/>
  <c r="AE2199" i="1"/>
  <c r="AE2191" i="1"/>
  <c r="AE2417" i="1"/>
  <c r="AE583" i="1"/>
  <c r="AE2407" i="1"/>
  <c r="AE2443" i="1"/>
  <c r="AE2174" i="1"/>
  <c r="AE2156" i="1"/>
  <c r="AE1079" i="1"/>
  <c r="AE1054" i="1"/>
  <c r="AE1032" i="1"/>
  <c r="AE1012" i="1"/>
  <c r="AE1002" i="1"/>
  <c r="AE978" i="1"/>
  <c r="AE924" i="1"/>
  <c r="AE903" i="1"/>
  <c r="AE849" i="1"/>
  <c r="AE839" i="1"/>
  <c r="AE830" i="1"/>
  <c r="AE802" i="1"/>
  <c r="AE787" i="1"/>
  <c r="AE745" i="1"/>
  <c r="AE657" i="1"/>
  <c r="AE637" i="1"/>
  <c r="AE611" i="1"/>
  <c r="AE590" i="1"/>
  <c r="AE571" i="1"/>
  <c r="AE538" i="1"/>
  <c r="AE519" i="1"/>
  <c r="AE517" i="1"/>
  <c r="AE483" i="1"/>
  <c r="AE474" i="1"/>
  <c r="AE454" i="1"/>
  <c r="AE453" i="1"/>
  <c r="AE439" i="1"/>
  <c r="AE436" i="1"/>
  <c r="AE434" i="1"/>
  <c r="AE418" i="1"/>
  <c r="AE416" i="1"/>
  <c r="AE408" i="1"/>
  <c r="AE319" i="1"/>
  <c r="AE380" i="1"/>
  <c r="AE375" i="1"/>
  <c r="AE364" i="1"/>
  <c r="AE359" i="1"/>
  <c r="AE351" i="1"/>
  <c r="AE322" i="1"/>
  <c r="AE346" i="1"/>
  <c r="AE315" i="1"/>
  <c r="AE305" i="1"/>
  <c r="AE304" i="1"/>
  <c r="AE291" i="1"/>
  <c r="AE268" i="1"/>
  <c r="AE267" i="1"/>
  <c r="AE262" i="1"/>
  <c r="AE259" i="1"/>
  <c r="AE245" i="1"/>
  <c r="AE244" i="1"/>
  <c r="AE243" i="1"/>
  <c r="AE242" i="1"/>
  <c r="AE241" i="1"/>
  <c r="AE240" i="1"/>
  <c r="AE183" i="1"/>
  <c r="AE175" i="1"/>
  <c r="AE158" i="1"/>
  <c r="AE142" i="1"/>
  <c r="AE102" i="1"/>
  <c r="AE87" i="1"/>
  <c r="AE60" i="1"/>
  <c r="AE49" i="1"/>
  <c r="AE42" i="1"/>
  <c r="AE26" i="1"/>
  <c r="AE15" i="1"/>
  <c r="AB2496" i="1"/>
  <c r="AE7" i="1"/>
  <c r="AE2264" i="1"/>
  <c r="AE2274" i="1"/>
  <c r="AE2303" i="1"/>
  <c r="AE2204" i="1"/>
  <c r="AE2209" i="1"/>
  <c r="AE2296" i="1"/>
  <c r="AE1734" i="1"/>
  <c r="AE1762" i="1"/>
  <c r="AE2220" i="1"/>
  <c r="AE2421" i="1"/>
  <c r="AE556" i="1"/>
  <c r="AE1386" i="1"/>
  <c r="AE1387" i="1"/>
  <c r="AE1736" i="1"/>
  <c r="AE1780" i="1"/>
  <c r="AE2404" i="1"/>
  <c r="AE2413" i="1"/>
  <c r="AE2441" i="1"/>
  <c r="AE1902" i="1"/>
  <c r="AE1901" i="1"/>
  <c r="AE1873" i="1"/>
  <c r="AE1852" i="1"/>
  <c r="AE1843" i="1"/>
  <c r="AE1823" i="1"/>
  <c r="AE1768" i="1"/>
  <c r="AE1758" i="1"/>
  <c r="AE1693" i="1"/>
  <c r="AE1676" i="1"/>
  <c r="AE1640" i="1"/>
  <c r="AE1631" i="1"/>
  <c r="AE1622" i="1"/>
  <c r="AE1589" i="1"/>
  <c r="AE1489" i="1"/>
  <c r="AE1433" i="1"/>
  <c r="AE1432" i="1"/>
  <c r="AE1362" i="1"/>
  <c r="AE1330" i="1"/>
  <c r="AE1259" i="1"/>
  <c r="AE1186" i="1"/>
  <c r="AE1182" i="1"/>
  <c r="AE1181" i="1"/>
  <c r="AE1179" i="1"/>
  <c r="AE1174" i="1"/>
  <c r="AE628" i="1"/>
  <c r="AE521" i="1"/>
  <c r="AE128" i="1"/>
  <c r="AE1677" i="1"/>
  <c r="AE1440" i="1"/>
  <c r="AE866" i="1"/>
  <c r="AE10" i="1"/>
  <c r="AE581" i="1"/>
  <c r="AE852" i="1"/>
  <c r="AE1499" i="1"/>
  <c r="AE876" i="1"/>
  <c r="AE246" i="1"/>
  <c r="AE853" i="1"/>
  <c r="AE884" i="1"/>
  <c r="AE960" i="1"/>
  <c r="AE1568" i="1"/>
  <c r="AE1728" i="1"/>
  <c r="AE2384" i="1"/>
  <c r="AE2380" i="1"/>
  <c r="AE2389" i="1"/>
  <c r="AE2319" i="1"/>
  <c r="AE2267" i="1"/>
  <c r="AE2185" i="1"/>
  <c r="AE2182" i="1"/>
  <c r="AE2142" i="1"/>
  <c r="AE2084" i="1"/>
  <c r="AE2080" i="1"/>
  <c r="AE2074" i="1"/>
  <c r="AE2063" i="1"/>
  <c r="AE2043" i="1"/>
  <c r="AE2017" i="1"/>
  <c r="AE2013" i="1"/>
  <c r="AE2009" i="1"/>
  <c r="AE2005" i="1"/>
  <c r="AE2001" i="1"/>
  <c r="AE1998" i="1"/>
  <c r="AE1995" i="1"/>
  <c r="AE1994" i="1"/>
  <c r="AE1990" i="1"/>
  <c r="AE1989" i="1"/>
  <c r="AE1986" i="1"/>
  <c r="AE1978" i="1"/>
  <c r="AE1974" i="1"/>
  <c r="AE1969" i="1"/>
  <c r="AE1965" i="1"/>
  <c r="AE1964" i="1"/>
  <c r="AE1947" i="1"/>
  <c r="AE1944" i="1"/>
  <c r="AE1936" i="1"/>
  <c r="AE1933" i="1"/>
  <c r="AE1927" i="1"/>
  <c r="AE1924" i="1"/>
  <c r="AE1923" i="1"/>
  <c r="AE1914" i="1"/>
  <c r="AE1897" i="1"/>
  <c r="AE1889" i="1"/>
  <c r="AE1884" i="1"/>
  <c r="AE1871" i="1"/>
  <c r="AE1864" i="1"/>
  <c r="AE1856" i="1"/>
  <c r="AE1846" i="1"/>
  <c r="AE1837" i="1"/>
  <c r="AE1835" i="1"/>
  <c r="AE1828" i="1"/>
  <c r="AE1808" i="1"/>
  <c r="AE1763" i="1"/>
  <c r="AE1697" i="1"/>
  <c r="AE1680" i="1"/>
  <c r="AE1538" i="1"/>
  <c r="AE1500" i="1"/>
  <c r="AE1467" i="1"/>
  <c r="AE1450" i="1"/>
  <c r="AE1372" i="1"/>
  <c r="AE1331" i="1"/>
  <c r="AE1321" i="1"/>
  <c r="AE1275" i="1"/>
  <c r="AE1211" i="1"/>
  <c r="AE867" i="1"/>
  <c r="AE515" i="1"/>
  <c r="AE514" i="1"/>
  <c r="AE2437" i="1"/>
  <c r="AE857" i="1"/>
  <c r="AE536" i="1"/>
  <c r="AE520" i="1"/>
  <c r="AE325" i="1"/>
  <c r="AE379" i="1"/>
  <c r="AE281" i="1"/>
  <c r="AE163" i="1"/>
  <c r="AE1020" i="1"/>
  <c r="AE618" i="1"/>
  <c r="AE511" i="1"/>
  <c r="AE188" i="1"/>
  <c r="AE173" i="1"/>
  <c r="AE111" i="1"/>
  <c r="AE89" i="1"/>
  <c r="AE13" i="1"/>
  <c r="AE11" i="1"/>
  <c r="AE502" i="1"/>
  <c r="AE584" i="1"/>
  <c r="AE1388" i="1"/>
  <c r="AE1779" i="1"/>
  <c r="AE1781" i="1"/>
  <c r="AE1885" i="1"/>
  <c r="AE1252" i="1"/>
  <c r="AE1230" i="1"/>
  <c r="AE1215" i="1"/>
  <c r="AE1185" i="1"/>
  <c r="AE1184" i="1"/>
  <c r="AE1170" i="1"/>
  <c r="AE1166" i="1"/>
  <c r="AE1151" i="1"/>
  <c r="AE1140" i="1"/>
  <c r="AE1139" i="1"/>
  <c r="AE1089" i="1"/>
  <c r="AE1078" i="1"/>
  <c r="AE1066" i="1"/>
  <c r="AE1058" i="1"/>
  <c r="AE1056" i="1"/>
  <c r="AE1039" i="1"/>
  <c r="AE1015" i="1"/>
  <c r="AE1014" i="1"/>
  <c r="AE898" i="1"/>
  <c r="AE895" i="1"/>
  <c r="AE880" i="1"/>
  <c r="AE755" i="1"/>
  <c r="AE751" i="1"/>
  <c r="AE738" i="1"/>
  <c r="AE737" i="1"/>
  <c r="AE730" i="1"/>
  <c r="AE714" i="1"/>
  <c r="AE712" i="1"/>
  <c r="AE688" i="1"/>
  <c r="AE687" i="1"/>
  <c r="AE603" i="1"/>
  <c r="AE576" i="1"/>
  <c r="AE568" i="1"/>
  <c r="AE566" i="1"/>
  <c r="AE562" i="1"/>
  <c r="CX2496" i="1"/>
  <c r="AE986" i="1"/>
  <c r="AE1508" i="1"/>
  <c r="AE1650" i="1"/>
  <c r="AE563" i="1"/>
  <c r="AE760" i="1"/>
  <c r="AE882" i="1"/>
  <c r="AE996" i="1"/>
  <c r="AE1702" i="1"/>
  <c r="AE579" i="1"/>
  <c r="AE920" i="1"/>
  <c r="AE875" i="1"/>
  <c r="AE525" i="1"/>
  <c r="AE512" i="1"/>
  <c r="AE482" i="1"/>
  <c r="AE481" i="1"/>
  <c r="AE466" i="1"/>
  <c r="AE440" i="1"/>
  <c r="AE394" i="1"/>
  <c r="AE344" i="1"/>
  <c r="AE153" i="1"/>
  <c r="AE84" i="1"/>
  <c r="AE6" i="1"/>
  <c r="AE3" i="1"/>
  <c r="AE2262" i="1"/>
  <c r="AE2263" i="1"/>
  <c r="AE2271" i="1"/>
  <c r="AE2272" i="1"/>
  <c r="AE2187" i="1"/>
  <c r="AE2210" i="1"/>
  <c r="AE2217" i="1"/>
  <c r="AE998" i="1"/>
  <c r="AE2312" i="1"/>
  <c r="AE480" i="1"/>
  <c r="AE2304" i="1"/>
  <c r="AE1247" i="1"/>
  <c r="AE1188" i="1"/>
  <c r="AE1168" i="1"/>
  <c r="AE1136" i="1"/>
  <c r="AE1086" i="1"/>
  <c r="AE1064" i="1"/>
  <c r="AE1006" i="1"/>
  <c r="AE860" i="1"/>
  <c r="AE851" i="1"/>
  <c r="AE789" i="1"/>
  <c r="AE761" i="1"/>
  <c r="AE740" i="1"/>
  <c r="AE728" i="1"/>
  <c r="AE726" i="1"/>
  <c r="AE715" i="1"/>
  <c r="AE680" i="1"/>
  <c r="AE647" i="1"/>
  <c r="AE570" i="1"/>
  <c r="AE933" i="1"/>
  <c r="AE48" i="1"/>
  <c r="AE1791" i="1"/>
  <c r="AE360" i="1"/>
  <c r="AE421" i="1"/>
  <c r="AE873" i="1"/>
  <c r="AE931" i="1"/>
  <c r="AE1047" i="1"/>
  <c r="AE1573" i="1"/>
  <c r="AE1591" i="1"/>
  <c r="AE2120" i="1"/>
  <c r="AE264" i="1"/>
  <c r="AE255" i="1"/>
  <c r="AE773" i="1"/>
  <c r="AE885" i="1"/>
  <c r="AE930" i="1"/>
  <c r="AE943" i="1"/>
  <c r="AE961" i="1"/>
  <c r="AE995" i="1"/>
  <c r="AE1019" i="1"/>
  <c r="AE1051" i="1"/>
  <c r="AE1115" i="1"/>
  <c r="AE1143" i="1"/>
  <c r="AE1198" i="1"/>
  <c r="AE1261" i="1"/>
  <c r="AE1349" i="1"/>
  <c r="AE1523" i="1"/>
  <c r="AE1816" i="1"/>
  <c r="AE1905" i="1"/>
  <c r="AE223" i="1"/>
  <c r="AE386" i="1"/>
  <c r="AE756" i="1"/>
  <c r="AE967" i="1"/>
  <c r="AE969" i="1"/>
  <c r="AE308" i="1"/>
  <c r="AE591" i="1"/>
  <c r="AE1614" i="1"/>
  <c r="AE801" i="1"/>
  <c r="AE820" i="1"/>
  <c r="AE896" i="1"/>
  <c r="AE912" i="1"/>
  <c r="AE936" i="1"/>
  <c r="AE945" i="1"/>
  <c r="AE952" i="1"/>
  <c r="AE997" i="1"/>
  <c r="AE1030" i="1"/>
  <c r="AE1077" i="1"/>
  <c r="AE1348" i="1"/>
  <c r="AE1495" i="1"/>
  <c r="AE963" i="1"/>
  <c r="AE989" i="1"/>
  <c r="AE919" i="1"/>
  <c r="AE686" i="1"/>
  <c r="AE991" i="1"/>
  <c r="AE1932" i="1"/>
  <c r="AE1063" i="1"/>
  <c r="AE956" i="1"/>
  <c r="AE422" i="1"/>
  <c r="AE2309" i="1"/>
  <c r="AE2158" i="1"/>
  <c r="AE2164" i="1"/>
  <c r="AE2147" i="1"/>
  <c r="AE2096" i="1"/>
  <c r="AE1977" i="1"/>
  <c r="AE1946" i="1"/>
  <c r="AE1943" i="1"/>
  <c r="AE1929" i="1"/>
  <c r="AE1865" i="1"/>
  <c r="AE1849" i="1"/>
  <c r="AE1847" i="1"/>
  <c r="AE1832" i="1"/>
  <c r="AE1830" i="1"/>
  <c r="AE1805" i="1"/>
  <c r="AE1726" i="1"/>
  <c r="AE1714" i="1"/>
  <c r="AE1661" i="1"/>
  <c r="AE1644" i="1"/>
  <c r="AE1639" i="1"/>
  <c r="AE1536" i="1"/>
  <c r="AE1531" i="1"/>
  <c r="AE1524" i="1"/>
  <c r="AE1514" i="1"/>
  <c r="AE1511" i="1"/>
  <c r="AE1444" i="1"/>
  <c r="AE1313" i="1"/>
  <c r="AE1138" i="1"/>
  <c r="AE901" i="1"/>
  <c r="AE868" i="1"/>
  <c r="AE829" i="1"/>
  <c r="AE746" i="1"/>
  <c r="AE734" i="1"/>
  <c r="AE717" i="1"/>
  <c r="AE692" i="1"/>
  <c r="AE678" i="1"/>
  <c r="AE653" i="1"/>
  <c r="AE646" i="1"/>
  <c r="AE638" i="1"/>
  <c r="AE619" i="1"/>
  <c r="AE614" i="1"/>
  <c r="AE600" i="1"/>
  <c r="AE594" i="1"/>
  <c r="AE593" i="1"/>
  <c r="AE527" i="1"/>
  <c r="AE468" i="1"/>
  <c r="AE460" i="1"/>
  <c r="AE231" i="1"/>
  <c r="AE229" i="1"/>
  <c r="AE208" i="1"/>
  <c r="AE199" i="1"/>
  <c r="AE195" i="1"/>
  <c r="AE193" i="1"/>
  <c r="AE157" i="1"/>
  <c r="AE144" i="1"/>
  <c r="AE129" i="1"/>
  <c r="AE2285" i="1"/>
  <c r="AE2382" i="1"/>
  <c r="AE2391" i="1"/>
  <c r="AE2401" i="1"/>
  <c r="AE2399" i="1"/>
  <c r="AE2398" i="1"/>
  <c r="AE2396" i="1"/>
  <c r="AE2367" i="1"/>
  <c r="AE2365" i="1"/>
  <c r="AE2364" i="1"/>
  <c r="AE2363" i="1"/>
  <c r="AE2362" i="1"/>
  <c r="AE2361" i="1"/>
  <c r="AE2360" i="1"/>
  <c r="AE2359" i="1"/>
  <c r="AE2352" i="1"/>
  <c r="AE2329" i="1"/>
  <c r="AE2325" i="1"/>
  <c r="AE2318" i="1"/>
  <c r="AE2315" i="1"/>
  <c r="AE2313" i="1"/>
  <c r="AE2286" i="1"/>
  <c r="AE2097" i="1"/>
  <c r="AE2022" i="1"/>
  <c r="AA2496" i="1"/>
  <c r="AE2179" i="1"/>
  <c r="AE2104" i="1"/>
  <c r="AE2099" i="1"/>
  <c r="AE2053" i="1"/>
  <c r="AE2030" i="1"/>
  <c r="AE2024" i="1"/>
  <c r="AE1985" i="1"/>
  <c r="AE1981" i="1"/>
  <c r="AE1785" i="1"/>
  <c r="AE1770" i="1"/>
  <c r="AE1757" i="1"/>
  <c r="AE1752" i="1"/>
  <c r="AE1745" i="1"/>
  <c r="AE1602" i="1"/>
  <c r="AE1599" i="1"/>
  <c r="AE1580" i="1"/>
  <c r="AE1572" i="1"/>
  <c r="AE1571" i="1"/>
  <c r="AE1557" i="1"/>
  <c r="AE1465" i="1"/>
  <c r="AE1416" i="1"/>
  <c r="AE1334" i="1"/>
  <c r="AE1304" i="1"/>
  <c r="AE1076" i="1"/>
  <c r="AE1072" i="1"/>
  <c r="AE1061" i="1"/>
  <c r="AE1060" i="1"/>
  <c r="AE192" i="1"/>
  <c r="AE171" i="1"/>
  <c r="AE141" i="1"/>
  <c r="AE137" i="1"/>
  <c r="AE126" i="1"/>
  <c r="AE125" i="1"/>
  <c r="AE118" i="1"/>
  <c r="AE109" i="1"/>
  <c r="AE105" i="1"/>
  <c r="AE101" i="1"/>
  <c r="AE95" i="1"/>
  <c r="AE92" i="1"/>
  <c r="AE86" i="1"/>
  <c r="AE76" i="1"/>
  <c r="AE71" i="1"/>
  <c r="AE69" i="1"/>
  <c r="AE744" i="1"/>
  <c r="AE2302" i="1"/>
  <c r="AE2189" i="1"/>
  <c r="AE2192" i="1"/>
  <c r="AE2197" i="1"/>
  <c r="AE2207" i="1"/>
  <c r="AE2206" i="1"/>
  <c r="AE2223" i="1"/>
  <c r="AE2294" i="1"/>
  <c r="AE537" i="1"/>
  <c r="AE544" i="1"/>
  <c r="AE2350" i="1"/>
  <c r="AE1036" i="1"/>
  <c r="AE400" i="1"/>
  <c r="AE2418" i="1"/>
  <c r="AE2419" i="1"/>
  <c r="AE2420" i="1"/>
  <c r="AE2426" i="1"/>
  <c r="AE2428" i="1"/>
  <c r="AE495" i="1"/>
  <c r="AE608" i="1"/>
  <c r="AE1262" i="1"/>
  <c r="AE1374" i="1"/>
  <c r="AE1609" i="1"/>
  <c r="AE1692" i="1"/>
  <c r="AE1720" i="1"/>
  <c r="AE1777" i="1"/>
  <c r="AE1869" i="1"/>
  <c r="AE1912" i="1"/>
  <c r="AE1930" i="1"/>
  <c r="AE1951" i="1"/>
  <c r="AE2059" i="1"/>
  <c r="AE2208" i="1"/>
  <c r="AE2411" i="1"/>
  <c r="AE2432" i="1"/>
  <c r="AE2433" i="1"/>
  <c r="AE2440" i="1"/>
  <c r="AE2377" i="1"/>
  <c r="CZ2496" i="1"/>
  <c r="AE1888" i="1"/>
  <c r="AE1302" i="1"/>
  <c r="AE1575" i="1"/>
  <c r="AE799" i="1"/>
  <c r="AE2094" i="1"/>
  <c r="AE510" i="1"/>
  <c r="AE968" i="1"/>
  <c r="AE980" i="1"/>
  <c r="AE216" i="1"/>
  <c r="AE672" i="1"/>
  <c r="AE976" i="1"/>
  <c r="AE1410" i="1"/>
  <c r="AE299" i="1"/>
  <c r="AE310" i="1"/>
  <c r="AE478" i="1"/>
  <c r="AE1612" i="1"/>
  <c r="AE1617" i="1"/>
  <c r="AE1625" i="1"/>
  <c r="AE1743" i="1"/>
  <c r="AE1971" i="1"/>
  <c r="AE2342" i="1"/>
  <c r="AE918" i="1"/>
  <c r="AE962" i="1"/>
  <c r="AE1071" i="1"/>
  <c r="AE1336" i="1"/>
  <c r="AE814" i="1"/>
  <c r="AE828" i="1"/>
  <c r="AE904" i="1"/>
  <c r="AE932" i="1"/>
  <c r="AE944" i="1"/>
  <c r="AE949" i="1"/>
  <c r="AE954" i="1"/>
  <c r="AE965" i="1"/>
  <c r="AE1029" i="1"/>
  <c r="AE1052" i="1"/>
  <c r="AE1093" i="1"/>
  <c r="AE1363" i="1"/>
  <c r="AE1498" i="1"/>
  <c r="AE1577" i="1"/>
  <c r="AE971" i="1"/>
  <c r="AE794" i="1"/>
  <c r="AE710" i="1"/>
  <c r="AE992" i="1"/>
  <c r="AE567" i="1"/>
  <c r="AE577" i="1"/>
  <c r="AE2257" i="1"/>
  <c r="AE2256" i="1"/>
  <c r="AE2254" i="1"/>
  <c r="AE2252" i="1"/>
  <c r="AE2250" i="1"/>
  <c r="AE2247" i="1"/>
  <c r="AE2246" i="1"/>
  <c r="AE2243" i="1"/>
  <c r="AE2241" i="1"/>
  <c r="AE2235" i="1"/>
  <c r="AE2238" i="1"/>
  <c r="AE2237" i="1"/>
  <c r="AE2234" i="1"/>
  <c r="AE2232" i="1"/>
  <c r="AE2230" i="1"/>
  <c r="AE2228" i="1"/>
  <c r="AE2226" i="1"/>
  <c r="AE2277" i="1"/>
  <c r="AE2214" i="1"/>
  <c r="AE1532" i="1"/>
  <c r="AE2212" i="1"/>
  <c r="AE2310" i="1"/>
  <c r="AE2203" i="1"/>
  <c r="AE2339" i="1"/>
  <c r="AE2284" i="1"/>
  <c r="AE2167" i="1"/>
  <c r="AE2137" i="1"/>
  <c r="AE2105" i="1"/>
  <c r="AE2087" i="1"/>
  <c r="AE2083" i="1"/>
  <c r="AE2067" i="1"/>
  <c r="AE2047" i="1"/>
  <c r="AE2042" i="1"/>
  <c r="AE2012" i="1"/>
  <c r="AE2010" i="1"/>
  <c r="AE1997" i="1"/>
  <c r="AE1968" i="1"/>
  <c r="AE1963" i="1"/>
  <c r="AE1916" i="1"/>
  <c r="AE1909" i="1"/>
  <c r="AE1898" i="1"/>
  <c r="AE1876" i="1"/>
  <c r="AE1814" i="1"/>
  <c r="AE1804" i="1"/>
  <c r="AE1800" i="1"/>
  <c r="AE1771" i="1"/>
  <c r="AE1769" i="1"/>
  <c r="AE1765" i="1"/>
  <c r="AE1746" i="1"/>
  <c r="AE1740" i="1"/>
  <c r="AE1730" i="1"/>
  <c r="AE1727" i="1"/>
  <c r="AE1713" i="1"/>
  <c r="AE1708" i="1"/>
  <c r="AE1660" i="1"/>
  <c r="AE1656" i="1"/>
  <c r="AE1653" i="1"/>
  <c r="AE1629" i="1"/>
  <c r="AE1593" i="1"/>
  <c r="AE1590" i="1"/>
  <c r="AE1560" i="1"/>
  <c r="AE1550" i="1"/>
  <c r="AE1547" i="1"/>
  <c r="AE1535" i="1"/>
  <c r="AE1481" i="1"/>
  <c r="AE1473" i="1"/>
  <c r="AE1458" i="1"/>
  <c r="AE1456" i="1"/>
  <c r="AE1452" i="1"/>
  <c r="AE1446" i="1"/>
  <c r="AE1431" i="1"/>
  <c r="AE1406" i="1"/>
  <c r="AE1352" i="1"/>
  <c r="AE1344" i="1"/>
  <c r="AE1335" i="1"/>
  <c r="AE1324" i="1"/>
  <c r="AE1315" i="1"/>
  <c r="AE1278" i="1"/>
  <c r="AE1120" i="1"/>
  <c r="AE1107" i="1"/>
  <c r="AE1081" i="1"/>
  <c r="AE1074" i="1"/>
  <c r="AE1021" i="1"/>
  <c r="AE1016" i="1"/>
  <c r="AE993" i="1"/>
  <c r="AE948" i="1"/>
  <c r="AE843" i="1"/>
  <c r="AE827" i="1"/>
  <c r="AE810" i="1"/>
  <c r="AE767" i="1"/>
  <c r="AE693" i="1"/>
  <c r="AE656" i="1"/>
  <c r="AE539" i="1"/>
  <c r="AE522" i="1"/>
  <c r="AE392" i="1"/>
  <c r="AE286" i="1"/>
  <c r="AE238" i="1"/>
  <c r="AE236" i="1"/>
  <c r="AE234" i="1"/>
  <c r="AE233" i="1"/>
  <c r="AE222" i="1"/>
  <c r="AE185" i="1"/>
  <c r="AE106" i="1"/>
  <c r="AE98" i="1"/>
  <c r="AE81" i="1"/>
  <c r="AE74" i="1"/>
  <c r="AE53" i="1"/>
  <c r="AE46" i="1"/>
  <c r="AE39" i="1"/>
  <c r="AE35" i="1"/>
  <c r="AE425" i="1"/>
  <c r="AE1586" i="1"/>
  <c r="AE1494" i="1"/>
  <c r="AE1354" i="1"/>
  <c r="AE1092" i="1"/>
  <c r="AE329" i="1"/>
  <c r="AE2268" i="1"/>
  <c r="AE2215" i="1"/>
  <c r="AE1385" i="1"/>
  <c r="AE2406" i="1"/>
  <c r="AE2326" i="1"/>
  <c r="AE2388" i="1"/>
  <c r="AE2383" i="1"/>
  <c r="AE2346" i="1"/>
  <c r="AE2340" i="1"/>
  <c r="AE2334" i="1"/>
  <c r="AE2305" i="1"/>
  <c r="AE2219" i="1"/>
  <c r="AE2154" i="1"/>
  <c r="AE2139" i="1"/>
  <c r="AE2108" i="1"/>
  <c r="AE2091" i="1"/>
  <c r="AE2068" i="1"/>
  <c r="AE2057" i="1"/>
  <c r="AE2054" i="1"/>
  <c r="AE2035" i="1"/>
  <c r="AE2020" i="1"/>
  <c r="AE2004" i="1"/>
  <c r="AE1988" i="1"/>
  <c r="AE1987" i="1"/>
  <c r="AE1973" i="1"/>
  <c r="AE1952" i="1"/>
  <c r="AE1949" i="1"/>
  <c r="AE1948" i="1"/>
  <c r="AE1934" i="1"/>
  <c r="AE1921" i="1"/>
  <c r="AE1900" i="1"/>
  <c r="AE1881" i="1"/>
  <c r="AE1861" i="1"/>
  <c r="AE1840" i="1"/>
  <c r="AE1824" i="1"/>
  <c r="AE1815" i="1"/>
  <c r="AE1809" i="1"/>
  <c r="AE1807" i="1"/>
  <c r="AE1806" i="1"/>
  <c r="AE1790" i="1"/>
  <c r="AE1786" i="1"/>
  <c r="AE1772" i="1"/>
  <c r="AE1761" i="1"/>
  <c r="AE1751" i="1"/>
  <c r="AE1748" i="1"/>
  <c r="AE1723" i="1"/>
  <c r="AE1722" i="1"/>
  <c r="AE1716" i="1"/>
  <c r="AE1679" i="1"/>
  <c r="AE1672" i="1"/>
  <c r="AE1668" i="1"/>
  <c r="AE1666" i="1"/>
  <c r="AE1664" i="1"/>
  <c r="AE1654" i="1"/>
  <c r="AE1648" i="1"/>
  <c r="AE1633" i="1"/>
  <c r="AE1607" i="1"/>
  <c r="AE1598" i="1"/>
  <c r="AE1585" i="1"/>
  <c r="AE1564" i="1"/>
  <c r="AE1539" i="1"/>
  <c r="AE1515" i="1"/>
  <c r="AE1501" i="1"/>
  <c r="AE1488" i="1"/>
  <c r="AE1483" i="1"/>
  <c r="AE1459" i="1"/>
  <c r="AE1457" i="1"/>
  <c r="AE1454" i="1"/>
  <c r="AE1371" i="1"/>
  <c r="AE1353" i="1"/>
  <c r="AE1294" i="1"/>
  <c r="AE1291" i="1"/>
  <c r="AE1172" i="1"/>
  <c r="AE1124" i="1"/>
  <c r="AE1094" i="1"/>
  <c r="AE1091" i="1"/>
  <c r="AE1075" i="1"/>
  <c r="AE1043" i="1"/>
  <c r="AE1040" i="1"/>
  <c r="AE1017" i="1"/>
  <c r="AE1008" i="1"/>
  <c r="AE990" i="1"/>
  <c r="AE982" i="1"/>
  <c r="AE922" i="1"/>
  <c r="AE856" i="1"/>
  <c r="AE753" i="1"/>
  <c r="AE718" i="1"/>
  <c r="AE702" i="1"/>
  <c r="AE671" i="1"/>
  <c r="AE548" i="1"/>
  <c r="AE472" i="1"/>
  <c r="AE437" i="1"/>
  <c r="AE404" i="1"/>
  <c r="AE341" i="1"/>
  <c r="AE328" i="1"/>
  <c r="AE287" i="1"/>
  <c r="AE272" i="1"/>
  <c r="AE200" i="1"/>
  <c r="AE180" i="1"/>
  <c r="AE150" i="1"/>
  <c r="AE122" i="1"/>
  <c r="AE56" i="1"/>
  <c r="AE50" i="1"/>
  <c r="AE25" i="1"/>
  <c r="AE2190" i="1"/>
  <c r="AE1868" i="1"/>
  <c r="AE2436" i="1"/>
  <c r="AE1101" i="1"/>
  <c r="Y1292" i="1"/>
  <c r="AE1292" i="1" s="1"/>
  <c r="AE179" i="1"/>
  <c r="AE2379" i="1"/>
  <c r="AE2355" i="1"/>
  <c r="AE2343" i="1"/>
  <c r="AE2330" i="1"/>
  <c r="AE2321" i="1"/>
  <c r="AE2291" i="1"/>
  <c r="AE2150" i="1"/>
  <c r="AE2085" i="1"/>
  <c r="AE2021" i="1"/>
  <c r="AE1983" i="1"/>
  <c r="AE1954" i="1"/>
  <c r="AE1953" i="1"/>
  <c r="AE1833" i="1"/>
  <c r="AE1793" i="1"/>
  <c r="AE1767" i="1"/>
  <c r="AE1725" i="1"/>
  <c r="AE1705" i="1"/>
  <c r="AE1696" i="1"/>
  <c r="AE1689" i="1"/>
  <c r="AE1685" i="1"/>
  <c r="AE1658" i="1"/>
  <c r="AE1627" i="1"/>
  <c r="AE1613" i="1"/>
  <c r="AE1574" i="1"/>
  <c r="AE1427" i="1"/>
  <c r="AE1422" i="1"/>
  <c r="AE1377" i="1"/>
  <c r="AE1376" i="1"/>
  <c r="AE1367" i="1"/>
  <c r="AE1364" i="1"/>
  <c r="AE1287" i="1"/>
  <c r="AE1112" i="1"/>
  <c r="AE1096" i="1"/>
  <c r="AE1001" i="1"/>
  <c r="AE886" i="1"/>
  <c r="AE862" i="1"/>
  <c r="AE858" i="1"/>
  <c r="AE788" i="1"/>
  <c r="AE650" i="1"/>
  <c r="AE552" i="1"/>
  <c r="AE278" i="1"/>
  <c r="AE342" i="1"/>
  <c r="AE2381" i="1"/>
  <c r="AE2378" i="1"/>
  <c r="AE2386" i="1"/>
  <c r="AE2395" i="1"/>
  <c r="AE2376" i="1"/>
  <c r="AE2375" i="1"/>
  <c r="AE2374" i="1"/>
  <c r="AE2372" i="1"/>
  <c r="AE2370" i="1"/>
  <c r="AE2357" i="1"/>
  <c r="AE2354" i="1"/>
  <c r="AE2351" i="1"/>
  <c r="AE2345" i="1"/>
  <c r="AE2332" i="1"/>
  <c r="AE2328" i="1"/>
  <c r="AE2323" i="1"/>
  <c r="AE2320" i="1"/>
  <c r="AE2316" i="1"/>
  <c r="AE2293" i="1"/>
  <c r="AE2289" i="1"/>
  <c r="AE2181" i="1"/>
  <c r="AE2144" i="1"/>
  <c r="AE2140" i="1"/>
  <c r="AE2109" i="1"/>
  <c r="AE2071" i="1"/>
  <c r="AE2025" i="1"/>
  <c r="AE2002" i="1"/>
  <c r="AE2000" i="1"/>
  <c r="AE1991" i="1"/>
  <c r="AE1966" i="1"/>
  <c r="AE1956" i="1"/>
  <c r="AE1955" i="1"/>
  <c r="AE1920" i="1"/>
  <c r="AE1915" i="1"/>
  <c r="AE1859" i="1"/>
  <c r="AE1858" i="1"/>
  <c r="AE1838" i="1"/>
  <c r="AE1822" i="1"/>
  <c r="AE1821" i="1"/>
  <c r="AE1819" i="1"/>
  <c r="AE1755" i="1"/>
  <c r="AE1749" i="1"/>
  <c r="AE1731" i="1"/>
  <c r="AE1636" i="1"/>
  <c r="AE283" i="1"/>
  <c r="AE1579" i="1"/>
  <c r="AE1529" i="1"/>
  <c r="AE1528" i="1"/>
  <c r="AE1527" i="1"/>
  <c r="AE1472" i="1"/>
  <c r="AE1464" i="1"/>
  <c r="AE1451" i="1"/>
  <c r="AE1443" i="1"/>
  <c r="AE1435" i="1"/>
  <c r="AE1423" i="1"/>
  <c r="AE1420" i="1"/>
  <c r="AE1407" i="1"/>
  <c r="AE1396" i="1"/>
  <c r="AE1381" i="1"/>
  <c r="AE1106" i="1"/>
  <c r="AE1097" i="1"/>
  <c r="AE1073" i="1"/>
  <c r="AE981" i="1"/>
  <c r="AE850" i="1"/>
  <c r="AE733" i="1"/>
  <c r="AE732" i="1"/>
  <c r="AE691" i="1"/>
  <c r="AE677" i="1"/>
  <c r="AE640" i="1"/>
  <c r="AE598" i="1"/>
  <c r="AE554" i="1"/>
  <c r="AE535" i="1"/>
  <c r="AE285" i="1"/>
  <c r="AE275" i="1"/>
  <c r="AE263" i="1"/>
  <c r="AE237" i="1"/>
  <c r="AE143" i="1"/>
  <c r="AE97" i="1"/>
  <c r="AE80" i="1"/>
  <c r="AE65" i="1"/>
  <c r="AE63" i="1"/>
  <c r="AE1442" i="1"/>
  <c r="AE1355" i="1"/>
  <c r="AE289" i="1"/>
  <c r="AE288" i="1"/>
  <c r="AE124" i="1"/>
  <c r="AE2408" i="1"/>
  <c r="AE2155" i="1"/>
  <c r="AE2153" i="1"/>
  <c r="AE2151" i="1"/>
  <c r="AE2161" i="1"/>
  <c r="AE2149" i="1"/>
  <c r="AE1940" i="1"/>
  <c r="AE1880" i="1"/>
  <c r="AE2233" i="1"/>
  <c r="AE2231" i="1"/>
  <c r="AE1360" i="1"/>
  <c r="AE2280" i="1"/>
  <c r="AE2201" i="1"/>
  <c r="AE2392" i="1"/>
  <c r="AE2387" i="1"/>
  <c r="AE2403" i="1"/>
  <c r="AE2400" i="1"/>
  <c r="AE2402" i="1"/>
  <c r="AE2397" i="1"/>
  <c r="AE2390" i="1"/>
  <c r="AE2371" i="1"/>
  <c r="AE2369" i="1"/>
  <c r="AE2102" i="1"/>
  <c r="AE2095" i="1"/>
  <c r="AE2093" i="1"/>
  <c r="AE2092" i="1"/>
  <c r="AE2090" i="1"/>
  <c r="AE2046" i="1"/>
  <c r="AE2045" i="1"/>
  <c r="AE2044" i="1"/>
  <c r="AE2040" i="1"/>
  <c r="AE1892" i="1"/>
  <c r="AE1798" i="1"/>
  <c r="AE1711" i="1"/>
  <c r="AE977" i="1"/>
  <c r="AE838" i="1"/>
  <c r="AE818" i="1"/>
  <c r="AE772" i="1"/>
  <c r="AE725" i="1"/>
  <c r="AE721" i="1"/>
  <c r="AE720" i="1"/>
  <c r="AE655" i="1"/>
  <c r="AE610" i="1"/>
  <c r="AE326" i="1"/>
  <c r="AE2260" i="1"/>
  <c r="AE2258" i="1"/>
  <c r="AE2255" i="1"/>
  <c r="AE2253" i="1"/>
  <c r="AE2251" i="1"/>
  <c r="AE2249" i="1"/>
  <c r="AE2248" i="1"/>
  <c r="AE2244" i="1"/>
  <c r="AE2236" i="1"/>
  <c r="AE2227" i="1"/>
  <c r="AE1796" i="1"/>
  <c r="AE1842" i="1"/>
  <c r="AE2216" i="1"/>
  <c r="AE2373" i="1"/>
  <c r="AE2368" i="1"/>
  <c r="AE2366" i="1"/>
  <c r="AE2353" i="1"/>
  <c r="AE2335" i="1"/>
  <c r="AE2333" i="1"/>
  <c r="AE2331" i="1"/>
  <c r="AE2327" i="1"/>
  <c r="AE2324" i="1"/>
  <c r="AE2322" i="1"/>
  <c r="AE2317" i="1"/>
  <c r="AE2145" i="1"/>
  <c r="AE2143" i="1"/>
  <c r="AE2141" i="1"/>
  <c r="AE2136" i="1"/>
  <c r="AE2135" i="1"/>
  <c r="AE2133" i="1"/>
  <c r="AE2132" i="1"/>
  <c r="AE2131" i="1"/>
  <c r="AE2129" i="1"/>
  <c r="AE2128" i="1"/>
  <c r="AE2127" i="1"/>
  <c r="AE2115" i="1"/>
  <c r="AE2114" i="1"/>
  <c r="AE2112" i="1"/>
  <c r="AE2111" i="1"/>
  <c r="AE2110" i="1"/>
  <c r="AE2106" i="1"/>
  <c r="AE2098" i="1"/>
  <c r="AE2086" i="1"/>
  <c r="AE2078" i="1"/>
  <c r="AE2077" i="1"/>
  <c r="AE2073" i="1"/>
  <c r="AE2069" i="1"/>
  <c r="AE2049" i="1"/>
  <c r="AE2032" i="1"/>
  <c r="AE2031" i="1"/>
  <c r="AE2028" i="1"/>
  <c r="AE2027" i="1"/>
  <c r="AE2026" i="1"/>
  <c r="AE2018" i="1"/>
  <c r="AE2016" i="1"/>
  <c r="AE2015" i="1"/>
  <c r="AE1925" i="1"/>
  <c r="AE1922" i="1"/>
  <c r="AE1860" i="1"/>
  <c r="AE1841" i="1"/>
  <c r="AE1802" i="1"/>
  <c r="AE1750" i="1"/>
  <c r="AE1484" i="1"/>
  <c r="AE854" i="1"/>
  <c r="AE822" i="1"/>
  <c r="AE741" i="1"/>
  <c r="AE612" i="1"/>
  <c r="AE442" i="1"/>
  <c r="AE429" i="1"/>
  <c r="AE347" i="1"/>
  <c r="AE2341" i="1"/>
  <c r="AE2292" i="1"/>
  <c r="AE2288" i="1"/>
  <c r="AE2116" i="1"/>
  <c r="AE2103" i="1"/>
  <c r="AE2283" i="1"/>
  <c r="AE2224" i="1"/>
  <c r="AE2195" i="1"/>
  <c r="AE2170" i="1"/>
  <c r="AE2160" i="1"/>
  <c r="AE2138" i="1"/>
  <c r="AE2123" i="1"/>
  <c r="AE2011" i="1"/>
  <c r="AE2003" i="1"/>
  <c r="AE1162" i="1"/>
  <c r="AE1113" i="1"/>
  <c r="AE864" i="1"/>
  <c r="AE731" i="1"/>
  <c r="AE669" i="1"/>
  <c r="AE643" i="1"/>
  <c r="AE622" i="1"/>
  <c r="AE621" i="1"/>
  <c r="AE1910" i="1"/>
  <c r="AE1890" i="1"/>
  <c r="AE1883" i="1"/>
  <c r="AE1862" i="1"/>
  <c r="AE1839" i="1"/>
  <c r="AE1836" i="1"/>
  <c r="AE1817" i="1"/>
  <c r="AE1812" i="1"/>
  <c r="AE1795" i="1"/>
  <c r="AE1782" i="1"/>
  <c r="AE1753" i="1"/>
  <c r="AE564" i="1"/>
  <c r="AE443" i="1"/>
  <c r="AE302" i="1"/>
  <c r="AE2412" i="1"/>
  <c r="AE64" i="1" l="1"/>
  <c r="AE1724" i="1"/>
  <c r="AE1681" i="1"/>
  <c r="AE1624" i="1"/>
  <c r="AE1447" i="1"/>
  <c r="AE602" i="1"/>
  <c r="CV1592" i="1"/>
  <c r="AE1478" i="1"/>
  <c r="AE826" i="1"/>
  <c r="AE1279" i="1"/>
  <c r="AE1128" i="1"/>
  <c r="AE1104" i="1"/>
  <c r="AE879" i="1"/>
  <c r="AE855" i="1"/>
  <c r="AE549" i="1"/>
  <c r="AE485" i="1"/>
  <c r="AE203" i="1"/>
  <c r="AE492" i="1"/>
  <c r="AE32" i="1"/>
  <c r="AE133" i="1"/>
  <c r="AE20" i="1"/>
  <c r="E613" i="1"/>
  <c r="E2142" i="1"/>
  <c r="AE174" i="1"/>
  <c r="AE94" i="1"/>
  <c r="E2407" i="1"/>
  <c r="E2175" i="1"/>
  <c r="E1955" i="1"/>
  <c r="E1338" i="1"/>
  <c r="E878" i="1"/>
  <c r="E461" i="1"/>
  <c r="E1784" i="1"/>
  <c r="E1193" i="1"/>
  <c r="E778" i="1"/>
  <c r="E244" i="1"/>
  <c r="E2159" i="1"/>
  <c r="E1122" i="1"/>
  <c r="E707" i="1"/>
  <c r="E1433" i="1"/>
  <c r="AE2424" i="1"/>
  <c r="E2412" i="1"/>
  <c r="E2408" i="1"/>
  <c r="E2404" i="1"/>
  <c r="E2379" i="1"/>
  <c r="E2357" i="1"/>
  <c r="E2176" i="1"/>
  <c r="E2172" i="1"/>
  <c r="E2168" i="1"/>
  <c r="E2164" i="1"/>
  <c r="E2160" i="1"/>
  <c r="E2156" i="1"/>
  <c r="E2152" i="1"/>
  <c r="E2147" i="1"/>
  <c r="E2143" i="1"/>
  <c r="E2139" i="1"/>
  <c r="E2135" i="1"/>
  <c r="E2111" i="1"/>
  <c r="E1956" i="1"/>
  <c r="E1952" i="1"/>
  <c r="E1838" i="1"/>
  <c r="E1827" i="1"/>
  <c r="E1806" i="1"/>
  <c r="E1694" i="1"/>
  <c r="E1670" i="1"/>
  <c r="E1587" i="1"/>
  <c r="E1571" i="1"/>
  <c r="E1486" i="1"/>
  <c r="E1482" i="1"/>
  <c r="E1478" i="1"/>
  <c r="E1469" i="1"/>
  <c r="E1407" i="1"/>
  <c r="E1380" i="1"/>
  <c r="E1354" i="1"/>
  <c r="E1339" i="1"/>
  <c r="E1300" i="1"/>
  <c r="E1276" i="1"/>
  <c r="E1214" i="1"/>
  <c r="E1194" i="1"/>
  <c r="E1190" i="1"/>
  <c r="E1182" i="1"/>
  <c r="E1160" i="1"/>
  <c r="E1124" i="1"/>
  <c r="E1107" i="1"/>
  <c r="E1099" i="1"/>
  <c r="E1066" i="1"/>
  <c r="E1042" i="1"/>
  <c r="E1016" i="1"/>
  <c r="E1004" i="1"/>
  <c r="E939" i="1"/>
  <c r="E888" i="1"/>
  <c r="E849" i="1"/>
  <c r="E839" i="1"/>
  <c r="E812" i="1"/>
  <c r="E791" i="1"/>
  <c r="E761" i="1"/>
  <c r="E749" i="1"/>
  <c r="E727" i="1"/>
  <c r="E713" i="1"/>
  <c r="E686" i="1"/>
  <c r="E668" i="1"/>
  <c r="E632" i="1"/>
  <c r="E622" i="1"/>
  <c r="E609" i="1"/>
  <c r="E529" i="1"/>
  <c r="E481" i="1"/>
  <c r="E465" i="1"/>
  <c r="E440" i="1"/>
  <c r="E388" i="1"/>
  <c r="E299" i="1"/>
  <c r="E264" i="1"/>
  <c r="E29" i="1"/>
  <c r="E25" i="1"/>
  <c r="E4" i="1"/>
  <c r="E2326" i="1"/>
  <c r="E2377" i="1"/>
  <c r="E2410" i="1"/>
  <c r="E2406" i="1"/>
  <c r="E2381" i="1"/>
  <c r="E2362" i="1"/>
  <c r="E2178" i="1"/>
  <c r="E2174" i="1"/>
  <c r="E2170" i="1"/>
  <c r="E2166" i="1"/>
  <c r="E2162" i="1"/>
  <c r="E2158" i="1"/>
  <c r="E2154" i="1"/>
  <c r="E2150" i="1"/>
  <c r="E2145" i="1"/>
  <c r="E2141" i="1"/>
  <c r="E2137" i="1"/>
  <c r="E2125" i="1"/>
  <c r="E2109" i="1"/>
  <c r="E1954" i="1"/>
  <c r="E1907" i="1"/>
  <c r="E1836" i="1"/>
  <c r="E1825" i="1"/>
  <c r="E1782" i="1"/>
  <c r="E1672" i="1"/>
  <c r="E1652" i="1"/>
  <c r="E1585" i="1"/>
  <c r="E1525" i="1"/>
  <c r="E1484" i="1"/>
  <c r="E1480" i="1"/>
  <c r="E1476" i="1"/>
  <c r="E1432" i="1"/>
  <c r="E1405" i="1"/>
  <c r="E1357" i="1"/>
  <c r="E1344" i="1"/>
  <c r="E1337" i="1"/>
  <c r="E1298" i="1"/>
  <c r="E1264" i="1"/>
  <c r="E1204" i="1"/>
  <c r="E1192" i="1"/>
  <c r="E1188" i="1"/>
  <c r="E1170" i="1"/>
  <c r="E1138" i="1"/>
  <c r="E1109" i="1"/>
  <c r="E1105" i="1"/>
  <c r="E1094" i="1"/>
  <c r="E1044" i="1"/>
  <c r="E1021" i="1"/>
  <c r="E1010" i="1"/>
  <c r="E1002" i="1"/>
  <c r="E926" i="1"/>
  <c r="E858" i="1"/>
  <c r="E841" i="1"/>
  <c r="E837" i="1"/>
  <c r="E800" i="1"/>
  <c r="E777" i="1"/>
  <c r="E751" i="1"/>
  <c r="E729" i="1"/>
  <c r="E718" i="1"/>
  <c r="E688" i="1"/>
  <c r="E673" i="1"/>
  <c r="E655" i="1"/>
  <c r="E630" i="1"/>
  <c r="E611" i="1"/>
  <c r="E573" i="1"/>
  <c r="E489" i="1"/>
  <c r="E470" i="1"/>
  <c r="E460" i="1"/>
  <c r="E402" i="1"/>
  <c r="E332" i="1"/>
  <c r="E279" i="1"/>
  <c r="E205" i="1"/>
  <c r="E27" i="1"/>
  <c r="E10" i="1"/>
  <c r="E2409" i="1"/>
  <c r="E2405" i="1"/>
  <c r="E2380" i="1"/>
  <c r="E2358" i="1"/>
  <c r="E2177" i="1"/>
  <c r="E2173" i="1"/>
  <c r="E2169" i="1"/>
  <c r="E2165" i="1"/>
  <c r="E2161" i="1"/>
  <c r="E2157" i="1"/>
  <c r="E2153" i="1"/>
  <c r="E2149" i="1"/>
  <c r="E2144" i="1"/>
  <c r="E2140" i="1"/>
  <c r="E2136" i="1"/>
  <c r="E2112" i="1"/>
  <c r="E2051" i="1"/>
  <c r="E1953" i="1"/>
  <c r="E1906" i="1"/>
  <c r="E1835" i="1"/>
  <c r="E1811" i="1"/>
  <c r="E1737" i="1"/>
  <c r="E1671" i="1"/>
  <c r="E1588" i="1"/>
  <c r="E1584" i="1"/>
  <c r="E1524" i="1"/>
  <c r="E1483" i="1"/>
  <c r="E1479" i="1"/>
  <c r="E1470" i="1"/>
  <c r="E1431" i="1"/>
  <c r="E1404" i="1"/>
  <c r="E1355" i="1"/>
  <c r="E1340" i="1"/>
  <c r="E1313" i="1"/>
  <c r="E1283" i="1"/>
  <c r="E1227" i="1"/>
  <c r="E1195" i="1"/>
  <c r="E1191" i="1"/>
  <c r="E1183" i="1"/>
  <c r="E1165" i="1"/>
  <c r="E1125" i="1"/>
  <c r="E1108" i="1"/>
  <c r="E1104" i="1"/>
  <c r="E1091" i="1"/>
  <c r="E1043" i="1"/>
  <c r="E1020" i="1"/>
  <c r="E1009" i="1"/>
  <c r="E999" i="1"/>
  <c r="E925" i="1"/>
  <c r="E850" i="1"/>
  <c r="E840" i="1"/>
  <c r="E819" i="1"/>
  <c r="E798" i="1"/>
  <c r="E776" i="1"/>
  <c r="E750" i="1"/>
  <c r="E728" i="1"/>
  <c r="E714" i="1"/>
  <c r="E687" i="1"/>
  <c r="E672" i="1"/>
  <c r="E633" i="1"/>
  <c r="E623" i="1"/>
  <c r="E610" i="1"/>
  <c r="E562" i="1"/>
  <c r="E488" i="1"/>
  <c r="E468" i="1"/>
  <c r="E453" i="1"/>
  <c r="E401" i="1"/>
  <c r="E300" i="1"/>
  <c r="E273" i="1"/>
  <c r="E40" i="1"/>
  <c r="E26" i="1"/>
  <c r="E6" i="1"/>
  <c r="E292" i="1"/>
  <c r="E475" i="1"/>
  <c r="E631" i="1"/>
  <c r="E724" i="1"/>
  <c r="E801" i="1"/>
  <c r="E938" i="1"/>
  <c r="E1056" i="1"/>
  <c r="E1145" i="1"/>
  <c r="E1209" i="1"/>
  <c r="E1352" i="1"/>
  <c r="E1477" i="1"/>
  <c r="E1586" i="1"/>
  <c r="E1826" i="1"/>
  <c r="E2110" i="1"/>
  <c r="E2146" i="1"/>
  <c r="E2163" i="1"/>
  <c r="E2335" i="1"/>
  <c r="E2411" i="1"/>
  <c r="E24" i="1"/>
  <c r="E342" i="1"/>
  <c r="E526" i="1"/>
  <c r="E656" i="1"/>
  <c r="E730" i="1"/>
  <c r="E838" i="1"/>
  <c r="E1003" i="1"/>
  <c r="E1098" i="1"/>
  <c r="E1171" i="1"/>
  <c r="E1269" i="1"/>
  <c r="E1379" i="1"/>
  <c r="E1481" i="1"/>
  <c r="E1653" i="1"/>
  <c r="E1837" i="1"/>
  <c r="E2134" i="1"/>
  <c r="E2151" i="1"/>
  <c r="E2167" i="1"/>
  <c r="E2378" i="1"/>
  <c r="E28" i="1"/>
  <c r="E426" i="1"/>
  <c r="E593" i="1"/>
  <c r="E685" i="1"/>
  <c r="E755" i="1"/>
  <c r="E848" i="1"/>
  <c r="E1015" i="1"/>
  <c r="E1106" i="1"/>
  <c r="E1189" i="1"/>
  <c r="E1299" i="1"/>
  <c r="E1406" i="1"/>
  <c r="E1485" i="1"/>
  <c r="E1693" i="1"/>
  <c r="E1931" i="1"/>
  <c r="E2138" i="1"/>
  <c r="E2155" i="1"/>
  <c r="E2171" i="1"/>
  <c r="E2382" i="1"/>
  <c r="Y1592" i="1" l="1"/>
  <c r="CV2496" i="1"/>
  <c r="AE1592" i="1" l="1"/>
  <c r="AE2496" i="1" s="1"/>
  <c r="Y2496" i="1"/>
</calcChain>
</file>

<file path=xl/sharedStrings.xml><?xml version="1.0" encoding="utf-8"?>
<sst xmlns="http://schemas.openxmlformats.org/spreadsheetml/2006/main" count="27911" uniqueCount="6319">
  <si>
    <t>SAN PEDRO DE URABA</t>
  </si>
  <si>
    <t>DESBORDAMIETNO RIO MAGDALENA. Y CIMITARRAVEREDAS PUERTO LOS MANGOS, TOMAS, PLAYAS, BARBACOAS, ROMPEDEROS, CAÑO HUILA, SARDINATA BAJA, REMOLINOS, PUERTO NUEVO, LA FELICIDAD, RINCONADA, TANQUERA, ROTA 1 Y 2 , BELLA VISTA, EL GUAMO, CAMPO SISITARRA, EL BAGRE, EL TAMAR, CAÑO NEGRO. REPORTE DE LA DEFENSA CIVIL.</t>
  </si>
  <si>
    <t>ARENAL</t>
  </si>
  <si>
    <t>EL CARMEN DE BOLIVAR</t>
  </si>
  <si>
    <t>FUERTES LLUVIAS BARRIO SIETE DE AGOSTO, SANTANDER, CENTRO, LA POPA, LAS COLINAS, EL VERGEL, PUEBLO NUEVO. CORREGIMEINTO EL SALADO. REPORTE DEL CREPAD.</t>
  </si>
  <si>
    <t>REPORTE DEL CREPAD. DESBORDAMEINTO QUEBRADA INANEA. REPORTE DEL CREPAD Y CLOPAD. SERRANIA SAN LUCAS, SECTOR LOS CANELOS, VEREDA CAÑOVERAS. MINA LA FORTUNA.</t>
  </si>
  <si>
    <t>EL COCUY</t>
  </si>
  <si>
    <t>VEREDAS LA ESTANCIA, EL CHIRCAL, SECTOR MARRAVITA. VIAS JERCIO - PUEBLO VIEJO Y JERICO -SOCOTA.REPROTE DEL CREPAD. SECTOR PUENTE MAUSA. AFECTADA VIA QUE COMUNICA JERICO - SOCOTA Y JERICO CHITA. REPORTE DE EL CREPAD.</t>
  </si>
  <si>
    <t>RONDON</t>
  </si>
  <si>
    <t>DESBORDAMIENTO RIO JURADO Y APARTADO Y PAMPADO COMUNIDADES DE EYASAQUE, RICHAR, GUAUNANA, AMBAR, PATATO, BUENAVISTA, CEDRAL, JUMARACARRA, DOS BOCAS, SANTA TERESITA, Y DICHARDI - CAIMITO. REPORTE DEL CLOPAD.BARRIOS PUEBLO NUEVO Y PUEBLO VIEJO. REPORTE DE CREPAD Y LA DEFENSA CIVIL.</t>
  </si>
  <si>
    <t xml:space="preserve">                                                                                                                                                                </t>
  </si>
  <si>
    <t>ANOLAIMA</t>
  </si>
  <si>
    <t>VEREDA SAN JOSE SECTOR AGUAS CLARAS DESBORDAMIENTO QUEBRADA LA PUNA. REPORTE DE LA DCC.</t>
  </si>
  <si>
    <t>NOCAIMA</t>
  </si>
  <si>
    <t>SUPATA</t>
  </si>
  <si>
    <t>TENA</t>
  </si>
  <si>
    <t>PASCA</t>
  </si>
  <si>
    <t>TOPAIPI</t>
  </si>
  <si>
    <t>VIANI</t>
  </si>
  <si>
    <r>
      <t xml:space="preserve">CAÑO PANCEGUITA, QUITASUEÑO, CAMAJON, CAÑO MOJANA. BARRIOS SIETE DE MAYO, VEREDAS GALINDO, EL PEDRO, EL CONGRESO, ISLA GRANDE, ISLA DEL COCO, MOJANITA, MONTERIA, OREJERO, FUNDACION , CAMPO ALEGRE, SAN LUIS, SAN MATEO, CARACUCHA, SOLERA, NUEVO MAMON, CAÑO MUERTO, BUENA VISTA, SAN JOSE, CALZON BLANCO. DESBORDAMIENTO CAÑO LA MOJANA.. REPORTE DE LA DEFENSA CIVIL Y EL CREPAD. </t>
    </r>
    <r>
      <rPr>
        <b/>
        <sz val="9"/>
        <rFont val="Arial"/>
        <family val="2"/>
      </rPr>
      <t>APOYO DEL FNC MEDIANTE GIRO DIRECTO AL CLOPAD PARA EL DRENAJE Y ABERTURA DE LOS CAÑOS PANCEGUITA Y CAMAJON MEDIANTE LA COMPRA DE COMBUSTIBLE Y ALQUILER DE MAQUINARIA.. EL VALOR DE OROS CORRESPONDE A 350 PARES DE BOTAS ´PARA ADULTO Y 150 PARA NIÑO</t>
    </r>
  </si>
  <si>
    <t>PERDIDA DE CULTIVOS DE ARROZ, MAIZ, YUCA,FRUTALES, MADERABLE Y PANCOGER.</t>
  </si>
  <si>
    <t>229
260</t>
  </si>
  <si>
    <t>VEREDA CARRETAL PACALUA, BETSALDA, DESBORDAMIENTO RIO MAGDALENA. REPORTE DE LA DEFENSA CIVIL.</t>
  </si>
  <si>
    <t>COMITÉ DE GANADEROS DEL META. AFECTADOS PISOS 501 Y 502. REPORTE DEL CREPAD.</t>
  </si>
  <si>
    <t>COLAPSO MINA DE ORO, CORREGIMIENTO DE BARAMA. REPORTE DE LA DEFENSA CIVIL.</t>
  </si>
  <si>
    <t>CORREGIMIENTO RIO FRIO. DESBORDAMIENTO RIO MAGDALENA. REPORTE DE LA DEFENSA CIVIL.</t>
  </si>
  <si>
    <t>MOMIL</t>
  </si>
  <si>
    <t>VEREDA GUACHARACA Y BRISAS DEL CAUCHO. . REPORTE DEL CREPAD. REPORTE DEL SOCORRO NACIONAL.</t>
  </si>
  <si>
    <t>REPORTE DE DEFENSA CIVIL. VEREDAS CASANARITO, PUERTO C0LOMBIA SARRAPIO. DESBORDAMIENTO RIO CASANARE</t>
  </si>
  <si>
    <t>REPORTE DEL CREPAD Y LA DEFENSA CIVIL. AFECTADA ZONA URBANA.</t>
  </si>
  <si>
    <t>REPELON</t>
  </si>
  <si>
    <t>DESBORDAMIENTO DEL CANAL DEL DIQUE. VEREDA LAS COMPUERTAS. REPORTE DE LA DEFENS ACIVIL.</t>
  </si>
  <si>
    <t>CASCO URBANO. REPORTE DE LA DEFENSA CIVIL.</t>
  </si>
  <si>
    <t>TIMBIO</t>
  </si>
  <si>
    <t>BODEGA DE CILINDROS DE GAS PROPANO. REPORTE DE BOMBEROS DE TIMBIO.</t>
  </si>
  <si>
    <t>BARRIOS ROCIO BAJO, ROCIO ALTO, SINAI, EL POBLADO. REPORTE DE LA EFENSA CIVIL.</t>
  </si>
  <si>
    <t>VEREDAS ZARAGOZA Y TAMARINDO REPORTE DEL CREPAD Y LA DEFENSA CIVIL.</t>
  </si>
  <si>
    <t>CABECERA MUNICIPAL</t>
  </si>
  <si>
    <t>PURISIMA</t>
  </si>
  <si>
    <t>BARRIO HORIZONTE. REPORTE DE LA DEFENSA CIVIL.</t>
  </si>
  <si>
    <t>KM 19 VIA SAN ANDRES ITUANGO REPORTE DE LA CRUZ ROJA</t>
  </si>
  <si>
    <t xml:space="preserve">REPORTE DEL CLOPAD. BARRIOS 20 DE JULIO , CARRERA 14 CON CALLE 25. </t>
  </si>
  <si>
    <t>CALLE 12 CARR. 2 Y 3 . REPORTE DEL CREPAD</t>
  </si>
  <si>
    <t>CINCO LOCALES COMERCIALES</t>
  </si>
  <si>
    <t>BARRIOS LA ESTANCIA, PRADERA BAJ. DESBORDAMIENTO QUEBRADA LA ESPAÑOLA Y LA VENENOSA</t>
  </si>
  <si>
    <t>DEBORDAMIENTO ARROYO BOSCONIA. REPORTE DEL CREPAD.</t>
  </si>
  <si>
    <t>SECTOR SIETE DE ABRIL Y CENTRO, SAN FELIPE, SECTOR CANTEROS, CANGREJEROS. BARRIO LA ESMERALDA. REPORTE DEL CLOPAD.</t>
  </si>
  <si>
    <t>BARRIOS NUEVO HORIZOPDE, CALDAS, ESPERANZAS, NUEVA ESPERANDZA. SAN JOFE, REPORTE DE DEFENDA CIVIL.</t>
  </si>
  <si>
    <t xml:space="preserve">ROMPIMINETO DEL CANAL DEL DIQUE. REPORTE DE FESA CIVIL. BARRIOS, LA GUAJIRA, VERGEL, MAIZAL. </t>
  </si>
  <si>
    <t>NUEVA GRANADA</t>
  </si>
  <si>
    <t>DESBORDAMIENTO ARROYO LA FERIA BARRIOS LA VICTORIA Y NUEVA GRANADA. REPORTE DE LADEFENSACIVIL</t>
  </si>
  <si>
    <t>ZONA URBABNA ARROYO GRADE DEENSA CIVIL</t>
  </si>
  <si>
    <t>QUEBRADA AGUS PRIETAS, VEREDA MATA DE PLATANO. REPORTE DE DCC,.</t>
  </si>
  <si>
    <t>SECTOR OVEJAS VIA PANAMERICANA KM 51</t>
  </si>
  <si>
    <t>RIO SAN JUAN Y CAÑO CAIMAN.  CORREGIM. SANTA CATALINA Y EL TOMATE.</t>
  </si>
  <si>
    <t>CORREGIMEINTOPAN DE AZUCAR. REPORTE DEL CREPAD.</t>
  </si>
  <si>
    <t>CIENAGA GRANDE DE SANTA MARTA. REPORTE DE LA DEFENSA CIVL</t>
  </si>
  <si>
    <t>PUENTE ARROYO PICHILI</t>
  </si>
  <si>
    <t xml:space="preserve">REPROTE DEL CREPAD CAÑO PICHILI. </t>
  </si>
  <si>
    <t>VEREDA LA ISLITA, PERDIDA DECULTIVOS.</t>
  </si>
  <si>
    <t>VEREDA LIMONES. REPORTE DE LA DEFENSA CIVL</t>
  </si>
  <si>
    <t>SECTOR LAS MARGARITAS. REPORTE DE LA DEFENSA CIVL</t>
  </si>
  <si>
    <t>AFECTADAS VIAS BUCARAMANGA - SAN ALBERTO, BUCARAMANCA - BARRANCABERMEJA.</t>
  </si>
  <si>
    <t>RIOS CALANDAIMA, APULO Y BOGOTA. BARRIO JORGE ELIESER GAITAN Y BOCA CANOA.. VEREDAS SAN ANTONIO Y SANTA ANA. REPORTE DEL CREPAD</t>
  </si>
  <si>
    <t>VEREDA SAN NICOLAS. REPORTE DEL CREPAD.</t>
  </si>
  <si>
    <t>VEREDA NEPTUNA, SAN MARTIN, SAN ANTONIO, RIO LINDO, ALTO GRANDE.. REPORTE DEL CREPAD. DESBORDAMIENTO RIO NEGRO, REPORTE DEL CREPAD.</t>
  </si>
  <si>
    <t>VEREDA LA SELVA. REPORTE DEL CREPAD.</t>
  </si>
  <si>
    <t>REIO HILO. VEREDA CENTRO. REPORTE DEL CREPAD. PEUNTES EL CURAL,LA LIBERTAD</t>
  </si>
  <si>
    <t>CRECIENTE RIO BOGOTA, APULO Y CALANDAIMA. VEREDA E PORTILLO.</t>
  </si>
  <si>
    <t>2000 AVES</t>
  </si>
  <si>
    <t>REPORTE DE BOMBEROS, VEREDA EL CONSUELO Y LA CHICA.</t>
  </si>
  <si>
    <t>SECTOR TAMBORAZ. REPORTE DEL CREPAD.</t>
  </si>
  <si>
    <t>27297
27287</t>
  </si>
  <si>
    <t>24564
27394</t>
  </si>
  <si>
    <t>24569
27394</t>
  </si>
  <si>
    <t>285
24984
27295</t>
  </si>
  <si>
    <t>21211
27295</t>
  </si>
  <si>
    <t>402
27323</t>
  </si>
  <si>
    <t>CARPAS</t>
  </si>
  <si>
    <t>BOTAS</t>
  </si>
  <si>
    <t>REPORTE DEL CREPADEL MUNICIPIO DECLARO URGENCIA MANIFIESTA PARA LA EJECUCION DE LAS OBRAS QUE MITIGUEN LOS EFECTOS DE INUNDACION , EROSION Y SOCAVACION CAUSADOS POR LA QUEBRADA LA PERCHIQUEZ Y EL RIO CHICAMOCHA.</t>
  </si>
  <si>
    <t>VEREDA LA TRINCHERA. BUS ESCALERA QUE CAYO A LA QUEBRADA ESMERALDAS DEBIDO AL MAL ESTADO DE LA VIA. REPORTE DEL CLOPAD Y CREPAD.</t>
  </si>
  <si>
    <r>
      <t xml:space="preserve">AFECTADAS VIAS COCORA, CAMINO NACIONAL, CANAAN, BOQUIA, EL ROBLE, EL AGRADO, PALESTINA, LOS PINOS, LLANO GRANDE, SAN JUAN DE CAROLINA. </t>
    </r>
    <r>
      <rPr>
        <b/>
        <sz val="9"/>
        <rFont val="Arial"/>
        <family val="2"/>
      </rPr>
      <t>APOYO DEL FNC MEDIANTE GIRO DIRECTO AL CLOPAD PARA LA COMPRA DE COMBUSTIBLES Y LUBRICANTES PARA LA RECUPERACION DE LA INFRAESTRUCTURA VIAL.</t>
    </r>
  </si>
  <si>
    <t>20218
23239</t>
  </si>
  <si>
    <r>
      <t>DESBORDAMIENTO RIO MAGDALENA. REPORTE DE LA DEFENSA CIVIL. ENVIAN CENSO AGROPECUARIO PARA ENVIO A MINAGRICULTURA.</t>
    </r>
    <r>
      <rPr>
        <b/>
        <sz val="9"/>
        <rFont val="Arial"/>
        <family val="2"/>
      </rPr>
      <t xml:space="preserve"> EL VALOR DE OTROS CORRESPONDE A UNA MOTOBOMBA MOTOS DIESEL DE 10"</t>
    </r>
  </si>
  <si>
    <t>DESBORDAMIENTO ARROYO AMANZAGUAPOS. BARRIO ISLA GALLINAZO. REPORTE DE CREPAD. AFECTADO CENTRO DE SALUD DE COVEÑAS, SOLICITAN AYUDA EN REPARACIONES LOCATIVAS, EQUIPOS MEDICOS Y EQUIPOS DE OFICINA Y SE REMITE AL MINISTERIO DE LA PROTECCION SOCIAL.</t>
  </si>
  <si>
    <t>AFECTADA FABRICA DE ALGODÓN</t>
  </si>
  <si>
    <t>DESBORDAMIENTO QUEBRADA TIBANICA. BARRIOS LA DESPENSA, LOS OLIVOS Y LEON XIII. REPORTE DEL CREPAD Y DEFENSA CIVIL.</t>
  </si>
  <si>
    <t>CARRERA13 CALLE 6 REPORTE DEL CREPAD</t>
  </si>
  <si>
    <t>SECTOR EL PESCADOR. REPORTE DEL CREPAD VIA ARMENIA - CALARCA</t>
  </si>
  <si>
    <t>BARRIO VILLA DANIELA. REPORTE DEL CREPAD</t>
  </si>
  <si>
    <t>SECTOR EL MILAGRO DE DIOS REPORTE DEL CLOPAD VIA MIRAFLORES LA UNION</t>
  </si>
  <si>
    <t>TIMBIQUI</t>
  </si>
  <si>
    <t>ZONA RURAL REPORTE DEL CREPAD</t>
  </si>
  <si>
    <t>BARRIOS LAS DELICIAS SEGUNDO SECTOR MANZANA F CASA 19. REPORTE DE CLOPAD</t>
  </si>
  <si>
    <t>BARRIO SANTANDER REPORTE DEL CREPAD META.</t>
  </si>
  <si>
    <t>DESBORDAMIENTO RIO GRIS. REPORTE DEL CREPAD</t>
  </si>
  <si>
    <t>EXPLOSION DE MINA DE CARBON VEREDA VIJAGUAL. REPORTE DEL CREPAD VIA RADIOCOMUNICACIONES</t>
  </si>
  <si>
    <t>BARRIO EL PLUMON MANZANA 1. REPORTE DEL CREPAD VIA AVANTEL.</t>
  </si>
  <si>
    <t>MUNICIPIO CON RACIONAMIENTO DE AGUA Y/O DESABASTECIMIENTO POR PROBLEMAS DE SEQUI DEBIDO AL FENOMENO DE EL NIÑO. REPORTE DEL MAVDT. ESTAN SUMINISTRANDO AGUA POR CARRO TANQUES DE LA SECRETARIA DE SALUD Y CORPOGUAJIRA. SE APROBARON RECURSOS EN EL MARCO DEL PDA POR $500 MILLONES PARA LA ATENCIÓN DE LAS EMERGENCIAS. ($205 MILLONES PARA ATENDER EL PRIMER MES).</t>
  </si>
  <si>
    <t>MUNICIPIO CON RACIONAMIENTO DE AGUA Y/O DESABASTECIMIENTO POR PROBLEMAS DE SEQUI DEBIDO AL FENOMENO DE EL NIÑO. REPORTE DEL MAVDT. SE PRACTICARÁ VISITA POR PARTE DEL GESTOR  PARA EVALUAR  LA SITUACIÓN.</t>
  </si>
  <si>
    <t>FLORESTA</t>
  </si>
  <si>
    <t xml:space="preserve">CORREGIMIENTO MALVASA. REPORTE TELEFONICO DEL CREPAD PRELIMINAR Y POSTERIORMENTE LLEGA SOLICITUD DE APOYO. APOYO DEL FNC EN ALIMENTOS </t>
  </si>
  <si>
    <t>SAN PEDRO</t>
  </si>
  <si>
    <t>SE APOYA DE MANERA COMPLEMENTARIA DEBIDO A LOS PROBLEMAS Y EL RIESGO QUE PRESENTA EL COLEGIO</t>
  </si>
  <si>
    <t>SE APOYA TENIENDO EN CUENTA LA AFECTACION POR SEQUIA EN LA POBLACION CAMPESINA.</t>
  </si>
  <si>
    <t>AFECTADO EL CASO URBANO: LOS ALPES, VEREDA LA GRANJA Y LA VICTORIA. ESCUELA HOYOS</t>
  </si>
  <si>
    <t>BARRIO PORVENIR. UN MOTOCICLISTA FALLECIDO. REPORTE DEL CREPAD Y SOCORRO NACIONAL.</t>
  </si>
  <si>
    <t>BARRIOS PORVENIR Y ALTOS DE LA CRUZ EN EVALUACION. FAMILIAS INDIGENAS. REPORTE DE DEFENSA CIVIL.</t>
  </si>
  <si>
    <t>INSPECCION LA SIERRA.</t>
  </si>
  <si>
    <t>LA LLANADA</t>
  </si>
  <si>
    <t>APOYO MEDIANTE EL SUMINISTRO DE HERRAMIENTA BASICA ASI 300 BATEFUEGOS, 300 CASCOS, 300 MONOGAFAS Y 500 RACIONES DE CAMPAÑA Y 1000 SOBRE HIDRATANTES</t>
  </si>
  <si>
    <t>SE APOYA MEDIANTE EL SUMINISTRO DE HERRAMIENTA BASICA ASI 30 BOMBAS DE ESPALDA, 30 RASTRILLOS, 30 PULASKI, 80 BATEFUEGOS, 88 CASCOS, 88 MONOGAFAS, 88 PARES DE GUANTES.</t>
  </si>
  <si>
    <t>LA UNION</t>
  </si>
  <si>
    <t>DESBORDAMIENTO RIO GUABAS Y QUEBRADA LA MARIA. CORREMIENTO COSTARICA, VEREDA CAMPO ALEGRE, EL JARDIN Y PORTUGAL, CORREGIMEINTO RREGADEROS Y VEREDA VILLAVANEGAS. REPORTE DEL CREPAD</t>
  </si>
  <si>
    <t>DESBORDAMIENTO RIO CAUCA, CORREGIMIENTO VILLA PAZ, BOCAS DEL PALO. REPORTE DE LA DEFENSA CIVIL</t>
  </si>
  <si>
    <t>BARRIO VIENTO DE LIBRE. REPORTE DE LA DEFENSA CIVIL.</t>
  </si>
  <si>
    <t>CASCO URBANO, REPORTE DE LA DEFENSA CIVIL</t>
  </si>
  <si>
    <t>CAREPA</t>
  </si>
  <si>
    <t>CASCO URBANO. DESBORDAMIENTO RIOS CAREPA Y LEOPN. REPROTE DE LA DEFENSA CIVIL</t>
  </si>
  <si>
    <t xml:space="preserve">REPORTE DE LA DEFENSA CIVIL. DESBORDAMIENTO RIO LOS CORDOBAS BARRIOS EL MAMEY, EL OASIS, LAS FLORES, VEREDA GALILEA. </t>
  </si>
  <si>
    <t>REPORTE EL CREPAD.</t>
  </si>
  <si>
    <t>CRECIENTE RIO ATRATO REPORTE DE CRUZ ROJA</t>
  </si>
  <si>
    <t xml:space="preserve">VEREDA SICUETA. RIO SAN JAUN AFECTADA COMUNIDAD INDIGENA Y AVALANCHA QUEBRADA PLAYA BONITA. </t>
  </si>
  <si>
    <r>
      <t>DESBORDAMIENTO RIO CULEBRAS. REPORTE DEL CREPAD..</t>
    </r>
    <r>
      <rPr>
        <b/>
        <sz val="9"/>
        <rFont val="Arial"/>
        <family val="2"/>
      </rPr>
      <t xml:space="preserve"> APOYO DEL FNC MEDIANTE GIRO DIRECTO AL CLOPAD PARA LA ADQUISICION DE COMBUSTIBLE PARA TRABAJOS DE MANTENIMIENTO DE VIAS.</t>
    </r>
  </si>
  <si>
    <t>25678
47296</t>
  </si>
  <si>
    <r>
      <t>DESBORDAMIENTO RIO ATRATO. REPORTE DEL CREPAD.</t>
    </r>
    <r>
      <rPr>
        <b/>
        <sz val="9"/>
        <rFont val="Arial"/>
        <family val="2"/>
      </rPr>
      <t>GIRO DIRECTO A TRAVES DEL CLOPAD PARA LA ADQUISICION DE MADERA PARA LA CONSTRUCCION DE TAMBOS (63,100,000) Y LA ADQUISICION DE COMBUSTIBLE (46,800,000).</t>
    </r>
  </si>
  <si>
    <t>APOYO DEL FNC MEDIANTE GIRO DIRECTO ALCREPAD PARA LOS MUNICIPIOS DE GUAMAL (30,000,000), SAN SEBASTIAN (18,000,000), SANTA ANA (30,000,000), PLATO (50,000,000), PEDRAZA (5,000,000), CERRO DE SAN ANTONIO (51,840,000), EL PIÑOS (50.000.000), SITIONUEVO (30.000.000), REPOMINO (70.000.000), 2L RETEN (150.000.000), DEPARTAMENTO (100,000,000)</t>
  </si>
  <si>
    <t>BARRIOS UMARIZAL, GAITAN, CENTRO, ONCE DE NOVIEMBRE, PLAZA DE MERCADO, COLOMBIA. REPORTE DE LA DDC</t>
  </si>
  <si>
    <t>BARRIO DE LA INDEPENDENCIA. REPORTE DE LA DEFENSA CIVIL</t>
  </si>
  <si>
    <t>SE APOYA TENIEDNO EN CUENTA LA MAGNITUD DE LA EMERGENCIA</t>
  </si>
  <si>
    <t>APOYO DEL FNC MEDIANTE GIR DIRECTO AL CLOPAD PARA LAA ADQUISICION DE COMBUESTIBLE, ARREGLOE DE UNA TRACTO BOMBA, ALQUILER DE MAQUINARIA Y MEDIDAS DE PROTECCION</t>
  </si>
  <si>
    <t>266
269
270
23554
23795
26474</t>
  </si>
  <si>
    <t>293
23928
24652
23931
26476
26473</t>
  </si>
  <si>
    <t>BARRIO VERSALLES. REPORTE DE LA DEFENSA CIVIL.</t>
  </si>
  <si>
    <t>BARAYA</t>
  </si>
  <si>
    <t>KM 12 VEREDA GARRAPISO. REPROTE DEL CREPAD.</t>
  </si>
  <si>
    <t>AFECTADA VIA DE GUACAYO SALODOBLANCO</t>
  </si>
  <si>
    <t>VIA LOS FARALLONES. VEREDA GALILEA. REPORTE DEL CREPAD.</t>
  </si>
  <si>
    <t>PAICOL</t>
  </si>
  <si>
    <t>REPORTE DEL CREPAD Y CLOPAD. APOYO DEL FNC EN ALIMENTOS</t>
  </si>
  <si>
    <t>VEREDAS CARRAPAL ALTO, MONTAÑA NEGRA, SAN GIL,  Y ESCUELAS DE LAS VEREDAS SAN GIL, SANTIAGO Y REMOLINO. REPORTE DEL CREPAD Y CLOPAD.. APOYO DEL FNC EN LAMINAS DE ZINC (100)</t>
  </si>
  <si>
    <t>VEREDAS CHOPRRILLO, PUEBLO NUEVO Y SAN GIL . REPORTE DEL CREPAD Y CLOPAD.  APOYO DEL FNC EN LAMINAS DE ZINC (100).</t>
  </si>
  <si>
    <t xml:space="preserve">REPORTE DEL CLOPAD. </t>
  </si>
  <si>
    <t>DAÑOS EN CULTIVOS Y VIAS.</t>
  </si>
  <si>
    <t>TUBARA</t>
  </si>
  <si>
    <t>APOYO DEL FNC MEDIANTE GIRO AL CLOPAD PARA PAGO DE SUBSIDIO DE ARRIENDO PARA LAS 24 FAMILIAS AFECTADAS DURANTE LOS MESES DE FEBRERO DE 2009 A ENERO DE 2010.</t>
  </si>
  <si>
    <t>SE APOYA TENIENDO EN CUENTA LA MAGNITUD DE LA EMERGENCIA POR DESAVASTECIMIENTO DE AGUA.</t>
  </si>
  <si>
    <t>SE APOYA TENIENDO EN CUENTA LA NECESIDAD DE MEJORAR LA VIA COMO MECANISMO DE TRANSPORTE DE LA COMUNIDAD.</t>
  </si>
  <si>
    <r>
      <t xml:space="preserve">CORREGIMIENTO SANTA RITA DEL OPON. </t>
    </r>
    <r>
      <rPr>
        <b/>
        <sz val="9"/>
        <rFont val="Arial"/>
        <family val="2"/>
      </rPr>
      <t>APOYO DEL FNC MEDIANTE GIRO DIRECTO AL CLOPAD PARA ALQUILER DE MOTONIVELADORA, RETROEXCAVADORA Y MALLA DE GAVION.</t>
    </r>
  </si>
  <si>
    <r>
      <t xml:space="preserve">VEREDA LA LAGUNA Y LA LOMA. </t>
    </r>
    <r>
      <rPr>
        <b/>
        <sz val="9"/>
        <rFont val="Arial"/>
        <family val="2"/>
      </rPr>
      <t>APOYO DEL FNC MEDIANTE GIRO DIRECTO AL CLOPAD PARA LA ADQUISICION DE 150 TANQUES DE 500 LITROS Y 2 VEJIGAS POR VALOR DE $46,000,000.</t>
    </r>
  </si>
  <si>
    <t>ABREGO</t>
  </si>
  <si>
    <t>252
153</t>
  </si>
  <si>
    <t>153
142</t>
  </si>
  <si>
    <t>AYAPEL</t>
  </si>
  <si>
    <t>VEREDA ALTO MIRA. REPORTE DEL CREPAD</t>
  </si>
  <si>
    <t>VEREDA PEÑAS BLANCAS. REPORTE DEL CREPAD .</t>
  </si>
  <si>
    <t>COTORRA</t>
  </si>
  <si>
    <t>PUERTO COLOMBIA</t>
  </si>
  <si>
    <t>227
247
266</t>
  </si>
  <si>
    <t>SE APOYA DE MANERA COMPLEMENTARIA A LOS ESFUERZOZ LOCALES Y REGIONALES</t>
  </si>
  <si>
    <t>TALAIGUA NUEVO</t>
  </si>
  <si>
    <t>APOYO GLOPAL PARA LOS MUNICIPIOS DE PUERTO WILCHES, BARRANCABERMEJA, CIMITARRA, PUERTO PARRA, SIMACOTA, JESUS MARIA, BUCARAMANGA, GALAN OALMAS DEL SOCORRO.</t>
  </si>
  <si>
    <t>SE APOYA TENINEDO EN CUENTA LA MAGNITUD DE LA EMERGENCIA</t>
  </si>
  <si>
    <t>APOYO MEDIANTE 70000 SACOS</t>
  </si>
  <si>
    <r>
      <t xml:space="preserve">AFECTACION POR EL FENOMENO DEL NIÑO. </t>
    </r>
    <r>
      <rPr>
        <b/>
        <sz val="9"/>
        <rFont val="Arial"/>
        <family val="2"/>
      </rPr>
      <t>SE DEVUELVE YA QUE LA SOLICITUD LLEGO EXTEMPORANEA EN TEMPORADA INVERNAL</t>
    </r>
  </si>
  <si>
    <r>
      <t>AFECTACION POR EL FENOMENO DEL NIÑO</t>
    </r>
    <r>
      <rPr>
        <b/>
        <sz val="9"/>
        <rFont val="Arial"/>
        <family val="2"/>
      </rPr>
      <t>. SE DEVUELVE YA QUE LA SOLICITUD LLEGO EXTEMPORANEA EN TEMPORADA INVERNAL</t>
    </r>
  </si>
  <si>
    <t>DIBULLA</t>
  </si>
  <si>
    <t>ERUPCION VOLCANICA</t>
  </si>
  <si>
    <t>VEREDA LAS VEGAS, SECTOR EL VOLCAN, REPORTE DE LA DEFENSA CIVIL Y EL CREPAD.</t>
  </si>
  <si>
    <t>EL TAMBO</t>
  </si>
  <si>
    <t>270
274</t>
  </si>
  <si>
    <t>270
279</t>
  </si>
  <si>
    <t>ACANDI</t>
  </si>
  <si>
    <r>
      <t>PEÑALOSA, SAN MIGUEL, CHUGANDI, SANTA CRUZ CALETA. REPORTE DEL CLOPAD.</t>
    </r>
    <r>
      <rPr>
        <b/>
        <sz val="9"/>
        <rFont val="Arial"/>
        <family val="2"/>
      </rPr>
      <t xml:space="preserve"> APOYO DEL FNC MEDIANTE GIRO DIRECTO AL CLOPAD PARAM CNSTRUCCION ESTRUCTURA DE DICIPACION TEMPORAL RIO TOLO, CORREGIMIENTO DE PEÑALOZA</t>
    </r>
  </si>
  <si>
    <t>266
270
271</t>
  </si>
  <si>
    <t>GONZALEZ</t>
  </si>
  <si>
    <t>BARRIO GUCAMAYA SECTOR DE LOS CUROS. REPORTE DEL CLOPAD.</t>
  </si>
  <si>
    <t>INUNDACION POR FUERTES LLUVIAS Y DESBORDAMIENTO DEL RIO MANZANARES. BARRIOS SIMON BOLIVAR LAS VEGAS, LOS ALPES, CENTRO Y ALMENDROS EN TOTAL 30 BARRIOS AFECTADOS. REPORTE DE CREPAD Y CLOPAD</t>
  </si>
  <si>
    <t>SECTORES NAZARETH PROTECHO 1 Y 2, URBANIZACION VILLA CLARA Y MODELIA 1 Y 2. REPORTE DEL CREPAD</t>
  </si>
  <si>
    <t>VEREDA CARACOLI. REPORTE DEL CREPAD.</t>
  </si>
  <si>
    <r>
      <t>VIA QUE CONDUCE A LA VEREDA JABONERA Y SAN ROQUE. SOLICTAN RECURSOS PARA LA VIA.</t>
    </r>
    <r>
      <rPr>
        <b/>
        <sz val="9"/>
        <rFont val="Arial"/>
        <family val="2"/>
      </rPr>
      <t xml:space="preserve"> PASA A EVALUACION POR PROYECTO.</t>
    </r>
  </si>
  <si>
    <r>
      <t>DESBORDAMIENTO ARROYO EL TIGRE. REPORTE DE LA DEFENSA CIVIL</t>
    </r>
    <r>
      <rPr>
        <b/>
        <sz val="9"/>
        <rFont val="Arial"/>
        <family val="2"/>
      </rPr>
      <t>. PASA AL GRUPO DE SOPORTE  LA GESTION YA QUE LA SOLICITUD ES PARA BANCO DE MATERIALES PARA VIVIENDA</t>
    </r>
  </si>
  <si>
    <r>
      <t xml:space="preserve">CORREGIMIENTO SAN JOSE DE SACO. </t>
    </r>
    <r>
      <rPr>
        <b/>
        <sz val="9"/>
        <rFont val="Arial"/>
        <family val="2"/>
      </rPr>
      <t>PASA A EVALUACION DE SOPORTE A LA GESTION POR SER TEMA DE VIVIENDA.</t>
    </r>
  </si>
  <si>
    <t>SOLICITUD PARA BANCO DE MATERIALES VIVIENDA</t>
  </si>
  <si>
    <t>96629
98122</t>
  </si>
  <si>
    <t>EL VALOR DE OTROS CORRESPONDE DOS MOTORES FUERA DE BORDA Y DOS MOTOBOMBAS</t>
  </si>
  <si>
    <t>281
283</t>
  </si>
  <si>
    <t>39301
38422
35157</t>
  </si>
  <si>
    <t>CHIMICHAGUA</t>
  </si>
  <si>
    <t>PUEBLO BELLO</t>
  </si>
  <si>
    <t>RIO DE ORO</t>
  </si>
  <si>
    <t>PELAYA</t>
  </si>
  <si>
    <t>EL PASO</t>
  </si>
  <si>
    <t>SIN CENSOS</t>
  </si>
  <si>
    <t>SE APOYA TENIENDO EN CUENTA LA IMPORTANCIA DE LA LIMPIEZA DE LOS RIOS</t>
  </si>
  <si>
    <r>
      <t xml:space="preserve">COMUNIDADES INDIGENAS DE SAN JOSE LA MANSA, Y CHURICHI. DESBORDAMIENTO DEL RIO BUEY. REPORTE DEL CLOPAD AVAL EL CREPAD. </t>
    </r>
    <r>
      <rPr>
        <b/>
        <sz val="9"/>
        <rFont val="Arial"/>
        <family val="2"/>
      </rPr>
      <t>GIRO DIRECTO PARA LA ADQUISICION DE 233 MACHETES Y 5790 GALONES DE COMBUSTIBLE PARA LABORES OPERATIVAS</t>
    </r>
  </si>
  <si>
    <r>
      <t>CABECERA MUNICIPAL Y CORREGIMIENTO PUERTO NIÑO.</t>
    </r>
    <r>
      <rPr>
        <b/>
        <sz val="9"/>
        <rFont val="Arial"/>
        <family val="2"/>
      </rPr>
      <t xml:space="preserve"> APOYO ADICIONAL DEL FNC MEDIANTE GIRO DIRECTO AL CLOPAD PARA APOYAR LA RECONSTRUCCION Y REALCEDEL DIQUE MARGUINALEN EL CORREGIMEINTO DE PUERTO NIÑO</t>
    </r>
  </si>
  <si>
    <t>APOYO EN SACOS</t>
  </si>
  <si>
    <t>SE APOYA COMO MEDIDA DE MITIGACION FRENTE A INUNDCIONES</t>
  </si>
  <si>
    <t>EXPLOSION DE FABRICA CLANDESTINA DE POLVORA. BARRIO LOS SAUCES. CR.1 CALLE 17 REPORTE DEL CLOPAD</t>
  </si>
  <si>
    <t>BARRIO POZO LLANO Y PINZON VEREDAS SAN EMGDIO SAN JUAN SAN ISISDRO, VIA PUWEBLITO BOYACENSE Y VEREDA EL CHORRITO. REPROTE DEL CREPAD</t>
  </si>
  <si>
    <t>267
266
275
271
284</t>
  </si>
  <si>
    <t>GENOVA</t>
  </si>
  <si>
    <t>REPORTE DEL CLOPAD Y AVAL DE CLOPAD. VIAS:VUELTA DE LA OREJA- VEREDA TOPACITA ALTA, TOPACITA ALTA- FINCA EL JARDIN, FINCA EL JARDIN - BATALLON ALTA MONTAÑA, VEREDA GUACAS - FINCA LAS MIRLAS, SECTOR ALTO DE LA CRUZ, VIA EL SEDAL - BATALLON ALTA MONTAÑA - ALTOS DE LAS PALOMAS, RIO ROJO - VEREDA EL PENCIL, LA COQUETA- LA PRIMAVERA - PEDREGALES, RIO GRIZ - SAN JUAN,M RIO GRIS - EL PINO, SAN JUAN - LAS COLINAS - COSTA RICA, CUMARAL - LA PLAYITA, CUMARAL - LA MIRANDA, CUMARAL - EL CAIRO, EL DORADO - LA CASCADA.</t>
  </si>
  <si>
    <t>APOYO DEL FNC MEDIANTE GIRO DIRECTO AL CLOPAD PARA LA CONSTRUCCION DE DOCE VIVIENDAS, OCHO EN EL CENTRO DE AFLUENCIA PUERTO EUGENIO Y CUATRO EN LA ZONA URBANA.</t>
  </si>
  <si>
    <t>VEREDA LOS CORALES CORREGIMIENTOS EL CHINO, NUEVO MILENIO,VILLA NUEVA, SAN FRANCISCO, LAS LOMAS. REPORTE DE LA EFENSA CIVIL. DESBORDAMIENTO DE  LA CIÉNAGA GRANDE DE PURÍSIMA Y SE AFECTARON DIVERSOS BARRIOS: TALES SAN FRANCISCO SAN FERNANDO, EL POZO, EL CORREGIMIENTO DE LOS CORRALES Y ZONAS ALEDAÑAS.</t>
  </si>
  <si>
    <t>ACTUALIZACION DEL CREPAD POR PERDIDAS AGROPECUARIAS. ACTUALIZACION EN REUNION DEL 18 DE ABRIL DE 2011</t>
  </si>
  <si>
    <t>ACTUALIZACION DEL CREPAD POR PERDIDAS AGROPECUARIAS. ACTUALIZADO EN REUNION DEL 18 DE ABRIL DE 2011</t>
  </si>
  <si>
    <t>MUNICIPIO CON RACIONAMIENTO DE AGUA Y/O DESABASTECIMIENTO POR PROBLEMAS DE SEQUI DEBIDO AL FENOMENO DE EL NIÑO. REPORTE DEL MAVDT. COSIDERAN QUE CON EL COMPORTAMIENTO DE LA CUENCA PODRÁN ABASTECER TODO ESTE PERIODO 12 HORAS DÍA; EN CASO DE EMERGENCIA SE PODRÍAN REDUCIR LOS CUNSUMOS; COMO MEDIDAS DE CONTINGENCIA SE HA CONSIDERADO LA RESTRICCIÓN DE USOS Y CAMPAÑAS DE SENSIBILIZACIÓN. ENVIO DE UN TANQUE DE 15000 LITROS DE MEDICOS SIN FRONTERAS</t>
  </si>
  <si>
    <t>SOLICITUD DE LA DEFENSA CIVIL DE CUNDINAMARCA. EL VALOR DE OTROS CORRESPONDE A 600 RACIONES DE CAMPAÑA</t>
  </si>
  <si>
    <t>DESBORDAMIENTO QUEBRADA LA OCA. VEREDA TOSNOBAN, QUINIENTOSCINCO, LA OCTAVA, CAÑO LA TERCERA, CORREGIMIENTOS DE BUENOS AIRES Y EL PATO. REPORTE DEL CREPAD.</t>
  </si>
  <si>
    <t>CORREGIMIENTO ZARAGOZA, REPORTE EDL CREPAD.</t>
  </si>
  <si>
    <t>BARRIO EL PARAISO, SECTOR LAS COCAS. REPORTE DEL CREPAD</t>
  </si>
  <si>
    <t>SONSON</t>
  </si>
  <si>
    <t>REPORTE DE DEFENS ACIVIL.</t>
  </si>
  <si>
    <t>SE APOYA DE ACUERDO CON EL PLAN DE CONTINGENCIA POR ERUPCION DEL VOLCAN NEVADO DEL HUILA Y TENIENDO EN CUENTA QUE EL DIA 15 DE JUNIO SUBIO EL NIVEL DE ALERTA A NARANJA</t>
  </si>
  <si>
    <t>APOYO DEL FNC MEDIANTE GIRO DIRECTO AL CLOPAD PARA LA CONSTRUCCION DE ALOJAMIENTO TEMPORAL PARA LA ZONA DE INFLUENCIA DEL VOLCAN NEVADO DEL HUILA QUE COMPRENDE LAS VEREDAS DE CANSARROCINES, LADERASY PATICO.</t>
  </si>
  <si>
    <t>SE APOYA TENIENDO EN CUENTA LA IMPORATANCIA DE LA OBRA</t>
  </si>
  <si>
    <t>APOYO DEL FNC AL CLOPADLA LA REALIZACION DE PROTECCION Y RELLENOS EN LA VIA CHALAN - LA CEIBA - Y CHALAN MANZANARES</t>
  </si>
  <si>
    <t>LA CALERA</t>
  </si>
  <si>
    <t>VALLEDUPAR</t>
  </si>
  <si>
    <t>DESBORDAMIENTO CAÑO LA AHUYAMA. BARRIOS LA PRADERA, LOS ANGELES, LA PLAYA, LA CRUZ CHINA, Y PINAR DEL RIO Y EL GOLFO. REPORTE DEL CLOPAD</t>
  </si>
  <si>
    <t>SECTOR URBANO BARRIOS JUAN 23, POLICARPA, GENEQUEN, CARACOLI Y CORREGIMIENTO DE APURE. DESBPORDAMIENTO ARROYO CAMARGO. REPORTE DEL CREPAD.</t>
  </si>
  <si>
    <t>LOCALIDAD RAFAEL URIBE URIBE BARRIO EL PORTAL.</t>
  </si>
  <si>
    <t>AFECTADOS DOS VEHICULOS QUE SE ENCONTRABAN EN EL LUGAR.</t>
  </si>
  <si>
    <t>NEIVA</t>
  </si>
  <si>
    <t>CRECIENTE SUBITA DE LA QUEBRADA SAN JOSE. VEREDAS PIEDRAS NEGRAS, SECTOR PUERTO BOGOTA. REPORTE DEL CREPAD.</t>
  </si>
  <si>
    <t>BECERRIL</t>
  </si>
  <si>
    <t>GUARANDA</t>
  </si>
  <si>
    <t>VEREDA EL SOCORRO. ROMPIMIENTO DE BARRERAS DE CONTENCION MARGEN IZQUIERDA RIO CAUCA. REPORTE DE LA CRUZ ROJA.</t>
  </si>
  <si>
    <t>PERDIDA DE CULTIVOS DE ARROZ</t>
  </si>
  <si>
    <t>ARJONA</t>
  </si>
  <si>
    <t>DESBORDAMIENTO CAÑO LIMETA AFECTADAS VEREDAS SAN ISIDRO, VERDE, MATA LARGA Y EL BANCO REPORTE DE LA DEFENSA CIVIL</t>
  </si>
  <si>
    <t>REPORTE DE LA DEFENSA CIVIL VEREDAS LA HOYA, LA ENFADOSA Y TARRAPUJA.</t>
  </si>
  <si>
    <t>AMAZONAS</t>
  </si>
  <si>
    <t>LETICIA</t>
  </si>
  <si>
    <t>FINCA EL MUELLE. REPORTE DEL CREPAD</t>
  </si>
  <si>
    <t>BARRIOS LA FLORIDA Y EL LAGUITO. FUERTES LLUVIAS. REPORTE DE DEFENSA CIVIL.</t>
  </si>
  <si>
    <t>MONTENEGRO</t>
  </si>
  <si>
    <t>BARRIOS VILLA MARLY, SANTA HELENA, PARQUEADERO GORETI, JESUS MAESTRE, BALANTRERA, RAMIREZ FRANCO, ISABELA, MARCONI. REPORTE DEL CREPAD.</t>
  </si>
  <si>
    <t>CAIDA DE ARBOLES, AFECTADOS KIOSCOS DE3 ESPENDIO DE DULCES.</t>
  </si>
  <si>
    <t>FECHA RECIBO</t>
  </si>
  <si>
    <t>TOTAL</t>
  </si>
  <si>
    <t>HECTAREAS</t>
  </si>
  <si>
    <t>-</t>
  </si>
  <si>
    <t>GIRO DIRECTO</t>
  </si>
  <si>
    <t>APOYOS EN TRAMITE</t>
  </si>
  <si>
    <t>GRANIZADA</t>
  </si>
  <si>
    <t>MATERIALES CONSTRUCCION</t>
  </si>
  <si>
    <t>VARIOS</t>
  </si>
  <si>
    <t xml:space="preserve"> A F E C T A C I Ó N</t>
  </si>
  <si>
    <t>VIV.DESTRU.</t>
  </si>
  <si>
    <t>VIV.AVER.</t>
  </si>
  <si>
    <t>.</t>
  </si>
  <si>
    <t>HERIDOS</t>
  </si>
  <si>
    <t>DESAPA.</t>
  </si>
  <si>
    <t>PTES.VEHIC.</t>
  </si>
  <si>
    <t>PTES.PEAT.</t>
  </si>
  <si>
    <t>NUMERO DE RADICADO</t>
  </si>
  <si>
    <t>NUMERO DE MEMORANDO / OFICIO</t>
  </si>
  <si>
    <t>SE APOYA LA SOLICITUD CONSIDERANDO LA GESTION REA&lt;LIZADA POR LA ADMINISTRACION MUNICIPAL Y LOS ESFUERZOS REALIZADOS POR EL DEPARTAMENTO EN EL TEMA DE LA GESTION DEL RIESGO</t>
  </si>
  <si>
    <t>CAPARRAPI</t>
  </si>
  <si>
    <t>SE APOYA TENIENDO EN CUENTA QUE EN LA MISMA FECHA RESULTARON VARIOS MUNICIPIOS AFECTADOS EN EL DEPARTAMENTO DEL TOLIMA, POR LO CUAL REQUIEREN DEL APOYO COMPLEMENTARIO DEL NIVEL NACIONAL.</t>
  </si>
  <si>
    <t>GUAMO</t>
  </si>
  <si>
    <t>PERDIDA DE CULTIVOS CAFÉ, PLATANO, BANANO, CACHACO, YUCA, ARBOLES FRUTALES, MAIZ AGUACATE, NARANJOS Y LIMON</t>
  </si>
  <si>
    <t>REPORTE DEL CREPAD. PRELIMINAR</t>
  </si>
  <si>
    <t>17
132</t>
  </si>
  <si>
    <r>
      <t>AVALANCHA DEL RIO MUNGUIDO, AFECTADAS 16 COMUNIDADES NEGRAS E INDIGENAS, PERDIDA DE CULTIVOS.</t>
    </r>
    <r>
      <rPr>
        <b/>
        <sz val="9"/>
        <rFont val="Arial"/>
        <family val="2"/>
      </rPr>
      <t xml:space="preserve"> APOYO DEL FNC MEDIANTE GIRO DIRECTO AL CLOPAD  PARA ADQUISICION DE EQUIPO LOGISTICO: HERRAMIENTAS Y EQUIPO MENOR $20.000.000; COMBUSTIBLE $10.000.000 Y BANCO DE MATERIALES PARA LA RECONSTRUCCIÓN $50,000,000</t>
    </r>
  </si>
  <si>
    <t xml:space="preserve">SE APOYA TENIENDO EN CUENTA LA AFECTACION EN VIVIENDAS Y TANQUES D EALMACENAMIENTO DE AGUA Y LOS ESFUERZOS LOCALES. </t>
  </si>
  <si>
    <t>EL VALOR DE OTROS CORRESPODE A 25 TANQUES DE AGUA DE 500 LITROS</t>
  </si>
  <si>
    <t>AMAGA</t>
  </si>
  <si>
    <t>LA APARTADA</t>
  </si>
  <si>
    <t>BARRIOS VILLA VICTORIA, TIERRA SANTA, 24 DE NOVIEMBRE, DIVINO NIÑO, EL ORIENTE, SAN MATEO, MONTELIBANO Y EL RETORNO. INUNDACION POR AGUAS LLUVIAS.</t>
  </si>
  <si>
    <t>MONTELIBANO</t>
  </si>
  <si>
    <r>
      <t xml:space="preserve">INUNDACION POR FUERTES LLUVIAS  DIEZ BARRIOS AFECTADOS. REPORTE DEL CREPAD. </t>
    </r>
    <r>
      <rPr>
        <b/>
        <sz val="9"/>
        <rFont val="Arial"/>
        <family val="2"/>
      </rPr>
      <t>APOYO DEL FNC MEDIANTE GIRO DIRECTO AL CLOPAD PARA APOYAR LA REHABILITACION DE LAS VIAS A VILLA DEL RIO Y FILANDIA POR VALOR TOTAL DE $194,373,600.</t>
    </r>
  </si>
  <si>
    <t>97899
98301</t>
  </si>
  <si>
    <t>AFECTACION EN EL SECTOR AGRICOLA. REPORTE DEL CREPAD. SOLICITAN APOYO ALIMENTARIO</t>
  </si>
  <si>
    <t>SE APOYA TENIENDO EN CUENTA LA SITUACION GRAVE DE SEQUIA</t>
  </si>
  <si>
    <t>CAIDA DE ARBOLES</t>
  </si>
  <si>
    <t>APOYO DEL FNC MEDIANTE EL SUMINISTRO DE 50 BOMBAS DE ESPALDA 50 BATEFUEGOS, 250 MONOGAFAS, 250 PARES DE GUANTES, 250 CASCOS, 25 HACHAS, 25 PALAS PLANAS, 50 PULASKY, 50 RASTRILLOS MCLEOD, 250 TAPABOCAS CON FILTRO.</t>
  </si>
  <si>
    <t xml:space="preserve">VEREDA SAN RAFAEL. SITUACION EN EVALUACION </t>
  </si>
  <si>
    <t>CALDONO</t>
  </si>
  <si>
    <t>REPORTE DEL CREPAD</t>
  </si>
  <si>
    <t>APOYO PARA LOS MUNICIPIOS DE PALMIRA, FLORIDA, JAMUNDI, BOLIVAR, DAGUA, VIGES, LA CUMBRE EL AGUILA, ANSERMANUEVO, ZARZAL, ARGELIA, SAN PEDRO, OBANDO, CARTAGO, SEVILLA.</t>
  </si>
  <si>
    <t>AGUAZUL</t>
  </si>
  <si>
    <t>TRINIDAD</t>
  </si>
  <si>
    <t>SOTAQUIRA</t>
  </si>
  <si>
    <t>VEREDAS EL PLACER, EL PLAN, LA ESPERANZA, LA PICOLA, TORRE 6, EL AGUILA,ANGULO VEL TULCAN Y EL ARENILLO. BARRIOS, SANTANDER, PASTRANA, CALLE REAL, GALERIAS, SAN VICENTE, AVENIDA EL CABLE, LA PLAZUELA, EL TEJAR. REPORTE DE LA SALA DE RADIO DEL CREPAD.</t>
  </si>
  <si>
    <t>CALDAS</t>
  </si>
  <si>
    <t>SE APOYA TENIENDO EN CUENTA LA TEMPORADA SECA</t>
  </si>
  <si>
    <t>SE APOYA ENIENDO EN CUENTA LA TEMPORADA SECA Y LA AMENAZA DE INCENDIOS FORESTALES EN EL PAIS</t>
  </si>
  <si>
    <t>FUERTES LLUVIAS. REPORTE DEL CREPAD APOYO DEL FNC CON MATERIALES PARA RECONSTRUCCION DE VIVIENDAS: 600 TEJAS DE ZINC, 2000 AMARRES, 200 BULTOS DE CEMENTO, 120 TUBOS, 100 VARILLAS CORRUGADAS.</t>
  </si>
  <si>
    <r>
      <t>DESBORDAMIENTO RIO BOGOTA. SECTORES PORVENIR 1 Y 2 PLANADAS, VEREDA SAN FRANCISCO, SANTA ISABEL Y SAN JOSE. REPORTE DEL CREPAD.</t>
    </r>
    <r>
      <rPr>
        <b/>
        <sz val="9"/>
        <rFont val="Arial"/>
        <family val="2"/>
      </rPr>
      <t xml:space="preserve"> APOYO DEL FNC MEDIANTE GIRO DIRECTO AL CLOPAD PARA APOYAR LOS TRABAJOS DE REFORZAMIENTO DE LOS JARILLONES</t>
    </r>
  </si>
  <si>
    <t>SE APOYA DE MANERA COMPLEMENTARIA A LOS ESFUERZOS LOCALES Y REGIONALES.</t>
  </si>
  <si>
    <r>
      <t>BARRIOS MIRADORES DE PIZARIAN, REPORTE DEL CREPAD.</t>
    </r>
    <r>
      <rPr>
        <b/>
        <sz val="9"/>
        <rFont val="Arial"/>
        <family val="2"/>
      </rPr>
      <t xml:space="preserve"> EL VALOR DE OTROS CORRESPONDE A MATERIALES PARA REPARACION DEL ACEUDUCTO</t>
    </r>
  </si>
  <si>
    <r>
      <t xml:space="preserve">CABECERA MUNICIPAL, CORREGIMIENTOS EL TRONCOSO, COCO, SAN RAFAEL, LA PANCHA, TRONCOSITO Y LOS GALVIS. REPORTE DEL CREPAD. </t>
    </r>
    <r>
      <rPr>
        <b/>
        <sz val="10"/>
        <rFont val="Arial"/>
        <family val="2"/>
      </rPr>
      <t>El valor de otrs corresponde a una motobomba de 8"</t>
    </r>
  </si>
  <si>
    <t>BARRIOS FACIOLINCE, LA VALEROSA, SAN MARTIN, PRIMERO E JULIO, VEREDAS LA ISLA, QUIMBAYA, CORREGIMIENTOS SANTA TERESITA, LA LOMA, RINCONADA, ANCON, GUATACA, PUEBLO NUEVO, SAN NICOLAS, GUAIMARCO, BOQUILLAS, CANDELARIA, CALDERA, SAN LUIS, CARMEN DE CICUCO, LOBATA, PIÑONES, SAN IGNACIO, SANTA CRUZ, LA JAGUA, SANTA ROSA, EL ROSARIO, VILLA NUEVA, TRAVESIA, SANTA HELENA, BOMBA. REPORTE DEL CLOPAD Y CREPAD. APOYO EN ALIMENTOS Y TOLDILLOS. EL VALOR DE OTROS CORRESPONDE A UNA MOTOBOMBA DE 8"</t>
  </si>
  <si>
    <t>DESBORDAMIENTOR IO MAGDALENA CABECERA MUNICIPAL CORREGIMEINTOS CAIMITAL, SAN LUIS, EL PROGRESO, CASA DE DIOS, JUAN GABRIEL, BLANCA PALOMA, CANTAGALLO. ALTOS DE LA CRUZ Y PANCOGER, PALMARITO, CAMPO ALEGRE SAN JOSE, SAN LUIS, CASA DE DIOS, BLANCAS PALOMAS, JUAN GABRIEL, HATILLO.
OTROS CORRESPONDE A 500 PARES DE BOTAS
LOS 59,450,000 CORRESPONDE A UNA MOTOBAOMBA DE 8"</t>
  </si>
  <si>
    <t>VEREDAS QUEBRADA GRANDE, APOSENTOS, CHORRERA. SAN CRISTOBAL, REPORTE DEL CREPAD,</t>
  </si>
  <si>
    <t>GUATAQUI</t>
  </si>
  <si>
    <t>CASCO URBANO, REPORTE DEL CREPAD.</t>
  </si>
  <si>
    <t>CORREGIMIENTO OCCIDENTAL, VEREDA NOVILLERO. REPORTE DEL CREPAD.</t>
  </si>
  <si>
    <t>CALLE 9 CARRERA 4, REPORTE DEL CREPAD.</t>
  </si>
  <si>
    <t xml:space="preserve">VEREDA EL CRACOL, REPROTE DEL CREPAD. </t>
  </si>
  <si>
    <t>APOYO ALIMENTARIO PARA EL DEPARTAMENTO SOLICITADO EL 6 DE NOVIEMBRE Y ASISTENCIA HUMANITARIA SOLICITADA POR EL DEPARTAMENTO EL 15 DE DICIEMBRE COMO APOYO A LOS MUNICIPIOS AFECTADOS.</t>
  </si>
  <si>
    <r>
      <t>QUEBRADA LORENA. VEREDA MARINILLA. SECTOR CERRO REDONDO, CUESTA RICA, LAS ADJUNTAS, SOLEDAD, SANTODOMINGO Y LA MORENA. REPORTE DEL CLOPAD..</t>
    </r>
    <r>
      <rPr>
        <b/>
        <sz val="9"/>
        <rFont val="Arial"/>
        <family val="2"/>
      </rPr>
      <t xml:space="preserve"> EL VALOR DE OTROS CORRESPONDE A 15 TANQUES DE 5000 LITROS</t>
    </r>
  </si>
  <si>
    <r>
      <t xml:space="preserve">MUNICIPIO CON RACIONAMIENTO DE AGUA Y/O DESABASTECIMIENTO POR PROBLEMAS DE SEQUIA DEBIDO AL FENOMENO DE EL NIÑO. REPORTE DEL MAVDT. </t>
    </r>
    <r>
      <rPr>
        <b/>
        <sz val="10"/>
        <color indexed="8"/>
        <rFont val="Arial"/>
        <family val="2"/>
      </rPr>
      <t xml:space="preserve">DRAGADO EN ZONA DE CAPTACIÓN.SUMINISTRO E INSTALACIÓN DE MANGUERA PARA EXTENSIÓN DE LA TUBERÍA DE SUCCIÓN Y/O IMPULSIÓN DE AGUA, INCLUIDAS BOYAS DE FLOTACIÓN.ALQUILER PLANTA ELÉCTRICA Y COMBUSTIBLE.SUMINISTRO DE AGUA POR CARROTANQUE.
</t>
    </r>
  </si>
  <si>
    <t>OTROS CORRESPONDE A 100 PARES DE BOTAS</t>
  </si>
  <si>
    <t>PUENTE NACIONAL</t>
  </si>
  <si>
    <t>SE RECIBE COPIA DE OFICIO REMITIDO AL SECRETARIO DEL INTERIOR DE SANTANDER.</t>
  </si>
  <si>
    <t>SE ATENDERA MEDIANTE COLOMBIA HUMANITARIA DE ACUERDO CON LOS CRITERIOS ESTABLECIDOS POR LA GERENCIA</t>
  </si>
  <si>
    <r>
      <t xml:space="preserve">VEREDA MONTEREDONDO Y LA QUIEBRA. REPORTE DEL CREPAD AFECTADAS 1092 FAMILIAS  POR DESABASTECIMIENTO DE AGUA.. </t>
    </r>
    <r>
      <rPr>
        <b/>
        <sz val="9"/>
        <rFont val="Arial"/>
        <family val="2"/>
      </rPr>
      <t>EL VALOR DE OTROS CORRESPONDE A 8 TANQUES DE 1000 LITROS Y 2 TANQUES DE 2000 LITROAS.</t>
    </r>
  </si>
  <si>
    <t>PUEBLO RICO</t>
  </si>
  <si>
    <t>ACUEDUCTO PRINCIPAL Y VEREDAS CIATOCITO, LA SELVA, MARRUECOS, TAIBA, TOTUI.</t>
  </si>
  <si>
    <t>VEREDA TARQUI, SAN CLEMENTE. REPORTE DEL CREPAD. ACUEDUCTOS CORREGIMIENTO SAN CLEMENTE, SANTA ANA, SIRGUIA, VILLA NUEVA, BUENOS AIRES.</t>
  </si>
  <si>
    <t>VEREDA LA TRIBUNA. REPORTE DEL CREPAD. AFECTADO ACUEDUCTO PRINCIPAL Y VEREDAS COLUMBIA, TRIBUNAS, CAUCAYA, EL DIAMANTE, EL PORVENIR, TACHIGUI, SANDIA, LA TERSALIA, PALO REDONDO, PATIO BONITO.</t>
  </si>
  <si>
    <t>PIEDRAS</t>
  </si>
  <si>
    <t>RONCESVALLES</t>
  </si>
  <si>
    <t>ROVIRA</t>
  </si>
  <si>
    <t>VILLAHERMOSA</t>
  </si>
  <si>
    <t>REPORTE DEL CREPAD, ACTUALIZADO EN ENERO DE 2011.</t>
  </si>
  <si>
    <t>REPORTE DEL CREPAD. EL VALOR DE OTROS CORRESPONDE A 500 PARES DE BOTAS.</t>
  </si>
  <si>
    <t>NO HAY SOLICITUD CONCRETA DE APOYO</t>
  </si>
  <si>
    <r>
      <t>DESBOPRDAMIENTO RIO MAGDALENA. CORREGIMIENTO TACAMOCHO .</t>
    </r>
    <r>
      <rPr>
        <b/>
        <sz val="9"/>
        <rFont val="Arial"/>
        <family val="2"/>
      </rPr>
      <t xml:space="preserve"> APOYO DEL FNC MEDIANTE GIRO DIRECTO AL CLOPAD PARA COMBUSTIBLE PARA MOTOBOMBASEN LOS CORREGIMIENTOS DE TACAMOCHO, SAN ADREAS, TACAMOCHITO,. SANTA  LUCIA, Y CABECEA MUNICIPAL (4O MILONES) Y MADERA PARA LA FABRICACION DE ALBERGUES (20 MILONES.</t>
    </r>
  </si>
  <si>
    <r>
      <t>BARRIO LIBANO, EL PUENTE, EL TIGRE SILIO DE LA VIRGEN Y SAN RAFAEL. SECTOR MONTE SAGRADO.</t>
    </r>
    <r>
      <rPr>
        <b/>
        <sz val="9"/>
        <rFont val="Arial"/>
        <family val="2"/>
      </rPr>
      <t xml:space="preserve"> REPROTE DEL CREPAD. APOYO DEL FNC MEDIANTE GIRO DIRECTO AL CLOPAD PARA LA CONSTRUCCION DE ALBERGUES TEMPORALES, DUCHAS, KIT DE ASEO, ALIMENTOS Y HORAS DE MAQUINARIA. SE COORDINO APOYO CON LA FAC.</t>
    </r>
  </si>
  <si>
    <r>
      <t xml:space="preserve">DESBORDAMIENTO CIENAGA GRANDE DEL BAJO SINU. BARRIOS CEDROS, SAN ROQUEL BRISAS DEL RIO, CANDELARIA, Y MORROSQUILLOZONA URBANA BARRIOS  ZARABANDA, LA SUBIDITA, MORROSQUILLO Y SAN ROQUE REPORTE DE LA DEFENSA CIVIL </t>
    </r>
    <r>
      <rPr>
        <b/>
        <sz val="9"/>
        <rFont val="Arial"/>
        <family val="2"/>
      </rPr>
      <t>APOYO DEL FNC MEDIANTE GIRO DIRECTO AL CLOPAD PARA REFORZAMIENTO DEL DIQUE DEL CORREGIMIENTO GOMEZ - PALITO ($49.978.800 LINEA 4) Y COMBUSTIBLE Y MOTOBOMBAS ($60.000.000 LINEA 2)</t>
    </r>
  </si>
  <si>
    <r>
      <t xml:space="preserve">REPORTE DEL CREPAD Y CLOPAD. SE PASA LA GRUPO DE SOPORTE EL TEMA DE VIVENDAS Y AGRICULTURA. </t>
    </r>
    <r>
      <rPr>
        <b/>
        <sz val="9"/>
        <rFont val="Arial"/>
        <family val="2"/>
      </rPr>
      <t>APOYO DEL FNC MEDIANTE GIRO DIRECTO AL CLOPAD PARA LA ADQUISICION DE COMBUSTIBLE PÁRA LA MAQUINARIA PARA LA RECUPERACION DE VIAS</t>
    </r>
  </si>
  <si>
    <r>
      <t xml:space="preserve">VEREDA LA PALMA. PASCOTE, LA CONCEPCION, CERINZA, CARMEN ABAJO, REPORTE DE LA DEFENSA CIVIL </t>
    </r>
    <r>
      <rPr>
        <b/>
        <sz val="9"/>
        <rFont val="Arial"/>
        <family val="2"/>
      </rPr>
      <t>APOYO DEL FNC MEDIANTE GIRO DIRECTO AL CLOPAD PARA LA RECONSTRUCCION EN SITIO DE LAS 20 VIVIENDAS AFECTADAS</t>
    </r>
  </si>
  <si>
    <r>
      <t xml:space="preserve">VEREDAS PESCADORA, EL SOCORRO Y PALMICHAL. REPORTE DEL CREPAD . </t>
    </r>
    <r>
      <rPr>
        <b/>
        <sz val="9"/>
        <rFont val="Arial"/>
        <family val="2"/>
      </rPr>
      <t>APOYO DEL FNC MEDIANTE GIRO DIRECTO AL CLOPAD PARA LA ADQUISICION DE MATERIALES COMPLEMENTARIOS PARA LA REHABILITACION DE LAS VIVIENDAS AFECTADAS.</t>
    </r>
  </si>
  <si>
    <r>
      <t xml:space="preserve">AFECTADO SECTOR DE LA VIRGEN VIA SAN JOSE DEL PALMAR-EL TABOR. EL MUNICIPIO DECLARO LA URGENCIA MANIFIESTA MEDIANTE DECRETO 012 DEL 23 DE FEBRERO DE 2010. </t>
    </r>
    <r>
      <rPr>
        <b/>
        <sz val="9"/>
        <rFont val="Arial"/>
        <family val="2"/>
      </rPr>
      <t>APOYO DEL FNC MEDIANTE GIRO DIRECTO AL CLOPAD PARA EL SUMINISTRO DE GASOLINA Y ACPM PARA REMOCION DE ESCOMBROS EN LA VIA GALAPAGOS - SAN JOSE DEL PALMAR. POR VALOR DE $70.000.000. POSTERIORMENTE EN OCTUBRE SE REALIZA OTRO GIRO POR VALOR E $20.006.640</t>
    </r>
  </si>
  <si>
    <r>
      <t>REPORTE DEL CREPAD. BARRIOS VILLA NUEVA TOLIMA Y BOYACA.</t>
    </r>
    <r>
      <rPr>
        <b/>
        <sz val="9"/>
        <rFont val="Arial"/>
        <family val="2"/>
      </rPr>
      <t xml:space="preserve"> APOYO DEL FNC MEDIANTE GIRO DIRECTO AL CLOPAD, CON EL OBJETO DE QUE SE CONTRATE MANO DE OBRA CALIFICADA QUE APOYE LAS LABORES DE LA ATENCIÓN DE LA EMERGENCIA POR EL VENDAVAL OCURRIDO EL DÍA 02 DE MARZO DEL 2010 Y EN EL CUAL SE AFECTARON 416 FAMILIAS CON SUS RESPECTIVAS VIVIENDAS.
</t>
    </r>
    <r>
      <rPr>
        <sz val="9"/>
        <rFont val="Arial"/>
        <family val="2"/>
      </rPr>
      <t xml:space="preserve">
</t>
    </r>
  </si>
  <si>
    <t>GARZON</t>
  </si>
  <si>
    <t>SANTACRUZ</t>
  </si>
  <si>
    <t>PUERRES</t>
  </si>
  <si>
    <t>LOS ANDES</t>
  </si>
  <si>
    <t>FRANCISCO PIZARRO</t>
  </si>
  <si>
    <t>CALIFORNIA</t>
  </si>
  <si>
    <t>CONFINES</t>
  </si>
  <si>
    <t>CHIPATA</t>
  </si>
  <si>
    <t>LA BELLEZA</t>
  </si>
  <si>
    <t>CHINCHINA</t>
  </si>
  <si>
    <t>CRECIENTE RIO LA MIEL VEREDAS ATARRAYA Y LA HABANA, CORREGIMIENTO SAN MIGUEL. BARRIO LAS FERIAS, JARDIN, OBRERO , PITALITO0, SANTA CECILIA, LAS MAGARITAS, VICTORIA REAL.REPORTE DEL SOCORRO NACIONAL</t>
  </si>
  <si>
    <t>NEIRA</t>
  </si>
  <si>
    <t>NORCASIA</t>
  </si>
  <si>
    <t>SAN JOSE</t>
  </si>
  <si>
    <t>VITERBO</t>
  </si>
  <si>
    <t>ATENDIDO POR EL CRAPD</t>
  </si>
  <si>
    <t>LA TOTALIDAD DE LA POBLACION AFECTADA FUE BENEFICIADA CON RECURSOS DEL FNC DURANTE LA TEMPORADA INVERNAL</t>
  </si>
  <si>
    <t>ACTUALIZACION DE LA INFORMACION POR PARTE DEL CREPAD.</t>
  </si>
  <si>
    <t>SOLICITAN MATERIALES DE CONSTRUCCION. SE  ORIENTO A BUSCAR LA POSIBILIDAD DE ATENDER POR COLOMBIA HUMANITARIA ANTE LA LIMITACION DE RECURSOS DEL FNC</t>
  </si>
  <si>
    <t>PARAMO</t>
  </si>
  <si>
    <t>PINCHOTE</t>
  </si>
  <si>
    <t>SAN MIGUEL</t>
  </si>
  <si>
    <t>VETAS</t>
  </si>
  <si>
    <t>REPORTE DEL CREPAD. ACTUALIZACION DE INFORMACION</t>
  </si>
  <si>
    <t>VEREDAS CENTRO, DUARTE, TAUCASI, TAPIAS, APOSENTOS, LA UPA, LLANO DE TABACO, SALADO DEL PUEBLO. ACTUALIZACION DE LA INFORMACION PRO PARTE DEL CREPAD.</t>
  </si>
  <si>
    <t>VALLE DEL CUHCE, LA CRECIENTE, TUNQUAQUITA, CACHAVITA, VEREDA EL SALITRE. ACTUALIZACION DE INFORMACION POR PARTE DEL CREPAD.REPORTE DEL CREPAD.</t>
  </si>
  <si>
    <t>EL ESPINO</t>
  </si>
  <si>
    <t>VEREDAS LA BURRERA, SANTA ANA, LA LAGUNA, PIE DE PEÑA, LLANO LARGO, SALINITAS, SAN RAMON. ACTUALIZACION DE LA INFORMACION POR PARTE DEL CREPAD.</t>
  </si>
  <si>
    <t>SOCOTA</t>
  </si>
  <si>
    <t>VEREDAS EL MORRO, GUAQUIRA, CHISVITA, COSCATIVA, COMEZA, HOYADA, SAN PEDRO, SAN JOSE, EL OPSO, CHIPAVIEJO, PUEBLO VIEJO, LA REFORMA, . ACTUALIZACION DE LA INFORMACION POR PARTE DEL CREPAD.</t>
  </si>
  <si>
    <t>SECTOR SANTA HELENA. REPORTE DEL CREPAD. ACTUALIZACION DE INFORMACION DEL CREPAD.</t>
  </si>
  <si>
    <t>CHOORO DE ORO, TIENTO SIETE, ROSALÑES, SIBATA, PIEDRA PARADA, PUENTE CUATRO, GAUNZA, SUAITOQUE, JUNTAS, POZOS, UBAJUCA, GOTERA, MORTIÑO, CANTORA, TINCACHOQUE, MUNANTA, ACTUALIZACION DE INFORMACION POR PARTE DEL CREPAD.</t>
  </si>
  <si>
    <t>PISBA</t>
  </si>
  <si>
    <t>PAUNA</t>
  </si>
  <si>
    <t>CUBARA</t>
  </si>
  <si>
    <t>ACTUALIZACION DE LA INFORMACION POR PARTE DEL CREPAD. VEREDAS EL CUBUGON, CEDEÑO, MUNDO NUEVO, LA PISTA, UERTO NUEVO PARTE ALTA, LA CAÑAGUATA, LA GAITANA, EL GUAMO, LA ESPERANZA, LA BLANQUITA, EL ROYOTA, BRISAS DEL ARAUCA, EL BOJABA, CAMPO ALICIA.</t>
  </si>
  <si>
    <t>SATIVANORTE</t>
  </si>
  <si>
    <t>ACTUALIZACION DE LA INFORMACION POR PARTE DEL CREPAD. VEREDAS CHAPON, NAPOSAL, PUENTON LA GLORIA, SAN LUIS, TONCANAL, SAN MARTIN, SANTA HELENA, BUENAVISTA, LOS CEDROS, PIAME, RAMAL, LA MESA, CALICHONA, VEREDA CENTRO Y GAMON.</t>
  </si>
  <si>
    <t>SAN ALBERTO</t>
  </si>
  <si>
    <t>SUTATAUSA</t>
  </si>
  <si>
    <t>ALPUJARRA</t>
  </si>
  <si>
    <t>DOLORES</t>
  </si>
  <si>
    <t>SALDAÑA</t>
  </si>
  <si>
    <t>EL PEÑOL</t>
  </si>
  <si>
    <t>IMUES</t>
  </si>
  <si>
    <t>PUPIALES</t>
  </si>
  <si>
    <t>ILES</t>
  </si>
  <si>
    <t>IPIALES</t>
  </si>
  <si>
    <t>PALERMO</t>
  </si>
  <si>
    <t>AGRADO</t>
  </si>
  <si>
    <t>ELIAS</t>
  </si>
  <si>
    <t>ALTAMIRA</t>
  </si>
  <si>
    <t>OPORAPA</t>
  </si>
  <si>
    <t>CACOTA</t>
  </si>
  <si>
    <t>LA ESPERANZA</t>
  </si>
  <si>
    <t>VEREDAS VANEGA NORTE, VANEGA SUR, RUPAGUATA, PACHAQUIRA, SIRAQUITA, SOCONSAQUE, ORIENTE Y OCCIDENTE, HUERTA GRANDE, HUERTA CHICA, RIQUE, PENA NEGRA Y CASCO URBANO. ACTUALIZACION DEL CLOPAD.</t>
  </si>
  <si>
    <t>COLON</t>
  </si>
  <si>
    <t>CONSACA</t>
  </si>
  <si>
    <t>FUERTES LLUVIAS Y DESBORDAMIENO RIO SATINGASECTORES BOCA DE CANAL, GUABILLARES, SAN JOSE DE LA TRUBIA, ORITAL, VUELTA LARGA, PUERTO BAJITO, LA SOLEDAD. NARANJAL. REPROTE DEL CREPAD.</t>
  </si>
  <si>
    <t>ACTUALIZACION DE INFORMACION POR PARTE DEL CREPAD.</t>
  </si>
  <si>
    <t>BUSBANZA</t>
  </si>
  <si>
    <t>BETEITIVA</t>
  </si>
  <si>
    <t>BOAVITA</t>
  </si>
  <si>
    <t>CHIVATA</t>
  </si>
  <si>
    <t>COPER</t>
  </si>
  <si>
    <t>NUEVO COLON</t>
  </si>
  <si>
    <t>PACHAVITA</t>
  </si>
  <si>
    <t>PANQUEBA</t>
  </si>
  <si>
    <t>SAN JOSE DE PARE</t>
  </si>
  <si>
    <t>VIRACACHA</t>
  </si>
  <si>
    <t>CUCUNUBA</t>
  </si>
  <si>
    <t>SOLICITADO POR FINANCIERA</t>
  </si>
  <si>
    <r>
      <t>SAN ISIDRO, EL VERGEL, EL GUAYABO, OJO DE AGUA, MORRO ALEGRE, CARRERA SANTANDER, PALESTINA, EL REVENTON EL HELECHAL, ALTO DE LAS HUACS, VERSALLES, DAMASCO.</t>
    </r>
    <r>
      <rPr>
        <b/>
        <sz val="9"/>
        <rFont val="Arial"/>
        <family val="2"/>
      </rPr>
      <t xml:space="preserve"> APOYO DEL FNC MEDIANTE GIRO DIRECTO AL CLOPAD PARA APOYAR TRABAJOS DE REPARACION DE 23 VIVIENDAS URBANAS Y RURALES Y LA CONSTUCCION DE 12 VIVIENDAS URBANAS Y RURALES</t>
    </r>
  </si>
  <si>
    <t>ABEJORRAL</t>
  </si>
  <si>
    <t>ANGELOPOLIS</t>
  </si>
  <si>
    <t>ANZA</t>
  </si>
  <si>
    <t>CACERES</t>
  </si>
  <si>
    <t>CAICEDO</t>
  </si>
  <si>
    <t>CAÑASGORDAS</t>
  </si>
  <si>
    <t>CARAMANTA</t>
  </si>
  <si>
    <t>COCORNA</t>
  </si>
  <si>
    <t>DON MATIAS</t>
  </si>
  <si>
    <t>EBEJICO</t>
  </si>
  <si>
    <t>GIRARDOTA</t>
  </si>
  <si>
    <t>GOMEZ PLATA</t>
  </si>
  <si>
    <t>GUATAPE</t>
  </si>
  <si>
    <t>HELICONIA</t>
  </si>
  <si>
    <t>HISPANIA</t>
  </si>
  <si>
    <t>ITUANGO</t>
  </si>
  <si>
    <t>LA CEJA</t>
  </si>
  <si>
    <t>LIBORINA</t>
  </si>
  <si>
    <t>MARINILLA</t>
  </si>
  <si>
    <t>PEQUE</t>
  </si>
  <si>
    <t>PUEBLORRICO</t>
  </si>
  <si>
    <t>SABANETA</t>
  </si>
  <si>
    <t>SAN JERONIMO</t>
  </si>
  <si>
    <t>SAN JOSE DE LA MONTAÑA</t>
  </si>
  <si>
    <t>SAN JUAN DE URABA</t>
  </si>
  <si>
    <t>SAN ROQUE</t>
  </si>
  <si>
    <t>SOPETRAN</t>
  </si>
  <si>
    <t>TARSO</t>
  </si>
  <si>
    <t>URAMITA</t>
  </si>
  <si>
    <t>VALPARAISO</t>
  </si>
  <si>
    <t>YOLOMBO</t>
  </si>
  <si>
    <t>REPORTE DEL CREPAD ACTUALIZACION DE INFORMACION</t>
  </si>
  <si>
    <t>PUERTO CONCORDIA</t>
  </si>
  <si>
    <t>EL DORADO</t>
  </si>
  <si>
    <t>REPORTE DEL CREPAD ACTUALIZACION DE INFORMACION. VIAS EL SALITRO - PUERTO COLOMBIA Y PUERTO NUEVO - PUERTO CACAO.</t>
  </si>
  <si>
    <t>REPORTE EL CREPAD ACTUALIZACION DE INFORMACION VIAS TROPEZON - LA CRISTALINA -LA ESMERALDA TRAMO II</t>
  </si>
  <si>
    <t>PERDDA DE CULTIVOS</t>
  </si>
  <si>
    <t>SECTOR SOBRETANA VEREDA LA MESETA VIAS SAN PEDRO, SANTA TERESA - MPNFORTH, ALTO DE SOBRETANA - EL CALVARIO, SAN FRANCISCO.</t>
  </si>
  <si>
    <t xml:space="preserve">PERDIDA DE CULTIVOS </t>
  </si>
  <si>
    <r>
      <t xml:space="preserve">VIAS URIBE - VERSALLES, LA PISTA - LA AMISTAD - OJO DE AGUA.DESBORDAMIENTO RIO DUDA. REPORTE DEL CREPAD. </t>
    </r>
    <r>
      <rPr>
        <b/>
        <sz val="9"/>
        <rFont val="Arial"/>
        <family val="2"/>
      </rPr>
      <t>APOYO DEL FNC MEDIANTE GIRO DIRECTO AL CLOPAD PARA LA CONSTRUCCION DE MURO EN GAVIONEN LA VEGA DEL RIO DUDASECTOR LA JULIA.</t>
    </r>
  </si>
  <si>
    <t>REPORTE DEL CREPAD ACTUALIZACION DE INFORMACION VIAS MACARENA - SAN VICENTE DEL CAGUAN, MACARENA - GETSEMANI 1</t>
  </si>
  <si>
    <t>INCOMUNICADAS VEREDAS LOS ESTEROS BAJOS, ESTEROS ALTOS, CAÑO JABON, EL SILENCIO, REPORTE DEL CREPAD. PUENTE CAÑO JABON. VIA GUACAMAYAS - LA CUCHARITA.</t>
  </si>
  <si>
    <t>DESBORDAMIENTO CAÑO URICHARE. REPORTE DE LA DEFENSA CIVIL. VIAS LA MARINA - EL ROBLE - EL ROSAL, EL TOPACIO - URICHARE - EL VERGEL</t>
  </si>
  <si>
    <t>VIAS CENTRAL - UERTO LLERAS - PUERTO TRIUNFO, TROCHA 7 - PUERTO NUEVO - LA COOPERATIVA. REPORTE DEL CREPAD, ACTUALIZANDO INFORMACION.</t>
  </si>
  <si>
    <t>PERDIDA E CULTIVOS DE PLATANO YUCA, MAIZ, CACAO Y PLATANO.</t>
  </si>
  <si>
    <t>REPORTE DEL CREPAD. LA UNION - CAÑO RAYADO - CHACO 13, CHIROSA - CANADA, ALTO LLORONA - ALTO BAQUERO, CENTRAL - PUERTO RICO, MUNDO NUEVO - CASIBARE, CASIBARE - EL ROBLE.</t>
  </si>
  <si>
    <t xml:space="preserve">PEDIDAS DE ARROZ, MAIZ, YUCA, SOYA, PLATANOS, CITRICOS, </t>
  </si>
  <si>
    <t>ACTUALIZACION DE INFORMACION POR PARTE DEL CREPAD. VEREDAS PIEDRAS GORDAS, CHICANECA, CHUSCAL, SALITRE, PITA Y CHONE, CASA BLANCA, QUEBRADAHONDA Y EL LLANO.</t>
  </si>
  <si>
    <t>CASCO URBANO. REPORTE DEL CREPAD. ARROYO PICHILIN. VEREDAS GUERRERO, EL PALMAR, SAN RAFAEL, CORRGERIEMIENTS PUERTO VIEJO, UIEVA ERA, SANTA LUCIA, PALO BLANCO. LAS PITAS BARRIOS, PLAYA HERMOSA, LOS LAURELES, EL SIMBOLO, LA GRACIA DE DIOS, LAS MARAVILLOS, CIUDALELA EL GOLFO, SANTA CATALINA, EL PALMAR, BETANIA, ZAMORA, LUIAS CARLOS, BRISAS DEL MAR EL EDEN. VILLA NAZARET, MI REFUGIO.</t>
  </si>
  <si>
    <t>RIO QUITO</t>
  </si>
  <si>
    <t>REPORTE DEL CLOPAD PARA ACTUALIZAR INFORMACION Y AVAL DEL CREPAD.</t>
  </si>
  <si>
    <t>TUQUERRES</t>
  </si>
  <si>
    <t>ACTUALIZACION DEL CREPAD</t>
  </si>
  <si>
    <t>TERUEL</t>
  </si>
  <si>
    <t>VEREDAS PEDREGAL, LAS DELICIAS, RIO CHIQUITO, LAS AMRIAS, EL RODEO, ALEGIA, LA MARIA. REPORTE DEL CREPAD.</t>
  </si>
  <si>
    <t>EL ROSARIO</t>
  </si>
  <si>
    <t>LA FLORIDA</t>
  </si>
  <si>
    <t>YACUANQUER</t>
  </si>
  <si>
    <t>REPORTE ACTUALIZADO DEL CREPAD</t>
  </si>
  <si>
    <t>VEREDA EL DIAMANTE. REPORTE DEL CREPAD.</t>
  </si>
  <si>
    <t>PERDIDA DE CULTIVOS DE CAFÉ, MORA, LULO Y PASTOS.</t>
  </si>
  <si>
    <t>PASTOS, MAIZ, AGUACATE, CAFÉ, PLATANO</t>
  </si>
  <si>
    <t>PASTOS, CAFÉ, CACAO, CAÑA, LULO.</t>
  </si>
  <si>
    <t>PASTOS, MAIZAGUACATE, CAFÉ, CAÑA. MORA. LULO, CEBOLLA, PLATANO</t>
  </si>
  <si>
    <t>PASTOS, CAÑA, CAFÉ, CACAO.</t>
  </si>
  <si>
    <t>MAIZ. PLATANO, MORA, CAÑA, CACAO, CAFÉ, AGUACATE..</t>
  </si>
  <si>
    <t>PASTOS, MAIZ, AGUACATE, CAFÉ, GRANADILLA, CAÑA. MORA, LULO, PLATANO.</t>
  </si>
  <si>
    <t>MAIZ, FRIJOL, CAFÉ, GRANADILLA. LULO.</t>
  </si>
  <si>
    <t>BELALCAZAR</t>
  </si>
  <si>
    <t>FILADELFIA</t>
  </si>
  <si>
    <r>
      <t xml:space="preserve">SE APOYA DE MANERA COMPLEMENTARIA A LOS ESFUERZOS LOCALES Y REGIONALES.  </t>
    </r>
    <r>
      <rPr>
        <b/>
        <sz val="9"/>
        <rFont val="Arial"/>
        <family val="2"/>
      </rPr>
      <t>GIRO DIRECTO AL CLOPAD PARA LA CORRECCION DEL CAUCE ERRATICO Y LEVANTAMIENTO DE TALUD EN EL RIO TANELA EN LOS SECTORES CAÑO NUEVO Y HOLANDA.
DESBORDAMIENTO RIO TANELA, TIGRE Y ARCIA. AFECTADAS CABECERA MUNICIPAL Y VEREDAS ARQUIA, HOLANDA, CAÑO NUEVO, PATO LARGO, TICOLE. COMUNIDADES INDIGENAS YAQUERA, MOROCA, TUMURULA, SIPARADO. REPORTE DE LA DEFENSA CIVIL. EL MUNICIPIO SE APOYO RECIENTEMENTE CON GIRO DIRECTO PARA TRABAJOS EN EL RIO TANELA.</t>
    </r>
  </si>
  <si>
    <t>UNION PANAMERICANA</t>
  </si>
  <si>
    <t xml:space="preserve">                                                                  </t>
  </si>
  <si>
    <t>ABRIAQUI</t>
  </si>
  <si>
    <t>ALEJANDRIA</t>
  </si>
  <si>
    <t>BURITICA</t>
  </si>
  <si>
    <t>CAMPAMENTO</t>
  </si>
  <si>
    <t>VEREDA LA CHORRERA. QUEBRADA LA CHORRERA. REPORTE DE LA DEFENSA CIVIL.</t>
  </si>
  <si>
    <t>PUERTO SANTANDER</t>
  </si>
  <si>
    <t>PENDIENTE AFECTACION</t>
  </si>
  <si>
    <t>SE APOYO DE MANERA GLOBAL A TRAVES DEL CREPAD</t>
  </si>
  <si>
    <r>
      <t xml:space="preserve">BARRIOS FERROCARIL, ARBOLEDA, 20 DE JULIO, CABRERA, ORIENTAL, OASIS, COSTA HERMOSA, VISTA HERMOSA, HIPODROMO, SAN ANTONIO, PORVENIR, LA MARIA, VILLA CARMEN, VILLA MUTIZ, FLORESTA, NUEVO HORIZONTE, LA ILUSION, PRIMERO DE MAYO, FERIAS, MANUELA BELTRAN VILLA MUBDI, DESBORDAMIENTO DE LOS ARROYOS EL SALADO Y PLATANAL. REPORTE DEL ALCALDE MUNICIPAL. </t>
    </r>
    <r>
      <rPr>
        <b/>
        <sz val="9"/>
        <rFont val="Arial"/>
        <family val="2"/>
      </rPr>
      <t>SE APOYO A TRAVES DEL CREPAD.</t>
    </r>
  </si>
  <si>
    <t>PENDIENTE AFECTACION.  REPORTE DEL CREPAD.</t>
  </si>
  <si>
    <t>CORREGIMIENTO LAS COMPUERTAS DESBORDAMIENTO DEL CANAL DEL DIQUE. REPORTE DEL CREPAD</t>
  </si>
  <si>
    <t>CAJAMARCA</t>
  </si>
  <si>
    <t>VEREDA LA JULIA VIA LA LINEA. REPORTE DEL CREPAD.</t>
  </si>
  <si>
    <t>DESBORDAMIENTO QUEBRADA TAMACA. BARRIOS EL PANDO, LUZ DEL MUNDO, 19 DE ABRIL, EL PARQUE, CHIMILA I, BASTIDAS, ONDAS DEL CARIBE. REPORTE DEL CLOPAD.</t>
  </si>
  <si>
    <t>NUNCHIA</t>
  </si>
  <si>
    <r>
      <t xml:space="preserve">DESBORDAMIENTO RIO CAUCA. REPORTE DE LA DEFENSA CIVIL. </t>
    </r>
    <r>
      <rPr>
        <b/>
        <sz val="9"/>
        <rFont val="Arial"/>
        <family val="2"/>
      </rPr>
      <t>EL VALOR DE OTROS CORRESPONDE A 350 PARES DE BOTAS PARA ADULTO Y 150 PARA NIÑO</t>
    </r>
  </si>
  <si>
    <t>PERDIDA DE CULTIVOS DE ARROZ, FRUTALES, YUCA, PLATANO, MAIZ.</t>
  </si>
  <si>
    <t>INSPECCION PUERTO UMBRIA. CRECIENTE DEL RIO GUINEO.. REPORTE DE LA DEFENSA CIVIL.</t>
  </si>
  <si>
    <t>RICAURTE</t>
  </si>
  <si>
    <t>PASTO</t>
  </si>
  <si>
    <t>BARRIOS SAN MARTIN, SANTA CLARA Y EL PILAR. REPORTE DEL CLOPAD.</t>
  </si>
  <si>
    <t>REPORTE DE LA DEFENSA CIVIL</t>
  </si>
  <si>
    <r>
      <t>LA GOBERNACION DECLARO URGENCIA MANIFIESTA POR EL FENOMENO DE EL NIÑO.MEDIANTE RESOLUCION 005 DEL 18 DE ENERO DE 2010.</t>
    </r>
    <r>
      <rPr>
        <b/>
        <sz val="10"/>
        <rFont val="Arial"/>
        <family val="2"/>
      </rPr>
      <t xml:space="preserve"> SE ESTA ABASTECIENDO CON CARROTANQUES CON EL APOYO DE LA GOBERNACION</t>
    </r>
  </si>
  <si>
    <r>
      <t xml:space="preserve">MUNICIPIO CON RACIONAMIENTO DE AGUA Y/O DESABASTECIMIENTO POR PROBLEMAS DE SEQUI DEBIDO AL FENOMENO DE EL NIÑO. REPORTE DEL MAVDT. </t>
    </r>
    <r>
      <rPr>
        <b/>
        <sz val="10"/>
        <color indexed="8"/>
        <rFont val="Arial"/>
        <family val="2"/>
      </rPr>
      <t>DRAGADO EN ZONA DE CAPTACIÓN.SUMINISTRO E INSTALACIÓN DE MANGUERA PARA EXTENSIÓN DE LA TUBERÍA DE SUCCIÓN Y/O IMPULSIÓN DE AGUA, INCLUIDAS BOYAS DE FLOTACIÓN.ALQUILER PLANTA ELÉCTRICA Y COMBUSTIBLE.SUMINISTRO DE AGUA POR CARROTANQUE.</t>
    </r>
  </si>
  <si>
    <t>MUNICIPIO CON RACIONAMIENTO DE AGUA Y/O DESABASTECIMIENTO POR PROBLEMAS DE SEQUI DEBIDO AL FENOMENO DE EL NIÑO. REPORTE DEL MAVDT. ES NECESARIO APOYO TÉCNICO, EL CUAL SE PRESTARÁ POR PARTE DEL PDA       SE PRACTICARÁ VISITA TÉCNICA POR PARTE DEL GESTOR EL 4 DE FEBRERO PARA VERIFICAR NECESIDADES, EL TAPONAMIENTO DE LA RED (3 KM) Y LA VIABILIDAD DE LA CONSTRUCCIÓN DE UN VIADUCTO DE APROXIMADAMENTE 320 M, PARA PRESENTAR PROYECTO DE REPOSICIÓN DE CONDUCCIÓN.</t>
  </si>
  <si>
    <t>DESABASTECIMIENTO DE AGUA. REPORTE DE LA ALCALDIA Y EL MAVDT</t>
  </si>
  <si>
    <t>SIBATE</t>
  </si>
  <si>
    <t>RACIONAMIENTO DE AGUA POR REDUCCION EN LA FUENTE ABASTECEDORA, SE HAN ENCONTRADO CAPTACIONES NO AUTORIZADAS AGUAS ARRIBA DE LA BOCATOMA . SE REALIZO VISITA CON LA CAR Y LAS AUTORIDADES, PERO LA POBLACION CONTINUA CON LAS CAPTACIONES PARA RIEGO. REPORTE DE LAS EMPRESAS PUBLICAS DE SIBATE Y EL MAVDT.</t>
  </si>
  <si>
    <t>SE APOYA TENIENDO EN CUENTA EL PROBLEMA DE DESABASTECIMIENTO DE AGUA Y SEGÚN LO ACORDADO CON EL MAVDT.</t>
  </si>
  <si>
    <t>PERDIDA DE 25.000 MATAS DE PLATANO</t>
  </si>
  <si>
    <t>COLAPSO DE CUPULA DE LA IGLESIA CRISTO REY</t>
  </si>
  <si>
    <t>CERINZA</t>
  </si>
  <si>
    <t>142
185</t>
  </si>
  <si>
    <t>137
158
318
161
162
181
185</t>
  </si>
  <si>
    <t>DESBORDAMIENTO DEL RIO ZULIA. REPROTE DEL CREPAD. VEREDA PALMARITO</t>
  </si>
  <si>
    <t xml:space="preserve">REPORTE DEL CLOAPD. BARRIOS VILLA MAGDALENA Y LA GAVIOTA. </t>
  </si>
  <si>
    <t xml:space="preserve">CAIDA DE ARBOLES, VEHICULOS AFECTADOS 7, </t>
  </si>
  <si>
    <t>REPROTE DEL CREPAD.. VEREDAS LA SILLA, MICHAGUA, SANTA TERESA</t>
  </si>
  <si>
    <t xml:space="preserve">DESBORDAMIENTO RIO UBATE, REPORTE DEL CREPAD. VEREDAS SUCUCHOQUE, SECTOR SAN LUIS. </t>
  </si>
  <si>
    <t>REPORTE DEL CREPAD. VEREDA CERCA DE PIEDRA Y BARRIOS RIOFRIO E IBARO.</t>
  </si>
  <si>
    <t>DESBORDAMIENTO RIO NEUSA. REPROTE DEL CREPAD VEREDA CASCAJAL.</t>
  </si>
  <si>
    <t>SUBACHOQUE</t>
  </si>
  <si>
    <t>DESBORDAMIENTO RIO SUBACHOQUE. REPORTE DEL CREPAD.</t>
  </si>
  <si>
    <t>REPORTE DEL CLOPAD. CORREGIMIENTOS PUERTO CALDAS, BARRIOS CHICO RESTREPO Y HERNANDO VELEZ.</t>
  </si>
  <si>
    <t>CASCO URBANO, VEREDAS LAS PIEDRAS Y LAS TORTUGAS, REPORTE DEL CREPAD,.</t>
  </si>
  <si>
    <t>REPORTE DEL CREPAD.  VEREDA LLANO GRANDE FINCA  ALFONSO BALCONES</t>
  </si>
  <si>
    <t xml:space="preserve">REPORTE DE DEFENSA CIVIL. VEREDA CIRIA. </t>
  </si>
  <si>
    <t xml:space="preserve">UN VEHICULO AFECTADO </t>
  </si>
  <si>
    <t>DESBORDAMEINTO RIO SABALETAS. REPORTE DE LA DEFENSA CIVIL.. ZONA URBANA.</t>
  </si>
  <si>
    <t>AFECTADA ZONA FRANCA CON PERDIDAS ECONOMICAS Y 50.000 AVES DE CORRAL.</t>
  </si>
  <si>
    <t>DEFENSA CIVIL. SECTORES CABECERA MUNICIPAL, EREDAS SANTA ROSA, PINDAZA, AGUASUCIA, PLAYA DEL ROPSARIO Y CORREGIMIENTO SAN LORENZA.</t>
  </si>
  <si>
    <t xml:space="preserve">REPORTE DEL CREPAD. VEREDA OROMAZO, </t>
  </si>
  <si>
    <t>DESBORDAMIENTO RIO CAUCA. AFECTANDO LOS BARRIOS LA VICTORIA, LA ESPERANZA, LA APLAYA EL ROBLE, PRIMERO DE MAYO, CASTILLA, LAS PARCELAS DEL CARACOL, EL PRADO LA PAZ Y CORREGIMIENTOS MAGENTA, PALOMAR, LOS MEDIOS, ILUSION, PALANCA, ESMERALDA, BARRIO CHINO, ISLA DE LAS CALANDRIAS, BUENOS AIRES. REPORTE DE LA DEFENSA CIVIL. EL CLOPAD ENVIA INFOREM EL 16 DE NOVIEMBRE QUE SE REMITE AL CREPAD PARA EVALUACION DE SITUACION .</t>
  </si>
  <si>
    <t>DESBORDAMIENTO QUEBRADA HILMALAYA. CASCO URBANO. REPORTE DEL CREPAD. EL CLÑOPAD ENVIA INFORME SOBRE SITUACION DEL MUNICIPIO POR DESLIZAMIENTOS, FALLAS GEOLOGICAS, QUE AMERITAN INTERVENCION EN OBRAS. PASA A COORD. REGIONAL</t>
  </si>
  <si>
    <r>
      <t xml:space="preserve">CEBECERA MUNICIPAL Y VARIOS CORREGIMIENTOS. REPORTE DEL CREPAD. </t>
    </r>
    <r>
      <rPr>
        <b/>
        <sz val="9"/>
        <rFont val="Arial"/>
        <family val="2"/>
      </rPr>
      <t>APOYO DEL FNC MEDIANTE GIRO DIRECTO AL CLOPAD PARA LA OBRA DE CIERRE DEL CHOORO ROMPEDEROS SOBRE EL DIQUE DEL PIÑON - CERRO DE SAN ANTONIO</t>
    </r>
  </si>
  <si>
    <t>50562
58953</t>
  </si>
  <si>
    <t>20729
25690</t>
  </si>
  <si>
    <t>294
19878
25687</t>
  </si>
  <si>
    <r>
      <t xml:space="preserve">DESBORDAMEINTO RIO MAGDALENA EN CORREGIMIENTOS LOMA CORREDOR, CAMPO AMALIA, PUERTO PATIÑO, BARRANCA LEBRIJA, REPORTE DE LA CRUZ ROJA. SE REMITE SOLICITU DE LA VEREDA SANTA ROSA DE CARACOL PARA REVISAR TEMA DE REUBICACION DE VIVIENDAS A SOPORTE A LA GESTION Y TEMA DE AGUA POTALE A COORD. REGIONAL. </t>
    </r>
    <r>
      <rPr>
        <b/>
        <sz val="9"/>
        <rFont val="Arial"/>
        <family val="2"/>
      </rPr>
      <t>APOYO DEL FNC MEDIANTE MATERIALES (MANGUERA) PARA LA RECONSTRUCCION DEL ACUEDUCTO.</t>
    </r>
  </si>
  <si>
    <t>VIAS CARRIZAL-ZISAVITA, CUCUTILLA-MORALES, ALTO DE LA MESA-TIERRAGRATA, LOS CUROS - SAN JOSE DE LA MPNTAÑA, SAN JKOSE DE LA MONTAÑA - SANTA TERESITA, CUCUTILLA - CARACOLI. REPORTE DEL CREPAD. PERDIDA SOBRE PUENTE QUEBRADA CARACOLI, ACUEDUCTO VEREDA AGUADAS BAJO, ACUEDICTO CUCUTILLA. REPORTE DEL CREPAD.SE APOYA CON MAETRIARE S DE CONSTRUCCION PARA REPARACION DE VIVENDAS AFECTADAS.</t>
  </si>
  <si>
    <t>106
278
25666</t>
  </si>
  <si>
    <t>270
23792</t>
  </si>
  <si>
    <t>25693
25696</t>
  </si>
  <si>
    <t>0,,</t>
  </si>
  <si>
    <t>DESBORDAMIENTO RIO MONO Y QUEBRADA LIBORIA. CASCO URBANO. VEREDA LA SOLEDAD, LA POLONIA, EL TIGRE, CAIMAL, LA CASCADA, SAN EUGENIO, SECTOR AGUA LINDA.. INUNDACION POR FUERTES LLUVIAS. REPORTE DEL CREPAD. EL CLOPAD ENVIA INFORME, PERO SIN PRESUPUESTO NI SOLICITUD CONCRETA DE APOYO. SE REMITE AL CREPAD.</t>
  </si>
  <si>
    <t>LOS CORDOBAS</t>
  </si>
  <si>
    <t>DESBORDAMIENTO QUEBRADA EL EBANO. REPORTE DEDEFENSA CIVIL CORREGIMIENTO EL EBANO</t>
  </si>
  <si>
    <t>REPORTE DEL CLOPAD SECTOR CHAGUALA. VIA CALARCA - ARMENIA KM 2.</t>
  </si>
  <si>
    <t>REPORTE DEL CLOPAD BARRIO LA PAZ Y CORREGIMIENTO LA FLORIDA PORVENIR</t>
  </si>
  <si>
    <t>ROMPIMIENTO DEL JARILLON. REPORTE DELA DEFENSA CIVIL, SECTOR CANAL DEL DIQUE</t>
  </si>
  <si>
    <t>DESBORDAMIENTO RIO ATRATO. REPORTE DE LA DEFENSA CIVIL.</t>
  </si>
  <si>
    <t>BARRIOS MANIZALES, GUAMALITO PARTE ALTA. REPROTE DEL CREPAD. SE HABILITAN DOS ALBERGUES EN EL COLISEO Y COLEGIO.</t>
  </si>
  <si>
    <t>REPORTE DEL CREPAD. VEREDA PRIMAVERA.</t>
  </si>
  <si>
    <t>BUESACO</t>
  </si>
  <si>
    <t>REPORTE DEL CREPAD. CASCO URBANO. VIAS SANTAMARIA - SANTAFE, SANTA FE - LA REPRESA, VERACRUZ - SAN IGNACIO, VILLA MORENO - SAN ANTONIO, SAN ANTONIO - ORTEGA.</t>
  </si>
  <si>
    <t>VIAS SAN LORENZO - SANTA MARTA, SAN LORENZO - PANAMERICANA, SAN GERARDO - SALINAS, SAN LORENZO - LA LAGUNA, SAN LORENZO - SANTA CRUZ, . REPORTE DEL CREPAD.</t>
  </si>
  <si>
    <t>LA CRUZ</t>
  </si>
  <si>
    <t>REPORTE DEL CREPAD. VEREDAS LA GAVILLA, EL PORVENIR LA ESPERANZA, SAN RAFAEL. CORREGIMIENTO DE FATIMA. DESTRUCCION DE DOS PUENTE QUEBRADA GUACARAYACO VIA APONTE -POMPEYA, EL TABLON - BUESACO, EL TABLON - SAN JOSE, EL TABLON - LA VICTORIA, LA VICTORIA - LAS MESAS, LA VICTORIA - LA CUEVA, LA VICTORIA - APONTE, EL PLAN - EL SILENCIO.</t>
  </si>
  <si>
    <t>ALBAN</t>
  </si>
  <si>
    <t>REPORTE DEL CREPAD, CORREGIMIENTOS, GUARANGAL, CEBADERO, CHAPIURCO, CAMPO BELLO.</t>
  </si>
  <si>
    <t>REPORTE DEL CREPAD VIAS LA UNION - CUSILLOS, LA UNION - SAUCE, SAUCE - RINCON CUSILLOS, LA UNION - OLIVOS, LA UNION - CERRITOS, CERRITOS - OJO DE AGUA, LA UNION - EL BRINCO.</t>
  </si>
  <si>
    <t>CHACHAGUI</t>
  </si>
  <si>
    <t>REPORTE DEL CREPAD. CORREGIMIENTO CASABUY, PASISARA, LA TEBAIDA.</t>
  </si>
  <si>
    <t>REPORTE DEL CREPAD. VIAS EL TAMBO - MOTILON, VEREDA EL POCAURCO, VIA EL TAMBO - SAN PEDRO, VIA EL TAMBO - CHUZA.</t>
  </si>
  <si>
    <t>OSPINA</t>
  </si>
  <si>
    <t>REPORTE DEL CREPAD. VIA OCAÑA - CONVENION, VEREDA OCHO.</t>
  </si>
  <si>
    <t>VEHICULOAFECTADO.</t>
  </si>
  <si>
    <t>CACHIRA</t>
  </si>
  <si>
    <t>REPORTE DEL CREPAD. SECTOR LOS CACAOS.CAIDA DEAORBOL SOBRE VIVIENDA.</t>
  </si>
  <si>
    <t>REPORTE DEL CREPAD. SECTOR LA VEGA.</t>
  </si>
  <si>
    <t>REPORTE DEL CREPAD. SECTOR EL MIRADOR Y EL LLANITO.</t>
  </si>
  <si>
    <t>DESBORDAMIENTO RIO DAGUA. REPORTE DE DEFENSA CIVIL. CORREGIMIENTO CITONELA.</t>
  </si>
  <si>
    <t>REPORTE DEL CREPAD. VEREDA MERCADILLO.DESBORDAMIENTO QUEBRADA MENDOZA</t>
  </si>
  <si>
    <t>UNA GRANJA AFECTADA Y 600 GALLINAS MUERTAS.</t>
  </si>
  <si>
    <t>PAIME</t>
  </si>
  <si>
    <t>REPORTE DEL CREPAD. VIA SAN CAYETANO - PAIME Y PAIME - BOQUERON.</t>
  </si>
  <si>
    <t>MUNICIPIO SIN SUMINISTRO DE AGUA POTABLE.</t>
  </si>
  <si>
    <t>REPORTE DEL CREPAD. BARRIOS SAN MARTIN, MARIA AUXILIADORA.</t>
  </si>
  <si>
    <t>AFECTACION EN EL PALACIO MUNICIPAL Y EL POLIDEPERTIVO.</t>
  </si>
  <si>
    <t>REPORTE DEL CLOPAD. SECTOR CARACOL LA CURVA, BARRIOS LA PLAYITAY SANTA HELENA.</t>
  </si>
  <si>
    <t>CUMBITARA</t>
  </si>
  <si>
    <t>AFECTACION EN CULTIVOS DE TOMATE, LIMON Y NARANJA.</t>
  </si>
  <si>
    <t xml:space="preserve">ROMPIMIENTO DEL DIQUE. REPORTE DEL CREPAD. </t>
  </si>
  <si>
    <t>REPORTE DESOCORRO NACIONAL</t>
  </si>
  <si>
    <t>DESBORDAMIENTO QUEBRADA LA SAPOSA, REPORTE DEL CLOPAD. SECTOR LA GAVIOTA. Y SECTOR URIBE URIBE.</t>
  </si>
  <si>
    <t>REPORTE DEL CREPAD. VIA APIA- SANTUARIO, SECTOR CRISTALES.</t>
  </si>
  <si>
    <t>REPORTE DEL CLOPAD. BARRIO SIETE DE ABRIL Y SECTOR CUCHILLA DE VILLATE.</t>
  </si>
  <si>
    <t>REPORTE DEL CREPAD. CASCO URBANO.</t>
  </si>
  <si>
    <t>CRECIENTE SUBITA RIO ANIMITO. REPORTE DEL CREPAD.VEREDA LA UNION 28.</t>
  </si>
  <si>
    <t>DESBORDAMIENTO DE RIO BITACO. REPORTE DEL CREPAD CORREGIMIENTO LA YOLOMBIA. Y SECTOR LA GUINEA VIA CALI - BUENAVENTURA</t>
  </si>
  <si>
    <t>REPORTE DEL CLOPAD BARRIO SABANA VERDE, SAN RAFAEL, LA FLORIDA, ANTONIO SANTOS, LA VICTORIA, SEVILLA, SECTOR CERRO NORTE</t>
  </si>
  <si>
    <t>DESBORDAMIENTO DE LOS RIOS GRITA, ZULIA Y Y PAMPLONITA. REPORTE DEL CREPAD. BARRIOS LA UNION, SAN IGNACIO DEL COCUY, LA ISLA. FAMILIAS EVACUADAS EN DOS ALBERGUES.</t>
  </si>
  <si>
    <t>DESBORDAMIENTO RIO TACHIRA. REPORTE DEL CREPAD. SECTOR LA PARADA. Y DESLIZAMIENTO EN BARRIOS NARIÑI, SAN GREGORIO, 20 DE JULIO, SANTANDER.</t>
  </si>
  <si>
    <t>REPORTE DEL CREPAD. BARRIOS LAUREANO GOMEZ, GREGORIO MONTES.</t>
  </si>
  <si>
    <t>REPROTE DEL CREPAD. SCTOR PRIMERO DE MAYO. CORREGIMIENTO LA SAN JUANA Y CASCO URBANO</t>
  </si>
  <si>
    <t>DESBORDAMIETNO RIO CAUCA, CORREGIMIENTO CALICHE, EL GUARE Y SAN FERNANDO. REPORTE DEL CREPAD.</t>
  </si>
  <si>
    <t>DESBORDAMIENTO RIO JAMUNDI. BARRIOS EL ROSARIO, SACHAMATE, LA PRADERA DESBORDAMIENTO QUEBRADA ROBLES AFECTANDO EL CORREGIMIENTO DE ROBLES..DESBORDAMIEBNTO QUEBRADA QUINAMAYO CORREGIMIENTO QUINAMAYO.  CORREGIMEINTO VILLA PAZ Y BARRIO CIRO VELASCO. . REPORTE DEL CREPAD.</t>
  </si>
  <si>
    <t>AFECTADA VIA JIGUALES - PUENTE TIERRA.Y BARRIO LA PALMA.  REPORTE DEL CREPAD</t>
  </si>
  <si>
    <t>DESBORDAMIENTO QUEBRADA LA SIRENA. REPORTE DEL CREPAD. CORRGIMIENTO SANTA HELENA.</t>
  </si>
  <si>
    <t>REPORTE DEL CRPAD BARRIOS LAS AGUITAS Y SAN PEDRO Y CARRETERO Y VEREDA GUAYABAL.</t>
  </si>
  <si>
    <t>BARRIO ALAMOS, GRAN COLOMBIA, PATIO BONITO Y CORREGIMIENTO LOBOGUERRERO. Y VIAS A LOS CORREGIMIENTOS EL PALMAR Y CISNEROS. REPORTE DEL CREPAD.</t>
  </si>
  <si>
    <t xml:space="preserve">DEBORDAMIENTO RIOS FRALE, PALMIRA, BOLO Y TIMBIQUE. CORREGIMIENTO ROZO SECTOR LA ACEQUIA. REPORTE DE LA DEFENSA CIVIL. </t>
  </si>
  <si>
    <t>ALBANIA</t>
  </si>
  <si>
    <t>MUNICIPIO CON RACIONAMIENTO DE AGUA Y/O DESABASTECIMIENTO POR PROBLEMAS DE SEQUI DEBIDO AL FENOMENO DE EL NIÑO. REPORTE DEL MAVDT. MEDIDA PREVENTIVA PARA FORZAR AHORRONO EXISTE PLAN DE CONTIGENCIA FORMAL. EN CASO DE DESABASTECIMIENTO SE CONTEMPLA EL ALQUILER DE CARROTANQUES. ADICIONALMENTE SE PROYECTA LA RECUPERACIÓN DE LA LINEA DE LA CARZADA.</t>
  </si>
  <si>
    <t>MUNICIPIO CON RACIONAMIENTO DE AGUA Y/O DESABASTECIMIENTO POR PROBLEMAS DE SEQUI DEBIDO AL FENOMENO DE EL NIÑO. REPORTE DEL MAVDT. ESTAS VEREDAS CAPTAN DE ESCORRENTIAS, PORQUE LA LINEA DE LA PTAP AL TANQUE DE ALMACENAMIENTO NO ESTA EN FUNCIONAMIENTO.</t>
  </si>
  <si>
    <t>SOLANO</t>
  </si>
  <si>
    <t>MUNICIPIO CON RACIONAMIENTO DE AGUA Y/O DESABASTECIMIENTO POR PROBLEMAS DE SEQUI DEBIDO AL FENOMENO DE EL NIÑO. REPORTE DEL MAVDT. EL MUNICIPIO TIENE LA SITUACIÓN CONTROLADA. SE ESTÁN REALIZANDO CONTROLES PARA RETIRAR CONEXIONES ILEGALES PARA QUE  EN LA CAPTACIÓN SE INCREMENTE EL CAUDAL.</t>
  </si>
  <si>
    <t>LA SITUACION FUE TRATADA EN CONSEJO COMUNITARIO DEL 31 DE ENERO Y LA SOLICITUD FUE APROBADA POR EL PRESIDENTE DE LA REPUBLICA. REVISADO EL PRESUPUESTO SE TRAMITA EL APOYO.</t>
  </si>
  <si>
    <t>DESLIZAMIENTO SOBRE LA BOCATOMA QUEBRADA LOS VALLECITOS. POBLACION SIN SUMINSTRO EAGUA, REPORTA LA DEFENSA CIVIL.</t>
  </si>
  <si>
    <t>SANTA ISABEL</t>
  </si>
  <si>
    <t>DAÑOS EN LA BOCATOMA, REPORTA DEFENSA CIVIL.</t>
  </si>
  <si>
    <t>JAMUNDI</t>
  </si>
  <si>
    <t>PALMIRA</t>
  </si>
  <si>
    <t>CORREGIMEINTO PALMA SECA. REPORTE DEL CREPAD</t>
  </si>
  <si>
    <t>PERDIDA DE ENSERES</t>
  </si>
  <si>
    <t>REPORTE DEL CLOPAD. BARRIOS FATIMA, PATIO BONITO, PRIMERO DE MAYO, MINUTO DE DIOS BELEN. CONFIRMO CREPAD Y DCC</t>
  </si>
  <si>
    <t>YAGUARA</t>
  </si>
  <si>
    <t>DESCARGA ELERCTRICA EN LA COMUNA 21. REPORTE DEL CREPAD</t>
  </si>
  <si>
    <t>SECTOR PLUMON ALTO</t>
  </si>
  <si>
    <t>MURILLO</t>
  </si>
  <si>
    <t>QUEBRADA VALLECITOS. REPORTE DEL CREPAD</t>
  </si>
  <si>
    <t>TAME</t>
  </si>
  <si>
    <t>96704
96608</t>
  </si>
  <si>
    <t>TUNJA</t>
  </si>
  <si>
    <t xml:space="preserve">DESLIZAMIENTO EN LA VIA CUCUTA - SALAZAR DE LAS PALMAS. </t>
  </si>
  <si>
    <t>MUNICIPIO CON RACIONAMIENTO DE AGUA Y/O DESABASTECIMIENTO POR PROBLEMAS DE SEQUI DEBIDO AL FENOMENO DE EL NIÑO. REPORTE DEL MAVDT. CON ESTE RACIONAMIENTO TIENEN BAJO CONTROL LA SITUACION</t>
  </si>
  <si>
    <t>BARRIOS EL BAJITO, TOLMO Y LA VUELTA. FAMILIAS EVACUADAS PREVENTVAMENTE.REPORTE DEL CREPAD.</t>
  </si>
  <si>
    <t>MEDINA</t>
  </si>
  <si>
    <t>FUSAGASUGA</t>
  </si>
  <si>
    <t>BARRIOS GAITAN, FLORIDA, SANTANDER, LA ESMERALDA, BALMORAL, SANTA ANITA, MANDALAY, SAN JORGE.  INUNDACIONES POR SATURACION DE ALCANTARILLAS.. REPORTE DEL CREPAD.</t>
  </si>
  <si>
    <t>BUCARAMANGA</t>
  </si>
  <si>
    <t xml:space="preserve">SUMINISTRO DE AGUA A TRAVES DE CARROTANQUE CON EL APOYO DEL NIVEL DEPARTAMENTAL.APOYO DEL FNC MEDIANTE GIRO DIRECTO ALCLOPAD PARA ALQUILER DE CARROTANQUE PARA EFECTUAR 5 VIAJES DIARIOS DURANTE 40 DIAS. </t>
  </si>
  <si>
    <t>FUERTES LLUVIAS CON FUERTES VIENTOS. BARRIO BELEN, VILLA PAZ, NACIONAL, SUCRE, SAUCEGAL Y GUASIMAL</t>
  </si>
  <si>
    <t>MIRADOR DE CORINTOS Y SECTOR LOS OLIVOS</t>
  </si>
  <si>
    <t>VEREDA LAS GUALAS. REPORTE DELA DEFENSA CIVIL.</t>
  </si>
  <si>
    <t>DESBORDAMIENTO RIO GUINEO. CASO URBANO.  REPORTE DE LA DEFENSA CIVIL.</t>
  </si>
  <si>
    <t>DESBORDAMIENTO QUEBRADAS GUADUAL Y LISA. SECTOR RURAL GARZAS, VEREDAS LA LUISA. PRINGAMOZAL, CENTRO, GUACAMAYAS, CAÑADAS, CERRO GORDO, EL SAMAN, SERREZUELA, PRIMAVERA, SAN CAYETANO, TOVASR, PUEBLO NUEVO, RINCON SANTO, BOCAS DEL LEMAYA, CHIPUELO ORIENTE, BARRIO EL CARMEN, SAN PABÑLO, LAS `PALMERAS, PABLO SEXTO, SAN MARTIN SANTA ANA, IFA.REPORTE DEL CREPAD.</t>
  </si>
  <si>
    <t>ICONONZO</t>
  </si>
  <si>
    <t>PERDIDA POR EFECTOS DEL FENOMENO DE EL NIÑO VEREDAS BALCONES, MUNDO NUEVO, LA ESPERANZA, LA FILA, BALCONCITOS, EL TRIUNFO, LA GEORGINA LA PEPINA.</t>
  </si>
  <si>
    <t>DESBORDAMIENTO RIO CHIQUITO BARRIOS SAN ANTONIO, PIÑUELAS, TOCOLOA, LAGOS TERCERA ETAPA Y SANTA CRUZ.</t>
  </si>
  <si>
    <t>BARRIO LA MANGA. AFECTADA UNA IGLESIA.</t>
  </si>
  <si>
    <t>TRES BARRIOS LA CANDELARIA, SAN ANTONIO Y SANTO TOMAS.</t>
  </si>
  <si>
    <t>BARRIOS BRISAS, NUEVA ESPERANZA, JARDINES DE PAZ, LA ARBOLEDA Y SAN ISIDRO. REPORTE DEL CREPAD.</t>
  </si>
  <si>
    <t>DESBORDAMIENTO RIO LUISA Y QUEBRADA LEMAYA. BARRIOS SANTA ANA, PABLO SEXTO, LAS PALMAS, Y EL CARMEN.</t>
  </si>
  <si>
    <t>HONDA</t>
  </si>
  <si>
    <t>DESBORDAMIENTO RIO MAGDALENA BARIOS PACHO Y CARACOLI</t>
  </si>
  <si>
    <t>LA DORADA</t>
  </si>
  <si>
    <t>BUCARASICA</t>
  </si>
  <si>
    <t>AFECTADA VIA SAN JUANA - BUCARASICA</t>
  </si>
  <si>
    <t>DESBORDAMIENTO QUEBRA EL PALMAR CORREGIMIENTOS PUEBLO NUEVO, EL PALMAR Y MUNDO AL REVES.</t>
  </si>
  <si>
    <t>SE APOYA TENIENDO EN CUENTA LA MAGNITUD DE LA EMEREGENCIA</t>
  </si>
  <si>
    <t>BARRIOS SEA, DORADO, VILLA HELENA, VEREAS LA VOLADURA ALTA, Y CUBA REPORTE DEL CLOPAD</t>
  </si>
  <si>
    <t>FENOMENO ATMOSFERICO</t>
  </si>
  <si>
    <t>BUCARAMANGA, LOS SANTOS, SAN ANDRES, SAN JIOAQUIN, MOGOTES, ONZAGA, PINCHOTE</t>
  </si>
  <si>
    <t>DESBORDAMIENTO ARROYO GRANDE. BARRIOS SAN JOSE, LA JOSEFINA, EL OASIS, DAJER CHADID, SAN FRANCISCO, LAS FAROLAS, LOS ALPES, REPORTE DEL CREPAD. Y CRUZ ROJA</t>
  </si>
  <si>
    <t>INUNDACION POR FUERTES LLUVIAS BARRIOS BACHELIN Y MIRADOR. REPORTE DEL CREPAD.</t>
  </si>
  <si>
    <t>SANTA ROSA</t>
  </si>
  <si>
    <t>REPORTE DEL CREPAD Y SOCORRO NACIONAL. VEREDA LOS CALLITOS TOLUCA Y EL MAMON.</t>
  </si>
  <si>
    <t>FENOMENO REGIRTRADO CON  EXPLOSION Y PASO DE BOLA DE FUEGO POR EL ESPACIO EN ESTUDIO. REPORTE DE ENTIDAES OPERATIVAS, CREPAD CIOMUNIDAD. INGEOMINAD, CLOPAD. AL MOMENTO SIN REGISTRO DE PERDIDAS. LOS SOBREVUELOS NO HAN IDENTIFICADO EL SITIO DE CAIDA.</t>
  </si>
  <si>
    <t>EL CARMEN</t>
  </si>
  <si>
    <t>CORREGIMIENTO GUAMALITO, VEREDAS EL PARAMO, EL LIMONAL, SAN VICENTE, PUEBLO NUEVO, EL LIBANO, PIQUETIERRA, LA CONEJERA.  PENDIETNE INFORMACION POR PARTE DEL CLOPAD Y CREPAD.</t>
  </si>
  <si>
    <t>AFECTADO SECTOR URBANO. REPORTE DEL CREPAD.</t>
  </si>
  <si>
    <t>BARRIOS MORICHAL Y LA RELIQUIA. REPROTE DEL CREPAD.</t>
  </si>
  <si>
    <t>AFECTADA VIA PEREIRA - BELEN DE UMBRIA. REPORTE DEL CREPAD.</t>
  </si>
  <si>
    <t>DESBORDAMIENTO QUEBRADA PUEBLILLO. REPORTE DEL CLOPAD. VEREDA PUEBLILLO.</t>
  </si>
  <si>
    <t>EL CAIRO, LA UNION, ROLDANILLO, ZARZAL, VERSALLES, TORO, ARGELIA</t>
  </si>
  <si>
    <t>FENOMENO ASOCIADO A EXPLOSION REPORTADO POR CREPAD Y EJERCITO, Y COPADS.</t>
  </si>
  <si>
    <t>PARQUE LOS FLAMENCOS. REPORTE DE PARQUES NACIONALES Y CREPAD.</t>
  </si>
  <si>
    <t>SE APOYA DE MANERA COMPLEMENTARIA A LOS ESFUERZOS LOCALES Y REGIONALES TENIENDO EN CUENTA LA MAGNITUD DE LA EMERGENCIA</t>
  </si>
  <si>
    <t>SE APOYA TENIENDO EN CUENTA LA MAGNITUD DE LA EMERGENCIA.</t>
  </si>
  <si>
    <t>33303
34013
42058
40999
42442</t>
  </si>
  <si>
    <t>25867
232
266
272
273
286
283
296</t>
  </si>
  <si>
    <t>COLAPSO MURO ZONA URBANA. REPORTE DEL CREPAD.</t>
  </si>
  <si>
    <t>CAMBIO EN EL NIVEL DE ACTIVIDAD A LAS 4:00 A.M. DE CARÁCTER NO EXPLOSIVO. Ql 31 DE AGOSTO REPORTARON 407 FAMILIAS EN ALBERGUES, CORRESPONDIETNES A 1712 PERSONAS. AL 9 DE SEPTIEMBRE SE ENCONTRABAN 570 FAMILIAS, 2.409 PERSONAS EN LOS ALBERGUES.</t>
  </si>
  <si>
    <t>BARRIO LAS DELICIAS SEGUNDO SECTOR. REPORTE DEL CREPAD.</t>
  </si>
  <si>
    <t>DESBORDAMIENTO ARROYO EL LEON. REPORTE DE LA DEFENSA CIVIL. BARRIO LOS ANGELES SEGUNDA ETAPA.</t>
  </si>
  <si>
    <t>SABANALARGA</t>
  </si>
  <si>
    <t>REPORTE DEL CREPAD. COMUNA TRECE.</t>
  </si>
  <si>
    <t>BARRIOS LAS GRANJAS, EL PRADAO Y SIETE DE ABRIL REPORTE CLOPAD.</t>
  </si>
  <si>
    <t>EXPLOSION EN MINA DE CARBON POR ACUMULACION DE GASES SECTOR MORRETO. REPORTE DEL CEPAD.</t>
  </si>
  <si>
    <t>SOLEDAD</t>
  </si>
  <si>
    <t>AFECTADO COLEGIO JOHN F KENNEDY.</t>
  </si>
  <si>
    <t>98500
31484</t>
  </si>
  <si>
    <t>APOYO CON 500 RACIONES DE CAMPAÑA. GIRO DIRECTO AL CLOPAD PARA HOSPEDAJE Y ALIMENTACION DE ORGANISMOS DE SOCORRO ($10.000.000), ALQUILER DE VEHICULOS PARA DESPLAZAMIENTO ($7,000,000), COMBUSTIBLE ($5,000,000), EQUIPOS DE COMUNICACIONES ($3,000,000), MERCADO PARA ELABORACION DE ALIMENTOS ($ 11,000,000), COMPRA DE EQUIPO Y HERRAMIENTA ($12,000,000), PERSONAL PARA LA PREPARACION DE ALIMENTOS ($1,000,000), PAPELERIA Y UTILES DE ASEO $1,000,000)</t>
  </si>
  <si>
    <t>MUNICIPIO CON RACIONAMIENTO DE AGUA Y/O DESABASTECIMIENTO POR PROBLEMAS DE SEQUI DEBIDO AL FENOMENO DE EL NIÑO. REPORTE DEL MAVDT. LA DISPONIBILIDAD DE AGUA SE ENCUENTRA RESTRINGDA POR EL USO PARA CONSUMO HUMANO Y RIEGO SIMULTÁNEAMENTE.</t>
  </si>
  <si>
    <t>REPORTE DE LA CRUZ ROJA. EL COMITÉ LOCAL DEL MUNICIPIO INFORMÓ  QUE SE PRESENTARON EMERGENCIAS TALES COMO DESLIZAMIENTOS, REPRESAMIENTOS, CRECIENTES SÚBITAS, DESPLOME Y DESTECHAMIENTO DE VIVIENDA Y AVENIDAS TORRENCIALES DEBIDO A LAS FUERTES LLUVIAS QUE OCASIONARON EL DESBORDAMIENTO DEL CAÑO DE AGUAS PRIETAS DE CIENAGA DE ORO, AFECTANDO  SECTOR URBANO Y RURAL  :  B. WINTONG LORA, B. SAN MARTÍN, B. 13 DE MAYO, CASERÍO SUAREZ, BEL MILAGRO, B. FÁTIMA, B. SEIS DE ENERO, VEREDA SOLEDAD, CORREGIMIENTO LOS MIMBRES,-LAS PALOMAS, VEREDA BOCA DE CATABRE, VEREDA CHARCO AJÍ, CORREGIMIENTO PUNTA DE YÁNEZ, VEREDA EL HIGAL PARA UN TOTAL  DE 890 FAMILIAS.</t>
  </si>
  <si>
    <t xml:space="preserve">DESBORDAMIENTO CAÑO AGUAS PRIETAS Y CIENAGA CHARCO GRANDE. BARRIOS CASTILLERAL, COREA, LOS ABETOS, SAN NICOLÁS, REMEDIA, POBRE, SANTA TERESITA,,  VEREDAS GUAYABAL Y CANTARANA. REPORYTE DE DEFENSA CIVIL. Y DEL CLOPAD-COMITÉ LOCAL </t>
  </si>
  <si>
    <t>DESBORDAMIENTO RIO SAN JORGE. AFECTADOS TRES BARRIOS. VEREDAS BOCAS DE MANUELITA, ARAÑA Y PICA PICA. REPORTE DE CREPAD. EN ATENCIÓN AL REPORTE DEL COMITÉ LOCAL DEL MUNICIPIO DEBIDO A LAS FUERTES LLUVIAS ACOMPAÑADOS DE VIENTOS HURACANADOS, OCASIONARON DESBORDAMIENTO DEL RIO SAN JORGE, CAÑO BURGOS Y QUEBRADA MUCHA JAGUA AFECTADO A LA MENCIONADA POBLACIÓN EN LAS VEREDAS  EL ONCE, BOCA DE LA MANUELITA, DESBORDAMIENTO DEL SAN JORGE,  BARRIO VILLA CLEMEN-DESBORDAMIENTO DE LA QUEBRADA MUCHAJAGUA. PARA UN TOTAL DE 530 FAMILIAS.</t>
  </si>
  <si>
    <t>DE ACUERDO A LOS REPORTES DEL COMITÉ LOCAL DE PREVENCIÓN Y ATENCIÓN DE DESASTRE LAS CONTINUAS LLUVIAS Y CON EL FENÓMENO  CONOCIDO COMO CRECIENTE DE MONTE POR DESBORDAMIENTO DE ARROYO EL DILUVIO, SE PRESENTARON INUNDACIONES EN LOS CORREGIMIENTOS DE SABANA  Y EN LAS VEREDAS : CAÑOELAR, NAPAL, LA TRAMPA, LATAL OCASIONANDO PERDIDA DE CULTIVOS PARA UN TOTAL DE 129 FAMILIAS</t>
  </si>
  <si>
    <r>
      <t>DE ACUERDO A LA INFORMACIÓN DEL COMITÉ LOCAL Y DEBIDO A LAS INTENSAS LLUVIAS SE PRESENTARON INUNDACIONES POR CAUSA DE LA CRECIENTE DE LOS RIOS SAN PEDRO, SAN JORGE Y SUS AFLUENTES AFECTADO A LOS HABITANTES DE LOS</t>
    </r>
    <r>
      <rPr>
        <b/>
        <sz val="9"/>
        <rFont val="Arial"/>
        <family val="2"/>
      </rPr>
      <t>–</t>
    </r>
    <r>
      <rPr>
        <sz val="9"/>
        <rFont val="Arial"/>
        <family val="2"/>
      </rPr>
      <t>CORREGIMIENTOS TORNO ROJO,  PUERTO CAREPA,  JUAN JOSE, CORREGIMIENTO PICA PICA, VEREDAS: SALAO, SANTA FE, BETULIA, EL CAMPANO, UCRANIA , PLAYA RICA.</t>
    </r>
  </si>
  <si>
    <t>DEBIDO A LAS FUERTES LLUVIAS  SE PRODUJO DESBORDAMIENTO DEL ARROYO CAROLINA  Y LA REPRESA DEL BARRIO. PALMASORIANA OCASIONANDO AFECTACIONES A  110 FAMILIAS  DE LA  ZONA URBANA BARRIOS PALMA SORIANA, LA PAZ, CENTENARIO Y  LAURELES - 10 DAMNIFICADAS..</t>
  </si>
  <si>
    <t>DEBIDO A LAS TEMPORADA INVERNAL SE PRESENTARON EMERGENCIAS POR DESBORDAMIENTO DE LA CIÉNAGA  GRANDE AFECTANDO A LOS MORADORES DEL SECTOR URBANO: BARRIOS EL ROBLE, LAS LAMAS, EL BOLSILLO, VILLA CECILIA, EL MAMÒN, EL RINCÓN, PARA UN TOTAL DE 588 FAMILIAS AFECTADAS ZONA URBANA  DESBORDAMIENTO CIÉNAGA GRANDE.</t>
  </si>
  <si>
    <t>DE ACUERDO AL INFORME  POR EL COMITÉ LOCAL SE PRESENTARON EMERGENCIAS DEBIDO A LAS INTENSAS LLUVIAS Y AUMENTO DEL NIVEL DEL RIO SINU EN LOS CORREGIMIENTOS DE LOS GÓMEZ, MATA DE CAÑA, COTOCA ARRIBA, PALO DE AGUA, NARIÑO Y COTOCA ABAJO OCASIONANDO INUNDACIONES EN LA POBLACIÓN   FAMILIAS AFECTADAS.  VEREDA MOMPOX Y MARACAYO  PARA UN TOTAL DE 690 FAMILIAS AFECTADAS.</t>
  </si>
  <si>
    <t xml:space="preserve">SE PRESENTARON EMERGENCIAS DEBIDO A LAS CONTINUAS LLUVIAS Y  A QUE LA QUEBRADA CHAPINERO DESEMBOCA EN EL RIO SINÙ  OCASIONANDO AFECTACIONES A LA POBLACIÓN DEL SECTOR URBANO Y RURAL TALES COMO : BARIOS : AMAURY, PARAISO, RECREO, LA PAZ, MONTEVIDEO,, VILLA VERDE, ALFONSO LOPEZ, SANTA FE, VILLA VERDE, LA UNIÒN, L A PALMA, VILLA NAZARET GALAN Y ESMERALDA, LAS VEREDAS DE JUAN LEÓN ARRIBA, NUEVA UNIÓ, NUEVO ORIENTE PASACABALLO, TUIS TUIS, NUEVO TAY  </t>
  </si>
  <si>
    <t>AUMENTO DEL NIVEL DEL RIO SAN JORGE –DESBORDAMIENTO DE LA CIENGA DE CINTURA AFECTANDO LOS CORREGIMIENTOS  DE CINTURA, PUERTO LETICIA, NUEVA ESPERANZA Y EL PORRO SANTA ROSA DE ARCIAL, EL CHISPAL, EL DESEO PARA UN TOTAL DE FAMILIAS AFECTADAS 301</t>
  </si>
  <si>
    <t>PUEBLO NUEVO</t>
  </si>
  <si>
    <t xml:space="preserve">DESBORDAMIENTO RIO RANCHERIA PUENTE EN RIOHACHA. REPORTE DE CRUZ ROJA </t>
  </si>
  <si>
    <t>APOYO A PERSONAL DE LA DGR EN LOS TURNOS EN LA SALA DE ESTRATEGIA Y LA DGR EN EL MONITOREO DE INCENDIOS FORESTALES (100 RACIONES, 48 ATUNES, 48 JUGOS, 48 TACOS DE GALLETAS, BOCADILLOS, UNAS PASAS Y REFRESCO)</t>
  </si>
  <si>
    <t>SAN LORENZO</t>
  </si>
  <si>
    <t>REPORTE DEL CLOPAD. SOLICITAN RECONSTRUCCION DE LA BOCATOMA Y DEL DISTRITO DE RIEGO.</t>
  </si>
  <si>
    <t>PALMAR DE VARELA</t>
  </si>
  <si>
    <t>SANTA LUCIA</t>
  </si>
  <si>
    <t>SE APOYA TENIENDO EN CUENTA LA MAGNITUD DE LAS PERDIDAS Y EL ESFUERZO LOCAL.</t>
  </si>
  <si>
    <t>185
62
61</t>
  </si>
  <si>
    <t>DESBORDAMEINTO RIO PURNIO. VEREDA CHOCHAL.</t>
  </si>
  <si>
    <t>DESABASTECIMIENTO DE AGUA. INSPECCION SALAMINA Y PUERTO VALDIVIA... REPORTE DEL CREPAD. EN EVALUACION SOLICITUD DE MANGUERA EN ESPERA DE ESPECIFICACIONES</t>
  </si>
  <si>
    <t>CIENAGA DE ORO</t>
  </si>
  <si>
    <t>MUNICIPIO CON DESABASTECIMIENTO POR PROBLEMAS DE SEQUIA DEBIDO AL FENOMENO DE EL NIÑO. REPORTE DEL MAVDT</t>
  </si>
  <si>
    <t>COROZAL</t>
  </si>
  <si>
    <t>DESABASTECIMIENTO DE NUEVE CORREGIMIENTOS DE ZONA RURAL REPORTE DEL ALCALDE MUNICIPAL</t>
  </si>
  <si>
    <t>META</t>
  </si>
  <si>
    <t>EL CASTILLO</t>
  </si>
  <si>
    <t>REPORTE DE LA CRUZ ROJA. PRELIMINAR.</t>
  </si>
  <si>
    <t>MANIZALES</t>
  </si>
  <si>
    <t>REPORTE DE LA DEFENSA CIVIL PRELIMINAR</t>
  </si>
  <si>
    <t>HATO COROZAL</t>
  </si>
  <si>
    <t>VEREDAS EL CACAO, PAPAYAL, EL LOBO, CAJAMBRE, SECADERO, CUMBA, ISLA PLADA, PERDIDA DE ENSERES. REPORTE DEL CREPAD.</t>
  </si>
  <si>
    <t>SE APOYA TENIENDO EN CUENTA LA AFECTACION A NIVEL MUNICIPAL Y DEPARTAMENTAL QUE HA DESBORDADO LAS CAPACIDADES DE RESPUESTA</t>
  </si>
  <si>
    <t>BARRIO CHAMBACU. REPORTE DE LA DEFENSA CIVIL.</t>
  </si>
  <si>
    <t>MINA DE ORO POR ACUMULACION DE GASES. MINA DE ORO EL SOCABON REPORTE DE LA DEFENSA CIVIL.</t>
  </si>
  <si>
    <t>TOPAGA</t>
  </si>
  <si>
    <t>DESPRENDIMIENTO DE ROCA EN LA MINA DE CARBON.  EUSTAQUIO 2. VEREDA TRAVIESA. REPORTE DEL CREPAD.</t>
  </si>
  <si>
    <t>REPORTE DEL CREPAD. INUNDACION POR DESBORDAMIENTO DEL RIO MAGDALENA. BARRIOS LA BONGA, PATIO LARGO, QUINCE DE AGOSTO, SIETE DE AGOSTO, EL PASITO, DOCE DE OCTUBRE, EL MERCADO, EL PORVENIR NUEVO TRIUNGFO.</t>
  </si>
  <si>
    <t>EREPORTE DEL CREPAD</t>
  </si>
  <si>
    <t>DESBORDAMIENTO RIO PAZ DE ARIPORO. REPORTE DE DEFENSA CIVIL</t>
  </si>
  <si>
    <t xml:space="preserve">DESBORDAMIENTO ARROYO GRANDE. PENDIENTE AFECTACION REPORTE DEL CREPAD. BARRIOS SANC ARLOS, AMERICAS, EL CORCHO, CENTRO, NORTE 1 Y 2, EL SILENCIO Y LAS MARGARITAS. </t>
  </si>
  <si>
    <t>DESBORDAMIENTO RIO RANCHERIA CORREGIMIENTO CUCURUMANA Y MANTECAI. REPORTE DE LA DEFENSA CIVIL. PENDIENTE AFECTACION.</t>
  </si>
  <si>
    <r>
      <t xml:space="preserve">TODA LA CABECERA MUNICIPA Y DOCE CORREGIMIENTOS. REPROTE DE LA DEFENSA CIVIL. </t>
    </r>
    <r>
      <rPr>
        <b/>
        <sz val="9"/>
        <rFont val="Arial"/>
        <family val="2"/>
      </rPr>
      <t>El VALOR DE OTROS CORRESPONDE AL SUMINSITRO DE UNA MOTOBOMBA DE 10"</t>
    </r>
  </si>
  <si>
    <t>PUERTO LLERAS</t>
  </si>
  <si>
    <t>ERUPCION VOLCAN DE LODO. CORREGIMIENTO DE SANTA FE DE LAS PLATAS. EVACUADAS 40 VIVIENDA SPREVENTIVAMENTE. REPORTE DEL CREPAD.</t>
  </si>
  <si>
    <t>BARRIO LAS BRISAS REPORTE DEL CREPAD.</t>
  </si>
  <si>
    <t>DESBORDAMIENTO RIO MAGDALENA. REPORTE DEL CREPAD</t>
  </si>
  <si>
    <t>DESBORDAMIENTO RIO MAGDALENA ZONA URBANA Y VEREDA CAIMITAL. REPORTE DEL CLOPAD Y SOCORRO NACIONAL</t>
  </si>
  <si>
    <t>DESBORDAMIENTO RIO MAGDALENA. REPORTE DEL SOCORRO NACIONAL</t>
  </si>
  <si>
    <t>VIA EL AGUILA - CARTAGO REPORTE DELCREPAD.</t>
  </si>
  <si>
    <t>ENVIGADO</t>
  </si>
  <si>
    <t>VEREDA GUAYACANES SECTOR ARENALES. REPORTE DEL CREPAD.</t>
  </si>
  <si>
    <t>CALOTO</t>
  </si>
  <si>
    <t>SECTOR URBANO. REPORTE DEL CREPAD</t>
  </si>
  <si>
    <t>BOSCONIA</t>
  </si>
  <si>
    <t>EXPLOSION DE MINA DE ORO DE NOMBRE EL CHOCO. REPORTE DEL CREPAD.</t>
  </si>
  <si>
    <t>REPORTE DEL CREPAD Y LA DEFENSA CIVIL. AFECTADA ZONA URBANA. EL 8 DE OCTUBRE EL CREAD ENVIA OFICIO COLICITANDO EN REGISTRO DE LA INFORMACION EN LA BASE DE DATOS, NO HAY SOLICITUD CONCRETA DE APOYO PASA A VIVIENDA Y AGRICULT.</t>
  </si>
  <si>
    <t>DESLIZAMIENTO EN LA VEREDA BARRAGAN.  REQUIEREN LA DEMOLICION DE 160 M3 DE CONCRETO Y SUBSIDIO PARA 20 FAMILIAS. REPOROTE DEL CLOPAD. PASA A COORDINACION REGIONAL. EL CREPAD ENVIO OFICIO EL 8 DE OCTUBRE SOLICITANDO REGISTRO EN EL SISTEMA. NO HAY SOLICITUD DE APOYO PASA A VIVIENDA Y AGRICULT.</t>
  </si>
  <si>
    <t>MEDIANTE OFICIO DEL 8 DE OCTUBRE EL CREPAD ENVIA OFICIO SOLICITANDO EL REGISTRO EN EL SISTEMA DE LA INFORMACION. NO HAY SOLICITUD DE APOYO PASA A VIVIENDA Y AGRICULT.</t>
  </si>
  <si>
    <t>DESBORDAMIENTO RIO SALAQUI. AFECTADAS LAS COMUNIDADES DE PLAYA BONITA, CAÑO SECO, SALAQUISITO, TAMBORAL, VILLANUEVA, PLAYA AGUIRRE, REGADERO Y PUEBLO NUEVO.  REPORTE DE LA CRUZ ROJA.</t>
  </si>
  <si>
    <t>FECHA</t>
  </si>
  <si>
    <t>SE APOYA DE MANERA COMPLEMENTARIA A LOS ESFUERZOS LOCALES Y REGIONALES. LA TOTALIDAD DE LA POBLACION AFECTADA FUEBENEFICIADA CON RECURSOS DEL FNC DURANTE A TEMPORADA INVERNAL</t>
  </si>
  <si>
    <t>YUCA, PLATANO, MAIZ CACAO Y LIMON</t>
  </si>
  <si>
    <t>ARROZ CACAO YUCA</t>
  </si>
  <si>
    <t>CARE PLATANO. TOMATWE Y YUCA</t>
  </si>
  <si>
    <t>MAIZ, FRIJOL, CAFÉ, AROZ, PLATANO, YUCA, M&lt;ARACUYA PIÑA</t>
  </si>
  <si>
    <t>PLATANO Y CAÑA DE AZUCAR</t>
  </si>
  <si>
    <t>CAÑA. AFE, PASTOS, PLATANO, CACAO.</t>
  </si>
  <si>
    <t>LULO, CAFÉ, FRIJOL</t>
  </si>
  <si>
    <t>GUACHENE</t>
  </si>
  <si>
    <t>PLATANO, MAIZ, AHUYAMA, YUCA, TABACO, HABICHUELA, CAÑA  YN PAPAYA.</t>
  </si>
  <si>
    <t>PLATANO, MAIZ, PAPA CHINA Y ARROZ</t>
  </si>
  <si>
    <t>CAFÉ, MORA, FRIJOL, BANANO, HORTALIZA Y YUCA.</t>
  </si>
  <si>
    <t>PAPA, MAIZ, FRIJOL, CAÑA, CAFÉ, FIQUE.</t>
  </si>
  <si>
    <t xml:space="preserve">CAFÉ, CAÑA, YUCA, PLATANO, PASTO, FRIJOL, MAIZ, </t>
  </si>
  <si>
    <t xml:space="preserve">CAFÉ, </t>
  </si>
  <si>
    <t>FRUTALES</t>
  </si>
  <si>
    <t xml:space="preserve">PLATANO, CACAO, PATILLA, MAIZ, MANI, YUCA, PLATANO, FRIJOL </t>
  </si>
  <si>
    <t>AFECTADOS DOS VEHICULOS. CULTIVOS DE CACAO, PALTANO, CAFÉ, BANANO, MARACUYA.</t>
  </si>
  <si>
    <t>CAFÉ, YUCA, PALTANO, FRJOL, MAIZ, TOMATE, CAÑA, HORTALIZAS.</t>
  </si>
  <si>
    <t>CACAO, YUCA, MAIZ, PLATANO, ZAPAYO, MARACUYA, PASTO, LIMON SANDIA.</t>
  </si>
  <si>
    <t>YUCA PLATANO Y MAIZ</t>
  </si>
  <si>
    <t xml:space="preserve">TOMATE, YUCA, CAFÉ, FLORES, AJI, </t>
  </si>
  <si>
    <t>CAFÉ, CAÑA. PLATANO</t>
  </si>
  <si>
    <t>PUERTO TEJADA</t>
  </si>
  <si>
    <t>ZAPAYO, TOMATE, YUCA, MAIZ, SORGO.</t>
  </si>
  <si>
    <t>PAPA, FRESA, PASTOS.</t>
  </si>
  <si>
    <t xml:space="preserve">PAPA, HUYUCO, ARVEJA, MAIZ, FRIJOL, TRIGO, HORTALIZAS, QUINUA, </t>
  </si>
  <si>
    <t>CAÑA, YUCA, MAIZ, FRIJOL, PLATANO.</t>
  </si>
  <si>
    <t>SANTANDER DE QUILICHAO</t>
  </si>
  <si>
    <t xml:space="preserve">PLATANO, MAIZ, CAÑA, ARROZ, RIECO, TOMATE, </t>
  </si>
  <si>
    <t>FRIJOL. MORA, PAPA, HUYUCO, CAÑA, ARVEJA, MAIZ. CAFÉ, PASTOS Y FRLORES</t>
  </si>
  <si>
    <t>CAFÉ, MORA, GRANADILLA, PAPA, TOMATE DE ARBOL, YUCA, LULO FRIJOL.</t>
  </si>
  <si>
    <t>GRANADILLA, CAFÉ, CACAO, PLATANO Y ARROZ.</t>
  </si>
  <si>
    <t>CAFÉ, PLATANO, YUCA Y MAIZ</t>
  </si>
  <si>
    <t>PAPA CHINA, BANANO, MAIZ, YUCA, ARROZ.</t>
  </si>
  <si>
    <t>TORIBIO</t>
  </si>
  <si>
    <t>ALVERJA, TOMATE Y MORA.</t>
  </si>
  <si>
    <t>PLATANO, YUCA, TOMATE, MAIZ, CITRICOS, MILLO, FRIJOL, HABICHUELA,</t>
  </si>
  <si>
    <t>270
24557
388</t>
  </si>
  <si>
    <t>389
391</t>
  </si>
  <si>
    <t>27430
390
391</t>
  </si>
  <si>
    <t>INCENDIO EN IGLESIA SAN PIO X, BARRIO LA ENEA, REPORTE DE LA CRUZ ROJA</t>
  </si>
  <si>
    <t>ACUEDUCTOS AFECTADOS DE FELICIANA, VERGEL, BELLA VIATA, BOLIVAR, PORTO VIEJO, SECTORES DE BELLA VISTA, BOLIVAR Y VERGEL. REPROTE DEL CREPAD.</t>
  </si>
  <si>
    <t>CORREGIMIENTO LAS MESAS, VEREDA EL CARMELO. REPORTE DEL CREPAD. VIA APONTE - POMPEYA.</t>
  </si>
  <si>
    <t>VIAS TAMINANGO - CHANGUAYACO, TAMINANGO - CUTACO, TAMINANGO - EL CHICAL. VEREDAS PARAMO, JUNTAS, LA COCHA, PALO, BOBO, EL HUECO, CUMBAL, SAN ISIDRO, BAJO GUAYACANAL, MEXICO.</t>
  </si>
  <si>
    <t>VIA LA CHORRERA - CARTAGO - EL SALADO. VEREDA ACACIAS, LA CHORRERA.</t>
  </si>
  <si>
    <t>VIA EL TAMBO MOTILON KM 10 REPORTE DEL CREPAD.</t>
  </si>
  <si>
    <t>DESBORDAMIENTO QUEBRADA LA LINEA Y EL RIO BURITACA. REPORTE DE LA DEFENSA CIVIL. CORREGIMIENTO GUACHACA, SECTOR CABAÑAS DE BURITACA.</t>
  </si>
  <si>
    <t>FUERTES LLUVIAS REPORTE DE LA CRUZ ROJA CORREGIMIENTO DEL TOTUMO BARRIO LA MADERA.</t>
  </si>
  <si>
    <t>RIO ARIGUANICITO. REPORTE DEL CREPAD. AFECTADO PUENTE QUEMADO. CORREGIMIENTOS CHIMILA Y SAN FRANCISCO., VEREA PUENTE QUEMADO.</t>
  </si>
  <si>
    <t>CRECIENTE SUBITA. KM 14 VIA ACACIAS. REPORTE DE LA DEFENSA CIVIL</t>
  </si>
  <si>
    <t>CRECIENTE SUBITA RIO CESAR. CORREGIMEINTO LOS BRASILES. REPORTE DEL CREPAD.</t>
  </si>
  <si>
    <t>REPORTE DEL CLOPAD BARRIO 7 DE ABRIL.</t>
  </si>
  <si>
    <t>AFECTADA UNA BODEGA. REPORTE DE LA DEFENSA CIVIL BARRIO TOBERIN</t>
  </si>
  <si>
    <t>REPORTE DEL CREPAD. SECTOR LA JABONERA</t>
  </si>
  <si>
    <t>VIA TUNJA MONIQUIRA. REPORTE DEL CLOPAD.</t>
  </si>
  <si>
    <t>REPORTE DEL CLOPAD. BARRIO MARCO FIDEL SUAREZ. MANZANA C CASA 16.</t>
  </si>
  <si>
    <t>AVALANCHA RIO PLAYONERO. REPORTE DEL CRPAD. VEREDAS BAMBU, PEÑAS NEGRAS, TRINCHERA.</t>
  </si>
  <si>
    <t>SITIO LA Y VEREDA CABALLITO, SECTOR CAMPOLLO, VEREDAS PEÑAS NEGRAS. REPORTE DEL CREPAD.</t>
  </si>
  <si>
    <t>SECTOR INVASION DE ESPUMAS. APOYO DEL FNC MEDIANTE GIRO DIRECTO AL CLOPAD PARA ALQUILER DE MAQUINARIA PARA RECTIFICACION DE CAUCES</t>
  </si>
  <si>
    <t>CRECIENTE RIO ATRATO CORREGIMIENTO SAMURINDO, VETREDA LA MOLANA</t>
  </si>
  <si>
    <t>APOYADO A TRAVES DEL DEPARTAMENTO</t>
  </si>
  <si>
    <t>MAPIRIPAN</t>
  </si>
  <si>
    <t>BARRIO BUENOS AIRES. REPORTE DEL CREPAD.</t>
  </si>
  <si>
    <t>BARRIO LLERAS. REPORTE DEL CREPAD Y LA DCC.</t>
  </si>
  <si>
    <t xml:space="preserve">DESBORDAMIENTO CIENAGA LA CAIMANERA. Y RIO SINU. REPORTE DE LA DEFENSA CIVIL. BARRIOS EL DORADO, EL POBLADO, EL NISPERO, LA PALMA, LA VID. SUCRE, NUEVO MILENIO, MOCARI, PLAYA BRIGIDA, LOS COLORES, CORREGIMIENTOS MARTINICA, LETICIA, LAS PALOMAS, LOS GARZONES. </t>
  </si>
  <si>
    <t>AMBALEMA</t>
  </si>
  <si>
    <t>REPROTE DEL CREPAD. VEREDAS PLAYA VERDE, BELTRANCITO, SAN MARTIN, GAMBA, RASTROJO, GAJO MEDIO, EL DANUVIO.</t>
  </si>
  <si>
    <t>VEREDAS SAN ISIDRO, LA BATEA, CAUCASISA, LA ESTRELLA, PRO VIDENCIA, SAN ANTONIO, SAN BERNARDO, LAS BRISAS Y AGUADITA.  REPORTE DEL CREPAD.</t>
  </si>
  <si>
    <t>REPORTE DEL CREPAD. AFECTANDO BOCATOMA DEL ACUEDUCTO. BARRIOS PORVENIR, LAS BRISASS, MONTTELORO, LA CRUZ, VEREDAS PAUJIL, LAS CRUCES, MESA DE POLE, ANAPE Y EL VISO.</t>
  </si>
  <si>
    <t>CASCO URBANO Y ZONA RURAL. REPORTE DEL CREPAD.</t>
  </si>
  <si>
    <t>QUEBRADAS EL SALADO   AGUAS CALIENTES. REPORTE DEL CREPASD. AFECTADO CENTRO TURISTICO.TERMALES DE RIVERA.</t>
  </si>
  <si>
    <t>CASCO URBANO CENTROSA EDUCATIVOS DE ROSAFLORIDA NORTE, TIERRAS BLANCAS, SEDESARROLLOR RURAL.</t>
  </si>
  <si>
    <t>VIAS SECTOR TAMBILLO - SAN MARTIN - MIRAFLORES, REPORTE DEL CREPAD. CORREGIMIENTO MIRAFLORES SECTOR TAMBILLO</t>
  </si>
  <si>
    <t>AFECTADAS VIAS A LOS SECTORES CHILICAL, LAS CRECES, LA FRANCIA, YUNGUILLA, LUCITANIA, EL AGRADO. REPORTE DEL CREPAD SECTORES LA FRANCIA, EL AGRADO, LA CAÑADA.</t>
  </si>
  <si>
    <t>REPORTE DEL CREPAD. BARRIOS BUENOS AIRES, LAS MALVAS, OBRERO, SAN MIGUEL DE JONJOVITO Y ALAMEDA.</t>
  </si>
  <si>
    <t>VIA SAN JOSE - EL SOCORRO, SAN JOSE - LA VIAÑA, AFECTADOS CENTROS EDUCATIVOS GUARANGAL, SAN BOSCO Y CHIPLURCO.</t>
  </si>
  <si>
    <t>AFECTADO PUENTE EL TABLAZO SOBRE EL RIO SOGAMOSO.INFORMAN DE LA SITUACION PERO NO CONCRETAN SOLICITUD DE APOYO.</t>
  </si>
  <si>
    <r>
      <t>REPORTE DEL CREPAD..</t>
    </r>
    <r>
      <rPr>
        <b/>
        <sz val="9"/>
        <rFont val="Arial"/>
        <family val="2"/>
      </rPr>
      <t xml:space="preserve"> APOYO DEL FNC MEDIANMTE GIRO DIRECTO AL CLOPAD PARA LA COMPRA DE COMBUSTIBLE PARA LAS MOTOBOMBAS QUE APOYAN LA EVACUACION DE LAS AGUAS. EL VALOR DE OTROS CORRESPONDE A 500 PARES DE BOTAS.</t>
    </r>
  </si>
  <si>
    <t>233
362
235
249
259
403</t>
  </si>
  <si>
    <t>FUERTES LLUVIAS BARRIOS SIERRA GRANDE, RINCON DE SANTA FE, CENTRO COPMERCIAL MERCURIO. REPORTE DEL CREPAD,</t>
  </si>
  <si>
    <t>DESEMBOCADURA RIO BOGOTA EN EL MAGDALENA. REPORTE DEL CREPAD. BARRIOS SAN MIGUEL, SANTA HELENA, PUERTO CABRERA, LA VICTORIA, DIEZ DE MAYO CARRERA 15.</t>
  </si>
  <si>
    <t>REPORTE DEL CREPAD. VEREDAS EL CONSUELO, LA CHICA, GOLGONDA, PATIO BONITO, PANAMA, ROSARIO, SANTA ANA.</t>
  </si>
  <si>
    <t>INFORME DEL CLOPAD PEREIRA, AFECTADA LA VEREDA EL GUAYABO</t>
  </si>
  <si>
    <t>BOYACA</t>
  </si>
  <si>
    <t>SAN LUIS DE GACENO</t>
  </si>
  <si>
    <t>PUERTO LIBERTADOR</t>
  </si>
  <si>
    <t>SECTORES SAN JUAN MEDIO, ALTO SAN JUAN Y LA MULATA. REPORTE PRELIMINAR DE LA DEFENSA CIVIL</t>
  </si>
  <si>
    <t>PUTUMAYO</t>
  </si>
  <si>
    <t>APOYA PARA EL FORTALECIMIENTO DE LOS CUERPOS OPERATIVOS. EL VALOR DE OTROS CORRESPONDE A 50 MACHETES CON FUNDA, 10 BOLSAS DE ESPALDA. 5 BOMBAS DE ESPALDA, 10 FUMIGADORAS, 3 MOTOSIERRAS, 6 GUADAÑAS,. 500 RACIONES DE CAMPAÑA Y 600 SOBRES HIDRATANTES</t>
  </si>
  <si>
    <t>SOPLAVIENTO</t>
  </si>
  <si>
    <t>DESABASTECIMIENTO POR REDUCCION DEL NIVEL DEL CANAL DEL DIQUE. ACUEDUCTO REGIONAL DE LA LINEA. SE INCREENTO EL SISTEMA DE BOMBEO.</t>
  </si>
  <si>
    <t>DESBORDAMIENTO RIO CHAGUI. VEREDA LA BRISAS, EL CEIBO, CUARASANGA, SALISDI, SN PEDRO, BELLA VISTA, LA HONDA, BOCAS DE SILVI Y CALABASAL.</t>
  </si>
  <si>
    <t>INUNDACION</t>
  </si>
  <si>
    <t xml:space="preserve"> </t>
  </si>
  <si>
    <t>VEREDAS MIRAFLORES, LA DESPENSA, LA BALASTRERA, LA GLORIETA. DESBORDAMIENTO RIO GUEJAR. AFECTADA VIA PUENTE AMARILLO - NUEVO PROGRESO Y LA GLORIETA-MIRAFLORES</t>
  </si>
  <si>
    <t>DESBORDAMIENTO RIO GUEJAR. ONCE VEREDAS AFECTADAS.</t>
  </si>
  <si>
    <t>URBANIZACION PANAMERICANA. REPORTE DEL CREPAD.</t>
  </si>
  <si>
    <t>DAÑOS EN EL FLUIDO ELERCTRICO Y UN VEHICUULO AFECTADO.</t>
  </si>
  <si>
    <t>REPORTE DE  LA CRUZ ROJA</t>
  </si>
  <si>
    <t>2
8</t>
  </si>
  <si>
    <r>
      <t xml:space="preserve">VEREDAS EL SILENCIO, LA ESTRELLA, LA CABAÑA Y LA ESPERANZA. </t>
    </r>
    <r>
      <rPr>
        <b/>
        <sz val="9"/>
        <rFont val="Arial"/>
        <family val="2"/>
      </rPr>
      <t>EL VALOR DE OTROS CORRESPONDE A 46 ROLLOS DE MANGUERA DE 1/2, 14 ROLLOS DE 1", 30 ROLLOS DE ALAMBRE DE PUA, 30 BULTOS DE CEMENTO, 10 TANQUES DE 500 LTS.</t>
    </r>
  </si>
  <si>
    <r>
      <t xml:space="preserve">VEREDAS SAN LUIS, LAS MINAS, EL PRADO, LA PRIMAVERA Y PUEBLO NUEVO LOS AGELES. AFECTADOS CULTIVOS DE LOS SECTORES LA SOLEDAD, LA PRIMAVERA, LA ONDINA, LA UNION. EL MIRADOS LAS VENTANAS. </t>
    </r>
    <r>
      <rPr>
        <b/>
        <sz val="9"/>
        <rFont val="Arial"/>
        <family val="2"/>
      </rPr>
      <t>EL VALOR DE OTROS CORRESPONDE A 500 TEJAS DE ZINC, 70 METROS DE CABLE DE 1.5" PARA PUENTE, 8 PERROS DE 1 1/2, 30 BULTOS DE CEMENTO, 80 LIBRAS DE PUNTILLA, 130 ROLLOS DE MANGUERA DE 1/2, 25 ROLLOS DE ALAMBRE DE PUA.</t>
    </r>
  </si>
  <si>
    <t>PERSONAS REUBICADAS EN LA ESCUELA URBANA. REPORTE PRELIMINAR DEL CREPAD.</t>
  </si>
  <si>
    <t>117
121</t>
  </si>
  <si>
    <t>115
123</t>
  </si>
  <si>
    <r>
      <t xml:space="preserve">REPORTE DEL CLOPAD: 429 FAMILIAS AFECTADAS POR PERDIDA DE CULTIVOS. LOS CENSOS SE REMITEN A MINAGRICULTURA. </t>
    </r>
    <r>
      <rPr>
        <b/>
        <sz val="9"/>
        <rFont val="Arial"/>
        <family val="2"/>
      </rPr>
      <t>APOYO DEL FNC MEDIANTE GIRO DIRECTO AL CLOPAD PARA LA COMPREA DE TANQUES DE ALMACENAMIENTO DE AGUAY ALQUILER DE CARROTANQUES.</t>
    </r>
  </si>
  <si>
    <t>BARRIO FATIMA RAMAL 2. REPORTE DE LA DEFENSA CIVIL</t>
  </si>
  <si>
    <t>LOCALIDAD 10 BARRIO LAS PALMAS</t>
  </si>
  <si>
    <t>AFECTADA FABRICA DE COLCHONES</t>
  </si>
  <si>
    <t>REPORTE DE L CREPAD.</t>
  </si>
  <si>
    <t>MONTECRISTO</t>
  </si>
  <si>
    <t>BELLO</t>
  </si>
  <si>
    <t>SAN ANTERO</t>
  </si>
  <si>
    <t>DESBORDAMIENTO CAÑO LOS LOBOS. REPORTE DE LA DEFENSA CIVL.</t>
  </si>
  <si>
    <t>DESBORDAMIENTO RIO MARACAS. REPORTE DE LA CRUZ ROJA.</t>
  </si>
  <si>
    <t>BARRIO LA ESMERALDA, QUEBRADA LA YESCA.  REPORTE PRELIMINAR DE LA DEFENSA CIVIL VIA AVANTEL</t>
  </si>
  <si>
    <t>SILVIA</t>
  </si>
  <si>
    <t>SE APOYA TENIENDO EN CUENTA LA IMPORTANCIA DE LA OBRA PARA LA REGION</t>
  </si>
  <si>
    <t>APOYO DEL FNC MEDIANTE GIRO DIRECTO AL CLOPAD PARA APOYAR LA TERMINACION DEL PUENTE LA CAPILLA, VEREDA MIRAFLORES, RESGUARDO INDIGENA DE AMBALO.</t>
  </si>
  <si>
    <t>COLAPSO POR COLMATACION DE ALCANTARILLADO</t>
  </si>
  <si>
    <t>EL AGUILA</t>
  </si>
  <si>
    <t>AFECTADA VIA EL AGUILA AL CORREGIMIENTO DE VILLANUEVA. CORREGIMIENTO VILLANUEVA</t>
  </si>
  <si>
    <t>PEINILLA</t>
  </si>
  <si>
    <t>PLATO HONDO</t>
  </si>
  <si>
    <t>PLATO PANDO</t>
  </si>
  <si>
    <t>VALLE DE SAN JUAN</t>
  </si>
  <si>
    <t>SORA</t>
  </si>
  <si>
    <t>PURACE</t>
  </si>
  <si>
    <t>SIMIJACA</t>
  </si>
  <si>
    <t>MAICAO</t>
  </si>
  <si>
    <t>REPORTE DE LA GOBERNACION Y EL MAVDT. DESABASTECIMIENTO DE AGUA. EL NIVEL DE LOS POZOS ESTA DISMINUYENDO</t>
  </si>
  <si>
    <t>SANTA ROSA DE VITERBO</t>
  </si>
  <si>
    <t>REPORTE DE LA GOBERNACION Y EL MAVDT. DESABASTECIMIENTO DE AGUA POR MAL USO DE LA MISMA</t>
  </si>
  <si>
    <t>RACIONAMIENTO. REPORTE DEL MAVDT. DESABASTECIMIENTO DE AGUA</t>
  </si>
  <si>
    <t>REPORTE DE LA ALCALDIA Y EL MAVDT. DESABASTECIMIENTO DE AGUA. RACIONAMIENTO DE AGUA A PARTIR DEL 9 DE FEBRERO.</t>
  </si>
  <si>
    <t>CAIMITO</t>
  </si>
  <si>
    <t>SAN BENITO ABAD</t>
  </si>
  <si>
    <t>EROSION</t>
  </si>
  <si>
    <t xml:space="preserve">SOLICITAN APOYO CON ALIMENTOS LOS CUALES SERVIRAN PARA APOYAR A LAS PERSONAS QUE TRABJESN EN EL REFORZAMIENTO DE LO JARILLON ALEDAÑO AL RIO SAN JORGE, CORREGIMIENTOS DE DOÑA ANA, PUNTA DE BLANCO, EL LIMON, LA CEIBA, GEGUA Y SANTIAGO APOSTOL. </t>
  </si>
  <si>
    <t>BUGALAGRANDE</t>
  </si>
  <si>
    <t>CASUCA. REPORTE DEL CREPAD.</t>
  </si>
  <si>
    <t>SE APOYA TENIENDO E CUENTA LA GRAVE AFECTACION VIALQUE TIENE INCOMUNICADO EL CORREGIMIENTO Y LAS ACCIONES ADELANTADAS A NIVEL LOCAL Y REGIONAL.</t>
  </si>
  <si>
    <t>EN CONVERSACION CON EL CREPAD INFORMA QUE LOS MUNICIPIOS NO PRESENTARON ACTAS, NI EL INFORME DE LA EMPRESA PRESTADORA DEL SERVICIO NI LA SOLICITUD CONCRETA DE APOYO.</t>
  </si>
  <si>
    <t>COYAIMA</t>
  </si>
  <si>
    <t>DESBORDAMIENTO CAÑO MASATO BARRIO LAS BRISAS. REPORTE DE LA DEFENSA CIVIL.</t>
  </si>
  <si>
    <t>BARRIO BOSQUE IZQUIERDO CALLE 24 NO. 1 - 45. REPORTE DE LA DPAE</t>
  </si>
  <si>
    <t>PUERTO NARE</t>
  </si>
  <si>
    <t>REPORTE DEL CREPAD PRELIMINAR.</t>
  </si>
  <si>
    <t>BARBACOAS</t>
  </si>
  <si>
    <t>PERDIDA DE ENSERES Y CULTIVOS DE ARROZ</t>
  </si>
  <si>
    <t>CORREGIMIENTO BADILLO. DESBORDAMIENTO RIO BADILLOY Y SUS AFLUENTES. REPORTE DEL CLOPAD.</t>
  </si>
  <si>
    <t>INUNDACION POR FUERTES LLUVIAS. CORREGIMIENTO QUINAMAYO, SECTORES EL AVISPAL Y BAHIA AMARILLA.  REPORTE DEL CREPAD.</t>
  </si>
  <si>
    <t>UBAQUE</t>
  </si>
  <si>
    <t>REPORTE DEL CREPAD.APOYO DEL FNC EN MENAJES, ALIMENTOS Y LAMINAS DE ZINC</t>
  </si>
  <si>
    <t>REPORTE DEL CREPAD. APOYO DEL FNC EN MENAJES, ALIMENTOS Y LAMINAS DE ZINCÇ</t>
  </si>
  <si>
    <t xml:space="preserve">AFECTADA UNA VIVIENDA POR LA CAIDA DE UN ARBOL. REPORTE DE LA DEFENSA CIVIL COLOMBIANA. </t>
  </si>
  <si>
    <r>
      <t>MUNICIPIO CON RACIONAMIENTO DE AGUA Y/O DESABASTECIMIENTO POR PROBLEMAS DE SEQUI DEBIDO AL FENOMENO DE EL NIÑO. REPORTE DEL MAVDT.</t>
    </r>
    <r>
      <rPr>
        <b/>
        <sz val="9"/>
        <color indexed="8"/>
        <rFont val="Arial"/>
        <family val="2"/>
      </rPr>
      <t xml:space="preserve"> CORPOBOYACA CONVOCARÁ A REUNIÓN URGENTE CON LOS USUARIOS DE LA LAGUNA DE TOTA PARA REVISAR LAS CONCESIONES Y EVALUAR FUENTES ALTERNAS PARA ACERÍAS PAZ DEL RÍO, DE TAL FORMA QUE ASEGURE CAUDALES DE ABASTECIMIENTO A LA POBLACIONES DE ESTOS TRES MUNICIPIOS.LOS ALCALDES INICIAN ACTIVIDADES PARA QUE LA POBLACIÓN REDUZCA SUS TASAS DE CONSUMO, Y PROHIBIRÁN ALGUNAS ACTIVIDADES QUE CONLLEVAN A DESPERDICIO DE AGUA.</t>
    </r>
  </si>
  <si>
    <r>
      <t xml:space="preserve">ZONA URBANA Y RURAL. AQFECTADOS ALCALDIA, COLISEO, ANCIANATO, EDIFICIO MICROEMPRESARIAL Y VARIAS SEDES EDUCATIVAS Y UNICIENCIAS. BARRIOS PUERTO TEJADA, LA TRINIDAD, PUEBLO NUEVO, VIENTO LIBRE, LUIS CARLOS GALAN, FUNDADORES, EL ALTO, LA INMACULADA, ALTO DE LOS ALPES, LUS CARLOS GALAN ETAPAS 1,2,3,4,5 EL CENTRO, VEREDAS SANTA ROSA Y CAI MIO. REPORTE DEL CREPAD.. </t>
    </r>
    <r>
      <rPr>
        <b/>
        <sz val="11"/>
        <rFont val="Arial"/>
        <family val="2"/>
      </rPr>
      <t>solicitan ademas recursos para reparacion de vivienda, lo cual pasa a grupo de soporte para la gestion</t>
    </r>
  </si>
  <si>
    <t>REPORTE DE SOCORRO NACIONAL ´RELIMINAR</t>
  </si>
  <si>
    <t>TORNADO</t>
  </si>
  <si>
    <t>SAN DIEGO</t>
  </si>
  <si>
    <t>SE AOYA DE MANERA COMPLEMENTARIA</t>
  </si>
  <si>
    <t>VEREDA PEÑA NEGRA SECTORES CALOTO Y CALOTO ALTO.-</t>
  </si>
  <si>
    <t>BARRIO LA CRUZ Y LA FERIA CARRERA PRIMERA CALLE 13, REPORTE DEL CREPAD. VIA TMANA - PITALITO.</t>
  </si>
  <si>
    <t>REPORTE DEL CREPAD. VEREDAS HUEVITA Y CAITAL Y LOS PINOS. AFECTADA VIA QUE COMUNICA EL CASCO URBANO CON LA VEREDAS HUEVITA Y CAITAL Y VIA TARQUI - PITAL E LA VEREDA CHORRILLO.</t>
  </si>
  <si>
    <t>VEREDAS LA CABAÑA, ÑAGRANJA, LA UNION.</t>
  </si>
  <si>
    <t>VEREDA EL VERGEL. HM 1.5 CASCO URBANO REPORTE DEL CREPAD.</t>
  </si>
  <si>
    <r>
      <t xml:space="preserve">MUNICIPIO CON RACIONAMIENTO DE AGUA Y/O DESABASTECIMIENTO POR PROBLEMAS DE SEQUI DEBIDO AL FENOMENO DE EL NIÑO. REPORTE DEL MAVDT. </t>
    </r>
    <r>
      <rPr>
        <b/>
        <sz val="9"/>
        <color indexed="8"/>
        <rFont val="Arial"/>
        <family val="2"/>
      </rPr>
      <t>CORPOBOYACA CONVOCARÁ A REUNIÓN URGENTE CON LOS USUARIOS DE LA LAGUNA DE TOTA PARA REVISAR LAS CONCESIONES Y EVALUAR FUENTES ALTERNAS PARA ACERÍAS PAZ DEL RÍO, DE TAL FORMA QUE ASEGURE CAUDALES DE ABASTECIMIENTO A LA POBLACIONES DE ESTOS TRES MUNICIPIOS.LOS ALCALDES INICIAN ACTIVIDADES PARA QUE LA POBLACIÓN REDUZCA SUS TASAS DE CONSUMO, Y PROHIBIRÁN ALGUNAS ACTIVIDADES QUE CONLLEVAN A DESPERDICIO DE AGUA.</t>
    </r>
  </si>
  <si>
    <r>
      <t xml:space="preserve">MUNICIPIO CON RACIONAMIENTO DE AGUA Y/O DESABASTECIMIENTO POR PROBLEMAS DE SEQUI DEBIDO AL FENOMENO DE EL NIÑO. REPORTE DEL MAVDT. OPERADOR EMPUCOL ESP HA INICIADO RACIONAMIENTO Y MANTIENE </t>
    </r>
    <r>
      <rPr>
        <b/>
        <sz val="9"/>
        <color indexed="8"/>
        <rFont val="Arial"/>
        <family val="2"/>
      </rPr>
      <t xml:space="preserve">LA SITUACIÓN BAJO CONTROL.EL SISTEMA CUENTA CON UN EMBALSE DE APOYO DE 103,000 M3 </t>
    </r>
  </si>
  <si>
    <r>
      <t>MUNICIPIO CON RACIONAMIENTO DE AGUA Y/O DESABASTECIMIENTO POR PROBLEMAS DE SEQUI DEBIDO AL FENOMENO DE EL NIÑO. REPORTE DEL MAVDT. DRAGADO EN ZONA DE CAPTACIÓN.</t>
    </r>
    <r>
      <rPr>
        <b/>
        <sz val="10"/>
        <color indexed="8"/>
        <rFont val="Arial"/>
        <family val="2"/>
      </rPr>
      <t>SUMINISTRO E INSTALACIÓN DE MANGUERA PARA EXTENSIÓN DE LA TUBERÍA DE SUCCIÓN Y/O IMPULSIÓN DE AGUA, INCLUIDAS BOYAS DE FLOTACIÓN.ALQUILER PLANTA ELÉCTRICA Y COMBUSTIBLE.SUMINISTRO DE AGUA POR CARROTANQUE.</t>
    </r>
  </si>
  <si>
    <t>VEREDA EL PLACER, TOPACIO, LEONORA, TORRE 6 Y AGUILA. REPORTE DEL CREPAD</t>
  </si>
  <si>
    <t>VENDAVAL EN REPRESA DE BETANIA, AFECTADO SECTOR PESQUERO, JAULAS CRIADERO DE PECES, MOTONAVES Y BODEGAS. SITUACION CONTROLADA. REPORTE DEL CREPAD.</t>
  </si>
  <si>
    <t>BRICEÑO</t>
  </si>
  <si>
    <t>CORREGIMIENTO DE PUEBLO NUEVO. COLAPSO EN MINA DE ORO.</t>
  </si>
  <si>
    <t>BARRIO EL JARDIN, SECTOR EL JAZMIN. REPORTE DE LA DEFENSA CIVIL.</t>
  </si>
  <si>
    <t>BARRIO SANTANDER. REPORTE DE LA DEFENSA CIVIL</t>
  </si>
  <si>
    <t>BARRIO SANTA ANA. REPORTE DEL CREPAD.</t>
  </si>
  <si>
    <t>VEREDA LA QUIEBRA. REPORTE DEL CREPAD.</t>
  </si>
  <si>
    <t xml:space="preserve">VEREDAS LA CABAÑA, BUENAVISTA Y EL BRILLANTE. AFECTADA ESCUELA BUENAVISTA Y EL COLEGIO ALTO CAUCA. REPORTE DE LA DEFENSA CIVIL. </t>
  </si>
  <si>
    <t>ANGOSTURA</t>
  </si>
  <si>
    <t>BESLIZAMIENTO BARRIO OBRARO.</t>
  </si>
  <si>
    <t>TELLO</t>
  </si>
  <si>
    <t>SE APOYA TENIENDO EN CUENTA LA URGENCIA EXPRESADA POR EL COMITÉ PARA LA RELAIZACION DE LAS OBRAS.</t>
  </si>
  <si>
    <t>APOYO DEL FNC MEDIANTE GIRO DIRECTO AL CLOPAD PARA LA CONSTRUCCION DE VARIANTE Y BOX COULVERT EN LA VEREDA EL CADILLO Y CONSTRUCCION DE ESTRIBO, ALETA Y GAVIONES EN PUENTE DE LA VEREA BARRANQUILLA.</t>
  </si>
  <si>
    <t>REPORTE PRELIMINAR DEL CREPAD. ESTAN CONSOLIDANDO INFORMACION. APOYO DEL FNC EN LAMINAS DE ZINC (100) Y CEMENTO (50 BULTOS)</t>
  </si>
  <si>
    <t>REPORTE PRELIMINAR DEL CREPAD. ESTAN CONSOLIDANDO INFORMACION. APOYO DEL FNC EN LAMINAS DE ZINC (150) Y CEMENTO (50 BUILTOS)</t>
  </si>
  <si>
    <t>VEREDA EL CAFÉ. REPORTE PRELIMINAR DE CASANARE. APOYO DEL FNC EN LAMINAS DE ZINC (50) Y CEMENTO (25)</t>
  </si>
  <si>
    <t xml:space="preserve">SE APOYA TENIENDO EN CUENTA EL DAÑO EN EL SECTOR PRODUCTIVO AGROPECUARIO </t>
  </si>
  <si>
    <r>
      <t xml:space="preserve">MUNICIPIO CON RACIONAMIENTO DE AGUA Y/O DESABASTECIMIENTO POR PROBLEMAS DE SEQUI DEBIDO AL FENOMENO DE EL NIÑO. REPORTE DEL MAVDT. </t>
    </r>
    <r>
      <rPr>
        <b/>
        <sz val="10"/>
        <color indexed="8"/>
        <rFont val="Arial"/>
        <family val="2"/>
      </rPr>
      <t>ESTÁ EN PROCESO UNA CONEXIÓN CON EL ACUEDUCTO DE SABANALARGA.</t>
    </r>
    <r>
      <rPr>
        <sz val="9"/>
        <color indexed="8"/>
        <rFont val="Arial"/>
        <family val="2"/>
      </rPr>
      <t xml:space="preserve"> LA GOBERNACION DECLARO URGENCIA MANIFIESTA POR EL FENOMENO DE EL NIÑO.MEDIANTE RESOLUCION 005 DEL 18 DE ENERO DE 2010</t>
    </r>
  </si>
  <si>
    <r>
      <t xml:space="preserve">LA GOBERNACION DECLARO URGENCIA MANIFIESTA POR EL FENOMENO DE EL NIÑO.MEDIANTE RESOLUCION 005 DEL 18 DE ENERO DE 2010. </t>
    </r>
    <r>
      <rPr>
        <b/>
        <sz val="10"/>
        <rFont val="Arial"/>
        <family val="2"/>
      </rPr>
      <t>SE ESTA ABASTECIENDO CON CARROTANQUES CON EL APOYO DE LA GOBERNACION</t>
    </r>
  </si>
  <si>
    <t>REPORTE TELEFONICO DEL CREPAD.</t>
  </si>
  <si>
    <t>91354
97221</t>
  </si>
  <si>
    <t xml:space="preserve">MUNICIPIO CON RACIONAMIENTO DE AGUA Y/O DESABASTECIMIENTO POR PROBLEMAS DE SEQUI DEBIDO AL FENOMENO DE EL NIÑO. REPORTE DEL MAVDT. EL MUNICPIO ESTA APOYANDO EL DESABASTECIMIENTO EN EL ÁREA RURAL CON LA VOLQUETA Y UN TANQUE. </t>
  </si>
  <si>
    <t>MUNICIPIO CON RACIONAMIENTO DE AGUA Y/O DESABASTECIMIENTO POR PROBLEMAS DE SEQUI DEBIDO AL FENOMENO DE EL NIÑO. REPORTE DEL MAVDT. DEBEN ESPERAR A QUE EL TANQUE SE ENCUENTRE TOTALMENTE LLENO PARA SU REBOMBEO.</t>
  </si>
  <si>
    <t>MUNICIPIO CON RACIONAMIENTO DE AGUA Y/O DESABASTECIMIENTO POR PROBLEMAS DE SEQUI DEBIDO AL FENOMENO DE EL NIÑO. REPORTE DEL MAVDT. OPERADOR INICIÓ RACIONAMIENTO Y MANTIENE MONITOREO SOBRE LAS FUENTES DE ABASTECIMIENTO.</t>
  </si>
  <si>
    <t>MUNICIPIO CON RACIONAMIENTO DE AGUA Y/O DESABASTECIMIENTO POR PROBLEMAS DE SEQUI DEBIDO AL FENOMENO DE EL NIÑO. REPORTE DEL MAVDT. RACIONAMIENTO DE 2 PM A 5 PM, Y DE 8 PM A  5 AM.</t>
  </si>
  <si>
    <t xml:space="preserve">SE APOYA LA SOLICITUD, TENIENDO EN CUENTA LA AFECTACION EN VARIOS MUNICIPIOS DEL DEPARTAMENTO Y LA GESTION ADELANTADA POR EL CREPAD </t>
  </si>
  <si>
    <t>SE APOYA TENIENDO EN CUENTA LA MAGNITUD DE LA EMERGENCIA EN EL  DEPARTAMENTO</t>
  </si>
  <si>
    <t>APOYO CON 50000 SACOS DE POLIPROPILENO</t>
  </si>
  <si>
    <r>
      <t>EL CLOPAD REPORTA PERDIDA DE CULTIVOS Y MANGUERAS DE ACUEDUCTOS,.</t>
    </r>
    <r>
      <rPr>
        <b/>
        <sz val="9"/>
        <rFont val="Arial"/>
        <family val="2"/>
      </rPr>
      <t xml:space="preserve"> NO CONCRETAN SOLICITUD DE APOYO.</t>
    </r>
  </si>
  <si>
    <r>
      <t xml:space="preserve">AFECTADAS INSTITUCIONES EDUCATIVAS DE LLANO GRANDE Y CORTADERA GRANDE. EL CLOPAD SOLICITA APOYO PARA REPARACION DE CUBIERTAS POR $58.859.663, EL CREPAD QUEDO DE REVISAR Y AVALAR. </t>
    </r>
    <r>
      <rPr>
        <b/>
        <sz val="9"/>
        <rFont val="Arial"/>
        <family val="2"/>
      </rPr>
      <t>SE REMITE LA SOLICITUD AL CREPAD PARA VERIFICACION. NO SE RECIBE AVAL DEL CREPAD.</t>
    </r>
  </si>
  <si>
    <r>
      <t>DESBORDAMIENTO RIO BUEY. AFECTADAS COMUNIDADES INDIGENAS. REPORTE DEL SOCORRO NACIONAL. COMUNIDADES DE AURO BUEY, SAN ANTONIO, CIRICHI, LA VUELTA, CHIBUGA, LA MANZA, SAN JOSE DE BUEY, RESGUARDO INDIGENA. APOYO DEL FNC EN ALIMENTOS, COLCHONETAS Y KIT ASEO.</t>
    </r>
    <r>
      <rPr>
        <b/>
        <sz val="9"/>
        <rFont val="Arial"/>
        <family val="2"/>
      </rPr>
      <t xml:space="preserve">APOYO DEL FNC MEDIANTE GIRO DIRECO AL CLOPAD PARA LA COMPRA DE COMBUSTIBLE A FIN DE ATENDE RLA SITUACION DE EMERGENCIA VIA FLUVIAL </t>
    </r>
  </si>
  <si>
    <t>SABANA DE TORRES</t>
  </si>
  <si>
    <t>SE APOYA TENIENDO EN CUENTA LAS PERDIDAS EN CULTIVOS EN EL MUNICIPIO. ESTAMOS A LA ESPERA DE QUE EL CREPAD CONCRETE LA SOLICITUD DE APOYO.</t>
  </si>
  <si>
    <t>BARRANCA DE UPIA</t>
  </si>
  <si>
    <t>DESBORDAMIENTO RIO UPIA. REPORTE DEL CREPAD.</t>
  </si>
  <si>
    <t>DESBORDAMIENTO QUEBRADA EL CARBONERO. AFECTADO CORREGIMIENTO CAIMALITO, BARRIOS EL CARBONERO NUEVO REPORTE DEL CLOPAD.</t>
  </si>
  <si>
    <t>VEREDA LA ALMERIA. REPORTE DEL CREPAD.</t>
  </si>
  <si>
    <t>MONGUA</t>
  </si>
  <si>
    <t>VEREDA MONGUI SECTOR MATA REDONDO CAIDA DE ROCA SOBRE VIVIENDA.REPORTE DEL CREPAD.</t>
  </si>
  <si>
    <t>SE APOYA TENIENDO EN CUENTA LA URGENCIA EXPRESADA POR EL COMITÉ PARA LA RELIZACION DE LAS OBRAS.</t>
  </si>
  <si>
    <t>GIRO DIRECTO AL CLOPAD PARA APOYAR LA OBRA COMPLEMENTARIA PARA LA REUBICACION DE LA INSTITUCION EDUCATIVA MARMATO (ZONA DE ADN¡MINISTRACION Y RESTAURANTE ESCOLAR Y LA CONSTRUCCION DE 15 VIVIENDAS AFECTADAS.</t>
  </si>
  <si>
    <t>SE APOYA TENIENDO EN CUENTA  EL NUMERO DE VIVIENDAS AFECTADAS.</t>
  </si>
  <si>
    <t>REPORTE DEL CREPAD Y DE LA CRUZ ROJA.. SE BRINDA APOYO CON MENAJES Y LAMINAS DE ZINC.</t>
  </si>
  <si>
    <t>95988
96104</t>
  </si>
  <si>
    <t>REPORTE DEL CREPAD POR AVANTEL. AFECTADA ZONA DE INVASION CERCA AL AEROPUERTO CAMILO DAZA.</t>
  </si>
  <si>
    <t>SECTORES DE SEMANA SANTA, ALGODÓN ARRIBA, ALGODÓN ABAJO, CULEBRADA, VILLA SONIA, ECUADOR, SANTA ROSA, CURIBIA, MULATOS, LIMONCITO E ISLITA.</t>
  </si>
  <si>
    <t>PLANADAS</t>
  </si>
  <si>
    <t>REPORTE DEL CLOPAD. ALEXANDRA CUELLAR CUELLAR 3106899770</t>
  </si>
  <si>
    <t>250 ZINC, 150 AC NO. 6, 75 CABALLETES Y 1000 AMARRES.</t>
  </si>
  <si>
    <t>VEREDA LA LINDA. REPORTE DEL CREPAD</t>
  </si>
  <si>
    <t>BARRIO BAJO ANDES. REPORTE DE DEFENSA CIVIL.</t>
  </si>
  <si>
    <t>12 VEHICULOS ARRASTRADOS.</t>
  </si>
  <si>
    <t>DESLIZAMIENTO E INUNDACION POR DESBORDAMIENTO ARROYO MATUTE BARRIOS CERRO DE LA POPA, VILLA ROSITA, REPORSON, SINAI, SAN BERNARDO, PARAISO 2 LA TORRE Y LA PAZ.</t>
  </si>
  <si>
    <t>BARRIO SANTA FE SECTOR BAJAMAR. REPORTE DEL CLOPAD.</t>
  </si>
  <si>
    <t>DESBORDAMIENTO QUEBRADAS FRAILES Y LA VIBORA. BARRIO COMUNEROS. REPORTE DEL CLOPAD.</t>
  </si>
  <si>
    <t>BARRIO CARACOL. REPORTE DE LA DEFENSA CIVIL.</t>
  </si>
  <si>
    <t>DESBORDAMIENTO DE LOS RIOS SAN JORGE Y SINU. BARRIOS SAN JOSE, PUERTO COLON, PUERTO REAL, SAN RAFAEL, LA PAZ, MARIAN, CADELARIA, VERACRUZ, 19 CORREGIMIENTOS. REPORTE DE DEFENSA CIVIL.</t>
  </si>
  <si>
    <t>BARRIO SANTA HELENA, CASAS 8 Y 9. REPORTE DEL CLOPAD</t>
  </si>
  <si>
    <t>MALAMBO</t>
  </si>
  <si>
    <t>REPORTE PRELIMINAR DE LA DEFENSA CIVIL.</t>
  </si>
  <si>
    <t>AFECTADA ZONA URBANA BARRIO SAN CRISTOBAL, SAN RAFAEL, VILLA CARMENZA, LA ESPERANZA Y EL CENTRO. VEREDAS ARRAYAN BAJO, SAN MIGUEL.0. REPORTE DE LA DEFENSA CIVIL.</t>
  </si>
  <si>
    <t>BARRIO LA ESNEDA. REPORTE DE LA DEFENSA CIVIL.</t>
  </si>
  <si>
    <t>CORREGIMIENTO LA JUANA. REPORTE DEL CREPAD.</t>
  </si>
  <si>
    <t>MUNICIPIO CON RACIONAMIENTO DE AGUA Y/O DESABASTECIMIENTO POR PROBLEMAS DE SEQUIA DEBIDO AL FENOMENO DE EL NIÑO. REPORTE DEL MAVDT. DE CONTINUAR SEQUÍA SE EMPRENDERÁN MEDIDAS DE RACIONAMIENTO, CAMPAÑA DE AHORRO E IMPOSICIÓN DE COMPARENDOS. NO SE TIENEN ALTERNATIVAS POR LO QUE SE PROGRAMARÁ VISITA TÉCNICA.</t>
  </si>
  <si>
    <t>COLAPSO MINA DE ORO. REPORTE DE DEFENSA CIVIL.</t>
  </si>
  <si>
    <t>AFECTADA FABRICA DE ELEMENTOS DE ASEO FULLER. AFECTADA UNA BODEGA DAÑOS MATERIALES POR ESTABLECER. REPORTE DE LA DEFENSA CIVIL.</t>
  </si>
  <si>
    <t>AFECTADO TALLER DEPARTAMENTAL. REPORTE DEL CLOPAD ARMENIA.</t>
  </si>
  <si>
    <t>CORREGIMIENTO BILBAO, QUEBRADA LA LOMA.</t>
  </si>
  <si>
    <t>MUNICIPIO CON RACIONAMIENTO DE AGUA Y/O DESABASTECIMIENTO POR PROBLEMAS DE SEQUI DEBIDO AL FENOMENO DE EL NIÑO. REPORTE DEL MAVDT. SE DISTRIBUYE 1 ON DIA CADA 2 SEMANAS</t>
  </si>
  <si>
    <t>MORALES</t>
  </si>
  <si>
    <t>VEREDAS EL PORVENIR Y LA ESTRELLA. REPORTE PRELIMINAR DEL CREPAD.</t>
  </si>
  <si>
    <t>PERDIDA DE CULTIVOS DE CAFÉ, MAIZ Y YUCA</t>
  </si>
  <si>
    <t>ARATOCA</t>
  </si>
  <si>
    <r>
      <t xml:space="preserve">MUNICIPIO CON RACIONAMIENTO DE AGUA Y/O DESABASTECIMIENTO POR PROBLEMAS DE SEQUI DEBIDO AL FENOMENO DE EL NIÑO. REPORTE DEL MAVDT. </t>
    </r>
    <r>
      <rPr>
        <b/>
        <sz val="9"/>
        <color indexed="8"/>
        <rFont val="Arial"/>
        <family val="2"/>
      </rPr>
      <t>DRAGADO EN ZONA DE CAPTACIÓN.SUMINISTRO E INSTALACIÓN DE MANGUERA PARA EXTENSIÓN DE LA TUBERÍA DE SUCCIÓN Y/O IMPULSIÓN DE AGUA, INCLUIDAS BOYAS DE FLOTACIÓN.ALQUILER PLANTA ELÉCTRICA Y COMBUSTIBLE.SUMINISTRO DE AGUA POR CARROTANQUE.</t>
    </r>
  </si>
  <si>
    <t>DESBORDAMIENTO QUEBRADA GIGANTE, BARRIO SESIMO SUAREZ. REPORTE DEL CREPAD.</t>
  </si>
  <si>
    <t>BARRIO BRISAS DEL MAYO Y SILOE. REPORTE DEL CREPAD.</t>
  </si>
  <si>
    <t>PAJARITO</t>
  </si>
  <si>
    <t>PENDIENTE INFORMACION.</t>
  </si>
  <si>
    <t>ARRASTRADO UN VEHICULO.</t>
  </si>
  <si>
    <t>FUNDACION</t>
  </si>
  <si>
    <t>PLATO</t>
  </si>
  <si>
    <t>ARIGUANI</t>
  </si>
  <si>
    <t>CORREGIMIENTO LA PUNTA DE LOS REMEDIOS. REPORTE DEL CREPAD</t>
  </si>
  <si>
    <t>SE APOYA TENIENDO EN CUENTA LA NECESIDAD DE LA OBRA DEBIDO AL RIESGO DE LA COMUNIDAD EDUATIVA.</t>
  </si>
  <si>
    <r>
      <t>REPORTE DEL CREPAD.</t>
    </r>
    <r>
      <rPr>
        <b/>
        <sz val="9"/>
        <rFont val="Arial"/>
        <family val="2"/>
      </rPr>
      <t xml:space="preserve"> APOYO DEL FNC MEDIANTE GIRO DIRECTO AL CLOPAD PARA APOYAR LA CONSTRUCCION DE MUROS DE CONTENCION COMO OBRA DE PROTECCION DE LA INSTITUCION EDUCATIVA MARIANO DE JESUS EUSSE Y LA VIA CARRERA 10 DEL MUNICIPIO.</t>
    </r>
  </si>
  <si>
    <t>BARRIOS TEBAIDA, CANTARITO, LOS SAUCES, CENTRO. REPORTE DEL CREPAD,</t>
  </si>
  <si>
    <t>AFECTACION DEBIDO A INCENDIO FORESTAL ORIGINADO POR LA TEMPORADA SECA.. 50 HECTAREAS DE BOSQUE Y 10 DE PASTOS.</t>
  </si>
  <si>
    <t xml:space="preserve">VEREDAS LAS GUASCAS, LOS CAFES, EL DANUBIO, SANTA ROSA, LA ESTRELLA CARPINTERO, EL ROSARIO. </t>
  </si>
  <si>
    <t>BARRIO ALTOS DE LA UNION. REPORTE DEL CLOPAD.</t>
  </si>
  <si>
    <t>607 TEJAS DE AC NO. 8, 600 NO. 6, 507 NO. 4, 3528 GANCHOS PARA AC, 2100 PARA TEJA DE ZINC, 373 TEJAS DE ZINC, 1027 CABALLETES.</t>
  </si>
  <si>
    <t>SE APOYA TENIENDO EN CUENTA LA GRAVE AFECTACION EN VIVIENDA Y PERDIDA DE ENSERES.</t>
  </si>
  <si>
    <r>
      <t xml:space="preserve">AVALANCHA QUEBRADA PEÑAS BLANCAS VEREDA PEÑAS BLANCAS (BALBOA), CORREGIMIENTO PERALONSO (SANTUARIO) Y CORREGIMIENTO PATIO BONITO (LA CELIA). </t>
    </r>
    <r>
      <rPr>
        <b/>
        <sz val="9"/>
        <rFont val="Arial"/>
        <family val="2"/>
      </rPr>
      <t>APOYO DEL FNC MEDIANTE GIRO DIRECTO AL CLOPAD PARA APOYAR LA REHABILITACION DEL ACUEDUCTO DE PEÑAS BLANCAS, AFECTADO EN SU BOCATOMA.</t>
    </r>
  </si>
  <si>
    <t>CURITI</t>
  </si>
  <si>
    <t>BARRIOS EL ENSUEÑO Y NEUVOHORIZONTE. REPORTE DE LA CRUZ ROJA Y EL CREPAD.</t>
  </si>
  <si>
    <t>REPRESAMIENTO DE AGUS LLUVIAS. BARRIOS SAN ANTONIO, EL LAZARO Y SAN JOSE. REPORTE DEL CREPAD.</t>
  </si>
  <si>
    <t>204
25428</t>
  </si>
  <si>
    <t>JARDIN</t>
  </si>
  <si>
    <t>SE APOYA TENIENDO EN CUENTA LA URGENCIA DE ADELANTAR OBRAS DE MITIGACION.</t>
  </si>
  <si>
    <t>DESABASTECIMIENTO DE AGUA. VEREDAS DE ALTO GUADUALITO, PORVENIR LA ESTRELLA, INSPECCION VERSALLES , BOLIVIA, LA CRISTALINA, LA PROVIDENCIA, PUJILITO, NIÑA DEL CARMEN. REPORTE DEL CREPAD. EN EVALUACION SOLICITUD DE MANGUERA EN ESPERA DE ESPECIFICACIONES</t>
  </si>
  <si>
    <t>DESBORDAMIENTO CAÑOS MAIZARO, RODAS Y CUERERA. BARRIOS VILLA DEL SOL, MAIZARO, TOPACIO, 13 DE MAYO, CIUDAD PORFIA, MORICHAL, RELIQUIA, CAÑO PENDEJO, PORTALES DEL LLANO, LA ESPERANZA, SAN CARLOS. REPORTE DE LA CRUZ ROJA Y LA DEFENSA CIVIL.</t>
  </si>
  <si>
    <t>VIA BOGOTA - META. REPORTE DEL CREPAD.</t>
  </si>
  <si>
    <t>INUNDACION POR FUERTES LLUVIAS. BARRIOS EL TRIUNFO, CENTRO, PUEBLO NUEVO, LA CALLEJA, ALFONSO LOPEZ, COLINAS DEL ZULIA, LA MILAGROSA, ASOAVIS, REPORTE DEL CREPAD, APOYO DEL FNC MEDIANTE SUMINISTRO DE MATERIALES PARA RECONSTRUCCION DE VIVIENDAS: 400 TEJAS, 500 BULTOS DE CEMENTO, 75 MALLAS DEGAVION, 3000 BLOQUES.</t>
  </si>
  <si>
    <t>24654
25056</t>
  </si>
  <si>
    <t xml:space="preserve">ENDIETNE AFECTACION REPORTE DEL CREPAD.APOYO CON MATERIALES DE CONSTRUCCION PARA LA REPARACION DE VIVIENDAS: 620 TEJAS DE ZINC, 2500 AMARRES Y 6 ROLLOS DE ALAMBRE DE PUA. </t>
  </si>
  <si>
    <r>
      <t xml:space="preserve">DESBORDAMIENT0 QUEBRADA LA YUCA,  VEREDAS SAN LUIS, LAS MINAS EL PRADO, LA PRIMAVERA Y PUEBLO NUEVO. CORREGIMIENTO SANTO DOMINGO. AFECTADO CLUB DEL COMERCIO. REPORTE DEL CREPAD. </t>
    </r>
    <r>
      <rPr>
        <b/>
        <sz val="9"/>
        <rFont val="Arial"/>
        <family val="2"/>
      </rPr>
      <t>APOYO DEL FNC MEDIANTE GIRO DIRECTO AL CLOPAD CON EL OBJETO DE APOYAR EL ALQUILER DE MAQUINARIA, LA ADQUISICIÓN DE COMBUSTIBLE Y LA MANO DE OBRA A FIN DE ATENDER LA REHABILITACIÓN DE LAS VÍAS CROACREFAL – DAMAS ARRIBA – VILLA HERMOSA – VILLA DEL RIO, VIA CENTRAL – BAJO CALDAS – TRAVESIA, VIA CENTRAL - SANTO DOMINGO – LA ARENOSA Y VIA CENTRAL – COSTA RICA – BAJO SAN GIL – ALTO SAN GIL, AFECTADAS POR LA AVALANCHA DE LA QUEBRADA LA YUCA OCURRIDA EL PASADO 10 DE MARZO.  EL VALOR DE OTROS CORRESPONDE A 320 LAMINAS DE ALFAJOR PARA LA RECONSTRUCCION DE PUENTES PEATONALES.</t>
    </r>
  </si>
  <si>
    <t>DESBORDAMIENTO DE LA CIÉNAGA GRANDE Y RIO SINU. COMO QUIERA QUE EL MUNICIPIO DE CHIMA SE ENCUENTRA UBICADO A ORILLA DE LA CIÉNAGA GRANDE, DEL CAÑO DE AGUAS PRIETAS Y RODEADO DE NUMEROSOS ARROYOS SE ENCUENTRA AFECTADO, SE OCASIONARON INUNDACIONES A LA POBLACIÓN  EN LOS CORREGIMIENTOS DE PIMENTAL, PUNTA VERDE, CAROLINA, COROZALITO, BOCA CATABRE, ARACHE, SITIO VIEJO, BARRIOS LA GRANJA, SANTO DOMINGO, CALLE LA CRUZ, LAS FLORES, CALLE DEL COMERCIO, CALLE LA PUNTA, LA CAMPANERA, 20 DE JULIO, MALEBA.</t>
  </si>
  <si>
    <t>FLORIDABLANCA</t>
  </si>
  <si>
    <t>SECTORES LA PLANADA, EL PLACER, SAN ANTONIO, LA AGUADA, PALMAR, PUERTO BOYACA, ESPERANZA, JUNIN, LA SIERRITA, EL CORZO, LAS BRISAS, LA HONDA. PENDIENTE INFORMACION. REPORTE DEL CREPAD. ALCALDE CESAR SANCHEZ.</t>
  </si>
  <si>
    <t>LA JAGUA DE IBIRICO</t>
  </si>
  <si>
    <t>SE APOYA TENIENDO EN CUENTA LA GRAVE AFECTACION COMO PRODUCTO DEL FENOMENO DE EL NIÑO</t>
  </si>
  <si>
    <t>MUNICIPIO CON RACIONAMIENTO DE AGUA Y/O DESABASTECIMIENTO POR PROBLEMAS DE SEQUIA DEBIDO AL FENOMENO DE EL NIÑO. REPORTE DEL MAVDT. DRAGADO EN ZONA DE CAPTACIÓN.SUMINISTRO E INSTALACIÓN DE MANGUERA PARA EXTENSIÓN DE LA TUBERÍA DE SUCCIÓN Y/O IMPULSIÓN DE AGUA, INCLUIDAS BOYAS DE FLOTACIÓN.ALQUILER PLANTA ELÉCTRICA Y COMBUSTIBLE.SUMINISTRO DE AGUA POR CARROTANQUE.</t>
  </si>
  <si>
    <r>
      <t xml:space="preserve">MUNICIPIO CON RACIONAMIENTO DE AGUA Y/O DESABASTECIMIENTO POR PROBLEMAS DE SEQUIA DEBIDO AL FENOMENO DE EL NIÑO. REPORTE DEL MAVDT. </t>
    </r>
    <r>
      <rPr>
        <b/>
        <sz val="10"/>
        <color indexed="8"/>
        <rFont val="Arial"/>
        <family val="2"/>
      </rPr>
      <t>DRAGADO EN ZONA DE CAPTACIÓN.SUMINISTRO E INSTALACIÓN DE MANGUERA PARA EXTENSIÓN DE LA TUBERÍA DE SUCCIÓN Y/O IMPULSIÓN DE AGUA, INCLUIDAS BOYAS DE FLOTACIÓN.ALQUILER PLANTA ELÉCTRICA Y COMBUSTIBLE.SUMINISTRO DE AGUA POR CARROTANQUE.</t>
    </r>
  </si>
  <si>
    <r>
      <t xml:space="preserve">MUNICIPIO CON RACIONAMIENTO DE AGUA Y/O DESABASTECIMIENTO POR PROBLEMAS DE SEQUIA DEBIDO AL FENOMENO DE EL NIÑO. REPORTE DEL MAVDT. </t>
    </r>
    <r>
      <rPr>
        <b/>
        <sz val="10"/>
        <color indexed="8"/>
        <rFont val="Arial"/>
        <family val="2"/>
      </rPr>
      <t>ACTUALMENTE EL AGUA POTABLE SE OBTIENE DE CARROTANQUES QUE LA TRANSPORTAN TRATADA DESDE EL SISTEMA DE ACUEDUCTO DE CARTAGENA.</t>
    </r>
  </si>
  <si>
    <r>
      <t xml:space="preserve">VEREDA LA SALADA, VEREDA LA LINDA, SANTA GERTRUDIZ, LA ARBOLEDA. VERDUN Y CASCO URBANO. </t>
    </r>
    <r>
      <rPr>
        <b/>
        <sz val="9"/>
        <rFont val="Arial"/>
        <family val="2"/>
      </rPr>
      <t>APOYO DEL FNC MEDIANTE GIRO DIRECTO AL CLOPAD PARA LA REMOCION DE DERRUMBES  Y RECONFORMACION DE LA BANCA ($45,341,395 LINEA 2), , EXPLOSION DE ROCA DE DERRUMBE (833,910 LINEA 2) Y BANCO DE MATERIALES PARA EL MEJORAMIENTO DE VIVIENDA ($21,675,628 LINEA 8).</t>
    </r>
  </si>
  <si>
    <t xml:space="preserve">SISMO DE 5.4 DE MAGNITUD, PROFUNDIDAD SUPERFICIAL 4 KM UBICADO EN ORTEGA TOLIMA. </t>
  </si>
  <si>
    <t>COLEGIOS PUERTO RICO Y EL DIVISO. POBLACIONES CERCANAS AL RIO SAN JUAN DEL MICAY.</t>
  </si>
  <si>
    <t>194
224</t>
  </si>
  <si>
    <t>CALARCA</t>
  </si>
  <si>
    <t>VIA LA LINEA KM 20. SITIO EL OASIS.TRES VEHICULOS ATRAPADOS.  REPROTE DEL CREPAD</t>
  </si>
  <si>
    <t>CINCO LOCALES COMERCIALES DESTRUIDOS Y CUATRO MAS AFECTADOS.</t>
  </si>
  <si>
    <t>CALLO 35 CON CARRERA 16. CENTRO COMERCIAL LA HORMIGA. REPORTE DEL CREPAD Y BOMBEROS.</t>
  </si>
  <si>
    <t>DESBORDAMIENTO RIO GUAGUATI EN LA INSPECCION DE PUERTO ROMERO. REPORTE DEL CREPAD.</t>
  </si>
  <si>
    <t>DESBORDAMIENTO QUEBRADA SANTA ROSA. SECTOR ALTO SIMACOTA. AFECTADO CENTRO TURISTICA SIMACOTA.  REPORTE DEL CREPAD.</t>
  </si>
  <si>
    <t>SANTAFE DE ANTIOQUIA</t>
  </si>
  <si>
    <t>INUNDACION POR FUERTES LLUVIAS KM 2 VIA CAÑASGORDAS.  REPORTE DEL CREPAD.</t>
  </si>
  <si>
    <t>PUERTO TRIUNFO</t>
  </si>
  <si>
    <t>INUNDACION POR LLUVIAS Y REBOSE DE CAÑOS CORREGIMIENTO DORADAL. REPORTE DEL CREPAD.</t>
  </si>
  <si>
    <t>30000 SACOS UBICADOS EN CORMAGDALENA BARRANQUILLA (8000 SACOS) Y BARRANCABERMEJA (22,000).</t>
  </si>
  <si>
    <t>202
227</t>
  </si>
  <si>
    <t>TIERRALTA</t>
  </si>
  <si>
    <t>CERETE</t>
  </si>
  <si>
    <t>CORREGIMEINTO SAN PABLO, VEREDAS PIEDRAMOLER Y LAS PEÑAS, EL TREN . REPORTE DEL CREPAD.</t>
  </si>
  <si>
    <t>DESBORDAMENTO QUEBRADA MENDOZA BARRIOS CARMEN, GABRIEL, BLANCA MARTINEZ.VEEDA LA NOVEDAD, PALMARITO, POTRERO GRANDE, LOS SANJONES, FINCA PENJAMO,  FINCA EL RECREO, FINCA VILLA CLARA, FINCA EL ROSAL,  REPORTE DE LA DEFENSA CIVI Y EDL CREPAD.</t>
  </si>
  <si>
    <t>BARRIO CRISTO REY SECTOR URBA|NO Y SECTOR RURAL SITIO NUEVO, EL HATICO, EL CONFUSO</t>
  </si>
  <si>
    <t>VERSALLES</t>
  </si>
  <si>
    <t>158
182
216</t>
  </si>
  <si>
    <t>DESBORDAMIENTO RIO MURRI. REPORTE DEL CREPAD.</t>
  </si>
  <si>
    <t>BARRIO EL AGUACATE. REPORTE DE LA DEFENSA CIVIL.</t>
  </si>
  <si>
    <t>DESBORDAMIENTO CAÑOS SECO Y PALITOS. BARRIOS CENTRO, PUEBLO NUEVO, LA CEIBA, EL LIBERTADOR. PENDIENTE AFECTACION.</t>
  </si>
  <si>
    <t>BARIOS LAS AMERICAS, LA AMANDA, CARRIZAL, LA PLAYA, SANTODOMINGO, SIETE DE ABRIL. REPORTE DEL CLOPAD.</t>
  </si>
  <si>
    <t>TEORAMA</t>
  </si>
  <si>
    <t>HACARI</t>
  </si>
  <si>
    <t>DESBORDAMIENTO QUEBRADA AGUABLANCA VEREDA LAS JUNTAS Y AGUABLANCA. REPORTE DEL CREPAD.</t>
  </si>
  <si>
    <t>CRECIENTE SUBITA DE ARROYOS, BARRIOS CENTRO Y VALLADOLID ZONA RURAL PITURUMANA, MATITAS..</t>
  </si>
  <si>
    <t>RIOHACHA</t>
  </si>
  <si>
    <t>ZONAS DE CUCURUMANA Y MATITAS. REPORTE DEL CREPAD.</t>
  </si>
  <si>
    <t>REGIDOR</t>
  </si>
  <si>
    <t>SIMITI</t>
  </si>
  <si>
    <t xml:space="preserve">BARRIOS LA TRINIDAD, LOS OLIVOS, BELENCITO, GARCIA ECHEVERRY, PALMERAS, LA CUMBRE, SANTA ANA, VILLA HELENA SUR, VILLA CAROLINA, SANTA INES, ASENTAMIENTOS DE LA CUMBRE, EL REPOSO, ZAPAMANGA, LA CASTELLANA, LAURELES BAJO, VEREDAS LOS CAUHCOS,  GUAYANA, ALZACIA MALABAR, CASIANO, VERICUTE, HELECHALES, LA JUDÍA, RUITOQUE BAJO, SAN IGNACIO, ALTOS DE MANTILLA, SANTA BARBARA. </t>
  </si>
  <si>
    <t>DESBORDAMIENTO RIO MAGDALENA.Y QUEBRADA CHIMICUICA, COROZAL Y LA MOCHA. CORREGIMIENTOS SAN FERNANDO Y JABARA. REPORTE DE LA DEFENSA CIVIL</t>
  </si>
  <si>
    <t>ISLA PENSILVANIA, ISLA ROSA MARIA, VEREDA CARMONA, VEREDA SAN ANTONIO , VILLA CLARIN KM 2, KM7, LA PLAYITA, CAÑO VALLE, RODEO, ZARCITA, ISLA SAN JOSE. DESBORDAMIENTO RIO MAGDALENA, CAÑO AGUAS NEGRAS Y CLARIN.</t>
  </si>
  <si>
    <t>CABECERA MUNICIPAL Y CORREGIMIENTOS CAPUCHO, PUNTA DE PIEDRAS, PIEDRA DE MOLER, PIEDRAS PINTADAS, CAÑO DE AGUA, CERRITOS Y BONGO. DESBORDAMIENTO R IO MAGDALENA</t>
  </si>
  <si>
    <t>CABECERA MUNICIPAL Y CORREGIMIENTOS AVIANCA, VEREDAS LA BODEGA Y LOS GENIOS Y PIÑUELA. CRECIENTE DEL RIO FUNDACION Y VENDAVALES.</t>
  </si>
  <si>
    <t>ROMPIMIENTO DE DIQUE SECTORES PINTO VIEJO, BARRO BLANCO. REPORTE DEL CREPAD.</t>
  </si>
  <si>
    <t>CABECERA MUNICIPAL Y DIFERENTES CORREGIMIENTOS: EL CERRITO, SAN FELIPE, LA CURVA, BELEN, AGUAESTRADA, LOS NEGRITOS, ALGARROBAL, BARRANCO DE CHILLOA, CAÑO DE PALMA FLORIDA, . DESBORDAMIENTO RIO MAGDALENA.</t>
  </si>
  <si>
    <t>CABECERA MUNICIPAL CORREGIMEINTOS DE CABRERA Y FILADELFIA. REPROTE DEL CREPAD.</t>
  </si>
  <si>
    <r>
      <t>CABECERA MUNICIPAL Y CORREGIMIENTOS PALMIRA, TASAJERA E ISLA DEL ROSARIO. DESBORDAMIENTO RIO ARACATACA. VEREDA LA ISLA REPORTE DEL CLOPAD.</t>
    </r>
    <r>
      <rPr>
        <b/>
        <sz val="9"/>
        <rFont val="Arial"/>
        <family val="2"/>
      </rPr>
      <t>APOYO DEL FNC MEDIANTE GIRO DIRECTO AL CLOPAD PARA LA CONSTRUCCION DE PISOS DE MADERA EN EL CORREGIMIENTO DE PALMIRA, Y LA CONSTRUCCION DE TAMBOS.</t>
    </r>
  </si>
  <si>
    <t>BARRIOS LAS TABLITAS, ARIGUANI, CHIMILA, MAGDALENA, PAZ DEL RIO, BRISAS DEL RIO, SAN CARLOS, LA ESMERALDA, LA ESPERANZA, EL PROGRESO, DIVINO NIÑO, 16 DE JULIO, HAWAI, GIMNASIO, 23 DE FEBRERO, SAN BERNARDO Y SAN FERNANDO. REPORTE DEL CREPAD.</t>
  </si>
  <si>
    <t>DESBORDAMIENTO RIO ARACATACA, BARRIOS SIETE DE AGOSTO, 20 DE JULIO, LOMA FRESCA, LA CASITA Y VILLA DEL RIO 1 y 2 VAYANVIENDO YUCURA, SUICHE, LA ESPERANZA, SACAPITAS, TEOROMINA, EL TIGRE, EL CARMEN, DOS DE FEBRERO. CORREGENIENTOS BUENOS AIRES. EL RUBI, SANPUECITO, VILLA MARIA,  Y SANPUES. REPORTE DE LA DEFENSA CIVIL.</t>
  </si>
  <si>
    <t>LA PLAYA</t>
  </si>
  <si>
    <t>LOURDES</t>
  </si>
  <si>
    <t>EL PLAYON</t>
  </si>
  <si>
    <t>DESBORDAMIENTO QUEBRADA LA VULGARITA. REPORTE DEL CREPAD</t>
  </si>
  <si>
    <t>BARRIO SANTANDER REPORTE DEL CREPAD.</t>
  </si>
  <si>
    <t>VEREDA LA PRIMAVERA SECTOR LA CARRILERA REPORTE DEL CREPAD.</t>
  </si>
  <si>
    <t>DESBORDAMIENTO RIO CAUCA REPORTE DEL CREPAD</t>
  </si>
  <si>
    <t>VEREDA SAN ANDRES. REPORTE DEL CREPAD</t>
  </si>
  <si>
    <t>CORREGIMIENTO LA DANTA SECTOR SAN FRANCISCO BARRIOS LA MIRA, Y SAN FRANCISCO. REPORTE DEL CREPAD.</t>
  </si>
  <si>
    <t>MINA DE CARBON. CORREGIMEINTO LA DONJUANA. REPORTE DEL CREPAD</t>
  </si>
  <si>
    <t>EXPLOSION POR MANIPULACION DE POLVORA VEREDACERRO GONZALEZ. REPORTE DEL CREPAD</t>
  </si>
  <si>
    <t>HACIENDA EL PORVENIR. REPORTE DEL CLOPAD</t>
  </si>
  <si>
    <t xml:space="preserve">CORREGIMINTO QUEBRADA NEGRA. REPORTE DEL CREPAD </t>
  </si>
  <si>
    <t>CORREGIMIENTO PELECHUA, REPORTE DEL CLOPAD</t>
  </si>
  <si>
    <t>CHOACHI</t>
  </si>
  <si>
    <t>VIA BOGOTA - CHOACHI.</t>
  </si>
  <si>
    <t>DESBORDAMIENTO QUEBRADA GUANENTA. VEREDA GUANENETA (1 MUERTO). VEREDA EL PINO (2 MUERTOS). REPORTE DEL CREPAD Y CLOPAD.</t>
  </si>
  <si>
    <t>CIUDAD BOLIVAR</t>
  </si>
  <si>
    <t>FUERTES LLUVIAS. REPORTE DE LA DEFENSA CIVIL.</t>
  </si>
  <si>
    <t>PUERTO BERRIO</t>
  </si>
  <si>
    <t>VENADILLO</t>
  </si>
  <si>
    <t>PAZ DE ARIPORO</t>
  </si>
  <si>
    <t>CASABIANCA</t>
  </si>
  <si>
    <t>MARIQUITA</t>
  </si>
  <si>
    <t>FRESNO</t>
  </si>
  <si>
    <t>GUADUAS</t>
  </si>
  <si>
    <t>REPORDE DE LA DEFENSA CIVIL. AFECTADO ALÑMACEN COMERCIAL.</t>
  </si>
  <si>
    <t>DESLIZAMIENTO SOBRE PUENTE DEL RIO CONSOTA.</t>
  </si>
  <si>
    <t>BALBOA</t>
  </si>
  <si>
    <t>VEREDA LA ESPRIELLA. REPORTE DE LA DEFENSA CIVIL.</t>
  </si>
  <si>
    <t>ASTREA</t>
  </si>
  <si>
    <t>DESBORDAMIENTO RIO CUSIANA VEREDAS MATA DE PIÑA Y LAS ISLAS.</t>
  </si>
  <si>
    <t>BARRIO VILLA LOREN CORREGIMIENTO DE ARJONA</t>
  </si>
  <si>
    <t>BARRIOS 10 DE ENERO, PALMAR Y SIETE DE JULIO. PENDIENTE AFECTACION. REPORTE DEL CREPAD.</t>
  </si>
  <si>
    <t>VEREDAS ZAPAUA, UCUENGA, UCUACA, NAZARETH, GUAQUIRA, CHAMEZA, VIA NOBSA.</t>
  </si>
  <si>
    <t>TIBASOSA</t>
  </si>
  <si>
    <t>MONIQUIRA</t>
  </si>
  <si>
    <t>BARRIO COLINAS BAJO</t>
  </si>
  <si>
    <t>ANCIANATO AFECTADO DAÑOS EN ENSERES.</t>
  </si>
  <si>
    <t>274
26468</t>
  </si>
  <si>
    <t xml:space="preserve">                                 </t>
  </si>
  <si>
    <t>CASCO URBANO.</t>
  </si>
  <si>
    <t xml:space="preserve">SECTOR DE LOMA LINDA. </t>
  </si>
  <si>
    <t>DESBORDAMIENTO RIOS JURADO Y APARTADO. AFCTO COMUNIDADES INDIGENAS. SANTA RITA, CUMARACARA, PAPATO, BUENAVISTA, DOS BOCAS, CEDRAL.</t>
  </si>
  <si>
    <t>SITIO VEREDA EL PALMAR.</t>
  </si>
  <si>
    <t>REPORTE DE LA DEFENSA CIVIL. SE EVACUARON 7 FAMILIAS.</t>
  </si>
  <si>
    <t>EL CAIRO</t>
  </si>
  <si>
    <t>VIJES</t>
  </si>
  <si>
    <t>PAMPLONITA</t>
  </si>
  <si>
    <t>SANTIAGO</t>
  </si>
  <si>
    <t>SILOS</t>
  </si>
  <si>
    <t>BAJO BAUDO</t>
  </si>
  <si>
    <t>REPORTE DE MAVDT</t>
  </si>
  <si>
    <t>REPROTE DE LA DEFENSA CIVIL</t>
  </si>
  <si>
    <t>SOTARA</t>
  </si>
  <si>
    <t>42927
46940</t>
  </si>
  <si>
    <t xml:space="preserve">APOYO DEL FNC MEDIANTE GIRO DIRECTO AL CLOAPD PARA LA ADQUISICON DE COMBUSTIBLEPARA LOS TRABAJOS DE PROTECCION Y REALCE DEL DIQUE QUE PROTEGE EL DISTRITO DE RIEGO.- SEGUNDO GIRO DIRECTO APOYO DEL FNC MEDIANTE GIRO DIRECTO AL CLOPAD PARA RECUPERACION DE VIAS,CON ALQUILER DE  MAQUINARIA Y COMBUSTIBLE </t>
  </si>
  <si>
    <t>EL MOLINO</t>
  </si>
  <si>
    <t>REPROTE DEL CLOPAD</t>
  </si>
  <si>
    <t>PACORA</t>
  </si>
  <si>
    <t>CRECIENTE SUBITA</t>
  </si>
  <si>
    <r>
      <t>COLAPSO EN MINA DE CARBON VEREDA CANELAS, LA ESPERANZA. REPORTE DEL CREPAD</t>
    </r>
    <r>
      <rPr>
        <b/>
        <sz val="9"/>
        <rFont val="Arial"/>
        <family val="2"/>
      </rPr>
      <t xml:space="preserve"> APOYO DEL FNC MEDIANTE GIRO DIRECTO AL CLOPADPARA APOYAR LAS LABORES DE RESCATE.</t>
    </r>
  </si>
  <si>
    <t>22145
22705
26762</t>
  </si>
  <si>
    <t>APOYO DEL FNC MEDIANTE GIRO DIRECTO AL CLOPAD PARA ADQUISICION DE COMBUSTIBLE, ACEITE Y MANENIMIENTO DE TRES MOTOBOMBAS.</t>
  </si>
  <si>
    <t>266
25673</t>
  </si>
  <si>
    <t xml:space="preserve">DESBORDAMIENTO QUEBRADA LAS CAMELIAS, REPORTE DE LA DEFENSA CIVIL, BARRIO LAS CAMELIAS </t>
  </si>
  <si>
    <t>EVACUADA LA POBLACION</t>
  </si>
  <si>
    <t>SUAN</t>
  </si>
  <si>
    <t xml:space="preserve">ROMPIMIENTO CANAL DEL DIQUE. </t>
  </si>
  <si>
    <t>APARTADO</t>
  </si>
  <si>
    <t xml:space="preserve">REPROTE DE LA DEFENSA CIVIL CORREGIMEINTO EL REPOSO.DESBORDAMIENTO RIO VIJAGUAL. </t>
  </si>
  <si>
    <t>MONTEBELLO</t>
  </si>
  <si>
    <t>CORREGIMIENTO VERSALLES, REPORTE DE LA DEFENSA CIVIL</t>
  </si>
  <si>
    <t>CORREGIMIENTO GAMBOTE. REPORTE DE LA DEFENSA CIVIL. DESBORDAMIENTO CANAL DEL DIQUE.</t>
  </si>
  <si>
    <t>CRECIENTE ARROYOS JAGUEY, HEBILLA, SAN ANTONIO Y PRIMERO DE DICIEMBRE, BARRIOS PRIMERO DE DICIEMBRE, KENNEDY, SIETE DE AGOSTO, ISABEL CRISTINA, EVARISTO SOURDIS, SAN JOSE, VILLAVICENCION Y CORREGIMIENTO DE COLOMBISA. REPORTE DE DEFENSA CIVIL</t>
  </si>
  <si>
    <t>CORREGIMIENTO SAN LUIS Y SECTOR URBANO. REPROTE DEL CREPAD.</t>
  </si>
  <si>
    <t>SECTOR URBANO. REPORTE DEL REPAD.</t>
  </si>
  <si>
    <t>VEREDA SABANA. FINCA EL MANGO. REPORTE DELC REPAD.</t>
  </si>
  <si>
    <t>DESBORDAMIENTO RIO LEBRIJA A LA ALTURA DEL SITIO PUENTE ARTURO. REPROTE DEL CREPAD.</t>
  </si>
  <si>
    <t>BARRIO CIUDADELA REAL DE MINAS. REPORTE DE L CREPAD.</t>
  </si>
  <si>
    <t>QUEBRADA LA CABUYA. BARRIO OBRERO, REPROTE DEL CREPAD.</t>
  </si>
  <si>
    <t>CRECIENTE RIO CAUCA. VEREDA SAN FRANCISCO, SECTOR PASO DE LOS TUERTOS. REPORTE DEL CREPAD.</t>
  </si>
  <si>
    <t>DESBORDAMIENTO QUEBRADA TASCARENA, SECTOR LA GARITA, REPORTE DEL CREPAD.</t>
  </si>
  <si>
    <t xml:space="preserve">BARRIO DIVINA PASTORA. REPROTE DEL CLOPAD. </t>
  </si>
  <si>
    <t>VEREDA SAN VICENTE BAJO Y EL DARIEN. REPORTE DEL CREPAD.</t>
  </si>
  <si>
    <t>APOYO DEL FNC MEDIANTE GIRO DIRECTO AL CLOPAD PARA LA CONSTRUCCION DE UN MODULO SANITARIO PARA LA INSTITUCION EDUCATIVA VENECIA DEL CORREGIMIENTO DE VENECIA, LA CUAL AMENAZA CON COLAPSAR.</t>
  </si>
  <si>
    <t>22122
45127</t>
  </si>
  <si>
    <t>CORREGIMEINTO SAN ANDRES DE PISIMBALA. APOYO DEL FNC MEDIANTE GIRO DIRECTO AL CLOPAD PARA LA RECUPERACION DE LAS VIASSAN ANDRES TUMBICHUCUE,, SAN ANDRES - SANTA ROSA Y SAN FRANCISCO - VIBORA.</t>
  </si>
  <si>
    <t>DESBORDAMEINTO RIO SARDINATA, TIBU, NUEVO PRESIDENTE. VEREDAS LA COLINA, LA ROCHELA, VEGAS DEL RIO NUEVO, EL PORVENIR, LA SOLEDAD, J 10, LLANO GRANDE, TRES BOCAS, PUERTA DE PALO, BRISAS DE RIO NUEVO, PLAYA RICA, CAÑO VICTORIA. REPORTE DEL CREPAD.</t>
  </si>
  <si>
    <t xml:space="preserve">REPORTE DEL CREPAD BARRIO ALTOS DEL POBLADO. ETAPA 2, </t>
  </si>
  <si>
    <t xml:space="preserve">RE PORTE DEL CREPAD. CORREGIMIENTO LA GALLERA. </t>
  </si>
  <si>
    <t>SECTOR SAN JUAN A SEIS KM DE LA UNION.REPORTE DEL CREPAD.</t>
  </si>
  <si>
    <t>CRECIENTE SUBITA RIO MUNGUIDO, REPORTE DEL CLOPAD.</t>
  </si>
  <si>
    <t>FUERTES LLUVIAS. BARRIOS GALILEA, LA VICTORIA, EL PARAISO, LAURELES, LA FLORESTA. REPORTE DE LA DEFENSA CIVIL.</t>
  </si>
  <si>
    <t>DESBORDAMIENTO CAÑOS LA CUERERA, CAÑO MAIZAROI, RIO OCOA. BARRIOS LA RELIQUIA, RECE DE MAYO, JUAN PABLO SEGUNDO Y LA CECILIA. REPORTE DE DEFENSA CIVIL Y CREPAD</t>
  </si>
  <si>
    <t>BARRIO PETECUY. REPORTE DE LA DEFENSA CIVIL Y BOMBEROS.</t>
  </si>
  <si>
    <t>ACCIDENTE DE AVION DE AIRES BOING 737 MATRICULA HK 4682 VUELO 8250. BOGOTA - SAN ANDRES ISLAS. 127 PASAJEROS Y TRIPULANTES.</t>
  </si>
  <si>
    <t>8000 SACOS PUESTOS EN CORMAGDALENA MAGANGUE</t>
  </si>
  <si>
    <t>SE APOYA TENIENDO EN CUENTA LA MAGNITUDE LA EMERGENCIA</t>
  </si>
  <si>
    <t>SE APOYA TENIENDO EN CUENTA LA MAGNITUD DE LA EMERENCIA</t>
  </si>
  <si>
    <t>DESBORDAMIENTO RIO MAGDALENACORREGIMIENTO DE LAS PAILASEL DIQUE Y CHAPARRAL</t>
  </si>
  <si>
    <t>389389
38019</t>
  </si>
  <si>
    <t>38939
37190</t>
  </si>
  <si>
    <t>38939
33583</t>
  </si>
  <si>
    <t>38939
36639</t>
  </si>
  <si>
    <t>SE BRINDO APOYO GLOBAL AL DEPARTAMENTO</t>
  </si>
  <si>
    <t>SE BRINDO APOYO GLOBAL PARA LOS 22 MUNICIPIOS AFECTADOS</t>
  </si>
  <si>
    <t>39941
40418</t>
  </si>
  <si>
    <t>SE APOYO A TRAVES DEL DEPARTAMENTO</t>
  </si>
  <si>
    <t>39941
41154</t>
  </si>
  <si>
    <t xml:space="preserve">SE APOYA DE MANERA COMPLEMENTARIA A LOS ESFUERZOS LOCALES Y REGIONALES. </t>
  </si>
  <si>
    <t>BARRIO SAN ISIDRO. REPORTE DEL CREPAD Y SOCORRO NACIONAL</t>
  </si>
  <si>
    <t>VENECIA</t>
  </si>
  <si>
    <t>INFORME MINISTERIO PROTECCION SOCIAL, AFECTADO EL HOSPITAL EN 60%, EVACUADOS 20 PACIENTES.</t>
  </si>
  <si>
    <t>CASANARE</t>
  </si>
  <si>
    <t>OROCUE</t>
  </si>
  <si>
    <t>SOLICITUD DEL CREPAD. EL VALOR DE OTROS CORRESPONDE A 294 RACIONES DE CAMPAÑA Y UN MERCADO ESPECIAL PARA LA ALIMENTACION DE LOS EQUIPOS DE RESPUESTA</t>
  </si>
  <si>
    <t>SOLICITUD DE BOMBEROS BOGOTA. EL VALOR DE OTROS CORRESPONDE A 300 RACIONES DE CAMPAÑA</t>
  </si>
  <si>
    <t>SOLICITUD DE LA CRUZ ROJA. EL VALOR DE OTROS CORRESPONDE A 500 RACIONES DE CAMPAÑA</t>
  </si>
  <si>
    <t>APOYO DEL FNC MEDIANTE EL SUMINISTRO DE 4 BOMBAS, 2 MCLEOD, 2 PULASKI, 6 BATEFUEGOS, 9 MONOGAFAS, 9 GUANTES, 9 MACHETES, 9 BOTAS, 3 AZADONES, 3 PALAS, 2 RASTRILLOS, 1 GUADAÑADORA, 1 MOTOSIERRA, 9 TAPABOCAS, 1GPS</t>
  </si>
  <si>
    <t>DESBORDAMIENTO RIO LIMONAR Y SAN FRANCISCO. BARRIOS CENTRO SAN JOSE, BENJAMIN HERRERA, CAMINO REAL, CIUDADELA, PARAMILLO, POLICARPA, LOS VIRREYES, TOMAS CIPRIANO Y EL VALLADO. MEDIANTE OFICIO DEL 18 DE JUNIO EL CREPAD INFORMA QUE LA EMERGENCIA FUE ATENDIDA CON APOYO DEL CREPAD.</t>
  </si>
  <si>
    <t>PENDIENTE</t>
  </si>
  <si>
    <t>SOLICITAN APOYO COMPLEMENTARIO</t>
  </si>
  <si>
    <t>BARRIO RODRIGO TURBAY, CALLE DE LOS INDIOS, MAICERO Y RODRIGO TURBAY PARTE BAJA.</t>
  </si>
  <si>
    <t>DESBORDAMIENTO RIO TEUSACA. BARRIOS MANATIAL, TOGA , POPA, SAUCES, PORTADA Y EL CEMENTERIO</t>
  </si>
  <si>
    <t>CRECIENTE ARROYO MEIMAI SECTOR PUERTO ESTRELLA.</t>
  </si>
  <si>
    <t>VEGACHI</t>
  </si>
  <si>
    <t>DESBORDAMIENTO QUEBRADA LA CRUZ</t>
  </si>
  <si>
    <t>AMALFI</t>
  </si>
  <si>
    <t>DESBORDAMIENTO QUEBRADAS EL PALACIO, GUAYABITO Y VIBORA</t>
  </si>
  <si>
    <t>ANORI</t>
  </si>
  <si>
    <t>FUERTES LLUVIAS</t>
  </si>
  <si>
    <t>VEREDAS LOURDES, EL CARMELO, VARGAS, POTRERITO. PENDIENTE AFECTACION.</t>
  </si>
  <si>
    <t>CANTAGALLO</t>
  </si>
  <si>
    <t>BARRIOS LAS QUINTAS, ALAMEDA DEL BOSQUE, SANTA INES, MESOPOTAMIA</t>
  </si>
  <si>
    <t>DESBORDAMIENTO RIO MAGDALENA BARRIOS PRIMERO DE MAYO</t>
  </si>
  <si>
    <t>MUNICIPIO CON RACIONAMIENTO DE AGUA Y/O DESABASTECIMIENTO POR PROBLEMAS DE SEQUI DEBIDO AL FENOMENO DE EL NIÑO. REPORTE DEL MAVDT. EN EL TRANSCURSO DE LA SEMANA REPORTO LLUVIAS Y LOS CAUDALES AUMENTARON. CONTINUA EN RACIONAMIENTO SE REPORTA SITUACIÓN BAJO CONTROL. SE REPORTA DAÑO DE LA BOMBA EN LA ESTACIÓN DE BOMBEO, EL MUNICIPIO REALIZARÁ LA COMPRA DE UNA NUEVA QUE TARDARÁ EN SER INSTALADA 40 DÍAS.</t>
  </si>
  <si>
    <t>TAMALAMEQUE</t>
  </si>
  <si>
    <t>AFECTADAS REDES ELECTRICAS</t>
  </si>
  <si>
    <t>REPORTE DEL CREPAD Y DE SOCORRO NACIONAL</t>
  </si>
  <si>
    <t>CARTAGENA</t>
  </si>
  <si>
    <t>BARRIO OLAYA HERRERA SECTOR CENTRAL, CALLE CONCEPCION. REPORTE DEL SOCORRO NACIONAL</t>
  </si>
  <si>
    <t>DESABASTECIMIENTO DE AGUA POR FALTA EL RECURSO Y MAL MANEJO DEL MISMO. MEDIANTE DECRETO 010 DEL 9 DE FEBRERO DE 2010 SE DECLARO EL ESTADO DE EMERGENCIA SANITARIA.</t>
  </si>
  <si>
    <t>ALTO BAUDO</t>
  </si>
  <si>
    <t>BARRIO COLOMBO ANDINO. REPORTE PRELIMINAR DE LA DEFENSA CIVIL.</t>
  </si>
  <si>
    <t>169
51
56</t>
  </si>
  <si>
    <t xml:space="preserve">EL CLOPAD REPORTA MORTANDAD DE PECES Y POR LO TANTO PROBLEMAS ALIMENTARIOS. SOBRE TODO EN COMUNIDADES INDOGENAS DE SANTA MARIA DE CONDOTO, MIACORA, MOAMIA, LA DIVISA, CHIVIGUIDO, LA FELICIA, LA ESPERANZA, PUESTO INDIO, TAXI, JENGADO, PAVARNADO, MOJAUDO, Y AFRODESCENIENTES: PASCUITA, SAN FRANCISCO, PUERTO ANGEL, MOJAUDO, PUERTO LUIS, CHACHAJO, PUREZA, PUERTO PALACIO, SANTA RITA, YUCAL, BELLA CECILIA, PIE DE PATO, </t>
  </si>
  <si>
    <t xml:space="preserve">PERDIDA DE CULTIVOS DE PASTOS, SAÑA, YUCA , PLATANO, MAIZ, FRUTALES, ARVEJA, FRIJOL Y VEGETACION NATIVA. </t>
  </si>
  <si>
    <t>DESBORDAMIENTO DEL RIO  MIRA. CORREGIMIENTO CANDELILLA, IMBILI. VEREDAS MAGUI PARTE BAJA, AL AZUCAR PARTE BAJA, EL COCO PARTE BAJA, LA DUANA PARTE BAJA, ALTO PLAYON , EL VALLENATO Y JARDIN PARTE BAJA., CASA VIEJA, ALCUAN, LA PLAYA, LA HONDA, PLAYA BAJA, SAN JUAN, RIO MIRA, HACHOTAL, VUIELTA DE CANDELILLAS, CANDELILLA RIO MIRA PARTE BAJA, LA PLAYITA, PANAL TULMO, MIRASPALMAS PARTE BAJA, EL GUABO, IMBILI LA LOMA BAJA, CARRETERA, IMBILI LA VEGA, PEÑA COLORADA, HIGUARAL, GUACHAL BRISAS, GUACHAL BARRANCO, GUACHAL LA VEGA, VUELTA DE CAJAPI, BOCAS DE CAJAPI, ALTOP JAGUA, BAJO JAGUA, ALTO SAN ISIDRO, MEDIO SAN ISIDRO, BAJOI SAN ISIDRO, BELLA VISTA, DESCOLGADERO, BRISAS DEL ACUEDUCTO, NUEVA REFORMA, INGUAPI DEL GUADUAL, INGUAPI DEL GUAYABO, EL PLAYON BAJO, CARLO SAMA, PUEBLO NUEVO, ISLA GRANDE, LA UNION, NUEVA INDEPENDENCIA, NUEVA BRISA, EL NARANJO Y LAS CARGAS.</t>
  </si>
  <si>
    <t>SECTORES PETECUY 1, 2 Y 3, DC PAZ, NAPOLES, ALTOS DE SILOE, CALIMIO, BELEN, LOS CHORROS, PAMPAS DEL MIRADOR, CALIMA NORTE. PENDIENTE EVALUACION.</t>
  </si>
  <si>
    <t>DESBORDAMIENTO RIO PIRI. REPORTE DEL CREPAD. AFECTADA VIA MONTEREDONDO - EL CALVARIO.</t>
  </si>
  <si>
    <r>
      <t>MUNICIPIO CON RACIONAMIENTO DE AGUA Y/O DESABASTECIMIENTO POR PROBLEMAS DE SEQUIA DEBIDO AL FENOMENO DE EL NIÑO. REPORTE DEL MAVDT.</t>
    </r>
    <r>
      <rPr>
        <b/>
        <sz val="9"/>
        <color indexed="8"/>
        <rFont val="Arial"/>
        <family val="2"/>
      </rPr>
      <t xml:space="preserve"> SUMINISTRO A TRAVÉS DE CARROTANQUES CON APOYO DEL DEPARTAMENTO.  APOYO DEL FNC MEDIANTE GIRO DIRECTO AL CLOPAD PARA ALQUILER DE DOS VOLQUETAS, INSTALACION DE DOS TANQUES DE 5000 LITROS Y DOS FLAUTAS PARA DISTRIBUCION VALOR TOTAL $27,900,000</t>
    </r>
  </si>
  <si>
    <t>LA PAZ</t>
  </si>
  <si>
    <t xml:space="preserve">CAIDA DE ARBOLES SOBRE COLEGIOS DE LAS COMUNIDADES INDIGENAS MARI RANKIRO, GUANAPAREPO, MARIA AUXILIADORA DE CUESTECITAS. </t>
  </si>
  <si>
    <t>FUERTES LLUVIAS, DESBORDAMIENTO ARROYO LIMON. AFECTADA COMUNIDAD DE PAJARAO. REPORTE DE CRUZ ROJA. PERROULIA, TUCAOPAO, PIRRITAMA, OVEJOMANA, URRAICHI, PANCHO, HOLLITO DE MONO, GUASIMO, INSHISHON, AMAMANA,, POPOMANA, POTRERO, JURUREN.BARRIOS CRISPIN LOPEZ, CHORZIMANA Y MANAURE BAJO. VEREDAS BELEN SANTA ROSA MULAMANA, PANCHO PIPAMANA, FLOR DE OLIVOS, COMUNINIDADES DE CHISPANA, QUIPAMANA, BUENAVISTA, HOYITO DE MONO Y PUNTA DE VELA.</t>
  </si>
  <si>
    <t>DESBORDAMIENTO RIO SAN IGNACIO Y VENDAVAL. BARRIO BUENOS AIRES.  REPORTE DE SOCORRO NACIONAL.</t>
  </si>
  <si>
    <t>CIENAGA DE ZAPATOSA CORREGIMIENTO GUAIMARAL. REPORTE DEL CREPAD Y SOCORRO NACIONAL,.</t>
  </si>
  <si>
    <t>PERDIDA DE CULTIVOS DE YUCA, PLATANO, MAIZ, AGUACATE, CAFÉ, ARBOLES FRUTALES.</t>
  </si>
  <si>
    <t>REPORTE DEL CREPAD. DESBORDAMIENTO RIO TUCUY</t>
  </si>
  <si>
    <t>PERDIDA DE CULTIVOS DE TOMATE</t>
  </si>
  <si>
    <t>CHIRIGUANA</t>
  </si>
  <si>
    <t>PERDIDA DE CULTYIVOS DE YUCA, AHUYAMA, MAIZ, FRIJOL, PLATANO, ARROZ Y PALMA DE ACEITE.</t>
  </si>
  <si>
    <t>CRECIENTO RIO MAGDALENA Y QUEBRADA LA FLORESTA. VEREDAS MATEGUADUA, NUEVO TRIUNFO, ISLA HERMISA Y CORREGIMIENTOS PUERTO NUEVO, PUERTO BOCA, LAS PALMAS REPORTE DE LA CRUZ ROJA. AFECTADO PUENTE VEHICULAR EN LA VIA BRISAS - LAS PALMAS.</t>
  </si>
  <si>
    <t>AGUSTIN CODAZZI</t>
  </si>
  <si>
    <t>VEREDA EL PLATANAL.DESBORDAMIENTO RIO PLATANAL.</t>
  </si>
  <si>
    <t xml:space="preserve">PERDIDA DE AVES DE CORRAL. </t>
  </si>
  <si>
    <t>REPORTE DEL CREPAD. VEREDAS TEUQENDAMA Y PARAMILLO. AFECTACION EN VIA CULEBRITA - PARAMILLO</t>
  </si>
  <si>
    <t>AFECTADA VIA CARRIZAL - LA LEGIA. REPORTE DEL CREPAD.</t>
  </si>
  <si>
    <t>PERDIDA DE CULTIVOS DE ARROZ.</t>
  </si>
  <si>
    <t>AFECTADOS 40 VEHICULOS EN PARQUEADEROS SUBTERRANEOS.</t>
  </si>
  <si>
    <t>AFECTADA ZONA RURAL EN EVALUACION.</t>
  </si>
  <si>
    <t>DEBORDAMIENTO RIO MAICERO BARRIO TRECE D E MAYO Y RELIQUIAS . PENDIENTE EVALUACION.</t>
  </si>
  <si>
    <t>GRANJA SANTA RITA. DESBORDAMIENTO RIO CHICAMOCHA.</t>
  </si>
  <si>
    <t>SAN PABLO DE BORBUR</t>
  </si>
  <si>
    <t>REPORTE DE LA CRUZ ROJA</t>
  </si>
  <si>
    <t>COLAPSO DE GRADERIA EN CORRIDA DE TOROS. REPORTE DEL MINISTERIO DE LA PROTECCION SOCIAL.</t>
  </si>
  <si>
    <t>VIA SUBA - COTA.VEREDA CHIRRILLOS.</t>
  </si>
  <si>
    <t>CHIA</t>
  </si>
  <si>
    <t>NECHI</t>
  </si>
  <si>
    <t xml:space="preserve">INFORME DEL CREPAD NARIÑO, AFECTACION EN EL SECTOR LA PLAYA BASAN POR EFECTOS DE MAREA ALTA. </t>
  </si>
  <si>
    <t>INFORME DEL CREPAD NARIÑO, AFECTACION POR MAREA ALTA EN EL SECTOR EL MORRITO, BARRIOS ONCE DE NOVIEMBRE, NUEVO MILENIO, MARIA AUXILIADORA Y PUERTAS DEL SOL Y BOCAS DE CURA.</t>
  </si>
  <si>
    <t>SE APOYA TENIENDO EN CUENTA EL NIVEL DE AFECTACION EN VIVIENDAS Y PERSONAS Y UNA VEZ REVISADA LA DISPONIBILIDAD FINANCIERA.</t>
  </si>
  <si>
    <t>NO HAY SOLICITUD DE APOYO</t>
  </si>
  <si>
    <t>LA SIERRA</t>
  </si>
  <si>
    <t>AFECTADOS CULTIVOS DE PLATANO, YUCA CAÑA, FRUTALES, PASTOS BOSQUES Y CAFÉ</t>
  </si>
  <si>
    <t>MERCADERES</t>
  </si>
  <si>
    <t>LOCALIDAD URIBE URIBE. BARRIO EL PESEBRE.</t>
  </si>
  <si>
    <t>AFECTADO UN VEHICULO Y UNA MOTO</t>
  </si>
  <si>
    <t>LOCALIDAD DE BOSA BARRIO POTRERITOS</t>
  </si>
  <si>
    <t>23 VEREDAS AFECTADAS POR PERDIDA DE CULTIVOS DEBIDO A LA SEQUIA: CORREGIMIENTO DE SANTA LETICIA: PATIO BONITO, LA PLAYA, LA PALMA, EL TREBOL, BAJA PLAYA, YARUMAL, EL PORVENIR, SAN JOSE, DOS QUEBRADAS, CORREGIMIENTO COCONUCO:EL TREBOL,  LOS LAGOS DE SAN MIGUEL, PISANRRABO, SAN BARTOLO, ALTO LA LAGUNA, ALTO CALAGUALA, CHILINGO, CORREGIMIENTO PALETARA: EL MARQUEZ, RIO CLARO, EL MOLINO, cORREGIMIENTO PURACE: EL CRUCERO, AMBIRO, PATICO Y ALTO ANANBIO.</t>
  </si>
  <si>
    <t>BARRIO SANTA ANA. REPORTE TELEFONICO DEL CREPAD</t>
  </si>
  <si>
    <t>TULUA</t>
  </si>
  <si>
    <t>AFECTADOS TRES CENTROS COMERCIALES</t>
  </si>
  <si>
    <t>REPORTE DEL CREPAD.</t>
  </si>
  <si>
    <t>VEREDA PUERT SAN SALVADOR. REPOTE DEL CREPAD</t>
  </si>
  <si>
    <t xml:space="preserve">CASCO URBANO Y VEREDA MONSERRATE. </t>
  </si>
  <si>
    <t>CONTRATACION</t>
  </si>
  <si>
    <t>SAN VICENTE DE CHUCURI</t>
  </si>
  <si>
    <t>SIMACOTA</t>
  </si>
  <si>
    <t>CARCASI</t>
  </si>
  <si>
    <t>SE APOYA E MANERA COMPLEMENTARIA TENIENDO EN CUENTA LA AFECTACION EN VIVIENDAS Y CENTROS EDUCATIVOS</t>
  </si>
  <si>
    <t>SE APOYA TENIENDO EN CUENTA EL APOYO LOCAL Y LA GRAVE AFECTACION DEL DEPARTAMENTO</t>
  </si>
  <si>
    <t>REPORTE DE LA DEFENSA CIVIL Y CONFIRMO CREPAD</t>
  </si>
  <si>
    <t>PERDIDAS MATERIALES</t>
  </si>
  <si>
    <t>LOS APOYOS EN TRAMITE CORRESPONDEN A ASISTENCIA HUMANITARIA ENTREGADA, PERO QUE SE ENCUENTRA EN TRAMITE ADMINISTRATIVO EN LA DGR</t>
  </si>
  <si>
    <t>C.COMUNIT.</t>
  </si>
  <si>
    <t>MENAJES</t>
  </si>
  <si>
    <t>JABON BAÑO</t>
  </si>
  <si>
    <t>AP.ALIMENT.</t>
  </si>
  <si>
    <t>OTROS</t>
  </si>
  <si>
    <t>CANTIDAD</t>
  </si>
  <si>
    <t>VALOR</t>
  </si>
  <si>
    <t>CEPILLO ADULTO</t>
  </si>
  <si>
    <t>KIT ASEO</t>
  </si>
  <si>
    <r>
      <t xml:space="preserve">MUNICIPIO CON RACIONAMIENTO DE AGUA Y/O DESABASTECIMIENTO POR PROBLEMAS DE SEQUI DEBIDO AL FENOMENO DE EL NIÑO. REPORTE DEL MAVDT. </t>
    </r>
    <r>
      <rPr>
        <b/>
        <sz val="9"/>
        <color indexed="8"/>
        <rFont val="Arial"/>
        <family val="2"/>
      </rPr>
      <t>SUMINISTRO A TRAVÉS DE CARROTANQUES CON APOYO DEL DEPARTAMENTO. APOYO DEL FNC MEDIANTE GIRO DIRECTO AL CLOPAD PARA EL ALQUILER DE DOS CARROTANQUES PARA PRESTAR SEVICIO POR 45 DIAS.</t>
    </r>
  </si>
  <si>
    <t>SE APOYA TENIENDO EN CUENTA LA AFECTACION CONSIDERABLE EN CULTIVOS Y EL SECTOR PRODUCTIVO.</t>
  </si>
  <si>
    <t>SE APOYA TENIENDO EN CUENTA LAS CONSECUENCIAS SOBRE LAS VIVIENDAS.</t>
  </si>
  <si>
    <t>96835
96822</t>
  </si>
  <si>
    <t>DESBORDAMIENTO QUEBRADA EL SALADO. COMUNIDADES EL CARMEN Y SAN ANTONIO, BARRIOS LAS AMERICAS Y EL JARDIN. ZONA URBANA. REPORTE DEL CREPAD.</t>
  </si>
  <si>
    <t>DESBORDAMIENTO QUEBRADA EL SALADO. ZONA RURAL REPORTE DE LA DEFENSA CIVIL Y DEL CREPAD.</t>
  </si>
  <si>
    <t>CAIDA DE MURO COLEGIO GUSTAVO ROJAS Y SECRETARIA DE SALUD.</t>
  </si>
  <si>
    <t>AFECTADA UNA HECTARES DE CULTIVOS.</t>
  </si>
  <si>
    <t>SECTOR PARROQUIA Y TOLOSA. REPORTE DEL CREPAD.</t>
  </si>
  <si>
    <t>LAS FAMILIAS FUERON REUBICADAS. SECTOR LA CARRERA. REPORTE DEL CREPAD..</t>
  </si>
  <si>
    <t>AFECTADOS CULTIVOS DE CEBOLLA Y PASTOS</t>
  </si>
  <si>
    <t>VEREDA CENTRO, SECTOR EL PARAISO. REPORTE DEL CREPAD</t>
  </si>
  <si>
    <t>AFECTADOS CULTIVOS DE PAPA, FRESA Y MORA</t>
  </si>
  <si>
    <t>REPRTE DEL CREPAD.</t>
  </si>
  <si>
    <t>GAMBITA</t>
  </si>
  <si>
    <t>SAN RAFAEL</t>
  </si>
  <si>
    <t>SECTOR EL BISCOCHO. REPORTE DEL CREPAD.</t>
  </si>
  <si>
    <t>INUNDACION POR FUERTES LLUVIAS</t>
  </si>
  <si>
    <t>CORREGIMIENTO PALMARITO,. REPORTE TELEFONICO DEL CREPAD.</t>
  </si>
  <si>
    <t>CORREGIMIENTO DE BOCAS DE GUAMAL Y COYONGAL</t>
  </si>
  <si>
    <t>UNGUIA</t>
  </si>
  <si>
    <t>NOVITA</t>
  </si>
  <si>
    <t>ATRATO</t>
  </si>
  <si>
    <t>RIO IRO</t>
  </si>
  <si>
    <t>REGION DEL MARGUA.  A RAIZ DEL INCENDIO SE QUEMO LA MANGUERA QUE SERVIA DE CONDUCCION DEL AGUA. EN LA VEREDA PEDRAZA CORREGIMIENTO DE GIBRALTAR.EL VALOR DE OTROS CORRESPONDE A 900 METROS DE MANGUERA DE 1 1/2 Y 900 METROS DE MANGUERA DE 2 1/2.</t>
  </si>
  <si>
    <t>61
66</t>
  </si>
  <si>
    <t>AIPE</t>
  </si>
  <si>
    <t>SE APOYA TEIENDO EN CUENTA LA GRAVEDAD DEL EVENTO.</t>
  </si>
  <si>
    <t>APOYO DEL FNC MEDIANTE GIRO DIRECTO AL CLOPAD PARA LA ADQUISICION DE COMBUSTIBLE PARA APOYAR LAS ENTIDADES OPERATIVAS EN LA ATENCION DE DIFERENTES EMERGENCIAS QUE SE PRESENTEN EN EL DEPARTAMENTO.</t>
  </si>
  <si>
    <t>MEDIO BAUDO</t>
  </si>
  <si>
    <t>APOYO DEL FNC MEDIANTE GIRO DIRECTO AL CLOPAD PARA LA ADQUISICION DE COMBUSTIBLE PARA LABORES DE MONITOREO Y TRASLADO DEL PERSONAL ENCARGADO DEL CONTROL DE INCENDIOS FORESTALES.</t>
  </si>
  <si>
    <t>PANDI</t>
  </si>
  <si>
    <t>PARATEBUENO</t>
  </si>
  <si>
    <t>PUERTO SALGAR</t>
  </si>
  <si>
    <t>PULI</t>
  </si>
  <si>
    <t>QUETAME</t>
  </si>
  <si>
    <t>SAN BERNARDO</t>
  </si>
  <si>
    <t>VERGARA</t>
  </si>
  <si>
    <t>VILLETA</t>
  </si>
  <si>
    <t>VIOTA</t>
  </si>
  <si>
    <t>YACOPI</t>
  </si>
  <si>
    <t>ZIPACON</t>
  </si>
  <si>
    <t>ZIPAQUIRA</t>
  </si>
  <si>
    <t>URIBIA</t>
  </si>
  <si>
    <t>HUILA</t>
  </si>
  <si>
    <t>NATAGA</t>
  </si>
  <si>
    <t>SAN AGUSTIN</t>
  </si>
  <si>
    <t>NORTE DE SANTANDER</t>
  </si>
  <si>
    <t>SAN BERNARDO DEL VIENTO</t>
  </si>
  <si>
    <t>BARRIO EL PARAISO, CORREGIMIENTOS DE TREMENTINO ISLA GRANDE DE MARIN, CISIRA, Y LIMON</t>
  </si>
  <si>
    <t>BARRIO CASUCA, SECTOR LA CAPILLA.</t>
  </si>
  <si>
    <t>BARRIO LA GLORIA SECTOR CASIMIRO. REPORTE DE LA DEFENSA CIVIL</t>
  </si>
  <si>
    <t>BARRIOS SIETE DE ABRIL, Y SURTIZ. REPORTE DEL CLOPAD</t>
  </si>
  <si>
    <t>GALAPA</t>
  </si>
  <si>
    <t>REPORTE DE DEFENSA CIVIL.</t>
  </si>
  <si>
    <t>AFECTADA BODEGA DE LA CADENA OLIMPICA. REPORTO DEFENSA CIVIL</t>
  </si>
  <si>
    <t>VEREDA EL CHARCON, FINCA LLANO GRANDE REPORTE DE LCREPAD.</t>
  </si>
  <si>
    <t>VEREDA LA CIMA,CRECIENTE SUBITA RIO LA CAL. REPORTE DEL CREPAD</t>
  </si>
  <si>
    <t>CASTILLA LA NUEVA</t>
  </si>
  <si>
    <t>ZONA BANANERA</t>
  </si>
  <si>
    <t>PERDIDA DE CULTIVOS.</t>
  </si>
  <si>
    <t>CUCUTILLA</t>
  </si>
  <si>
    <t>CORREGIMIENTO DE SAN JOSE DE LA MONTAÑA, VEREDA ALREDEDOR, SITIO QUEBRADA SECA.</t>
  </si>
  <si>
    <t>FINCA LA MARINA VEREDA LA ALEMANIA. REPORTE DEL CREPAD. MUERTE DE UN TRABAJADOR POR CAIDA DE ARBOL.</t>
  </si>
  <si>
    <t>BARRIOS CALLE 14 Y BOLIVAR SEGUNDO SECTOR.</t>
  </si>
  <si>
    <t>TOCAIMA</t>
  </si>
  <si>
    <t>DESBORDAMIENTO QUEBRADA LA PUMA</t>
  </si>
  <si>
    <t>APULO</t>
  </si>
  <si>
    <r>
      <t xml:space="preserve">SECTOR URBANO Y VEREDAS FUNZA, PROVIDENCIA, APOSENTOS BAJO Y ALTO, </t>
    </r>
    <r>
      <rPr>
        <b/>
        <sz val="9"/>
        <rFont val="Arial"/>
        <family val="2"/>
      </rPr>
      <t>APOYO DEL FNC MEDIANTE GIRO DIRECTO AL CLOPAD PARA LA ADQUISICION DE TEJAS ($7.000.000) Y ABONO PARA REACTIVAR EL SECTOR AGRICOLA($8,000,000)</t>
    </r>
  </si>
  <si>
    <t>AREA URBANA Y SECTOR MATACANDELA. REPORTE DEL CREPAD.</t>
  </si>
  <si>
    <t>BARRIOS SURDIS Y AMERICAS</t>
  </si>
  <si>
    <t>BOCHALEMA</t>
  </si>
  <si>
    <t xml:space="preserve">SECTOR LA BUITRERA REPORTE DE LA CRUZ ROJA </t>
  </si>
  <si>
    <t>BARRIO JULIO FLORES. DESBORDAMIENTO ARROYO EL PUEBLO,INUNDACION POR FUERTES LLUVIAS. FALTA AFECTACION</t>
  </si>
  <si>
    <t>BARRIO EL PARAISO. REPORTE DEL CREPAD.</t>
  </si>
  <si>
    <t>CHARTA</t>
  </si>
  <si>
    <t>MATANZA</t>
  </si>
  <si>
    <t>EL CARMEN DE CHUCURI</t>
  </si>
  <si>
    <t>REPRESAMIENTO AGUAS LLUVIAS. SECTOR JUAN MINA. Barrios pinar del rio, la chinita, la cangrejera Y PALO ALTO</t>
  </si>
  <si>
    <t>CAIMALITO</t>
  </si>
  <si>
    <t>VIA BOQUERON</t>
  </si>
  <si>
    <t>DESBORDAMIENTO RIO BOGOTA</t>
  </si>
  <si>
    <t>SECTOR BUCHE</t>
  </si>
  <si>
    <t>VEREDA SAN ISIDRO, ALTO CARTAGENA, SAN FRANCISCO, CARTAGENA, CHAMBU, VILLA NUEVA.. REPORTE DE LA DEFENSA CIVIL</t>
  </si>
  <si>
    <t>DESBORDAMIENTO RIO SIMBOLA. VEREDA LA ESTRELLA</t>
  </si>
  <si>
    <t>DESBORDAMIENTO DEL CAÑO PARRADO VEREDA PACHAQUIARO. VEREDA CAÑONARE. REPORTE DE DEFENSA CIVIL</t>
  </si>
  <si>
    <t>CULTIVOS DE PLATANO, YUCA YY AVES</t>
  </si>
  <si>
    <t>SE APOYA CON MATEIRLAES DE CONSTRUCCION, TENIENDO EN CUENTA QUE A NIVEL MUNICIPAL SE ATENCIO LA ASISTENCIA HUMANITARIA.</t>
  </si>
  <si>
    <t>BARRIO LA VEGA. VEREDAS BUENAVISTA ALTA, BUENAVISTA ALEGRIA, DIAN, BUENAVISTA BAJA, CEDALIA, AGUA CLARA, VALLECITO, PLANADAS, TIERRAS BLANCAS, SAN JACINTO, GUASIMITO, SANTA ROSA, CAPOTE, MANGA, DINDE HHIJO DEL VALLE NEME, TASAJERAS, CABUYAL. APOYO DEL FNC EN MENAJE BASICO Y LAMINAS DE ZINC</t>
  </si>
  <si>
    <t>OCAÑA</t>
  </si>
  <si>
    <t>CHITAGA</t>
  </si>
  <si>
    <t>MUTISCUA</t>
  </si>
  <si>
    <t>SAN CALIXTO</t>
  </si>
  <si>
    <t>BARICHARA</t>
  </si>
  <si>
    <t>CABRERA</t>
  </si>
  <si>
    <t>MALAGA</t>
  </si>
  <si>
    <t>ULLOA</t>
  </si>
  <si>
    <t>ZARZAL</t>
  </si>
  <si>
    <t>SEQUIA</t>
  </si>
  <si>
    <t>LA GLORIA</t>
  </si>
  <si>
    <t>QUEBRADA ARROYO HONDO. REPORTE DEL CREPAD.</t>
  </si>
  <si>
    <t>DESBORDAMIENTO RIO UPIA. REPORTE DE DEFENSA CIVIL.</t>
  </si>
  <si>
    <t>PENDIENTE AFECTACION.</t>
  </si>
  <si>
    <t>DESBORDAMIENTO RIO CASANARE.</t>
  </si>
  <si>
    <t>AFECTADO LA ALCALDIA, ESTACION DE POLICIA, CASA DE LA CULTURA, HOGAR DEL NIÑO, INSTITUTO LLANO Y LA INSTITUCION EDUCATIVA JOSE JOAQUIN GARCIA. REPORTE DEL CREPAD TOLIMA.</t>
  </si>
  <si>
    <r>
      <t xml:space="preserve">MUNICIPIO CON RACIONAMIENTO DE AGUA Y/O DESABASTECIMIENTO POR PROBLEMAS DE SEQUI DEBIDO AL FENOMENO DE EL NIÑO. REPORTE DEL MAVDT. </t>
    </r>
    <r>
      <rPr>
        <b/>
        <sz val="9"/>
        <color indexed="8"/>
        <rFont val="Arial"/>
        <family val="2"/>
      </rPr>
      <t>LA ADMINISTRACIÓN MUNICIPAL ENVIARÁ AL VAS LA EVALUACIÓN DE CALIDAD DE AGUA PARA ESTABLECER SI ES ADECUADO TRASLADAR UNA PALNTA POTABILIZADORA PROTATIL, O PARA VER QUE TRATAMIENTO ALTERNATIVO SE PUEDE INCREMENTAR</t>
    </r>
  </si>
  <si>
    <r>
      <t>MUNICIPIO CON RACIONAMIENTO DE AGUA Y/O DESABASTECIMIENTO POR PROBLEMAS DE SEQUI DEBIDO AL FENOMENO DE EL NIÑO. REPORTE DEL MAVDT. A</t>
    </r>
    <r>
      <rPr>
        <b/>
        <sz val="9"/>
        <color indexed="8"/>
        <rFont val="Arial"/>
        <family val="2"/>
      </rPr>
      <t>BASTECIMIENTO CON CARROTANQUES A ZONA RURAL. SE APLICARAN POLÍTICAS DE USO EFICIENTE Y RECIONAL DEL AGUA PARA REDUCIR RIESGO DE DESABASTECIMIENTO.</t>
    </r>
  </si>
  <si>
    <t>MUNICIPIO CON RACIONAMIENTO DE AGUA Y/O DESABASTECIMIENTO POR PROBLEMAS DE SEQUIA DEBIDO AL FENOMENO DE EL NIÑO. REPORTE DEL MAVDT</t>
  </si>
  <si>
    <r>
      <t xml:space="preserve">MUNICIPIO CON RACIONAMIENTO DE AGUA Y/O DESABASTECIMIENTO POR PROBLEMAS DE SEQUI DEBIDO AL FENOMENO DE EL NIÑO. REPORTE DEL MAVDT. </t>
    </r>
    <r>
      <rPr>
        <b/>
        <sz val="9"/>
        <color indexed="8"/>
        <rFont val="Arial"/>
        <family val="2"/>
      </rPr>
      <t xml:space="preserve">ESTÁN PERFORANDO UN POZO QUE SUMINISTRARÁ 60 LTS/SG. LOS RECURSOS DISPONIBLES ESTAN EN EVALUACIÓN PARA CIERRE FINANCIERO, ENTRE PRESTADOR Y MUNICIPIO. </t>
    </r>
    <r>
      <rPr>
        <sz val="9"/>
        <color indexed="8"/>
        <rFont val="Arial"/>
        <family val="2"/>
      </rPr>
      <t xml:space="preserve"> SE CONSULTARÁ AL MUNICIPIO SOBRE EL AVANCE Y SI EXISTEN NECESIDADES PARA EL SUMINISTRO DESDE ESTA FUENTE, DURANTE LA PRIMERA SEMANA DE FEBRERO.</t>
    </r>
  </si>
  <si>
    <t>DESBORDAMIENTO RIO TOBA. PERDIDA DE ENSERES. REPORTE DEL CREPAD.</t>
  </si>
  <si>
    <t>JESUS MARIA</t>
  </si>
  <si>
    <t>CHIMA</t>
  </si>
  <si>
    <t>DAÑOS EN EL ACUEDUCTO</t>
  </si>
  <si>
    <t>129
216
267</t>
  </si>
  <si>
    <r>
      <t xml:space="preserve">MUNICIPIO CON RACIONAMIENTO DE AGUA Y/O DESABASTECIMIENTO POR PROBLEMAS DE SEQUIA DEBIDO AL FENOMENO DE EL NIÑO. REPORTE DEL MAVDT. SUMINISTRO 2 HORAS DE SERVICIO/DIA, SECTORIZADO A TRAVÉS DE CARROTANQUES. CAUDAL ACTUAL: 4 L/S, NORMALMENTE SE MANEJABA 21 L/S. SE RECIBE INFORME DEL CREPAD DE FECHA 19 DE FEBRERO  SOBRE PROBLEMAS DESABASTECIMIENTO  DE AGUA. </t>
    </r>
    <r>
      <rPr>
        <b/>
        <sz val="10"/>
        <color indexed="8"/>
        <rFont val="Arial"/>
        <family val="2"/>
      </rPr>
      <t xml:space="preserve">APOYO DEL DEPARTAMENTO PARA EL SUMINISTRO DE AGUA EN CARROTANQUE.  APOYO DEL FNC </t>
    </r>
    <r>
      <rPr>
        <b/>
        <sz val="9"/>
        <color indexed="8"/>
        <rFont val="Arial"/>
        <family val="2"/>
      </rPr>
      <t>MEDIANTE</t>
    </r>
    <r>
      <rPr>
        <b/>
        <u/>
        <sz val="9"/>
        <color indexed="8"/>
        <rFont val="Arial"/>
        <family val="2"/>
      </rPr>
      <t xml:space="preserve"> DOS GIROS DIRECTOS  EL 1 DE FEBRERO Y EL 29 DE ABRIL</t>
    </r>
    <r>
      <rPr>
        <b/>
        <sz val="9"/>
        <color indexed="8"/>
        <rFont val="Arial"/>
        <family val="2"/>
      </rPr>
      <t xml:space="preserve"> AL CLOPAD PARA LA CONTRATACION DE SERVICIO DE AGUA POTABLE DESDE SAN GIL A BARICHARA (3 VIAJES DIARIOS A RAZON DE $280.000 POR CUARENTA DIAS). VALOR DE CADA UNO DE LOS GIROS $33,600,000. </t>
    </r>
    <r>
      <rPr>
        <b/>
        <u/>
        <sz val="9"/>
        <color indexed="8"/>
        <rFont val="Arial"/>
        <family val="2"/>
      </rPr>
      <t xml:space="preserve">TERCER </t>
    </r>
    <r>
      <rPr>
        <b/>
        <sz val="9"/>
        <color indexed="8"/>
        <rFont val="Arial"/>
        <family val="2"/>
      </rPr>
      <t>GIRO DIRECTO POR VALOR DE 191,187,981 PARA LA CONSTRUCCION DE OBRAS COMPLEMENTARIAS PARA LA ADECUACION Y OPTIMIZACION DEL POZO PROFUNDO DEL ACUEDUCTO URBANO DE BARICHARA.</t>
    </r>
  </si>
  <si>
    <t>2
2
4</t>
  </si>
  <si>
    <t>GAMARRA</t>
  </si>
  <si>
    <t>SE APOYA TENIENDO EN CUENTA COMPROMISO ADQUIRIDO CON ANTERIORIDAD PARA APOYAR EL MEJORAMIENTO DE LAS VIVIENDAS AFETCADAS POR TEMPORADA INVERNAL.</t>
  </si>
  <si>
    <t>APOYO DEL FNC MEDIANTE GIRO DIRECTO AL CLOPAD PARA EL MEJORAMIENTO DE 72 VIVIENDAS AFECTADAS POR LA CRECIENTE DEL RIO MAGDALENALO CUAL CAUSO DAÑOS EN EL BARRIO EL CABLE. POR VALOR DE $220.484,855.</t>
  </si>
  <si>
    <t>VEREDAS ANGOSTURAS Y ARCINIEGAS. FELIX OCTAVIO PARRA PINEDA 3132843374</t>
  </si>
  <si>
    <t>PIAMONTE</t>
  </si>
  <si>
    <t>CORREGIMIENTO EL GUAMO. REPORTE DE LA DEFENSA CIVIL.</t>
  </si>
  <si>
    <t>356
205</t>
  </si>
  <si>
    <t>CAICEDONIA</t>
  </si>
  <si>
    <t>APOYO MEDIANTE GIRO DIRECTO CON CARGO EL PROGRAMA DE BANCO DE MATERIALES PARA LA REPARACION DE 30 VIVIENDAS RURALES AFECTADAS POR LA TEMPORADA INVERNAL 2008-2009..</t>
  </si>
  <si>
    <t>SE APOYA COMO COMPROMISO DE LA TEMPORADA INVERNAL 2008-2009. RESOLUCION DE CALAMIDAD NO, 10 DEL 18 DE FEBRERO DE 2009.</t>
  </si>
  <si>
    <t>SE APOYA TENIENDO EN CUENTA LA NECESIDAD DE CONTRIBUIR CON ACCIONES DE EMERGENCIA PARA EL CONTROL DE INUNDACIONES</t>
  </si>
  <si>
    <t>SAN ANDRES DE CUERQUIA</t>
  </si>
  <si>
    <t>VEREDAS SAN MIGUEL Y SANTA ANA DE GERTRUDIZ, REPORTE DEL CREPAD.</t>
  </si>
  <si>
    <t>CARACOLI</t>
  </si>
  <si>
    <t>BARRIO EL SOL. REPORTE DEL CREPAD</t>
  </si>
  <si>
    <t>YONDO</t>
  </si>
  <si>
    <t>PERDIDA DE CULTOVOS.</t>
  </si>
  <si>
    <t>NAUFRAGIO DE LANCHA EN EL RIO CAUCA, AFECTADAS PERSONAS QUE ESTABAN SIENDO EVACUADS POR INUNDACION, REPORTE DEL CREPAD.</t>
  </si>
  <si>
    <t>HERRAN</t>
  </si>
  <si>
    <t>CRAVO NORTE</t>
  </si>
  <si>
    <t>TUTA</t>
  </si>
  <si>
    <t xml:space="preserve">DESBORDAMIENTO RIOS TUTA Y CHICAMOCHA. </t>
  </si>
  <si>
    <t>VEREDAS LEONERA, CUNUCAS, SAN FRANCISCO, CENTRO ABAJO, TUENECA ABAJO Y RAIBA REPORTE DEL CREPAD.</t>
  </si>
  <si>
    <t>VEREDA COSCUEZ Y SANTA BARBARA. EPORTE DEL CREPAD.</t>
  </si>
  <si>
    <t>CASCO URBANO, VEREDAS COMBUCO Y ALTOSANO</t>
  </si>
  <si>
    <t>VEREDA GOTUA, TINTAL,MOMBITA, LLANO. MONJAS Y CARTAGENA. REPORTE DEL CREPAD.</t>
  </si>
  <si>
    <t>SE APOYA TENIENDO EN CUENTA LA MAGNITUD DE LA EMERGENICA</t>
  </si>
  <si>
    <t>TIMANA</t>
  </si>
  <si>
    <t>ISNOS</t>
  </si>
  <si>
    <t>VEREDA TEJAR Y BARRIO CENTRO. AFECTADO CENTRO EDUCATVO DE SANTA LUCIA. REPORTE DEL CREPAD</t>
  </si>
  <si>
    <t>VEREDA LA MURALLA AFECTADA ESCUELA LA MURALLA. REPORTE DEL CREPAD.</t>
  </si>
  <si>
    <t>BARRIO LOS ALMENDROS, CENTRO, ALFONSO LOPEZ Y ATALAYA. REPORTE DEL CREPAD.</t>
  </si>
  <si>
    <t>BARRIO LA CHINITA. REPROTE DEL CLOPAD.</t>
  </si>
  <si>
    <t>SOCORRO</t>
  </si>
  <si>
    <t>MUNICIPIO CON RACIONAMIENTO DE AGUA Y/O DESABASTECIMIENTO POR PROBLEMAS DE SEQUI DEBIDO AL FENOMENO DE EL NIÑO. REPORTE DEL MAVDT. SE REQUIERE TRASLADAR LAS BOCATOMAS (100 ROLLOS DE MANGUERA DE 1 PULGADA).</t>
  </si>
  <si>
    <t>MUNICIPIO CON RACIONAMIENTO DE AGUA Y/O DESABASTECIMIENTO POR PROBLEMAS DE SEQUI DEBIDO AL FENOMENO DE EL NIÑO. REPORTE DEL MAVDT. SE ESTÁ ABASTECIENDO CON CARROTANQUE 1/SEMANA.CON EL PDA SE REALIZARÁ UNA VISITA TÉCNICA EL JUEVES 4 FEBRERO PARA DEFINIR ALTERNATIVADE ABASTECIMIENTO.</t>
  </si>
  <si>
    <r>
      <t xml:space="preserve">MUNICIPIO CON RACIONAMIENTO DE AGUA Y/O DESABASTECIMIENTO POR PROBLEMAS DE SEQUI DEBIDO AL FENOMENO DE EL NIÑO. REPORTE DEL MAVDT. </t>
    </r>
    <r>
      <rPr>
        <b/>
        <sz val="10"/>
        <color indexed="8"/>
        <rFont val="Arial"/>
        <family val="2"/>
      </rPr>
      <t xml:space="preserve">SE ESTÁ ABASTECIENDO A TRAVÉS DE CARROTANQUES CON EL APOYO DE LA GOBERNACIÓN. </t>
    </r>
    <r>
      <rPr>
        <sz val="9"/>
        <color indexed="8"/>
        <rFont val="Arial"/>
        <family val="2"/>
      </rPr>
      <t>LA SOLUCIÓN PLANTEADA INCLUYE ACCIONES DE DRAGADO. LA GOBERNACION DECLARO URGENCIA MANIFIESTA POR EL FENOMENO DE EL NIÑO.MEDIANTE RESOLUCION 005 DEL 18 DE ENERO DE 2010</t>
    </r>
  </si>
  <si>
    <r>
      <t xml:space="preserve">MUNICIPIO CON RACIONAMIENTO DE AGUA Y/O DESABASTECIMIENTO POR PROBLEMAS DE SEQUIA DEBIDO AL FENOMENO DE EL NIÑO. REPORTE DEL MAVDT. </t>
    </r>
    <r>
      <rPr>
        <b/>
        <sz val="10"/>
        <color indexed="8"/>
        <rFont val="Arial"/>
        <family val="2"/>
      </rPr>
      <t xml:space="preserve">SE ESTÁ ABASTECIENDO A TRAVÉS DE CARROTANQUES CON EL APOYO DE LA GOBERNACIÓN. </t>
    </r>
    <r>
      <rPr>
        <sz val="9"/>
        <color indexed="8"/>
        <rFont val="Arial"/>
        <family val="2"/>
      </rPr>
      <t>LA SOLUCIÓN PLANTEADA INCLUYE ACCIONES DE DRAGADO. LA GOBERNACION DECLARO URGENCIA MANIFIESTA POR EL FENOMENO DE EL NIÑO.MEDIANTE RESOLUCION 005 DEL 18 DE ENERO DE 2010</t>
    </r>
  </si>
  <si>
    <t>DESBORDAMIENTO QUEBRADA LA LAGUNA. VEREDA ROMERO ALTO, Y CENTRO AFUERA.REPORTE DE LA DEFENSA CIVIL.</t>
  </si>
  <si>
    <t>BARRIOS LA CEIBITA Y MODELIA. REPORTE DEL CREPAD.</t>
  </si>
  <si>
    <t>BARRIO LA MANGA. REPORTE DE LA DEFENSA CIVIL. PENDIENTE AFECTACION.</t>
  </si>
  <si>
    <t>DESBORDAMIENTO RIO ARAUCA VEREDA PUERTO CONTRERAS. REPONTE DEL CREPAD. EN EVALUACION. UNA PERSONA DESAPARECIDA POR NAUFRAGIO DE EMBARCACION.</t>
  </si>
  <si>
    <t>CRECIENTE DE ARROYOS.</t>
  </si>
  <si>
    <t>COPACABANA</t>
  </si>
  <si>
    <t>SECTOR EL SALADO</t>
  </si>
  <si>
    <t>SECTOR SAN JAVIER, ALTOS DE LA VIRGEN.</t>
  </si>
  <si>
    <t xml:space="preserve">SOLICITUD DEL CREPAD. </t>
  </si>
  <si>
    <t>SE APOYA TENIENDO EN CUENTA LAS PERDIDAS DE CULTIVOS DE LOS CAMPESINOS POR LAS HELADAS Y LA NECESIDAD DE RECUPERAR EL SECTOR PRODUCTIVO</t>
  </si>
  <si>
    <t>PERDIDA DE CULTIVOS Y ANIMALES DOMESTICOS</t>
  </si>
  <si>
    <t>SE APOYA EVALUANDO LAS PERDIDAS DE CULTIVOS Y ENSERES</t>
  </si>
  <si>
    <t>SAN JOSE DEL PALMAR</t>
  </si>
  <si>
    <t>VILLAMARIA</t>
  </si>
  <si>
    <t>BARRANCABERMEJA</t>
  </si>
  <si>
    <t>EL CARMEN SANT ANA, SAN MARTIN Y PABLO SEXTO.</t>
  </si>
  <si>
    <r>
      <t>MUNICIPIO CON RACIONAMIENTO DE AGUA Y/O DESABASTECIMIENTO POR PROBLEMAS DE SEQUIA DEBIDO AL FENOMENO DE EL NIÑO. REPORTE DEL MAVDT.</t>
    </r>
    <r>
      <rPr>
        <b/>
        <sz val="10"/>
        <color indexed="8"/>
        <rFont val="Arial"/>
        <family val="2"/>
      </rPr>
      <t xml:space="preserve"> DRAGADO EN ZONA DE CAPTACIÓN.SUMINISTRO E INSTALACIÓN DE MANGUERA PARA EXTENSIÓN DE LA TUBERÍA DE SUCCIÓN Y/O IMPULSIÓN DE AGUA, INCLUIDAS BOYAS DE FLOTACIÓN.ALQUILER PLANTA ELÉCTRICA Y COMBUSTIBLE.SUMINISTRO DE AGUA POR CARROTANQUE.</t>
    </r>
  </si>
  <si>
    <t>SE APOYA TENIENDO EN CUENTA LAS PERDIDAS DE CULTIVOS DE LOS CAMPESINOS POR SEQUIA Y LA NECESIDAD DE RECUPERAR EL SECTOR PRODUCTIVO</t>
  </si>
  <si>
    <t>INFORME DE INGEOMINAS Y CREPAD ANTIOQUIA, EVENTO DE 3.1 GRADOS CON PROFUNDIDAD DE 30 KMS, SIN DAÑOS</t>
  </si>
  <si>
    <t>VALLE DEL CAUCA</t>
  </si>
  <si>
    <t>OBANDO</t>
  </si>
  <si>
    <t>BARRIOS LA LUZ Y BAJO MEISEN. INUNDAION POR FUERTES LLUVIAS. REPORTE DEL CLOPAD VIA AVANTEL</t>
  </si>
  <si>
    <r>
      <t xml:space="preserve">MUNICIPIO CON RACIONAMIENTO DE AGUA Y/O DESABASTECIMIENTO POR PROBLEMAS DE SEQUI DEBIDO AL FENOMENO DE EL NIÑO. REPORTE DEL MAVDT. SE ADELANTÓ UNA VISITA TÉCNICA POR PARTE DE LA GERENCIA TÉCNICA DEL PDA, DE LA CUAL SE CONCLUYE QUE EL PROBLEMA ACTUAL DE DESABASTECIMIENTO OBEDECE EN GRAN PARTE  A LA OPERACIÓN DEL SISTEMA. SE PROPONE QUE SE AUMENTE EL BOMBEO DEL RÍO CHICAMOCHA, Y QUE EN LAS NOCHES SE CIERRE LA DERIVACIÓN A LA ZONA RURAL, </t>
    </r>
    <r>
      <rPr>
        <b/>
        <sz val="9"/>
        <color indexed="8"/>
        <rFont val="Arial"/>
        <family val="2"/>
      </rPr>
      <t xml:space="preserve">Y A LA POBLACIÓN QUE CUENTA CON SUMINISTRO CONSTANTE, DURANTE UNAS 8 HORAS. LOS CAUDALES CAPTADOS SE LLEVARAN A LA PTAP EXISTENTE Y QUE PERMITE LLEVAR AGUA POR INFRAESTRUCTURA A LA POBLACIÓN ABASTECIDA CON CARROTANQUES.EL ALCALDE SE COMPROMETIÓ A EVALUAR ESTA ALTERNATIVA Y EVALUAR SU PUESTA EN MARCHA. LA DGR APOYO CON 7 TONELADAS DE AGUA. </t>
    </r>
    <r>
      <rPr>
        <sz val="9"/>
        <color indexed="8"/>
        <rFont val="Arial"/>
        <family val="2"/>
      </rPr>
      <t>EL MUNCIPIO DEBE PRESNTAR PROYECTO EN FECBRERO PARA CAMBIAR LAS DOS MOTOBOMBAS DE 100 LT/S LAS CUALES FUNCIONAN EN UN 50% ALTERNAS POR TRES NUEVAS DE 50 LT/S. TRABAJANDO DOS Y UNA EN STAND BY. O INCREMENTAR EL SISTEMA EXISTENTE CON UNA BOBA DE 80LT//S.</t>
    </r>
  </si>
  <si>
    <t>DESBORDAMENTO QUEBRADA LA GARCIA. BARRIO EL HUECO, SAN  NICOLAS, EL CHISPERO, PLAYA RICA, LA PRIMAVERA.</t>
  </si>
  <si>
    <t>BARRIO EL TEMPLETE, LA FLORESTA Y EL MATADERO.</t>
  </si>
  <si>
    <t>CRECIENTE QUEBRADA EL TRIGAL.BARRIOS LA FRONTERA, TAPETES, EL ROTO, LA CALZADA Y LLANITOS</t>
  </si>
  <si>
    <t>SAN PELAYO</t>
  </si>
  <si>
    <t>VEREDAS LA PROVINCIA, LAURA, SAN ISIDRO, PUERTO NUEVO. REPORTE DE DEFENSA CIVIL.</t>
  </si>
  <si>
    <t>VEREDAS LA ESTANCIA, EL HOYO, LLANO ALTO.</t>
  </si>
  <si>
    <t>REPORTE DEL CLOPAD.</t>
  </si>
  <si>
    <t>270
271
22659</t>
  </si>
  <si>
    <t>SE APOYA DE MANERA COMPLEMENTARIA A LOS ESFUERZOS LOCAL Y REGIONAL</t>
  </si>
  <si>
    <t>CORINTO</t>
  </si>
  <si>
    <t>CASCO URBANO REPORTE DEL CREPAD.</t>
  </si>
  <si>
    <t>DESBORDAMIENTO ARROYO TURBANA. REPORTE DEL CREPAD.</t>
  </si>
  <si>
    <t>INUNDACION POR FUERTES LLUVIAS. REPORTE DEL CREPAD.</t>
  </si>
  <si>
    <t>HATILLO DE LOBA</t>
  </si>
  <si>
    <t>DESBORDAMIENTO QUEBRADA LA CHIQUITA. CORREGIMIENTO LA BUITRERA. REPORTE DEL CREPAD.</t>
  </si>
  <si>
    <t>SEVILLA</t>
  </si>
  <si>
    <t>CORREGIMIENTOS ALTO COLORADO, MANZANILLO, LA CUCHILLA, SAN ANTONIO REPORTE DEL CREPAD.</t>
  </si>
  <si>
    <t>PERDIDA DE CULTIVOS DE BANANO, PLATANO Y CAFÉ</t>
  </si>
  <si>
    <t>DESBORDAMIENTO RIO MARIANELA, REPORTE DEL CREPAD.</t>
  </si>
  <si>
    <t>DESBORDAMIENTO RIOS JOLI, NAYA, CHUARE ,  AGUACLARA Y MICAY. CORREGIMIENTOS YUCAL, SAN ANTONIO, Y PLAYA GRANDE. REPORTE DEL CREPAD. Y CLOPAD.</t>
  </si>
  <si>
    <t>PERDIDA DE CULTIVOS DE PAPA CHINA, PLATAÑO Y MAIZ</t>
  </si>
  <si>
    <t>DESBORDAMIENTO RIOS CURRULAO Y GUAPALEON. REPORTE DEL CREPAD</t>
  </si>
  <si>
    <t>BARRIOS BENDICION DE DIOS, Y VILLA NUEVA. REPORTE DEL CLOAPD.</t>
  </si>
  <si>
    <t>DESBORDAMIENTO CAÑO MAMON DE LECHE. CORREGIMIENTO BADILLO. REPORTE DEL CLOPAD</t>
  </si>
  <si>
    <t>BARRIO LA GRANJA. REPORTE DEL CLOPAD AFECTADA FABRICA DE MUEBLES</t>
  </si>
  <si>
    <t>FABRICA DE MUEBLES.</t>
  </si>
  <si>
    <t>CORREGIMEINTOS GUAYABAL. SAN JOSE Y BARRIOS LA PLATA, Y JARDIN REPORTE DEL CREPAD.</t>
  </si>
  <si>
    <t>SAN MARTIN DE LOBA</t>
  </si>
  <si>
    <r>
      <t xml:space="preserve">REPORTE DEL CREPAD. </t>
    </r>
    <r>
      <rPr>
        <b/>
        <sz val="9"/>
        <rFont val="Arial"/>
        <family val="2"/>
      </rPr>
      <t>APOYO DEL FNC MEDIANTE GIRO DIRECTO AL CLOPAD PARA COMPRA DE MATERIALES PARA CONSTRUCCION DE ALBERGUES TEMPORALES</t>
    </r>
  </si>
  <si>
    <t>BARRIOS LA LINEA, CINCO DE NOVIEMBRE, EL LIMONAL, LA PIEDRA BOLIVAR, LAS CABRAS, EL OESTE, EL CEIBAL, LA MARIA, CALLE REAL, CHAMBACU, TURBAQUITO, LAS PARCELAS, SUEÑO DE LA LIBERTAD Y LA PEÑA. CORREGIMIENTO GAMBOTE REPORTE DE LA DEFENSA CIVIL</t>
  </si>
  <si>
    <t>DESBORDAMIENTO CANAL DEL DIQUE. SECTOR URBANO BARRIOS ARROYO BAJO, MONTECARLO, PUERTO SANTANDER, EL PORVENIR Y EL SILENCIO. SECTOR RURAL, CORREGIMIENTO CORREA, REPORTE DEL CREPAD.</t>
  </si>
  <si>
    <t>APOYO ALIMENTARIO PARA LAS PERSONAS DE LOS MUNICIPIOS DE SUCRE Y MAJAGUAL DESPLAZADAS POR LAS INUNDACIONES AL MUNICIPIO DE SINCELEJO</t>
  </si>
  <si>
    <t>25690
26016</t>
  </si>
  <si>
    <r>
      <t xml:space="preserve">DESBORDAMIENTO RIO CESAR SECTORES VEREDAS ARENAS BLANCAS, ZELEDON, LOS MOSQUITOS, RANCHO CLARO, NUEVA LUZ, POPONTE, MUCHILA ALTO. REPROTE DEL CREPAD. </t>
    </r>
    <r>
      <rPr>
        <b/>
        <sz val="9"/>
        <rFont val="Arial"/>
        <family val="2"/>
      </rPr>
      <t>EL VALOR DE OTROS CORRESPONDE A 300 PARES DE BOTAS (200 ADULTO 100 NIÑO)</t>
    </r>
  </si>
  <si>
    <r>
      <t xml:space="preserve">REPORTE DEL CREPAD. DESBORDAMIENTO RIO MAGDALENA. </t>
    </r>
    <r>
      <rPr>
        <b/>
        <sz val="9"/>
        <rFont val="Arial"/>
        <family val="2"/>
      </rPr>
      <t>EL VALOR DE OTROS CORRESPONDE A 100 PALAS, 100 PICAS, 100 PARES DE BOTAS ADULTO Y 50 PARES DE BOTAS NIÑO.</t>
    </r>
  </si>
  <si>
    <r>
      <t xml:space="preserve">DESBORDAMIENTO RIO ARIGUANI. BARRIOS 12 DE OCTUBRE, EL PESCAITO, EL BOLSILLO. CORREGIMIENTO DE RABO LARGO. AFECTADA VIA EL PASO - ASTREA. REPROTE DEL CREPAD. </t>
    </r>
    <r>
      <rPr>
        <b/>
        <sz val="9"/>
        <rFont val="Arial"/>
        <family val="2"/>
      </rPr>
      <t>EL VALOR DE OTROS CORRESPONDE A 70 PARES DE BOTAS ADULTO Y 30 PARA NIÑOS</t>
    </r>
  </si>
  <si>
    <r>
      <t>DESBORDAMIENTO QUEBRADA ARJONA. CORREGIMIENTO ARJONA. REPORTO EL CREPAD.</t>
    </r>
    <r>
      <rPr>
        <b/>
        <sz val="9"/>
        <rFont val="Arial"/>
        <family val="2"/>
      </rPr>
      <t>EL VALOR DE OTROS CORREPONDE A 100 PARES DE BOTAS ADULTO Y 50 PARA NIÑO.</t>
    </r>
  </si>
  <si>
    <t>21045
22245
22705
23530
23551
23555
26016</t>
  </si>
  <si>
    <r>
      <t>DESBORDAMIENTO RIO SINU, CAÑO CHIMILITO Y CIENAGA GRANDE DEL BAJO SINU. REPORTE DE LA DEFENSA CIVIL.</t>
    </r>
    <r>
      <rPr>
        <b/>
        <sz val="9"/>
        <rFont val="Arial"/>
        <family val="2"/>
      </rPr>
      <t>EL VALOR DE OTROS CORRESPONDE A DOS MOTOBOMBAS DE 4X4-</t>
    </r>
  </si>
  <si>
    <t>25061
25991</t>
  </si>
  <si>
    <t>23997
26014</t>
  </si>
  <si>
    <t>SE ENTREGA UN KIT DE COCINA ESPECIAL.</t>
  </si>
  <si>
    <r>
      <t xml:space="preserve">REPORTE DEL CREPAD Y LA DEFENSA CIVIL. BARRIOS DIVIDIVI, LA LUCHA, LA LUCHITA, LAS TUNAS, LOS MANGOS, VILLA ZIRUMA, JOSE ANTONI GALAN, LA UNION, SAN MARTIN, MARIA EUGENIA, CAMILO TORRES, CAMPO ALEGRE, NUWEVO HORIZONTE, LAS MERCEDES, 31 DE OCTUBRE, NUEVA ESPERANZA, COMUNITARIO, LUIS EDUARDO CUELLA, 7 DE AGOSTO, VILLA FATIMA, RANCHERIA LOS OLIVOS MANO DE DIOS.  EN ESPERA DE CENSOS. </t>
    </r>
    <r>
      <rPr>
        <b/>
        <sz val="9"/>
        <rFont val="Arial"/>
        <family val="2"/>
      </rPr>
      <t>EL VALOR DE OTROS CORRESPONDE A UNA MOTOBOMBA DIESEL DE 8"</t>
    </r>
  </si>
  <si>
    <t>261
276
22777</t>
  </si>
  <si>
    <r>
      <t>DESBORDAMIENTO RIO SAN JORGE. CORREGIMIENTOS POTOSI, MUCURA, SANTA ROSA. REPORTE TELEFONICO DEL CREPAD. ZONA URBANO : CAÑO CALDAS, CALLEJON FAISAN, DIVINO NIÑO, LOS HOYOS, B. OSPINA PEREZ, CALLE BOGOTA, CALLE LAS FLORES, CALLE SAN ISIDRO MERCADO, CALLE SANTA BARBARA, CALLE EL POZON, LAS BRISAS, EL CASTILLO, SAN JOSE, LOMA LINDA. 
RURAL: VEREDA BOCA DE PINTO, VEREDA SEHEBE, VEREDA PESCAO 1, CAÑO PESCADO 2, VEREDA CARACOLI, VEREDA AGUAS CLARA, VEREDA ALFONSO LOPEZ, VEREDA LOS NIDOS, VEREDA EL CAIRO, VEREDA GAMBA, VEREDA CAÑO PRIETO, VEREDA CAÑO MUÑOZ, VEREDA CAÑO HONDO,VEREDA CAÑO BARRO, VEREDA BARBA MONO, VEREDA PARCELAS DE LA GLORIAS, VEREDA PAPAYO,VEREDA LAS PALMAS, VEREDA SANTA ROSA, TOTUMO MEDIO, VEREDA LA LUCHA, VEREDA LA VALSA, VEREDA EL ORIENTE, VEREDA KOREA,VEREDA CAÑO PRIETO,VEREDA CECILIA  para un total de 2.250 familias afectadas.</t>
    </r>
    <r>
      <rPr>
        <b/>
        <sz val="9"/>
        <rFont val="Arial"/>
        <family val="2"/>
      </rPr>
      <t xml:space="preserve"> EL VALOR DE OTROS CORRESPONDE A 200 CHALECOS SALVAVIDAS PARA LOS COLEGIOS</t>
    </r>
    <r>
      <rPr>
        <sz val="9"/>
        <rFont val="Arial"/>
        <family val="2"/>
      </rPr>
      <t xml:space="preserve">
</t>
    </r>
  </si>
  <si>
    <t>SE APOYA TENIENDO EN CUENTA LA MAGNITUD DE LA EMERGENICA.</t>
  </si>
  <si>
    <t>PUERTO CAICEDO</t>
  </si>
  <si>
    <t>BARRIOS PALERMO, CENTRO, SANTA BARBARA, MODELO DE PAZ, REPORTE DE LA DEFESNA CIVIL.</t>
  </si>
  <si>
    <t>ORITO</t>
  </si>
  <si>
    <t>VEREDA EL AZUL, REPROTE DE LA DEFENSA CIVIL.</t>
  </si>
  <si>
    <t>VEREDA LA ARGENTINA, FINCA LAS BRISAS REPROTE DEL CREPAD.</t>
  </si>
  <si>
    <t>SECTOR URBANO REPORTE DEL CREPAD.</t>
  </si>
  <si>
    <r>
      <t>DESBORDAMEINTO RIO MANZANARES. BARRIOS MALVINAS, SIMON BOLIVAR, LAS VEGAS, VILLA UP, SALAMANCA, 8 DE FEBRERO, TAYRONA ALTA, TAYRONA BAJA, BULEVAR EDL RIO, MARIA EUGENIA, LA ESMERALDA, VILLA DEL CARMEN, SANTA ANA, PAMPLONITA, REPORTE DEL CLOPAD Y LA DEFENSA CIVIL.</t>
    </r>
    <r>
      <rPr>
        <b/>
        <sz val="9"/>
        <rFont val="Arial"/>
        <family val="2"/>
      </rPr>
      <t xml:space="preserve"> EL VALOR DE OTROS CORREPONDE A 1 MOTOBOMBA DE 4"X4" Y UNA MOTOBOMBA DE 6"X6"</t>
    </r>
  </si>
  <si>
    <t>REPORTE DE CLOPAD Y CREPAD.</t>
  </si>
  <si>
    <t>AFECTADA COMUNIDAD DEL CARMELO.. REPORTE DEL CLOPAD Y CREPAD,</t>
  </si>
  <si>
    <t>PACHO</t>
  </si>
  <si>
    <t>VEREDA LA CUESTA. REPROTE DEL CREPAD.</t>
  </si>
  <si>
    <t>BARRIOS ALASKA Y GRANADA. REPORTE DEL CLOPAD.</t>
  </si>
  <si>
    <t>BARRIOS BOSQUES DE GIBRALTAR Y LA MARIELA. REPROTE DEL CREPAD. AFECTACION VIA AL BARRIO LA MARIELA.</t>
  </si>
  <si>
    <t>PLAGA</t>
  </si>
  <si>
    <t>SALENTO</t>
  </si>
  <si>
    <t>DESBORDAMIENTO RIO VILLANUEVA. REPORTE DEL CLOPAD</t>
  </si>
  <si>
    <t>22249
22249
22777</t>
  </si>
  <si>
    <t>DESBORDAMIENTO RIO CAUCA  Y CAÑOS EL SILENCIO, TASCOSO, Y SANTA HELENA. AFECTADA ZONA RIVEREÑA Y BARRIOS LA ESPERANZA, LA VICTORIA, BRISAS DEL CAUCA, PRIMERO DE MAYO, LA PLAYA, LAS VEGAS, PUEBLO NUEVO, EL PRADO, CASTILLO DIVINO NIÑO, LA PAZ, EL POBLADO, SAN RAFAEL, NUEVA ESTRELLA, EL CAMELLO, ASO VIVIENDA Y EN LA ZONA RURAL CORREGIMIENTOS MARGENTO, PALOMAR, LOS MEDIOS, BUENOS AIRES, BARRIO CHINO, PALANCA LA ESMERALDA, LA ILUSION, GOLONDRINAS Y PUERTO ESPAÑA. AFECTADA ZONA RURAL. PENDIENTE INFORMACION.</t>
  </si>
  <si>
    <t>SECTORES SANTIAGO APOSTOL, DOÑA ANA, PUNTA DEBLANCO, GEGUA, GUAYABAL, CIENAGA NUEVA, EL LIMON, LAS CHISPAS, LAS DELICIAS, CUIVAS, AL CAUCHAL, LA CEIBA, MONGUAN, SAN MATIAS, SAN JUAN, PARCELAS DE GUYABAL, GUANACA, CALLE NUEVA, EL CHUPO, LA ISLA, LAS MALVINAS, CAÑO VIEJO, PALO ALTO, LAS POSAS, PARCELAS DE SANTA FE, LA PLAZA, REMOLINO, EL CHOINCHIRRO, CAÑO CAIMAN, VENEZUELA, TOSNOVAN, PASIOJUERE, SAN JOSE DE LAS MELLAS. REPORTE DEL CREPAD.</t>
  </si>
  <si>
    <t>DESBORDAMIENTO RIO CAUCA. ZONA RURAL VEREDAS EL SOCORRO, SAN RAFAEL, LAS MOCHILAS, EL AGUACATE, CHUIRA, LOS ARRASTRES, SAN MATIAS, LOS HUMOS ARRIBA Y ABAJO, LAS PARCELAS, NUEVA ESPERANZA. Y CABECERA MUNICIPAL. . REPORTE DE LA DEFENSA CIVIL  REPORTE DEL CREPAD.</t>
  </si>
  <si>
    <t>SE APOYA TENIENDO EN CUENTA LA IMPORTANCIA DE APOYAR LA LOGISTICA DE LA FAC EN LA ATENCION DE EMERGENCIAS EN EL TERRITORIO NACIONAL</t>
  </si>
  <si>
    <t>APOYO PARA LA FAC MEDIANTE EL SUMINISTRO DE 5 ROLLOS DE PLASTICO COMO LOGISTICA PARA EL MANEJO DE CARGA PARA EMERGENCIAS EN  CATAM</t>
  </si>
  <si>
    <t>MUNICIPIO CON RACIONAMIENTO DE AGUA Y/O DESABASTECIMIENTO POR PROBLEMAS DE SEQUI DEBIDO AL FENOMENO DE EL NIÑO. REPORTE DEL MAVDT. CON BASE EN RESULTADOS DE CONSULTA A MUNICIPIO, SE PRACTICARÁ VISITA POR PARTE DEL GESTOR  PARA EVALUAR  LA SITUACIÓN.</t>
  </si>
  <si>
    <t>FLORENCIA</t>
  </si>
  <si>
    <t>SANTA BARBARA</t>
  </si>
  <si>
    <t>MUNICIPIO CON RACIONAMIENTO DE AGUA Y/O DESABASTECIMIENTO POR PROBLEMAS DE SEQUI DEBIDO AL FENOMENO DE EL NIÑO. REPORTE DEL MAVDT. SE PRACTICARÁ VISITA POR PARTE DEL GESTOR  PARA EVALUAR  LA SITUACIÓN</t>
  </si>
  <si>
    <t>LA PLATA</t>
  </si>
  <si>
    <t>ERUPCION</t>
  </si>
  <si>
    <t>173
39336</t>
  </si>
  <si>
    <t>2
2</t>
  </si>
  <si>
    <t>PENDIENTE AFECTACION. REPORTE PRELIMINAR DEL CREPAD.</t>
  </si>
  <si>
    <t>BETULIA</t>
  </si>
  <si>
    <t>APOYO A LA DIRECCION DE PARQUES NACIONALES NATURALES. 1000 RACIONES DE CAMPAÑA</t>
  </si>
  <si>
    <t>VILLA DE LEYVA</t>
  </si>
  <si>
    <t>MAREJADA</t>
  </si>
  <si>
    <t>VEREDA YARUMAL, DESBORDAMIENTO RIO TURBO</t>
  </si>
  <si>
    <t xml:space="preserve">RIO PAGUEY. HERIDOS POR ROMPIMIENTO DE  ESTANQUE VEREDA CASABLANCA. </t>
  </si>
  <si>
    <t>DEBORDAMIENTO RIO SUMAPAZ SECTORES DE SAN MARTIN Y EL PASO.</t>
  </si>
  <si>
    <t>VEREDA SAN ANDRES, ALTA ESTRELLA Y LA NUBIA, VALLADOLID, GUARNE, LA SOMBRA, LAS CABAÑAS, AGUA LINDA.REPORTE DEL CREPAD.</t>
  </si>
  <si>
    <t>VALDIVIA</t>
  </si>
  <si>
    <t>BARRIO LA FLORIDA. REPORTE DEL CREPAD.</t>
  </si>
  <si>
    <t>TADO</t>
  </si>
  <si>
    <t>DESLIZAMIENTO EN MINA DE ORO. REPORTE DE LA DEFENSA CIVIL.</t>
  </si>
  <si>
    <t>SE APOYA TENIENDO EN CUENTA LA GRAVE AFECTACION</t>
  </si>
  <si>
    <t>DESBORDAMIENTO RIOSBACHUE Y AIPE. PERDIDA DE CULTIVOS</t>
  </si>
  <si>
    <t>AFECTADOS CULTIVOS DE YUCA, PLATANO, FRUTALES Y PANCOGER EN 21 PARCELAS</t>
  </si>
  <si>
    <t>SUAREZ</t>
  </si>
  <si>
    <t>DEBORDAMIENTO QUEBRADA TIBANICA. PENDIENTE EVALUACION, BARRIO QUINTANARES, LA FLORIDA PRIMER SECTOR, MIRADOR, CONJUNTO SAN IGNACIO. MERCURIO , ISLA DEL SOL Y SAN MATEO. REPORTE DEL CREPAD</t>
  </si>
  <si>
    <t>GUTIERREZ</t>
  </si>
  <si>
    <t>AFECTADA VIA ZIPAQUIRA - PACHO. REPORTE DE LA DEFENSA CIVIL</t>
  </si>
  <si>
    <t>DAÑOS EN EL FLUIDO ELECTRICO</t>
  </si>
  <si>
    <t>CORREGIMIENTO LA DON JUANA Y BARRIOS PEPITA Y CENTRO. REPORTE DEL CREPAD.</t>
  </si>
  <si>
    <t xml:space="preserve">ENVIAN COPIA DE OFICIO DIRIGIDO AL CREPAD, INSTANCIA ANTE LA CUAL ELEVAN SOLICITUD DE APOYO. </t>
  </si>
  <si>
    <t>REPORTE TELEFONICO DE LA DPAE. BARRIO GIBRALTAR, LOCALIDAD SIMON BOLIVAR</t>
  </si>
  <si>
    <t>MUNICIPIO CON RACIONAMIENTO DE AGUA Y/O DESABASTECIMIENTO POR PROBLEMAS DE SEQUI DEBIDO AL FENOMENO DE EL NIÑO. REPORTE DEL MAVDT. OPERADOR ESP INICIÒ RACIONAMIENTO. ESP MANTIENE MONITOREO SOBRE LAS FUENTES Y REPORTA SITUACIÓN CONTROLADA</t>
  </si>
  <si>
    <t>MUNICIPIO CON RACIONAMIENTO DE AGUA Y/O DESABASTECIMIENTO POR PROBLEMAS DE SEQUI DEBIDO AL FENOMENO DE EL NIÑO. REPORTE DEL MAVDT. (15% CASCO URBANO). SE ENCUENTRA EN RACIONAMIENTO POR DISMINUCIÓN EN UN 50% DEL CAUDAL DE LAS QUEBRADAS QUE LA ABASTECEN. SIN EMBARGO LA SITUACIÓN ES CONTROLADA POR LA ESP Y EL MUNICIPIO</t>
  </si>
  <si>
    <t>SAN MATEO</t>
  </si>
  <si>
    <t>REPORTE DEL CLOPAD PEREIRA, SE AFECTO LA VEREDA SAN VICENTE</t>
  </si>
  <si>
    <t>DESBORDAMIENTO RIO CAUCA. VEREDA BELTRAN. REPORTE DEL CREPAD.</t>
  </si>
  <si>
    <t>DESBORDAMIENTO RIO CUCUANA. VEREDA PUENTE CUCUANA. REPORTE DEL CREPAD.</t>
  </si>
  <si>
    <t>AFECTADAS COMUNIDADES DE GARITAS , EL PAISAJE, PUEBLO RIZO. REPORTE DEL CREPAD Y CLOPAD</t>
  </si>
  <si>
    <t>AGUA DE DIOS</t>
  </si>
  <si>
    <t>CHAGUANI</t>
  </si>
  <si>
    <t>VIA CHAGUANI - GUADUAS</t>
  </si>
  <si>
    <r>
      <t xml:space="preserve">CORREGIMIENTO DE CUATRO BOCAS Y PITA LIMON. ZONA RURAL. REPORTE DEL CLOPAD. </t>
    </r>
    <r>
      <rPr>
        <b/>
        <sz val="9"/>
        <rFont val="Arial"/>
        <family val="2"/>
      </rPr>
      <t>GIRO DIRECTO AL CLOPAD PARA CONSTRUCCION DE 4 VIVIENDAS, CUBIERTA PARA TRECE VIVIENDAS, COMBUSTIBLE, ALQUILER DE MAQUINARIA, ALIMENTACION POR VALOR $100,000,000</t>
    </r>
  </si>
  <si>
    <t>SE APOYA TENIENDO EN CUENTA LAS DIFICULTADES POR DESABASTECIMIENTO E AGUA</t>
  </si>
  <si>
    <r>
      <t xml:space="preserve">DESABASTECIMIENTO VEREDAS PUENTES Y GUADUAS. SOLICITAN APOYO PARA LA CONSTRUCCION DE RESERVORIO. A LA ESPERA DE LA SOLICITUD. </t>
    </r>
    <r>
      <rPr>
        <b/>
        <sz val="9"/>
        <rFont val="Arial"/>
        <family val="2"/>
      </rPr>
      <t>APOYO DEL FNC MEDIANTE GIRO DIRECTO AL CLOPAD PARA LA INSTALACION DE 35 TANQUES DE 1000 LITROS Y EL ACARREO DE AGUA  ALOMO DE MULA.</t>
    </r>
  </si>
  <si>
    <t>SOLICITAN APOYO CON ALIMENTOS LOS CUALES SERVIRAN PARA APOYAR A LAS PERSONAS QUE TRABJEN EN EL REFORZAMIENTO DEL JARILLON ALEDAÑO AL RIO SAN JORGE, CORREGIMIENTOS DE PUEBLO BUHO, EL MAMON, LA PUMPUMA, LAS OSAS, CAÑO LATA, LAS PAVITAS, Y EL DIQUE.</t>
  </si>
  <si>
    <t>SE APOYA TENIENDO EN CUENTA QUE LA OBRA SERVIRA COMO MEDIDA URGENTE DE MITIGACION FRENTE A INUNDACIONES.</t>
  </si>
  <si>
    <t>CORREGIMIENTO BILBAO. REPORTE DE CREPAD</t>
  </si>
  <si>
    <t>ZARAGOZA</t>
  </si>
  <si>
    <t>LA PINTADA</t>
  </si>
  <si>
    <t>OTANCHE</t>
  </si>
  <si>
    <t>CAIDA DEPOSTE SOBRE UNA PERSONA POR DESLIZAMIENTO Y FUERTES LLUVIAS. REPORTE DEL CREPAD</t>
  </si>
  <si>
    <t>MOSQUERA</t>
  </si>
  <si>
    <t>VEREDA NARANJOS INUNDACION POR FUERTES LLUVIAS. REPORTE DEL CREPAD.</t>
  </si>
  <si>
    <t>COLAPSO MINA DE ESMERALDA. REPORTE DEL CREPAD.</t>
  </si>
  <si>
    <t>COMUNA 13 BARRIO BLANQUISAL. REPORTE DEL CREPAD.</t>
  </si>
  <si>
    <t>CAUCASIA</t>
  </si>
  <si>
    <t>DESBORDAMIENTO RIO NECHI. REPORTE DEL CREPAD.</t>
  </si>
  <si>
    <t>ATACO</t>
  </si>
  <si>
    <t>SAN JOSE DE URE</t>
  </si>
  <si>
    <t>REPRESAMIENTO QUEBRADA URE. REPORTE DE LA DEFENSA CIVIL.</t>
  </si>
  <si>
    <t>CASCO ORBANO REPORTE DE DEFENSA CIVIL.</t>
  </si>
  <si>
    <t>DESBORDAMIENTO ARROYOS PICHILI Y GUAVI. AFECTADOS 20 BARRIOS. REPORTE DE DEFENSA CIVIL</t>
  </si>
  <si>
    <t>PITALITO</t>
  </si>
  <si>
    <t>AFECTADA ESCUELA LA LAGUNA CORREGIMIENTO LA LAGUNA. REPORTE DEL CREPAD.</t>
  </si>
  <si>
    <t>BARRIOS EL PRADO, OBRERO, NUEVO, OLIMPICO, LA RIVERA ESCOBAR Y CORREGIMIENTO GUAMABANAL. REPORTE DEL CREPAD.-</t>
  </si>
  <si>
    <t>CRECIENTE DEL RIO TAME, VEREDA SOLEDAD, CRAVO TOTUMO, CRAVO COROZO, EL TRINFO, SOLEDAD Y LOBERIA, REPORTE PRELIMINAR DE DEFENSA CIVIL.</t>
  </si>
  <si>
    <t>DESBORDAMIENTO QUEBRADA AGUA BLANCA. REPORTE DEL CREPAD.</t>
  </si>
  <si>
    <t>SOLITA</t>
  </si>
  <si>
    <t>ENDIETNE AFECTACION REPORTE DEL CREPAD.</t>
  </si>
  <si>
    <t>REPORTE DEL CLOPAD. BARRIO CARLOS MEISEN.</t>
  </si>
  <si>
    <t>SINCELEJO</t>
  </si>
  <si>
    <t>REPORTE DE DEFENSA CIVIL. CRECIENTE SUBITA.</t>
  </si>
  <si>
    <t>REPORTE DEL CREPAD. AFECTADO CASCO URBANO.</t>
  </si>
  <si>
    <t>BARRIO NACEDEROS, REPORTE DEL CLOPAD Y DE MINPROTECCION SOCIAL.</t>
  </si>
  <si>
    <t>BARRIO EL PARAISO SECTOR LAS COCAS. REPORTE DE LA DEFENSA CIVIL.</t>
  </si>
  <si>
    <t>ARACATACA</t>
  </si>
  <si>
    <t>ATENDIDO</t>
  </si>
  <si>
    <t>REPORTE DE DDEFENSA CIVIL. CORREGIMIENTO LA PEÑA. EL ALCALDE DECLARO EMERGENCIA INVERNAL</t>
  </si>
  <si>
    <t>39941
48867</t>
  </si>
  <si>
    <t>SE APOYO A TRAVES DEL DEPARTAMENTO. POSTERIORMENTE SE BRINDO APOYO ADICIONAL TENIENNDO EN CUENTA LA MAGNITUD DE LA EMERGENCIA</t>
  </si>
  <si>
    <t>REPORTE DE LA DEFENSA CIVIL. AFECTADO INQUILINATO.</t>
  </si>
  <si>
    <t>ALGARROBO</t>
  </si>
  <si>
    <t>DESBORDAMIENTO RIO ARIGUANI. VEREDA LA ESTACION. REPORTE DE LA DEFENSA CIVIL.</t>
  </si>
  <si>
    <t>TIBU</t>
  </si>
  <si>
    <t>DESBORDAMIENTO RIO TIBU, VEREDA TRES BOCAS Y OTRAS. REPORTE DEL CREPAD.</t>
  </si>
  <si>
    <t>BARRIO SAN LUIS. REPORTE DEL CREPAD Y SOCORRO NACIONAL.</t>
  </si>
  <si>
    <t>REPORTE DEL CREPAD. BARRIO ANTONIA SANTOS SECTOR JUAN ATALAYA.</t>
  </si>
  <si>
    <t>SAN JUAN NEPOMUCENO</t>
  </si>
  <si>
    <t>DESBORDAMIENTO CAÑOS CATALINA Y RASTRO. BARRIOS GUAPANDO, EL OJITO, BODEGA, EL CAMPITO. REPORTE DE LA DEFENSA CIVIL</t>
  </si>
  <si>
    <t>EL ZULIA</t>
  </si>
  <si>
    <t>308
19887</t>
  </si>
  <si>
    <t>294
19878</t>
  </si>
  <si>
    <t>SE APOYA DE MANERA COMPLEMENTARIA A LOS ESFUERZOS LOCLAES Y REGIONAL</t>
  </si>
  <si>
    <t>SE APOYA DE MANERA COMPLEMENTARIA</t>
  </si>
  <si>
    <t>48682
50182</t>
  </si>
  <si>
    <t>VIAS EL TAMBO - SAN FELIPE, PANAMERICANA - CARLO SAMA, CUMBAL - LA HORTIGA, VIA AL NEVADO KM 4. REPORTE DEL CREPAD.</t>
  </si>
  <si>
    <t>VEREDA MORALES. REPORTE DEL CREPAD.</t>
  </si>
  <si>
    <t>CERRO ALTO DE CUPIDO, REPORTE DE SOCORRO NACIONAL EN EVALUACION.</t>
  </si>
  <si>
    <t>MARIPI</t>
  </si>
  <si>
    <t xml:space="preserve"> PUENTE AVERIADO SOBRE LA QUEBRADA LA LOCHA. REPORTE DEL CREPAD.</t>
  </si>
  <si>
    <t>DESBORDAMIENTO RIOS LA VEGA Y EL JORDAN  SECTORES POZO DONATO, MANZANARES. REPORTE DEL CREPAD. PENDIENTE AFECTACION.</t>
  </si>
  <si>
    <t>DESBORDAMIENTO RIO PUTUMAYO CORREGIMIENTOS DE PUERTO ARICA, CHORRERA Y PUERTO ALEGRIA. Y RIO AMAZONAS EN LA ZONA URBANA DE LETICIA. REPORTE DEL CREPAD.</t>
  </si>
  <si>
    <t>DESBORDAMIENTO RIO UPIA. AFECTANDO LAS VEREDAS PUERTO NUEVO, CAÑO BLANCO, PALMICHAL, PLANADAS, CAÑO BARROSO, AGUAS CALIENTES, JOAQUI, REPORTE DEL CREPAD.</t>
  </si>
  <si>
    <t>VEREDA LA HERRADURA. REPORTE DEL CREPAD. VIA ARGELIA - ANSERMANUEVO. R</t>
  </si>
  <si>
    <t>YOTOCO</t>
  </si>
  <si>
    <t>DESBORDAMIENTO RIO RISARALDA. VEREDA LA MARIA, REPORTE DEL CREPAD.</t>
  </si>
  <si>
    <t>VEREDA EL TAMBO. REPORTE DEL CREPAD.</t>
  </si>
  <si>
    <t>BARRIOS CAMPO ALEGRA Y GRANJAS. REPORTE DEL CREPAD.</t>
  </si>
  <si>
    <t>MARQUETALIA</t>
  </si>
  <si>
    <t>BARRIOS SAN CAYETANO. VILLANUEVA.. REPORTE DEL CREPAD.</t>
  </si>
  <si>
    <t>CRECIENTE RIO CAUCA. VEREDA LA FELISA. REPORTE DEL CREPAD.</t>
  </si>
  <si>
    <t>SUPIA</t>
  </si>
  <si>
    <t>VEREDA SAN FRANCISCO. REPORTE DEL CREPAD.</t>
  </si>
  <si>
    <t>JAMBALO</t>
  </si>
  <si>
    <t>ACCIDENTE DE BUS ESCALERA. REPROTE DEL CREPAD.</t>
  </si>
  <si>
    <t>MARULANDA</t>
  </si>
  <si>
    <t>CORREGIMIENTO MONTE BONITO. REPORTE DEL CREPAD.</t>
  </si>
  <si>
    <t>DESBORDAMIENTO RIO MAGDALENA SECTORES PUERTO CAPULCO, EL CONTENTO, PUERTO MOSQUITO, PALENQUILLO, PUERTO VIEJO, CASCAJAL. REPORTE DEL CREPAD.REPORTE DE LA DEFENSA CIVIL</t>
  </si>
  <si>
    <t>EVREDA PALMARITO REPROTE DEL CREPAD. AFECTADO EL TUBO DEL OLEODUCTO EL CUAL VERTIO 400 BARRILES DE CRUDO.</t>
  </si>
  <si>
    <t>RECURSOS EJECUTADOS</t>
  </si>
  <si>
    <t>DESBORDAMIENTO RIO MAGDALENA BOCAS DE SAN ANTONIO.</t>
  </si>
  <si>
    <t>SOLICITUD DE 80.000 SACOS EN CORMAGDALENA BARRANCABERMEJA.</t>
  </si>
  <si>
    <t>SE APOYA A TRAVES DEL CREPAD.</t>
  </si>
  <si>
    <t>APOYADO CON 70.000 SACOS.</t>
  </si>
  <si>
    <t>APOYADO CON 20000 SACOS.</t>
  </si>
  <si>
    <t>SECTORES PUERTO NIÑO, PUERTO SERVIEZ, BARRIOS CHAMBACU, BRISAS BAJO Y ALTO, CARACOLI, VILLA DEL RIO. REPORTE DEL CREPAD.</t>
  </si>
  <si>
    <t>SECTORES GUAMO, PARAMO, SIGUIQUE, GAQUE, OVEJERAS, PIEDRA LARGA REPORTE DEL CREPAD.</t>
  </si>
  <si>
    <t>LA UVITA</t>
  </si>
  <si>
    <t>VARIOS SECTORES. REPORTE DEL CREPAD.</t>
  </si>
  <si>
    <t>CHITA</t>
  </si>
  <si>
    <t>PENSILVANIA</t>
  </si>
  <si>
    <t xml:space="preserve">VEREDA LA LINDA. REPORTE DEL CREPAD, DEFENSA CIVIL, CRUZ ROJA. MINPROTECCION </t>
  </si>
  <si>
    <t>SECTOR HIMALAYA. REPORTE DEL CREPAD.</t>
  </si>
  <si>
    <t>19887
22705
42011
23555</t>
  </si>
  <si>
    <t>306
307
21045
23551
23555</t>
  </si>
  <si>
    <t>SE APOYA COMO COMPROMISO DE LA DGR PARA LA ATENCION DE LA EMERGENCIA.</t>
  </si>
  <si>
    <t>SABANAGRANDE</t>
  </si>
  <si>
    <t>MOÑITOS</t>
  </si>
  <si>
    <t>APOYO PARA LOS MUNICIPIOS DE ARAUCA, ARAUQUITA, SARAVENA, TAME, CRAVO NORTE, PUERTO RENDON.</t>
  </si>
  <si>
    <t xml:space="preserve">SE APOYO A TRAVES DEL CREPAD </t>
  </si>
  <si>
    <t>SE APOYA TENIENDO EN CUENTA LA MAGNITUD DE LA EMERGENCIA E EL DEPARAMENTO</t>
  </si>
  <si>
    <t>SE APOYA DE MANERA COMPLEMENTARIA A LOS ESFUERZOS LOCALES Y REGIONAL</t>
  </si>
  <si>
    <t>APOYO CON SACOS DE POPIPROPILENO</t>
  </si>
  <si>
    <t>SER APOYA A TRAVES DEL CREPAD</t>
  </si>
  <si>
    <t>SE APOYA TENIENDO EN CUENTA LA MAGNITUD DE LA EMERGNEICA</t>
  </si>
  <si>
    <t>SE APOYA A LAS FAMILIAS AFECTADAS A  TRAVES DE LA FUNDACION OBRA SOCIAL UNIDA EN LOS DEPARTAMENTOS DE ANTIOQUIA, VALLE, CAQUETA , BOLIVAR Y CAUCA</t>
  </si>
  <si>
    <t>289
20195
20203</t>
  </si>
  <si>
    <t>307
20213</t>
  </si>
  <si>
    <t>ZONA URBANA Y VEREDAS MORAL - EL TORO, NARANJO, GUAYABETAL, CORREGIMIENTO EL VALLE, BARRANCAS, TAQUE HELECHALES. REPORTE EL CREPAD. SOLICITAN APOYO PERO NO ENVIAN CENSOS NI AVAL.</t>
  </si>
  <si>
    <t>ENVIAN SOLICITUD DE APOYO EN EL MES DE SEPTIEMBRE. EN EVALUACION TENIENDO EN CUENTA QUE LA SOLICITUD ES EXTEMPORANEA.</t>
  </si>
  <si>
    <t>CORREGIMIENTO CARMELO, DEASBORDAMIENTO RIOS CARMELIT0, PURETO, MUERTO, PIÑA. REPORTE DEL CLOPAD Y CREPAD.</t>
  </si>
  <si>
    <t>BARRIO RODELO, DON BOSCO 2 Y 3 SAN FELIPE, NUEVO COLOMBIA Y COLEGIO FE Y ALEGRIA. REPORTE DE LA DEFENSA CIVIL.</t>
  </si>
  <si>
    <t>CRECIENTE RIO LA MIEL. VEREDA ATARRAYA Y LA HABANA.  REPORTE DEL CREPAD.</t>
  </si>
  <si>
    <t>CRECIENTE RIO LA MIEL, COREGIMIENTO SAN MIGUEL, REPORTE DEL CREPAD.</t>
  </si>
  <si>
    <t>REPRESAMIENTO RIO ZULIA. PUERTO ELON, PUERTO VILLAMIZAR Y AGUA CLARA. REPROTE DEL CREPAD</t>
  </si>
  <si>
    <t>COLAPSO DE PLACA EN EL TUNEL.</t>
  </si>
  <si>
    <t>AFECTDAO UN JARDIN INFANTL, EL COLISEO DEL CAFÉ, UN CENTRO COMERCIAL Y UN CASINO. REPORTE EL CLOPAD.</t>
  </si>
  <si>
    <t>REPRESAMIENTO DE LOS RIOS ZULIA, PAMPLONITA Y BRITA REPORTE DEL CREPAD.Y DEFENSA CIVIL.</t>
  </si>
  <si>
    <t>ASENTAMIENTO VOCES DE ESPERANZA. REPORTE DEL CRPAD.</t>
  </si>
  <si>
    <t>COMUNA 14, BUENAVISTA, MIRAFLORES Y ALBANIA. REPORTE DEL CLOPAD</t>
  </si>
  <si>
    <t>VEREDA SANTA ROSA. REPORTE DEL CREPAD.</t>
  </si>
  <si>
    <t>PERDIDA DE CULTIVOS Y AVES DE CORRAL.</t>
  </si>
  <si>
    <t>DESBORDAMEITNO RIO ZULIA. REPORTE DEL CREPAD.</t>
  </si>
  <si>
    <t>SOLICITUD DE 500 RACIONES DE CAMPAÑA  Y 1000 SOBRE HIDRATANTES PARA APOYAR LAS LABORES DE CONTROL DE INCENDIOS FORESTALES REALIZADA POR PARQUES NACIONALES NATURALES</t>
  </si>
  <si>
    <t>16
30</t>
  </si>
  <si>
    <t>CORDOBA</t>
  </si>
  <si>
    <t>DESBORDAMIENTO RIO LA VEGA. BARRIOS DOÑA LIMBANIA, LA MARIA, POZO DE DONATO, LAS QUINTAS, AVENIDA NORTE, AVENIDA UNIVERSITARIA, AVENIDA OLIMPICA. REPORTE DEL CLOPAD.</t>
  </si>
  <si>
    <t>CORREGIMIENTOS SANTIAGO APOSTOL Y LA VENTURA. REPORTE DEL CLOPAD Y CREPAD.</t>
  </si>
  <si>
    <t>927 teja ruralit no. 8</t>
  </si>
  <si>
    <t>REPORTE DE LA ALCALDIA Y EL MAVDT. DESABASTECIMIENTO DE AGUA. RACIONAMIENTO POR DESECACIO DE FUENTES ABASTECEDORAS.. SE ESTA ABASTECIENDO CON DOS POZOS EN OPERACIÓN.</t>
  </si>
  <si>
    <t>ESTUFAS</t>
  </si>
  <si>
    <t>VIAS</t>
  </si>
  <si>
    <t>MERCADOS</t>
  </si>
  <si>
    <t>HAMACAS</t>
  </si>
  <si>
    <t>CEPILLO NIÑO</t>
  </si>
  <si>
    <t>CINTA EMPALMAR</t>
  </si>
  <si>
    <t>COBIJA</t>
  </si>
  <si>
    <t>COLCHONETA</t>
  </si>
  <si>
    <t>SISMO</t>
  </si>
  <si>
    <t>MUERTOS</t>
  </si>
  <si>
    <t>DEPTO</t>
  </si>
  <si>
    <t>TEJAS</t>
  </si>
  <si>
    <t>TRAMITE ANTE DGR</t>
  </si>
  <si>
    <t>SEGUIMIENTO Y CONTROL A LA EMERGENCIA</t>
  </si>
  <si>
    <t>CAUCA</t>
  </si>
  <si>
    <t>POPAYAN</t>
  </si>
  <si>
    <t>INCENDIO ESTRUCTURAL</t>
  </si>
  <si>
    <r>
      <t xml:space="preserve">DESBORDAMIENTO QUEBRADA LA PERDIZ. BARRIOS EL RAICERO Y SAN JUDAS BAJO.. REPORTE DE DEFENSA CIVIL. </t>
    </r>
    <r>
      <rPr>
        <b/>
        <sz val="9"/>
        <rFont val="Arial"/>
        <family val="2"/>
      </rPr>
      <t>EL VALOR DE OTROS CORRESPONDE A  2000 MTS DE CABLE CON ALMA DE ACERO DE 1 3/4, 200 BULTOS DE CEMENTO, 80 PERROS DE 1 1/2, 1200 ROLLOS DE MANGUERA DE 1/2, 300 ROLLOS DE MANGUERA DE 3/4.</t>
    </r>
  </si>
  <si>
    <t>DESBORDAMIENTO RIO CASANARE. VEREDA CASANARITO Y SARRADIO. REPORTE DE DEFENSA CIVIL</t>
  </si>
  <si>
    <t>DESBORDAMIENTO QUEBRADA  LA GARCIA.Y RIO BOCHELLI.  BARRIO LAS GRANJAS Y LOS ALPES. REPORTE DEL CREPAD.</t>
  </si>
  <si>
    <t>BARRIO SIGLO 20. REPORTE DEL CREPAD.,</t>
  </si>
  <si>
    <t>BARRIO EL TEMPLETE. REPORTE DEL CREPAD.</t>
  </si>
  <si>
    <t>APOYO GLOBAL PARA LOS TRES MUNICIPIOS.</t>
  </si>
  <si>
    <t>DESBORDAMIENTO QUEBRADA EL REVES</t>
  </si>
  <si>
    <t xml:space="preserve">SE APOYA TENIENDO EN CUENTA LA NECESIDAD DE FORTALECER LAS ENTIDADES OPERATIVAS FRENTE A LAS EMERGENCIAS QUE PUEDAN SUCEDER </t>
  </si>
  <si>
    <t>COMPROMISO DE LA DGR FRENTE A PROCESO DE RECUPERACIO</t>
  </si>
  <si>
    <t>APOYO DEL FNC MEDIANTE GIRO DIRECTO AL CLOPAD PARA APOYAR LA RECUPERACION DE LOS ACUEDUCTOS DE EL MANZANO, CERRO DAMIAN, LAS BRISAS, PURETO, SENDERITO, LAS BADEAS Y MATECAÑA. ($300.000.000).</t>
  </si>
  <si>
    <t>CUCUTA</t>
  </si>
  <si>
    <t>VILLA DEL ROSARIO</t>
  </si>
  <si>
    <t>LOS PATIOS</t>
  </si>
  <si>
    <t>VEREDA SARRAPIDO. REPORTE PRELIMINAR DE LA DEFENSA CIVIL.</t>
  </si>
  <si>
    <t>PERDIDA DE CULTIVOS DE PLATANPO Y CACAO-</t>
  </si>
  <si>
    <t>REPORTE DE LA DEFENSA CIVIL. BARRIOS ESPERANZA Y ESMERLDA. DESBORDAMIENTO RIO NABOYACO.-</t>
  </si>
  <si>
    <t>LEJANIAS</t>
  </si>
  <si>
    <t>SE APOYA TENINEDO EN CUENTA EL DESABASTECIMIENTO DE AGUA Y SEGÚN LO ACORDADO CON EL MAVDT</t>
  </si>
  <si>
    <t>SORACA</t>
  </si>
  <si>
    <t>TENZA</t>
  </si>
  <si>
    <t>SE PRESENTO EXPLOSION EN LA CALDERA DEL HOSPITAL FEDERICO LLERAS, FUE NECESARIA LA EVACUACION DEL HOSPITAL.. REPORTE DEL CREPAD VIA AVANTEL.</t>
  </si>
  <si>
    <t>POLICARPA</t>
  </si>
  <si>
    <t>TAMINANGO</t>
  </si>
  <si>
    <r>
      <t xml:space="preserve">MUNICIPIO CON RACIONAMIENTO DE AGUA Y/O DESABASTECIMIENTO POR PROBLEMAS DE SEQUIA DEBIDO AL FENOMENO DE EL NIÑO. REPORTE DEL MAVDT. ES NECESARIO APOYO TÉCNICO, EL CUAL SE PRESTARÁ POR PARTE DEL PDA.EL SNPAD GESTIONARÁ UNAS VEJIGAS PARA EL MUNICIPIO. SE PRACTICARÁ VISITA POR PARTE DEL GESTOR EL DÍA 4 DE FEBRERO PARA EVALUAR CON MÁS DETALLE LA SITUACIÓN. </t>
    </r>
    <r>
      <rPr>
        <b/>
        <sz val="9"/>
        <color indexed="8"/>
        <rFont val="Arial"/>
        <family val="2"/>
      </rPr>
      <t>EL 17 DE FEBRERO SE ENTREGA AL ALCALDE MUNICIPAL TANQUE 2.000 LT PARA DISTRIBUCIÓN PRESTADO POR MEDICOS SIN FRONTERAS POR DOS MESES. EL MUNICIPIO PRESENTARA PROYECTO PARA MANTENIMIENTO DE POZO.</t>
    </r>
  </si>
  <si>
    <t>DESBORDAMIENTO CAÑO SAN MATEO. BARRIOS LA VICTORIA, TIERRA SANTA, 24 DE NOVIEMBRE, DIVINO NIÑO, SAN MATEO, MONTELIBANO, LA FLORIDA, EL RETORNO, ORIENTE, DNIEL ALFONSO, LA RAYA, SAN CARLOS, VEREDAS LA BALSA Y PUENTE DE SAN JORGE.</t>
  </si>
  <si>
    <t>DESBORDAMIENTO CAÑO DE LOBOS. REPORTE DE LA DEFENSA CIVIL.</t>
  </si>
  <si>
    <t>BARRIO GERMAN HUERTA. INUNDACION POR FUERTES LLUVIAS. REPORTE DEL CREPAD.</t>
  </si>
  <si>
    <t>DESBORDAMIENTO RIO URICHARE. VEREDA EL ROSAL. REPORTE DEL CREPAD.</t>
  </si>
  <si>
    <t>MUZO</t>
  </si>
  <si>
    <t>SECTOR EL BASA. REPORTE DEL CREPAD.</t>
  </si>
  <si>
    <t>BARRIO EL BOSQUE. REPORTE EL CLOPAD.</t>
  </si>
  <si>
    <t>AFECTADA BOCATOMA DE LA VEREDA SANTA EMILIA. REPORTE DEL CREPAD.</t>
  </si>
  <si>
    <t>VEREDA SANDIA. REPORTE DEL CREPAD.</t>
  </si>
  <si>
    <t>DESBORDAMEINTO QUEBRADA SAN PEDRUNA. INSPECCION DE SAN PEDRO Y SAN PABLO. REPORTE DEL CREPAD.</t>
  </si>
  <si>
    <t>CORREGIMEINTO PALMITAS, VEREDA URQUITA. REPORTE DEL CREPAD.</t>
  </si>
  <si>
    <t>PERDIDA DE CULTIVOS DE YUCA, PLATANO MAIZ CACAO, GUADUA, FRUTALES</t>
  </si>
  <si>
    <r>
      <t>RIO CAPARROSAL VEREDA CAPÀRROSAL.  REPROTE DEL CREPAD.</t>
    </r>
    <r>
      <rPr>
        <b/>
        <sz val="9"/>
        <rFont val="Arial"/>
        <family val="2"/>
      </rPr>
      <t xml:space="preserve"> EL VALOR DE OTROS CORRESPONDE A LOS SIGUIENTES MATERIALES PARA LA CONSTRUCCION DE ALBERGUES: 200 TEJAS DE ZINC, 600 TABLAS, 150 PARALES, 25 CAJAS DE PUNTILLA, 6 SANITARIOS, Y 2 TANQUES.</t>
    </r>
  </si>
  <si>
    <t>20328
19932</t>
  </si>
  <si>
    <r>
      <t xml:space="preserve">MUNICIPIO CON RACIONAMIENTO DE AGUA Y/O DESABASTECIMIENTO POR PROBLEMAS DE SEQUI DEBIDO AL FENOMENO DE EL NIÑO. REPORTE DEL MAVDT. SE HACE CONTROL PERMANENTE CON LA CORPORACIÓN PARA EVITAR DAÑOS EN TUBERÍA.SE PUEDE COMPRAR AGUA EN BLOQUE DEL MUNICIPIO DE ALMEIDA, GESTIÓN QUE YA SE INICIÓ, ESTO EVITA DESABASTECIMIENTO, ASÍ COMO UN POSIBLE ABASTECIMIENTO CON CARROTANQUES DESDE LA REPRESA DE CHIVOR Y OBTENER EL PERMISO CORRESPONDIENTE. </t>
    </r>
    <r>
      <rPr>
        <b/>
        <sz val="10"/>
        <color indexed="8"/>
        <rFont val="Arial"/>
        <family val="2"/>
      </rPr>
      <t>SE REQUIERE IMPLEMENTACIÓN CAMPAÑAS DE AHORRO DE CONSUMO. SE EFECTUARÁ CONSULTA PERIÓDICA AL MUNICIPIO PARA VERIFICAR COMPORTAMIENTO DE LA FUENTE Y NECESIDADES DE APOYO. LA DGR APOYO CON 6 TONELADAS DE AGUA.</t>
    </r>
  </si>
  <si>
    <t>SUMINISTRO DE AGUA A TRAVES DE CARROTANQUE CON EL APOYO DEL NIVEL DEPARTAMENTAL-. APOYO DEL FNC MEDIANTE GIRO DIRECTO AL CLOPAD PARA ALQUILER DE DOS VOLQUETAS, INSTALACIONDE DOS TANQUES DE 5000 LITROS Y DOS FLAUTAS PARA DISTRIBUCION DEL LIQUIDO ($28.000.000).</t>
  </si>
  <si>
    <t>89
97
99</t>
  </si>
  <si>
    <r>
      <t xml:space="preserve">CORREGIMIENTOS EL PALMAR, LOS UVOS, SANTA RITA. </t>
    </r>
    <r>
      <rPr>
        <b/>
        <sz val="9"/>
        <rFont val="Arial"/>
        <family val="2"/>
      </rPr>
      <t>EL VALOR DE OTROS CORRESPONDE A 500 METROS DE TUBO DE PVC DE 1/2".</t>
    </r>
  </si>
  <si>
    <t>50
52
103</t>
  </si>
  <si>
    <t>INFORME DE INGEOMINAS, EVENTO DE 3.4 GRADOS CON PROFUNDIDAD DE 78,3 KMS, SIN CONSECUENCIAS EN PERSONAS O VIVIENDAS</t>
  </si>
  <si>
    <t>GUACAMAYO/CAPITANEJO/OIBA</t>
  </si>
  <si>
    <t>REPORTE DEL CREPAD. APOYO GLOBAL A TRAVES DEL DEPARAMENTO</t>
  </si>
  <si>
    <t>SE APOYA TENIENDO EN CUENTA LA TEMPORADA SECA Y LA AMENAZA DE INCENDIOS FORESTALES EN EL PAIS</t>
  </si>
  <si>
    <t>BARRIOS PUEBLITO, AMERICA, SANTODOMINGO, SAN MARTIN, 7 DE ABRIL, ESMERALDA, LA LUZ, LA CHINITA, DON BOSCO, LAS NIEVES, LOS ANGELES, BRISAS DEL RIO, ARBOLEDA, EL BOSQUE, MALVINAS, SAN NICOLAS, SIMON BOLIVAR, FERRI, GALAN, EVARISTO SURDIZ, LAS PALMAS, CUCHILLA DE VILLATE, LAS NIEVES, ALBORADA, CORDIALIDAD, REBOLLO, GIRASOLES, PINAR DEL RIO, LA PRADERA, EL GOLFO, JUAN MINA, ZONA INDUSTRIAL Y ZONA FRANCA. DESBORDAMIENTO DEL CAÑO LA AHUYAMA. REPORTE DEL CLOPAD.</t>
  </si>
  <si>
    <t>DESBORDAMIENTO RIO GUATIQUIA SECTOR VILLA SUAREZ,. REPORTE DE DEFENSA CIVIL.</t>
  </si>
  <si>
    <t>BARRIOS CUATA, LA PLAYITA, DOCE DE OCTUBRE, EL CEDRO, PROVIDENCIA, 18 DE MAYO CALLES 1,2 Y 3. PARQUE MUNICIPAL. DESBORDAMIENTO RIO MAGUI. REPORTE DEL CREPAD.</t>
  </si>
  <si>
    <t>PUERTO RONDON</t>
  </si>
  <si>
    <t>ARAUQUITA</t>
  </si>
  <si>
    <t>DESBORDAMIENTO RIO ARAUCA. REPORTE DE LA DEFENSA CIVIL</t>
  </si>
  <si>
    <t>SOGAMOSO</t>
  </si>
  <si>
    <t>INUNDACION POR FUERTES LLUVIAS.. REPORTE DE LA CRUZ ROJA.</t>
  </si>
  <si>
    <t>BARRIO SANTODOMINGO. REPORTE DEL CREPAD.</t>
  </si>
  <si>
    <t>CAJICA</t>
  </si>
  <si>
    <t>VEREDA LA CUMBRE. REPORTE DEL CREPAD.</t>
  </si>
  <si>
    <t>BERRIO SARISNEIS. REPORT E DE LA DEFENSA CIVIL</t>
  </si>
  <si>
    <t>SE APOYA EN SACOS COMO MEDIDA DE MITIGACION</t>
  </si>
  <si>
    <t>REPORTE DEL CREPAD. 1000 MERCADOS, 1000 ASEO, 1000 COCINA Y 1000 COLCHENETAS APOYO GLOBAL PARA LOS MUNICIPIOS DE SOLEDAD Y BARRANQUILLA.</t>
  </si>
  <si>
    <t>BARRIOS SAN RAFAEL 2, PUERTO LOPEZ, MEDIA LEGUA, PRIMERO DE JUNIO, EL TORNO, MONOSOLO. REPORTE DEL CLOPAD Y CREPAD.. APOYO DEL FNC EN ALIMENTOS</t>
  </si>
  <si>
    <t>CORREGIMIENTOS DE MACHETON, BAJO PUREZA, MONTERIA, CONCEPCION Y CORDOBA.. REPORTE DEL CLOPAD Y CREPAD. APOYO DEL FNC EN LAMINAS DE ZINC (1000)</t>
  </si>
  <si>
    <t>GUAPI</t>
  </si>
  <si>
    <t>SE APOYA TENIENDO EN CUENTA QUE EN LA MISMA TEMPORADA RESULTARON VARIOS MUNICIPIOS AFECTADOS EN EL DEPARTAMENTO DEL META, POR LO CUAL REQUIEREN DEL APOYO COMPLEMENTARIO DEL NIVEL NACIONAL.</t>
  </si>
  <si>
    <t>MUNICIPIO CON RACIONAMIENTO DE AGUA Y/O DESABASTECIMIENTO POR PROBLEMAS DE SEQUI DEBIDO AL FENOMENO DE EL NIÑO. REPORTE DEL MAVDT. SE PRESENTARÁ EL PRESUPUESTO AJUSTADO Y LAS CARACTERÍSTICAS DE LA TUBERÍA PARA EJECUTAR LA OBRA EN EL MARCO DEL PDA. PROBLEMAS DE RACIONAMIENTO EN LA ZONA RURAL EL SERVICIO SE PRESTA SEIS HORAS CADA DOS DIAS. REPORTE DEL MAVDT. DESABASTECIMIENTO DE AGUA SE IDENTIFICO COMO SLUCION INCORPORAR EL ACUEDUCTO URBANO CON EL INTERVEREDAL. EL PROYECTO SE PRESENTARA PARA APOYO A TRAVES DEL PDA PLAN DEPARTAMENTAL DE AGUAS.</t>
  </si>
  <si>
    <t>CORREGIMIENTO SAN ANTONIO. COLAPSO DE MINA DE CARBON. REPORTE DEL CREPAD.</t>
  </si>
  <si>
    <t>CORREGIMIENTO LA BOQUILLA SECTORES MARLINDA Y VILLAGLORIA. REPORTE DEL CRC. PENDIENTE POR EVALUACION.</t>
  </si>
  <si>
    <t>CURUMANI</t>
  </si>
  <si>
    <t>DESBORDAMIENTO RIO GUATAPURI. VEREDA CAMPANITAL Y CORREGIMIETNO AGUA BLANCA. REPORTE DEL CLOPAD. AFECTACION POR FUERTES LLUVIAS AFECTADO CASCO URBANO Y CORREGIMEINTOS DE BADILLO, VALENCIA DE JESUS VILLA GERMANIA, EL CIELO, LA MINA, CARACOLI, LA CASITA, MARIANGOLA, CAMPERUCHO, MONTEALEGRE, LOS VENADOS GUAYMARAL, SABANITAS, LOS CALABAZOS, LA VEGACAMPANITAL, PATILLAL, CHINGATA.</t>
  </si>
  <si>
    <t>DESBORDAMIENTO QUEBRADA EL PALO, REPORTE DE LA DEFENSA CIVIL</t>
  </si>
  <si>
    <t>DESBORDAMIENTO RIO NECHI Y PORCE</t>
  </si>
  <si>
    <t>DESBORDAMIENTO QUEBRADA LA OCA, Y JUAN VERA.  RIO NECHI,  REPORTE DEL CLOPAD. SE REMITE AL CREPAD PARA REVISAR SITUACION Y AVALAR SOLICITUD.</t>
  </si>
  <si>
    <t>BARBOSA</t>
  </si>
  <si>
    <t>CEPITA</t>
  </si>
  <si>
    <t>CONCEPCION</t>
  </si>
  <si>
    <t>COROMORO</t>
  </si>
  <si>
    <t>REPROTE PRELIMINAR DEL CREPAD VIA EMAIL.</t>
  </si>
  <si>
    <t>CANALETE</t>
  </si>
  <si>
    <t>REPORTAN AFECTACION EN VIAS.  APOYO DEL FNC MEDIANE GIRO DIRECTO AL CLOPAD PARA LA REHABILITACION DE LA VIA SINCE-GRANADA-BUENAVISTA.</t>
  </si>
  <si>
    <t>VEREDA LA FERRERIA. REPORTE DEL CREPAD</t>
  </si>
  <si>
    <t>DESBORDAMIENTO RIO MAGDALENA CORREGIMIENTO SAN AGUSTIN. REPORTE DE LA DEFENSA CIVIL</t>
  </si>
  <si>
    <t>SOCHA</t>
  </si>
  <si>
    <t>REPORTE DEL CREPAD. SITIO EL ALJIBE.</t>
  </si>
  <si>
    <t>VEREDA PANTANOGRANDE, LA VEREDA SE ENCUENTRA INCOMUNICADA. AFECTADA VIA SAN GIL SOCORRO.  REPORTE DEL CREPAD. Y CLOPAD</t>
  </si>
  <si>
    <t xml:space="preserve">EXPENDIO DE GASOLINA. REPORTE DE LA EDFENSA CIVIL. </t>
  </si>
  <si>
    <t>REPROTE DEL CREPAD. BARRIO CENTRO.</t>
  </si>
  <si>
    <t>TASCO</t>
  </si>
  <si>
    <t>COLAPSO MINA DE CARBON. REPORTE DEL CREPAD.</t>
  </si>
  <si>
    <t>BARRIO LOS ROBLES. REPORTE DE LA DEFENSA CIVIL.</t>
  </si>
  <si>
    <t>DESBORDAMIENTO QUEBRADA CHACUA. BARRIO PABLO NERUDA Y VEREDA CHACUA. REPORTE DEL CREPAD.</t>
  </si>
  <si>
    <t>SECTOR URBANO. REPORTE DEL SOCORRO NACIONAL.</t>
  </si>
  <si>
    <t>SANTA MARTA</t>
  </si>
  <si>
    <t>BARRIO MARIA CECILIA, REPORTE DEL CREPAD.</t>
  </si>
  <si>
    <t>AFECATADA VIA VILLA RESTREPO - JUNTAS-. EVACUADAS 60 FAMILIAS POR PREVENCION. VEREDA EL RESBALON. REPORTE DEL CLOPAD.</t>
  </si>
  <si>
    <t>BARRIOS EL SILO, EL CARDAL, LLANO GRANDE, LA DESPENSA, LEON XIII, SAN MATEO, CIUDAD SUCRE, TERRA GRANDE, FLORIDA 1 Y 2, ISIS, RINCON Y EL PORTAL, EUGENIO DIAZ, PANAMA, ALTOS DE PINO,. VILLA MERCEDES, LA UNION, EL PROGRESO, OLIVARES. DESBORDAMIENTO RIO SOACHA Y QUEBRADA TIBANICA.</t>
  </si>
  <si>
    <t>USIACURI</t>
  </si>
  <si>
    <t>BARRIO LA ARBOLEDA Y ALQUERIA CASA NO. 27. REPORTE DEL CLOPAD.</t>
  </si>
  <si>
    <t xml:space="preserve">DESBORDAMIENTO RIO GAVIOTA.  VEREDA GAVIOTA. AFECTADA VIA GAVIOTA - GAVIOTA ALTA. REPORTE DEL CREPAD. </t>
  </si>
  <si>
    <t>BARRIOS EL ALTO, VILLA CONSUELO, MARIA AUXILIADORA, DANUBIO, SANTA BARBARA, MATADERO, PESCADOR, CENTRO. VEREDAS HINCHE, IMURCA, ALPUJARRA, LA ENFADOSA, EL ELEGIDO, LA LAGUNA, TENERIFE, SARRAPURA, TANCURIN, LA APUESTA Y CASTILLO. REPORTE DEL CLOPAD Y CREPAD.</t>
  </si>
  <si>
    <t>PUERTO PARRA</t>
  </si>
  <si>
    <t xml:space="preserve">BARRIOS CENTRO, LA CUMBRE, KENNEDY Y FERROCARRIL. REPORTE DE DEFENSA CIVIL </t>
  </si>
  <si>
    <t>TAMESIS</t>
  </si>
  <si>
    <t>PUENTE VEHICULAR SOBRE LOS CAÑOS TOCUY Y SARAPIEL. INCOMUNICADAS LAS VEREDAS SAN ISIDRO, ALTO DE LAS FLORES, AQUITANIA NORTE Y SUR, 1000 FAMILAS INCOMUNICADAS. REPORTE DEL CRREPAD Y LA DEFENSA CIVIL.</t>
  </si>
  <si>
    <t>SAN JACINTO DEL CAUCA</t>
  </si>
  <si>
    <t>CORREGIMIENTO DE SAN ANTONIO DEL PANCHO. COMUNIDAD CHIVOLO. REPORTE DEL CREPAD.</t>
  </si>
  <si>
    <t>248 TEJAS DE AC NO. 6, 8 TEJAS DE AC NO. 8, 127 TEJAS DE ZINC Y 1786 AMARRES.</t>
  </si>
  <si>
    <t>570 TEJAS DE ZINC Y 4275 AMARRES</t>
  </si>
  <si>
    <t>520 TEJAS DE ZINC, 275 DE AC NO. 6 Y 3915 AMARRES</t>
  </si>
  <si>
    <t>SE APOYA TENIENDO EN CUENTA LA MAGNITUD DE LA EMERGENCIA</t>
  </si>
  <si>
    <r>
      <t xml:space="preserve">MUNICIPIO CON RACIONAMIENTO DE AGUA Y/O DESABASTECIMIENTO POR PROBLEMAS DE SEQUIA DEBIDO AL FENOMENO DE EL NIÑO. REPORTE DEL MAVDT. EL SISTEMA ANTERIOR FUE ABANDONADO Y </t>
    </r>
    <r>
      <rPr>
        <b/>
        <sz val="10"/>
        <color indexed="8"/>
        <rFont val="Arial"/>
        <family val="2"/>
      </rPr>
      <t xml:space="preserve">ACTUALMENTE SE ESTÁ DESARROLLANDO UN PROYECTO PARA TRAER AGUA TRATADA DESDE LA PLANTA DE PERICO DE SAN JUAN NEPOMUCENO PARA DE ESTA MANERA CONSTITUIR UN SISTEMA REGIONAL. </t>
    </r>
    <r>
      <rPr>
        <sz val="9"/>
        <color indexed="8"/>
        <rFont val="Arial"/>
        <family val="2"/>
      </rPr>
      <t>ESTE NUEVO SISTEMA SOLO APROVECHARÍA LA ACTUAL CONDUCCIÓN DESDE LA PLANTA DE REGENERACIÓN HASTA LOS TANQUES DE ALMACENAMIENTO DE SAN JACINTO.</t>
    </r>
  </si>
  <si>
    <r>
      <t xml:space="preserve">MUNICIPIO CON RACIONAMIENTO DE AGUA Y/O DESABASTECIMIENTO POR PROBLEMAS DE SEQUIA DEBIDO AL FENOMENO DE EL NIÑO. REPORTE DEL MAVDT.  </t>
    </r>
    <r>
      <rPr>
        <b/>
        <sz val="10"/>
        <color indexed="8"/>
        <rFont val="Arial"/>
        <family val="2"/>
      </rPr>
      <t>SE ESTÁ ABASTECIENDO A TRAVÉS DE CARROTANQUES CON EL APOYO DE LA GOBERNACIÓN.</t>
    </r>
    <r>
      <rPr>
        <sz val="9"/>
        <color indexed="8"/>
        <rFont val="Arial"/>
        <family val="2"/>
      </rPr>
      <t xml:space="preserve"> LA SOLUCIÓN PLANTEADA INCLUYE ACCIONES DE DRAGADO.. LA GOBERNACION DECLARO URGENCIA MANIFIESTA POR EL FENOMENO DE EL NIÑO.MEDIANTE RESOLUCION 005 DEL 18 DE ENERO DE 2010</t>
    </r>
  </si>
  <si>
    <r>
      <t>MUNICIPIO CON RACIONAMIENTO DE AGUA Y/O DESABASTECIMIENTO POR PROBLEMAS DE SEQUIA DEBIDO AL FENOMENO DE EL NIÑO. REPORTE DEL MAVDT.</t>
    </r>
    <r>
      <rPr>
        <b/>
        <sz val="9"/>
        <color indexed="8"/>
        <rFont val="Arial"/>
        <family val="2"/>
      </rPr>
      <t xml:space="preserve"> SE ESTA SUMINISTRANDO 2 HORAS/DIA POR SECTORES.SE ESTAN EMPLEANDO CARROTANQUES PARA CABECERA.EN 2 VEREDAS DE LA ZONA RURAL SE ESTAN LLEVANDO TANQUES EN CAMIONES POR PARTE DEL MUNICIPIO. NO HAY SOLICITUD CONCRETA DE APOYO DEL NIVEL NACIONAL MALAGA TIENE PENDIENTE RECURSOS POR LEGALIZAR.</t>
    </r>
  </si>
  <si>
    <t>INFORME DE INGEOMINAS, EVENTO DE 3,1 GRADOS CON PROFUNDIDAD SUPERFICIAL A 27.3 KMS DE LA CABECERA DE GUAPI, SIN CONSECUENCIAS</t>
  </si>
  <si>
    <t>MAGDALENA</t>
  </si>
  <si>
    <t>EL BANCO</t>
  </si>
  <si>
    <r>
      <t>MUNICIPIO CON RACIONAMIENTO DE AGUA Y/O DESABASTECIMIENTO POR PROBLEMAS DE SEQUI DEBIDO AL FENOMENO DE EL NIÑO. REPORTE DEL MAVDT.</t>
    </r>
    <r>
      <rPr>
        <b/>
        <sz val="9"/>
        <color indexed="8"/>
        <rFont val="Arial"/>
        <family val="2"/>
      </rPr>
      <t xml:space="preserve"> LA QUEBRADA CORALES NO ES UNA FUENTE PERMANENTE DE SUMINISTRO, SE TOMÓ COMO PLAN DE CONTINGENCIA</t>
    </r>
  </si>
  <si>
    <t>PERDIDA DE CULTIVOS Y ENSERES</t>
  </si>
  <si>
    <t>DESBORDAMIENTO RIO TIMBA Y QUEBRADA QUINAMAYU. REPORTE DEL CREPAD.</t>
  </si>
  <si>
    <t>EL PEÑON</t>
  </si>
  <si>
    <t>ZAMBRANO</t>
  </si>
  <si>
    <t>SAN FERNANDO</t>
  </si>
  <si>
    <t>QUEBRADA SANTA LUCIA. VEREDA CECILIA, VALVULA Y CORREGIMIENTO ASERRIO SECTOR LA BATEA. REPORTE DEL CREPAD.</t>
  </si>
  <si>
    <t>CONVENCION</t>
  </si>
  <si>
    <t>AVALANCHA QUEBRADA CULEBRITAS. CORREGIMIENTO GUAMAL VEREDA CULEBRITAS. AFECTADA LA VIA CONVENCION - CULEBRITAS Y VIA CONVENCION - GUAMAL. REPORTE DEL CREPAD.</t>
  </si>
  <si>
    <t>COVEÑAS</t>
  </si>
  <si>
    <t>AFECTADAS  18 MOTOCICLETAS Y 5 VEHICULOS</t>
  </si>
  <si>
    <t>NOBSA/FIRAVITOVA/ PAIPA/PUERTO BOYACA</t>
  </si>
  <si>
    <t>SE APOYA TENIENDO EN CUETNA LA MAGNITUD DE LA EMERGENCIA</t>
  </si>
  <si>
    <t>224
227
233</t>
  </si>
  <si>
    <t>VEREDA LA SELVA REPORTE DEL CREPAD.</t>
  </si>
  <si>
    <t>GUATICA</t>
  </si>
  <si>
    <t xml:space="preserve">VEREDAS MURRAPAL, LAS LOMAS, CORREGIMIENTO SANTA ANA, VEREDA BOLIVAR, BARRIO BERLIN VEREDA MILAS, CORREGIMIENTO SAN CLEMENTE, VEREDA OSPIRMA BAJA, </t>
  </si>
  <si>
    <t>AFECTACION EN CULTIVOS.</t>
  </si>
  <si>
    <t>BARRIO LOS NARANJOS, REPORTE DEL CREPAD.</t>
  </si>
  <si>
    <t>VEREDA CAIMAL</t>
  </si>
  <si>
    <t>DESBORDAMIENTO CIENAGA PUERTO FRANCO.REPORTE DEL CREPAD.</t>
  </si>
  <si>
    <t>SISMO DE 5.4 DE MAGNITUD, PROFUNDIDAD SUPERFICIAL 4 KM UBICADO EN ORTEGA TOLIMA. AGRIETAMIENTO DE LA IGLESIA SANTA ANA, LA PLAZA DE MERCADO, EL PARQUE, LA ALCALDIA Y LA CASA DE LA CULTURA Y EL PALACIO DE JUSTICIA.</t>
  </si>
  <si>
    <t>SAN ZENON</t>
  </si>
  <si>
    <t>SANTA ANA</t>
  </si>
  <si>
    <t xml:space="preserve">INCOMUNICADA LA COMUNIDAD DEL BARRIO EL TIGRE CON LOS BARRIOS CANTAGALLO, RABOLARGO GARDENIAS. </t>
  </si>
  <si>
    <t>BARRIO HORIZONTE SECTOR LA ESPERANZA. REPORTE DE LA DEFENSA CIVIL.</t>
  </si>
  <si>
    <t>JUAN DE ACOSTA</t>
  </si>
  <si>
    <t>CRECIENTE SUBITA DEL RIO FRIO. CORREGIMIENTOS DE GUACAMAYAL, SEVILLA Y CASERIO CARITAL.  VEREDAS EL PUYO, EL MAMON, LA BARCA, LA ESTACION, PRADITO, 116 DE JULIO, LA BALSA, MACONDO, CAÑO MOCHO. REPORTE DEL CREPAD Y DEFENSA CIVIL.- DESBORDAMIENTO RIO MANZANARES. BARRIOS FUNDADORES, SIMON BOLIVAR, GALAN, Y BASTIDAS. REPORTE DEL CLOPAD, CREPAD Y DEFENSA CIVIL</t>
  </si>
  <si>
    <t>CABECERA MUNICIPAL CORREGIMIENTO SAN SEBASTIAN DEL BONGO. Y VEREDAS PUNTO FIJO, BONGO, HONDURAS, PARATE BIEN Y LA COLOMBIA</t>
  </si>
  <si>
    <t>SABANAS DE SAN ANGEL</t>
  </si>
  <si>
    <t>AFECTACION EN CORREGIMIENTOPS DE SAN ROQUE, CESPEDES, FLORES DE AMRIA, MONTRUBIO. REPORTE DEL CREPAD.</t>
  </si>
  <si>
    <t>DESBORDAMEITNO QUEBRADA LA CHINIHUICA. CORREGIMIENTO LA CHINA. EN EVALUACION DE LA SITUACION REPORTE DE LA DEFENSA CIVIL.</t>
  </si>
  <si>
    <t>AFECTACION EN TODO EL MUNICIPIO. REPORTE DEL CREPAD.</t>
  </si>
  <si>
    <t>SE APOYA TWEMIENDO EN CUETNA LA MAGNITUD DE LA EMERGENCIA</t>
  </si>
  <si>
    <t>DESBORDAMIENTO RIO CAUCA. SECTOR PUNTABRAVA, REPORTE DEL CREPAD. AFECTACION VIAS EL DORADO - MUÑECOS, CALIMITA - EL JARDIN, PLAS DE LAS VACAS - EL JARDIN, JIGUALES EL JARDIN - PALO NEGRO, JARDIN - CANEY - LA COLONIA - SAN JUAN ALTO, MIRAVALLE - LA RIVIERA - EL BOSQUE, IRAVALLE - RAYITO - LA NEGRA, MIRAVALLE - EL DELIRIO, MEDIACANOAS - LAS DELICIAS MEDIACANOA - LOS CHORROS.</t>
  </si>
  <si>
    <t>GIRO DIRECTO AL CREPAD PARA APOYAR LA RECONSTRUCCION DE 16 VIVIENDAS DE LA COMUNIDAD EMBERA KATIA DEL RESGUARDO JAIDEZABI LAS CUALES SE DESTRUYERON POR LA AVALNACHA DEL 19 DE MAYO DE 2007.</t>
  </si>
  <si>
    <t>ZAPAYAN</t>
  </si>
  <si>
    <t>EL PIÑON</t>
  </si>
  <si>
    <t>PIVIJAY</t>
  </si>
  <si>
    <t>SANTA BARBARA DE PINTO</t>
  </si>
  <si>
    <t xml:space="preserve">CABECERA MUNICIPAL, CORREGIMIENTOS DE CARRETAL, SAN PEDRO Y VELADERO. </t>
  </si>
  <si>
    <t>PIJIÑO DEL CARMEN</t>
  </si>
  <si>
    <t>TENERIFE</t>
  </si>
  <si>
    <t>EL RETEN</t>
  </si>
  <si>
    <t>GUAMAL</t>
  </si>
  <si>
    <t>PEDRAZA</t>
  </si>
  <si>
    <t>221
224
238</t>
  </si>
  <si>
    <t>REPORTE DEL CLOPAD Y CREPAD</t>
  </si>
  <si>
    <t>CIENAGA</t>
  </si>
  <si>
    <t>MAICAO/VILLANUEVA/URIBIA/FONSECA/ALBANIA/RIOHACHA</t>
  </si>
  <si>
    <t>SE APOYA TENIENDO EN CUENTA LA SITUACION DEL DEPARTAMENTO</t>
  </si>
  <si>
    <t>APOYO GLOBAL PARA LOS SEIS MUNICIPIOS.</t>
  </si>
  <si>
    <t>GALAN</t>
  </si>
  <si>
    <t>PALMAS DEL SOCORRO</t>
  </si>
  <si>
    <t>SECTOR DE CALLEJAS, VEREDAS TWIS TWIS, EL BANQUITO, NUEVO CALI, MAZAMORRA, REPORTE DE LA DEFENSA CIVIL.</t>
  </si>
  <si>
    <t>BARRIO NUEVO. REPORTE DEL CREPAD.</t>
  </si>
  <si>
    <t>REPORTE DE MINPROTECION SOCICIAL.</t>
  </si>
  <si>
    <t>MINA DE CARBON. REPORTE DE LA CRUZ ROJA.</t>
  </si>
  <si>
    <t>MOCOA</t>
  </si>
  <si>
    <t>ZONA URBANA Y VEREDA CONDAGUA. REPORTE DE LA DEFENSA CIVIL.</t>
  </si>
  <si>
    <t>URRAO</t>
  </si>
  <si>
    <t>REPORTE DEL CREPAD. ZONA RURAL.</t>
  </si>
  <si>
    <t>PERDIDA E ANIMALES</t>
  </si>
  <si>
    <t>REPROTE DEL CREPAD.</t>
  </si>
  <si>
    <t>NORTE DE CARTAGENA VIA A BARRANQUILLA. BARRIOS FREDONIA, PALMERAS OLAYA, SECTOR LA MAGDALENA. DESBORDAMIENTO CAÑO FREDONIA.  REPORTE DEL CLOPAD</t>
  </si>
  <si>
    <t>DESBORDAMIETNO ARROYO CATAMALA. BARRIO LOS PARTIOS. REPORTE DE LA DEFENSA CIVIL.</t>
  </si>
  <si>
    <t>BARRIO MORAVIA. REPORTE DEL CREPAD.</t>
  </si>
  <si>
    <t>CRECIENTE SUBITA RIO BAUDO SECTOR PLAYA DE LOS MICOS. REPORTE DE LA DEFENSA CIVIL.</t>
  </si>
  <si>
    <t>213
231
246</t>
  </si>
  <si>
    <r>
      <t xml:space="preserve">DEBORDAMIENTO QUEBRADA MARIA RAMOS.. CUATRO  BARRIOS. REPORTE DEL CREPAD. </t>
    </r>
    <r>
      <rPr>
        <b/>
        <sz val="9"/>
        <rFont val="Arial"/>
        <family val="2"/>
      </rPr>
      <t>EL VALOR DE OTROS COPRRESPONDE A MOTOBOMBA DE 10 PULGADAS MONTADA SOBRE TRAILER</t>
    </r>
  </si>
  <si>
    <t>233
232
249</t>
  </si>
  <si>
    <t>DESBORDAMIENTO DE ARROYOS. REPORTE DE CRUZ ROJA.</t>
  </si>
  <si>
    <t xml:space="preserve">AVALANCHA RIO LA ANASTASIA Y RIO ARGELIA. </t>
  </si>
  <si>
    <t>SE TRATA DE UN DESLIZAMIENTO PUNTUAL EN LA VIAS</t>
  </si>
  <si>
    <t>VIA SAN BERNAR DE BATA - SAN LUIS CHUCARIMA.. REPORTE DEL CLOPAD Y CREPAD.</t>
  </si>
  <si>
    <t>BARRIOS EL PARAISO, SAN PEDRO, EL RECREO, VILLA LAYDY, EL TALON, LA LINEA Y URBANIZACION SANTA CATLINA. REPORTE DE LA DEFENSA CIVIL.</t>
  </si>
  <si>
    <t>SAN CRISTOBAL</t>
  </si>
  <si>
    <t>MARGARITA</t>
  </si>
  <si>
    <t>DESBORDAMIENTO CIENAGA SANGUREA CORREGIMIENTO BOHORQUEZ. REPORTO DEL CREPAD.</t>
  </si>
  <si>
    <t>DEBORDAMIENTO DE LOS CANALES RECOLECTORES DEL DISTRITO DE RIEGO. BARRIOS TIO MOLINA, SENA, LOS PATOS, LA FLORESTA, VILLA MANATI, VILLA FELICIDAD. REPORTE DEL CREPAD.</t>
  </si>
  <si>
    <t>INCENDIO EDIFICIO HERNANDO MORALES MOLINA JUZGADOS. DAÑOS MATERIALES PISOS 22 Y 23. EXTINGUIDO.</t>
  </si>
  <si>
    <t>RIO FRIO, QUEBNRADA MATEA, CORREGIMIENTOS JULIO ZAWADY, MAMON, CARITAL, CUYO,C CEIBALES CAÑO MOCHO.</t>
  </si>
  <si>
    <t>REMOLINO</t>
  </si>
  <si>
    <t>DESBORDAMEIONTO RIO MAGDALENA CABECERA MUNICIPAL Y CORREGIMEINTO DE LAS CASITAS Y VEREDA EL SALAO. REPORTE DEL CREPAD,</t>
  </si>
  <si>
    <t>CONCORDIA</t>
  </si>
  <si>
    <t>DESBORDAMIENTO RIO MAGDALENA CORREGIMIENTOS DEL BALSAMO ROSARIO DE CHENGUE BELLAVISTA.</t>
  </si>
  <si>
    <t>TARAZA</t>
  </si>
  <si>
    <t>SE APOYA TENIENDO EN CUENTA EL COMPROMISO CON EL MUNICIPIO</t>
  </si>
  <si>
    <t>MUNICIPIO CON RACIONAMIENTO DE AGUA Y/O DESABASTECIMIENTO POR PROBLEMAS DE SEQUI DEBIDO AL FENOMENO DE EL NIÑO. REPORTE DEL MAVDT. SE PRACTICARÁ VISITA POR PARTE DEL GESTOR  PARA EVALUAR  LA SITUACIÓN Y REVISAR EL PROYECTO PROPUESTO.</t>
  </si>
  <si>
    <t xml:space="preserve">MUNICIPIO CON RACIONAMIENTO DE AGUA Y/O DESABASTECIMIENTO POR PROBLEMAS DE SEQUI DEBIDO AL FENOMENO DE EL NIÑO. REPORTE DEL MAVDT. REQUIEREN APOYO TÉCNICO QUE SE PRESTARÁ A TRAVÉS DEL PDA E INTERVENCIÓN DE CORPOBOYACÁ PARA CONTROL DE DEMANDA AGUAS ARRIBA.                </t>
  </si>
  <si>
    <t>APOYO PARA LOS MUNICIPIOS DE CAPITANEJO, GALAN, HATO Y CARMEN DE CHUCURI.</t>
  </si>
  <si>
    <t>BARRIO EL BOSQUE PARTE ALTA. REPORTE DEL CREPAD.</t>
  </si>
  <si>
    <t>AGUACHICA</t>
  </si>
  <si>
    <t>SECTOR COMERCIAL ZONA CENTRO. BARRIOS EL CABLE, EL COMERCIO, EL ACEITUNO, OESQUERA, PALOMERA Y CORREGIMIENTOS DE PUERTO CAPULCO, CASCAJAL, Y CONTENTO.</t>
  </si>
  <si>
    <t>REPORTE DEL SOCORRO NACIONAL.</t>
  </si>
  <si>
    <t>TIQUISIO</t>
  </si>
  <si>
    <t>PINILLOS</t>
  </si>
  <si>
    <t>CAÑO DE LA LATA,S LAS PAVITAS, EL DIQUE, PUEBLO BUHO, EL MAMON, LAS OSAS, PUMPUMA, LA SOLERA, CABECERA MUNICIPAL, NUEVA ESTRELLA, NUEVA FE, BARRO BLANCO, LA MEJIA Y AGUILASR. REPORTE DEL CREPAD.</t>
  </si>
  <si>
    <t>TRUJILLO</t>
  </si>
  <si>
    <t>COLAPSO DE MURO POR FUERTES LLUVIAS.SECTOR INMACULADA. REPORTE DE CREPAD.</t>
  </si>
  <si>
    <t>SANTUARIO</t>
  </si>
  <si>
    <t>DESBORDAMIENTO RIO MAPA.</t>
  </si>
  <si>
    <r>
      <t xml:space="preserve">MUNICIPIO CON RACIONAMIENTO DE AGUA Y/O DESABASTECIMIENTO POR PROBLEMAS DE SEQUI DEBIDO AL FENOMENO DE EL NIÑO. REPORTE DEL MAVDT. </t>
    </r>
    <r>
      <rPr>
        <b/>
        <sz val="9"/>
        <color indexed="8"/>
        <rFont val="Arial"/>
        <family val="2"/>
      </rPr>
      <t>SE HA REHABILITADO TOTALMENTE EL SISTEMA DE BOMBEO QUE PERMITE ABASTECER EL SISTEMA A PARTIR DEL TANQUE DE DISTRIBUCIÓN DE LAS DELICIAS Y DISTRIBUIR POR GRAVEDAD.UN CARROTANQUE DE AGUAS DEL TEQUENDAMA QUEDO APOYANDO LA DISTRIBUCIÓN.</t>
    </r>
  </si>
  <si>
    <t>REPORTE TELEFONICO DE LA DPAE. BARRIO GRANJAS DE SAN PABLO, LOCALIDAD RAFAEL URIBE URIBE</t>
  </si>
  <si>
    <t>SARAVENA</t>
  </si>
  <si>
    <t xml:space="preserve">REPORTE DE LA DEFENSA CIVIL. VIA RADIO. </t>
  </si>
  <si>
    <t>BUENAVENTURA</t>
  </si>
  <si>
    <t>IBAGUE</t>
  </si>
  <si>
    <t>REPORTE DE LA DEFENSA CIVIL VIA RADIOCOMUNICACIONES</t>
  </si>
  <si>
    <t>CAMPO DE LA CRUZ</t>
  </si>
  <si>
    <t>CANDELARIA</t>
  </si>
  <si>
    <t>MANATI</t>
  </si>
  <si>
    <t>PONEDERA</t>
  </si>
  <si>
    <t>ATLANTICO</t>
  </si>
  <si>
    <t>CLEMENCIA</t>
  </si>
  <si>
    <t>VILLANUEVA</t>
  </si>
  <si>
    <t>SANTA CATALINA</t>
  </si>
  <si>
    <t>MAHATES</t>
  </si>
  <si>
    <t>TURBACO</t>
  </si>
  <si>
    <t>TURBANA</t>
  </si>
  <si>
    <t>CALAMAR</t>
  </si>
  <si>
    <t>EL GUAMO</t>
  </si>
  <si>
    <t>SAN ESTANISLAO</t>
  </si>
  <si>
    <t>MARIA LA BAJA</t>
  </si>
  <si>
    <t>MAGANGUE</t>
  </si>
  <si>
    <t>CICUCO</t>
  </si>
  <si>
    <t>BARRANCO DE LOBA</t>
  </si>
  <si>
    <t>NOROSI</t>
  </si>
  <si>
    <t>CUITIVA</t>
  </si>
  <si>
    <t>SE APOYA TENIENDO EN CUENTA LA GEAVE AFECTACION POR DESAVASTECIMIENTO DE AGUA EN EL MUNIICPIO.</t>
  </si>
  <si>
    <t>APOYO DEL FNC MEDIANTE GIRO DIRECTO AL CLOPAD PARA ATENDER LA EMERGENCIA POR DESABASTECIMIENTO DE AGUA EN LAS VEREDAS TROCHAS (UNA BOMBA HIDRAULICA, UN TANQUE DE 5000 LTRS Y 1500 METROS DE TUBERIS), LA LINTERENA ( 170 METROS DE GUAYA, DADOS EN CONCRETO Y 1712 METROS DE TUBERIA DE 3") Y EL TIGRE (22 TANQUES DE 1000 LITROS, Y TORRES PARA LOS TANQUES).</t>
  </si>
  <si>
    <t>CAPITANEJO</t>
  </si>
  <si>
    <t>OIBA</t>
  </si>
  <si>
    <t>BETANIA</t>
  </si>
  <si>
    <t>SAN ANDRES</t>
  </si>
  <si>
    <t>BARRIO SAN LUIS. REPORTE DE DEFENSA CIVIL Y DEL CREPAD.</t>
  </si>
  <si>
    <t>BARRIO PUEBLO VIEJO. REPORTE DE BOMBEROS PROVIDENCIA. AFECTADO LOCAL COMERCIAL.</t>
  </si>
  <si>
    <t>GINEBRA</t>
  </si>
  <si>
    <t>TAURAMENA</t>
  </si>
  <si>
    <t>AFECTADA VIA TAURAMENA - ARAUCA. REPORTE DE LA CRUZ ROJA</t>
  </si>
  <si>
    <t>QUIMBAYA</t>
  </si>
  <si>
    <t>ESPINAL</t>
  </si>
  <si>
    <t>SOBRECAMAS</t>
  </si>
  <si>
    <t>PAPEL H.</t>
  </si>
  <si>
    <r>
      <t xml:space="preserve">MUNICIPIO CON RACIONAMIENTO DE AGUA Y/O DESABASTECIMIENTO POR PROBLEMAS DE SEQUIA DEBIDO AL FENOMENO DE EL NIÑO. REPORTE DEL MAVDT. </t>
    </r>
    <r>
      <rPr>
        <b/>
        <sz val="10"/>
        <color indexed="8"/>
        <rFont val="Arial"/>
        <family val="2"/>
      </rPr>
      <t>DRAGADO EN ZONA DE CAPTACIÓN.SUMINISTRO E INSTALACIÓN DE MANGUERA PARA EXTENSIÓN DE LA TUBERÍA DE SUCCIÓN Y/O IMPULSIÓN DE AGUA, INCLUIDAS BOYAS DE FLOTACIÓN.ALQUILER PLANTA ELÉCTRICA Y COMBUSTIBLE. SUMINSITRO DE AGUA POR CARROTANQUE</t>
    </r>
  </si>
  <si>
    <r>
      <t>MUNICIPIO CON RACIONAMIENTO DE AGUA Y/O DESABASTECIMIENTO POR PROBLEMAS DE SEQUIA DEBIDO AL FENOMENO DE EL NIÑO. REPORTE DEL MAVDT.</t>
    </r>
    <r>
      <rPr>
        <b/>
        <sz val="10"/>
        <color indexed="8"/>
        <rFont val="Arial"/>
        <family val="2"/>
      </rPr>
      <t xml:space="preserve"> SUMINISTRO DE AGUA A TRAVÉS DE CARROTANQUE CON APOYO DEL CREPAD</t>
    </r>
  </si>
  <si>
    <t>INFORMACION</t>
  </si>
  <si>
    <t>NO</t>
  </si>
  <si>
    <t>REPORTE TELEFONICO DEL CREPAD</t>
  </si>
  <si>
    <t>SAN SEBASTIAN</t>
  </si>
  <si>
    <t>HELADA</t>
  </si>
  <si>
    <t>BARRANQUILLA</t>
  </si>
  <si>
    <t>APOYO DEL FNC MEDIANTE GIRO DIRECTO AL CLOPAD PARA LA CONSTRUCCION DE ESPOLONES EN LA MARGEN DERECHA  DEL RIO GUAPE EN EL CASCO URBANO PARA LA PROTECCION DEL COLEGIO ADVENTISTA Y VARIAS MANZANAS COMO PROTECCION DE LA MARGEN IZQUIERDA DEL CAÑO URICHARARE EN LA MANZANA 94.</t>
  </si>
  <si>
    <t>SAN VICENTE, AURORA , LA CABAÑALA RIOJA, BOLIVAR, MATADERO,LAS COLINAS, LA CIUDADELA, CEMENTERIO, LA PISTA, BUENOS AIRES, EL EDEN VILLA RICA, LA BOMBA, BOSQUES DE LA ARQUIAGALAN Y SUCRE.</t>
  </si>
  <si>
    <t>LA TEBAIDA</t>
  </si>
  <si>
    <t>TORMENTA ELECTRICA</t>
  </si>
  <si>
    <t>VEREDA PISANAL. REPORTE DE MINPROTECCION SOCIAL</t>
  </si>
  <si>
    <t>PARQUEDERA DE DOS EDIFICIOS Y UN ESTABLECIMEITNO COMERCIAL. CAIDA ED ARBOLES</t>
  </si>
  <si>
    <t>REPORTE DEL CLOPAD, SITUACION CONTROLADA.</t>
  </si>
  <si>
    <t>RIOBLANCO</t>
  </si>
  <si>
    <t>PERDIDA DE CULTIVOS DE PAPA, ULLUCOS, PASTOS Y HORTALIZAS.</t>
  </si>
  <si>
    <t>TOTORO</t>
  </si>
  <si>
    <t>CORREGIMIENTO DE VALENCIA. REPORTE TELEFONICO DEL CREPAD</t>
  </si>
  <si>
    <t>PERDIDA DE CULTIVOS DE PAPA, PASTOS Y AROMATICAS</t>
  </si>
  <si>
    <t>PAEZ</t>
  </si>
  <si>
    <t>30
38</t>
  </si>
  <si>
    <t xml:space="preserve">AFECTADO CLUB DEL COMERCIO. PERDIDA DE CULTIVOS Y ESTANQUES PISCICOLAS, </t>
  </si>
  <si>
    <t>INFORMACION DEL CREPAD Y LA DEFENSA CIVIL.</t>
  </si>
  <si>
    <t>ANALISIS Y EVALUACION DE LA SOLICITUD</t>
  </si>
  <si>
    <t>CUNDINAMARCA</t>
  </si>
  <si>
    <t>DEPARTAMENTO</t>
  </si>
  <si>
    <t>SOLICITUD</t>
  </si>
  <si>
    <t>SI</t>
  </si>
  <si>
    <t>SE APOYA TENIENDO EN CUENTA LA TEMPORADA SECA Y LA DECLARATORIA DE DESASTRE (DECRETO 023)</t>
  </si>
  <si>
    <t>RISARALDA</t>
  </si>
  <si>
    <t>NACION</t>
  </si>
  <si>
    <t>QUINDIO</t>
  </si>
  <si>
    <t>ARMENIA</t>
  </si>
  <si>
    <t>INFORME CUERPO BOMBEROS TTE MELVIN LECHUGA, ASENTAMIENTO SINAI</t>
  </si>
  <si>
    <t>BOLIVAR</t>
  </si>
  <si>
    <r>
      <t xml:space="preserve">LIMITES CON SUBACHOQUE VEREDAS CHITASUGA Y CHINCE  EN TENJO Y VEREDAS GALDAME Y SANTUARIO LA CUETA DE SUBACHOQUE.. </t>
    </r>
    <r>
      <rPr>
        <b/>
        <sz val="8"/>
        <rFont val="Arial"/>
        <family val="2"/>
      </rPr>
      <t>APOYO DEL FNC MEDIANTE GIRO DIRECTO AL CLOPAD PARA LA ADQUISICION DE COMBUSTIBLES, ALIMENTACON INSUMOS TRANSPORTE, ELEMENTOS DE SEGURIDAD, HERRAMIENTA Y REPARACION DE EQUIPOS Y MAQUINARIA PARA APOYAR EL CONTROL DEL INCENDIO.</t>
    </r>
  </si>
  <si>
    <t>PUERTO RICO</t>
  </si>
  <si>
    <t>APOYO DEL FNC MEDIANTE SUMINISTRO DE ELEMENTOS CONTRA INCENDIOS FORESTALES  ASI : 40 BOMBAS, 40 MCLEOD, 40 PULASKY, 80 BATEFUEGOS, 120 MONOGAFAS, 40 RASTRILLOS, 4 MOTOSIERRAS.</t>
  </si>
  <si>
    <t>SE APOYA TENINEDO EN CUENTA LA TEMPORADA FUERTE DE INCENDIOS FORESTALES</t>
  </si>
  <si>
    <t>REPORTE DEL CLOPAD. SOLICITAN MATERIALES PARA REPARAR 100 VIVIENDAS. EL CLOPAD INFLORMA QUE ESTAN FORMULANDO PROYECTO PARA LA RECONSTRUCCION COMPLETA DE 10 VIVIENDAS.</t>
  </si>
  <si>
    <r>
      <t xml:space="preserve">MUNICIPIO CON RACIONAMIENTO DE AGUA Y/O DESABASTECIMIENTO POR PROBLEMAS DE SEQUIA DEBIDO AL FENOMENO DE EL NIÑO. REPORTE DEL MAVDT. </t>
    </r>
    <r>
      <rPr>
        <b/>
        <sz val="10"/>
        <color indexed="8"/>
        <rFont val="Arial"/>
        <family val="2"/>
      </rPr>
      <t>SUMINISTRO DE AGUA POR CARROTANQUE.</t>
    </r>
  </si>
  <si>
    <r>
      <t xml:space="preserve">MUNICIPIO CON RACIONAMIENTO DE AGUA Y/O DESABASTECIMIENTO POR PROBLEMAS DE SEQUI DEBIDO AL FENOMENO DE EL NIÑO. REPORTE DEL MAVDT. SE PRESTARÁ APOYO TÉCNICO POR PARTE DE LOS PROFESIONALES DEL GESTOR DEL PDA.A TRAVÉS DEL SNPAD </t>
    </r>
    <r>
      <rPr>
        <b/>
        <sz val="9"/>
        <color indexed="8"/>
        <rFont val="Arial"/>
        <family val="2"/>
      </rPr>
      <t>SE DESPLAZARÁ UN CARROTANQUE O VEJIGAS PARA PRESTAR ABASTECIMIENTO. IGUALMENTE EL ALCALDE SOLICITÓ UNA PLANTA PROTATIL PARA LO CUAL SE ADELANTARAN LAS GESTIONES RESPECTIVAS</t>
    </r>
  </si>
  <si>
    <t>VEREDA EL CARMEN. REPORTE DE LA DEFENSA CIVIL.</t>
  </si>
  <si>
    <t>ALVARADO</t>
  </si>
  <si>
    <t>SE APOYA TENIENDO EN CUENTA LA AFECTACION EN VIVEIENDAS</t>
  </si>
  <si>
    <t>NUQUI</t>
  </si>
  <si>
    <t>DESBORDAMIENTO QUEBRADA EL REVES QUE AFECTO EL ACUEDUCTO DEJANDO 740 FAMILIAS AFECTADAS POR DESABASTECIMIENTO DE AGUA. ALCALDE MARTIN ADENA 313 2632692 SIN SERVICIO DE AGUA.</t>
  </si>
  <si>
    <t>GUADALUPE</t>
  </si>
  <si>
    <t>VEREDAS SARTENEJAL, CACHIMBAL, PABLICO. LA PLANTA Y GUAMAL. QUEBRADA LA VICIOSA</t>
  </si>
  <si>
    <r>
      <t xml:space="preserve">MUNICIPIO CON RACIONAMIENTO DE AGUA Y/O DESABASTECIMIENTO POR PROBLEMAS DE SEQUI DEBIDO AL FENOMENO DE EL NIÑO. REPORTE DEL MAVDT. UMINISTRO EN CARROTANQUES CON LA SIGUIENTE FLOTA: 3 DE AGUAS DEL TEQUENDAMA, 2 DE EPC, 1 DE LA LICORERA, 1 DEL MUNICIPIO, QUE SE ABASTECEN DEL RIO APULO EN LA INSPECCIÒN DE LA ESPERANZA. </t>
    </r>
    <r>
      <rPr>
        <b/>
        <sz val="9"/>
        <color indexed="8"/>
        <rFont val="Arial"/>
        <family val="2"/>
      </rPr>
      <t>EAAB HA APOYADO CON 2 VIAJES DE 35 M3, DOS DE 10 M3 Y FACILITÓ DOS TANQUES ESTACIONARIOS DE 5000 LTS C/U.AGUAS DEL TEQUENDAMA HA ADQUIRIDO 15 TANQUES DE 6000 LTS C/U QUE  INSTALÒ EN SITIOS ESTRATEGICOS.</t>
    </r>
  </si>
  <si>
    <t>BARRIO GALAN Y LAS VEGAS, AFECTADO SECTOR URBANO. REPORTE DEL CREPAD.</t>
  </si>
  <si>
    <t>REPORTE DEL CREPAD. SECTOR RURAL LA ESPERANZA Y LA ISLA.</t>
  </si>
  <si>
    <t>4000 TEJAS TEALIT NO. 4, 600 CABALLETES LIMATESA Y 8500 AMARRES</t>
  </si>
  <si>
    <t>FLANDES</t>
  </si>
  <si>
    <t>BARRIOS LA PAZ, QUINTA AVENIDA, Y FERROCARRIL. INUNDACION POR FUERTES LLUVIAS Y TAPONAMIENTO DE ALCANTARILLADO.</t>
  </si>
  <si>
    <t xml:space="preserve">REPORTE DEL CREPAD VEREDA CAPILLA SECTOR CARREFOUR DESBORDAMIENTO RIO SOACHA. BARRIO LOS OLIVARES. </t>
  </si>
  <si>
    <t>CALLE 40 CON CARRERA 9 Y 11.</t>
  </si>
  <si>
    <t>FLORIDA</t>
  </si>
  <si>
    <t>PRADERA</t>
  </si>
  <si>
    <t>CAIDA DE ARBOLES.</t>
  </si>
  <si>
    <t>BARRIOS 7 DE ABRIL Y ME QUEJO. REPORTE DEL CLOPAD.</t>
  </si>
  <si>
    <t>COLAPSO DE OBRA DE AGUAS</t>
  </si>
  <si>
    <t>SE APOYA COMO MEDIDA URGENTE DE MITIGACION FRENTE A LA TEMPORADA INVERNAL.</t>
  </si>
  <si>
    <t>SOLICITUD DEL CREPAD.</t>
  </si>
  <si>
    <t>INUNDACION POR FUERTES LLUVIAS. AFECTADA LA VIA SANTA ROSA - LA CHINITA. BARRIOS VILLA ROMA, SECTOR SANTA MARIA, REPORTE DEL CREPAD.</t>
  </si>
  <si>
    <t>171
180</t>
  </si>
  <si>
    <t>173
183</t>
  </si>
  <si>
    <t>138
183</t>
  </si>
  <si>
    <t>138
522</t>
  </si>
  <si>
    <t>AVENIDA GONZALEZ VALENCIA CON CALLE 50. COLAPSO DE UNA EDIFICACION EN CONSTRUCCION, REPORTE DEL CLOPAD.</t>
  </si>
  <si>
    <t>DESBORDAMIENTO RIO GALLINAZO BARRIO EXPOFERIA, LA SULTANA, ALTO SUIZA, REPORTE DE LA DEFENSA CIVIL.</t>
  </si>
  <si>
    <t>CRECIENTE DE LA QUEBRADA EL FRAILE. REPORTE DEL CREPAD.</t>
  </si>
  <si>
    <t>SECTOR URBANO. REPORTE DEL CREPAD.</t>
  </si>
  <si>
    <t>BARRIO LA CAPILLA. SECTOR LOMA LINDA EL CREPAD Y CLOPAD UBICARON ALOAMIENTO TEMPORAL EN EL SALON COMUNAL DE CASUCA. Y PLAN PADRINO PARA ALOJAMIENTO EN CASA DE FAMILIAES O AMIGOS</t>
  </si>
  <si>
    <t>49908
59351</t>
  </si>
  <si>
    <t>P.I.</t>
  </si>
  <si>
    <r>
      <t xml:space="preserve">SISMO DE MAG 3.2 PROF DE 11 KM CON EPICENTRO EN LA VEGA. REPORTE DEL CREPAD Y CRUZ ROJA. </t>
    </r>
    <r>
      <rPr>
        <b/>
        <sz val="9"/>
        <rFont val="Arial"/>
        <family val="2"/>
      </rPr>
      <t>APOYO DEL FNC MEDIANTE GIRO DIRECTO AL CLOPAD BAJO EL PROYECTO DE INVERSION "REHABILITACION Y ATENCION DE EMERGENCIAS EN EL TERRITORIO NACIONAL ACTIVIDAD OBRAS DE RECUPERACION INMEDIATA EN ZONAS AFECTADAS POR EEMERGENCIAS PARA LA RECUPERACION DE LAS VIVIENDAS AFECTADAS POR VALOR DE $25.000.000</t>
    </r>
  </si>
  <si>
    <r>
      <t xml:space="preserve">AFECTADAS VIAS EL RECREO- PUENTE FIERRO, LA ZANJA - GUACHICONO, PUENTE CALICANTO - LETICIA. </t>
    </r>
    <r>
      <rPr>
        <b/>
        <sz val="9"/>
        <rFont val="Arial"/>
        <family val="2"/>
      </rPr>
      <t>APOYO DEL FNC MEDIANTE GIRO DIRECTO AL CLOPAD BAJO EL PROYECTO DE INVERSION "REHABILITACION Y ATENCION DE EMERGENCIAS EN EL TERRITORIO NACIONAL ACTIVIDAD OBRAS DE RECUPERACION INMEDIATA EN ZONAS AFECTADAS POR EEMERGENCIAS PARA LA RECUPERACION E LA VIA EL RECREO PUETNE FIERRO. POR VALOR DE $10.000.000</t>
    </r>
  </si>
  <si>
    <t>APOYO DEL FNC MEDIANTE GIRO DIRECTO AL CLOPAD A TRAVES DE LOS RECURSOS DEL FNC PAJO EL PROYECTO DE INVERSION REHABILITACION Y ATENCION DE EMERGENCIAS EN EL TERRITORIO NACIONAL ACTIVIDAD OBRAS DE RECUPERACION INMEDIANTA EN ZONAS AFECTADAS POR EMERGENCIAS POR VALOR DE $35.000.000</t>
  </si>
  <si>
    <r>
      <t>ENVIAN DECRETO 034 MEDIANTE EL CUAL DECLARAN LA EMERGENICA VIAL. VIAS VERSALLES-COSTARICA-EL CEDRO, MORRO ÑATO - PIÑARES-EL VERGEL; VERSALLES-EL DIAMANTE- CAMPOALEGRE-LA FLORIA - EL SILENCIO- EL CEDRO- EL BALSAL; VERSALLES, EL TAMBO-BOSQUETARSO- PUERTO NUEVO. REPORTE DEL CLOPAD AVAL DEL CREPAD.</t>
    </r>
    <r>
      <rPr>
        <b/>
        <sz val="9"/>
        <rFont val="Arial"/>
        <family val="2"/>
      </rPr>
      <t xml:space="preserve"> APOYO DEL FNA MEDIANTE GIRO DIRECTO AL CLOPAD PARA APOYAR LA REHABILITACION DE LAS VIAS.</t>
    </r>
  </si>
  <si>
    <t>SAN JUAN DEL CESAR</t>
  </si>
  <si>
    <t>DESBORDAMEINTO RIO SAN FRANCISCO. REPORTE DEL CREPAD. CASCO URBANO</t>
  </si>
  <si>
    <t>DESBORDAMIENTO RIO CAÑAVERALES Y EL ARROYO REPARITO. VEREDAS SITIO NUEVO Y CONEJO EN EL CORREGIMIENTO LOS HATICOS. REPORTE DE LA DEFENS CIVIL</t>
  </si>
  <si>
    <t>PERDIDAS DE CULTIVOS PLATANO, CACAO MANDARINA Y NARANJA</t>
  </si>
  <si>
    <t>EXPLOSION DE MINA POR ACUMULACION DE GASES. VEREDA LA VIRGEN MINA LA LOMA. REPORTE DEL CREPAD</t>
  </si>
  <si>
    <t>AVALANCHA RIO CATATUM,BO, CORREGIMEINTO SAN PABLO. SECTOR PUENTE ROJO. REPORTE DEL CREPAD.</t>
  </si>
  <si>
    <t>500 CABEZAS DE GANADO ARRASTRADAS.</t>
  </si>
  <si>
    <t>AGUADAS</t>
  </si>
  <si>
    <t>DESBORDAMIENTO RIO ARIGUANI, VEREDA EL TROPEZON. AFECTADAS VIAS VEREDA LOMA LINDA, PUERTO LAJAS Y CHIMILAIMA, SAGARRIGA. REPORTE DEL CREPAD.</t>
  </si>
  <si>
    <t>REPORTE DEL CREPAD. AFECTADAS VIAS MARGARITA - PEÑONCITO, SANIN VILLA - SANTAMARIA, SUMARE - HOBO</t>
  </si>
  <si>
    <t>DESBORDAMIENTO RIOS CESAR, CAÑO LA MIEL Y RIO GARUPAL. REPROTE DEL CREPAD.</t>
  </si>
  <si>
    <t>SE APOYA DE MANERA COMPLEMENTARIA A LOS ESFUERZOS LOCLAES Y REGIONALES.</t>
  </si>
  <si>
    <t>LINEA NO.</t>
  </si>
  <si>
    <t>SECTORES EL BOSQUE Y SAN JOSE. REPRTE DEL CREPAD.</t>
  </si>
  <si>
    <t>PAZ DE RIO</t>
  </si>
  <si>
    <t>SECTORES PAZ VIEJA, SOCOTACITO, CHAPA. REPORTE DEL CREPAD.</t>
  </si>
  <si>
    <t>INUNDACION POR FUERTES LLUVIAS. BARRIOS MARCO FIDEL SUAREZ Y LA PAZ. REPORTE DEL CREPAD.</t>
  </si>
  <si>
    <t>DESBORDAMIENTO RIO SAN JUAN. COMUNIDAD INDIGENA DE SANTA MARIA DE PANGALA. REPORTE DEL CREPAD.</t>
  </si>
  <si>
    <t>COLAPSO DE MINA DE ORO. REPORTE DEL CREPAD.</t>
  </si>
  <si>
    <t>BARRIOS LA PLAYA, Y VALLE DE LLANO GRANDE. REPORTE DEL CREPAD.</t>
  </si>
  <si>
    <t>FUERTES LLUVIAS SECTORES LA GABRIELA, LA CAMILA. REPORTE DEL CREPAD.</t>
  </si>
  <si>
    <t>BARRIOS PUENTE TABLA, GUAMAL, PIZARRA. REPORTE DEL CREPAD.</t>
  </si>
  <si>
    <t>CRECIENTE SUBITA RIO EL ROBLE VEREDA LA FRONTERA. FINCA VILLA NATALIA. REPORTE DEL CREPAD.</t>
  </si>
  <si>
    <t>ASENTAMIENTO LAS BRISAS. VEREDA EL VENADO. REPORTE DEL CLOPAD.</t>
  </si>
  <si>
    <t xml:space="preserve">DESBORAMIENTO CIENAGA ZAPATOZA. CORREGIMIENTIO SANTA CECILIA. REPORTE DEL CREPAD. </t>
  </si>
  <si>
    <t xml:space="preserve">DESBORDAMIENTO RIO TAMANA,. VEREDAS AGUASUCIA, PLAYA DEL ROSARIO, CORREGIMIENTOS TINDAZA, EL TIGRE, SANTA ROSA, SAN LORENZO. BARRIOS PANAMA, BUENOS AIRES, GAMBOA CAMELLON , LAS AGUAS PARTE BAJA, JESUS POBRE. REPORTE DE LA DEFENSA CIVIL. </t>
  </si>
  <si>
    <t>PERDIDA DE CULTIVOS DE POPOCHO , BANANO PLATANO, YUCA, CAÑA Y MAIZ. PERDIDA DE ANIMALES DE CORRAL.</t>
  </si>
  <si>
    <t>CORREGIMIENTOS DE SANTA RITA, TADOCITO, VEREDAS ALTO CONDOTO, LA CHORRERA, LA MESTIZA, LA UÑITA, CORORO, DUAVE, SANTA BARBARA. REPORTE DEL CREPAD</t>
  </si>
  <si>
    <t>BARRIO TRINIDAD. REPORTE DEL CREPAD.</t>
  </si>
  <si>
    <t>ACACIAS</t>
  </si>
  <si>
    <t>CECIENTE SUBITA RIO ACACIAS. VEREDA MALECON. REPORTE DE LA DEFENSA CIVIL.</t>
  </si>
  <si>
    <t>PERDIDA DE CULTIVOS DE FRIJOL, MAIZ, PLATANO, YUCA, SEMOVIENTES Y AVES</t>
  </si>
  <si>
    <t>BARRIO SULDEMAIDA. INCENDIO DE KIOSCO DE DULCES.</t>
  </si>
  <si>
    <t>KIOSCO COMERCIAL.</t>
  </si>
  <si>
    <t>VEREDA MOMBITA. REPORTE DEL CREPAD.</t>
  </si>
  <si>
    <t>SAN EDUARDO</t>
  </si>
  <si>
    <t>VEREDA CARDOZO. REPORTE DEL CREPAD.</t>
  </si>
  <si>
    <t>CUATRO FINCAS AFECTADAS POR PERDIDA DE CULTIVOS DE PLATANO Y YUCA.</t>
  </si>
  <si>
    <t>BARRIO QUIROGA INCENDIO EN CARPINTERIA. Y FABRICA DE MUEBLES. REPORTE DE BOMEROS</t>
  </si>
  <si>
    <t>PUENTE VEHICULAR QUE COMUNICA LOS MUNICIPIOS DE SUAREZ, ESPINAL Y GUAMO.</t>
  </si>
  <si>
    <t xml:space="preserve">BARRIO LA CABAÑA. REPORTE DEL CREPAD. </t>
  </si>
  <si>
    <r>
      <t xml:space="preserve">REPORTE DEL CLOPAD. </t>
    </r>
    <r>
      <rPr>
        <b/>
        <sz val="9"/>
        <rFont val="Arial"/>
        <family val="2"/>
      </rPr>
      <t>EL VALOR DE OTROS CORRESPONDE A 100 TEJAS TERMOACUSTICAS, 35 MADERA TIPO VIGA CUADRADA Y 2600 TORNILLOS PARA MADERA.</t>
    </r>
  </si>
  <si>
    <t>SAN PABLO</t>
  </si>
  <si>
    <t>SE APOYA TENINEDO EN CUENTA LA MAGNITUD DEL EVENTO</t>
  </si>
  <si>
    <t>95395
97193</t>
  </si>
  <si>
    <t>SE APOYA TENIENDO EN CUENTA LA SITUACION POR SEQUIA EN EL DEPARTAMENTO</t>
  </si>
  <si>
    <r>
      <t xml:space="preserve">MUNICIPIO CON RACIONAMIENTO DE AGUA Y/O DESABASTECIMIENTO POR PROBLEMAS DE SEQUIA DEBIDO AL FENOMENO DE EL NIÑO. REPORTE DEL MAVDT. SUMINISTRO A TRAVÉS DE CARROTANQUES. SE RECIBE INFORME DEL CREPAD DE FECHA 19 DE FEBRERO  SOBRE DESABASTECIMIENTO DE AGUA. </t>
    </r>
    <r>
      <rPr>
        <b/>
        <sz val="9"/>
        <color indexed="8"/>
        <rFont val="Arial"/>
        <family val="2"/>
      </rPr>
      <t>APOYO DEL DEPARTAMENTO PARA EL SUMINISTRO DE AGUA POTABLE. APOYO DEL FNC PARA ALQUILER DE TRES CARROTANQUES DURANTE UN MES Y PAGO A ACUASAN POR EL SUMINISTRO DE AGUA POTABLE AL MUNICIPIO.</t>
    </r>
  </si>
  <si>
    <t>BARRIOS PRINGAMOSAL, LOS PASOS, SECTOR EL TUNO EL CARMEN, PABLO SEXTO, VEREDAS TOMA DE LUISA, CAÑADAS, CAÑADAS ALTO, CERRO GORDO. APOYO DEL FNC EN MENAJES, ALIMENTOS Y LAMINAS DE ZINC</t>
  </si>
  <si>
    <t>COELLO</t>
  </si>
  <si>
    <t>VEREDA LEMBO, LA GRACIELA, YOMBA, SAN JERONIMO. APOYO DEL FNC EN MENAJES, ALIMENTOS Y LAMINAS DE ZINC</t>
  </si>
  <si>
    <t>BARRIOS GALAN, VILLA GLACIAL, CARLOS ALBERTO, ALAMOS, PANTANO GRANDE, Y CORREGIMIENTO SAN FELIPE. REPORTE DEL CREPAD. APOYO DEL FNC EN MENAJES, ALIMENTOS Y LAMINAS DE ZINC</t>
  </si>
  <si>
    <t>MUNICIPIO CON RACIONAMIENTO DE AGUA Y/O DESABASTECIMIENTO POR PROBLEMAS DE SEQUI DEBIDO AL FENOMENO DE EL NIÑO. REPORTE DEL MAVDT. LA SITUACIÓN ES CONTROLADA POR EL CLOPAD.MUNICIPIO INFORMARÁ A EPC, EN EL MOMENTO QUE SE REQUIERA APOYO.EPC HA CONTACTADO A EMSERFUSA, QUIEN MANIFIESTA DISPONIBILIDAD DE AGUA PARA EL APOYO Y TRASPORTE EN CARROTANQUES.</t>
  </si>
  <si>
    <t>MUNICIPIO CON RACIONAMIENTO DE AGUA Y/O DESABASTECIMIENTO POR PROBLEMAS DE SEQUI DEBIDO AL FENOMENO DE EL NIÑO. REPORTE DEL MAVDT. SI BIEN EL RACIONAMIENTO ES DRÀSTICO LA MEDIDA ES PREVENTIVA IMPLEMENTADA POR EL MUNICIPIO PARA FORZAR EL AHORRO. SITUACIÓN BAJO CONTROL</t>
  </si>
  <si>
    <t>SAN JUAN DE ARAMA</t>
  </si>
  <si>
    <t xml:space="preserve">REPORTE DEL CREPAD. </t>
  </si>
  <si>
    <t>SANTA ROSA DE CABAL</t>
  </si>
  <si>
    <t>COLEGIO LABOURE</t>
  </si>
  <si>
    <t>PURIFICACION</t>
  </si>
  <si>
    <t>75
219</t>
  </si>
  <si>
    <t xml:space="preserve">SE APOYA TENIENDO EN CUENTA LA AFECTACION INDIGENA Y LA PROBLEMÁTICA POR LA AFECTACION EN CULTIVOS Y LA COLMATACION DE RIOS </t>
  </si>
  <si>
    <r>
      <t xml:space="preserve">CORREGIMIENTOS DE TRIBUGA, JURUBIRA Y COMUNIDADES INDIGENAS DE LA LOMA, JAGUA, TANDO, RIO NUQUI, PUERTO INDIO Y JURUBIRA. . PERDIDA DE CULTIVOS. </t>
    </r>
    <r>
      <rPr>
        <b/>
        <sz val="9"/>
        <rFont val="Arial"/>
        <family val="2"/>
      </rPr>
      <t>GIRO DIRECTO AL CLOPAD CON EL PROPOSITO DE APOYAR EL DESTRONQUE Y LIMPIEZA DE LAS CUENCAS DE LOS RIOS ANCACHI Y LA QUEBRADA AGUANEGRITA, CON EL FIN DE POSIBILITAR EL TRANSPORTE DE LOS CAMPESINOS Y SUS PRODUCTOS AGRICOLAS.</t>
    </r>
  </si>
  <si>
    <t>DESBORDAMIENTO RIO SOGAMOSO, VEREDA TERRAPLEN, CORREGIMIENTO EL PEDRAL. REPORTE DE LA DEFENSA CIVIL.</t>
  </si>
  <si>
    <t>DESBORDAMIENTO RIO MAGDALENA, BARRIOS EL DORADO, ARENAL, CARDALES. REPORTE DE DEFENSA CIVIL</t>
  </si>
  <si>
    <t>DESBORDAMIENTO RIO MAGDALENA. VEREDACURUMUPA, CORREGIMIENTOS PATURIA, BOCAS DEL ROSARIO Y SITIO NUEVO</t>
  </si>
  <si>
    <t>DESBORDAMIENTO RIO CHICAMOCHA AFECTADA ZONA RURAL. REPORTE DE DEFENSA CIVIL.</t>
  </si>
  <si>
    <t>VEREDAS TOCOGUA Y EL CEBADERO. DESBORDAMIENTO POR AGUAS LLUVIAS REPORTE DE LA DEFENSA CIVIL.</t>
  </si>
  <si>
    <t>CARMEN DE CARUPA</t>
  </si>
  <si>
    <t>VIA CARMEN DE CARUPA - UBATE KM 9 REPORTE DEL CREPAD</t>
  </si>
  <si>
    <t>CORREGIMIENTO SAN ANTONIO DEL PRADO. REPORTE DE LA DEFENSA CIVIL.</t>
  </si>
  <si>
    <t>TUCHIN</t>
  </si>
  <si>
    <t>DESBORDAIENTO ARROYO TUCHIN YN LA PALMA. REPORTE DE DEFENSA CIVIL.</t>
  </si>
  <si>
    <t>MONTERIA</t>
  </si>
  <si>
    <t>SAN CARLOS</t>
  </si>
  <si>
    <t>ACHI</t>
  </si>
  <si>
    <t>DESBORDAMIENTO RIO MANZANARES.  BARRIOS MALVINAS, SIMON BOLIVAR, LAS VEGAS, TAYRONA, IMALLUI, villa u , SALAMANCA, SANTA ANA, 8 DE FEBRERO, SIMON BOLIVAR, CHIMILA I, ESMERALDA, TAYRONA ALTA, TAYRONA BAJA, BULEVAR DEL RIO 1,2 Y 3, VILLA DEL CARMEN, MALVINAS, LAS VEGAS.. REPORTE DE LA DEFENSA CIVIL. REPORTE DEL CLOPAD.</t>
  </si>
  <si>
    <t>DESBORDAMIENTO RIO CAUCA. SECTORES SAN JORGE, LA PLAYA, COLOMBIA Y EL TABLAZO. REPORTE DEL CREPAD.</t>
  </si>
  <si>
    <t>BARRIOS CUCHILLA DE VILLATE, EL BOSQUE, CARRIZAL, SIETE DE ABRIL, NUEVA COLOMBIA, LA CANGREJERA,  Y VILLA EL ROSARIO. REPORTWE DEL CREPAD</t>
  </si>
  <si>
    <t>CORREGIMIENTO SAN CRISTOBAL. REPORTE DE LA DEFENSA CIVIL.</t>
  </si>
  <si>
    <t>DESBORDAMIENTO RIO LA CRUZ SECTOR LA PLANTA. REPROT DEL CREPAD.</t>
  </si>
  <si>
    <t>TITIRIBI</t>
  </si>
  <si>
    <t>CRECIENTE DE CAÑO SECTOR VIEJOBARRIO MANIZALES. REPORTE DEL CREPAD</t>
  </si>
  <si>
    <t>SECTOR EL TIGRE REPORTE DEL CREPA</t>
  </si>
  <si>
    <t>VIGIA DEL FUERTE</t>
  </si>
  <si>
    <t>DESBORDAMIENTO RIO ATRATO. REPORTE DEL CREPAD.</t>
  </si>
  <si>
    <t>BOJAYA</t>
  </si>
  <si>
    <t>DESBORDAMIENTO RIO ATRATO REPORTE DE LA CRUZ ROJA</t>
  </si>
  <si>
    <t>DESBORDAMIENTO RIO BAUDO. REPORTE DE LA CRUZ ROJA. CORREGIMIENTO QUERA.</t>
  </si>
  <si>
    <t>DESBORDAMINETO RIO BAUDO. REPORTE DE LA CRUZ ROJA</t>
  </si>
  <si>
    <t>VEREDAS CANOAN, CHAGUALA, PALO GRANDE. REPROTE DEL CREPAD.</t>
  </si>
  <si>
    <t>SECTOR EL CAIMO. REPROTE DEL CLOAPD</t>
  </si>
  <si>
    <t>DESBORDAMIENTO RIO DAGUA. CORREGIMIENTO CISNEROS, VEREDA LA GUINEA. REPORTE DE LA DEFENSA CIVIL</t>
  </si>
  <si>
    <t xml:space="preserve">SECTOR SABINAS. VIA MANIZALES - BOGOTA. REPORTE DE SOCORRO NACIONAL </t>
  </si>
  <si>
    <t>AFECTACION EN UN VEHICULO</t>
  </si>
  <si>
    <t>REPRESAMIENTO QUEBRADA ZATE. ZONA URBANA BARRIO LA SOMBRILLA Y VEREDA LOS CERRILLOS. REPORTE DEL CLOPAD Y CREPAD.</t>
  </si>
  <si>
    <t>SASAIMA</t>
  </si>
  <si>
    <t>VEREDA GUAYACUNDO. REPROTE DEL CREPAD.</t>
  </si>
  <si>
    <t>CRECIENTE QUEBRADA REYES. VEREDA SAN JUAN. FINCA ALISIOS. REPORTE DEL CREPAD.</t>
  </si>
  <si>
    <t>SACOS PUESTOS EN CORMAGDALENA</t>
  </si>
  <si>
    <r>
      <t>SECTOR PARATEBIEN. PENDIENTE AFECTACION, REPORTE DEL CREPAD.</t>
    </r>
    <r>
      <rPr>
        <b/>
        <sz val="9"/>
        <rFont val="Arial"/>
        <family val="2"/>
      </rPr>
      <t>APOYO DEL FNC MEDIANTE GIRO DIRECTO AL CLOPAD PARA APOYAR LA ADQUISICION DE OMBUSTIBLE PARA EL FUNCIONAMIENTO DE LAS MOTOBOMBAS PARA EVACUACION DE AGUAS.</t>
    </r>
  </si>
  <si>
    <t>500 RACIONES DE CAMPAÑA PARA BOMBEROS</t>
  </si>
  <si>
    <t>35521
23530</t>
  </si>
  <si>
    <r>
      <t xml:space="preserve">VIA MEDELLIN - GIRALDO DESLIZAMIENTO </t>
    </r>
    <r>
      <rPr>
        <b/>
        <sz val="9"/>
        <rFont val="Arial"/>
        <family val="2"/>
      </rPr>
      <t>APOYO DEL FNC MEDIANTE GIRO DIRECTO AL CLOPAD PARA ADQUISICION DE COMBUSTIBLE, ALIMENTACION, INSUMOS MEDICOS Y HERRAMIENTAS MANUALES. EL VALOR DE OTROS CORRESPONDE A 200 RACIONES DE CAMPAÑA PARA LA DEFENSA CIVL ENTIDAD QUE APOYO EL EVENTO.</t>
    </r>
  </si>
  <si>
    <t>306
307
23551</t>
  </si>
  <si>
    <t>295
306
207
22208
22705
23551</t>
  </si>
  <si>
    <t>306
307
22208
22705
23551</t>
  </si>
  <si>
    <t>307
20213
23551</t>
  </si>
  <si>
    <t>19887
20213
23551</t>
  </si>
  <si>
    <t>20213
23551</t>
  </si>
  <si>
    <t>35170
46609</t>
  </si>
  <si>
    <t>SECTOR LA BADEA, CALEE 9 NO. 2 - 53. REPORTE DE LA DEFENSA CIVIL</t>
  </si>
  <si>
    <t>UNA FABRICA E MADERA</t>
  </si>
  <si>
    <t>SECTORES RESGUARDO DE HONDURAS, CHIMBORAZO, AGUA NEGRA, ALTAMIRA Y EL SOCORRO. REPORTE DEL CREPAD.</t>
  </si>
  <si>
    <t>ROSAS</t>
  </si>
  <si>
    <t>CASCO URBANO BARRIOS LA PLAYA, EL MIRADOR, LA ESMERALDA, GUSTAVO MEJIA, PEDRO LEON RODRÍGUEZ, VILLA DEL ROSARIO, 20 DE AGOSTO Y EL FRIJOL.  REPORTE DEL CREPAD.</t>
  </si>
  <si>
    <t>DESBORDAMIENTO RIO JEREZ, CORREGIMIENTO LAS FLORES,  REPORTE DEL CREPAD</t>
  </si>
  <si>
    <t>FUERTES LLUIVIAS. BARRIOS FREDONIA, POZON, SARABANDA, SAN JOSE DE LOS CAMPANOS, POLICARPA, TRES DE JULIO, ARROZ BARATO. SE PRESENTO UNA VICTIMA EN LA CIENAGA MATUTE. REPORTE DEL CLOPAD.</t>
  </si>
  <si>
    <t>MUNICIPIO CON RACIONAMIENTO DE AGUA Y/O DESABASTECIMIENTO POR PROBLEMAS DE SEQUI DEBIDO AL FENOMENO DE EL NIÑO. REPORTE DEL MAVDT</t>
  </si>
  <si>
    <t>PERDIDA DE CULTIVOS</t>
  </si>
  <si>
    <t>INUNDACION. CORREGIMIENTO SAN JOSE DE MULATOS, SECTORES NUEVA COLOMBIA Y EL CONGO.</t>
  </si>
  <si>
    <t>SE APOYA DE MANERA COMPLEMENTARIA A LOS ESFUERZOS LOCALES Y REGIONALES</t>
  </si>
  <si>
    <t>BELEN DE UMBRIA</t>
  </si>
  <si>
    <t>EL VALOR DE OTROS CORRESPONDE A 100 CANECAS POR CINCO GALONES C/U DE ESPUMA CLASE A PARA INCENDIOS FORESTALES ENTREGADA A LA FUERZA AEREA COLOMBIANA. POSTERIORMENTE SE ADQUIEREN  200 CUÑETES ADICIONALES. TOTAL 300 CUÑETES ENTREGADOS A LA FAC</t>
  </si>
  <si>
    <t>12
24</t>
  </si>
  <si>
    <t>EN REVISION POR PARTE DEL CREPAD</t>
  </si>
  <si>
    <t>PERDIDA DE CULTIVOS Y ANIMALES</t>
  </si>
  <si>
    <t>SAN MARTIN</t>
  </si>
  <si>
    <t>BARRIOS LOS ANDES, ALGARROBO Y 11 DE NOVIEMBRE. DESBORDAMIENTO CAÑO CAMOA PENDIENTE INFORMACION</t>
  </si>
  <si>
    <t>REPORTE DEL MAVDT. DESABASTECIMIENTO DE AGUA. TIENE PROBLEMA CON TRES VEREDAS, SE CUENTA CON DECLARATORIA DE EMERGENCIA. LA GOBERNACION PRESENTARA PROYECTO DE ABASTECIMIENTO PARA APOYAR POR EL PDA</t>
  </si>
  <si>
    <t>QUIPILE</t>
  </si>
  <si>
    <t>OCAMONTE</t>
  </si>
  <si>
    <t>VEREDA PUERTO SERVIEZ. REPORTE DEL CLOPAD MEDIANTE ACTADEL 26 DE ABRIL. NO HAY SOLICITUD DE APOYO AL NIVEL NACIONAL.</t>
  </si>
  <si>
    <t>MORELIA</t>
  </si>
  <si>
    <t>BELEN DE LOS ANDAQUIES</t>
  </si>
  <si>
    <t xml:space="preserve">MUNICIPIO CON RACIONAMIENTO DE AGUA Y/O DESABASTECIMIENTO POR PROBLEMAS DE SEQUI DEBIDO AL FENOMENO DE EL NIÑO. REPORTE DEL MAVDT. CON RECURSOS PDA SE DARÁ EL RECURSO PARA EL BOMBEO Y LQA CONDUCCIÓN QUE CONECTA A LA INFRAESTRUCTURA DEL MUNICIPIO, POR UN COSTO ESTIMADO DE 45 MILLONES, EL MUNICIPIO ESTA AJUSTANDO EL DISEÑO Y LOS PRECIOS PARA PRESENTARLO AL GESTOR DE FORMA INMEDIATA </t>
  </si>
  <si>
    <t>SE APOYA TENIENDO EN CUENT LA NECESIDAD DE FORTALECER LAS ENTIDADES FRENTE A LA ATENCION DE SITUACIONES DE EMERGENICA Y TENIENDO EN CUENTA LA SITUACION DE DESASTRE DECLARADA MEDIANTE RESOLUCION NO. 23 DEL 8 DE ENERO.</t>
  </si>
  <si>
    <t>VEREDA CAÑAVERAL Y CERRITOS. REPORTE DEL CREPAD.</t>
  </si>
  <si>
    <t>LA CELIA</t>
  </si>
  <si>
    <t>DESBORDAMIENTO RIO CAÑAVERAL AFECTADA VIA DE LA VEREDA CHORRITO REPORTE DEL CREPAD.</t>
  </si>
  <si>
    <t>GUARNE</t>
  </si>
  <si>
    <t>DESBORDAMEINTO QUEBRADA LA PALMARA BARRIO LA PALMARA.</t>
  </si>
  <si>
    <t>SECTOR VIA ICONONZO AFECTADA VIVIENDA POR CAIDA DE ARBOL</t>
  </si>
  <si>
    <t>VEREDA EL SALITRE EXPLOSION DE MINA DE CARBON POR ACUMULACION DE GASES. REPORTE DEL CREPAD.</t>
  </si>
  <si>
    <t>DESBORDAMIENTO QUEBRADA LA ESMERALDA Y EL RIO NEMAL DIEZ VEREDAS AFECTADAS. DESTRUIDO PUENTE EN LA INSPECCION MONTE CRISTO.</t>
  </si>
  <si>
    <r>
      <t xml:space="preserve">APOYO PARA EL DEPARTAMENTO EN SACOS Y AMARRES PARA CUBIERTA. </t>
    </r>
    <r>
      <rPr>
        <b/>
        <sz val="9"/>
        <rFont val="Arial"/>
        <family val="2"/>
      </rPr>
      <t>EL VALOR DE OTROS CORRESPONDE A 200.000 GANCHOS PARA TEJA DE FIBROCEMENTO Y 20.000 AMARRES PARA ZINC</t>
    </r>
  </si>
  <si>
    <t>PLASTICO NEGRO</t>
  </si>
  <si>
    <t>JUEGO CUBIERTOS</t>
  </si>
  <si>
    <t>VENDAVAL</t>
  </si>
  <si>
    <t>CHIGORODO</t>
  </si>
  <si>
    <t>SE PRESENTARON DOS INCENDIOS EN BARRIOS UNIDOS Y TEUSAQUILLO, UN BOMBERO HERIOD EN TEUSAQUILLO</t>
  </si>
  <si>
    <t>SIBUNDOY</t>
  </si>
  <si>
    <t>REPORTE DE LA DEFENSA CIVIL.</t>
  </si>
  <si>
    <t xml:space="preserve">DESBORDAMIENTO QUEBRADA CARBONERA. </t>
  </si>
  <si>
    <t>BARRIO SANTANDER. REPORTE DEL LA DEFENSA CIVIL</t>
  </si>
  <si>
    <t>LIBANO</t>
  </si>
  <si>
    <t>CIRCASIA</t>
  </si>
  <si>
    <t>REPORTE DE LA CRUZ RIOJA Y DEL CREPAD.</t>
  </si>
  <si>
    <t>NIMAIMA</t>
  </si>
  <si>
    <t>PERDIDA DE MUEBLES Y EMSERES Y CAIDA DEARBOLES</t>
  </si>
  <si>
    <t>SE REMITE A COMITÉ REGIONAL PARA EVALUACION</t>
  </si>
  <si>
    <t>COLEGIO SAN FRANCISCO JAVIER INCENDIO DEBIDO A CORTO CIRCUITO. REPORTE DEL CLOPAD.</t>
  </si>
  <si>
    <t>CORREGIMIENTO TIERRA ADENTRO. DESTRUIDA OFICINA DE TELECOM Y PABELLON DE CARNES. REPORTE DEL CREPAD. SE SOLICITO INFORMACION AL CREPAD EN RELACION CON NECESIDAD DE APOYO.</t>
  </si>
  <si>
    <r>
      <t>MUNICIPIO CON RACIONAMIENTO DE AGUA Y/O DESABASTECIMIENTO POR PROBLEMAS DE SEQUI DEBIDO AL FENOMENO DE EL NIÑO. REPORTE DEL MAVDT. S</t>
    </r>
    <r>
      <rPr>
        <b/>
        <sz val="10"/>
        <color indexed="8"/>
        <rFont val="Arial"/>
        <family val="2"/>
      </rPr>
      <t>E PRESENTARÁ EL PRESUPUESTO AJUSTADO Y LAS CARACTERÍSTICAS DE LA TUBERÍA PARA EJECUTAR LA OBRA EN EL MARCO DEL PDA. LA DGR ENTREGO 15 TANQUES DE 3000 LITROS, DE LOS QUE ESTABAN EN SUAREZ CAUCA</t>
    </r>
  </si>
  <si>
    <t>QUEBRADA BARRUETOS.REPORTE DE CREPAD</t>
  </si>
  <si>
    <t>SAN GIL</t>
  </si>
  <si>
    <t>CRECIENTE RIO FONCE</t>
  </si>
  <si>
    <t>DEBORDAMIENTO RIO ARIARI Y CAÑO IRIQUE Y LA PIEDRA. 16 BARRIOS AFECTADOS</t>
  </si>
  <si>
    <t xml:space="preserve">220 AVES DE CORRAS CUATRO CERDOS, 200 ARBOLES FRUTALES, </t>
  </si>
  <si>
    <t xml:space="preserve">DESBORDAMIENTO RIO GUEJAR. </t>
  </si>
  <si>
    <t>INZA</t>
  </si>
  <si>
    <t>SE RECIBE COPIA DEL INFORME DEL CLOPAD AL CREPAD, SOLICITANDO APOYO COMPLEMENTARIO.</t>
  </si>
  <si>
    <t>COLAPSO DE TRIBUNA. REPORTE DE LA DEFENSA CIVIL.</t>
  </si>
  <si>
    <t>FREDONIA</t>
  </si>
  <si>
    <t>DESBORDAMIENTO RIO LA CRUZ. CASCO URBANO, SECTOR LA PLANTA, CORREGIMIENTO EL TIGRE REPORTE DEL CREPAD.</t>
  </si>
  <si>
    <t>YALI</t>
  </si>
  <si>
    <t>DESBORDAMIENTO RIO VOLCAN. VEREDA LA CABAÑA. REPORTE DEL CREPAD.</t>
  </si>
  <si>
    <t>TRES LOCALES COMERCIALES DESTRUIDOS. UN LOCAL COMERCIAL AFECTADO. ZONA CENTRO CALEE DEL COMERCIO.</t>
  </si>
  <si>
    <t>BARRIO COLINA CAMPESTRE. REPORTE DE LA DEFENSA CIVIL.</t>
  </si>
  <si>
    <t>BARRIO SAN JOSE DE BAVARIA SECTOR QUINTAS DE SANTA BARBARA</t>
  </si>
  <si>
    <t>REPORTE DEL CREPAD MAGDALENA, DEBIDO A LA REDUCCION DEL CAUCE DEL RIO MAGDALENA, SE HAN AGRIETADO LAS VIVIENDAS, SE AFECTO UN MURO DE CONTENCION Y AVERIAS EN EL MUEELE DE CARGA, ADEMAS SE ENCUENTRAN EN ALTO RIESGO DE COLAPSO 100 VIVIENDAS EN LOS BARRIOS COLINA, CESAR Y LA BAVARIA., CREPAD ESTARA MUY ATENTA A LA EVOLUCION DE DICHA SITUACION DE EMERGENCIA.</t>
  </si>
  <si>
    <t>CESAR</t>
  </si>
  <si>
    <t>PAILITAS</t>
  </si>
  <si>
    <t>INFORME DE INGEOMINAS, EVENTO DE 3,1 GRADOS CON PROFUNDIDAD DE 100 KMS, SIN CONSECUENCIAS.</t>
  </si>
  <si>
    <t>NARIÑO</t>
  </si>
  <si>
    <t>GIRARDOT</t>
  </si>
  <si>
    <t>BARRIOS CENTENARIO, PESEBRE, LAS ACACIAS, AGUA BLANCA, VILLA ANFIS. REPORTE DEL CREPAD Y DEL SOCORRO NACIONAL</t>
  </si>
  <si>
    <t>TINJACA</t>
  </si>
  <si>
    <t>RAQUIRA</t>
  </si>
  <si>
    <t>MUNICIPIO CON RACIONAMIENTO DE AGUA Y/O DESABASTECIMIENTO POR PROBLEMAS DE SEQUIA DEBIDO AL FENOMENO DE EL NIÑO. REPORTE DEL MAVDT. EL MUNICIPIO ACTUALIZARÁ LOS PRECIOS PARA LA CONSTRUCCIÓN DE 400 METROS DE CONDUCCIÓN Y CAPTACIÓN Y ENTREGARÁ AL GESTOR DEL PDA, PARA SU FINANCIACIÓN. IGUALMENTE HARÁN UN NUEVO ANÁLISIS DE CALIDAD DE AGUA DE LA FUENTE QUE PRESENTA MALA CALIDAD PARA ANALIZAR ALTERNATIVAS DE TRATAMIENTO. SE PROGRAMÓ VISITA TÉCNICA POR PARTE DEL GESTOR PARA EL DÍA 5 DE FEBRERO.</t>
  </si>
  <si>
    <t>SECTORES SAN JOSE Y MAJAYURA. INUNDACION POR FUERTES LLUVIAS</t>
  </si>
  <si>
    <t>FUERTES LLUVIAS.</t>
  </si>
  <si>
    <t>BARRIOS COLOMBIATON Y FLOR DEL CAMPO</t>
  </si>
  <si>
    <t>CAIDA DE ARBOLES BARRIO ALEMAN</t>
  </si>
  <si>
    <t>GIRON</t>
  </si>
  <si>
    <t>BARRIOS CONVIVIR, GALAN, EL TUNEL, LA INMACULADA.</t>
  </si>
  <si>
    <t>89
139</t>
  </si>
  <si>
    <t>SECTORES LA PUNTA, AVENIDA EL CABLE LAS PALMERAS, SAN VICENTE, EMENTERIO, PARQUE CENTRAL, PASTRANA, VILLANUEVA, LA PLAZUELA, SAN MARTIN, EL TEJAR, Y CALLE REAL, VEREDAS DAMAS BAJAS, CRISTALINA, EL GUALI, . APOYO DEL FNC EN MENAJE BASICO Y LAMINAS DE ZINC</t>
  </si>
  <si>
    <t>BARRIOS BELLA VISTA, NUEVO PLAN, VERACRUZ, TOKIO, COMUNA VILLA SANTANA, SECTOR CARACOL Y LA CURVA</t>
  </si>
  <si>
    <t>DOSQUEBRADAS</t>
  </si>
  <si>
    <t>BARRIOS CAMPESTRE C Y CAMPESTRE D, LA MACARENA, EL ENSUEÑO, LIMONAR, SANTA ISABEL, VALER, CALLE DE LOS AROMAS, COLEGIO JESUS MAESTRO. REPORTE DE LA DEFENSA CIVIL</t>
  </si>
  <si>
    <t>CORREGIMIENTO DE BILBAO. INFORMACION PRELIMINAR DEL CREPAD.</t>
  </si>
  <si>
    <t>CAIDA DE ARBOLES Y POSTES DE ENERGIA</t>
  </si>
  <si>
    <t>SEGOVIA</t>
  </si>
  <si>
    <t>MINA LA FRONTINO GOLD, EXPLOSION . RESCATADOS 34 MINEROS CON VIDA. REPORTE DEL CREPAD.</t>
  </si>
  <si>
    <t>NECOCLI</t>
  </si>
  <si>
    <t>TURBO</t>
  </si>
  <si>
    <t>VIA BOGOTA VILLAVICENCIO KM 40 AL 46. VEREDA QUINAMI. VIA CERRADA.</t>
  </si>
  <si>
    <t>MINA DE ORO . REPORTE DE LA DEFENSA CIVIL.</t>
  </si>
  <si>
    <t>CUMARAL</t>
  </si>
  <si>
    <t>DESBORDAMIENTO RIO GUACAVIA. INSPECCION GUACAVIA.  REPORTE DE LA DEFENSA CIVIL.</t>
  </si>
  <si>
    <t>DESBORDAMEINTO RIO GUAITIQUIA.  PARCELAS DEL PROGRESO. REPORTE DE LA DEFENSA CIVIL. REPORTE PRELIMINAR.</t>
  </si>
  <si>
    <t>DESBORDAMIENTO RIO GUAYURIBA. SECTOR BOCAS DE GUAYURIBA. REPORTE DE LA DEFENSA CIVIL.</t>
  </si>
  <si>
    <t>AFECTADOS CULTIVOS DE PALMA.</t>
  </si>
  <si>
    <t>BARRIO EL POBLADO. REPORTE DEL CLOPAD.</t>
  </si>
  <si>
    <t>REPORTE DEL CREPAD. VEREDA SABANALARGA.</t>
  </si>
  <si>
    <t>SAN JUANITO</t>
  </si>
  <si>
    <t>REPRESAMIENTO DE LAS QUEBRADAS LA MORENA EL RUCHICO Y RIO NEGRO. VIA EL CALVARIO SECTOR CAÑOS NEGROS Y SECTOR LA UNION REPORTE DE L CREPAD.</t>
  </si>
  <si>
    <t>BODEGAS DE CARVAL. CONTROLADO. REPORTE DEL CLOPAD.</t>
  </si>
  <si>
    <r>
      <t xml:space="preserve">MUNICIPIO CON RACIONAMIENTO DE AGUA Y/O DESABASTECIMIENTO POR PROBLEMAS DE SEQUIA DEBIDO AL FENOMENO DE EL NIÑO. REPORTE DEL MAVDT. </t>
    </r>
    <r>
      <rPr>
        <b/>
        <sz val="10"/>
        <color indexed="8"/>
        <rFont val="Arial"/>
        <family val="2"/>
      </rPr>
      <t>ACTUALMENTE SE ESTA SUMINISTRANDO AGUA EN CARRO TANQUES, EN COORDINACIÓN DEL CREPAD.</t>
    </r>
    <r>
      <rPr>
        <sz val="9"/>
        <color indexed="8"/>
        <rFont val="Arial"/>
        <family val="2"/>
      </rPr>
      <t xml:space="preserve">
</t>
    </r>
  </si>
  <si>
    <t>BARRIO VILLA JIMENEZ EL CERRITO, KM 2 VIA PLANETA RICA, LOS CORRALES, LOS ALPES. SAN NICOLAS VEREDE COROZA. ASUAS LLUVIAS. REPORETE DE LA DEFENSA CIVIL EN ATENCIÓN AL INFORME RENDIDO POR EL COMITÉ LOCAL QUIEN MANIFIESTAN QUE DEBIDO A LA FUERTES LLUVIAS SE PRESENTARON EMERGENCIAS - INUNDACIONES  SECTOR URBANO Y RURAL  DE LA POBLACIÓN EN LOS BARRIOS: (8 )VILLA JIMÉNEZ, LOS NOGALES, NUEVA ESPERANZA, CERRITO, CAMILO TORRES, SABANAL, POBLADO, VILLA PAZ.  PARA UN TOTAL DE 1135 FAMILIAS AFECTADAS. BARRIOS EL CERRO, VILLA FATIMA, VILLA JIMENEZ, ALFONSO LOPEZ, LETICIA Y EL CERRITO.  REPORTE DEL CLOPAD Y CREPAD.</t>
  </si>
  <si>
    <t>20858
21328</t>
  </si>
  <si>
    <t>SACOS EN CORMAGDALENA 15000 EN BARRANQUILLA Y 15000 EN BARRANCABERMEJA.</t>
  </si>
  <si>
    <t>22208
22705
22764</t>
  </si>
  <si>
    <t>BARRIOS HENEQUEN, LOS COMUNEROS, SAN JOSE DE LOS CAMPANOS, CORREGIMEINTO ARROYO GRANDE. REPROTE DEL CLOPAD.</t>
  </si>
  <si>
    <t>DESLIZAMIENTO POR ACCION DEL RIO EGIDO, VEREDA LA PAILA BARRIO LA MARIA Y CALLE 17. REPORTE DEL CLOPAD</t>
  </si>
  <si>
    <t>SE APOYA CON SACOS DE POLIPROPILENO</t>
  </si>
  <si>
    <t>LORICA/MONTERIA</t>
  </si>
  <si>
    <t>CORREGIMIENTO LA BOQUILLA, SECTOR VILLA GLORIA, REPORTE DEL CLOPAD.</t>
  </si>
  <si>
    <t>E APOYA DE MANERA GLOBAL AL DEPARTAMENTO.</t>
  </si>
  <si>
    <t>SE APOYA DE MANERA GLOBAL AL DEPARTAMENTO</t>
  </si>
  <si>
    <t>SE APOYA CON 200.000 SACOS DE POLIPROPILENO</t>
  </si>
  <si>
    <t>VIA VILLANUEVA LA MONTAÑA, VILLA NUEVA OROSUR, VILLANUEVA EL MORRO, VILLANUEVA LA SELVA, VILLANIEVA - LOS ZANJONES, VILLANUEVA - LA SARITA. REPORTE DEL CREPAD. NO CONCRETAN SOLICITUD FRENTE A REHABILITACION DE VIAS.</t>
  </si>
  <si>
    <t>PERDIDA DE CULTIVOS DE CAFÉ, CACAO, MALANGA, MAIZ, ARRACACHA, Y DOMINICO.</t>
  </si>
  <si>
    <t>REPORTE DEL CREPAD VALLE DEL CAUCA, A RAÌZ DEL SISMO PRESENTADO EN EL MUNICIPIO DE ARGELIA, TUVO CONSECUENCIAS EN EL MUNICIPIO DE TORO, EN LA CUAL RESULTO AFECTADA LA IGLESIA Y UN COMEDOR INFANTIL EN EL CORREGIMIENTO SAN FRANCISCO.</t>
  </si>
  <si>
    <t>EL CHARCO</t>
  </si>
  <si>
    <r>
      <t xml:space="preserve">MUNICIPIO CON RACIONAMIENTO DE AGUA Y/O DESABASTECIMIENTO POR PROBLEMAS DE SEQUI DEBIDO AL FENOMENO DE EL NIÑO. REPORTE DEL MAVDT. </t>
    </r>
    <r>
      <rPr>
        <b/>
        <sz val="10"/>
        <color indexed="8"/>
        <rFont val="Arial"/>
        <family val="2"/>
      </rPr>
      <t>SUMINISTRO DE AGUA A TRAVÉS DE CARROTANQUE CON EL APOYO DEL CREPAD</t>
    </r>
  </si>
  <si>
    <t>ACUED.</t>
  </si>
  <si>
    <t>C. SALUD</t>
  </si>
  <si>
    <t>C.EDUCAT.</t>
  </si>
  <si>
    <t>ALCANT.</t>
  </si>
  <si>
    <t>CONTAMINACION</t>
  </si>
  <si>
    <t>CATRE</t>
  </si>
  <si>
    <t>,,,,,</t>
  </si>
  <si>
    <t>POCILLO</t>
  </si>
  <si>
    <t>SABANAS</t>
  </si>
  <si>
    <t>DESLIZAMIENTO</t>
  </si>
  <si>
    <t>FECHA TRAMITE ADTIVO</t>
  </si>
  <si>
    <t>CUCHARA ACERO</t>
  </si>
  <si>
    <t>CUCHARA MADERA</t>
  </si>
  <si>
    <t>COMENTARIOS</t>
  </si>
  <si>
    <t>MUNICIPIO</t>
  </si>
  <si>
    <t>EVENTO</t>
  </si>
  <si>
    <t>PERSONAS</t>
  </si>
  <si>
    <t>FAMILIAS</t>
  </si>
  <si>
    <t>MUNICIPIO CON RACIONAMIENTO DE AGUA Y/O DESABASTECIMIENTO POR PROBLEMAS DE SEQUIA DEBIDO AL FENOMENO DE EL NIÑO. REPORTE DEL MAVDT. SE PRACTICARÁ VISITA POR PARTE DEL GESTOR  PARA EVALUAR  LA SITUACIÓN.</t>
  </si>
  <si>
    <t>SECTOR LA TULUA RESTAURANTE LA MANZANA</t>
  </si>
  <si>
    <t xml:space="preserve">REPORTE DE LC ACRUZ ROJA. DESBORDAMIENTO RIO CHIGORODO VEREDAS LIRIA Y GUAPALEON. </t>
  </si>
  <si>
    <t>MUNICIPIO CON RACIONAMIENTO DE AGUA Y/O DESABASTECIMIENTO POR PROBLEMAS DE SEQUI DEBIDO AL FENOMENO DE EL NIÑO. REPORTE DEL MAVDT. SE ESTÁ EFECTUANDO PRUEBAS EN EL POZO PROFUNDO</t>
  </si>
  <si>
    <t>MEDIO SAN JUAN</t>
  </si>
  <si>
    <t>GUAVIARE</t>
  </si>
  <si>
    <t>SAN JOSE DEL GUAVIARE</t>
  </si>
  <si>
    <t>SE APOYA TENIENDO EN CUENTA LOS INCONVENIENTES LOGISTICOSPARA LA ATENCION DE SITUACIONES DE EMERGENCIA EN EL MUNICIPIO</t>
  </si>
  <si>
    <t>CORREGIMIENTO SAN ANTONIO DE LOS CABALLEROS..CAIDA DE ARBOLES.</t>
  </si>
  <si>
    <t>SAN MARCOS</t>
  </si>
  <si>
    <t>SE APOYA TENIENDO EN CUENTA LOS PROBLEMAS PRESENTADOS AL SECTOR AGROPECUARIO</t>
  </si>
  <si>
    <t>SE APOYA EVALUANDO EL NUMERO DE PERSONAS AFECTADAS Y LA CONTRAPARTIDA DEL CLOPAD</t>
  </si>
  <si>
    <t>VILLAVICENCIO</t>
  </si>
  <si>
    <t>CORREGIMIENTO PIPIRAL. REPORTE DE LA DEFENSA CIVIL VIA RADIO</t>
  </si>
  <si>
    <t>MEDIO ATRATO</t>
  </si>
  <si>
    <t>AVALANCHA</t>
  </si>
  <si>
    <t>AVALANCHA QUEBRADA CUNE. REPORTE PRELIMINAR DEL CREPAD.</t>
  </si>
  <si>
    <t xml:space="preserve">REPORTE PRELIMINAR DEL CREPAD. CABECERA MUNICIPAL SE DECLARA EMERGENCIA POR PARTE DEL CLOPAD. </t>
  </si>
  <si>
    <t>MUNICIPIO CON RACIONAMIENTO DE AGUA Y/O DESABASTECIMIENTO POR PROBLEMAS DE SEQUI DEBIDO AL FENOMENO DE EL NIÑO. REPORTE DEL MAVDT. ES NECESARIO APOYO TÉCNICO, EL CUAL SE PRESTARÁ POR PARTE DEL PDA.Y GESTIÓN CON SNPAD . SE PRACTICARÁ VISITA POR PARTE DEL GESTOR  PARA EVALUAR CON MÁS DETALLE LA SITUACIÓN.</t>
  </si>
  <si>
    <t>MUNICIPIO CON RACIONAMIENTO DE AGUA Y/O DESABASTECIMIENTO POR PROBLEMAS DE SEQUI DEBIDO AL FENOMENO DE EL NIÑO. REPORTE DEL MAVDT. CON BASE EN RESULTADOS DE CONSULTA A MUNICIPIO, SE PRACTICARÁ VISITA POR PARTE DEL GESTOR  PARA EVALUAR  LA SITUACIÓN</t>
  </si>
  <si>
    <r>
      <t xml:space="preserve">DESBORDAMIENTO QUEBRADA HIGUA. . REPORTE DEL CREPAD. </t>
    </r>
    <r>
      <rPr>
        <b/>
        <sz val="9"/>
        <rFont val="Arial"/>
        <family val="2"/>
      </rPr>
      <t xml:space="preserve">EL VALOR DE OTROS 36 ROLLOS DE MANGUERA DE 2", 2500 METROS DE MANGUERA DE 1", 12 ROLLOS DE MANGUERA DE 1/2", 300 BULTOS DE CEMENTO, 600 TEJAS DE ZINC, 2000 METROS DE ALAMBRE DE PUA. </t>
    </r>
  </si>
  <si>
    <t>SE BRINDA APOYO COMPLEMENTARIO DEBIDO A LA EMERGENCIA OCURRIDA EL 11 DE ABRIL DE 2009 TENIENDO EN CUENTA LA NECESIDAD DE ADELANTAR UN PROCESO DE MEJORAMIENTO DE VIVIENDA.</t>
  </si>
  <si>
    <t>EMERGENCIA OCURRIDA POR VENDAVAL EL   11 ABRIL DE 2009.</t>
  </si>
  <si>
    <t>351 TEJA DE ZINCC DE 305, 18106 AMARRES, 2000 TEJA DE AC NO. 6, 2000 TEJA DE AC NO. 4, 1000 CABALLETES.</t>
  </si>
  <si>
    <t>AQUITANIA</t>
  </si>
  <si>
    <t>TOTA</t>
  </si>
  <si>
    <t>CHIQUINQUIRA</t>
  </si>
  <si>
    <t>CHISCAS</t>
  </si>
  <si>
    <t>COMBITA</t>
  </si>
  <si>
    <t>CORRALES</t>
  </si>
  <si>
    <t>CUCAITA</t>
  </si>
  <si>
    <t>DUITAMA</t>
  </si>
  <si>
    <t>FIRAVITOBA</t>
  </si>
  <si>
    <t>GACHANTIVA</t>
  </si>
  <si>
    <t>GARAGOA</t>
  </si>
  <si>
    <t>GUACAMAYAS</t>
  </si>
  <si>
    <t>COLAPSO</t>
  </si>
  <si>
    <t>COLAPSO DE MINA DE CARBON . REPORTE DEL MINISTERIO DE LA PROTECCION SOCIAL.</t>
  </si>
  <si>
    <t>GUATEQUE</t>
  </si>
  <si>
    <t>LA CAPILLA</t>
  </si>
  <si>
    <t>JERICO</t>
  </si>
  <si>
    <t>MONGUI</t>
  </si>
  <si>
    <t>MIRAFLORES</t>
  </si>
  <si>
    <t>LA VICTORIA</t>
  </si>
  <si>
    <t>MOTAVITA</t>
  </si>
  <si>
    <t>NOBSA</t>
  </si>
  <si>
    <t>OICATA</t>
  </si>
  <si>
    <t>PAIPA</t>
  </si>
  <si>
    <t>PUERTO BOYACA</t>
  </si>
  <si>
    <t>QUIPAMA</t>
  </si>
  <si>
    <t>SABOYA</t>
  </si>
  <si>
    <t>SAN MIGUEL DE SEMA</t>
  </si>
  <si>
    <t>SUTATENZA</t>
  </si>
  <si>
    <t>TIPACOQUE</t>
  </si>
  <si>
    <t>TOCA</t>
  </si>
  <si>
    <t>BUENAVISTA</t>
  </si>
  <si>
    <t>SUCRE</t>
  </si>
  <si>
    <t>SAMPUES</t>
  </si>
  <si>
    <t>QUIBDO</t>
  </si>
  <si>
    <t>ANAPOIMA</t>
  </si>
  <si>
    <t>BITUIMA</t>
  </si>
  <si>
    <t>COGUA</t>
  </si>
  <si>
    <t>COTA</t>
  </si>
  <si>
    <t>EL COLEGIO</t>
  </si>
  <si>
    <t>FUQUENE</t>
  </si>
  <si>
    <t>GRANADA</t>
  </si>
  <si>
    <t>GACHALA</t>
  </si>
  <si>
    <t>GUACHETA</t>
  </si>
  <si>
    <t>GUASCA</t>
  </si>
  <si>
    <t>GUATAVITA</t>
  </si>
  <si>
    <t>LA MESA</t>
  </si>
  <si>
    <t>LA PALMA</t>
  </si>
  <si>
    <t>LA PEÑA</t>
  </si>
  <si>
    <t>LENGUAZAQUE</t>
  </si>
  <si>
    <t>ORTEGA</t>
  </si>
  <si>
    <t>DESABORDAMIENTO QUEBRADA BETUAN. OENDIENTE AFECTACION</t>
  </si>
  <si>
    <t>DESLIZAMIENTO SOBRE MINA DE ORO ARTESANAL LLAMANDA EL CHOCO. PENDIENTE INFORMACION.</t>
  </si>
  <si>
    <t>MAJAGUAL</t>
  </si>
  <si>
    <t>SAN ONOFRE</t>
  </si>
  <si>
    <t>GALERAS</t>
  </si>
  <si>
    <t>CHALAN</t>
  </si>
  <si>
    <t>LOS PALMITOS</t>
  </si>
  <si>
    <t>CORREGIMIENTO LA BARBARA Y EL NUEVO INDIO</t>
  </si>
  <si>
    <t>CORREGIMIENTO EL HIGUERON, PAJOPNAL, PALO ALTO Y PAJONALITO</t>
  </si>
  <si>
    <t>INFORME DE LA D.C.C, AFECTADO EL BARRIO SAN GREGORIO.</t>
  </si>
  <si>
    <t>ANTIOQUIA</t>
  </si>
  <si>
    <t>MURINDO</t>
  </si>
  <si>
    <t>MANZANARES</t>
  </si>
  <si>
    <t>APOYO DEL FNC MEDIANTE EL SUMINISTRO DE 80 BOMBAS DE ESPALDA, 80 BATEFUEGOS, 50 MACHETES CON FUNDA, 30 CANTIMPLIRASM 80 PULASKI Y 50 HACHAS</t>
  </si>
  <si>
    <t>30
35</t>
  </si>
  <si>
    <t>APOYO DEL FNC MEDIANTE EL SUMINISTRO DE HERRAMIENTA ASI : 20 BOMBAS DE ESPALDA, 30 BATEFUEGOS 50 CASCOS, 50 MONOGAFAS, 50 PARES DE GUANTES, 20 MACHETES CON FUNDA, 50 CANTIMPLORAS, 50 PARES DE BOTAS, 20 AZADONES, 30 PALAS PLANAS, 50 SILBATOS, 30 LINTERNAS MANOS LIBRES, 3 GUADAÑADORAS., 500 RACIONES DE CAMPAÑA Y 1000 SOBRES HIDRATANTES</t>
  </si>
  <si>
    <t>APOYO CON 300 RACIONES DE CAMPAÑA, 600 SOBRES HIDRATANTES  Y HERRAMIENTA ASI: 50 BOMBAS DE ESPALDA, 80 RASTRILLOS, 80 PULASKI, 80 BATEFUEGOS, 80 MACHETES CON FUNDA, 80 AZADONES, 80 PALAS PLANAS.</t>
  </si>
  <si>
    <t>MILAN</t>
  </si>
  <si>
    <t>DESBORDAMIENTO RIO ORTEUAZA REPORTE DEL CREPAD.</t>
  </si>
  <si>
    <t xml:space="preserve">KILOMETRO 7 VIA AL CORREGIMIENTO LAS PIEDRAS. </t>
  </si>
  <si>
    <t>COLAPSO DE MINA DE ORO LLAMADA SANTA CRUZ.</t>
  </si>
  <si>
    <t>PORE</t>
  </si>
  <si>
    <t>DESBORDAMIENTO RIO PORE EN VEREDAS LA LIMITE Y EL BANCO. REPORTE DEL CREPAD</t>
  </si>
  <si>
    <t>MANI</t>
  </si>
  <si>
    <t>DESBORDAMIENTO RIO META VEREDDAS LA POLLATA Y EL LIMONAR.  REPORTE DEL CREPAD</t>
  </si>
  <si>
    <t>YOPAL</t>
  </si>
  <si>
    <t>CRECIENTE QUEBRADA PITIMENA EN LA VEREDA PITIMENA. REPORTE DEL CREPAD</t>
  </si>
  <si>
    <t>DESBORDAMIENTO RIO CASANARE. REPORTE DEL CREPAD.</t>
  </si>
  <si>
    <t>PROVIDENCIA</t>
  </si>
  <si>
    <t>BARRIO CIENAGA CALLE 9 CARRERA 13 REMOCION EN MASA POR FUERTES LLUVIAS</t>
  </si>
  <si>
    <t>AFECTADAS LAS COMUNIDADES DE CHIMARE. CARDON, AREMA, POPORTIN, CASIPACHI, SAN MARTIN, CASUCHI, PARILLEN</t>
  </si>
  <si>
    <t>INFORME DEL CREPAD VALLE Y CLOPAD OBANDO, AFECTADOS NUMEROSOS TECHOS DE VIVIENDAS Y DEL CUERPO DE BOMBEROS (APROBADO APOYO DE 300 MERCADOS, 500 TEJAS DE ZINC, 300 COLCHONETAS, 300 SOBRECAMAS Y 200 KIT. DE ASEO, COMPRADOS A CRISTALERIA LA MEJOR - CALI).</t>
  </si>
  <si>
    <t>GUAJIRA</t>
  </si>
  <si>
    <t>MANAURE</t>
  </si>
  <si>
    <t>CHOCO</t>
  </si>
  <si>
    <t>BAHIA SOLANO</t>
  </si>
  <si>
    <t>SANTANDER</t>
  </si>
  <si>
    <t>LOS SANTOS</t>
  </si>
  <si>
    <t>INFORME DE INGEOMINAS, EVENTO DE 4,4 GRADOSCON PROFUNDIDAD DE 144 KMS, SIN CONSECUENCIAS</t>
  </si>
  <si>
    <t>, SIN CONSECUENCIAS</t>
  </si>
  <si>
    <t>INFORME DE INGEOMINAS, EVENTO DE 3.3 GRADOS CON PROFUNDIDAD DE 47,3 KMS EPICENTRO CABECERA MPAL MANAURE, SIN CONSECUENCIAS.</t>
  </si>
  <si>
    <t>ARGELIA</t>
  </si>
  <si>
    <t>PEREIRA</t>
  </si>
  <si>
    <t>AFECTADO COLEGIO EN LA VEREDA TICUAQUITA. REPORTE DEL CREPAD.</t>
  </si>
  <si>
    <t>DESBORDAMIENTO RIO GUABAS, QUEBRADA VANEGAS Y LA ACEQUIA EL AVILA, CORREGIMIENTOS LA FLORESTA, COSTA RICA, SABALETA, LAS JUNTAS, VEREDAS BARBACOAS 2, LA CUESTA, EL GUABITO, BARRANCO BAJO, REPORTE DEL CLOPAD.</t>
  </si>
  <si>
    <t>PERDIDA DE CULTIVOS DE TRUCHA</t>
  </si>
  <si>
    <t>PIOJO</t>
  </si>
  <si>
    <t>SECTOR KM 2 VIA A BARRANQUILLA.REPORTE DE LA DEFENSA CIVIL</t>
  </si>
  <si>
    <t>DESBORDAMIENTO DEL ARROYO SOCAVON CORREGIMIENTO HIBACHAR. REPROTE DE LA DEFENSA CIVIL</t>
  </si>
  <si>
    <t>LURUACO</t>
  </si>
  <si>
    <t>DESBORDAMIENTO LAGUNA DE LURUACO. BARRIOS LA UNION SAN FELIPE, CORREGIMIENTO TOCAGUA, REPORTE DELA DEFENSA CIVIL.</t>
  </si>
  <si>
    <t>CAIDA DE ARBOLES Y POSTES DE LUZ</t>
  </si>
  <si>
    <t>BARRIOS LA COLINA, LA LIBERTAD, NUEVA GRANADA, BRISAS BAJO, INDEPNENCIA, BRISAS DE VENADO. REPORTE DEL CREPAD.</t>
  </si>
  <si>
    <t>DESBORDAMIENTO RIO ZULIA. REPORTE DEL CREPAD.</t>
  </si>
  <si>
    <t>SALAZAR</t>
  </si>
  <si>
    <t>AFECTADA VIA PAMPLONA - MALAGA. REPORTE DEL CREPAD</t>
  </si>
  <si>
    <t>DESBORDAMIENTO RIO SARDINATA. REPORTE DEL CREPAD.</t>
  </si>
  <si>
    <t>GRAMALOTE</t>
  </si>
  <si>
    <t>AFECTADA VIA GRAMALOTE - LOURDES. REPORTE DEL CREPAD.</t>
  </si>
  <si>
    <t>BARRIO SAN FRANCISCO DE ASIS. REPORTE DE LA DEFENSA CIVIL.</t>
  </si>
  <si>
    <t>DESBORDAMIENTO RIO MAGDALENA. REPORTE DEL CREPAD.</t>
  </si>
  <si>
    <t>CRECIENTE SUBITA RIO MAPA. SECTOR LA MARINA. REPORTE DEL CREPAD.</t>
  </si>
  <si>
    <t xml:space="preserve">FUERTES LLUVIAS. SECTOR MANZANARES. REPORTE DEL CLOPAD. </t>
  </si>
  <si>
    <t>DESBORDAMIENTO QUEBRADA CAÑAS.,VEREDA CAPA ROSAL. REPORTE DEL CREPAD.</t>
  </si>
  <si>
    <t>VEREDA LA MESA. FINCA LA GOLONDRINA. REPORTE DEL CREPAD.</t>
  </si>
  <si>
    <t>AFECTADO SILO DE CAFÉ</t>
  </si>
  <si>
    <t>VEREDA BELLO. FINCA LA RIVERA. REPORTE DEL CREPAD.</t>
  </si>
  <si>
    <t xml:space="preserve">VEREDA NARANJAL. AFECTADAS VIAS SAN MIGUEL - PUERTO TRIUNFO Y LOS PLANES - LOS MEDIOS. REPORTE DEL CREPAD. </t>
  </si>
  <si>
    <t>DESBORDAMIENTO QUEBRADA GUADALAJARA. REPORTE DEL CREPAD.</t>
  </si>
  <si>
    <t>DESBORDAMIETNO RIO OCOA. BARRIOS JUAN PABLO SEGUNDO Y PRIMERO DE MAYO, REPORTE DEL CREPAD.</t>
  </si>
  <si>
    <t>DESBORDAMIENTO RIO PESCADOR Y FUERTES LLUVIAS. CORREGIMIENTOS SAN ISIDRO, CERRO AZUL, LA PRIMAVERA, LA AGUADA, SAN JOSE, EL PUERTO, BRISAS DEL PAMPLONITA, LA TULIA, PLAZA VIEJA, LA SOLEDAD, LA HERRADURA, SAN FERNANDO, GUARE. REPORTE DEL CREPAD. FUERTES LLUVIAS. SECTORES EL PAVERO, BETUN, NARANAJL, EL MESTIZO, EL SALADO REPORTE DEL CREPAD.</t>
  </si>
  <si>
    <t>ANSERMANUEVO</t>
  </si>
  <si>
    <t>DESBORDAMIENTO RIO GUADALAJARA, BARRIOS EL CARMELO Y VEREDAS LA GAMARRA, LA MAGDALENA, SECTOR DE PUENTE NEGRO. REPORTE DEL CREPAD. DESBORDAMIENTO RIO BUGALAGRANDE SECTOR MESTIZAL. REPORTE DEL CREPAD. PENDIENTE INFORMACION</t>
  </si>
  <si>
    <t>DESBORDAMIENTO QUEBRADA SAN ROQUE. CORREGIMIENTO DE SONSON. REPORTE DEL CREPAD. DESBORDAMIENTO QUEBRADA GUACARI. CORREGIMIENTO SONSO, GUABAS, LA MAGDALENA Y CANANGUA. , REPORTE DEL CREPAD.</t>
  </si>
  <si>
    <t>ALCALA</t>
  </si>
  <si>
    <t>21052
23563
24557</t>
  </si>
  <si>
    <t>ADQUISICION DE MATERIALES PARA ALOJAMIENTO TEMPORAL. 3000 TEJAS DE ZINC, 200 CAJAS PUNTILLA PARA ZINC, 200 CAJAS PUN TILLA DE 4", 200 CAJAS PUNTILLA DE 3", 400 PUNTILLAS DE 2 1/2", 1500 METROS DE PLASTICO NEGRO, 500 LISTON DE MADERA DE 4X4X3 METROS, 500 LISTON DE MADERA DE 2X4X3, 500 TABLAS DE MADERA DE 1X2X3.</t>
  </si>
  <si>
    <t>306
307
22705
23551
44244</t>
  </si>
  <si>
    <r>
      <t xml:space="preserve">DESBORDAMIENTO DEL RIO SAN JORGE  AFECTANDO  A LA POBLACIÓN  QUE HABITAN EN LA ZONA RIBEREÑA  TALES COMO EN LOS CORREGIMIENTO DE PUERTO CÓRDOBA , LA VEREDA MANZANARES, VEREDA LOS ZAMBOS, VEREDA GÉNOVA, VEREDA SANTA CLARA. PARA UN TOTAL DE 284 FAMILIAS AFECTADAS.. </t>
    </r>
    <r>
      <rPr>
        <b/>
        <sz val="9"/>
        <rFont val="Arial"/>
        <family val="2"/>
      </rPr>
      <t>APOYO DEL FNC MEDIANTE GIRO DIRECTO AL CLOPAD PARA LOS TRABAJOS DE REFORZAMIENTODEL DIQUE EN LA VEREDA GENOVA.</t>
    </r>
  </si>
  <si>
    <t>EL TARRA</t>
  </si>
  <si>
    <t>AVALANCHA RIO TARRA. ZOONA RURAL. REPORTE DEL CREPAD.</t>
  </si>
  <si>
    <t>TIBANA</t>
  </si>
  <si>
    <t>BARRIO LAS BRISAS. REPORTE DEL CREPAD.</t>
  </si>
  <si>
    <t>BARRIOS ALTICO, TORRECITAS, EL JARDIN. REPORTE DEL CREPAD.</t>
  </si>
  <si>
    <r>
      <t xml:space="preserve">VEREDAS LA GUACATALA, CHARCOS Y PALO COPOSO.. REPORTE  DEL CREPAD Y EL CLOPAD. </t>
    </r>
    <r>
      <rPr>
        <b/>
        <sz val="9"/>
        <rFont val="Arial"/>
        <family val="2"/>
      </rPr>
      <t>EL VALOR DE OTROS CORRESPONDE A LOS SIGUINETES MATERIALES: 292 TEJAS DE ZINC DE  2.014, 830 TEJAS DE FIBROCEMENTO NO. 6, 190 CABALLETES, 3.400 LADRILLOS, 850 VARILLAS CORRUGADAS, 200 CHIPAS DE HIERRO DE 1/4 x KILO 325 BULTOS DE CEMENTO, 1.500 GANCHOS PARA TEJA DE FIBROCEMENTO, 1.850 AMARRES PARA TEJA.</t>
    </r>
  </si>
  <si>
    <t>200 TEJAS DE ZINC, 500 DE AC NO. 6, 1850 AMARRES Y 1000 GANCHOS</t>
  </si>
  <si>
    <t>SE APOYA TENIENDO EN CUENTA LOS ESFUERZOS LOCALES Y REGIONALES  Y LA GRAVE AFECTACION EN EL DEPTOPOR LA TEMPORADA INVERNAL.</t>
  </si>
  <si>
    <t>BARRIO SAN MARTIN, VEREDAS ALTO BONITO, PLATANILLA, LA Y LORENA BAJA . REPORTE DEL CREPAD. APOYO DEL FNC EN MENAJE BASICO Y LAMINAS DE ZINC</t>
  </si>
  <si>
    <t>MUNICIPIO CON RACIONAMIENTO DE AGUA Y/O DESABASTECIMIENTO POR PROBLEMAS DE SEQUIA DEBIDO AL FENOMENO DE EL NIÑO. REPORTE DEL MAVDT. SUMINISTRO DE AGUA POR CARROTANQUE.</t>
  </si>
  <si>
    <t>PUERTO WILCHES</t>
  </si>
  <si>
    <t>DESBORDAMIENTO CAÑO CASCAQUERA. REPORTE DE DEFENSA CIVIL</t>
  </si>
  <si>
    <t>VCEREDA CALABAZAL. REPORTE DE DEFENSA CIVIL.</t>
  </si>
  <si>
    <t>RIOSUCIO</t>
  </si>
  <si>
    <t>OLAYA HERRERA</t>
  </si>
  <si>
    <t>BARRIOS CORTINAS DEL ZAQUE, EL CARMEN, SAN ANTONIO, LOS COJINES, JORDAN, BACHUE, LAS QUINTAS REMANSO DE SANTA INES. FUERTES LLUVIAS. REPORTE DE DEFENSA CIVIL Y DEL CREPAD.</t>
  </si>
  <si>
    <t>DESBORDAMIENTO ARROYO LAS NIEVES, BARRIO LAS NIEVES. REPORTE DEL CLOPAD.</t>
  </si>
  <si>
    <t>DESBORDAMIENTO DE ARROYOS BARRIO LA LUZ.</t>
  </si>
  <si>
    <t>BARRIO AMERICAS. REPORTE DEL CLOPAD.</t>
  </si>
  <si>
    <t>SECTOR PUERTO SECO. AFECTADA VIA QUE COMUNICA A PITALITO, FLORENCIA Y MOCOA, POR CAIDA DE ARBOLES EN DIFERENTES PUNTOS</t>
  </si>
  <si>
    <t xml:space="preserve">BARRIOS LA GAVIOTA, ALASKA, MARTINICA, TESORITO, SIETE DE AGOSTO. REPORTE DEL CLOPAD. </t>
  </si>
  <si>
    <t>AFECTADO PUENTE VEHICULA EN VIA NACIONAL A LA COSTA. SECTOR SAN ROQUE, PUENTE CUATRO BOCAS. REPORTE DE LA POLICIA DE CARRETERAS.</t>
  </si>
  <si>
    <t>DESLIZAMIENTO SOBRE BUSETA SECTOR LECHERITA, VIA LA RAYA, SITIO LA ESPERANZA. REPORTE DE SOCORRO NACIONAL.</t>
  </si>
  <si>
    <t xml:space="preserve">BARRIO SAN LUIS Y VEREDA LA AURORA. REPORTE DE SOCORRO NACIONAL. </t>
  </si>
  <si>
    <t>CARRERA 3 CALLE 9 REPORTE DEL CREPAD.</t>
  </si>
  <si>
    <t>DESBORDAMIENTO DEL LAGO. REPORTE DEL CREPAD</t>
  </si>
  <si>
    <t>AFECTADA VIA ZIPAQUIRA UBATE KM 41. REPORTE DEL CREPAD</t>
  </si>
  <si>
    <t>DESBORDAMEINTO RIO BOGOTA. VEREDAS CHUNTAME, CANELON, HATO GRANDE. REPORTE DEL CREPAD.</t>
  </si>
  <si>
    <t>VEREDA PEÑA ALTA. REPROTE DE LA DEFENSA CIVIL</t>
  </si>
  <si>
    <t>SECTOR RIVERA DEL RIO. REPORTE DEL CLOPAD.</t>
  </si>
  <si>
    <t>CORREGIMEINTO LA VILLA. AFECTADAS VIAS LEYVA - LAS DELICIAS, LA GARGANTA - EL PLACER, LAS DELICIAS - MAMACONDE, LEYVA - LE PALMAR, EL PALMAR - EL CHUCHO, EL PALMAR - LA VILLA, LEYVA - PUERTO NUEVO. REPROTE DEL CREPAD.</t>
  </si>
  <si>
    <t>ANCUYA</t>
  </si>
  <si>
    <t>DESBORDAMIENTO RIO UPIA. AFECTADO PUENTE QUE COMUNICA META CON CASANARE. REPORTE DEL CREPAD.</t>
  </si>
  <si>
    <t>CISNEROS</t>
  </si>
  <si>
    <t>PALESTINA</t>
  </si>
  <si>
    <t>CABUYARO</t>
  </si>
  <si>
    <t>YUMBO</t>
  </si>
  <si>
    <t>SAPUYES</t>
  </si>
  <si>
    <t>COMUNIDADES DE LOS MONOS, MARAMBA, LA FLORESTA. VIA SAPAUYES MALAVER, REPORTEDE L CREPAD.</t>
  </si>
  <si>
    <t>ANDES</t>
  </si>
  <si>
    <t>VEREDAS PANGOS, LAS DELICIAS, CAMPOBELLO, PITAL, LOS GUABOS, SAN VICENTE, LA ESMERALDA, EL BOQUERON, EL HUILQUE, VIAS CURIACO - GUAYABAL Y LOS GUABOS - PANGOS.REPROTE DEL CREPAD.</t>
  </si>
  <si>
    <t>GUAITARILLA</t>
  </si>
  <si>
    <t>VIAS GUAITARILLA - MOTILON, GUAITARILLA - CABUYO, GUAITARILLA - SAN ALEJANDRO, GUAITARILLA - PLAN GRANDE, GUAITARILLA - YUNGUITA, GUAITARILLA - GUAITARA, CUATRO ESQUINAS - GIRARDOT, GIRARDOT - EL ROSARIO DE INGA, GUATARILLA - CIENAGA, SAN JOSE - BUENOS AIRES. REPORTE DEL CREPAD.</t>
  </si>
  <si>
    <t>SAN PEDRO DE CARTAGO</t>
  </si>
  <si>
    <t>VEREDAS LA COMUNIDAD, LA RINDONADA, CHIMAJOY BAJO, EL SALADO. VIA LA ESTANCIA - BOTANILLA Y VIA NACIONAL LA RINCONADA. REPORTE DEL CREPAD.</t>
  </si>
  <si>
    <t>CUMBAL</t>
  </si>
  <si>
    <t>BARRIOS CERRO GORDO. COLINAS DEL SUR, GRANADA, SAN ISIDRO, YULDAIMA, SANTOFIMIO, LA MERTINICA, LA FLORIDA, LA UNION,. SAN JOSE, 20 DE JULIO, LA CEIBA, ALCALA. BALTAZAR Y LA CEIBA SUR. REPORTE DEL CLOPAD.</t>
  </si>
  <si>
    <t>DESBORDAMIENTO SAN JUAN. COMUNIDADES DE MALAGUITA, CUELLAR, PUERTO PIZARRO LA CABECERA. CACHAJO, AGUACIRA. REPROTE DE LA DEFENSA CIVIL.</t>
  </si>
  <si>
    <t>BARRIOS SAN MIGUEL, LAS PALMAS, LAS CLARITAS, CORREGIMIENTO DE VILLAROSA, ROTINET, CIEN PESOS Y LAS COMPUERTAS.REPORTE DEL CLOPAD</t>
  </si>
  <si>
    <t>SE APOYO CON ALIMENTOS A TRAVES DEL CREPAD</t>
  </si>
  <si>
    <t>DESBORDAMIETNO QUEBRADA PRESIDENTA SECTOR COLA DEL ZORRO. EL POBLADO. REPORTE DEL CREPAD.</t>
  </si>
  <si>
    <r>
      <t>CABECERA MUNICIPAL Y CORREGIMIENTOS REAL DEL OBISPO Y SAN LUIS.</t>
    </r>
    <r>
      <rPr>
        <b/>
        <sz val="9"/>
        <rFont val="Arial"/>
        <family val="2"/>
      </rPr>
      <t xml:space="preserve"> EL VALOR DE OTROS CORRESPONDE A UNA MOTOBOMBA DE 8"X8". APOYO DEL FNC MEDIANTE GIRO DIRECTO AL CLOPAD PARA ADQUISICION DE COMBUSTIBLE, , ALQUILER DE 15 MOPTOBOMBAS, PAGO DE BRIGADAS MEDICAS, TRANSPORTE DE AYUDAS HUMANITARIAS</t>
    </r>
  </si>
  <si>
    <t>BARRIOS LAS AURORAS Y LAS CRUCES. REPORTE DEL CREPAD.</t>
  </si>
  <si>
    <t>BARRIOS SAN JORGE Y BUENOS AIRES. REPORTE DE DEFENSA CIVIL</t>
  </si>
  <si>
    <t>LA CUMBRE</t>
  </si>
  <si>
    <t>DESBORDAMEINTO QUEBRADA LA PALMA, VEREDAS SANTA HELENA, PAPALITO, LA PLAYA AFECTACIONE EN VIAS. REPORTE DEL CREPAD.</t>
  </si>
  <si>
    <t>VEREDA EL DORADO. REPORTE DEL CREPAD.</t>
  </si>
  <si>
    <t>AFECTADO EL CASCO URBANO POR FALTA DE SUMINSITRO DE AGUA POTABLE. REPORTE DEL CREPAD.</t>
  </si>
  <si>
    <t>SECTORES LA MARIA, BARRIOS BUENOS AIRES BAJO, LAS AMERICAS AFECTADA VIA CALARCA - ALTO DEL RIO. REPORTE DEL CREPAD.</t>
  </si>
  <si>
    <t>SECTORES SAN VICENTE, PLAN, ALBAÑILES, REPORTE DEL CREPAD.</t>
  </si>
  <si>
    <t>PERDIDA DE CULTIVOS DE PAPA ARVEJA Y PASTOS.</t>
  </si>
  <si>
    <t>BELEN</t>
  </si>
  <si>
    <t>DESBORDAMIENTO RIO MINAS. SECTORES TUATE ALTO, VEREDA LA VENTA. REPROTE DEL CREPAD</t>
  </si>
  <si>
    <t>PERDIDA DE 273 AVES DE CORRAL.</t>
  </si>
  <si>
    <t>PARTE ALTA VEREDA CAÑITAS. SECTOR TOUMO. REPORTE DEL CREPAD.</t>
  </si>
  <si>
    <t>PERDIDAS EN CULTIVOS.</t>
  </si>
  <si>
    <t>AFECTADA VIA PALERMO - GAMBITA REPORTE DEL CREPAD.</t>
  </si>
  <si>
    <t>DESBORDAMIENTO RIO CAUCA Y RISARALDA. BARRIOS SAN CARLOS, BUENOS AIRES, LA PLAYA, LAS AMERICAS EL PROGRESO, TANGARIFE 1 Y 2, ALFONSO LOPEZ, SAN ANTONIO. REPORTE DEL CREPAD.</t>
  </si>
  <si>
    <t>DESBORDAMIENTO RIO TOTUI VEREDA TOTUI REPORTE DEL CREPAD.</t>
  </si>
  <si>
    <t>VEREDA LA QUIEBRE. REPORTE DEL CREPAD.</t>
  </si>
  <si>
    <t>REPORTE DEL CREPAD AFECTADA VIA PRINCIPAL TRONCAL NACIONAL.</t>
  </si>
  <si>
    <t>VEREDA LA MARIA. AFECTADO PUETNE PESTONAL QUE COMUNICA LA VEREDA LA MADERA CON LA VEREDA PALO CRUZAL.  REPORTE DEL CREPAD.</t>
  </si>
  <si>
    <t>CORREGIMEINTO TRES BOCAS. REPROTE DEL CREPAD.</t>
  </si>
  <si>
    <t>PERDIDA DE CULTIVOS DE CAFÉ, HABICHUELA, PLATANO, HELECHOS.</t>
  </si>
  <si>
    <t xml:space="preserve">DESBORDAMIENTO RIO UNGUIA. REPORTE DE LA DEFENSA CIVIL. </t>
  </si>
  <si>
    <t>DESBORDAMEINTO RIO LA ESTRELLA. RESGUARDO INDIGENA LA MONTAÑA. REPORTE DEL CREPAD.</t>
  </si>
  <si>
    <t>AFECTADO PUENTE VEHICULAR DON NICOLAS VEREDA LA BOHEMIA. AFECTADA VIA CALARCA - ALTO DEL RIO. REPROTE DEL CREPAD. CIERRE DEL PUENTE.</t>
  </si>
  <si>
    <t>VEREDA EL TOGO. AFECTACION EN ACUEDUCTO DE LAS VEREDAS SAN ISIDRO Y SAN ALFONSO. REPORTE DEL CREPAD.</t>
  </si>
  <si>
    <t>CORREGIMEINTO LA JUANA. REPORTE DEL CREPAD.</t>
  </si>
  <si>
    <t>MACEO</t>
  </si>
  <si>
    <t>CARCO URBANO. REPORTE DEL CREPAD.</t>
  </si>
  <si>
    <t>VEREDA LA MURIENDA Y LA PLANTA. REPORTE EL CREPAD</t>
  </si>
  <si>
    <t>INUNDAICON  POR FUERTES LLUVIA, VEREDA EL GOLPE, REPORTE DEL CREPAD</t>
  </si>
  <si>
    <t>SECTOR RURAL. REPORTE DEL CREPAD.</t>
  </si>
  <si>
    <t>SAN VICENTE</t>
  </si>
  <si>
    <t>REPORTE DEL CREPAD. AFECTADO EL COLISEO.</t>
  </si>
  <si>
    <t>CASCO URBANO. REPROTE DEL CREPAD.</t>
  </si>
  <si>
    <t>VEREDA LA MADERA. REPORTE DEL CREPAD.</t>
  </si>
  <si>
    <t xml:space="preserve">PERDIDA DE CULTIVOS DE PAPA. </t>
  </si>
  <si>
    <t>ANSERMA</t>
  </si>
  <si>
    <t>VEREDA MORRO AZUL. REPORTE EL CREPAD.</t>
  </si>
  <si>
    <t>DESBORDAMIENTO RIO MANZANARES Y QUEBRADA TAMACA. BARRIOS NUEVA MANSION, LA ESMERALDA, BULEVAR DEL RIO, TAYRONA, VILLA DEL RIO, OCHODE, FEBRERO, PAMPLONITA, MALVINAS, VILLA U, SIMON BOLIVAR, SALAMANCA REPORTE DEL CLOPAD.</t>
  </si>
  <si>
    <t>GIRALDO</t>
  </si>
  <si>
    <t>DESBORDAMIENTO ARROYO JULIAN. VEREDA CASA ALUMINIO, LAS FLORES, REMEDIOS, PALOMINO, LOS ROSALES, RIO CLARO, LAS MARIAS.. REPORTE DE LA DEFENSA CIVIL.</t>
  </si>
  <si>
    <t>ZONA DEL CENTRO. ALMACEN SURTITODO DEL LLANO, JORDAN Y SEPIA.  EL INCENDIO SIGUE ACTIVO. PENDIENTE AFECTACION, REPORTE DEL CREPAD. APOYO EN MATERIALES DE CONSTRUCCION PARA LA RECONSTRUCCION DE LOS LOCALES AFECTADOS POR EL INCENDIO ESTRUCTURAL.</t>
  </si>
  <si>
    <t>SANTO TOMAS</t>
  </si>
  <si>
    <r>
      <t>BARRIOS BIENA ESPERANZA, 7 DE AGOSTO, VOLVER A VIVIR, Y 20 DE JULIO. REPORTE DEL CREPAD Y CLOPAD.</t>
    </r>
    <r>
      <rPr>
        <b/>
        <sz val="9"/>
        <rFont val="Arial"/>
        <family val="2"/>
      </rPr>
      <t xml:space="preserve"> APOYO DEL FNC MEDIANTE GIRO DIRECTO AL CLOPAD PARA LA ADQUISICION DE COMBUSTIBLE Y LUBRICANTE PARA LA OPERACIÓN DE MOTOBOMBAS EN LA ZONA DE INUNDACION.</t>
    </r>
  </si>
  <si>
    <t>BARRIO BRISAS BAJO. REPORTE EL CLOPAD.</t>
  </si>
  <si>
    <t>DESBORDAMIENTO RIO CAUCA. REPORTE DEL CREPAD.</t>
  </si>
  <si>
    <t>GUICAN</t>
  </si>
  <si>
    <t>SECTOR PEÑON DE LOS MUERTOS REPORTE DEL CREPAD.</t>
  </si>
  <si>
    <t>DESBORDAMIENTO QUEBRADA KINIGUCA DE APORE. VEREDA CHINITA. REPORTE DE LA DEFENSA CIVIL.</t>
  </si>
  <si>
    <t>BARRIOS ALBANIA, BUENAVISTA, ANTONIO SANTOS SUR, GRANJAS DE PROVENZA, COMUNA 11 REPROTE DELÑ CLOPAD.</t>
  </si>
  <si>
    <t>BARRIO CINCO ESTRELLAS. REPROTE DEL CREPAD.</t>
  </si>
  <si>
    <t>POSTES DE ENERGIA ELECTRICA</t>
  </si>
  <si>
    <t>LA ARGENTINA</t>
  </si>
  <si>
    <t>VEREDA SAN VICENTE. REPORE DEL CREPAD.</t>
  </si>
  <si>
    <t>DESBORDAMIENTO RIO MAGDALENA, PENDIETE AFECTACION.</t>
  </si>
  <si>
    <t>AFECTADO OLEODUCTO CAÑO LIMON - COVEÑAS. REPORTE DEL CREPA.</t>
  </si>
  <si>
    <t>ROLDANILLO</t>
  </si>
  <si>
    <t>DESBORDAMIENTO RIO ROLDANILLO. BARRIOS ASUNCION, LA HERMITA, EL LLANITO EL CENTRO Y SIMON BOLIVAR.  REPROTE DEL CREPAD.</t>
  </si>
  <si>
    <t xml:space="preserve">20360
20842
</t>
  </si>
  <si>
    <t>SE APOYA TENENDO EN CUENTA LA MAGNITUD E LA EMERGENCIA</t>
  </si>
  <si>
    <r>
      <t>REPORTE DEL CREPAD</t>
    </r>
    <r>
      <rPr>
        <b/>
        <sz val="9"/>
        <rFont val="Arial"/>
        <family val="2"/>
      </rPr>
      <t xml:space="preserve"> APOYO DEL FNC MEDIANTE GIRO DIRECTO AL CLOPAD PARA LA ADQUISICION DE COMBUSTIBLE Y MANTENIMIENTO DE MOTOBOMBAS.</t>
    </r>
  </si>
  <si>
    <t>SALAMINA</t>
  </si>
  <si>
    <t>SUAZA</t>
  </si>
  <si>
    <t>VEREDAS LAS QUEMADAS, HATO VIEJO, LA ISLA. REPORTE DEL CREPAD.</t>
  </si>
  <si>
    <t>DOS ESTABLECIMEINTOS COMERCIALES.</t>
  </si>
  <si>
    <t>TESALIA</t>
  </si>
  <si>
    <t>VEREDA EL PALMITO REPORTE DEL CREPAD.</t>
  </si>
  <si>
    <t>DESBORDAMIENTO RIO MAGDALENA AFECTADO EL 90% DEL CASCO URBANO. REPORTE DEL CREPAD.</t>
  </si>
  <si>
    <t>AFECTADA VIA DE ACCESO.CULEBRITA, SAN CAYETANO Y MONTERO. REPORTE DEL CREPAD.</t>
  </si>
  <si>
    <t>VEREDA GUACAS. REPORTE DEL CREPAD.</t>
  </si>
  <si>
    <t>QUINCHIA</t>
  </si>
  <si>
    <t>VEREDA MATECAÑA. REPORTE DEL CREPAD.</t>
  </si>
  <si>
    <t>BARRIO MOTORISTA. REPORTE DEL CREPAD.</t>
  </si>
  <si>
    <t>SISMO A LAS 7:20 PM MAGNITUD 4.2 PROFUNDIDAD SUPERFICIAL CON EPICENTRO A 3.6 KM AL NORESTE DE LA CABECERA MUNICIPAL DE RIOBLANCO. VEREDA CRUZ VERDE. REPORTE DEL CREPAD Y SOCORRO NACIONAL</t>
  </si>
  <si>
    <t>CORREGIMEINTO AGUA CLARA. REPORTE DEL CREPAD.</t>
  </si>
  <si>
    <t>VEREDA SIBERIA, PARQUE DEL TAMA. REPROTE DEL CREPAD</t>
  </si>
  <si>
    <t>VEREDA AURORA ALTA.  REPORTE DE LA DEFENSA CIVIL Y CREPAD.</t>
  </si>
  <si>
    <t>BARRIOS MORMONES, CAMELIAS, 20 DE JULIO, PALMAR DE LA SIERRA, BOMBEROS, EL LAGUITO SAGUANES, EL INDIGENA, BARRIO LINCON. VARIANTE DEL NORTE, EL CACIQUE, SECTOR VIREN BLANCA. REPORT DEL CREPAD.</t>
  </si>
  <si>
    <t>PADILLA</t>
  </si>
  <si>
    <t>BARRIOS COLOMBIA, BAJO VALLE, CAMPO ALEGRE Y NUEVA COLOMBIA. REPORTE DEL CLOAPD.</t>
  </si>
  <si>
    <t>JURADO</t>
  </si>
  <si>
    <t>BARRIO EL CENTRO. REPROTE DEL CREPAD.</t>
  </si>
  <si>
    <t xml:space="preserve">SEIS CENTROS COMERCIALES AFECTADOS. </t>
  </si>
  <si>
    <t>SECTOR URBANO. REPROTE DEL CREPAD.</t>
  </si>
  <si>
    <t>VEREDAS PROVINCIA Y LA FORTUNA, REPORTE DEL CREPAD.</t>
  </si>
  <si>
    <t>TOCANCIPA</t>
  </si>
  <si>
    <t>REPORTE DEL CREPAD. VEREDA LA ESMERALDA, SECTOR TINJACA.</t>
  </si>
  <si>
    <t>DESBORDAMIENTO RIO UPIA, VEREDA EL HORQUETON, LOS PADROTES, CAIMAN ALTO Y BAJO, LAS ISLAS, LOS GEMELOS, LOS TRONCOS, CARACOLI, SANTA HELENA DE UPIA. REPORTE DEL CREPAD.</t>
  </si>
  <si>
    <t>PERDIDA DE CULTIVOS DE PLATANO, YUCA Y ARROZ, PERDIDA DE ANIMALES DE CORRAL, CERDOS, OVEJAS Y GANADO.</t>
  </si>
  <si>
    <t>DESBORDAMIENTO RIO TOCARIA, VEREDAS LA CAPILLA, GUACHARACOS, EL PRETEXTO LA YOPALOSA. REPORTE DEL CREPAD.</t>
  </si>
  <si>
    <t>CERRO DE LA POPA. REPORTE DEL CLOPAD.</t>
  </si>
  <si>
    <t>DESBORDAMIENTO ARROYO SAN BLAS. REPORTE DEL CREPAD.</t>
  </si>
  <si>
    <t>VEREDA LA CANDELARIA. SECTOR QUEBRADA LA MORENA. PERDIDA DE PUENTE VEHICULAS Y VEREDA SAN JOSE. DESBORDAMEINTO QUEBRADA SAN ANTONIO Y CAÑOS NEGROS. AFECTADA VIA FOMEQUE - SAN JUANITO. REPORTE DEL CREPAD.</t>
  </si>
  <si>
    <t>VEREDAS PALOMIA, ALTAMIZAR, CONDE, ABALOCHE. REPORTE DEL CREPAD.</t>
  </si>
  <si>
    <t>SECTORES CAÑAVERAL, PUEBLO NUEVO, LA NUBE, TRIBUNA, ARAÑALES, EL GOLFO, SAN MARTIN, LA TRAVESIA, COJONES, COFRE, LLANO GRANDE, SAN LUIS, REPORTE DEL CREPAD.</t>
  </si>
  <si>
    <t>SECTORES MONTERREY, ALASKA, PUEBLO NUEVO, LA PRIMAVERA, JANEIRO, LA HABANA, MIRAVALLE, LA MAGDALENA, EL TOPACIO, EL CRUCERO, NOGALES, LA PALOMERA, PUERTO BERTIN, LA TROZADA, LA MESA, LA PLAYA, EL PLACER, EL CARMELO. REPORTE DEL CREPAD.</t>
  </si>
  <si>
    <t>RIOFRIO</t>
  </si>
  <si>
    <t>SECTORES LOS ALPES, PORTOBELLO, E CONTROL, LA ITALIA, SAN MARINO, MIRAVALLE, PUERTO ARTURO, EL RUBI, EL BOSQUE, COROZAL, PALMAS, MORRO PLANCHO, LA ZULIA, LA JUDEA, EL JAGUAL,  CALABAZAS, SAN PABLO, LA VIGOROZA, LOS ESTRECHOS, MADRIGAL, PORTUGAL DEL CARMEN, PUERTO FENICIA, LA CRISTALINA,. RIOFRIO BAJO, MIRAVALLE BAJO. RPEORTE DEL CREPAD.</t>
  </si>
  <si>
    <r>
      <rPr>
        <sz val="9"/>
        <rFont val="Arial"/>
        <family val="2"/>
      </rPr>
      <t xml:space="preserve">SECTORES BARRIO SAN FRANCISCO, SAN ANTONIO, EL CHANCO, EL LAZARO, BOHIO BUENAVISTA, SABANAZO, LA PRADERA, EL GUINEO, EL CEDRO, LA CONSOLIDA, PATIO BONITO, LA QUIEBRA, EL CHONTADURO. </t>
    </r>
    <r>
      <rPr>
        <b/>
        <sz val="9"/>
        <rFont val="Arial"/>
        <family val="2"/>
      </rPr>
      <t xml:space="preserve">   APOYO DEL FNC MEDIANTE GIRO DIRECTO AL CLOPAD PARA ADQUISICION DE COMBUSTIBLE PARA LA OPERACIÓN DE LA MAQUINARIA Y TRASLADO DE MATERIAL PARA EL REALCE DEL DIQUE DE PROTECCION DEL DISTRITO DE RIEGO.</t>
    </r>
  </si>
  <si>
    <t>INUDNACION POR FUERTES LLUVIAS. BARRIOS CANADA, LA PALMA, CORREGIMIENTO RIO BRAVO, VEREDAS EL DIAMANTE, LA FLORIDA, LA GAVIOTA, SAN JOSE, EL BOLEO. REPORTE DEL CREPAD.</t>
  </si>
  <si>
    <t>DESBORDAMIENTO RIO NAYA. CORREGIMIENTO CONCEPCION REPROTE DEL CREPAD.</t>
  </si>
  <si>
    <t>DESBORDAMIENTO RIO MAGDALENA. BRRIOS RO0BLES, TASAJERA Y NERVID. REPORTE DE DEFENSA CIVIL.</t>
  </si>
  <si>
    <t>DESBORDAMIENTO RIO MAGDALENA Y ARROYO RASTRO. BARRIOS ARMERO. CORREGIMIENTOS GAMBOTE Y SAN AGUSTIN. REPORTE DE LA DEFENSA CIVIL.</t>
  </si>
  <si>
    <t>DESBORDAMIENTO ARROYO LARGO. REPORTE DELA DEFENSA CIVL</t>
  </si>
  <si>
    <t xml:space="preserve">CORREGIMIETNO LAS PIEDRAS. REPORTE DE DEFENSA CIVIL. </t>
  </si>
  <si>
    <t>REPORTE DE LA DEFENSA CIVIL.ZONA INDUSTRIAL, BARRIO POLICARPA, CRESPITO FREDONIA. LA POPA, ZONA DE MAMONAL</t>
  </si>
  <si>
    <t>CORREGIMIENTO SICERIN, DESBORDAMEINTO CANAL DEL DIQUE. REPORTE DE DEFENSA CIVIL.</t>
  </si>
  <si>
    <t>SAN ANTONIO</t>
  </si>
  <si>
    <t>VEREDA SAN JORGE, REPORTE DE DEFENSA CIVIL}</t>
  </si>
  <si>
    <t>SAMANA</t>
  </si>
  <si>
    <t>CASCO URBANO. REPORTE DEL CREPAD</t>
  </si>
  <si>
    <t>DESBORDAMIENTO RIO MAGDALENA. BARRIO PRIMERO DE MAYO. REPROTE DEL CREPAD.</t>
  </si>
  <si>
    <t>REPROTE DEL CREPAD. BARRIO EL INSTITUTO, , EL CENTRO, EL MOLINO, VEREDAS SILASQUILLO, SAN MIGUEL, PEÑONCITO ORIENTAL</t>
  </si>
  <si>
    <t>DESBORDAMIENTO RIO CAUCA, ZONA RURAL Y CORREGIMEINTOS JUANCHITO, DOMINGO LARGO, CALITUBOS, PUEBLONUEVO. REPORTE DE LA DEFENSA CIVIL.</t>
  </si>
  <si>
    <t>BARRIO LA GABRIELA, SECTOR CALLE VIEJA.CLOPAD, CRUZ ROJA Y MINPROTECCION SOCIAL.</t>
  </si>
  <si>
    <t>REPROTE DEL CREPAD Y CLOPAD CIAS EL RECREO - PUENTE FIERRO, LA ZANJA - GUACHICONO, ARBELA - LOS PLANES, SAN JOSE - LETICIA. PUENTES: LA ZANJA, PANCITARA, PUENTE LA PINTADA, PUENTE EL PALMAR, PUENTE EL DIVISO.</t>
  </si>
  <si>
    <t>PERDIDA DE CULTIVOS DE CAFÉ, CAÑA, Y PANCOGER.</t>
  </si>
  <si>
    <t>PIENDAMO</t>
  </si>
  <si>
    <t>REPORTE DEL CREPAD. BARRIO NACIONAL SECTOR URBANO. VAIS ALTO PIENDAMO - SAN ISIDRO, EL CARMEN CAMPO ALEGRE, SAN PEDRO - LA MINA. AFECTADA BIBLIOTECA DE MUNICIPIO</t>
  </si>
  <si>
    <t xml:space="preserve">VEREDAS UFUGU, GUALOTO, SAUCE, EL MARQUEZ, LOMA ABAJO, JIGUAL, PINZON, FLORIDA, LOMA GRANDRE, LA DESPENSA, BARRAGA VIEJA, EL CEFIRO, EL ALTILLO, PORVENIR, PORTACHUELO, EL DIVISO, LA LAJA, PARRAGA, SANTA CLARA, LA SOLEDAD, CHONTADURO, PARRGA VIEJO, PAN DE AZUCAR, PINZON, EL RETIRO, ALTO DE LAS YERBAS, BELLA VISTA. GOLONDRINAS, BERLIN, PALO BLANCO, GUAYACANAL, PUERTO LLAVE, EL LIBANO, EL SAUCE, EL CHURO TABLON, GUALOTO, EL RAMAL, BELLO HORIZONETE, EL MARQUEZ , LA VIOLETA, GUISABALO, LA FLORIDA JIGUAL, PEÑA BLANCA Y SOLEDAD REPORTE DEL CREPAD. ACUEDUCTOS DE CHONTADURO, PORTACHUELO, PUERTO LLAVE, PALOBLANCO, EL DIVISO . </t>
  </si>
  <si>
    <t xml:space="preserve">SECTORES SAN LORENZO, TRUJILLO, LA CARBOENRA, CHALGUAYACOI, LOS AZULES, BELLO HORIZONTE, SAN JUAN, LOS MILAGROS, PANCHI, LERMA, PALMITAS, RIO BLANCO. VIAS BOLIVAR- SAN LORENZO, AGUAGORDA - EL CARMEN, LOS MILAGROS - SAN JUAN. PANCHE - SAN JUAN, PALMITAS - RIO BLANCO, GUAYABITAS - CARBONERA, CARBONERA - LA MONJA, LA PLAYA - LA ESTRELLA , BOQUERON - GUADUA , BOQUERON - BOLIVAR., ESCUELA VEREDA AGUAS, ACUEDUCTO DE BOLIVAR SAN LORENZXO TRUJILLO, CARBONERA, CHALGUAYACO, LOS AZULES, BELLO HORIZONTE. </t>
  </si>
  <si>
    <t>DESBORDAMIETNO RIO PATIA. REPORTE DEL CREPAD. VIAS BALBOA - ARGELIA, EL PORVENIR - LA BEMERMEJA, EL CRUCE - LA JOAQUINA, SAN ALFONSO - MONARES, LA PALMA - EL JARDIN, EL PORVENIR - SAN ANTONIO, LA CABAÑA - VERSALLES, LA CABAÑA - LA COCHA. ESCUELA VEREDA LA JOAQUINA, CENTROS DE SALUD DE BERMEJA BAJA, SAN ALFONSO, PURETO.</t>
  </si>
  <si>
    <t>CULTIVOAS DE CAFÉ, AÑA, PLATANO,PANCOGER, FRUTALES, YLULO.</t>
  </si>
  <si>
    <t>ALMAGUER</t>
  </si>
  <si>
    <t xml:space="preserve">SECTORES EL PROVENIR, EL PLATANILLAL, EL BOQUERON, LA CHORRERA, EL CAIRO, BELEN, PUEBLO NUEVOS, EL PLACER, EL HATO, QUINTERO, TUNURCO, LAS PIEDRAS, CUCHICAMA, HATONUEVO, EL RETIRO, EL PALCER, SN PEDRO, LAS GUACAS, LAS CRUCES. </t>
  </si>
  <si>
    <t>CORREGIMIENTOS SANTA LETICIA, PALETARA, COCONUCO, VEREDS LOS ARRAYANES, PATIO BONITO, EL ROBLE, EL AGACATAL, SAN JOSE, CUARE, PISANRABO, SAN BARTOLO, RIOCLARO, CENTRO PALETARA.</t>
  </si>
  <si>
    <t>REPORTE DE LA DEFENSA CIVIL Y CLOPAD. SECTOR SABINAS. KM 13. VIA MANIZALES - BOGOTA. FALLECIMEINTO DE OPERARIO DE INVIAS.</t>
  </si>
  <si>
    <t>REPORTE DEL CLOPAD. AFECTADA BODEGA BARRIO JARDIN.</t>
  </si>
  <si>
    <t>UNA BODEGA AFECTADA.</t>
  </si>
  <si>
    <t>GUACA</t>
  </si>
  <si>
    <t>GUAPOTA</t>
  </si>
  <si>
    <t>MACARAVITA</t>
  </si>
  <si>
    <t>RIONEGRO</t>
  </si>
  <si>
    <t>SAN BENITO</t>
  </si>
  <si>
    <t>SANTA HELENA DEL OPON</t>
  </si>
  <si>
    <t>SURATA</t>
  </si>
  <si>
    <t>VALLE DE SAN JOSE</t>
  </si>
  <si>
    <t>21943
22249</t>
  </si>
  <si>
    <t>SE APOYA DE MANERA COMPLEMENTARIA A LOS ESFUERZOS LOCALES Y REGIONAL.</t>
  </si>
  <si>
    <t>AFECTADO BARRIO LA ESMERALDA. REPROTE DEL CREPAD.</t>
  </si>
  <si>
    <t>SE APOYA DE MANERA GLOBAL A TRAVES DEL DEPARTAMENTO</t>
  </si>
  <si>
    <t>EL CALVARIO</t>
  </si>
  <si>
    <t>VEREDAS LA PEPINA, CAIMITO, SAN PABLO, PROGRESO, AURIRA, SAN VICENTE, AGUA BLANCASAN FRANCISCO, LA HOYA, LAS CATORCE. AFECTACION EN CULTIVOS DEBIDO A LOS EFECTOS DEL FENOMENO DE EL NIÑO.</t>
  </si>
  <si>
    <t>SECTORES SAN ANTONIO, AMBALA, FUENTE DE LOS ROSALES, VIVERO, LOS CIRUELOS, EL VERJEL,ARADO, DELICIAS, IBAGUE 2000, VILLA DEL SOL, BELEN Y OASIS.</t>
  </si>
  <si>
    <t>SECTORES SANTA RITA, TIERRA ADENTRO, PANTANILLO, CONVENIO, SANTA BARBARA, TOCHE, LA HONDA, FLORIDA, CHAGRES, VILLA NUEVA, MATEO, PERALTA, LAS AMERICAS Y PORVENIR.</t>
  </si>
  <si>
    <t>NATAGAIMA</t>
  </si>
  <si>
    <t>VEREDA LA PALMITA Y BALSILLAS</t>
  </si>
  <si>
    <t>SAN LUIS</t>
  </si>
  <si>
    <t>DESBORDAMIENTO QUEBRADAS CHIPALO Y PAJADA. 10 VEREDAS AFETCADAS PENDIENTE DE INFORMACION.</t>
  </si>
  <si>
    <r>
      <t>MUNICIPIO CON RACIONAMIENTO DE AGUA Y/O DESABASTECIMIENTO POR PROBLEMAS DE SEQUI DEBIDO AL FENOMENO DE EL NIÑO. REPORTE DEL MAVDT. PARA EL POZO RURAL, CORPOBOYACÁ ACOMPAÑARÁ EN UNA SEMANA A UNA PRUEBA DE BOMBEO PARA INICIAR LA NORMALIZACIÓN JURÍDICA DEL POZO.SE GESTIONARÁ CON INGEOMINAS E IDEAM LA INFORMACIÓN DISPONIBLE DE BOYACÁ RELACIONADA CON AGUAS SUBTERRÁNEAS PARA IDENTIFICAR LA NECESIDAD DE NUEVAS PERFORACIONES O ESTUDIOS COMPLEMENTARIOS.SE DEBEN EMPRENDER MEDIDAS DE RACIONAMIENTO; NO SE TIENEN ALTERNATIVAS POR LO QUE SE PROGRAMARÁ VISITA TÉCNICA.  AFECTADA LA CARCER DE MEDIA SEGUIRIDAD. LA GERENCIA PDA DEBE EFECTUAVISITA A LA VEREDA SAN ISIDO PARA MANTENIMIENTO DE POZO.</t>
    </r>
    <r>
      <rPr>
        <b/>
        <sz val="9"/>
        <color indexed="8"/>
        <rFont val="Arial"/>
        <family val="2"/>
      </rPr>
      <t xml:space="preserve">COMO SOLUCION SOLICITAN 500 METROS DE MANGUERA Y ACOPLES PARA LLEVAR AGUA DESDE LA CARCEL DE MAXIMA SEGURIDAD A LA DE MEDIA SEGURIDAD.      </t>
    </r>
  </si>
  <si>
    <r>
      <t>APOYO A LA</t>
    </r>
    <r>
      <rPr>
        <b/>
        <sz val="9"/>
        <rFont val="Arial"/>
        <family val="2"/>
      </rPr>
      <t xml:space="preserve"> FUERZA AEREA COLOMBIANA</t>
    </r>
    <r>
      <rPr>
        <sz val="9"/>
        <rFont val="Arial"/>
        <family val="2"/>
      </rPr>
      <t xml:space="preserve"> EN EQUIPOS PARA LA ATENCION DE LOS INCENDIOS FORESTALES. ASI: 22 RADIOS DE COMUNICACIÓN EN VHF, 15 RADIOS DE COMUNICACIÓN TERRESTRE EN UHF Y 2 BASCULAS DE 5 TONELADAS ($128,069,420). DOS CAMIONETAS PICKUP 4X4 Y UN CAMION PARA 6 TONELADAS ($328,333,580). DOS CUATRIMOTOS, 2 TRAILES PARA CUATRIMOTO, UN MONTACARGA DE 55 TONELADAS. POR VALOR DE $243,587.000.</t>
    </r>
  </si>
  <si>
    <t>55
81
96</t>
  </si>
  <si>
    <t>VEREDA PUEBLO NUEVO. DESBORDAMIENTO QUEBRADAS EL ESPINAL Y SAN PABLO, LA GUAYABAL Y LA PIOJA. BARRIOS BELEN, CARACOLI PATIO BONITO Y SAUCEDAL.BELEN, VILLA PAZ, VILLA CATALINAISAIAS OLIVAR, NACIONAL SANTA MARGARITA, AVENIDA BETANI, CABALLERO, FUTURO, FATIMA, CENTRO, SAN PEDRO, ASOBETANIA, ENTRE RIOS, LA ESPERANZA.</t>
  </si>
  <si>
    <t>VEREDA ESPRIELLA. INUNDACION POR DESPORDAMIENTO RIO CAUNAPI. REPORTE DEL CREPAD.</t>
  </si>
  <si>
    <t>SAN FRANCISCO</t>
  </si>
  <si>
    <t>REPORTE DEL CREPAD CUNDINAMARCA.</t>
  </si>
  <si>
    <t>VEREDA EL CEDRO, AGUA BONITA  MORROS, BALCONES, MIRAMAR, GAITANA, PALMARRIBA, REINABAJA, EL CARMEN, . REPORTE DEL CREPAD. EN EVALUACION SOLICITUD DE MANGUERA EN ESPERA DE ESPECIFICACIONES</t>
  </si>
  <si>
    <t>GIGANTE</t>
  </si>
  <si>
    <t>ARBOLETES</t>
  </si>
  <si>
    <t>BOGOTA D.C.</t>
  </si>
  <si>
    <r>
      <t xml:space="preserve">MUNICIPIO CON RACIONAMIENTO DE AGUA Y/O DESABASTECIMIENTO POR PROBLEMAS DE SEQUI DEBIDO AL FENOMENO DE EL NIÑO. REPORTE DEL MAVDT. . </t>
    </r>
    <r>
      <rPr>
        <b/>
        <sz val="9"/>
        <color indexed="8"/>
        <rFont val="Arial"/>
        <family val="2"/>
      </rPr>
      <t>SE ENVIARON CUATRO TANQUES DE 2000 LITROS CADA UNO PRESTADO POR MEDICOS SIN FRONTERAS POR DOS MESES</t>
    </r>
  </si>
  <si>
    <t>APOYO DEL FNC MEDIANTE LA ADQUISICION DE COMBUSTUBLE `POR VALOR DE $55.000.000, FUMIGACION Y CONTROL DE VECTORES POR VALOR DE $5.000.000, DOS MOTOSIERRAS $9,000,000, MACHETES Y HACHAS $3,000,000.</t>
  </si>
  <si>
    <t>62
201</t>
  </si>
  <si>
    <t>VEREDAS TORTUGAS, CORINTO, ISLA DEL SOL Y LA CHICA.</t>
  </si>
  <si>
    <t xml:space="preserve">PERDIDA DE CULTIVOS DE CACAO Y PLATANO Y MADERABLES. SE PRESENTO CAIDA DE ARBOLES SOBRE VIVIENDAS. DAÑO DE UN KIOSCO. </t>
  </si>
  <si>
    <t>CUNDAY</t>
  </si>
  <si>
    <t>PERDIDA DE CULTIVOS DE CAFÉ PLATANO, MAIZ, FRIJOL, CACAO, ARVEJA Y PASTOS POR EFECTOS DEL FENOMENO E EL NIÑO</t>
  </si>
  <si>
    <t>LORICA</t>
  </si>
  <si>
    <t>DESBORDAMIENTO ARROYOS EL SAPO Y EL AJI. BARRIOS VILLA ESTELA, EL ESPINAL, EL MARQUEZ Y CORREGIMIENTO DE SANTA RITA. REPORTE DE LA DEFENSA CIVIL.</t>
  </si>
  <si>
    <r>
      <t xml:space="preserve">DESBORDAMIENTO RIO CAUCA Y MAGDALENA. BARRIOS VILLA MARIA, PLAYA RICA, VENEZUELA Y VILLA GERONIMO. VEREDAS PARAISO, CENTRO ALEGRE, TUCUYALTO, NISPERO, VEREDA, CORREGIMIENTOS BELLA VISTA, BUENAVISTA, PUERTO ISABEL, SANTA LUCIA, SAN ANDRES, PRIVIDENCIA, PLAYA BAJA, TRES CRUCES, MEDIALUNA, PALENQUERO, CONVENCION, SANTA FE, VILLA MARIA, LA PLAYITA, VILLA JANETH, NUEVA VICTORIA, PERALTA, CORONCORO. EL PARAISO, LOS NISPEROS, CONVENCION, GUACAMAYO, TRES CRUCES, BELLAVISTA, BUENAVISTA, ALGARROBO, EL PUENTE,  REPORTE DE LA DEFENSA CIVIL. </t>
    </r>
    <r>
      <rPr>
        <b/>
        <sz val="9"/>
        <rFont val="Arial"/>
        <family val="2"/>
      </rPr>
      <t>EL VALOR DE OTROS CORRESPONDE A 350 PARES DE BOTAS PARA ADULTO Y 150 PARA NIÑOS.</t>
    </r>
  </si>
  <si>
    <r>
      <t xml:space="preserve">DESBORDAMIENTO RIO CAUCA Y RUPTURA DEL DIQUE AFECTADO SECTOR BOCAS DEL CURA. FINCA LOS PINEDA, VWEREDA EL PARAISO. . REPORTE DE LA DEFENSA CIVIL. </t>
    </r>
    <r>
      <rPr>
        <b/>
        <sz val="9"/>
        <rFont val="Arial"/>
        <family val="2"/>
      </rPr>
      <t>APOYO DEL FNC MEDIANTE GIRO DIRECTO AL CLOPAD PARA ATENDER LA EMERGENCIA Y APOYAR LA ADQUISICION DE COMBUSTIBLE PARA LA MAQUINARIA QUE SE ENCUENTRA TRABAJANDO EN EL SECTOR COMPRENDIDO ENTRE LA BOCA DEL CANALY EL CHORRO DE LOS PINEDOS. EL VASLOR DE OTROS CORRESPONDE A 350 PARES DE BOTAS PARA ADULTO Y 150 PARA NIÑO.</t>
    </r>
  </si>
  <si>
    <t>GUAYABETAL</t>
  </si>
  <si>
    <t>DESBORDAMIENTO RIO TELEMBI. REPORTE DEL CLOPAD Y CREPAD. EL CREPAD MEDIANTE OFICIO DEL 1 DE OCTUBRE DA A CONOCER LAS ACCIONES ADELANTADAS A NIVEL REGIONAL MEDIANTE EL SUMINISTRO DE ASISTENCIA HUMANITARIA POR VALOR DE 196 MILLINES DE PESOS Y 10 TONELADAS DE ARROZ Y 5 TONELADAS DE AZUCAR DONACION DE LA DIAN.</t>
  </si>
  <si>
    <t>ADICIONALMENTE SE APOYO A TRAVES DEL DEPARTAMENTO</t>
  </si>
  <si>
    <t>GUADALAJARA DE BUGA</t>
  </si>
  <si>
    <t>VEREDA EL JANEIRO, VEREDAS LA MARIA  Y MIRAVALLE SECTOR PORVENIR, PALOMERA, PUERTO BERLIN, CARMELO. . VIA LA MAGDALENA - EL JANEIRO VIA EL PLACER - LA PISCINA, EL PLACER - LAS DELGADITAS, ALASKA -MONTERREY. REPORTE DEL CREPAD. SE REMITE AL CREPAD PARA EVALUACION</t>
  </si>
  <si>
    <t>BARRIO LOS PEDREGALES ALTO.REPORTE DE DEFENSA CIVIL.</t>
  </si>
  <si>
    <t>BARRIOS EL TRIUNFO GALAN, BOQUIA, Y EL CORREGIMIENTO DE BETULIA. REPORTE DEL CLOPAD Y DEFENSA CIVIL</t>
  </si>
  <si>
    <t>BARRIO BREITON. REPORTE DEL CREPAD.</t>
  </si>
  <si>
    <t>REPORTE DEL CREPAD EL CASCO URBANO SE ENCUENTRA INCOMUNICADO.</t>
  </si>
  <si>
    <t>FALAN</t>
  </si>
  <si>
    <t>PALOCABILDO</t>
  </si>
  <si>
    <t>VEREDA PAJUI. SE ENCUENTRA INCOMUNICADA LA POBLACION REPORTE DEL CREPAD.</t>
  </si>
  <si>
    <t>CHAPARRAL</t>
  </si>
  <si>
    <t>DESBORDAMIENTO QUEBRADA LEMAYA. EN EVALUACION. REPORTE DEL CREPAD.</t>
  </si>
  <si>
    <t>SECTOR LA CUCHARITA. REPORTE DEL CREPAD Y CLOPAD. SOLICITAN REGISTRO DE LA EMERGENCIA EN LA BASE DE DATOS</t>
  </si>
  <si>
    <t>DESBORDAMIENTO RIO MAGDALENA, CORREGIMIENTOS SAN SEBASTIAN Y BARBOSA. REPORTE DEL CREPAD</t>
  </si>
  <si>
    <t>CORREGIMIENTO NARIÑO, REPORTE DEL CREPAD.</t>
  </si>
  <si>
    <t>VEREDA RIO GRIS SAN JUAN. REPORTE DEL CREPAD.</t>
  </si>
  <si>
    <t>GACHETA</t>
  </si>
  <si>
    <t>ZONA RURAL REPORTE EL CREPAD.</t>
  </si>
  <si>
    <t>233
232
277
21509</t>
  </si>
  <si>
    <t>279
21509</t>
  </si>
  <si>
    <t>251
280
21509</t>
  </si>
  <si>
    <t>CASERIO EL TARRITO. REPORTE DEL CREPAD. TAPONADA VIA OCAÑA - CUCUTA. SE SOLICITA AL CREPAD EVALUAR LA SITUACION.</t>
  </si>
  <si>
    <t>SUSACON</t>
  </si>
  <si>
    <t>DESBORDAMIENTO RIO QUEBRADA TORURA. REPORTE DEL CREPAD.</t>
  </si>
  <si>
    <t>AFECTADOS DOS NEGOCIOS.</t>
  </si>
  <si>
    <t>AFECTADO CASCO URBANO. REPORTE DEL CREPAD.</t>
  </si>
  <si>
    <t>BARRIO EL BOSQUE. REPORTE DEL CREPAD.</t>
  </si>
  <si>
    <t>AFECTADO TRES VEHICULOS POR CAIDA DE ARBOLES</t>
  </si>
  <si>
    <t>VEREDA BOYAGA, REPORTE DEL CREPAD.</t>
  </si>
  <si>
    <t>MOLAGAVITA</t>
  </si>
  <si>
    <t>BARRIOS ROCIO ALTO, RIO, CORREGIMIENTO DE PUERTO CABRERA. REPORTE DEL CLOPAD</t>
  </si>
  <si>
    <t>VEREDA SN MIGUEL CABILDO INDIGENA DE INGA. REPORTE DE DEFENSA CIVIL.</t>
  </si>
  <si>
    <t>VEREDA EL PALMITO. REPORTE DEL CREPAD.</t>
  </si>
  <si>
    <t>270
297
21712</t>
  </si>
  <si>
    <t>1022 TEJAS DE ZINC, 135 DE AC NO. 6 Y 40880 AMARRES</t>
  </si>
  <si>
    <t>268 TEJAS DE ZINC, 288 DE AC NO. 6 Y 1072 AMARRES</t>
  </si>
  <si>
    <t>20 tejas no. 8, 193 tejas no. 6, 30 tejas no.4 120 tejas p1000, 160 tejas p 10, 1000 amarres y 20 galones de colorcel</t>
  </si>
  <si>
    <t>REPORTAN AFECTACION EN VIAS EL PITAL - CERRO ALTO, EL RINCON - PLAN DE ZUÑIGA - EL AZUL, CALDONO - PUEBLO NUEVO, EL RINCON - LA AGUADA. PASA A PROYECTOS.</t>
  </si>
  <si>
    <t>ACCIDENTE</t>
  </si>
  <si>
    <t>VIA BOGOTA - VILLAVICENCIO PEAJE PUENTE QUETAME.  ACCIDENTADO VEHICULO DE BOMBEROS QUE CAE AL RIO NEGRO.</t>
  </si>
  <si>
    <t>RESTREPO</t>
  </si>
  <si>
    <t>DESBORDAMIENTO RIO CANEY.</t>
  </si>
  <si>
    <t>PERDIDA DE CULTIVOS DE PLATANO, ARROZ, MAIZ, YUCA.</t>
  </si>
  <si>
    <t>CORREGIMIENTO DE CARPINTERO, VEREDAS CAFES, DANUBIO, PORVENIR, LA ESTRELLA EL ROSARIO, RESGUARDO MOSEUNQUE</t>
  </si>
  <si>
    <t>SOACHA</t>
  </si>
  <si>
    <t>BARRIO PUERTO MONTERO. DEBIDO A LAS FUERTES LLUVIAS SE PRESENTO COLAPSO DE VIVIENDA</t>
  </si>
  <si>
    <t xml:space="preserve">REPORTE DE LA DEFENSA CIVIL. INSPECCION ZULUAGA, VEREDAS LA FLORIDA Y BAJO PIÑAL </t>
  </si>
  <si>
    <t>VEREDAS CHINCE, JUATICA Y PAN DE AZUCAR. INUNDACION POR MATERIAL DE ARRASTRE</t>
  </si>
  <si>
    <t>SAN CAYETANO</t>
  </si>
  <si>
    <t>INUNDACION POR MATERIAL DE ARRASTRE. VEREDA PIE DE PEÑA. AFECTADA ESCUELA.</t>
  </si>
  <si>
    <t>HACIENDAS LAS MERCEDES Y CONSTANZA REPRESAMIENTO DEL RIO BOGOTA POR CAIDA DE ARBOLES DE EUCALIPTO,.</t>
  </si>
  <si>
    <t>MEDELLIN</t>
  </si>
  <si>
    <t>BARRIOS ROBLEDO, OLAYA HERRERA, ANTONIO NARIÑO Y SAN JAVIER. REPORTE DEL CREPAD</t>
  </si>
  <si>
    <t>VILLAVIEJA</t>
  </si>
  <si>
    <t>BARRIO LA ENEA</t>
  </si>
  <si>
    <t>MELGAR</t>
  </si>
  <si>
    <t>VIA IBAGUE ESPINAL SECTOR CHICORAL. PERSONAS AISLADAS.</t>
  </si>
  <si>
    <t>CARMEN DE APICALA</t>
  </si>
  <si>
    <t>DEBORDAMIENTO RIO UGAZA. AFECTACION DE MENOR PROPORCION, AFECTADA LA ESCUELA REPORTE TELEFONICO DEL CREPAD.</t>
  </si>
  <si>
    <t>REPORTE DEL CREPAD TELEFONICO.</t>
  </si>
  <si>
    <t>ARAUCA</t>
  </si>
  <si>
    <t>DESBORDAMIENTO RIO HACHA Y QUEBRADAS LA SARDINAQ Y LA PERDIZ. PENDIENTE EVALUACION. LA INFORMACION SOBRE AFECTACION SE CONSOLIDA EN EL EVENTO OCURRIDO EL 22 DE MAYO, TENIENDO EN CUENTA QUE SE TRATA DE UNA MISMA SITUACION.</t>
  </si>
  <si>
    <t>MUNICIPIO CON RACIONAMIENTO DE AGUA Y/O DESABASTECIMIENTO POR PROBLEMAS DE SEQUI DEBIDO AL FENOMENO DE EL NIÑO. REPORTE DEL MAVDT, CON ESTE RACIONAMIENTO TIENEN BAJO CONTROL LA SITUACION.</t>
  </si>
  <si>
    <t>MUNICIPIO CON RACIONAMIENTO DE AGUA Y/O DESABASTECIMIENTO POR PROBLEMAS DE SEQUI DEBIDO AL FENOMENO DE EL NIÑO. REPORTE DEL MAVDT. EN RACIONAMIENTO.  SITUACIÓN REPORTADA BAJO CONTROL</t>
  </si>
  <si>
    <t>EXPLOSION DE POLVORERIA EN EL SECTOR CAÑO GUAQUE. REPORTE DEL CREPAD VIA AVANTEL.</t>
  </si>
  <si>
    <t>APIA</t>
  </si>
  <si>
    <t>MISTRATO</t>
  </si>
  <si>
    <t>RACIONAMIENTO EN ZONA RURAL POR DISMINUUCION DE CAUDALES POR ENCIMA DEL 50% DE LA DUENTE ABASTECEDORA</t>
  </si>
  <si>
    <t>LA MONTAÑITA</t>
  </si>
  <si>
    <t>VEREDAS CANTAMONOS, YARUMAL, EL TIGRE, TAPARCAL, PIÑALES, LA SELVA, SAN JOSE, LA TESALIA, SANTA EMILIA, LOS ANGELES, TACHIGUI, EL BOSQUE, BARRIO LA JABONERIA, LAS COLINAS, BUENOS AIRES, LOS CONSTRUCTORES, OBRS PUBLICAS,28 DE FEBRERO, APROVIVAR, CHORRO SECO, PUERTA DEL SOL, ALTA DE LA CRUZ, SAN MARCOS, CASA DE LA CULTURA, MOCATAN, VILLA HERMOSA, PALOMARCITO, LAS GAVIOTAS.</t>
  </si>
  <si>
    <t>MARSELLA</t>
  </si>
  <si>
    <t>CRECIENTE SUBITA RIO BADILLO. CORREDIMIENTO DE LA VEGA.</t>
  </si>
  <si>
    <t>BARRIO BOSTON. CAIDA DE ARBOL SOBRE VIVIENDA. REPORTE DEL CLOPAD.</t>
  </si>
  <si>
    <t>PERDIDA DE CULTIVOS. Y AVES DE CORRAL.</t>
  </si>
  <si>
    <t>COLOMBIA</t>
  </si>
  <si>
    <t>QUEBRADA LA LEJIA.</t>
  </si>
  <si>
    <t>DESBORDAMIENTO QUEBRADA LA OCA. BARRIOS LA ESMERALDA Y LA PAZ. REPORTE DE LA RUZ ROJA AY EL CREPAD. SITUACION EN EVALUACION PARA CONFIRMAR NECESIDAD DE APOYO DEL NIVEL NACIONAL VICTOR PERLAZA ALCALDE 3117279935.</t>
  </si>
  <si>
    <t>CIMITARRA</t>
  </si>
  <si>
    <t>DESBORDAMIENTO RIO CARARE AFECTADO CORREGIMIENTO DE PUERTO ARAUJO. SITUACION EN EVALUACION PARA VER NECESIDAD DE APOYO DEL NIVEL NACIONAL SECRETARIO DE GOBIERNO ENRIQUE OLARTE 3182530454</t>
  </si>
  <si>
    <t>KIT COCINA</t>
  </si>
  <si>
    <t>KIT ALCOBA</t>
  </si>
  <si>
    <t>JABON BARRA</t>
  </si>
  <si>
    <t>DESCRIPCION Y UBICACIÓN</t>
  </si>
  <si>
    <t>INCENDIO FORESTAL</t>
  </si>
  <si>
    <t>OLLAS</t>
  </si>
  <si>
    <t>EXPLOSION</t>
  </si>
  <si>
    <t xml:space="preserve">M E N A J E S </t>
  </si>
  <si>
    <t>VALOR TOTAL</t>
  </si>
  <si>
    <t>CEMENTO</t>
  </si>
  <si>
    <t>APOYO FONDO NACIONAL DE CALAMIDADES</t>
  </si>
  <si>
    <t>182
206</t>
  </si>
  <si>
    <t>SECTOR GUANANA. REPORTE DEL CREPAD.</t>
  </si>
  <si>
    <t xml:space="preserve">DESBORDAMIENTO RIO GUELMAMBI  REPORTE DEL CLOPAD. </t>
  </si>
  <si>
    <t>SECTOR LOS TUBOS. REPORTE TELEFONICO DEL CREPAD</t>
  </si>
  <si>
    <t>DOS VEHICULOS ATRAPADOS</t>
  </si>
  <si>
    <t>TOLIMA</t>
  </si>
  <si>
    <t>VIA GIRARDOT - NARIÑO, Y DESBORDAMIENTO QUEBRADA SAN JOSE</t>
  </si>
  <si>
    <t>SE APOYA TENIENDO EN CUENTA LA GRAVE AFECTACION.</t>
  </si>
  <si>
    <t>34446
36755</t>
  </si>
  <si>
    <t>ALTOS DEL ROSARIO</t>
  </si>
  <si>
    <t>DESBORDAMIENTO RIO MAGDALENA. CORREGIMIENTOS DE LA PACHA, SAN ISIDRO, ALTOS DEL ROSARIO, EL RUBIO, SAN MARTIN, EL DIAMANTE, EL CARMEN, SAN JORGE,VENECIA, SANTA LUCIA, CARDALES, PUERTO ROSARIO, VEREDAS EL CAIMAN Y EL MIMBRE.</t>
  </si>
  <si>
    <t>DESBORDAMIENTO RIO CAUCA. CORREGIMIENTOS DE LA RAYA, LA ENCARAMADA, LAS PLAYITAS, LA LOMA, CAIMITAL, EL CATORCE, EL SINAI, LA RIQUEZA, VIDA TRANQUILA, PUENTANA, MEXICO, GALINDO Y PENCHE. REPORTE DEL CREPAD. PENDIENTE AFECTACION.</t>
  </si>
  <si>
    <t>ZONA URBANA CORREGIMIENTOS GUACAMAYO, EL SUDAN TIQUISIO NUEVO, PUERTO COA. REPORTE DE LA DEFENSA CIVIL.</t>
  </si>
  <si>
    <t xml:space="preserve">DESBORAMIENTO RIO MAGDALENA. VEREDAS PUERTO ROJO, CALAVERA, PRIMERO DE MAYO, ISLAS LA BARRIGONA RAYADEROS YERBABUENA Y TRES ESQUINAS. </t>
  </si>
  <si>
    <t>BAGADO</t>
  </si>
  <si>
    <t>SECTOR ALTO ANDAGUEDA</t>
  </si>
  <si>
    <t>DESBORDAMIENTO RIO PERALONSO</t>
  </si>
  <si>
    <t>PERDIDA DE CULTIVOS Y ESPECIES MENORES</t>
  </si>
  <si>
    <t>MUNICIPIO CON RACIONAMIENTO DE AGUA Y/O DESABASTECIMIENTO POR PROBLEMAS DE SEQUI DEBIDO AL FENOMENO DE EL NIÑO. REPORTE DEL MAVDT. SITUACION BAJO CONTROL DEL CLOPAD. SE TIENE PREVISTO EL APOYO DE EMSERFUSA EN EL EVENTO DE REQUERIR AGUA Y CARROTANQUES</t>
  </si>
  <si>
    <t>APOYO DEL FNC MEDIANTE GIRO DIRECTO AL CLOPAD PARA LA ADQUISICION DE 1500 GALONES DE GASOLINA PARA LABORES DE MONITOREO Y TRASLADO DEL PERSONAL ENCARGADO DEL CONTROL DE INCENDIOS FORESTALES. EL VALOR DE OTROS CORREPONDE A 1200 RACIONES DE CAMPAÑA Y 2400 SOBRES HIDRATANTES.</t>
  </si>
  <si>
    <t>193
95</t>
  </si>
  <si>
    <t>SE APOYA TENIENDO EN CUENTA LA GRAVE AFECTACION EN VIAS.</t>
  </si>
  <si>
    <t>TENJO</t>
  </si>
  <si>
    <t>SE APOYA ANTE LA DIFICULTAD DE LAS LABORES DE CONTROL Y EXTINCION DEL INCENDIO, PESE A LOS ESFUERZOS LOCALES Y DEPARTAMENTALES Y LA VISITA REALIZADA POR LA DIRECTORA.</t>
  </si>
  <si>
    <t>DESBORDAMIENTO RIO TELEMBI, VEREDAS GUAYABAL, LA PEÑA, LAS BRISAS, EL BAJITO, REPORTE DEL CREPAD.</t>
  </si>
  <si>
    <t>AFECTADO CENTRO DE SALUD DE MURINDO. REPORTE DEL CREPAD.</t>
  </si>
  <si>
    <t>RAGONVALIA</t>
  </si>
  <si>
    <t>VEREDA CAÑO SAN JOSE, BARRIO EL CARMEN, REPORTE DEL CREPAD, NORTE DE SANTANDER.</t>
  </si>
  <si>
    <t>DESBORDAMIENTO RIO SAN JUAN. COMUNIDADES MALAGUITA, CUELLAR, PUERTRO CIZARRO, CABECERA, CHACHAJO, AGUA CLARA. REPORTE DEL SOCORRO NACIONAL Y DEFENS ACIVIL.</t>
  </si>
  <si>
    <t>DESBORDAMIENTO DEL RIO FRAILE. VEREDAS LA SONORA, EL LLANITO, EL SALADO. CORREGIMIENTO LOS CALEÑOS.  REPORTE DE LA DEFENSA CIVIL</t>
  </si>
  <si>
    <t>AFECTADA VEREDA ORO FINO. REPORTE DEL CREPAD. INCOMUNICADAS 15 VEREDAS.</t>
  </si>
  <si>
    <t>DESBORDAMIENTO QUEBRADA OA GARCIA ZONA URBANA. REPORTE DEL CREPAD.</t>
  </si>
  <si>
    <t>DESBORDAMIENTO RIO CAUCA. PENDIENTE AFECTACION REPROTE DEL CREPAD.</t>
  </si>
  <si>
    <t>VIA AFECTADA ENTRE SOGAMOZO Y PAJARITO. REPROTE DEL CREPAD.</t>
  </si>
  <si>
    <t>VIA SOCHA - PAZ DE RIO REPORTE DEL CREPAD.</t>
  </si>
  <si>
    <t>VEREDA CARPAQUEÑO. REPORTE DEL CREPAD.</t>
  </si>
  <si>
    <t xml:space="preserve">VEREDA EL ESTANQUILLO REPORTE DEL CREPAD. </t>
  </si>
  <si>
    <t>VEREDA EL HOYO REPORTE DEL CREPAD.</t>
  </si>
  <si>
    <t>DESBORDAMIENTO CAÑO PENDEJO BARRIO MONTECARLO. REPORTE DEL CREPAD.</t>
  </si>
  <si>
    <t>PUERTO ESCONDIDO</t>
  </si>
  <si>
    <t>DESBORDAMIENTO RIOS CANALETE Y MORINDO. VEREDAS SABANITO, Y EL PLANCHON. ZONA URBANA Y ZONA RURAL. CREPAD</t>
  </si>
  <si>
    <t>VEREDA LA NATA. REPORTE DEL CREPAD.</t>
  </si>
  <si>
    <t>15 VEHICULOS ATRAPADOS POR ARROYOS Y CAIDA DE 11  ARBOLES</t>
  </si>
  <si>
    <t>VEREDA SANTA SOFIA. REPORTE DEL CREPAD.</t>
  </si>
  <si>
    <t>BARRIOS PRIMAVERA, 20 DE JULIO, SECTOR PAN DE AZUCAR. REPORTE DEL CLOPAD</t>
  </si>
  <si>
    <t>BARRIO LA SIERRA  REPORTE DEL CLOPAD Y CREPAD.</t>
  </si>
  <si>
    <t>DESBORDAMIENTO RIOS GUADUAL Y LIMONAR. AFECTADOS BARRIOS POLICARPA SALAVARRIETA, SAN JOSE, VILLA DE JESUS, ESPERANZA, Y VIRREYES. AFECTADA VIA  GUADUAS - VILLETA SECTOR ALTO DEL TRIGO. REPORTE DEL CREPAD. APOYADO POREL CREPAD.</t>
  </si>
  <si>
    <t>VISTAHERMOSA</t>
  </si>
  <si>
    <t>VEREDA CAÑO 20. REPORTE DEL CREPAD.</t>
  </si>
  <si>
    <t>UN MONTALLANTAS.</t>
  </si>
  <si>
    <t>VILLA TINA. REPORTE DEL CREPAD.</t>
  </si>
  <si>
    <t>DESBORDAMIENTO RIO BOGOTA. SECTOR PESEBRERA,SANTA HELENA, DIEZ DE MAYO, PUERTO CABRERA, 20 DE JULIO, VICTORIA, PUERTO MONTERO, SANTA HELENA, LA CABRERA, BUENOS AIRES PARTE BAJA, PUENTE CORDOBA, EL CHIRCAL, SAN LORENZO.  REPORTE DEL CREPAD.</t>
  </si>
  <si>
    <t>CORREGIMIETNO SAN JUANITO. REPORTE DEL CREPAD.</t>
  </si>
  <si>
    <t>AFECTADA VIA LA SIERRA AL MACISO COLOMBIANO. REPORTE DEL CREPAD.</t>
  </si>
  <si>
    <t>LA ESTRELLA</t>
  </si>
  <si>
    <t>CASCO URBANO. REPORTE DEL CREPAD.</t>
  </si>
  <si>
    <t>TABIO</t>
  </si>
  <si>
    <t>VIA TABIO - SUBACHOQUE- REPORTE DEL CREPAD.</t>
  </si>
  <si>
    <t>INUNDACION POR FUERTES LLUVIAS EN EL CASCO URBANO. REPORTE DEL CREPAD.</t>
  </si>
  <si>
    <t xml:space="preserve">APOYO CON SACOS DE POLIPROPILENO. REPROTAN PERDIDA DE CULTIVOS EN ZONA BANANERA, EL RETEN, PIVIJAY, GUAMAL, CIENAGA, FUNDACIÓN, TENERIFE, PEDRAZA, SALAMINA, CERRO SAN ANTONIO, PLATO SITIONUEVO, </t>
  </si>
  <si>
    <t>SE APOYA DE MANERA COMPLEMENTARIA TENIENDO EN CUENTA LA MAGNITRUD E LA EMERGENCIA</t>
  </si>
  <si>
    <t>APOYO DEL FNC MEDIANTE GIRO DIRECTO AL CLOAPD PARA LA ADQUISICON DE COMBUSTIBLEPARA LOS TRABAJOS DE PROTECCION Y REALCE DEL DIQUE QUE PROTEGE EL DISTRITO DE RIEGO.-</t>
  </si>
  <si>
    <t>21045
21452
22705
22764
42847</t>
  </si>
  <si>
    <t>ROMPIMIENTO DEL DIQUE EN EL PUNTO SANTA ANITA. 500 METROS DE ACHO. AFECTADA LA VIA LA APARTADA - AYAPEL. ALCALDE 3114216264. APOYO DEL FNC MEDIANTE GIRO DIRECTO AL CLOPAD PARA LA ADQUISICION DE COMBUSTIBLES Y LUBRICANTESPARA MOVILIZACION DE MAQUINARIAS, EQUIPOS Y MOTORESPARA REMOCION DE ESCOMBROS, LIMPIEZA DE CAÑOS, QUEBRADAS, DRENAJES Y TRANSPORTE DE AYUDAD.</t>
  </si>
  <si>
    <t>CORREGIMIENTO CAIMALITO. REPORTE DEL CREPAD.</t>
  </si>
  <si>
    <t>SE BRINDO APOYO A TRAVES DEL CREPAD.</t>
  </si>
  <si>
    <t>VEREDA SANTA HELENA. REPORTE DEL CREPAD.</t>
  </si>
  <si>
    <t>BARRIOS PUEBLO NUEVO, DOÑA NIDIA, OSPINA PEREZ Y SAN MATEO. REPORTE DEL CREPAD.</t>
  </si>
  <si>
    <t>CHINACOTA</t>
  </si>
  <si>
    <t>REPORTE DEL CREPAD. VIA CHINACIOTA - CUCUTA.</t>
  </si>
  <si>
    <t>DESBORDAMIENTO RIO SOCOMBA. VEREDAS  SOCOMBA, LAS PIÑAS, CAÑO RODRIGO  Y CARTAGENA. REPORTE DEL CREPAD.</t>
  </si>
  <si>
    <t>SECTOR TROPICAL, TUMACO, CRUCERO ESTRELLA. REPROTE DEL CREPAD.</t>
  </si>
  <si>
    <t>BARRIO EL BOSQUE, SECTOR EL HOSPITAL.REPORTE DEL CREPAD.</t>
  </si>
  <si>
    <t>DESBORDAMIENTO RIO LEBRIJA. SECTOR BAJO RIONEGRO. REPORTE DEL CREPAD</t>
  </si>
  <si>
    <t>COLAPTO ANTIGUO TEATRO JANUA. REPORTE DEL CREPAD.</t>
  </si>
  <si>
    <t>PERDIDA DE CULTIVOS DE PALMA DE ACEITE, BANANO, CITRICOS Y PANCOGER PERDIDAS POR VALOR ESTIMADO DE 113 MIL MILLONES DE PESOS.</t>
  </si>
  <si>
    <t>CARTAGO</t>
  </si>
  <si>
    <r>
      <t xml:space="preserve">DESBORDAMIENTO QUEBRADA SAN JOSE. BARRIOS SAN JOSE, SAN EPDRO, BRASIL. REPORTE DEL CREPAD. </t>
    </r>
    <r>
      <rPr>
        <b/>
        <sz val="9"/>
        <rFont val="Arial"/>
        <family val="2"/>
      </rPr>
      <t>APOYO DEL FNC MEDIANTE GIRO DIRECTO AL CLOPAD PARA ADQUISICION DE COMBUSTIBLES Y LUBRICANTESPARA LIMPIEZA DE CAÑOS, MOVIMIENTO DE TIERRAS Y MOVBILIZACION DE ESCOMBROS, DEBIDO A LA TEMPORADA INVERNAL.</t>
    </r>
  </si>
  <si>
    <t>APOYO DEL FNC MEDIANTE GIRO DIRECTO AL CLOPAD PARA APOYAR LA CONSTRUCCION DEL MURO DE CONTENCION Y CERRAMIENTO EN EL HOGAR MULTIPLE</t>
  </si>
  <si>
    <t xml:space="preserve">                                                                                                                                                                              </t>
  </si>
  <si>
    <t>2
4</t>
  </si>
  <si>
    <t>DESBORDAMIENTO QUEBRADA LA VIEJA. BARRIOS BRISAS DEL RIO, LA PLATANERA, ARENERA, VILLA JULIAN, ENTRERIOS, VILLA CAROLINA. REPORTE DE LA DEFENSA CIVIL.</t>
  </si>
  <si>
    <t>DESBORDAMIENTO QUEBRADA LA FRUTERA. REPROTE DE LA DEFENS ZACIVIL.</t>
  </si>
  <si>
    <t>CRECIENTE SUBITA CAÑO RODRIGO VEREDA CAÑO RODRIGO. REPORTE DEL CREPAD.</t>
  </si>
  <si>
    <t>CRECIENTE RIO ATRATO, SECTOR BAJO ATRATO. REPORTE DEL CREPAD.</t>
  </si>
  <si>
    <t>DESBORDAMIENTO RIO BAUDO CORREGIMIENTO EL LLANO.  REPORTE DE LA CRUZ ROJA</t>
  </si>
  <si>
    <t>CRECIENTE SUBITA DEL RIO SUMAPAZ. REPORTE DEL CREPAD.</t>
  </si>
  <si>
    <t>CRECIENTE RIO MAGDALENA. SECTOR ISLA PUERTO ROJO, RAYADEROS, HIERBA BUIENA, BARRIO PIMIERO DE MAYO.. REPORTE DEL CREPAD.</t>
  </si>
  <si>
    <t xml:space="preserve">FUERTES LLUVIAS. BARRIOS EL PARAISO, SECTOR BAHONDO. REPORTE DE DEFENSA CIVIL. </t>
  </si>
  <si>
    <t>ONZAGA</t>
  </si>
  <si>
    <t>DESBORDAMIENTO RIO CHAGUACA. VEREDA CHAGUACA. AFECTADA VIA QUE CONDUCE A LA VEREDA CHAGUACA REPORTE DEL CREPAD.</t>
  </si>
  <si>
    <t>INUNDACION POR FUERTES LLUVIAS EN LOS BARRIOS MIRAFLORES, BUENOS AIRES Y EL PARAISO. REPORTE DEL CREPAD</t>
  </si>
  <si>
    <t>VEREDA RODESIA CORREGIMIENTO SANTA ISABEL. REPORTE DEL SOCORRO NACIONAL.</t>
  </si>
  <si>
    <t>PERDIDA DE CULTIVOS DE PALMA, AVES DE CORRAL. CERDOS, CHIVOS Y GANADO.</t>
  </si>
  <si>
    <t>VEREDA LA LETICIA REPORTE DE SOCORRO NACIONAL.</t>
  </si>
  <si>
    <t>BARRIO SAN BLAS. REPORTE DE SOCORRO NACIONAL.</t>
  </si>
  <si>
    <t>SECTOR AGUALINDA. REPROTE DEL CREPAD.</t>
  </si>
  <si>
    <t>BARRIO CEILAN. REPORTE DEL CREPAD.</t>
  </si>
  <si>
    <t>EXPLOSION DE MINA POR ACUMULACION DE GASES. MINA EL ROBLE VEREDA SANTUARIO. REPORTE DEL CREPAD</t>
  </si>
  <si>
    <t>UBATE</t>
  </si>
  <si>
    <t>VEREDA SUGA SETOR CHIRCALES REPORTE DEL CREPAD</t>
  </si>
  <si>
    <t>QUEBRADA LA CARBONERA. BARRIOS MIRADOR, RINCON SANTO, LAS VEREDAS EL PALMAR Y ZAPATA. REPORTE DEL CREPAD.</t>
  </si>
  <si>
    <t>AFECTADA VIA SUBA COTA POR DESBORDAMIENTO RIO BOGOTA. SECTORES PUEBLO VIEJO, PARCELAS, ROZO, SIBERIA, VUELTA GRANDE, CETIME, LA MOYA Y EL ABRA.  REPORTE DE LA DEFENSA CIVIL.</t>
  </si>
  <si>
    <t>SECTOR URBANO, SECTOR RURAL.. VEREDA TIBROTE. REPORTE DEL CREPAD.</t>
  </si>
  <si>
    <t>FOSCA</t>
  </si>
  <si>
    <t>VEREDA POTRERITOS Y QUINCHITA. REPORTE DEL CREPAD. VIAS FOSCA - POTRERITOS  Y FOSCA - QUINCHIA.</t>
  </si>
  <si>
    <t>GUALMATAN</t>
  </si>
  <si>
    <t>SECTOR COFRADIA O OBISPO. REPORTE DEL CREPAD.</t>
  </si>
  <si>
    <t>LEIVA</t>
  </si>
  <si>
    <t>CORREGIMIENTO EL TABLON, EL PALMAR, EL CAMPANARIO, LAS CAÑADAS, LA ESPERANZA. REPORTE DEL CREPAD.</t>
  </si>
  <si>
    <t>270
274
25048</t>
  </si>
  <si>
    <t>270
277
278
21712
24935
24935
24938</t>
  </si>
  <si>
    <t>270
271
40169
24652</t>
  </si>
  <si>
    <t>266
270
271
24652</t>
  </si>
  <si>
    <r>
      <t>APOYO PARA LOS MUNICIPIOS DE TUNJA, DUITAMA, SOGAMOSO, NOBSA, FIRAVITOBA, PAIPA, TUTA, TOCA, TIBASOSA, OTANCHE, SAN PABLO DE BORBUR.</t>
    </r>
    <r>
      <rPr>
        <b/>
        <sz val="9"/>
        <rFont val="Arial"/>
        <family val="2"/>
      </rPr>
      <t xml:space="preserve"> APOYO DEL FNC MEDIANTE GIRO DIRECTO AL CREPAD PARA ADQUISICION DE COMBUSTIBLE PARA LA MAQUINARIA UTILIZADA EN LAS ZONAS DE EMERGENCIA EN LOS MUNICIPIOS DE TASCO, TOPAGA, SOCHA, EL ESPINO GUICAN, BOAVITA, LA UVITA, SAN MATEO, MARIPI, OTANCHE.</t>
    </r>
  </si>
  <si>
    <t>20842
23554
23795</t>
  </si>
  <si>
    <t>35570
21328
23554
23795</t>
  </si>
  <si>
    <t>SECTOR ARENILLO, DESBORDAMIENTO RIO BOLO, REPROTE DEL CREPAD.</t>
  </si>
  <si>
    <t>EL DOVIO</t>
  </si>
  <si>
    <t>VEREDA CALLE LARGA, REPORTE DEL CREPAD.</t>
  </si>
  <si>
    <t>DESBORDAMIENTO RIO CEIBA QUE AFECTO EL ACUEDUCTO Y DESLIZAMIENTO EN EL BARRIO SAN ANTONIO.  REPORTE DEL CLOPAD.</t>
  </si>
  <si>
    <t>TARQUI</t>
  </si>
  <si>
    <t>DESBORDAMIENTO RIO CAUCA. BARRIOS, NUEVO AMANECER, Y DECEPAZ. REPORTE DE LA DEFENSA CIVIL.</t>
  </si>
  <si>
    <t>VEREDA EL ZANCUDO. CORREGIMIENTO ALTO ESPAÑOL. FINCA COCOLO. REPORTE DEL CREPAD.</t>
  </si>
  <si>
    <t>CAQUEZA</t>
  </si>
  <si>
    <t xml:space="preserve">REPROTE DEL CREPAD. VEREDAS GIRON DE BLANCO, GIRON DE MOYAS, PARAMO. </t>
  </si>
  <si>
    <t>UNE</t>
  </si>
  <si>
    <t>PERIMETRO URBANO Y VEREDAS SAN LUIS, TIMACITA, Y MATEGA. REPORTE DEL CREPAD AFECTADO PUENTE PEATONAL RIO CARAZA.</t>
  </si>
  <si>
    <t>SOPO</t>
  </si>
  <si>
    <t>VEREDAS CENTRO ALTO, SECTOR LAS MERCEDES. REPORTE DEL CREPAD.</t>
  </si>
  <si>
    <t>DESBORDAMIENTO QUEBRADA LA CHACUA. BARRIOS PABLO NERUDA, GARCIA, REPORTE DEL CREPAD.</t>
  </si>
  <si>
    <t>VEREDAS ZARAGOZA, EL PALMAR, LA MARIA, Y CHICAQUE. REPORTE DEL CREPAD.</t>
  </si>
  <si>
    <t>VEREDAS LA FLORIDA, LA VEGA, PANECILLO, LA LAGUNA, CORREGIMINTO MADRIGAL. REPORTE DEL CREPAD. VIA NACIONAL - POLICARPA. CORREIMIENTO EL REMOLINO, VIA DEPARTAMENTAL POLICARPA - EL EGIDO, MADRIGAL, Y POLICARPA - BRAVO, LA CUHCILLA - NACEDEROS, VIAS TERCIARIAS, ALTAMIRA - EL ROSAL, ALTAMIRA EL PEDREGAL,. POLICARPA - RESTREPO. RESTRPO NACEDROS, MADRIGAL - SANTA CRUZ, SANTA CRUZ- SANTA ROSA., EL EGIDO - ALGODONES, REMOLINIOS - SANCHEZ, RIO SAN PABLO - BALBANERA, BALBANERA - BELLA ESPERANZA, RIO SAN PABLO - EL CAIRO, LA DORADA LA CUCHILLA, EL FILI - SANTA LUCIA, EL FILO - VILLA MORENO, AFECTADOS CUATRO ACUEDUCTOS. REPORTE DEL CREPAD.</t>
  </si>
  <si>
    <t>ARBOLEDA</t>
  </si>
  <si>
    <t>REPORTE DEL CREPAD. AFECTACIONE N VIAS ROSA - FLORIDA Y PUENTE EL TAUSO.</t>
  </si>
  <si>
    <t>TANGUA</t>
  </si>
  <si>
    <t>REPORTE DEL CREPAD. VIA PASTO - IPIALES KM 51.</t>
  </si>
  <si>
    <t>SAMANIEGO</t>
  </si>
  <si>
    <t>VEREDAS ALTO Y BAJO CANADA, EL LIMON, NARANJAL, PICHUELO, CHUGLUNDY, LA CAPILLA, LA LAGUNA, PIEDRABLANCA, EL SALADO, PUERCHAG, LA MESA, MOTILON, VISTAHERMOSA, GUADUAL, CARTAGENA, BARRIOS LOS ANGELES, LA AVENIDA, SILOE, SCHUMACHER, REPORTE DEL CREPAD.. AFECTADAS VIAS A LOS MUNICIPIOS DE LA LLANADA, Y LINARES Y VEREDAS LA CAPILLA, MONTEBLANCO, CHUGULDE, SAN ANTONIO, PIEDRABALNCA, LA ESMERALDA, ALCTO CARTAGENA, EL DECIO, LA PLANADA, VEREDA EL SESENTA.</t>
  </si>
  <si>
    <t>SECTORES EL PALMAR, OSPINA, BARRIO CARAGENA. REPORTE DEL CREPAD.</t>
  </si>
  <si>
    <t>23167
23783
23922
25070</t>
  </si>
  <si>
    <t>233
232
257
23563
24952</t>
  </si>
  <si>
    <t>270
271
24950</t>
  </si>
  <si>
    <t xml:space="preserve">ROMPIMIENTO DEL DIQUE, CORREGIMIENTO BARRO BLANCO. REPROTE DEL CREPAD. </t>
  </si>
  <si>
    <r>
      <t>DESBORDAMIENTO RIO CUCUTILLA POR FUERTES LLUVIAS EN EL SECTOR SAN ISIDRO , CONFINES Y EL MOLINO, REPORTE DEL CREPAD.</t>
    </r>
    <r>
      <rPr>
        <b/>
        <sz val="9"/>
        <rFont val="Arial"/>
        <family val="2"/>
      </rPr>
      <t xml:space="preserve"> El VALOR DE OTROS CORRESPONDE A 600 TEJAS DE ZINC, 10000 BLOQUE, 600 BULTOS DE CEMENTO Y 140 ROLLOS DE MANGUERA DE 1/2 "</t>
    </r>
  </si>
  <si>
    <t>DESBORDAMIENTO RIO MANZANARES QUEBRADA LA LATA RIO GUACHARACA Y QUEBRADA LA LINEA REPORTE DE DEFENSA CIVIL BARRIO LA ESMERALDA BULEVAR DEL RIO TAYRONA ALTO Y BAJO VILLA DEL RIO 1 2Y 3 PAMPLONITA 8 DE FEBRERO, SANTA ANA, VILLA  MALVINAS, SIMON BOLIVAR, SALAMANCA, VILLA DEL CARMEN, FUNDADORES, ONDAS DEL CARIBE, CHIMILA, GALAN, PANTANO, OASIS, MARIA CECILIA, PESCADITO, MARIA EUGENIA Y CORREGIMIENTOS EL CHORRO, GUACHARACA, PUERTO NUEVO.</t>
  </si>
  <si>
    <t>REPORTE DEL CLOPAD CORREGIMIENTOS CERRITO, VEREDA ESTACION VILLEGAS.</t>
  </si>
  <si>
    <t>REPORTE DEL CLOPAD. CALLE9 11 47</t>
  </si>
  <si>
    <t>REPORTE DEL CREPAD CORREGIMIENTOS SAN RAFAEL Y ZONA RURAL.</t>
  </si>
  <si>
    <t>PUENTE PEÑA COLORADA. REPORTE DEL CREPAD INCOMUNICADOS ENCISO Y CAPITANEJO EN LA PROVINCIA DE GARCIA ROVIRA</t>
  </si>
  <si>
    <t>CRECIENTE SUBITA RIO GASAUNTA. VEREDA ZARZAL. REPORTE DE LA DEFENSA CIVIL.</t>
  </si>
  <si>
    <t>BARRIO ECUADOR DEPOSITO DE CAFÉ. REPROTE DEL CREPAD.</t>
  </si>
  <si>
    <t>AFECTADA UNA BODEGA.</t>
  </si>
  <si>
    <t>ARANZAZU</t>
  </si>
  <si>
    <t>QUEBRADA EL BRILLANTE.  DAÑOS EN EL ACUEDUCTO DEL MUNICIPIO, CERCA DE 12000 PERSONAS SE ENCUENTRAN SIN AGUA. REPORTE DEL CREPAD.</t>
  </si>
  <si>
    <t>GUACARI</t>
  </si>
  <si>
    <t>DAGUA</t>
  </si>
  <si>
    <t xml:space="preserve">SECTOR LA GUINEA. REPORTE DEL CREPAD. </t>
  </si>
  <si>
    <t>SANDONA</t>
  </si>
  <si>
    <t>REPORTE DEL CREPAD. VIAS PUENTE TABLA - MICHUACA, EL COCUYO - PIJAO</t>
  </si>
  <si>
    <t>CRECIENTE RIO INGENIO, SE AFECTO EL ACUEDUCTO DEL MUNICIPIO. HAY 10.500 PERSONAS SIN SERVICIO DE AGUA REPORTE DEL CREPAD.</t>
  </si>
  <si>
    <t>DESBORDAMIENTO ARROYO POLON. REPORTE DEL CREPAD.</t>
  </si>
  <si>
    <t>CAJIBIO</t>
  </si>
  <si>
    <t>CORREGIMIETNOS EL ROSARIO, EL RECUERDO, LA CAPILLA, CAMPO ALEGRE, TROPICAL TUMACO, BALASTRERA, BETANIA. AFECTADAS VIAS EL RECUERDO, EL ROSARIO, PALACE, LA LAGUNA, ORTEGA, LA CAPILLA, NUEVO HORIZONTE, BUENAVISTA Y SAN ANTONIO. REPORTE DEL CREPAD.</t>
  </si>
  <si>
    <t xml:space="preserve">CORREGIMEINTO GABRIEL LOPEZ. AFECTACION EN LA IGLESIA Y EL PUESTO DE SALUD. REPORTE DEL CREPAD. </t>
  </si>
  <si>
    <t>MUTATA</t>
  </si>
  <si>
    <t>REPORTE DEL CREPAD SECTORES CORREGIMIENTO EL ROSARIO, EL HATO, CUCHILLA, MARSELLA, LOS ARBOLES, EL CAMPO, BELLA VISTA, CERRO BLANCO.</t>
  </si>
  <si>
    <t>SECTOR BLANCO, POERDIDA DE CULTIVOS Y VIVIENDAS. REPORTE DEL CREPAD. viasCHITA - LA UVITA, CHITA - JERICO, CHITA - EL EMPALME, CHITA - EL COCUY.</t>
  </si>
  <si>
    <t xml:space="preserve">DESBORDAMIENTO RIO ARIGUANI. CORREGIMIENTO SAN JOSE Y PUEBLO NUEVO. REPORTE DE LA DEFENSA CIVIL. EL CLOPAD ENVIA INFORME, PERO </t>
  </si>
  <si>
    <t>SILVANIA</t>
  </si>
  <si>
    <t>250
159
351
46000</t>
  </si>
  <si>
    <t>3
8
8
3
8
3</t>
  </si>
  <si>
    <r>
      <t>BARRIO BENJAMIN HIDALGO. VISITA DE LA DGR Y EL GOBIERNO NACIONAL. LA CRUZ ROJA ENVIO 2 TONELADAS DE AYUDA HUMANITARIA Y 1 TONELADA DE MENAJE. ENVIO DE 75 TONELADAS DE ROPA DE LA DIAN.</t>
    </r>
    <r>
      <rPr>
        <b/>
        <sz val="9"/>
        <rFont val="Arial"/>
        <family val="2"/>
      </rPr>
      <t xml:space="preserve"> GIRO DIRECTO AL CLOPAD PARA LA ADQUISICION DE HERRAMIENTA Y MATERIALES PARA LA RECONSTRUCCION DE LAS VIVIENDAS ($291,600,000) SUBSIDIO DE ARRIENDO  POR UN MES PPARA 84 FAMILIAS A RAZON DE $100.000 ($8,400,000) VALOR TOTAL DEL PRIMER GIRO $300.000.000. SEGUNDO GIRO BANCO DE MATERIALES POR VALOR DE $545,705,700 Y SUBSIDIOS DE ARRIENDO POR VALOR DE $7,100,000 PARA UN VALOR TOTAL DEL SEGUNDO GIRO DE $552,805,700, TERCER GIRO $373.213.400 DE LOS CUALES 360,013,400 SALE ´POR LINEA 8 BANCO DE MATERIALES. Y 13.200.000 POR LINEA 3 SUBSIDIOAS ARRIENDO</t>
    </r>
  </si>
  <si>
    <t>PERDIDA DE CULTIVOS DE CAFÉ, PLATANO, YUCA</t>
  </si>
  <si>
    <t>ALGECIRAS</t>
  </si>
  <si>
    <t>VEREDA CASA ROSINES, REPORTE DEL CREPAD.</t>
  </si>
  <si>
    <t>VIA ALGECIRAS - VALPARAISO. SECTORES PEÑAS BLANCAS, LA LAGUNA, MANZANARES, ALTO CIELO, POMO, QUIOSCO, SAN ANTONIO, EL PUENTE, EL GUAYABO, Y VEREDA QUEBRADON NORTE, POTRERO GARNDE Y SAN ANTONIO, CORREGIMIENTO SANTA ANA. REPORTE DEL CRPAD.</t>
  </si>
  <si>
    <t>VEREDAS LA GRANJA, LA CABAÑA, CAPAROSAL, LA UNION. REPORTE DEL CREPAD.</t>
  </si>
  <si>
    <t>BARRIO LA INDEPENDENCIA, LAS AMERICAS Y MONSERRATE. REPORTE DE LA DEFENSA CIVIL</t>
  </si>
  <si>
    <t>INUNDACION POR FUERTES LLUVIAS. BARRIOS LOS GUADUALES, TIMANCO, BUENOS AIRES, VILLA OSORIO, VILLA FERR, CALLE 14 CON CARRERAS 12 16 Y 17. REPORTE DEL CLOPAD.</t>
  </si>
  <si>
    <t>CALLE 2 D 28C 18. REPORTE EL CREPAD.</t>
  </si>
  <si>
    <t>CRECIENTE DE LA QUEBRADA LA NUTRIA. BARRIOS ESTADIO Y ALVARO SILVA. REPORTE DEL CREPAD.</t>
  </si>
  <si>
    <t>CASCO URBANO QUEBRADA RIO VERDE. REPORTE DEL CREPAD.</t>
  </si>
  <si>
    <t>CALLE 4 CARRERA 4 Y 6. REPORTE DEL CREPAD.</t>
  </si>
  <si>
    <t>SALADOBLANCO</t>
  </si>
  <si>
    <t>ACEVEDO</t>
  </si>
  <si>
    <t>VEREDA MARTICA. REPROTE DEL CREPAD.</t>
  </si>
  <si>
    <t>BARRIO LA ISLA, CONDOMINIO EL PORTAL DEL ORIENTE. REPORTE DEL CREPAD.</t>
  </si>
  <si>
    <t>BARRIO CLAVELLINES.REPORTE DEL CREPAD.</t>
  </si>
  <si>
    <t>BARRIO LAS AMERICAS RREPORTE DEL CREPAD.</t>
  </si>
  <si>
    <t>SECTOR TUNGURAUA. VIA YAGUARA HOBO, MINA CHOCO.REPROTE DEL CREPAD.</t>
  </si>
  <si>
    <t>BARRIO CENTRO CALLE 3 Y 4 BARRIO AVENIDA PASTRANA Y DESLIZAMIENTOEN CASCO URBANO. REPORTE DEL CREPAD.</t>
  </si>
  <si>
    <t>VEREDAS CORDOBA, DINDAL, CAMBRAS, INSPECCIONES, SAN PEDRO, SAN CARLOS. REPORTE DEL CREPAD.</t>
  </si>
  <si>
    <t>TIBACUY</t>
  </si>
  <si>
    <t>VEREDA SAN JOSE DE BAJO. REPORTE DEL CREPAD.</t>
  </si>
  <si>
    <t>DESBORDMAIENTO CAÑO TIBANICA. BARRIOS OLIVARES, LA COMUNA 2, LOMA LINDA LA CAPILLA, BARRIO EL PROGRESO. SILIO OLIVAR Y EL DINREPORTE DEL CREPAD.</t>
  </si>
  <si>
    <t>REPORTE DEL CLOPAD</t>
  </si>
  <si>
    <t>BARRIO ALTO VILLA QUENPIS. REPORTE DEL CREPAD.</t>
  </si>
  <si>
    <t>SECTOR CASA DE TABLA. DESBORDAMEINTO RIO CRISTALINO. REPORTE DEL CREPAD.</t>
  </si>
  <si>
    <t>PERDIDA EN CULTIVAS DE PLATANO, MAIZ, CAFÉ Y AVES DE CORRAL.</t>
  </si>
  <si>
    <t>VEREDAS LA PEÑA, SECTOR JRUSALEN, COSCUEZ, CASA ROJA, SANTA BARBARA Y PORVENIR. REPORTE DEL CREPAD.</t>
  </si>
  <si>
    <t>VEREDA DANUBIO REPORTE DEL CREPAD.</t>
  </si>
  <si>
    <t>BARRIO LOS ANGELES. REPORTE DEL CREPAD.. DESBORDAMIENTO QUEBRADA PICONA Y SAN AGUSTIN.</t>
  </si>
  <si>
    <t xml:space="preserve">BARRIO EL PORVENIR. REPORTE DEL CREPAD. </t>
  </si>
  <si>
    <t>DAÑOS MATERIALES.</t>
  </si>
  <si>
    <t>FILANDIA</t>
  </si>
  <si>
    <t>SECTOR CENTRO, REBOSAMIENTO DE ALCANTARILLADO. REPORTE DEL CREPAD.</t>
  </si>
  <si>
    <t>ROBERTO PAYAN</t>
  </si>
  <si>
    <t>QUINCE VEREDAS AFECTADAS . REPORTE DEL CREPAD.</t>
  </si>
  <si>
    <t>VIA QUE CONDUCE DE PASTO A LA CABECERA MUNICIPAL.</t>
  </si>
  <si>
    <t>VEREDAS ESCALERAS, EL VERGEL, LA FLORIDA. REPORTE DEL CREPAD. VIA QUE CONDUCE DE LA LLANADA A LOS ANDES.</t>
  </si>
  <si>
    <t>CUASPUD</t>
  </si>
  <si>
    <t>SEIS VIAS TERCIARIAS Y COLAPSO DE PUENTE EN LA VIA MACAS - RODEO</t>
  </si>
  <si>
    <t>FUNES</t>
  </si>
  <si>
    <t>VIA PANOYA - TAMINANGO Y TAMINANGO - EL PARAMO</t>
  </si>
  <si>
    <t>VIAS OSPINA - MANZANO. GUAQUIRAN - SAN MIGUEL, SAN MIGUEL - SAN VICIENTE, OSPINA - GUAQUIRAN, GUAQUIRAN - SAN JOSE, GUAQUIRAN - SAN ISIDRO, SAN ISIDRO - SAN ANTONIO, SAN ISIDRO - VILLA DEL SUR, VILLA EL SUR - LA FLORIDA, VILLA DEL SUR CUNCHILA, CUNCHILA - GAVILANES, CUNCHILLA - LAS MERCEDES, LAS MERCEDES - CUADQUIRAN, LAS MERCEDES - VILLA DEL SUR, SAN MIGUEL - SAN JOSE.REPORTE DEL CREPAD</t>
  </si>
  <si>
    <t>POTOSI</t>
  </si>
  <si>
    <t>VIA CASCO URBANO Y PUENTES LAS LAJAS Y CHIGUACOS.</t>
  </si>
  <si>
    <t>ONCE VIAS. ESCUELA JOHN F KENNEDY. REPORTE DEL CLOPAD.</t>
  </si>
  <si>
    <t>CHARALA</t>
  </si>
  <si>
    <t>ENCISO</t>
  </si>
  <si>
    <t>LEBRIJA</t>
  </si>
  <si>
    <t>MOGOTES</t>
  </si>
  <si>
    <t>PIEDECUESTA</t>
  </si>
  <si>
    <t>SAN JOAQUIN</t>
  </si>
  <si>
    <t>BARRIO SAN ANDRESITO, EL CERO, LA Y,  YARIGUIES, SANTA ANA, 30 DE AGOSTO. REPROTE DEL CLOPAD. VEREDA LA COLORADA. VIA A SAN VICENTE. REPORTE DEL CREPAD.SE SOLICITA AL CREPAD CONCRETAR APOYO.</t>
  </si>
  <si>
    <t>TONA</t>
  </si>
  <si>
    <t>ZAPATOCA</t>
  </si>
  <si>
    <t>APOYO DEL FNC MEDIANTE GIRO GIRECTO AL CLOPAD PARA LA PROTECCION Y CANALIZACION, DEL ARROYO EN EL SECTOR BARRIO 7 DE ABRIL, CABERA CABECERA MUNICIPAL DE LOS PALMITOS.</t>
  </si>
  <si>
    <t>BARRIO LASCA. PARTE ALTA Y CERROS ORIENTALES Y BARRIO LAS DELICIAS SEGUNDO SECTOR. . REPORTE DEL CLOPAD.</t>
  </si>
  <si>
    <t>DESBORDAMIENTO RIO PAMPLONITA. BARRIO LA ISLA, REPORTE DEL CREPAD.</t>
  </si>
  <si>
    <t>DESBORDAMIENTO RIO ZULIA. ZONA RURAL Y CORREGIMIENTOS PUERTO LEON Y PUERTO VILLAMIZAR. REPORTE DEL CLOPAD</t>
  </si>
  <si>
    <t>SARDINATA</t>
  </si>
  <si>
    <t>EXPLOSION DE MINA DE CARBON POR ACUMULACION DE GASES, VEREDA SAN ROQUE, MINA DE CARBON LA PRECIOSA. REPORTE EL CREPAD Y LA DEFENSA CIVIL.</t>
  </si>
  <si>
    <t>SACOS CORMAGDALENA BARRANQUILLA</t>
  </si>
  <si>
    <t>AFECTADO MURO DE CONTENCION.</t>
  </si>
  <si>
    <r>
      <t xml:space="preserve">EXPLOSION DE MINA DE CARBON SAN FERNANDO, SECTOR PASO NIVEL. </t>
    </r>
    <r>
      <rPr>
        <b/>
        <sz val="9"/>
        <rFont val="Arial"/>
        <family val="2"/>
      </rPr>
      <t>APOYO DEL FNC MEDIANTE EL SUMINISTRO DE 500 MERCADOS, 500 KIT DE ASEO Y 1000 COBIJAS. GIRO DIRECTO AL CLOPAD APOYO PARA LA ADQUISICION DE COMBUSTIBLE, CONTRATACION DE VEHICULOS, INSUMOS PARA LA EMERGENCIA, ALIMENTACION DE FUNCIONARIOS SOCORRISTAS ETC PARA ATENDER LA EMERGENCIA.</t>
    </r>
  </si>
  <si>
    <r>
      <t xml:space="preserve">VEREDA CAMPAMENTO, SECTOR PAGIMBIO . REPORTE DEL CREPAD. </t>
    </r>
    <r>
      <rPr>
        <b/>
        <sz val="9"/>
        <rFont val="Arial"/>
        <family val="2"/>
      </rPr>
      <t>APOYO DEL FONDO NACIONAL DE CALAMIDADES CON EL PROPOSITO DE ADQUIRIR 400 TEJAS DE ETERNIT NO. 6, 100 TANQUES DE AGUA DE 500 LITROSA Y 84 TANQUES DE 1000 LITROS.</t>
    </r>
  </si>
  <si>
    <t>41553
41524</t>
  </si>
  <si>
    <t>298
299</t>
  </si>
  <si>
    <t>SANTA ROSA DE OSOS</t>
  </si>
  <si>
    <t>AFECTACION DE CULTIVOS DE PAPA Y TOMATE DE ARBOL</t>
  </si>
  <si>
    <t>BARRIOS EL PORVENIR POLPULAR SIETE DE AGOSTO, LA RELIQUIA, SAN MARCOS Y EL CENTRO. REPORTE EL CLOPAD.</t>
  </si>
  <si>
    <t>DESBORDAMIENTO RIO FRIO. CASERIO CARITAL. REPORTE DEL CREPAD.</t>
  </si>
  <si>
    <t>AFECTACION EN CULTIVOS DE BANANO Y PALMA AFRICANA</t>
  </si>
  <si>
    <t>CRECIENTE QUEBRADA VILLA NUEVA REPORTE DEL CREPAD.</t>
  </si>
  <si>
    <t>CORREGIMIENTO SAN PEDRO DE LA SIERRA, VEREDA EL BOSQUE. REPORTE DEL CREPAD.</t>
  </si>
  <si>
    <t>INUNDACION POR FUERTES LLUVIAS. BARRIOS FUNDADORES, SIMON BOLIVAR, GALAN Y BASTIDAS, REPORTE DEL CLOPAD.</t>
  </si>
  <si>
    <t>DESLIZAMIENTO EN LA MINA DE ORO EL BASURERO, REPORTE DE LA CRUZ ROJA.</t>
  </si>
  <si>
    <t>DESBORDAMIENTO ARROPYO HONDO VEREDA LA PAZ. REPORTE DEL CREPAD. EN AVALUAVION.</t>
  </si>
  <si>
    <t>VEREDA LLANO GRANDE. REPORTE DEL CREPAD.</t>
  </si>
  <si>
    <t>HOBO</t>
  </si>
  <si>
    <t>VEREDA ESPORACAL. REPORTE DEL CREPAD</t>
  </si>
  <si>
    <t>BARRIO QUINTA EPTAPA. REPORTE DE LA DEFENSA CIVIL</t>
  </si>
  <si>
    <t>DABEIBA</t>
  </si>
  <si>
    <t>DESBORDAMIENTO QUEBRADA LA DESMONTADORA. AFECTANDO BARRIOS LA PLAYITA, MADRID Y CENTRO, REPORTE DEL CREPAD.</t>
  </si>
  <si>
    <t>BARRIO BUENAVISTA. VIA MARIQUITA FRESNO. REPORTE DEL CREPAD TOLIMA</t>
  </si>
  <si>
    <t>DESBORDAMIENTO CAÑO LAS MINAS CORREGIMIENTO LAS MINAS Y VEREDA TOCORAMA. REPORTE DEL CREPAD.</t>
  </si>
  <si>
    <t>PATIA</t>
  </si>
  <si>
    <t xml:space="preserve">DESBORDAMIENTO RIO PATIA. REPORTE DEL CREPAD. </t>
  </si>
  <si>
    <t>DESBORDAMEITNO QUEBRADA NATURCO. BARRIO LAS BRISAS. REPORTE DEL CREPAD.</t>
  </si>
  <si>
    <t>DEBORDAMIENTO RIO MAGDALENA. VEREDA EL CONCHAL. REPORTE DEL CREPAD</t>
  </si>
  <si>
    <t>DESBORDAMIENTO RIO GUALI, BARRIOS LAS DELICIAS Y LA PEDREGOZA. AFECTADA OFICINA DE TURISMO Y EL ESTADIO Y PARTE DEL HOSPITAL Y LA VIA MEDELLIN - BOGOTA. REPORTE DEL CREPAD.</t>
  </si>
  <si>
    <t>VEREDA AMOLADORA BAJA Y SECTOR PITAL DE COMBIA. REPORTE DEL CREPAD.</t>
  </si>
  <si>
    <t>FUERTES LLUVIAS. REPORTE DEL CREPAD.</t>
  </si>
  <si>
    <t>IQUIRA</t>
  </si>
  <si>
    <t>VEREDA SAN ALFONSO. REPORTE EL CREPAD.</t>
  </si>
  <si>
    <t>DESBORDAMIENTO RIO CHIDLAIMO. VEREDA TUPES, REPORTE DEL CREPAD</t>
  </si>
  <si>
    <t>DESBORDAMIENTO CAÑO ALONSO. REPORTE DEL CREPAD.</t>
  </si>
  <si>
    <t>DESBORDAMIENTO QUEBRADA LAS MERCEDES CORREGIMIENTO DE LAS MERCEDES. REPORTE DEL CREPAD</t>
  </si>
  <si>
    <t>VEREDAS CONDAGUA, TOLDAS, NUEVA ESPERANZA, ALTO AFAN, TEBAIDA, YUNGUILLO, SAN CARLOS Y PLANADAS.</t>
  </si>
  <si>
    <t>DESBORDAMIETNO CIENAGA DEL TOTUMO. REPORTE DEL CREPAD</t>
  </si>
  <si>
    <t>DESBORDAMIENTO RIO LA CAL. SECTOR CAÑO EL BRASIL. REPORTE DE LA DEFENSA CIVIL.</t>
  </si>
  <si>
    <t>DESBORDAMIENTO QUEBRADA LA MALA. CORREGIMIENTO PAJUIL. REPORTE DE CREPAD</t>
  </si>
  <si>
    <t xml:space="preserve">BARRIO VEGAS DE MORRORICO. </t>
  </si>
  <si>
    <t>VEREDA CENTRO DE APURE, SECTOR LA AURORA. REPORTE DEL CREPAD.</t>
  </si>
  <si>
    <t>VIA BOLIVAR - VELEZ REPORTE DEL CREPAD.</t>
  </si>
  <si>
    <t>VELEZ</t>
  </si>
  <si>
    <t>SALIDA DE VELEZ AL SECTOR RURAL. REPORTE DEL CREPAD.</t>
  </si>
  <si>
    <t>VIA BUCARAMANGA - SURATA. REPORTE DEL CREPAD</t>
  </si>
  <si>
    <t>DURANIA</t>
  </si>
  <si>
    <t>SOATA</t>
  </si>
  <si>
    <t>VIA EL ESPINO - SOATA. SOATA - BOAVITA Y BOAVITA - PANQUEBA. REPORTE DEL CREPAD.</t>
  </si>
  <si>
    <t>BARRIO LA PLAYITA. REPORTE DEL CLOPAD.</t>
  </si>
  <si>
    <t>FACATATIVA</t>
  </si>
  <si>
    <t>DESBORDAMIENTO RIO BOTELLO, RIO NACILLA, VEREDAS SAN RAFAEL, Y BARRIOS VILLA MIRIAM, GIRARDOT, SAN RAFAEL ALTO Y BAJO. REPORTE DEL CREPAD.</t>
  </si>
  <si>
    <t>DIEZ VEHICULOS INUNDADOS</t>
  </si>
  <si>
    <t>APOYO AL HOSPITAL DE PLATO A FIN DE REALIZAR BRIGADAS DE SALUD</t>
  </si>
  <si>
    <t>SE APOYA TENIENDO EN CUENTA LA IMPORTANCIA DE LA LABOR DEL HOSPITAL</t>
  </si>
  <si>
    <t>20842
42097</t>
  </si>
  <si>
    <r>
      <t xml:space="preserve">DESBORDAMIENTO MARGEN IZQUIERDA RIO PAUTO. SECTOR EL BANCO, VEREDA SAN ISIDRO, LA MAPORA, EL GARZON, BANCO, EL VERDE, RAMON NONATO Y MATALARGA. EVACUADAS 15 PERSONAS POR VIA AEREA. REPORTE DEL SOCORRO NACIONAL.  </t>
    </r>
    <r>
      <rPr>
        <b/>
        <sz val="9"/>
        <rFont val="Arial"/>
        <family val="2"/>
      </rPr>
      <t>APOYO DEL FNC MEDIANTE GIRO DIRECTO AL CLOPAD PARA LA COMPRA DE COMBUSTIBLES ACEITES Y FILTROS EL EL RIO PAUTO.</t>
    </r>
  </si>
  <si>
    <t>CRECIENTE DE QUEBRADA SECTOR PUERTO FRAZADA. REPORTE DE SOCORRO NACIONAL</t>
  </si>
  <si>
    <t>EL COPEY</t>
  </si>
  <si>
    <t>REPORTE PRELIMINAR DEL CREPAD, ESTA REALIZANDO EDAN.</t>
  </si>
  <si>
    <t>BARRIO NUEVE DE OCTUBRE. REPORTE DEL CREPAD.</t>
  </si>
  <si>
    <t>CRECIENTE DEL RIO SAN JUAN SECTOR ESTRELLA PANGALA.</t>
  </si>
  <si>
    <t>CARMEN DEL DARIEN</t>
  </si>
  <si>
    <t>DESBORDAMIENTO RIO IRO REPORTE DEL CREPAD.</t>
  </si>
  <si>
    <t>SIPI</t>
  </si>
  <si>
    <t>DESBORDAMIENTO RIO SIPI. REPROTE DEL CREPAD.</t>
  </si>
  <si>
    <t>AFECTADA LA ESCUELA NORMAL SUPERIOR. REPORTE DEL CREPAD.</t>
  </si>
  <si>
    <t>VEREDA EL POZO SECTOR EL ALJIBE. AFECTADA VIA SOCHA PAZ DE RIO. REPORTE EL CREPAD.</t>
  </si>
  <si>
    <t>GAMEZA</t>
  </si>
  <si>
    <t>SE PRESENTO CAIDA DE ARBOL SOBRE EL COLEGIO SAGRADOS CORAZONES, UBICADO EN EL BARRIO CENTRO CON CINCO NIÑOS HERIDOS. REPORTE DEL CLOPAD.</t>
  </si>
  <si>
    <t>AFECTADO LOCAL COMERCIAL.</t>
  </si>
  <si>
    <t>SANTA MARIA</t>
  </si>
  <si>
    <t>AFECTADA VIA SANTA MARIA - JERUSALEM. REPORTE DEL CREPAD.</t>
  </si>
  <si>
    <t xml:space="preserve">VEREDA TERESA. REPORTE DEL CREPAD. </t>
  </si>
  <si>
    <t>VEREDA LA PORTADA. REPORTE DEL CREPAD.</t>
  </si>
  <si>
    <t>SECTOR PUERTO BOGOTA. REPROTE DEL CREPAD .</t>
  </si>
  <si>
    <t>SECTOR CHINAUTA. REPORTE DEL CREPAD.</t>
  </si>
  <si>
    <t>SOLICITUD DE 10 MERCADOS ESPECIALES, 100 RACIONES, 60 JUGOS, 60 LATAS DE ATUN, 60 GALLETAS, 30 LONJAS DE BOCADILLO, 120 BOTELLAS DE AGUA, 72 PAQUETES DE MANI.</t>
  </si>
  <si>
    <t>MESETAS</t>
  </si>
  <si>
    <t>CRECIENTE CAÑO LA PEÑA.. AFECTADO PUENTE QUE COMUNICA LA URIBE - MESETAS.</t>
  </si>
  <si>
    <t>VEREDA EL PLACER, DESLIZAMIENTO SOBRE VEHICULO, MURIO EL CONDUCTOR. REPORTE DE LA DEFENSA CIVIL.</t>
  </si>
  <si>
    <t>REPORTE DE CREPAD.</t>
  </si>
  <si>
    <t>GUAINIA</t>
  </si>
  <si>
    <t>CORREGIMIENTO DE BARRANCOMINA. COMUNIDAD DE CHATARE.</t>
  </si>
  <si>
    <t>REPORTE DEL CREPAD. SECTOR DEL CENTRO.</t>
  </si>
  <si>
    <t>PUERTO LOPEZ</t>
  </si>
  <si>
    <t xml:space="preserve"> REPORTE DEL CLOPAD. BARRIOS BERNAL, EL PILAR Y CHAPAL. SECTOR MIJITAYO</t>
  </si>
  <si>
    <t>PAMPLONA</t>
  </si>
  <si>
    <t>BARRIOS SIMON BOLIVAR, REPORTE DEL CREPAD.</t>
  </si>
  <si>
    <t>BARRIO JUPITER. REPORTE DEL CREPAD.</t>
  </si>
  <si>
    <t>VEREDA CURBATA. REPORTE DEL CREPAD</t>
  </si>
  <si>
    <t>SOLICITUD DE 70 LATAS DE ATUN, 70 JUGOS, 70 TACOS DE GALLETAS Y 70  BOTELLAS DE AGUA.</t>
  </si>
  <si>
    <t>CAQUETA</t>
  </si>
  <si>
    <t>CURILLO</t>
  </si>
  <si>
    <t>89
97
99
107</t>
  </si>
  <si>
    <t>INFORME DE INGEOMINAS, EVENTO DE 4,6 GRADOS CON PROFUNDIDAD DE 116 KMS, SENTIDO EN EJE CAFETERO Y VALLE DEL CAUCA, PERO EN ARGELIA NO TUVO CONSECUENCIAS NI DAÑOS.</t>
  </si>
  <si>
    <t>TORO</t>
  </si>
  <si>
    <t>APOYO DEL FNC MEDIANTE GIRO DIRECTO AL CLOPAD PARA APOYAR LA RECUPERACION DE LAS VIAS TERCIARIAS DE BUENAVISTA - SAUCES - PLACER - PALO NEGRO - LA CENTRAL; BUIENAVISTA - LA GRANJA - LOS SAUCES; BUENAVISTA - EL BALSO - RIO VERDE; EL BALSO - LAS PIÑAS; JUANES - LA PICOTA.</t>
  </si>
  <si>
    <t>SE APOYA TENIENDO EN CUENTA LA IMPORTANCIA DEL PROYECTO</t>
  </si>
  <si>
    <t>APOYO DEL FNC MEDIANTE GIRO DIRECTO AL CLOPAD PARA APOYAR EL FORTALECIMIENTO DE LA SALA DE CRISIS $82.066.000 Y LA COMPRA Y ADECUACION DE UN VEHICULO PARA LA ATENCIÓN E EMERGENCIAS. $10.000.000.</t>
  </si>
  <si>
    <t>APOYO DEL FNC MEDIANTE GIRO DIRECTO AL CLOPAD PARA LA ADQUISICION DE COMBUSTIBLE PARA LA ADECUACION DE LAS VIAS SIBERIA BAJA, LA ESPAÑOLA, JARDIN BAJO, JARDIN ALTO, ALTAMIRA, GUAYAQUIL BAJO, GUAYAQUIIL ALTO, TRAVESIAS, GUAYABAL, SISNEROS, MEDIA CARA, LA SOLEDAD, BELLAVISTA, LA CONCHA - EL RECREO, LA CONCHA . CARNICEROS, BRISAS - TRAVESIAS.</t>
  </si>
  <si>
    <t>PIJAO</t>
  </si>
  <si>
    <t>MUNICIPIO CON RACIONAMIENTO DE AGUA Y/O DESABASTECIMIENTO POR PROBLEMAS DE SEQUI DEBIDO AL FENOMENO DE EL NIÑO. REPORTE DEL MAVDT. SE PUEDEN ABASTECER DESDE LA CAPTACIÓN DE ACERÍAS PAZ DEL RÍO, MOTIVO POR EL CUAL PARTICIPARÁN EN LA REUNIÓN QUE CONVOCARÁ CORPOBOYACÁ CON LOS MUNICIPIOS DE TOTA, PARA AJUSTAR ESTA ALTERNATIVA. SE DEBE VERIFIAR EL CUMPLIMIENTO DE LA RESOLUCION DE DISMUNICION DE CONCESIONES PARA OBTENER MAYOR CANTIDAD DE AGUA.</t>
  </si>
  <si>
    <t>TOLEDO</t>
  </si>
  <si>
    <t>SE APOYA EVALUANDO LA SOLICITUD PRESENTADA POR LA COMUNIDAD SOBRE LA NECESIDAD DE REPARAR LA LINEA DE CONDUCCION</t>
  </si>
  <si>
    <t>FRONTINO</t>
  </si>
  <si>
    <t>AFECTADO EL TECHO DEL BATALLON Y CENTROS COMERCIALES.</t>
  </si>
  <si>
    <t>43
50</t>
  </si>
  <si>
    <t>MIRANDA</t>
  </si>
  <si>
    <t>PERDIDA DE CULTIVOS DE YUCA, PLATANO, CAÑA, ARROZ, MAIZ Y CACAO</t>
  </si>
  <si>
    <t>LLORO</t>
  </si>
  <si>
    <t xml:space="preserve">ACUEDUCTOS AFECTADOS DE VEREDAS AGUABLANCA Y LA HONDA. </t>
  </si>
  <si>
    <t>SACOS</t>
  </si>
  <si>
    <t>TOLDILLOS</t>
  </si>
  <si>
    <t>TOALLAS</t>
  </si>
  <si>
    <t>CHOCOLATERA</t>
  </si>
  <si>
    <r>
      <t xml:space="preserve">AFECTADAS VIAS VILLAVICENCIO MONFORTH, ALTO DE SOBRETANA - EL CALVARIO, SOBRETANA - CORREGIMIENTO MONTYERREDONDO, ALTO EL CRISTO - QUETAME, </t>
    </r>
    <r>
      <rPr>
        <b/>
        <sz val="9"/>
        <rFont val="Arial"/>
        <family val="2"/>
      </rPr>
      <t>SOLICITAN RECURSOS PARA MEJORAMIENTO DE VIAS PASA A EVALUACION DE PROYECTOS.</t>
    </r>
  </si>
  <si>
    <r>
      <t xml:space="preserve">MUNICIPIO CON RACIONAMIENTO DE AGUA Y/O DESABASTECIMIENTO POR PROBLEMAS DE SEQUI DEBIDO AL FENOMENO DE EL NIÑO. REPORTE DEL MAVDT. </t>
    </r>
    <r>
      <rPr>
        <b/>
        <sz val="10"/>
        <color indexed="8"/>
        <rFont val="Arial"/>
        <family val="2"/>
      </rPr>
      <t>CORPOBOYACA CONVOCARÁ A REUNIÓN URGENTE CON LOS USUARIOS DE LA LAGUNA DE TOTA PARA REVISAR LAS CONCESIONES Y EVALUAR FUENTES ALTERNAS PARA ACERÍAS PAZ DEL RÍO, DE TAL FORMA QUE ASEGURE CAUDALES DE ABASTECIMIENTO A LA POBLACIONES DE ESTOS TRES MUNICIPIOS.LOS ALCALDES INICIAN ACTIVIDADES PARA QUE LA POBLACIÓN REDUZCA SUS TASAS DE CONSUMO, Y PROHIBIRÁN ALGUNAS ACTIVIDADES QUE CONLLEVAN A DESPERDICIO DE AGUA.</t>
    </r>
  </si>
  <si>
    <t>MARMATO</t>
  </si>
  <si>
    <t>SE APOYA TENIENDO EN CUENTA COMPROMISO ADQUIRIDO CON ANTERIORIDAD PARA APOYAR EL PLAN DE ACCION ESPECIFICO</t>
  </si>
  <si>
    <t>LA MERCED</t>
  </si>
  <si>
    <t>EXPLOSION DE MINA DE CARBON. REPORTE DE LA DEFENSA CIVIL.</t>
  </si>
  <si>
    <t>BARRIO SANTA ISABEL</t>
  </si>
  <si>
    <t>LA VEGA</t>
  </si>
  <si>
    <t>MUNICIPIO CON RACIONAMIENTO DE AGUA Y/O DESABASTECIMIENTO POR PROBLEMAS DE SEQUI DEBIDO AL FENOMENO DE EL NIÑO. REPORTE DEL MAVDT. AUNQUE EXISTE RACIONAMIENTO LA SITUACIÓN ESTA CONTROLADA POR LA OFICINA DE SERVICIOS PÚBLICOS.</t>
  </si>
  <si>
    <t>DESBORDAMIENTO RIO SAN JUAN Y QUEBRADAS SANTA CATALINA, MORRI. BARRIOS LAS RIVERAS, EL CENTRO, SOLGALOPE,  Y VEREDA SANTA CATALINA, MACONDO, BRASIL, EL CAÑO, PARCELAS MORROA Y MORRI. REPORTE DEL CREPAD.</t>
  </si>
  <si>
    <t>BARANOA</t>
  </si>
  <si>
    <t xml:space="preserve">REPORTE DE LA DEFENSA CIVIL. </t>
  </si>
  <si>
    <t>DESBORDAMIENTO RIO META, VEREDAS GUAFILLA, NUEVA REFORMA, CARACARO, PALMITA, LA MACARIGUA, SALADILLO, ESMERALDA, PUNTO LINDO, TAPAOJO, MACUBANA, MATA RATON.</t>
  </si>
  <si>
    <t xml:space="preserve">MUNICIPIO CON RACIONAMIENTO DE AGUA Y/O DESABASTECIMIENTO POR PROBLEMAS DE SEQUI DEBIDO AL FENOMENO DE EL NIÑO. REPORTE DEL MAVDT. SE ADELANTA RECORRIDOS CON CORPOCHIVOR PARA INICIAR PROCESOS DE INVESTIGACIÓN CONTRA LA POBLACIÓN QUE DAÑA LA INFRAESTRUCTURA DE CONDUCCIÓN DE AGUAS CRUDAS. SI ESTO SE SOLUCIONA, EL ABASTECIMIENTO MEJORARÁ.SE PRESTARÁ APOYO TÉCNICO PARA EVALUAR ALTERNATIVAS POR PARTE DEL PDA, SE DESPLAZARÁ INGENIEROS DEL GESTOR Y MEDIACIÓN ENTRE LOS DOS MUNICIPIOS A TRAVÉS DE LA GOBERNACIÓN.                                                              EL MUNICIPIO ADELANTARÁ CAMPAÑAS DE SENSIBILIZACIÓN USO RACIONAL. ALCALDIA REMITIRA PROYECTO AL PDA.  </t>
  </si>
  <si>
    <t>DESBORDAMIENTO DE LAS QUEBRADAS LA PALMA, SAN CRISTOBAL Y NALI Y RIO SUMAPAZ.. REPORTE DEL CREPAD.</t>
  </si>
  <si>
    <t>BARRIOS LA ESPERANZA, EL PANORAMA, CENTRO, CAMILO TORRES Y BELLAVISTA. APOYO DEL FNC EN LAMINAS DE ZINC (200) Y CEMENTO (50 BULTOS)</t>
  </si>
  <si>
    <t>ANDALUCIA</t>
  </si>
  <si>
    <t>CORREGIMIENTO EL SALTO. REPORTE DEL CREPAD.</t>
  </si>
  <si>
    <t>CORREGIMIENTO ROSO, SECTORES LA SEQUIA, CAMPANA, CALLEJON Y PATOTAS. SITUACION EN EVALUACION. REPORTE DEL CREPAD</t>
  </si>
  <si>
    <t>CORREGIMIENTO CEYLAN, VEREDAS SAN ISIDRO ALTO Y BAJO ALTO BONITO, Y CHIGUALES.. REPORTE DEL CREPAD.</t>
  </si>
  <si>
    <t>EL CERRITO</t>
  </si>
  <si>
    <t>CORREGIMIENTO SAN ANTONIO. REPORTE DEL CREPAD.</t>
  </si>
  <si>
    <t>CORREGIMEINTO EL RAISAL. AFECTADO CENTRO COMUNITARIO EMBERA CHAMI. REPORTE DEL CREPAD.</t>
  </si>
  <si>
    <t>VILLA RICA</t>
  </si>
  <si>
    <t>BARRIOS BELLAVISTA, ALMENDROS, LA LAGUNA, VILLA ARIEL EL JARDIN, VALENTIN, TERMINAL, VEREDA LA PRIMAVERA Y AGUAZUL.REPORTE DEL CREPAD.</t>
  </si>
  <si>
    <t>203
217</t>
  </si>
  <si>
    <t>REPORTE DEL CREPAD. VEREDAS ALTOS DE JUNTAS Y LA CUMINA. PERDIDA DE CULTIVOS, DAÑO EN POSTES DE ENERGIA Y DOS ENRAMADAS. EN ESPERA DE INFORMACION COMPLEMENTARIA.</t>
  </si>
  <si>
    <t>PRADO</t>
  </si>
  <si>
    <t>CRECIENTE RIO BOGOTA. VEREDA PORTILLO Y CAMELLON DEL RIO. REPORTE DEL CREPAD.</t>
  </si>
  <si>
    <t>RIVERA</t>
  </si>
  <si>
    <t>PERDIDA DE CULTIVOS. DE PLATANO,. YUCA, PAPAYA, TOMATE Y PEPINO.</t>
  </si>
  <si>
    <t>DESBORDAMIENTO RIO NEIVA VEREDA LLANITOS, FINCA LA MARINA. AFECTADA VIA NEIVA - PITALITO. REPORTE DEL CREPAD.</t>
  </si>
  <si>
    <t>LA VIRGINIA</t>
  </si>
  <si>
    <t>SE APOYA A TRAVES DEL CREPAD</t>
  </si>
  <si>
    <t>SECTORES VEREDAS CARAMACO ALTO Y CARAMACO BAJO. REPORTE DEL CREPAD. SOLICITAN APOYO PARA VIAS PERO NO ENVIAS DOCUMENTOS.</t>
  </si>
  <si>
    <t>SE APOYA TENIENDO EN CUENTA LA MAGNITUD D ELA EMERGENCIA</t>
  </si>
  <si>
    <t>SECTOR LOS ALAMOS. VIA BUCARAMANGA - BOGOTA. REPORTE EL CREPAD. SOLICITAN RECURSOS PARA ESTABILIZACION DE TALUD Y VIAS (SIN CUANTIFICAR) . PASA A COORDINACION REGIONAL Y EN NOVIEMBRE SE REGRESA AL CREPAD YA QUE NO SE RECIBE INFORMACION COMPLEMENTARIA</t>
  </si>
  <si>
    <t>BARRIO ESTRELLA NORTE, VEREDA ESMERALDA, VEREDA SOMBREREROS, Y VEREDA DANUBIO. REPORTE DEL CLOPAD.</t>
  </si>
  <si>
    <t>BARRIO PUERTAS DE LCARIBE. REPORTE DEL CLOPAD.</t>
  </si>
  <si>
    <t xml:space="preserve">REPORTE DEL LOPAD. SECTOR DE CUCHILLA DE VILLATE, NUEVA COLOMBIA, CIUDAD MODESTO, EL BOSQUE, EL SIETE DE AGOSTO, ANGELES 2 Y 3 Y LA DELICIAS. </t>
  </si>
  <si>
    <t>DESBORDAMIENTO RIO MAGDALENA Y SOGAMOSO, VEREDAS LA UNION, NUEVA VENECIA, FLORIDA, CANDELARIA, PORVENIR, PLAYON, CAÑO RASQUIÑA, LA COLORADA, CAMPO GALAN, LA ESMERALDA, LA HORTENCIA, CORREGIMIENTYO PUENTE SOGAMOSO. AFECTADA LA VIA PUENTE SOGAMOSO - BARRANCABERMEJA. REPORTE DE LA DEFENSA CIVIL.</t>
  </si>
  <si>
    <t>AFECTADA VIA GAMEZA - SATIVA SUR. VEREDA MOTUA. REPROTE EL CREPAD</t>
  </si>
  <si>
    <t>SATIVASUR</t>
  </si>
  <si>
    <t>BARRIO POPULAR REPORTE DEL CREPAD</t>
  </si>
  <si>
    <t>ARROYO DON JUAN BARRIOS SIMON BOLIVAR, LA CHINITA, PORFIN, LA LUZ.</t>
  </si>
  <si>
    <t>ARROYO EL SALADO BARRIOS FERROCARRIL Y PORVENIR.</t>
  </si>
  <si>
    <t>BARRIOS FREDONIA, LAS PALMERAS OLAYA, POLICARPA. VILLA ROSITA, SANTA MONICA, EL CAMPESTRE, BELLA VISTA Y VISTA HERMOSA</t>
  </si>
  <si>
    <t>FONSECA</t>
  </si>
  <si>
    <t>UN LOCAL AFECTADO</t>
  </si>
  <si>
    <t>SECTORES LLANO ALTO, LA BONITA, BARRIOS SAN ANTONIO, MIRAMAR Y EL TRIUNFO.</t>
  </si>
  <si>
    <t>PLANETA RICA</t>
  </si>
  <si>
    <t>CUATRO LOCALES</t>
  </si>
  <si>
    <t>BARRIO LAS FLORES. REPORTE CLOPAD.</t>
  </si>
  <si>
    <r>
      <t xml:space="preserve">BARRIOS BAHIA HONDA, HEREDIA, GUAQUIRI Y BOMBA. </t>
    </r>
    <r>
      <rPr>
        <b/>
        <sz val="9"/>
        <rFont val="Arial"/>
        <family val="2"/>
      </rPr>
      <t>APOYO DEL FNC PARA ALQUILER DE MAQUINARIA, MANO DE OBRA FORTALECIMIENTO Y ELEVACION DE LOS MUROS DE CONTENCIONEN EL SECTOR ZARAGOCITA Y LA PARTE FRONTAL DEL MUNICIPIO DE PEDRAZA</t>
    </r>
  </si>
  <si>
    <t xml:space="preserve">                                                                                                                                                                                                                                                                                                                                                                                                                                                                                                                                                                                                                                                                                                                                                                                                                                                                                                                                                                                                                                                                                                                                                                                                                                                                                                                                                                                                                                                                                                                                                                                                                                                                                                                                                                                                                                                                                                                                                                                                                                                                                                                                                                                                                                                                                                                                                                                                                                                                                                                                                                                                                                                                                                                                                                                                                                                                                                                                                                                                                                                                                                                                                                                                                                                                                                                                                                                                                                                                                                                                                                                                                                                                                                                                                                                                                                                                                                                                                                                                                                                                                                                                                                                                                                                                                                                                                                                                                                                                                                                                                                                                                                                                                                                                                                                                                                                                                                                                                                                                                                                                                                                                                                                                                                                                                                                                                                                                                                                                                                                                                                                                                                                                                                                                                                                                                                                                                                                                                                                                                                                                                                                                                                                                                                                                                                                                          </t>
  </si>
  <si>
    <t>La Peña</t>
  </si>
  <si>
    <t>Lenguazaque</t>
  </si>
  <si>
    <t>Macheta</t>
  </si>
  <si>
    <t>Madrid</t>
  </si>
  <si>
    <t>Manta</t>
  </si>
  <si>
    <t>Medina</t>
  </si>
  <si>
    <t>Mosquera</t>
  </si>
  <si>
    <t>Nemocon</t>
  </si>
  <si>
    <t>Nilo</t>
  </si>
  <si>
    <t>Nimaima</t>
  </si>
  <si>
    <t>Nocaima</t>
  </si>
  <si>
    <t>Pacho</t>
  </si>
  <si>
    <t>Paime</t>
  </si>
  <si>
    <t>Pandi</t>
  </si>
  <si>
    <t>Paratebueno</t>
  </si>
  <si>
    <t>Pasca</t>
  </si>
  <si>
    <t>Puerto Salgar</t>
  </si>
  <si>
    <t>Puli</t>
  </si>
  <si>
    <t>Quebradanegra</t>
  </si>
  <si>
    <t>Quetame</t>
  </si>
  <si>
    <t>Quipile</t>
  </si>
  <si>
    <t>Apulo</t>
  </si>
  <si>
    <t>Ricaurte</t>
  </si>
  <si>
    <t>San Antonio del Tequendama</t>
  </si>
  <si>
    <t>San Bernardo</t>
  </si>
  <si>
    <t>San Cayetano</t>
  </si>
  <si>
    <t>Sasaima</t>
  </si>
  <si>
    <t>Sesquile</t>
  </si>
  <si>
    <t>Sibate</t>
  </si>
  <si>
    <t>Silvania</t>
  </si>
  <si>
    <t>Simijaca</t>
  </si>
  <si>
    <t>Subachoque</t>
  </si>
  <si>
    <t>Suesca</t>
  </si>
  <si>
    <t>Supata</t>
  </si>
  <si>
    <t>Susa</t>
  </si>
  <si>
    <t>Sutatausa</t>
  </si>
  <si>
    <t>Tabio</t>
  </si>
  <si>
    <t>Tausa</t>
  </si>
  <si>
    <t>Tena</t>
  </si>
  <si>
    <t>Tenjo</t>
  </si>
  <si>
    <t>Tibacuy</t>
  </si>
  <si>
    <t>Tibirita</t>
  </si>
  <si>
    <t>Tocaima</t>
  </si>
  <si>
    <t>Tocancipa</t>
  </si>
  <si>
    <t>Topaipi</t>
  </si>
  <si>
    <t>Ubala</t>
  </si>
  <si>
    <t>Ubaque</t>
  </si>
  <si>
    <t>Villa de San Diego de Ubate</t>
  </si>
  <si>
    <t>Une</t>
  </si>
  <si>
    <t>Vergara</t>
  </si>
  <si>
    <t>Viani</t>
  </si>
  <si>
    <t>Villapinzon</t>
  </si>
  <si>
    <t>Villeta</t>
  </si>
  <si>
    <t>Viota</t>
  </si>
  <si>
    <t>Yacopi</t>
  </si>
  <si>
    <t>Zipacon</t>
  </si>
  <si>
    <t>Zipaquira</t>
  </si>
  <si>
    <t>Quibdo</t>
  </si>
  <si>
    <t>Acandi</t>
  </si>
  <si>
    <t>Alto Baudo</t>
  </si>
  <si>
    <t>Atrato</t>
  </si>
  <si>
    <t>Bahia Solano</t>
  </si>
  <si>
    <t>Bajo Baudo</t>
  </si>
  <si>
    <t>Bojaya</t>
  </si>
  <si>
    <t>El Canton del San Pablo</t>
  </si>
  <si>
    <t>Carmen del Darien</t>
  </si>
  <si>
    <t>Certegui</t>
  </si>
  <si>
    <t>Condoto</t>
  </si>
  <si>
    <t>El Carmen de Atrato</t>
  </si>
  <si>
    <t>El Litoral del San Juan</t>
  </si>
  <si>
    <t>Istmina</t>
  </si>
  <si>
    <t>Jurado</t>
  </si>
  <si>
    <t>Lloro</t>
  </si>
  <si>
    <t>Medio Atrato</t>
  </si>
  <si>
    <t>Medio Baudo</t>
  </si>
  <si>
    <t>Medio San Juan</t>
  </si>
  <si>
    <t>Novita</t>
  </si>
  <si>
    <t>Nuqui</t>
  </si>
  <si>
    <t>Rio Iro</t>
  </si>
  <si>
    <t>Rio Quito</t>
  </si>
  <si>
    <t>San Jose del Palmar</t>
  </si>
  <si>
    <t>Sipi</t>
  </si>
  <si>
    <t>Tado</t>
  </si>
  <si>
    <t>Unguia</t>
  </si>
  <si>
    <t>Union Panamericana</t>
  </si>
  <si>
    <t>Huila</t>
  </si>
  <si>
    <t>Neiva</t>
  </si>
  <si>
    <t>Acevedo</t>
  </si>
  <si>
    <t>Agrado</t>
  </si>
  <si>
    <t>Aipe</t>
  </si>
  <si>
    <t>Algeciras</t>
  </si>
  <si>
    <t>Altamira</t>
  </si>
  <si>
    <t>Baraya</t>
  </si>
  <si>
    <t>Campoalegre</t>
  </si>
  <si>
    <t>Colombia</t>
  </si>
  <si>
    <t>Elias</t>
  </si>
  <si>
    <t>Garzon</t>
  </si>
  <si>
    <t>Gigante</t>
  </si>
  <si>
    <t>Hobo</t>
  </si>
  <si>
    <t>Iquira</t>
  </si>
  <si>
    <t>Isnos</t>
  </si>
  <si>
    <t>La Argentina</t>
  </si>
  <si>
    <t>La Plata</t>
  </si>
  <si>
    <t>Nataga</t>
  </si>
  <si>
    <t>Oporapa</t>
  </si>
  <si>
    <t>Paicol</t>
  </si>
  <si>
    <t>Palermo</t>
  </si>
  <si>
    <t>Pital</t>
  </si>
  <si>
    <t>Pitalito</t>
  </si>
  <si>
    <t>Rivera</t>
  </si>
  <si>
    <t>Saladoblanco</t>
  </si>
  <si>
    <t>San Agustin</t>
  </si>
  <si>
    <t>Suaza</t>
  </si>
  <si>
    <t>Tarqui</t>
  </si>
  <si>
    <t>Tesalia</t>
  </si>
  <si>
    <t>Tello</t>
  </si>
  <si>
    <t>Timana</t>
  </si>
  <si>
    <t>Villavieja</t>
  </si>
  <si>
    <t>Yaguara</t>
  </si>
  <si>
    <t>Riohacha</t>
  </si>
  <si>
    <t>Barrancas</t>
  </si>
  <si>
    <t>Dibulla</t>
  </si>
  <si>
    <t>Distraccion</t>
  </si>
  <si>
    <t>El Molino</t>
  </si>
  <si>
    <t>Fonseca</t>
  </si>
  <si>
    <t>Hatonuevo</t>
  </si>
  <si>
    <t>La Jagua del Pilar</t>
  </si>
  <si>
    <t>Maicao</t>
  </si>
  <si>
    <t>San Juan del Cesar</t>
  </si>
  <si>
    <t>Uribia</t>
  </si>
  <si>
    <t>Urumita</t>
  </si>
  <si>
    <t>Santa Marta</t>
  </si>
  <si>
    <t>Algarrobo</t>
  </si>
  <si>
    <t>Aracataca</t>
  </si>
  <si>
    <t>Ariguani</t>
  </si>
  <si>
    <t>Cerro San Antonio</t>
  </si>
  <si>
    <t>Chivolo</t>
  </si>
  <si>
    <t>El Banco</t>
  </si>
  <si>
    <t>El Piñon</t>
  </si>
  <si>
    <t>El Reten</t>
  </si>
  <si>
    <t>Fundacion</t>
  </si>
  <si>
    <t>Guamal</t>
  </si>
  <si>
    <t>Nueva Granada</t>
  </si>
  <si>
    <t>Pedraza</t>
  </si>
  <si>
    <t>Pijiño del Carmen</t>
  </si>
  <si>
    <t>Pivijay</t>
  </si>
  <si>
    <t>Plato</t>
  </si>
  <si>
    <t>Puebloviejo</t>
  </si>
  <si>
    <t>Remolino</t>
  </si>
  <si>
    <t>Sabanas de San Angel</t>
  </si>
  <si>
    <t>San Sebastian de Buenavista</t>
  </si>
  <si>
    <t>San Zenon</t>
  </si>
  <si>
    <t>Santa Ana</t>
  </si>
  <si>
    <t>Santa Barbara de Pinto</t>
  </si>
  <si>
    <t>Sitionuevo</t>
  </si>
  <si>
    <t>Tenerife</t>
  </si>
  <si>
    <t>Zapayan</t>
  </si>
  <si>
    <t>Zona Bananera</t>
  </si>
  <si>
    <t>Meta</t>
  </si>
  <si>
    <t>Villavicencio</t>
  </si>
  <si>
    <t>Acacias</t>
  </si>
  <si>
    <t>Barranca de Upia</t>
  </si>
  <si>
    <t>Cabuyaro</t>
  </si>
  <si>
    <t>Castilla la Nueva</t>
  </si>
  <si>
    <t>Cubarral</t>
  </si>
  <si>
    <t>Cumaral</t>
  </si>
  <si>
    <t>El Calvario</t>
  </si>
  <si>
    <t>El Castillo</t>
  </si>
  <si>
    <t>El Dorado</t>
  </si>
  <si>
    <t>Fuente de Oro</t>
  </si>
  <si>
    <t>Mapiripan</t>
  </si>
  <si>
    <t>Mesetas</t>
  </si>
  <si>
    <t>La Macarena</t>
  </si>
  <si>
    <t>Uribe</t>
  </si>
  <si>
    <t>Lejanias</t>
  </si>
  <si>
    <t>Puerto Concordia</t>
  </si>
  <si>
    <t>Puerto Gaitan</t>
  </si>
  <si>
    <t>Puerto Lopez</t>
  </si>
  <si>
    <t>Restrepo</t>
  </si>
  <si>
    <t>San Carlos de Guaroa</t>
  </si>
  <si>
    <t>San Juan de Arama</t>
  </si>
  <si>
    <t>San Juanito</t>
  </si>
  <si>
    <t>Pasto</t>
  </si>
  <si>
    <t>Aldana</t>
  </si>
  <si>
    <t>Ancuya</t>
  </si>
  <si>
    <t>Arboleda</t>
  </si>
  <si>
    <t>Barbacoas</t>
  </si>
  <si>
    <t>Buesaco</t>
  </si>
  <si>
    <t>Colon</t>
  </si>
  <si>
    <t>Consaca</t>
  </si>
  <si>
    <t>Contadero</t>
  </si>
  <si>
    <t>Cuaspud</t>
  </si>
  <si>
    <t>Cumbal</t>
  </si>
  <si>
    <t>Cumbitara</t>
  </si>
  <si>
    <t>Chachagui</t>
  </si>
  <si>
    <t>El Charco</t>
  </si>
  <si>
    <t>El Peñol</t>
  </si>
  <si>
    <t>El Rosario</t>
  </si>
  <si>
    <t>El Tablon de Gomez</t>
  </si>
  <si>
    <t>Funes</t>
  </si>
  <si>
    <t>Guachucal</t>
  </si>
  <si>
    <t>Guaitarilla</t>
  </si>
  <si>
    <t>Gualmatan</t>
  </si>
  <si>
    <t>Iles</t>
  </si>
  <si>
    <t>Imues</t>
  </si>
  <si>
    <t>Ipiales</t>
  </si>
  <si>
    <t>La Cruz</t>
  </si>
  <si>
    <t>La Tola</t>
  </si>
  <si>
    <t>Leiva</t>
  </si>
  <si>
    <t>Magui</t>
  </si>
  <si>
    <t>Mallama</t>
  </si>
  <si>
    <t>Olaya Herrera</t>
  </si>
  <si>
    <t>Ospina</t>
  </si>
  <si>
    <t>Francisco Pizarro</t>
  </si>
  <si>
    <t>Policarpa</t>
  </si>
  <si>
    <t>Potosi</t>
  </si>
  <si>
    <t>Providencia</t>
  </si>
  <si>
    <t>Puerres</t>
  </si>
  <si>
    <t>Pupiales</t>
  </si>
  <si>
    <t>Roberto Payan</t>
  </si>
  <si>
    <t>Samaniego</t>
  </si>
  <si>
    <t>Sandona</t>
  </si>
  <si>
    <t>San Lorenzo</t>
  </si>
  <si>
    <t>San Pedro de Cartago</t>
  </si>
  <si>
    <t>Santacruz</t>
  </si>
  <si>
    <t>Sapuyes</t>
  </si>
  <si>
    <t>Taminango</t>
  </si>
  <si>
    <t>Tangua</t>
  </si>
  <si>
    <t>San Andres de Tumaco</t>
  </si>
  <si>
    <t>Tuquerres</t>
  </si>
  <si>
    <t>Yacuanquer</t>
  </si>
  <si>
    <t>Cucuta</t>
  </si>
  <si>
    <t>Abrego</t>
  </si>
  <si>
    <t>Arboledas</t>
  </si>
  <si>
    <t>Bochalema</t>
  </si>
  <si>
    <t>Bucarasica</t>
  </si>
  <si>
    <t>Cacota</t>
  </si>
  <si>
    <t>Cachira</t>
  </si>
  <si>
    <t>Chinacota</t>
  </si>
  <si>
    <t>Chitaga</t>
  </si>
  <si>
    <t>Convencion</t>
  </si>
  <si>
    <t>Cucutilla</t>
  </si>
  <si>
    <t>Durania</t>
  </si>
  <si>
    <t>El Carmen</t>
  </si>
  <si>
    <t>El Tarra</t>
  </si>
  <si>
    <t>El Zulia</t>
  </si>
  <si>
    <t>Gramalote</t>
  </si>
  <si>
    <t>Hacari</t>
  </si>
  <si>
    <t>Herran</t>
  </si>
  <si>
    <t>Labateca</t>
  </si>
  <si>
    <t>La Esperanza</t>
  </si>
  <si>
    <t>La Playa</t>
  </si>
  <si>
    <t>Lourdes</t>
  </si>
  <si>
    <t>Mutiscua</t>
  </si>
  <si>
    <t>Ocaña</t>
  </si>
  <si>
    <t>Pamplona</t>
  </si>
  <si>
    <t>Pamplonita</t>
  </si>
  <si>
    <t>Puerto Santander</t>
  </si>
  <si>
    <t>Ragonvalia</t>
  </si>
  <si>
    <t>Salazar</t>
  </si>
  <si>
    <t>San Calixto</t>
  </si>
  <si>
    <t>Santiago</t>
  </si>
  <si>
    <t>Sardinata</t>
  </si>
  <si>
    <t>Silos</t>
  </si>
  <si>
    <t>Teorama</t>
  </si>
  <si>
    <t>Tibu</t>
  </si>
  <si>
    <t>Villa Caro</t>
  </si>
  <si>
    <t>Villa del Rosario</t>
  </si>
  <si>
    <t>Calarca</t>
  </si>
  <si>
    <t>La Tebaida</t>
  </si>
  <si>
    <t>Montenegro</t>
  </si>
  <si>
    <t>Pijao</t>
  </si>
  <si>
    <t>Quimbaya</t>
  </si>
  <si>
    <t>Salento</t>
  </si>
  <si>
    <t>Pereira</t>
  </si>
  <si>
    <t>Apia</t>
  </si>
  <si>
    <t>Belen de Umbria</t>
  </si>
  <si>
    <t>Dosquebradas</t>
  </si>
  <si>
    <t>Guatica</t>
  </si>
  <si>
    <t>La Celia</t>
  </si>
  <si>
    <t>La Virginia</t>
  </si>
  <si>
    <t>Mistrato</t>
  </si>
  <si>
    <t>Pueblo Rico</t>
  </si>
  <si>
    <t>Quinchia</t>
  </si>
  <si>
    <t>Santa Rosa de Cabal</t>
  </si>
  <si>
    <t>Bucaramanga</t>
  </si>
  <si>
    <t>Aguada</t>
  </si>
  <si>
    <t>Aratoca</t>
  </si>
  <si>
    <t>Barrancabermeja</t>
  </si>
  <si>
    <t>California</t>
  </si>
  <si>
    <t>Capitanejo</t>
  </si>
  <si>
    <t>Carcasi</t>
  </si>
  <si>
    <t>Cepita</t>
  </si>
  <si>
    <t>Cerrito</t>
  </si>
  <si>
    <t>Charala</t>
  </si>
  <si>
    <t>Charta</t>
  </si>
  <si>
    <t>Chipata</t>
  </si>
  <si>
    <t>Cimitarra</t>
  </si>
  <si>
    <t>Confines</t>
  </si>
  <si>
    <t>Contratacion</t>
  </si>
  <si>
    <t>Coromoro</t>
  </si>
  <si>
    <t>Curiti</t>
  </si>
  <si>
    <t>El Carmen de Chucuri</t>
  </si>
  <si>
    <t>El Guacamayo</t>
  </si>
  <si>
    <t>El Playon</t>
  </si>
  <si>
    <t>Encino</t>
  </si>
  <si>
    <t>Enciso</t>
  </si>
  <si>
    <t>Florian</t>
  </si>
  <si>
    <t>Floridablanca</t>
  </si>
  <si>
    <t>Galan</t>
  </si>
  <si>
    <t>Gambita</t>
  </si>
  <si>
    <t>Giron</t>
  </si>
  <si>
    <t>Guaca</t>
  </si>
  <si>
    <t>Guapota</t>
  </si>
  <si>
    <t>Guavata</t>
  </si>
  <si>
    <t>Guepsa</t>
  </si>
  <si>
    <t>Hato</t>
  </si>
  <si>
    <t>Jesus Maria</t>
  </si>
  <si>
    <t>Jordan</t>
  </si>
  <si>
    <t>La Belleza</t>
  </si>
  <si>
    <t>Landazuri</t>
  </si>
  <si>
    <t>Lebrija</t>
  </si>
  <si>
    <t>Los Santos</t>
  </si>
  <si>
    <t>Macaravita</t>
  </si>
  <si>
    <t>Malaga</t>
  </si>
  <si>
    <t>Matanza</t>
  </si>
  <si>
    <t>Mogotes</t>
  </si>
  <si>
    <t>Molagavita</t>
  </si>
  <si>
    <t>Ocamonte</t>
  </si>
  <si>
    <t>Oiba</t>
  </si>
  <si>
    <t>Onzaga</t>
  </si>
  <si>
    <t>Palmar</t>
  </si>
  <si>
    <t>Palmas del Socorro</t>
  </si>
  <si>
    <t>Paramo</t>
  </si>
  <si>
    <t>Piedecuesta</t>
  </si>
  <si>
    <t>Pinchote</t>
  </si>
  <si>
    <t>Puente Nacional</t>
  </si>
  <si>
    <t>Puerto Parra</t>
  </si>
  <si>
    <t>Puerto Wilches</t>
  </si>
  <si>
    <t>Sabana de Torres</t>
  </si>
  <si>
    <t>San Andres</t>
  </si>
  <si>
    <t>San Benito</t>
  </si>
  <si>
    <t>San Gil</t>
  </si>
  <si>
    <t>San Joaquin</t>
  </si>
  <si>
    <t>San Jose de Miranda</t>
  </si>
  <si>
    <t>San Miguel</t>
  </si>
  <si>
    <t>San Vicente de Chucuri</t>
  </si>
  <si>
    <t>Santa Helena del Opon</t>
  </si>
  <si>
    <t>Simacota</t>
  </si>
  <si>
    <t>Socorro</t>
  </si>
  <si>
    <t>Suaita</t>
  </si>
  <si>
    <t>Surata</t>
  </si>
  <si>
    <t>Tona</t>
  </si>
  <si>
    <t>Valle de San Jose</t>
  </si>
  <si>
    <t>Velez</t>
  </si>
  <si>
    <t>Vetas</t>
  </si>
  <si>
    <t>Zapatoca</t>
  </si>
  <si>
    <t>Sincelejo</t>
  </si>
  <si>
    <t>Caimito</t>
  </si>
  <si>
    <t>Coloso</t>
  </si>
  <si>
    <t>Corozal</t>
  </si>
  <si>
    <t>Coveñas</t>
  </si>
  <si>
    <t>Chalan</t>
  </si>
  <si>
    <t>El Roble</t>
  </si>
  <si>
    <t>Galeras</t>
  </si>
  <si>
    <t>Guaranda</t>
  </si>
  <si>
    <t>Los Palmitos</t>
  </si>
  <si>
    <t>Majagual</t>
  </si>
  <si>
    <t>Morroa</t>
  </si>
  <si>
    <t>Ovejas</t>
  </si>
  <si>
    <t>Palmito</t>
  </si>
  <si>
    <t>Sampues</t>
  </si>
  <si>
    <t>San Benito Abad</t>
  </si>
  <si>
    <t>San Juan de Betulia</t>
  </si>
  <si>
    <t>San Marcos</t>
  </si>
  <si>
    <t>San Onofre</t>
  </si>
  <si>
    <t>San Luis de Since</t>
  </si>
  <si>
    <t>Santiago de Tolu</t>
  </si>
  <si>
    <t>Tolu Viejo</t>
  </si>
  <si>
    <t>Ibague</t>
  </si>
  <si>
    <t>Alpujarra</t>
  </si>
  <si>
    <t>Alvarado</t>
  </si>
  <si>
    <t>Ambalema</t>
  </si>
  <si>
    <t>Anzoategui</t>
  </si>
  <si>
    <t>Armero</t>
  </si>
  <si>
    <t>Ataco</t>
  </si>
  <si>
    <t>Cajamarca</t>
  </si>
  <si>
    <t>Carmen de Apicala</t>
  </si>
  <si>
    <t>Casabianca</t>
  </si>
  <si>
    <t>Chaparral</t>
  </si>
  <si>
    <t>Coello</t>
  </si>
  <si>
    <t>Coyaima</t>
  </si>
  <si>
    <t>Cunday</t>
  </si>
  <si>
    <t>Dolores</t>
  </si>
  <si>
    <t>Espinal</t>
  </si>
  <si>
    <t>Falan</t>
  </si>
  <si>
    <t>Flandes</t>
  </si>
  <si>
    <t>Fresno</t>
  </si>
  <si>
    <t>Guamo</t>
  </si>
  <si>
    <t>Herveo</t>
  </si>
  <si>
    <t>Honda</t>
  </si>
  <si>
    <t>Icononzo</t>
  </si>
  <si>
    <t>Lerida</t>
  </si>
  <si>
    <t>Libano</t>
  </si>
  <si>
    <t>Mariquita</t>
  </si>
  <si>
    <t>Melgar</t>
  </si>
  <si>
    <t>Murillo</t>
  </si>
  <si>
    <t>Natagaima</t>
  </si>
  <si>
    <t>Ortega</t>
  </si>
  <si>
    <t>Palocabildo</t>
  </si>
  <si>
    <t>Piedras</t>
  </si>
  <si>
    <t>Planadas</t>
  </si>
  <si>
    <t>Prado</t>
  </si>
  <si>
    <t>Purificacion</t>
  </si>
  <si>
    <t>Rioblanco</t>
  </si>
  <si>
    <t>Roncesvalles</t>
  </si>
  <si>
    <t>Rovira</t>
  </si>
  <si>
    <t>Saldaña</t>
  </si>
  <si>
    <t>San Antonio</t>
  </si>
  <si>
    <t>Santa Isabel</t>
  </si>
  <si>
    <t>Valle de San Juan</t>
  </si>
  <si>
    <t>Venadillo</t>
  </si>
  <si>
    <t>Villahermosa</t>
  </si>
  <si>
    <t>Villarrica</t>
  </si>
  <si>
    <t>Cali</t>
  </si>
  <si>
    <t>Alcala</t>
  </si>
  <si>
    <t>Andalucia</t>
  </si>
  <si>
    <t>Ansermanuevo</t>
  </si>
  <si>
    <t>Buenaventura</t>
  </si>
  <si>
    <t>Guadalajara de Buga</t>
  </si>
  <si>
    <t>Bugalagrande</t>
  </si>
  <si>
    <t>Caicedonia</t>
  </si>
  <si>
    <t>Calima</t>
  </si>
  <si>
    <t>Cartago</t>
  </si>
  <si>
    <t>Dagua</t>
  </si>
  <si>
    <t>El aguila</t>
  </si>
  <si>
    <t>El Cairo</t>
  </si>
  <si>
    <t>El Cerrito</t>
  </si>
  <si>
    <t>El Dovio</t>
  </si>
  <si>
    <t>Florida</t>
  </si>
  <si>
    <t>Ginebra</t>
  </si>
  <si>
    <t>Guacari</t>
  </si>
  <si>
    <t>Jamundi</t>
  </si>
  <si>
    <t>La Cumbre</t>
  </si>
  <si>
    <t>Obando</t>
  </si>
  <si>
    <t>Palmira</t>
  </si>
  <si>
    <t>Pradera</t>
  </si>
  <si>
    <t>Riofrio</t>
  </si>
  <si>
    <t>Roldanillo</t>
  </si>
  <si>
    <t>Sevilla</t>
  </si>
  <si>
    <t>Toro</t>
  </si>
  <si>
    <t>Trujillo</t>
  </si>
  <si>
    <t>Tulua</t>
  </si>
  <si>
    <t>Ulloa</t>
  </si>
  <si>
    <t>Versalles</t>
  </si>
  <si>
    <t>Vijes</t>
  </si>
  <si>
    <t>Yotoco</t>
  </si>
  <si>
    <t>Yumbo</t>
  </si>
  <si>
    <t>Zarzal</t>
  </si>
  <si>
    <t>Arauquita</t>
  </si>
  <si>
    <t>Cravo Norte</t>
  </si>
  <si>
    <t>Fortul</t>
  </si>
  <si>
    <t>Puerto Rondon</t>
  </si>
  <si>
    <t>Saravena</t>
  </si>
  <si>
    <t>Tame</t>
  </si>
  <si>
    <t>Casanare</t>
  </si>
  <si>
    <t>Yopal</t>
  </si>
  <si>
    <t>Aguazul</t>
  </si>
  <si>
    <t>Chameza</t>
  </si>
  <si>
    <t>Hato Corozal</t>
  </si>
  <si>
    <t>La Salina</t>
  </si>
  <si>
    <t>Mani</t>
  </si>
  <si>
    <t>Monterrey</t>
  </si>
  <si>
    <t>Nunchia</t>
  </si>
  <si>
    <t>Orocue</t>
  </si>
  <si>
    <t>Paz de Ariporo</t>
  </si>
  <si>
    <t>Pore</t>
  </si>
  <si>
    <t>Recetor</t>
  </si>
  <si>
    <t>Sacama</t>
  </si>
  <si>
    <t>San Luis de Palenque</t>
  </si>
  <si>
    <t>Tamara</t>
  </si>
  <si>
    <t>Trinidad</t>
  </si>
  <si>
    <t>Mocoa</t>
  </si>
  <si>
    <t>Orito</t>
  </si>
  <si>
    <t>Puerto Asis</t>
  </si>
  <si>
    <t>Puerto Caicedo</t>
  </si>
  <si>
    <t>Puerto Guzman</t>
  </si>
  <si>
    <t>Leguizamo</t>
  </si>
  <si>
    <t>Sibundoy</t>
  </si>
  <si>
    <t>Valle del Guamuez</t>
  </si>
  <si>
    <t>Villagarzon</t>
  </si>
  <si>
    <t>Amazonas</t>
  </si>
  <si>
    <t>Leticia</t>
  </si>
  <si>
    <t>91263</t>
  </si>
  <si>
    <t>El Encanto (CD)</t>
  </si>
  <si>
    <t>91405</t>
  </si>
  <si>
    <t>La Chorrera (CD)</t>
  </si>
  <si>
    <t>91407</t>
  </si>
  <si>
    <t>La Pedrera (CD)</t>
  </si>
  <si>
    <t>91430</t>
  </si>
  <si>
    <t>La Victoria (CD)</t>
  </si>
  <si>
    <t>91460</t>
  </si>
  <si>
    <t>Miriti - Parana (CD)</t>
  </si>
  <si>
    <t>91530</t>
  </si>
  <si>
    <t>Puerto Alegria (CD)</t>
  </si>
  <si>
    <t>91536</t>
  </si>
  <si>
    <t>Puerto Arica (CD)</t>
  </si>
  <si>
    <t>Puerto Nariño</t>
  </si>
  <si>
    <t>91669</t>
  </si>
  <si>
    <t>Puerto Santander (CD)</t>
  </si>
  <si>
    <t>91798</t>
  </si>
  <si>
    <t>Tarapaca (CD)</t>
  </si>
  <si>
    <t>Guainia</t>
  </si>
  <si>
    <t>Inirida</t>
  </si>
  <si>
    <t>94343</t>
  </si>
  <si>
    <t>Barranco Minas (CD)</t>
  </si>
  <si>
    <t>94663</t>
  </si>
  <si>
    <t>Mapiripana (CD)</t>
  </si>
  <si>
    <t>94883</t>
  </si>
  <si>
    <t>San Felipe (CD)</t>
  </si>
  <si>
    <t>94884</t>
  </si>
  <si>
    <t>Puerto Colombia (CD)</t>
  </si>
  <si>
    <t>94885</t>
  </si>
  <si>
    <t>La Guadalupe (CD)</t>
  </si>
  <si>
    <t>94886</t>
  </si>
  <si>
    <t>Cacahual (CD)</t>
  </si>
  <si>
    <t>94887</t>
  </si>
  <si>
    <t>Pana Pana (CD)</t>
  </si>
  <si>
    <t>94888</t>
  </si>
  <si>
    <t>Morichal (CD)</t>
  </si>
  <si>
    <t>Guaviare</t>
  </si>
  <si>
    <t>San Jose del Guaviare</t>
  </si>
  <si>
    <t>El Retorno</t>
  </si>
  <si>
    <t>Vaupes</t>
  </si>
  <si>
    <t>Mitu</t>
  </si>
  <si>
    <t>Caruru</t>
  </si>
  <si>
    <t>97511</t>
  </si>
  <si>
    <t>Pacoa (CD)</t>
  </si>
  <si>
    <t>Taraira</t>
  </si>
  <si>
    <t>97777</t>
  </si>
  <si>
    <t>Papunaua (CD)</t>
  </si>
  <si>
    <t>97889</t>
  </si>
  <si>
    <t>Yavarate (CD)</t>
  </si>
  <si>
    <t>Vichada</t>
  </si>
  <si>
    <t>Puerto Carreño</t>
  </si>
  <si>
    <t>La Primavera</t>
  </si>
  <si>
    <t>Santa Rosalia</t>
  </si>
  <si>
    <t>Cumaribo</t>
  </si>
  <si>
    <t>Montelibano</t>
  </si>
  <si>
    <t>SAN ANTONIO DEL TEQUENDAMA</t>
  </si>
  <si>
    <t>BARRIOS NAZARETH, LA TIJERA, BARRANTIAL, PUENTE MAREIGUA, ESPERANZA, SANTAFE, BARRIO CRISTALINA CORREGIMIENTO MAJAYURA,  VEREDA VILLADIANA DESBOPRDAMIENTO QUEBRADA PARAGUACHON..REPORTE PRELIMINAR DEL CREPAD.</t>
  </si>
  <si>
    <t>TAPONAMIENTO DE ALCANTARILLAS. 18 BARRIOS INUNDADOS DEL CASCO URBANO Y CORREGIMIENTO DE PARAGUACHON. . SEIS COMUNIDADES INDIGENAS. REPORTE DEL CREPAD. Y CRUZ ROJA. COMUNIDADES INDIGENAS PARRANTIAL Y PUERTA DEL SOL. DESBORDAMIENTO RIO PARRANTIAL, CARRAIPIA. REPORTE DEL SOCORRO NACIONAL.</t>
  </si>
  <si>
    <t xml:space="preserve">                                                                                                       </t>
  </si>
  <si>
    <t>BARRIO EL REFUGIO. REPORTE DE LA DPAE</t>
  </si>
  <si>
    <t>BARRIO LAS HUERTAS. REPORTE DE LA DPAE</t>
  </si>
  <si>
    <t>BARRIO LOS DUQUES. REPORTE DE LA DPAE</t>
  </si>
  <si>
    <t>BARRIO SADEC UNO. REPORTE DE LA DPAE</t>
  </si>
  <si>
    <t>BARRIO LA CITA. REPORTE DE LA DPAE</t>
  </si>
  <si>
    <t>BARRIO VILLA GLADIS. REPORTE DE LA DPAE</t>
  </si>
  <si>
    <t>BARRIO SUBA URBANO. REPORTE DE LA DPAE</t>
  </si>
  <si>
    <t>BARRIO EL ROSARIO. REPORTE DE LA DPAE</t>
  </si>
  <si>
    <t>BARRIO TUNJUELITO. REPORTE DE LA DPAE</t>
  </si>
  <si>
    <t>BARRIO SIERRA MORENA. REPORTE DE LA DPAE</t>
  </si>
  <si>
    <t>BARRIO BELLA FLOR. REPORTE DE LA DPAE</t>
  </si>
  <si>
    <t>BARRIO LOMITAS. REPORTE DE LA DPAE</t>
  </si>
  <si>
    <t>BARRIO MONTEVIDEO. REPORTE DE LA DPAE</t>
  </si>
  <si>
    <t>BARRIO LA BELLEZA. REPORTE DE LA DPAE</t>
  </si>
  <si>
    <t>BARRIO NUEVA DELLY. REPORTE DE LA DPAE</t>
  </si>
  <si>
    <t>BARRIO LOS LIBERTADORES. REPORTE DE LA DPAE</t>
  </si>
  <si>
    <t>BARRIO BOSA ESTACION. REPORTE DE LA DPAE</t>
  </si>
  <si>
    <t>BARRIO EL AMPARO. REPORTE DE LA DPAE</t>
  </si>
  <si>
    <t>BARRIO EL REMANSO. REPORTE DE LA DPAE</t>
  </si>
  <si>
    <t>BARRIO EL CODITO III. REPORTE DE LA DPAE}</t>
  </si>
  <si>
    <t>BARRIO EL TESORO. REPORTE DE LA DPAE</t>
  </si>
  <si>
    <t>BARRIO BRISAS DEL VOLADOR. REPORTE DE LA DPAE</t>
  </si>
  <si>
    <t>BARRIO BUENAVISTA. REPORTE DE LA DPAE</t>
  </si>
  <si>
    <t>BARRIO SAN LUIS - ALTOS DEL CABO. REPORTE DE LA DPAE</t>
  </si>
  <si>
    <t>BARRIO SAN LUIS. REPORTE DE LA DPAE</t>
  </si>
  <si>
    <t>BARRIO SAN JOSE. REPORTE DE LA DPAE</t>
  </si>
  <si>
    <t>BARRIO LA ACACIA. REPORTE DE LA DPAE</t>
  </si>
  <si>
    <t>BARRIO METROPOLIS. REPORTE DE LA DPAE</t>
  </si>
  <si>
    <t>BARRIO JULIO FLOREZ. REPORTE DE LA DPAE</t>
  </si>
  <si>
    <t>BARRIO MINUTO DE DIOS. REPORTE DE LA DPAE</t>
  </si>
  <si>
    <t>BARRIO EL CODITO III. REPORTE DE LA DPAE</t>
  </si>
  <si>
    <t>BARRIO EL PLAYON. REPORTE DE LA DPAE</t>
  </si>
  <si>
    <t>BARRIO EL SOCORRO III SECTOR. REPORTE DE LA DPAE</t>
  </si>
  <si>
    <t>BARRIO DIANA TURBAY CULTIVOS. REPORTE DE LA DPAE</t>
  </si>
  <si>
    <t>BARRIO GUIPARMA. REPORTE DE LA DPAE</t>
  </si>
  <si>
    <t>BARRIO DIANA TURBAY. REPORTE DE LA DPAE</t>
  </si>
  <si>
    <t>BARRIO A.S.D.. REPORTE DE LA DPAE</t>
  </si>
  <si>
    <t>REPORTE DE LA FEDERACION NACIONAL DE CAFETREROS SOBRE PRODUCTORES AFECTADOS POR LA TEMPORADA INVERNAL</t>
  </si>
  <si>
    <t>REPORTE DEL CREPAD. EN REUNION DEL 18 DE ABRIL DE 2011</t>
  </si>
  <si>
    <t>ACTUALIZADO POR EL CREPAD EN REUNION DEL 18 E ABRIL DE 2011</t>
  </si>
  <si>
    <t>DISTRACCION</t>
  </si>
  <si>
    <t>AFCTADO EL CASCO URBANO. REPORTE DE LA DEFENSA CIVIL.</t>
  </si>
  <si>
    <t>ARBOLEDAS</t>
  </si>
  <si>
    <t xml:space="preserve">DESBORDAMIENTO QUEBRADA LA LATA. REPROTE DE DEFENSA CIVIL BARRIOS ONDA DEL CARIBE, LOMA FRESCA, CHIMILA, FUNDADORES, LUIS CARLOS GALAN BASTIDAS, TAYRONA </t>
  </si>
  <si>
    <t>DESBORDAMIENTO QUEBRADA CHIMICUITA.</t>
  </si>
  <si>
    <t>BARRIO SANTA ANITA PARTE ALTA, CASA VERDE. SATA ROSA, NUEVA GRANADA, EL JORDAN, LA LOMITA Y LAUREANO GOMEZ.. REPORTE DEL CREPAD</t>
  </si>
  <si>
    <t>DESBORDAMIENTO QUEBRADA NUEVA. TWIS TIS Y RIO SINU VEREDA NUEVOTAL, SAN CLEMENTE, BARRIOS LA UNION, LA PALMA, EL RECREO, TIERRALTA. REPROTE DE LA DEFENSA CIVL</t>
  </si>
  <si>
    <t>ZONA RURAL EN 24 CORREGIMIENTOS. RPORTE DE LA DEFENSA CIVIL. DESBORDAMIENTO RIO SINU Y CAÑO EL BAGRE.</t>
  </si>
  <si>
    <t>BARRIOS SUCRE, NUEVO MILENIO, MOCARI, CORREGIMEINTOS MARTINICA, LETICIA LAS PALOMAS Y LOS GARZONES.</t>
  </si>
  <si>
    <t>DESBORDAMIENTO RIO CAUCA AFECTANDO CORREGIMIENTO DE QUINAMAYO. REPORTE DE LA DDC</t>
  </si>
  <si>
    <t>VEREDA PROTACHUELO, VEREDA DIVISO. REPORTE DE LA DEFENSA CIVIL Y VEREDA EL DIVISO.</t>
  </si>
  <si>
    <t>VEREDA PUEBLOVIEJO. CORREGIMEINTO SAN LORENZO.</t>
  </si>
  <si>
    <t xml:space="preserve">DESBORDAMIENTO RIO SINU Y CIENAGA GRANDE. </t>
  </si>
  <si>
    <t>DESBORDAMIENTO RIO LOS VOLCAN. REPROTE DE LA DEFENSA CIVIL, SITIO OPUENTE SAN ISIDRO. BARRIO VILLA LUZ, LAS DELICIAS, KENNEDY, VILLA GLORIA, 11 DE AGOSTO Y LAS MARIAS.</t>
  </si>
  <si>
    <t>DESBORDAMIENTO. DESLIZAMIENTO EN EL SECTOR PORTACHUELO.M POR EVACUAR 35 PERSONAS.REPORTE PRELIMINAR DEL CREPAD</t>
  </si>
  <si>
    <t>BARRIO EL BOSQUE</t>
  </si>
  <si>
    <t>BARRIO MILAGRO DE DIOS Y SECTOR ALTOS DE LAS PIÑAS. BARRIOS GRANADA, SANTA HELENA, SANTA AMRIA LA UNION BAJA. VIA ARMENIA BUENAVISTA.</t>
  </si>
  <si>
    <t>BARRIOS LOS CHORRITOS REPRESAMIENTO DE CAÑO.</t>
  </si>
  <si>
    <t>QUEBRADA LA SANGRIENTA. CORREGIMEINTO SANTA HELENA, VREDA EL ROSARIO. VIAS LOS CEIBOS - TENERIFE</t>
  </si>
  <si>
    <t>VEREDA LOS CALEÑOS.</t>
  </si>
  <si>
    <t>VEREDA PEÑAS GORDAS KM 56 + 400 M. VIA VEREDA PEÑAS GORDAS - CASCO URBANO.</t>
  </si>
  <si>
    <t>SOLICITUD DEL CREPAD</t>
  </si>
  <si>
    <t>21045
24564
27409</t>
  </si>
  <si>
    <t>269
270
277
39314
23238
27409</t>
  </si>
  <si>
    <t>SE APOYA TENIENDO EN CUENTA LA MPORTANIA DE LA OBRA</t>
  </si>
  <si>
    <r>
      <t xml:space="preserve">VEREDA BOQUERON REPORTE DE LA DEFENSA CIVIL.. </t>
    </r>
    <r>
      <rPr>
        <b/>
        <sz val="9"/>
        <rFont val="Arial"/>
        <family val="2"/>
      </rPr>
      <t>APOYO DEL FNC MEDIANTE GIRO DIRECTO AL CREPAD PARA CONSTRUCCION DE OBRA DE EMERGENCIA EN LA VIA BUENOS AIRES - SANTA CECILIA</t>
    </r>
  </si>
  <si>
    <t>4
8
3</t>
  </si>
  <si>
    <r>
      <t xml:space="preserve">VIA SALAMINA - MANIZALES, VEREDA BUENOS AIRES, VENTIADEROS Y LA UNION. VIA SALAMINA - ARANZAZU. </t>
    </r>
    <r>
      <rPr>
        <b/>
        <sz val="9"/>
        <rFont val="Arial"/>
        <family val="2"/>
      </rPr>
      <t>APOYO DEL FNC MEDIANTE GIRO DIRECTO AL CLOPAD PARA ARREGLO DE VIAS (25.000.000 LINEA 4), , REPARACION DE VIVIENDA (30,000,000 LINEA8) Y SUBSIDIO DE ARRIENDO (20,000,000 LINEA 3=.</t>
    </r>
  </si>
  <si>
    <t>REPORTE DEL CREPAD. CORREGIMIENTO SAN ANTONIO APOYO DEL FNC MEDIANTE GIRO DIRECTO AL CLOPAD PARALA ADQUISICION DE COMBUSTIBLES Y LUVBRICANTES PARA RETIRO DE DERRUMBES DESCOLMATACION DE CAUCES Y DRAGADO DE RIOS Y QUEBRADAS.</t>
  </si>
  <si>
    <t>VIAS SAN EBRNARDO - LOS ARBOLES, SAN EBRBARDO - LA VEGA, PETACAS - PLAZUELAS.</t>
  </si>
  <si>
    <t>CASCO URBANO Y VARIAS VEREDAS. REPORTE DEL CRPAD. VIAS EL CHINGAL ALTO - RAMAL ALTO, CHICAL BAYO - YUNGUILLA, YUNGUILLA - LAS PALMAS, LA BRISA - PLAYA ALTA, PLAYA ALTA - CAMPO BELLO, CAMPO BELLO - LA CUCHILLA, LA CUCHILLA - BATEROS, BATEROS - ACHUPALLAS,. CABUYALES - BRICEÑO, BRICEÑO -A AGUADAS, AGUADAS - MESON, MESON - BELLA VISTA.</t>
  </si>
  <si>
    <t>LINARES</t>
  </si>
  <si>
    <t xml:space="preserve">VEREDAS ALTO DE ARANDA, ARBOLEDA, BALSAL, BELLA FLORIDA, BELLAVISTA, EL RECREO, GRAMAL, HIGUERONAL, LA COCHA, LA ENCILLADA, LA MINA, LA PALMA, LA TOLA, TAMBILLO DE BRAVOS, VENDEAHUJA. VIAS LINARES - TABILES, LINARES - LLANOGRANDE, </t>
  </si>
  <si>
    <t>VEREDAS EL BASAL, CHUPADERO, DORADA GUAITARA, SAN FERNANDO, SAN ANDRES, LA JOYA, ALTO JIMENEZ, REGADERA, PARAGUAY.</t>
  </si>
  <si>
    <t>GUACHUCAL</t>
  </si>
  <si>
    <t xml:space="preserve">VIAS GUACHUCAL - IPIALES, </t>
  </si>
  <si>
    <t>BARRIOS LOURDES, SAN MIGUEL, SAN JOSE, LA ESMERALDA. VIAS FLORIDA - BERRUECOS, BERRUECOS- EL TAUSO.</t>
  </si>
  <si>
    <t>CASCO URBANO Y VEREDAS LAS PALMAS, PARAMILLO, SAN ANTONIO Y SAN RAFAEL. VIAS TANGUA - SAN PEDRO, TANGUA - PARAMILLO, TANGUA - SAN ANTONIO, TANGUA - PARAMO, PARAMO - CHAVEZ.</t>
  </si>
  <si>
    <t>VEREDA DOÑA ANA. REPROTE DEL CREPAD. VIA SAMANIEGO - LA LLANADA</t>
  </si>
  <si>
    <t>BARRIO SAN FRANCISCO, SANTA ROSA, Y VEREDA INGENIO. VIAS ANCUYA - CONSACA, ANCUYA - SANDONA, ANCUYA - GUAYTARILLA, ANCUYA - LINARES, ANCUYA - LOMA, ANCUYA - ARADA, MACASCRUZ - ANCUYA, ANCUYA . LA ARADA, BARRIOS SAN FRANCISCO, BOCANEGRA Y SANTA ROSA. Afectados centros educativos el limonar y el collal y afectado acueducto.REPORTE DEL CREPAD.</t>
  </si>
  <si>
    <t>VEREDA PALMERAS, REPORTE DE DEFENSA CIVIL.</t>
  </si>
  <si>
    <t>VALENCIA</t>
  </si>
  <si>
    <t>BARRIO 20 DE JULIO</t>
  </si>
  <si>
    <t>CHINU</t>
  </si>
  <si>
    <t>BUENOS AIRES</t>
  </si>
  <si>
    <t>MALLAMA</t>
  </si>
  <si>
    <t>GUAVATA</t>
  </si>
  <si>
    <t>HERVEO</t>
  </si>
  <si>
    <t>APOYO DEL FNC MEDIANTE GIRO DIRECTO AL CREPAD PARA PAGO DE ARRIENDO TEMPORAL ($300.000.000 LINEA 3), COMPRA DE ASISTENCIA HUMANITARIA(100,000,000 LINEA2) COMBUSTIBLE Y LUBRICANTES (200,000,000 LINEA 2). CON ESTO SE APOYAN TODOS LOS MUNICIPIOS AFECTADOS DEL DEPARTAMENTO DE CALDAS.</t>
  </si>
  <si>
    <t>SE APOYA A TRAVES DEL DEPARTAMENTO</t>
  </si>
  <si>
    <r>
      <t>DESBORDAMIETNO RIO SUCIO, VEREDA PAVARANDOCITO, PAJIRA, BAJO BARANDO, LA SECRETA, LAS MALVINAS.. REPORTE DE LA DEFENSA CIVIL.</t>
    </r>
    <r>
      <rPr>
        <b/>
        <sz val="9"/>
        <rFont val="Arial"/>
        <family val="2"/>
      </rPr>
      <t xml:space="preserve"> SOLICITAN VISITA TECNICA PARA A COORD. REGIONAL.EL MUNICIPIO DECLARO URGENCIA MANIFIESTA PERO NO CONCRETAN SOLICITU DE APOYO.</t>
    </r>
  </si>
  <si>
    <t>DESBORDAMIENTO RIO CAUCA. VEREDAS LAS FLORES, CORREGIMIENTO DE BOLOMBOLO. REPORTE DEL CREPAD.  VEREDAS LA INSPECCION, FLORES, EL CHISPERO, LA PLAZA. SECTOR BOLOMBOLO- REPORTE DE LA DEFENSA CIVIL.</t>
  </si>
  <si>
    <t>SALGAR</t>
  </si>
  <si>
    <t>SECTOR PEÑALISA. REPORTE DEL CREPAD.</t>
  </si>
  <si>
    <t>SAN JOSE DEL FRAGUA</t>
  </si>
  <si>
    <r>
      <t xml:space="preserve">VIA KM 3. REPORTE DEL CREPAD. </t>
    </r>
    <r>
      <rPr>
        <b/>
        <sz val="9"/>
        <rFont val="Arial"/>
        <family val="2"/>
      </rPr>
      <t>APOYO MEDIANTE GIRO DIRECTO AL CLOPAD PARA COMBUSTIBLE, LUBRUICANTES Y ALQUILER DE MAQUINARIA</t>
    </r>
  </si>
  <si>
    <r>
      <t>REPORTE DEL CLOPAD. SE RECIBIO INFORME DE FECHA 24 DE NOVIEMBRE. SE REMITE AL CREPAD SOLICITANDO INFORMACION SOBRE ACCIONES Y NECESIDADES DEL NIVEL NACIONAL</t>
    </r>
    <r>
      <rPr>
        <b/>
        <sz val="9"/>
        <rFont val="Arial"/>
        <family val="2"/>
      </rPr>
      <t>. APOYO DEL FNC MEDIANTE GIRO DIRECTO AL CLOPAD PARA LA ADQUISICION DE COMBUSTIBLES Y LUBRICANTES.</t>
    </r>
  </si>
  <si>
    <t>27328
519</t>
  </si>
  <si>
    <r>
      <t xml:space="preserve">CORREGIMIENTOS PALMITAS, LA ESPERANZA, PAJARITO Y LA BALSA. REPORTE DEL CREPAD. </t>
    </r>
    <r>
      <rPr>
        <b/>
        <sz val="9"/>
        <rFont val="Arial"/>
        <family val="2"/>
      </rPr>
      <t>APOYO DEL FNC MEDIANTE GIRO DIRECTO AL CLOPAD PARA EL MEJORAMIENTO DE LA VIA LA GLORIA - VIJAGUAL- LOS CONGUITOS</t>
    </r>
  </si>
  <si>
    <r>
      <t xml:space="preserve">DESBODAMIENTO RIO MORALES. REPORTE DEL CREPAD. COPRREGIMIENTO EL SALTO, </t>
    </r>
    <r>
      <rPr>
        <b/>
        <sz val="9"/>
        <rFont val="Arial"/>
        <family val="2"/>
      </rPr>
      <t>APOYO DEL FNC MEDIANTE GIRO DIRECTO AL CLOPAD PARA ALQUILER DE MAQUINARIA PARA LA RECUPERACION DE LAS VIAS DEL CORREGIMIENTO DE EL SALTO</t>
    </r>
  </si>
  <si>
    <t>EL VALOR DE OTROS CORRESPONDE A CINCO MOTOBOMBAS AUTOCEBANTES DE 4X4</t>
  </si>
  <si>
    <t>UNA GALOLINERA</t>
  </si>
  <si>
    <t>CORREGIMIENTO DE LOBOGUERRERO REPORTE DEL CREPAD.</t>
  </si>
  <si>
    <t>VEREDA EL POMO. VIA CASCO URBANO - HACIANDA EL ´PARAISO Y MALOCA. REPORTE DE LA DEFENSA CIVL</t>
  </si>
  <si>
    <t>CRECIENTE QUEBRADA EL CARAÑO. REPORTE DE L CRAPD.</t>
  </si>
  <si>
    <t>BARRIO LOS TANQUES. REPORTE DEL CREPAD</t>
  </si>
  <si>
    <t>REPORTE DE DEFENS ACIVIL</t>
  </si>
  <si>
    <t>BARRIOS LA, HERMITA, LA CABRERA, CUNDINAMARCA, SAN MATEO, SAN RAFAEL, PRIMAVERA, CERRO NORTE, ANTONIA SANTOS, SAN AMRTIN, LOMA DE BOLIVAR. REPORTE DEL CLOPAD</t>
  </si>
  <si>
    <t>DESBORAMIENTO RIO SINU, VEREDAS MORALES Y MANZANARES, EL CEDRAL, RIO NUEVO, MADRE VIEJA, SANTA CRUZ.</t>
  </si>
  <si>
    <t>SECTOR EL MIRADOR. REPORTE DEL CREPAD.</t>
  </si>
  <si>
    <t>SECTOR PUEROT NUEVO. REPORTE DEL CREPAD.</t>
  </si>
  <si>
    <t>AVALANCHA RIO PAILA. REPORTE DEL CREPAD.</t>
  </si>
  <si>
    <t>CORREGIMEINTO SAN GERARDO. REPROTE DEL CREPAD Y CLOPAD.</t>
  </si>
  <si>
    <t>GIRO DIRECTO AL CLOPAD. ALQUILER DE MAQUINARIA Y ADQUISICION DE COM BUSTIBLE PARA RECUPERACION DE VIAS.</t>
  </si>
  <si>
    <r>
      <t>REPORTE DE LA DEFENSA CIVIL. VEREDAS METROPOLIS, PEDRO SANCHEZ, COREGIMIENTO SAN JOSE.</t>
    </r>
    <r>
      <rPr>
        <b/>
        <sz val="9"/>
        <rFont val="Arial"/>
        <family val="2"/>
      </rPr>
      <t xml:space="preserve"> APOYO MEDIANTE GIRO SIRECTO AL CLOPAD. PARA ADQUISICION DE COMBUSTIBLE Y MATERIA PRIMA PARA RECUPERACION DE VIAS.</t>
    </r>
  </si>
  <si>
    <r>
      <t xml:space="preserve">DESBORDAMIENTO RIO CAUCA. CORREGIMIENTO SAN PEDRO, BARRIOS OCCIDENTAL Y SAN PEDRO, CORREGIMIENTOS LA CRUZ, SAN PEDRO Y SANTA TERESA.. REPROTE DE LA DEFENSA CIVIL. </t>
    </r>
    <r>
      <rPr>
        <b/>
        <sz val="9"/>
        <rFont val="Arial"/>
        <family val="2"/>
      </rPr>
      <t>APOYO DEL FONDO NACIONAL DE CALAMIDADES PARA COMBUSTIOBLE Y MAQUINARIA PARA RECUPERACION DE VIAS.</t>
    </r>
  </si>
  <si>
    <t>APOYO DEL FNC MEDIANTE GIRO DIRECTO AL CLOPAD PARA COMBUSTIBLE Y LUBRICANTES PARA REHABILITACIOND E VIAS.</t>
  </si>
  <si>
    <t>DESBORDAMIENTO RIO MAGDALENA. REPORTE DEL CREPAD. El valor de otros corresponde a 500 pares de botas.</t>
  </si>
  <si>
    <t>DESBORDAMIENTO RIO MAGDALENA POR RUPTURA DEL DIQUE. CORREGIMEINTOS BODEGA CENTRAL Y LA VEREDA EL ROBLE. REPORTE DEL CREPAD. SE ENVIA SOLICITUD COMPLEMENTARIA D EAPOYO AL CREPAD.
 OTROS CORRESPONDE A 500 PARES DE BOTAS</t>
  </si>
  <si>
    <t>DESBORDAMIENTO RIO MAGDALENA. SECTOR BRAZO DE LOBA, SFECTADAS 7 VEREDAS Y 9 CORREGIMIENTOS. REPORTE DE LA DEFENSA CIVIL. OTROS CORRESPONDE A 500 PARES DE BOTAS</t>
  </si>
  <si>
    <r>
      <t xml:space="preserve">MUNICIPIO CON RACIONAMIENTO DE AGUA Y/O DESABASTECIMIENTO POR PROBLEMAS DE SEQUI DEBIDO AL FENOMENO DE EL NIÑO. REPORTE DEL MAVDT, </t>
    </r>
    <r>
      <rPr>
        <b/>
        <sz val="9"/>
        <color indexed="8"/>
        <rFont val="Arial"/>
        <family val="2"/>
      </rPr>
      <t>SUMINISTRO DE AGUA A TRAVÉS DE CARROTANQUE
OTROS CORRESPONDE A 500 PARES DE BOTAS</t>
    </r>
  </si>
  <si>
    <r>
      <t xml:space="preserve">REPORTE DEL CREPAD. </t>
    </r>
    <r>
      <rPr>
        <b/>
        <sz val="9"/>
        <rFont val="Arial"/>
        <family val="2"/>
      </rPr>
      <t>APOYO DEL FNC MEDIANTE GIRO DIRECTO AL CLOPAD PARA ADQUISICIOJ DE COMBUSTIBLE PARA SIETE MOTOBOMBAS, MANTENIMIENTO DE LAS MISMAS, COMPRA DE COSTALES Y MATERIAL DE RELLENO. 
OTROS CORRESPONDE A 1600 PARES DE BOTAS</t>
    </r>
  </si>
  <si>
    <t>DESBORDAMIENTO CANAL DEL DIQUE Y CIENAGAS ALEDAÑAS. REPORTE DEL CREPAD.
OTROS CORRESPONDE A 621 PARES DE BOTAS</t>
  </si>
  <si>
    <t>INUNDACION POR FUERTES LLUVIAS. REPORTE DEL CREPAD.
OTROS CORRESPONDE A 673 PARES DE BOTAS</t>
  </si>
  <si>
    <t>REPORTE DEL CREPAD
OTROS CORRESPONDE A 576 PARES DE BOTAS</t>
  </si>
  <si>
    <t>REPORTE DEL CREPAD.
OTROS CORRESPONDE A 500 PARES DE BOTAS</t>
  </si>
  <si>
    <t>REPORTE DEL CREPAD
OTROS CORRESPONDE A 100 PARES DE BOTAS</t>
  </si>
  <si>
    <t>INUNDACION POR FUERTES LLUVIAS. REPORTE DEL CREPAD.
OTROS CORRESPONDE A 500 PARES DE BOTAS</t>
  </si>
  <si>
    <t>OTROS CORRESPONDE A 500 PARES DE BOTAS</t>
  </si>
  <si>
    <t>APOYO BRINDADO A TRAVES DE LA FUNDACION OBRA SOCIAL.
OTROS CORRESPONDE A 500 RACIONES DE CAMPAÑA</t>
  </si>
  <si>
    <t>PUERTO GUZMAN</t>
  </si>
  <si>
    <t>PUERTO ASIS</t>
  </si>
  <si>
    <t>DESBORDAMIENTO RIO FRAILE. CORREGIMEITNO DOLORES, VEREDA PILES</t>
  </si>
  <si>
    <t>VEREDA LA LOMA. REPORTE DEL CREPAD. VIAS QUE CONDUCEN APEÑAS BLANCAS, TELLEZ BAJO, SAN RAFAEL, CHAPAL, CHITARAN - LA MESA, VIA QUE CONDICE DE PILCUAN A FUNES Y VIA DE FUNES A CHAPAL Y DE CHAPAL A CHITARRAN. FUNES - LA VEGA, FUNES - TELLES BAJO, FUNES - SAN RAFAEL, SAN RAFAEL - LA SOLEDAD, FUNES - SUCUMBIAS REPORTE DEL CREPAD.</t>
  </si>
  <si>
    <t>AFECTADA VIA PANAMERICANA - PASTO - TUMACO VIA EL GUABO LA OSCURANA.VIA SECTOR DE LAS PEÑAS BLANCAS ZONA DE GUABO.</t>
  </si>
  <si>
    <t>PERDIDAS AGROPECUARIAS</t>
  </si>
  <si>
    <t>ACTUALIZACION DEL CREPAD POR PERDIDAS AGROPECUARIAS</t>
  </si>
  <si>
    <t>CRECIENTE SUBITA DEL RIO ATACO. SOLDADOS DESAPARECIDOS</t>
  </si>
  <si>
    <t>Cod_Dp</t>
  </si>
  <si>
    <t>Cod_Mp</t>
  </si>
  <si>
    <t>05</t>
  </si>
  <si>
    <t>001</t>
  </si>
  <si>
    <t>000</t>
  </si>
  <si>
    <t>Antioquia</t>
  </si>
  <si>
    <t>002</t>
  </si>
  <si>
    <t>004</t>
  </si>
  <si>
    <t>021</t>
  </si>
  <si>
    <t>030</t>
  </si>
  <si>
    <t>031</t>
  </si>
  <si>
    <t>034</t>
  </si>
  <si>
    <t>036</t>
  </si>
  <si>
    <t>038</t>
  </si>
  <si>
    <t>040</t>
  </si>
  <si>
    <t>042</t>
  </si>
  <si>
    <t>044</t>
  </si>
  <si>
    <t>045</t>
  </si>
  <si>
    <t>051</t>
  </si>
  <si>
    <t>055</t>
  </si>
  <si>
    <t>059</t>
  </si>
  <si>
    <t>079</t>
  </si>
  <si>
    <t>086</t>
  </si>
  <si>
    <t>BELMIRA</t>
  </si>
  <si>
    <t>088</t>
  </si>
  <si>
    <t>091</t>
  </si>
  <si>
    <t>093</t>
  </si>
  <si>
    <t>101</t>
  </si>
  <si>
    <t>107</t>
  </si>
  <si>
    <t>113</t>
  </si>
  <si>
    <t>120</t>
  </si>
  <si>
    <t>125</t>
  </si>
  <si>
    <t>129</t>
  </si>
  <si>
    <t>134</t>
  </si>
  <si>
    <t>138</t>
  </si>
  <si>
    <t>142</t>
  </si>
  <si>
    <t>145</t>
  </si>
  <si>
    <t>147</t>
  </si>
  <si>
    <t>148</t>
  </si>
  <si>
    <t>EL CARMEN DE VIBORAL</t>
  </si>
  <si>
    <t>150</t>
  </si>
  <si>
    <t>CAROLINA</t>
  </si>
  <si>
    <t>154</t>
  </si>
  <si>
    <t>172</t>
  </si>
  <si>
    <t>190</t>
  </si>
  <si>
    <t>197</t>
  </si>
  <si>
    <t>206</t>
  </si>
  <si>
    <t>209</t>
  </si>
  <si>
    <t>212</t>
  </si>
  <si>
    <t>234</t>
  </si>
  <si>
    <t>237</t>
  </si>
  <si>
    <t>240</t>
  </si>
  <si>
    <t>250</t>
  </si>
  <si>
    <t>EL BAGRE</t>
  </si>
  <si>
    <t>264</t>
  </si>
  <si>
    <t>ENTRERRIOS</t>
  </si>
  <si>
    <t>266</t>
  </si>
  <si>
    <t>282</t>
  </si>
  <si>
    <t>284</t>
  </si>
  <si>
    <t>306</t>
  </si>
  <si>
    <t>308</t>
  </si>
  <si>
    <t>310</t>
  </si>
  <si>
    <t>313</t>
  </si>
  <si>
    <t>315</t>
  </si>
  <si>
    <t>318</t>
  </si>
  <si>
    <t>321</t>
  </si>
  <si>
    <t>347</t>
  </si>
  <si>
    <t>353</t>
  </si>
  <si>
    <t>360</t>
  </si>
  <si>
    <t>ITAGUI</t>
  </si>
  <si>
    <t>361</t>
  </si>
  <si>
    <t>364</t>
  </si>
  <si>
    <t>368</t>
  </si>
  <si>
    <t>376</t>
  </si>
  <si>
    <t>380</t>
  </si>
  <si>
    <t>390</t>
  </si>
  <si>
    <t>400</t>
  </si>
  <si>
    <t>411</t>
  </si>
  <si>
    <t>425</t>
  </si>
  <si>
    <t>440</t>
  </si>
  <si>
    <t>467</t>
  </si>
  <si>
    <t>475</t>
  </si>
  <si>
    <t>480</t>
  </si>
  <si>
    <t>483</t>
  </si>
  <si>
    <t>490</t>
  </si>
  <si>
    <t>495</t>
  </si>
  <si>
    <t>501</t>
  </si>
  <si>
    <t>OLAYA</t>
  </si>
  <si>
    <t>541</t>
  </si>
  <si>
    <t>PEÑOL</t>
  </si>
  <si>
    <t>543</t>
  </si>
  <si>
    <t>576</t>
  </si>
  <si>
    <t>579</t>
  </si>
  <si>
    <t>585</t>
  </si>
  <si>
    <t>591</t>
  </si>
  <si>
    <t>604</t>
  </si>
  <si>
    <t>REMEDIOS</t>
  </si>
  <si>
    <t>607</t>
  </si>
  <si>
    <t>RETIRO</t>
  </si>
  <si>
    <t>615</t>
  </si>
  <si>
    <t>628</t>
  </si>
  <si>
    <t>631</t>
  </si>
  <si>
    <t>642</t>
  </si>
  <si>
    <t>647</t>
  </si>
  <si>
    <t>649</t>
  </si>
  <si>
    <t>652</t>
  </si>
  <si>
    <t>656</t>
  </si>
  <si>
    <t>658</t>
  </si>
  <si>
    <t>659</t>
  </si>
  <si>
    <t>660</t>
  </si>
  <si>
    <t>664</t>
  </si>
  <si>
    <t>665</t>
  </si>
  <si>
    <t>667</t>
  </si>
  <si>
    <t>670</t>
  </si>
  <si>
    <t>674</t>
  </si>
  <si>
    <t>679</t>
  </si>
  <si>
    <t>686</t>
  </si>
  <si>
    <t>690</t>
  </si>
  <si>
    <t>SANTO DOMINGO</t>
  </si>
  <si>
    <t>697</t>
  </si>
  <si>
    <t>EL SANTUARIO</t>
  </si>
  <si>
    <t>736</t>
  </si>
  <si>
    <t>756</t>
  </si>
  <si>
    <t>761</t>
  </si>
  <si>
    <t>789</t>
  </si>
  <si>
    <t>790</t>
  </si>
  <si>
    <t>792</t>
  </si>
  <si>
    <t>809</t>
  </si>
  <si>
    <t>819</t>
  </si>
  <si>
    <t>837</t>
  </si>
  <si>
    <t>842</t>
  </si>
  <si>
    <t>847</t>
  </si>
  <si>
    <t>854</t>
  </si>
  <si>
    <t>856</t>
  </si>
  <si>
    <t>858</t>
  </si>
  <si>
    <t>861</t>
  </si>
  <si>
    <t>873</t>
  </si>
  <si>
    <t>885</t>
  </si>
  <si>
    <t>887</t>
  </si>
  <si>
    <t>YARUMAL</t>
  </si>
  <si>
    <t>890</t>
  </si>
  <si>
    <t>893</t>
  </si>
  <si>
    <t>895</t>
  </si>
  <si>
    <t>08</t>
  </si>
  <si>
    <t>Atlantico</t>
  </si>
  <si>
    <t>078</t>
  </si>
  <si>
    <t>137</t>
  </si>
  <si>
    <t>141</t>
  </si>
  <si>
    <t>296</t>
  </si>
  <si>
    <t>372</t>
  </si>
  <si>
    <t>421</t>
  </si>
  <si>
    <t>433</t>
  </si>
  <si>
    <t>436</t>
  </si>
  <si>
    <t>520</t>
  </si>
  <si>
    <t>549</t>
  </si>
  <si>
    <t>558</t>
  </si>
  <si>
    <t>POLONUEVO</t>
  </si>
  <si>
    <t>560</t>
  </si>
  <si>
    <t>573</t>
  </si>
  <si>
    <t>606</t>
  </si>
  <si>
    <t>634</t>
  </si>
  <si>
    <t>638</t>
  </si>
  <si>
    <t>675</t>
  </si>
  <si>
    <t>685</t>
  </si>
  <si>
    <t>758</t>
  </si>
  <si>
    <t>770</t>
  </si>
  <si>
    <t>832</t>
  </si>
  <si>
    <t>849</t>
  </si>
  <si>
    <t>11</t>
  </si>
  <si>
    <t>13</t>
  </si>
  <si>
    <t>Bolivar</t>
  </si>
  <si>
    <t>006</t>
  </si>
  <si>
    <t>052</t>
  </si>
  <si>
    <t>062</t>
  </si>
  <si>
    <t>ARROYOHONDO</t>
  </si>
  <si>
    <t>074</t>
  </si>
  <si>
    <t>140</t>
  </si>
  <si>
    <t>160</t>
  </si>
  <si>
    <t>188</t>
  </si>
  <si>
    <t>222</t>
  </si>
  <si>
    <t>244</t>
  </si>
  <si>
    <t>248</t>
  </si>
  <si>
    <t>268</t>
  </si>
  <si>
    <t>300</t>
  </si>
  <si>
    <t>430</t>
  </si>
  <si>
    <t>442</t>
  </si>
  <si>
    <t>458</t>
  </si>
  <si>
    <t>468</t>
  </si>
  <si>
    <t>MOMPOS</t>
  </si>
  <si>
    <t>473</t>
  </si>
  <si>
    <t>580</t>
  </si>
  <si>
    <t>600</t>
  </si>
  <si>
    <t>RIO VIEJO</t>
  </si>
  <si>
    <t>620</t>
  </si>
  <si>
    <t>650</t>
  </si>
  <si>
    <t>654</t>
  </si>
  <si>
    <t>SAN JACINTO</t>
  </si>
  <si>
    <t>655</t>
  </si>
  <si>
    <t>657</t>
  </si>
  <si>
    <t>673</t>
  </si>
  <si>
    <t>683</t>
  </si>
  <si>
    <t>688</t>
  </si>
  <si>
    <t>SANTA ROSA DEL SUR</t>
  </si>
  <si>
    <t>744</t>
  </si>
  <si>
    <t>760</t>
  </si>
  <si>
    <t>780</t>
  </si>
  <si>
    <t>810</t>
  </si>
  <si>
    <t>836</t>
  </si>
  <si>
    <t>838</t>
  </si>
  <si>
    <t>894</t>
  </si>
  <si>
    <t>15</t>
  </si>
  <si>
    <t>022</t>
  </si>
  <si>
    <t>ALMEIDA</t>
  </si>
  <si>
    <t>047</t>
  </si>
  <si>
    <t>ARCABUCO</t>
  </si>
  <si>
    <t>087</t>
  </si>
  <si>
    <t>090</t>
  </si>
  <si>
    <t>BERBEO</t>
  </si>
  <si>
    <t>092</t>
  </si>
  <si>
    <t>097</t>
  </si>
  <si>
    <t>104</t>
  </si>
  <si>
    <t>106</t>
  </si>
  <si>
    <t>109</t>
  </si>
  <si>
    <t>114</t>
  </si>
  <si>
    <t>131</t>
  </si>
  <si>
    <t>135</t>
  </si>
  <si>
    <t>CAMPOHERMOSO</t>
  </si>
  <si>
    <t>162</t>
  </si>
  <si>
    <t>CHINAVITA</t>
  </si>
  <si>
    <t>176</t>
  </si>
  <si>
    <t>180</t>
  </si>
  <si>
    <t>183</t>
  </si>
  <si>
    <t>185</t>
  </si>
  <si>
    <t>CHITARAQUE</t>
  </si>
  <si>
    <t>187</t>
  </si>
  <si>
    <t>189</t>
  </si>
  <si>
    <t>CIENEGA</t>
  </si>
  <si>
    <t>204</t>
  </si>
  <si>
    <t>215</t>
  </si>
  <si>
    <t>218</t>
  </si>
  <si>
    <t>COVARACHIA</t>
  </si>
  <si>
    <t>223</t>
  </si>
  <si>
    <t>224</t>
  </si>
  <si>
    <t>226</t>
  </si>
  <si>
    <t>232</t>
  </si>
  <si>
    <t>CHIQUIZA</t>
  </si>
  <si>
    <t>236</t>
  </si>
  <si>
    <t>CHIVOR</t>
  </si>
  <si>
    <t>238</t>
  </si>
  <si>
    <t>272</t>
  </si>
  <si>
    <t>276</t>
  </si>
  <si>
    <t>293</t>
  </si>
  <si>
    <t>299</t>
  </si>
  <si>
    <t>317</t>
  </si>
  <si>
    <t>322</t>
  </si>
  <si>
    <t>325</t>
  </si>
  <si>
    <t>GUAYATA</t>
  </si>
  <si>
    <t>332</t>
  </si>
  <si>
    <t>362</t>
  </si>
  <si>
    <t>IZA</t>
  </si>
  <si>
    <t>367</t>
  </si>
  <si>
    <t>JENESANO</t>
  </si>
  <si>
    <t>377</t>
  </si>
  <si>
    <t>LABRANZAGRANDE</t>
  </si>
  <si>
    <t>401</t>
  </si>
  <si>
    <t>403</t>
  </si>
  <si>
    <t>407</t>
  </si>
  <si>
    <t>MACANAL</t>
  </si>
  <si>
    <t>455</t>
  </si>
  <si>
    <t>464</t>
  </si>
  <si>
    <t>466</t>
  </si>
  <si>
    <t>469</t>
  </si>
  <si>
    <t>476</t>
  </si>
  <si>
    <t>491</t>
  </si>
  <si>
    <t>494</t>
  </si>
  <si>
    <t>500</t>
  </si>
  <si>
    <t>507</t>
  </si>
  <si>
    <t>511</t>
  </si>
  <si>
    <t>514</t>
  </si>
  <si>
    <t>516</t>
  </si>
  <si>
    <t>518</t>
  </si>
  <si>
    <t>522</t>
  </si>
  <si>
    <t>531</t>
  </si>
  <si>
    <t>533</t>
  </si>
  <si>
    <t>PAYA</t>
  </si>
  <si>
    <t>537</t>
  </si>
  <si>
    <t>542</t>
  </si>
  <si>
    <t>PESCA</t>
  </si>
  <si>
    <t>550</t>
  </si>
  <si>
    <t>572</t>
  </si>
  <si>
    <t>599</t>
  </si>
  <si>
    <t>RAMIRIQUI</t>
  </si>
  <si>
    <t>621</t>
  </si>
  <si>
    <t>632</t>
  </si>
  <si>
    <t>SACHICA</t>
  </si>
  <si>
    <t>646</t>
  </si>
  <si>
    <t>SAMACA</t>
  </si>
  <si>
    <t>676</t>
  </si>
  <si>
    <t>681</t>
  </si>
  <si>
    <t>SANTANA</t>
  </si>
  <si>
    <t>693</t>
  </si>
  <si>
    <t>696</t>
  </si>
  <si>
    <t>SANTA SOFIA</t>
  </si>
  <si>
    <t>720</t>
  </si>
  <si>
    <t>723</t>
  </si>
  <si>
    <t>740</t>
  </si>
  <si>
    <t>SIACHOQUE</t>
  </si>
  <si>
    <t>753</t>
  </si>
  <si>
    <t>755</t>
  </si>
  <si>
    <t>757</t>
  </si>
  <si>
    <t>759</t>
  </si>
  <si>
    <t>SOMONDOCO</t>
  </si>
  <si>
    <t>762</t>
  </si>
  <si>
    <t>763</t>
  </si>
  <si>
    <t>764</t>
  </si>
  <si>
    <t>774</t>
  </si>
  <si>
    <t>776</t>
  </si>
  <si>
    <t>SUTAMARCHAN</t>
  </si>
  <si>
    <t>778</t>
  </si>
  <si>
    <t>798</t>
  </si>
  <si>
    <t>804</t>
  </si>
  <si>
    <t>806</t>
  </si>
  <si>
    <t>808</t>
  </si>
  <si>
    <t>814</t>
  </si>
  <si>
    <t>816</t>
  </si>
  <si>
    <t>TOGUI</t>
  </si>
  <si>
    <t>820</t>
  </si>
  <si>
    <t>822</t>
  </si>
  <si>
    <t>TUNUNGUA</t>
  </si>
  <si>
    <t>835</t>
  </si>
  <si>
    <t>TURMEQUE</t>
  </si>
  <si>
    <t>839</t>
  </si>
  <si>
    <t>TUTAZA</t>
  </si>
  <si>
    <t>UMBITA</t>
  </si>
  <si>
    <t>VENTAQUEMADA</t>
  </si>
  <si>
    <t>879</t>
  </si>
  <si>
    <t>897</t>
  </si>
  <si>
    <t>ZETAQUIRA</t>
  </si>
  <si>
    <t>17</t>
  </si>
  <si>
    <t>Caldas</t>
  </si>
  <si>
    <t>013</t>
  </si>
  <si>
    <t>050</t>
  </si>
  <si>
    <t>174</t>
  </si>
  <si>
    <t>388</t>
  </si>
  <si>
    <t>444</t>
  </si>
  <si>
    <t>446</t>
  </si>
  <si>
    <t>486</t>
  </si>
  <si>
    <t>513</t>
  </si>
  <si>
    <t>524</t>
  </si>
  <si>
    <t>614</t>
  </si>
  <si>
    <t>616</t>
  </si>
  <si>
    <t>653</t>
  </si>
  <si>
    <t>662</t>
  </si>
  <si>
    <t>777</t>
  </si>
  <si>
    <t>867</t>
  </si>
  <si>
    <t>VICTORIA</t>
  </si>
  <si>
    <t>877</t>
  </si>
  <si>
    <t>18</t>
  </si>
  <si>
    <t>029</t>
  </si>
  <si>
    <t>094</t>
  </si>
  <si>
    <t>CARTAGENA DEL CHAIRA</t>
  </si>
  <si>
    <t>205</t>
  </si>
  <si>
    <t>247</t>
  </si>
  <si>
    <t>EL DONCELLO</t>
  </si>
  <si>
    <t>256</t>
  </si>
  <si>
    <t>EL PAUJIL</t>
  </si>
  <si>
    <t>410</t>
  </si>
  <si>
    <t>460</t>
  </si>
  <si>
    <t>479</t>
  </si>
  <si>
    <t>592</t>
  </si>
  <si>
    <t>610</t>
  </si>
  <si>
    <t>SAN VICENTE DEL CAGUAN</t>
  </si>
  <si>
    <t>785</t>
  </si>
  <si>
    <t>860</t>
  </si>
  <si>
    <t>19</t>
  </si>
  <si>
    <t>Cauca</t>
  </si>
  <si>
    <t>075</t>
  </si>
  <si>
    <t>100</t>
  </si>
  <si>
    <t>110</t>
  </si>
  <si>
    <t>130</t>
  </si>
  <si>
    <t>290</t>
  </si>
  <si>
    <t>355</t>
  </si>
  <si>
    <t>392</t>
  </si>
  <si>
    <t>397</t>
  </si>
  <si>
    <t>418</t>
  </si>
  <si>
    <t>LOPEZ</t>
  </si>
  <si>
    <t>450</t>
  </si>
  <si>
    <t>517</t>
  </si>
  <si>
    <t>532</t>
  </si>
  <si>
    <t>548</t>
  </si>
  <si>
    <t>622</t>
  </si>
  <si>
    <t>698</t>
  </si>
  <si>
    <t>701</t>
  </si>
  <si>
    <t>743</t>
  </si>
  <si>
    <t>807</t>
  </si>
  <si>
    <t>821</t>
  </si>
  <si>
    <t>824</t>
  </si>
  <si>
    <t>845</t>
  </si>
  <si>
    <t>20</t>
  </si>
  <si>
    <t>Cesar</t>
  </si>
  <si>
    <t>011</t>
  </si>
  <si>
    <t>032</t>
  </si>
  <si>
    <t>060</t>
  </si>
  <si>
    <t>175</t>
  </si>
  <si>
    <t>178</t>
  </si>
  <si>
    <t>228</t>
  </si>
  <si>
    <t>295</t>
  </si>
  <si>
    <t>383</t>
  </si>
  <si>
    <t>443</t>
  </si>
  <si>
    <t>570</t>
  </si>
  <si>
    <t>710</t>
  </si>
  <si>
    <t>750</t>
  </si>
  <si>
    <t>787</t>
  </si>
  <si>
    <t>23</t>
  </si>
  <si>
    <t>Cordoba</t>
  </si>
  <si>
    <t>068</t>
  </si>
  <si>
    <t>168</t>
  </si>
  <si>
    <t>182</t>
  </si>
  <si>
    <t>350</t>
  </si>
  <si>
    <t>417</t>
  </si>
  <si>
    <t>419</t>
  </si>
  <si>
    <t>555</t>
  </si>
  <si>
    <t>574</t>
  </si>
  <si>
    <t>586</t>
  </si>
  <si>
    <t>SAHAGUN</t>
  </si>
  <si>
    <t>SAN ANDRES SOTAVENTO</t>
  </si>
  <si>
    <t>672</t>
  </si>
  <si>
    <t>678</t>
  </si>
  <si>
    <t>855</t>
  </si>
  <si>
    <t>25</t>
  </si>
  <si>
    <t>019</t>
  </si>
  <si>
    <t>035</t>
  </si>
  <si>
    <t>053</t>
  </si>
  <si>
    <t>ARBELAEZ</t>
  </si>
  <si>
    <t>BELTRAN</t>
  </si>
  <si>
    <t>095</t>
  </si>
  <si>
    <t>099</t>
  </si>
  <si>
    <t>BOJACA</t>
  </si>
  <si>
    <t>123</t>
  </si>
  <si>
    <t>CACHIPAY</t>
  </si>
  <si>
    <t>126</t>
  </si>
  <si>
    <t>151</t>
  </si>
  <si>
    <t>CHIPAQUE</t>
  </si>
  <si>
    <t>181</t>
  </si>
  <si>
    <t>CHOCONTA</t>
  </si>
  <si>
    <t>200</t>
  </si>
  <si>
    <t>214</t>
  </si>
  <si>
    <t>245</t>
  </si>
  <si>
    <t>258</t>
  </si>
  <si>
    <t>260</t>
  </si>
  <si>
    <t>EL ROSAL</t>
  </si>
  <si>
    <t>269</t>
  </si>
  <si>
    <t>279</t>
  </si>
  <si>
    <t>FOMEQUE</t>
  </si>
  <si>
    <t>281</t>
  </si>
  <si>
    <t>286</t>
  </si>
  <si>
    <t>FUNZA</t>
  </si>
  <si>
    <t>288</t>
  </si>
  <si>
    <t>GACHANCIPA</t>
  </si>
  <si>
    <t>297</t>
  </si>
  <si>
    <t>GAMA</t>
  </si>
  <si>
    <t>307</t>
  </si>
  <si>
    <t>312</t>
  </si>
  <si>
    <t>320</t>
  </si>
  <si>
    <t>324</t>
  </si>
  <si>
    <t>326</t>
  </si>
  <si>
    <t>328</t>
  </si>
  <si>
    <t>335</t>
  </si>
  <si>
    <t>339</t>
  </si>
  <si>
    <t>JERUSALEN</t>
  </si>
  <si>
    <t>JUNIN</t>
  </si>
  <si>
    <t>386</t>
  </si>
  <si>
    <t>394</t>
  </si>
  <si>
    <t>398</t>
  </si>
  <si>
    <t>402</t>
  </si>
  <si>
    <t>426</t>
  </si>
  <si>
    <t>MACHETA</t>
  </si>
  <si>
    <t>MADRID</t>
  </si>
  <si>
    <t>MANTA</t>
  </si>
  <si>
    <t>438</t>
  </si>
  <si>
    <t>NEMOCON</t>
  </si>
  <si>
    <t>488</t>
  </si>
  <si>
    <t>NILO</t>
  </si>
  <si>
    <t>489</t>
  </si>
  <si>
    <t>506</t>
  </si>
  <si>
    <t>530</t>
  </si>
  <si>
    <t>535</t>
  </si>
  <si>
    <t>QUEBRADANEGRA</t>
  </si>
  <si>
    <t>594</t>
  </si>
  <si>
    <t>596</t>
  </si>
  <si>
    <t>612</t>
  </si>
  <si>
    <t>645</t>
  </si>
  <si>
    <t>SAN JUAN DE RIO SECO</t>
  </si>
  <si>
    <t>718</t>
  </si>
  <si>
    <t>SESQUILE</t>
  </si>
  <si>
    <t>745</t>
  </si>
  <si>
    <t>754</t>
  </si>
  <si>
    <t>769</t>
  </si>
  <si>
    <t>772</t>
  </si>
  <si>
    <t>SUESCA</t>
  </si>
  <si>
    <t>779</t>
  </si>
  <si>
    <t>SUSA</t>
  </si>
  <si>
    <t>781</t>
  </si>
  <si>
    <t>793</t>
  </si>
  <si>
    <t>TAUSA</t>
  </si>
  <si>
    <t>797</t>
  </si>
  <si>
    <t>799</t>
  </si>
  <si>
    <t>805</t>
  </si>
  <si>
    <t>TIBIRITA</t>
  </si>
  <si>
    <t>815</t>
  </si>
  <si>
    <t>817</t>
  </si>
  <si>
    <t>823</t>
  </si>
  <si>
    <t>UBALA</t>
  </si>
  <si>
    <t>841</t>
  </si>
  <si>
    <t>843</t>
  </si>
  <si>
    <t>851</t>
  </si>
  <si>
    <t>UTICA</t>
  </si>
  <si>
    <t>862</t>
  </si>
  <si>
    <t>871</t>
  </si>
  <si>
    <t>VILLAGOMEZ</t>
  </si>
  <si>
    <t>VILLAPINZON</t>
  </si>
  <si>
    <t>875</t>
  </si>
  <si>
    <t>878</t>
  </si>
  <si>
    <t>898</t>
  </si>
  <si>
    <t>899</t>
  </si>
  <si>
    <t>27</t>
  </si>
  <si>
    <t>Choco</t>
  </si>
  <si>
    <t>025</t>
  </si>
  <si>
    <t>073</t>
  </si>
  <si>
    <t>077</t>
  </si>
  <si>
    <t>BELEN DE BAJIRA</t>
  </si>
  <si>
    <t>CERTEGUI</t>
  </si>
  <si>
    <t>CONDOTO</t>
  </si>
  <si>
    <t>EL CARMEN DE ATRATO</t>
  </si>
  <si>
    <t>EL LITORAL DEL SAN JUAN</t>
  </si>
  <si>
    <t>ISTMINA</t>
  </si>
  <si>
    <t>413</t>
  </si>
  <si>
    <t>800</t>
  </si>
  <si>
    <t>41</t>
  </si>
  <si>
    <t>016</t>
  </si>
  <si>
    <t>020</t>
  </si>
  <si>
    <t>026</t>
  </si>
  <si>
    <t>132</t>
  </si>
  <si>
    <t>CAMPOALEGRE</t>
  </si>
  <si>
    <t>298</t>
  </si>
  <si>
    <t>319</t>
  </si>
  <si>
    <t>349</t>
  </si>
  <si>
    <t>357</t>
  </si>
  <si>
    <t>359</t>
  </si>
  <si>
    <t>378</t>
  </si>
  <si>
    <t>396</t>
  </si>
  <si>
    <t>503</t>
  </si>
  <si>
    <t>PITAL</t>
  </si>
  <si>
    <t>551</t>
  </si>
  <si>
    <t>668</t>
  </si>
  <si>
    <t>791</t>
  </si>
  <si>
    <t>801</t>
  </si>
  <si>
    <t>872</t>
  </si>
  <si>
    <t>44</t>
  </si>
  <si>
    <t>La Guajira</t>
  </si>
  <si>
    <t>BARRANCAS</t>
  </si>
  <si>
    <t>098</t>
  </si>
  <si>
    <t>HATONUEVO</t>
  </si>
  <si>
    <t>420</t>
  </si>
  <si>
    <t>LA JAGUA DEL PILAR</t>
  </si>
  <si>
    <t>URUMITA</t>
  </si>
  <si>
    <t>874</t>
  </si>
  <si>
    <t>47</t>
  </si>
  <si>
    <t>Magdalena</t>
  </si>
  <si>
    <t>058</t>
  </si>
  <si>
    <t>161</t>
  </si>
  <si>
    <t>CERRO SAN ANTONIO</t>
  </si>
  <si>
    <t>170</t>
  </si>
  <si>
    <t>CHIBOLO</t>
  </si>
  <si>
    <t>545</t>
  </si>
  <si>
    <t>PUEBLOVIEJO</t>
  </si>
  <si>
    <t>605</t>
  </si>
  <si>
    <t>692</t>
  </si>
  <si>
    <t>SAN SEBASTIAN DE BUENAVISTA</t>
  </si>
  <si>
    <t>703</t>
  </si>
  <si>
    <t>707</t>
  </si>
  <si>
    <t>SITIONUEVO</t>
  </si>
  <si>
    <t>960</t>
  </si>
  <si>
    <t>980</t>
  </si>
  <si>
    <t>50</t>
  </si>
  <si>
    <t>124</t>
  </si>
  <si>
    <t>CUBARRAL</t>
  </si>
  <si>
    <t>251</t>
  </si>
  <si>
    <t>270</t>
  </si>
  <si>
    <t>287</t>
  </si>
  <si>
    <t>FUENTE DE ORO</t>
  </si>
  <si>
    <t>330</t>
  </si>
  <si>
    <t>LA MACARENA</t>
  </si>
  <si>
    <t>370</t>
  </si>
  <si>
    <t>LA URIBE</t>
  </si>
  <si>
    <t>568</t>
  </si>
  <si>
    <t>PUERTO GAITAN</t>
  </si>
  <si>
    <t>577</t>
  </si>
  <si>
    <t>590</t>
  </si>
  <si>
    <t>680</t>
  </si>
  <si>
    <t>SAN CARLOS DE GUAROA</t>
  </si>
  <si>
    <t>689</t>
  </si>
  <si>
    <t>711</t>
  </si>
  <si>
    <t>52</t>
  </si>
  <si>
    <t>Nariño</t>
  </si>
  <si>
    <t>ALDANA</t>
  </si>
  <si>
    <t>083</t>
  </si>
  <si>
    <t>203</t>
  </si>
  <si>
    <t>207</t>
  </si>
  <si>
    <t>210</t>
  </si>
  <si>
    <t>227</t>
  </si>
  <si>
    <t>233</t>
  </si>
  <si>
    <t>254</t>
  </si>
  <si>
    <t>EL TABLON DE GOMEZ</t>
  </si>
  <si>
    <t>323</t>
  </si>
  <si>
    <t>352</t>
  </si>
  <si>
    <t>354</t>
  </si>
  <si>
    <t>356</t>
  </si>
  <si>
    <t>381</t>
  </si>
  <si>
    <t>385</t>
  </si>
  <si>
    <t>LA TOLA</t>
  </si>
  <si>
    <t>399</t>
  </si>
  <si>
    <t>405</t>
  </si>
  <si>
    <t>427</t>
  </si>
  <si>
    <t>435</t>
  </si>
  <si>
    <t>540</t>
  </si>
  <si>
    <t>565</t>
  </si>
  <si>
    <t>687</t>
  </si>
  <si>
    <t>694</t>
  </si>
  <si>
    <t>699</t>
  </si>
  <si>
    <t>786</t>
  </si>
  <si>
    <t>788</t>
  </si>
  <si>
    <t>SAN ANDRES DE TUMACO</t>
  </si>
  <si>
    <t>54</t>
  </si>
  <si>
    <t>Norte de Santander</t>
  </si>
  <si>
    <t>003</t>
  </si>
  <si>
    <t>128</t>
  </si>
  <si>
    <t>239</t>
  </si>
  <si>
    <t>261</t>
  </si>
  <si>
    <t>344</t>
  </si>
  <si>
    <t>LABATECA</t>
  </si>
  <si>
    <t>498</t>
  </si>
  <si>
    <t>553</t>
  </si>
  <si>
    <t>VILLA CARO</t>
  </si>
  <si>
    <t>63</t>
  </si>
  <si>
    <t>Quindio</t>
  </si>
  <si>
    <t>111</t>
  </si>
  <si>
    <t>302</t>
  </si>
  <si>
    <t>470</t>
  </si>
  <si>
    <t>66</t>
  </si>
  <si>
    <t>Risaralda</t>
  </si>
  <si>
    <t>456</t>
  </si>
  <si>
    <t>682</t>
  </si>
  <si>
    <t>68</t>
  </si>
  <si>
    <t>Santander</t>
  </si>
  <si>
    <t>AGUADA</t>
  </si>
  <si>
    <t>081</t>
  </si>
  <si>
    <t>121</t>
  </si>
  <si>
    <t>152</t>
  </si>
  <si>
    <t>CERRITO</t>
  </si>
  <si>
    <t>167</t>
  </si>
  <si>
    <t>169</t>
  </si>
  <si>
    <t>179</t>
  </si>
  <si>
    <t>211</t>
  </si>
  <si>
    <t>217</t>
  </si>
  <si>
    <t>229</t>
  </si>
  <si>
    <t>235</t>
  </si>
  <si>
    <t>EL GUACAMAYO</t>
  </si>
  <si>
    <t>255</t>
  </si>
  <si>
    <t>ENCINO</t>
  </si>
  <si>
    <t>271</t>
  </si>
  <si>
    <t>FLORIAN</t>
  </si>
  <si>
    <t>327</t>
  </si>
  <si>
    <t>GUEPSA</t>
  </si>
  <si>
    <t>HATO</t>
  </si>
  <si>
    <t>JORDAN</t>
  </si>
  <si>
    <t>LANDAZURI</t>
  </si>
  <si>
    <t>406</t>
  </si>
  <si>
    <t>432</t>
  </si>
  <si>
    <t>502</t>
  </si>
  <si>
    <t>PALMAR</t>
  </si>
  <si>
    <t>547</t>
  </si>
  <si>
    <t>575</t>
  </si>
  <si>
    <t>669</t>
  </si>
  <si>
    <t>684</t>
  </si>
  <si>
    <t>SAN JOSE DE MIRANDA</t>
  </si>
  <si>
    <t>705</t>
  </si>
  <si>
    <t>SUAITA</t>
  </si>
  <si>
    <t>773</t>
  </si>
  <si>
    <t>70</t>
  </si>
  <si>
    <t>Sucre</t>
  </si>
  <si>
    <t>COLOSO</t>
  </si>
  <si>
    <t>221</t>
  </si>
  <si>
    <t>230</t>
  </si>
  <si>
    <t>EL ROBLE</t>
  </si>
  <si>
    <t>265</t>
  </si>
  <si>
    <t>429</t>
  </si>
  <si>
    <t>MORROA</t>
  </si>
  <si>
    <t>508</t>
  </si>
  <si>
    <t>OVEJAS</t>
  </si>
  <si>
    <t>523</t>
  </si>
  <si>
    <t>PALMITO</t>
  </si>
  <si>
    <t>702</t>
  </si>
  <si>
    <t>SAN JUAN DE BETULIA</t>
  </si>
  <si>
    <t>708</t>
  </si>
  <si>
    <t>713</t>
  </si>
  <si>
    <t>717</t>
  </si>
  <si>
    <t>742</t>
  </si>
  <si>
    <t>SAN LUIS DE SINCE</t>
  </si>
  <si>
    <t>771</t>
  </si>
  <si>
    <t>SANTIAGO DE TOLU</t>
  </si>
  <si>
    <t>TOLU VIEJO</t>
  </si>
  <si>
    <t>73</t>
  </si>
  <si>
    <t>Tolima</t>
  </si>
  <si>
    <t>024</t>
  </si>
  <si>
    <t>043</t>
  </si>
  <si>
    <t>ANZOATEGUI</t>
  </si>
  <si>
    <t>ARMERO</t>
  </si>
  <si>
    <t>067</t>
  </si>
  <si>
    <t>275</t>
  </si>
  <si>
    <t>283</t>
  </si>
  <si>
    <t>408</t>
  </si>
  <si>
    <t>LERIDA</t>
  </si>
  <si>
    <t>449</t>
  </si>
  <si>
    <t>461</t>
  </si>
  <si>
    <t>504</t>
  </si>
  <si>
    <t>563</t>
  </si>
  <si>
    <t>624</t>
  </si>
  <si>
    <t>671</t>
  </si>
  <si>
    <t>870</t>
  </si>
  <si>
    <t>VILLARRICA</t>
  </si>
  <si>
    <t>76</t>
  </si>
  <si>
    <t>Valle del Cauca</t>
  </si>
  <si>
    <t>CALI</t>
  </si>
  <si>
    <t>041</t>
  </si>
  <si>
    <t>054</t>
  </si>
  <si>
    <t>122</t>
  </si>
  <si>
    <t>CALIMA</t>
  </si>
  <si>
    <t>243</t>
  </si>
  <si>
    <t>246</t>
  </si>
  <si>
    <t>497</t>
  </si>
  <si>
    <t>828</t>
  </si>
  <si>
    <t>834</t>
  </si>
  <si>
    <t>863</t>
  </si>
  <si>
    <t>869</t>
  </si>
  <si>
    <t>892</t>
  </si>
  <si>
    <t>81</t>
  </si>
  <si>
    <t>Arauca</t>
  </si>
  <si>
    <t>065</t>
  </si>
  <si>
    <t>220</t>
  </si>
  <si>
    <t>FORTUL</t>
  </si>
  <si>
    <t>794</t>
  </si>
  <si>
    <t>85</t>
  </si>
  <si>
    <t>010</t>
  </si>
  <si>
    <t>015</t>
  </si>
  <si>
    <t>CHAMEZA</t>
  </si>
  <si>
    <t>136</t>
  </si>
  <si>
    <t>LA SALINA</t>
  </si>
  <si>
    <t>139</t>
  </si>
  <si>
    <t>MONTERREY</t>
  </si>
  <si>
    <t>225</t>
  </si>
  <si>
    <t>263</t>
  </si>
  <si>
    <t>RECETOR</t>
  </si>
  <si>
    <t>SACAMA</t>
  </si>
  <si>
    <t>SAN LUIS DE PALENQUE</t>
  </si>
  <si>
    <t>TAMARA</t>
  </si>
  <si>
    <t>86</t>
  </si>
  <si>
    <t>Putumayo</t>
  </si>
  <si>
    <t>219</t>
  </si>
  <si>
    <t>569</t>
  </si>
  <si>
    <t>571</t>
  </si>
  <si>
    <t>LEGUIZAMO</t>
  </si>
  <si>
    <t>749</t>
  </si>
  <si>
    <t>865</t>
  </si>
  <si>
    <t>VALLE DEL GUAMUEZ</t>
  </si>
  <si>
    <t>VILLAGARZON</t>
  </si>
  <si>
    <t>88</t>
  </si>
  <si>
    <t>564</t>
  </si>
  <si>
    <t>91</t>
  </si>
  <si>
    <t>PUERTO NARIÑO</t>
  </si>
  <si>
    <t>94</t>
  </si>
  <si>
    <t>INIRIDA</t>
  </si>
  <si>
    <t>95</t>
  </si>
  <si>
    <t>EL RETORNO</t>
  </si>
  <si>
    <t>97</t>
  </si>
  <si>
    <t>VAUPES</t>
  </si>
  <si>
    <t>MITU</t>
  </si>
  <si>
    <t>CARURU</t>
  </si>
  <si>
    <t>666</t>
  </si>
  <si>
    <t>TARAIRA</t>
  </si>
  <si>
    <t>99</t>
  </si>
  <si>
    <t>VICHADA</t>
  </si>
  <si>
    <t>PUERTO CARREÑO</t>
  </si>
  <si>
    <t>LA PRIMAVERA</t>
  </si>
  <si>
    <t>SANTA ROSALIA</t>
  </si>
  <si>
    <t>CUMARIBO</t>
  </si>
  <si>
    <t>05001</t>
  </si>
  <si>
    <t>05002</t>
  </si>
  <si>
    <t>05004</t>
  </si>
  <si>
    <t>05021</t>
  </si>
  <si>
    <t>05030</t>
  </si>
  <si>
    <t>05031</t>
  </si>
  <si>
    <t>05034</t>
  </si>
  <si>
    <t>05036</t>
  </si>
  <si>
    <t>05038</t>
  </si>
  <si>
    <t>05040</t>
  </si>
  <si>
    <t>05042</t>
  </si>
  <si>
    <t>05044</t>
  </si>
  <si>
    <t>05045</t>
  </si>
  <si>
    <t>05051</t>
  </si>
  <si>
    <t>05055</t>
  </si>
  <si>
    <t>05059</t>
  </si>
  <si>
    <t>05079</t>
  </si>
  <si>
    <t>05086</t>
  </si>
  <si>
    <t>05088</t>
  </si>
  <si>
    <t>05091</t>
  </si>
  <si>
    <t>05093</t>
  </si>
  <si>
    <t>05101</t>
  </si>
  <si>
    <t>05107</t>
  </si>
  <si>
    <t>05113</t>
  </si>
  <si>
    <t>05120</t>
  </si>
  <si>
    <t>05125</t>
  </si>
  <si>
    <t>05129</t>
  </si>
  <si>
    <t>05134</t>
  </si>
  <si>
    <t>05138</t>
  </si>
  <si>
    <t>05142</t>
  </si>
  <si>
    <t>05145</t>
  </si>
  <si>
    <t>05147</t>
  </si>
  <si>
    <t>05148</t>
  </si>
  <si>
    <t>05150</t>
  </si>
  <si>
    <t>05154</t>
  </si>
  <si>
    <t>05172</t>
  </si>
  <si>
    <t>05190</t>
  </si>
  <si>
    <t>05197</t>
  </si>
  <si>
    <t>05206</t>
  </si>
  <si>
    <t>05209</t>
  </si>
  <si>
    <t>05212</t>
  </si>
  <si>
    <t>05234</t>
  </si>
  <si>
    <t>05237</t>
  </si>
  <si>
    <t>05240</t>
  </si>
  <si>
    <t>05250</t>
  </si>
  <si>
    <t>05264</t>
  </si>
  <si>
    <t>05266</t>
  </si>
  <si>
    <t>05282</t>
  </si>
  <si>
    <t>05284</t>
  </si>
  <si>
    <t>05306</t>
  </si>
  <si>
    <t>05308</t>
  </si>
  <si>
    <t>05310</t>
  </si>
  <si>
    <t>05313</t>
  </si>
  <si>
    <t>05315</t>
  </si>
  <si>
    <t>05318</t>
  </si>
  <si>
    <t>05321</t>
  </si>
  <si>
    <t>05347</t>
  </si>
  <si>
    <t>05353</t>
  </si>
  <si>
    <t>05360</t>
  </si>
  <si>
    <t>05361</t>
  </si>
  <si>
    <t>05364</t>
  </si>
  <si>
    <t>05368</t>
  </si>
  <si>
    <t>05376</t>
  </si>
  <si>
    <t>05380</t>
  </si>
  <si>
    <t>05390</t>
  </si>
  <si>
    <t>05400</t>
  </si>
  <si>
    <t>05411</t>
  </si>
  <si>
    <t>05425</t>
  </si>
  <si>
    <t>05440</t>
  </si>
  <si>
    <t>05467</t>
  </si>
  <si>
    <t>05475</t>
  </si>
  <si>
    <t>05480</t>
  </si>
  <si>
    <t>05483</t>
  </si>
  <si>
    <t>05490</t>
  </si>
  <si>
    <t>05495</t>
  </si>
  <si>
    <t>05501</t>
  </si>
  <si>
    <t>05541</t>
  </si>
  <si>
    <t>05543</t>
  </si>
  <si>
    <t>05576</t>
  </si>
  <si>
    <t>05579</t>
  </si>
  <si>
    <t>05585</t>
  </si>
  <si>
    <t>05591</t>
  </si>
  <si>
    <t>05604</t>
  </si>
  <si>
    <t>05607</t>
  </si>
  <si>
    <t>05615</t>
  </si>
  <si>
    <t>05628</t>
  </si>
  <si>
    <t>05631</t>
  </si>
  <si>
    <t>05642</t>
  </si>
  <si>
    <t>05647</t>
  </si>
  <si>
    <t>05649</t>
  </si>
  <si>
    <t>05652</t>
  </si>
  <si>
    <t>05656</t>
  </si>
  <si>
    <t>05658</t>
  </si>
  <si>
    <t>05659</t>
  </si>
  <si>
    <t>05660</t>
  </si>
  <si>
    <t>05664</t>
  </si>
  <si>
    <t>05665</t>
  </si>
  <si>
    <t>05667</t>
  </si>
  <si>
    <t>05670</t>
  </si>
  <si>
    <t>05674</t>
  </si>
  <si>
    <t>05679</t>
  </si>
  <si>
    <t>05686</t>
  </si>
  <si>
    <t>05690</t>
  </si>
  <si>
    <t>05697</t>
  </si>
  <si>
    <t>05736</t>
  </si>
  <si>
    <t>05756</t>
  </si>
  <si>
    <t>05761</t>
  </si>
  <si>
    <t>05789</t>
  </si>
  <si>
    <t>05790</t>
  </si>
  <si>
    <t>05792</t>
  </si>
  <si>
    <t>05809</t>
  </si>
  <si>
    <t>05819</t>
  </si>
  <si>
    <t>05837</t>
  </si>
  <si>
    <t>05842</t>
  </si>
  <si>
    <t>05847</t>
  </si>
  <si>
    <t>05854</t>
  </si>
  <si>
    <t>05856</t>
  </si>
  <si>
    <t>05858</t>
  </si>
  <si>
    <t>05861</t>
  </si>
  <si>
    <t>05873</t>
  </si>
  <si>
    <t>05885</t>
  </si>
  <si>
    <t>05887</t>
  </si>
  <si>
    <t>05890</t>
  </si>
  <si>
    <t>05893</t>
  </si>
  <si>
    <t>05895</t>
  </si>
  <si>
    <t>08001</t>
  </si>
  <si>
    <t>08078</t>
  </si>
  <si>
    <t>08137</t>
  </si>
  <si>
    <t>08141</t>
  </si>
  <si>
    <t>08296</t>
  </si>
  <si>
    <t>08372</t>
  </si>
  <si>
    <t>08421</t>
  </si>
  <si>
    <t>08433</t>
  </si>
  <si>
    <t>08436</t>
  </si>
  <si>
    <t>08520</t>
  </si>
  <si>
    <t>08549</t>
  </si>
  <si>
    <t>08558</t>
  </si>
  <si>
    <t>08560</t>
  </si>
  <si>
    <t>08573</t>
  </si>
  <si>
    <t>08606</t>
  </si>
  <si>
    <t>08634</t>
  </si>
  <si>
    <t>08638</t>
  </si>
  <si>
    <t>08675</t>
  </si>
  <si>
    <t>08685</t>
  </si>
  <si>
    <t>08758</t>
  </si>
  <si>
    <t>08770</t>
  </si>
  <si>
    <t>08832</t>
  </si>
  <si>
    <t>08849</t>
  </si>
  <si>
    <t>11001</t>
  </si>
  <si>
    <t>13001</t>
  </si>
  <si>
    <t>13006</t>
  </si>
  <si>
    <t>13030</t>
  </si>
  <si>
    <t>13042</t>
  </si>
  <si>
    <t>13052</t>
  </si>
  <si>
    <t>13062</t>
  </si>
  <si>
    <t>13074</t>
  </si>
  <si>
    <t>13140</t>
  </si>
  <si>
    <t>13160</t>
  </si>
  <si>
    <t>13188</t>
  </si>
  <si>
    <t>13212</t>
  </si>
  <si>
    <t>13222</t>
  </si>
  <si>
    <t>13244</t>
  </si>
  <si>
    <t>13248</t>
  </si>
  <si>
    <t>13268</t>
  </si>
  <si>
    <t>13300</t>
  </si>
  <si>
    <t>13430</t>
  </si>
  <si>
    <t>13433</t>
  </si>
  <si>
    <t>13440</t>
  </si>
  <si>
    <t>13442</t>
  </si>
  <si>
    <t>13458</t>
  </si>
  <si>
    <t>13468</t>
  </si>
  <si>
    <t>13473</t>
  </si>
  <si>
    <t>13549</t>
  </si>
  <si>
    <t>13580</t>
  </si>
  <si>
    <t>13600</t>
  </si>
  <si>
    <t>13620</t>
  </si>
  <si>
    <t>13647</t>
  </si>
  <si>
    <t>13650</t>
  </si>
  <si>
    <t>13654</t>
  </si>
  <si>
    <t>13655</t>
  </si>
  <si>
    <t>13657</t>
  </si>
  <si>
    <t>13667</t>
  </si>
  <si>
    <t>13670</t>
  </si>
  <si>
    <t>13673</t>
  </si>
  <si>
    <t>13683</t>
  </si>
  <si>
    <t>13688</t>
  </si>
  <si>
    <t>13744</t>
  </si>
  <si>
    <t>13760</t>
  </si>
  <si>
    <t>13780</t>
  </si>
  <si>
    <t>13810</t>
  </si>
  <si>
    <t>13836</t>
  </si>
  <si>
    <t>13838</t>
  </si>
  <si>
    <t>13873</t>
  </si>
  <si>
    <t>13894</t>
  </si>
  <si>
    <t>15001</t>
  </si>
  <si>
    <t>15022</t>
  </si>
  <si>
    <t>15047</t>
  </si>
  <si>
    <t>15051</t>
  </si>
  <si>
    <t>15087</t>
  </si>
  <si>
    <t>15090</t>
  </si>
  <si>
    <t>15092</t>
  </si>
  <si>
    <t>15097</t>
  </si>
  <si>
    <t>15104</t>
  </si>
  <si>
    <t>15106</t>
  </si>
  <si>
    <t>15109</t>
  </si>
  <si>
    <t>15114</t>
  </si>
  <si>
    <t>15131</t>
  </si>
  <si>
    <t>15135</t>
  </si>
  <si>
    <t>15162</t>
  </si>
  <si>
    <t>15172</t>
  </si>
  <si>
    <t>15176</t>
  </si>
  <si>
    <t>15180</t>
  </si>
  <si>
    <t>15183</t>
  </si>
  <si>
    <t>15185</t>
  </si>
  <si>
    <t>15187</t>
  </si>
  <si>
    <t>15189</t>
  </si>
  <si>
    <t>15204</t>
  </si>
  <si>
    <t>15212</t>
  </si>
  <si>
    <t>15215</t>
  </si>
  <si>
    <t>15218</t>
  </si>
  <si>
    <t>15223</t>
  </si>
  <si>
    <t>15224</t>
  </si>
  <si>
    <t>15226</t>
  </si>
  <si>
    <t>15232</t>
  </si>
  <si>
    <t>15236</t>
  </si>
  <si>
    <t>15238</t>
  </si>
  <si>
    <t>15244</t>
  </si>
  <si>
    <t>15248</t>
  </si>
  <si>
    <t>15272</t>
  </si>
  <si>
    <t>15276</t>
  </si>
  <si>
    <t>15293</t>
  </si>
  <si>
    <t>15296</t>
  </si>
  <si>
    <t>15299</t>
  </si>
  <si>
    <t>15317</t>
  </si>
  <si>
    <t>15322</t>
  </si>
  <si>
    <t>15325</t>
  </si>
  <si>
    <t>15332</t>
  </si>
  <si>
    <t>15362</t>
  </si>
  <si>
    <t>15367</t>
  </si>
  <si>
    <t>15368</t>
  </si>
  <si>
    <t>15377</t>
  </si>
  <si>
    <t>15380</t>
  </si>
  <si>
    <t>15401</t>
  </si>
  <si>
    <t>15403</t>
  </si>
  <si>
    <t>15407</t>
  </si>
  <si>
    <t>15425</t>
  </si>
  <si>
    <t>15442</t>
  </si>
  <si>
    <t>15455</t>
  </si>
  <si>
    <t>15464</t>
  </si>
  <si>
    <t>15466</t>
  </si>
  <si>
    <t>15469</t>
  </si>
  <si>
    <t>15476</t>
  </si>
  <si>
    <t>15480</t>
  </si>
  <si>
    <t>15491</t>
  </si>
  <si>
    <t>15494</t>
  </si>
  <si>
    <t>15500</t>
  </si>
  <si>
    <t>15507</t>
  </si>
  <si>
    <t>15511</t>
  </si>
  <si>
    <t>15514</t>
  </si>
  <si>
    <t>15516</t>
  </si>
  <si>
    <t>15518</t>
  </si>
  <si>
    <t>15522</t>
  </si>
  <si>
    <t>15531</t>
  </si>
  <si>
    <t>15533</t>
  </si>
  <si>
    <t>15537</t>
  </si>
  <si>
    <t>15542</t>
  </si>
  <si>
    <t>15550</t>
  </si>
  <si>
    <t>15572</t>
  </si>
  <si>
    <t>15580</t>
  </si>
  <si>
    <t>15599</t>
  </si>
  <si>
    <t>15600</t>
  </si>
  <si>
    <t>15621</t>
  </si>
  <si>
    <t>15632</t>
  </si>
  <si>
    <t>15638</t>
  </si>
  <si>
    <t>15646</t>
  </si>
  <si>
    <t>15660</t>
  </si>
  <si>
    <t>15664</t>
  </si>
  <si>
    <t>15667</t>
  </si>
  <si>
    <t>15673</t>
  </si>
  <si>
    <t>15676</t>
  </si>
  <si>
    <t>15681</t>
  </si>
  <si>
    <t>15686</t>
  </si>
  <si>
    <t>15690</t>
  </si>
  <si>
    <t>15693</t>
  </si>
  <si>
    <t>15696</t>
  </si>
  <si>
    <t>15720</t>
  </si>
  <si>
    <t>15723</t>
  </si>
  <si>
    <t>15740</t>
  </si>
  <si>
    <t>15753</t>
  </si>
  <si>
    <t>15755</t>
  </si>
  <si>
    <t>15757</t>
  </si>
  <si>
    <t>15759</t>
  </si>
  <si>
    <t>15761</t>
  </si>
  <si>
    <t>15762</t>
  </si>
  <si>
    <t>15763</t>
  </si>
  <si>
    <t>15764</t>
  </si>
  <si>
    <t>15774</t>
  </si>
  <si>
    <t>15776</t>
  </si>
  <si>
    <t>15778</t>
  </si>
  <si>
    <t>15790</t>
  </si>
  <si>
    <t>15798</t>
  </si>
  <si>
    <t>15804</t>
  </si>
  <si>
    <t>15806</t>
  </si>
  <si>
    <t>15808</t>
  </si>
  <si>
    <t>15810</t>
  </si>
  <si>
    <t>15814</t>
  </si>
  <si>
    <t>15816</t>
  </si>
  <si>
    <t>15820</t>
  </si>
  <si>
    <t>15822</t>
  </si>
  <si>
    <t>15832</t>
  </si>
  <si>
    <t>15835</t>
  </si>
  <si>
    <t>15837</t>
  </si>
  <si>
    <t>15839</t>
  </si>
  <si>
    <t>15842</t>
  </si>
  <si>
    <t>15861</t>
  </si>
  <si>
    <t>15879</t>
  </si>
  <si>
    <t>15897</t>
  </si>
  <si>
    <t>17001</t>
  </si>
  <si>
    <t>17013</t>
  </si>
  <si>
    <t>17042</t>
  </si>
  <si>
    <t>17050</t>
  </si>
  <si>
    <t>17088</t>
  </si>
  <si>
    <t>17174</t>
  </si>
  <si>
    <t>17272</t>
  </si>
  <si>
    <t>17380</t>
  </si>
  <si>
    <t>17388</t>
  </si>
  <si>
    <t>17433</t>
  </si>
  <si>
    <t>17442</t>
  </si>
  <si>
    <t>17444</t>
  </si>
  <si>
    <t>17446</t>
  </si>
  <si>
    <t>17486</t>
  </si>
  <si>
    <t>17495</t>
  </si>
  <si>
    <t>17513</t>
  </si>
  <si>
    <t>17524</t>
  </si>
  <si>
    <t>17541</t>
  </si>
  <si>
    <t>17614</t>
  </si>
  <si>
    <t>17616</t>
  </si>
  <si>
    <t>17653</t>
  </si>
  <si>
    <t>17662</t>
  </si>
  <si>
    <t>17665</t>
  </si>
  <si>
    <t>17777</t>
  </si>
  <si>
    <t>17867</t>
  </si>
  <si>
    <t>17873</t>
  </si>
  <si>
    <t>17877</t>
  </si>
  <si>
    <t>18001</t>
  </si>
  <si>
    <t>18029</t>
  </si>
  <si>
    <t>18094</t>
  </si>
  <si>
    <t>18150</t>
  </si>
  <si>
    <t>18205</t>
  </si>
  <si>
    <t>18247</t>
  </si>
  <si>
    <t>18256</t>
  </si>
  <si>
    <t>18410</t>
  </si>
  <si>
    <t>18460</t>
  </si>
  <si>
    <t>18479</t>
  </si>
  <si>
    <t>18592</t>
  </si>
  <si>
    <t>18610</t>
  </si>
  <si>
    <t>18753</t>
  </si>
  <si>
    <t>18756</t>
  </si>
  <si>
    <t>18785</t>
  </si>
  <si>
    <t>18860</t>
  </si>
  <si>
    <t>19001</t>
  </si>
  <si>
    <t>19022</t>
  </si>
  <si>
    <t>19050</t>
  </si>
  <si>
    <t>19075</t>
  </si>
  <si>
    <t>19100</t>
  </si>
  <si>
    <t>19110</t>
  </si>
  <si>
    <t>19130</t>
  </si>
  <si>
    <t>19137</t>
  </si>
  <si>
    <t>19142</t>
  </si>
  <si>
    <t>19212</t>
  </si>
  <si>
    <t>19256</t>
  </si>
  <si>
    <t>19290</t>
  </si>
  <si>
    <t>19300</t>
  </si>
  <si>
    <t>19318</t>
  </si>
  <si>
    <t>19355</t>
  </si>
  <si>
    <t>19364</t>
  </si>
  <si>
    <t>19392</t>
  </si>
  <si>
    <t>19397</t>
  </si>
  <si>
    <t>19418</t>
  </si>
  <si>
    <t>19450</t>
  </si>
  <si>
    <t>19455</t>
  </si>
  <si>
    <t>19473</t>
  </si>
  <si>
    <t>19513</t>
  </si>
  <si>
    <t>19517</t>
  </si>
  <si>
    <t>19532</t>
  </si>
  <si>
    <t>19533</t>
  </si>
  <si>
    <t>19548</t>
  </si>
  <si>
    <t>19573</t>
  </si>
  <si>
    <t>19585</t>
  </si>
  <si>
    <t>19622</t>
  </si>
  <si>
    <t>19693</t>
  </si>
  <si>
    <t>19698</t>
  </si>
  <si>
    <t>19701</t>
  </si>
  <si>
    <t>19743</t>
  </si>
  <si>
    <t>19760</t>
  </si>
  <si>
    <t>19780</t>
  </si>
  <si>
    <t>19785</t>
  </si>
  <si>
    <t>19807</t>
  </si>
  <si>
    <t>19809</t>
  </si>
  <si>
    <t>19821</t>
  </si>
  <si>
    <t>19824</t>
  </si>
  <si>
    <t>19845</t>
  </si>
  <si>
    <t>20001</t>
  </si>
  <si>
    <t>20011</t>
  </si>
  <si>
    <t>20013</t>
  </si>
  <si>
    <t>20032</t>
  </si>
  <si>
    <t>20045</t>
  </si>
  <si>
    <t>20060</t>
  </si>
  <si>
    <t>20175</t>
  </si>
  <si>
    <t>20178</t>
  </si>
  <si>
    <t>20228</t>
  </si>
  <si>
    <t>20238</t>
  </si>
  <si>
    <t>20250</t>
  </si>
  <si>
    <t>20295</t>
  </si>
  <si>
    <t>20310</t>
  </si>
  <si>
    <t>20383</t>
  </si>
  <si>
    <t>20400</t>
  </si>
  <si>
    <t>20443</t>
  </si>
  <si>
    <t>20517</t>
  </si>
  <si>
    <t>20550</t>
  </si>
  <si>
    <t>20570</t>
  </si>
  <si>
    <t>20614</t>
  </si>
  <si>
    <t>20621</t>
  </si>
  <si>
    <t>20710</t>
  </si>
  <si>
    <t>20750</t>
  </si>
  <si>
    <t>20770</t>
  </si>
  <si>
    <t>20787</t>
  </si>
  <si>
    <t>23001</t>
  </si>
  <si>
    <t>23068</t>
  </si>
  <si>
    <t>23079</t>
  </si>
  <si>
    <t>23090</t>
  </si>
  <si>
    <t>23162</t>
  </si>
  <si>
    <t>23168</t>
  </si>
  <si>
    <t>23182</t>
  </si>
  <si>
    <t>23189</t>
  </si>
  <si>
    <t>23300</t>
  </si>
  <si>
    <t>23350</t>
  </si>
  <si>
    <t>23417</t>
  </si>
  <si>
    <t>23419</t>
  </si>
  <si>
    <t>23464</t>
  </si>
  <si>
    <t>23466</t>
  </si>
  <si>
    <t>23500</t>
  </si>
  <si>
    <t>23555</t>
  </si>
  <si>
    <t>23570</t>
  </si>
  <si>
    <t>23574</t>
  </si>
  <si>
    <t>23580</t>
  </si>
  <si>
    <t>23586</t>
  </si>
  <si>
    <t>23660</t>
  </si>
  <si>
    <t>23670</t>
  </si>
  <si>
    <t>23672</t>
  </si>
  <si>
    <t>23675</t>
  </si>
  <si>
    <t>23678</t>
  </si>
  <si>
    <t>23686</t>
  </si>
  <si>
    <t>23807</t>
  </si>
  <si>
    <t>23855</t>
  </si>
  <si>
    <t>25001</t>
  </si>
  <si>
    <t>25019</t>
  </si>
  <si>
    <t>25035</t>
  </si>
  <si>
    <t>25040</t>
  </si>
  <si>
    <t>25053</t>
  </si>
  <si>
    <t>25086</t>
  </si>
  <si>
    <t>25095</t>
  </si>
  <si>
    <t>25099</t>
  </si>
  <si>
    <t>25120</t>
  </si>
  <si>
    <t>25123</t>
  </si>
  <si>
    <t>25126</t>
  </si>
  <si>
    <t>25148</t>
  </si>
  <si>
    <t>25151</t>
  </si>
  <si>
    <t>25154</t>
  </si>
  <si>
    <t>25168</t>
  </si>
  <si>
    <t>25175</t>
  </si>
  <si>
    <t>25178</t>
  </si>
  <si>
    <t>25181</t>
  </si>
  <si>
    <t>25183</t>
  </si>
  <si>
    <t>25200</t>
  </si>
  <si>
    <t>25214</t>
  </si>
  <si>
    <t>25224</t>
  </si>
  <si>
    <t>25245</t>
  </si>
  <si>
    <t>25258</t>
  </si>
  <si>
    <t>25260</t>
  </si>
  <si>
    <t>25269</t>
  </si>
  <si>
    <t>25279</t>
  </si>
  <si>
    <t>25281</t>
  </si>
  <si>
    <t>25286</t>
  </si>
  <si>
    <t>25288</t>
  </si>
  <si>
    <t>25290</t>
  </si>
  <si>
    <t>25293</t>
  </si>
  <si>
    <t>25295</t>
  </si>
  <si>
    <t>25297</t>
  </si>
  <si>
    <t>25299</t>
  </si>
  <si>
    <t>25307</t>
  </si>
  <si>
    <t>25312</t>
  </si>
  <si>
    <t>25317</t>
  </si>
  <si>
    <t>25320</t>
  </si>
  <si>
    <t>25322</t>
  </si>
  <si>
    <t>25324</t>
  </si>
  <si>
    <t>25326</t>
  </si>
  <si>
    <t>25328</t>
  </si>
  <si>
    <t>25335</t>
  </si>
  <si>
    <t>25339</t>
  </si>
  <si>
    <t>25368</t>
  </si>
  <si>
    <t>25372</t>
  </si>
  <si>
    <t>25377</t>
  </si>
  <si>
    <t>25386</t>
  </si>
  <si>
    <t>25394</t>
  </si>
  <si>
    <t>25398</t>
  </si>
  <si>
    <t>25402</t>
  </si>
  <si>
    <t>25407</t>
  </si>
  <si>
    <t>25426</t>
  </si>
  <si>
    <t>25430</t>
  </si>
  <si>
    <t>25436</t>
  </si>
  <si>
    <t>25438</t>
  </si>
  <si>
    <t>25473</t>
  </si>
  <si>
    <t>25483</t>
  </si>
  <si>
    <t>25486</t>
  </si>
  <si>
    <t>25488</t>
  </si>
  <si>
    <t>25489</t>
  </si>
  <si>
    <t>25491</t>
  </si>
  <si>
    <t>25506</t>
  </si>
  <si>
    <t>25513</t>
  </si>
  <si>
    <t>25518</t>
  </si>
  <si>
    <t>25524</t>
  </si>
  <si>
    <t>25530</t>
  </si>
  <si>
    <t>25535</t>
  </si>
  <si>
    <t>25572</t>
  </si>
  <si>
    <t>25580</t>
  </si>
  <si>
    <t>25592</t>
  </si>
  <si>
    <t>25594</t>
  </si>
  <si>
    <t>25596</t>
  </si>
  <si>
    <t>25599</t>
  </si>
  <si>
    <t>25612</t>
  </si>
  <si>
    <t>25645</t>
  </si>
  <si>
    <t>25649</t>
  </si>
  <si>
    <t>25653</t>
  </si>
  <si>
    <t>25658</t>
  </si>
  <si>
    <t>25662</t>
  </si>
  <si>
    <t>25718</t>
  </si>
  <si>
    <t>25736</t>
  </si>
  <si>
    <t>25740</t>
  </si>
  <si>
    <t>25743</t>
  </si>
  <si>
    <t>25745</t>
  </si>
  <si>
    <t>25754</t>
  </si>
  <si>
    <t>25758</t>
  </si>
  <si>
    <t>25769</t>
  </si>
  <si>
    <t>25772</t>
  </si>
  <si>
    <t>25777</t>
  </si>
  <si>
    <t>25779</t>
  </si>
  <si>
    <t>25781</t>
  </si>
  <si>
    <t>25785</t>
  </si>
  <si>
    <t>25793</t>
  </si>
  <si>
    <t>25797</t>
  </si>
  <si>
    <t>25799</t>
  </si>
  <si>
    <t>25805</t>
  </si>
  <si>
    <t>25807</t>
  </si>
  <si>
    <t>25815</t>
  </si>
  <si>
    <t>25817</t>
  </si>
  <si>
    <t>25823</t>
  </si>
  <si>
    <t>25839</t>
  </si>
  <si>
    <t>25841</t>
  </si>
  <si>
    <t>25843</t>
  </si>
  <si>
    <t>25845</t>
  </si>
  <si>
    <t>25851</t>
  </si>
  <si>
    <t>25862</t>
  </si>
  <si>
    <t>25867</t>
  </si>
  <si>
    <t>25871</t>
  </si>
  <si>
    <t>25873</t>
  </si>
  <si>
    <t>25875</t>
  </si>
  <si>
    <t>25878</t>
  </si>
  <si>
    <t>25885</t>
  </si>
  <si>
    <t>25898</t>
  </si>
  <si>
    <t>25899</t>
  </si>
  <si>
    <t>27001</t>
  </si>
  <si>
    <t>27006</t>
  </si>
  <si>
    <t>27025</t>
  </si>
  <si>
    <t>27050</t>
  </si>
  <si>
    <t>27073</t>
  </si>
  <si>
    <t>27075</t>
  </si>
  <si>
    <t>27077</t>
  </si>
  <si>
    <t>27086</t>
  </si>
  <si>
    <t>27099</t>
  </si>
  <si>
    <t>27135</t>
  </si>
  <si>
    <t>27150</t>
  </si>
  <si>
    <t>27160</t>
  </si>
  <si>
    <t>27205</t>
  </si>
  <si>
    <t>27245</t>
  </si>
  <si>
    <t>27250</t>
  </si>
  <si>
    <t>27361</t>
  </si>
  <si>
    <t>27372</t>
  </si>
  <si>
    <t>27413</t>
  </si>
  <si>
    <t>27425</t>
  </si>
  <si>
    <t>27430</t>
  </si>
  <si>
    <t>27450</t>
  </si>
  <si>
    <t>27491</t>
  </si>
  <si>
    <t>27495</t>
  </si>
  <si>
    <t>27580</t>
  </si>
  <si>
    <t>27600</t>
  </si>
  <si>
    <t>27615</t>
  </si>
  <si>
    <t>27660</t>
  </si>
  <si>
    <t>27745</t>
  </si>
  <si>
    <t>27787</t>
  </si>
  <si>
    <t>27800</t>
  </si>
  <si>
    <t>27810</t>
  </si>
  <si>
    <t>41001</t>
  </si>
  <si>
    <t>41006</t>
  </si>
  <si>
    <t>41013</t>
  </si>
  <si>
    <t>41016</t>
  </si>
  <si>
    <t>41020</t>
  </si>
  <si>
    <t>41026</t>
  </si>
  <si>
    <t>41078</t>
  </si>
  <si>
    <t>41132</t>
  </si>
  <si>
    <t>41206</t>
  </si>
  <si>
    <t>41244</t>
  </si>
  <si>
    <t>41298</t>
  </si>
  <si>
    <t>41306</t>
  </si>
  <si>
    <t>41319</t>
  </si>
  <si>
    <t>41349</t>
  </si>
  <si>
    <t>41357</t>
  </si>
  <si>
    <t>41359</t>
  </si>
  <si>
    <t>41378</t>
  </si>
  <si>
    <t>41396</t>
  </si>
  <si>
    <t>41483</t>
  </si>
  <si>
    <t>41503</t>
  </si>
  <si>
    <t>41518</t>
  </si>
  <si>
    <t>41524</t>
  </si>
  <si>
    <t>41530</t>
  </si>
  <si>
    <t>41548</t>
  </si>
  <si>
    <t>41551</t>
  </si>
  <si>
    <t>41615</t>
  </si>
  <si>
    <t>41660</t>
  </si>
  <si>
    <t>41668</t>
  </si>
  <si>
    <t>41676</t>
  </si>
  <si>
    <t>41770</t>
  </si>
  <si>
    <t>41791</t>
  </si>
  <si>
    <t>41797</t>
  </si>
  <si>
    <t>41799</t>
  </si>
  <si>
    <t>41801</t>
  </si>
  <si>
    <t>41807</t>
  </si>
  <si>
    <t>41872</t>
  </si>
  <si>
    <t>41885</t>
  </si>
  <si>
    <t>44001</t>
  </si>
  <si>
    <t>44035</t>
  </si>
  <si>
    <t>44078</t>
  </si>
  <si>
    <t>44090</t>
  </si>
  <si>
    <t>44098</t>
  </si>
  <si>
    <t>44110</t>
  </si>
  <si>
    <t>44279</t>
  </si>
  <si>
    <t>44378</t>
  </si>
  <si>
    <t>44420</t>
  </si>
  <si>
    <t>44430</t>
  </si>
  <si>
    <t>44560</t>
  </si>
  <si>
    <t>44650</t>
  </si>
  <si>
    <t>44847</t>
  </si>
  <si>
    <t>44855</t>
  </si>
  <si>
    <t>44874</t>
  </si>
  <si>
    <t>47001</t>
  </si>
  <si>
    <t>47030</t>
  </si>
  <si>
    <t>47053</t>
  </si>
  <si>
    <t>47058</t>
  </si>
  <si>
    <t>47161</t>
  </si>
  <si>
    <t>47170</t>
  </si>
  <si>
    <t>47189</t>
  </si>
  <si>
    <t>47205</t>
  </si>
  <si>
    <t>47245</t>
  </si>
  <si>
    <t>47258</t>
  </si>
  <si>
    <t>47268</t>
  </si>
  <si>
    <t>47288</t>
  </si>
  <si>
    <t>47318</t>
  </si>
  <si>
    <t>47460</t>
  </si>
  <si>
    <t>47541</t>
  </si>
  <si>
    <t>47545</t>
  </si>
  <si>
    <t>47551</t>
  </si>
  <si>
    <t>47555</t>
  </si>
  <si>
    <t>47570</t>
  </si>
  <si>
    <t>47605</t>
  </si>
  <si>
    <t>47660</t>
  </si>
  <si>
    <t>47675</t>
  </si>
  <si>
    <t>47692</t>
  </si>
  <si>
    <t>47703</t>
  </si>
  <si>
    <t>47707</t>
  </si>
  <si>
    <t>47720</t>
  </si>
  <si>
    <t>47745</t>
  </si>
  <si>
    <t>47798</t>
  </si>
  <si>
    <t>47960</t>
  </si>
  <si>
    <t>47980</t>
  </si>
  <si>
    <t>50001</t>
  </si>
  <si>
    <t>50006</t>
  </si>
  <si>
    <t>50110</t>
  </si>
  <si>
    <t>50124</t>
  </si>
  <si>
    <t>50150</t>
  </si>
  <si>
    <t>50223</t>
  </si>
  <si>
    <t>50226</t>
  </si>
  <si>
    <t>50245</t>
  </si>
  <si>
    <t>50251</t>
  </si>
  <si>
    <t>50270</t>
  </si>
  <si>
    <t>50287</t>
  </si>
  <si>
    <t>50313</t>
  </si>
  <si>
    <t>50318</t>
  </si>
  <si>
    <t>50325</t>
  </si>
  <si>
    <t>50330</t>
  </si>
  <si>
    <t>50350</t>
  </si>
  <si>
    <t>50370</t>
  </si>
  <si>
    <t>50400</t>
  </si>
  <si>
    <t>50450</t>
  </si>
  <si>
    <t>50568</t>
  </si>
  <si>
    <t>50573</t>
  </si>
  <si>
    <t>50577</t>
  </si>
  <si>
    <t>50590</t>
  </si>
  <si>
    <t>50606</t>
  </si>
  <si>
    <t>50680</t>
  </si>
  <si>
    <t>50683</t>
  </si>
  <si>
    <t>50686</t>
  </si>
  <si>
    <t>50689</t>
  </si>
  <si>
    <t>50711</t>
  </si>
  <si>
    <t>52001</t>
  </si>
  <si>
    <t>52019</t>
  </si>
  <si>
    <t>52022</t>
  </si>
  <si>
    <t>52036</t>
  </si>
  <si>
    <t>52051</t>
  </si>
  <si>
    <t>52079</t>
  </si>
  <si>
    <t>52083</t>
  </si>
  <si>
    <t>52110</t>
  </si>
  <si>
    <t>52203</t>
  </si>
  <si>
    <t>52207</t>
  </si>
  <si>
    <t>52210</t>
  </si>
  <si>
    <t>52215</t>
  </si>
  <si>
    <t>52224</t>
  </si>
  <si>
    <t>52227</t>
  </si>
  <si>
    <t>52233</t>
  </si>
  <si>
    <t>52240</t>
  </si>
  <si>
    <t>52250</t>
  </si>
  <si>
    <t>52254</t>
  </si>
  <si>
    <t>52256</t>
  </si>
  <si>
    <t>52258</t>
  </si>
  <si>
    <t>52260</t>
  </si>
  <si>
    <t>52287</t>
  </si>
  <si>
    <t>52317</t>
  </si>
  <si>
    <t>52320</t>
  </si>
  <si>
    <t>52323</t>
  </si>
  <si>
    <t>52352</t>
  </si>
  <si>
    <t>52354</t>
  </si>
  <si>
    <t>52356</t>
  </si>
  <si>
    <t>52378</t>
  </si>
  <si>
    <t>52381</t>
  </si>
  <si>
    <t>52385</t>
  </si>
  <si>
    <t>52390</t>
  </si>
  <si>
    <t>52399</t>
  </si>
  <si>
    <t>52405</t>
  </si>
  <si>
    <t>52411</t>
  </si>
  <si>
    <t>52418</t>
  </si>
  <si>
    <t>52427</t>
  </si>
  <si>
    <t>52435</t>
  </si>
  <si>
    <t>52473</t>
  </si>
  <si>
    <t>52480</t>
  </si>
  <si>
    <t>52490</t>
  </si>
  <si>
    <t>52506</t>
  </si>
  <si>
    <t>52520</t>
  </si>
  <si>
    <t>52540</t>
  </si>
  <si>
    <t>52560</t>
  </si>
  <si>
    <t>52565</t>
  </si>
  <si>
    <t>52573</t>
  </si>
  <si>
    <t>52585</t>
  </si>
  <si>
    <t>52612</t>
  </si>
  <si>
    <t>52621</t>
  </si>
  <si>
    <t>52678</t>
  </si>
  <si>
    <t>52683</t>
  </si>
  <si>
    <t>52685</t>
  </si>
  <si>
    <t>52687</t>
  </si>
  <si>
    <t>52693</t>
  </si>
  <si>
    <t>52694</t>
  </si>
  <si>
    <t>52696</t>
  </si>
  <si>
    <t>52699</t>
  </si>
  <si>
    <t>52720</t>
  </si>
  <si>
    <t>52786</t>
  </si>
  <si>
    <t>52788</t>
  </si>
  <si>
    <t>52835</t>
  </si>
  <si>
    <t>52838</t>
  </si>
  <si>
    <t>52885</t>
  </si>
  <si>
    <t>54001</t>
  </si>
  <si>
    <t>54003</t>
  </si>
  <si>
    <t>54051</t>
  </si>
  <si>
    <t>54099</t>
  </si>
  <si>
    <t>54109</t>
  </si>
  <si>
    <t>54125</t>
  </si>
  <si>
    <t>54128</t>
  </si>
  <si>
    <t>54172</t>
  </si>
  <si>
    <t>54174</t>
  </si>
  <si>
    <t>54206</t>
  </si>
  <si>
    <t>54223</t>
  </si>
  <si>
    <t>54239</t>
  </si>
  <si>
    <t>54245</t>
  </si>
  <si>
    <t>54250</t>
  </si>
  <si>
    <t>54261</t>
  </si>
  <si>
    <t>54313</t>
  </si>
  <si>
    <t>54344</t>
  </si>
  <si>
    <t>54347</t>
  </si>
  <si>
    <t>54377</t>
  </si>
  <si>
    <t>54385</t>
  </si>
  <si>
    <t>54398</t>
  </si>
  <si>
    <t>54405</t>
  </si>
  <si>
    <t>54418</t>
  </si>
  <si>
    <t>54480</t>
  </si>
  <si>
    <t>54498</t>
  </si>
  <si>
    <t>54518</t>
  </si>
  <si>
    <t>54520</t>
  </si>
  <si>
    <t>54553</t>
  </si>
  <si>
    <t>54599</t>
  </si>
  <si>
    <t>54660</t>
  </si>
  <si>
    <t>54670</t>
  </si>
  <si>
    <t>54673</t>
  </si>
  <si>
    <t>54680</t>
  </si>
  <si>
    <t>54720</t>
  </si>
  <si>
    <t>54743</t>
  </si>
  <si>
    <t>54800</t>
  </si>
  <si>
    <t>54810</t>
  </si>
  <si>
    <t>54820</t>
  </si>
  <si>
    <t>54871</t>
  </si>
  <si>
    <t>54874</t>
  </si>
  <si>
    <t>63001</t>
  </si>
  <si>
    <t>63111</t>
  </si>
  <si>
    <t>63130</t>
  </si>
  <si>
    <t>63190</t>
  </si>
  <si>
    <t>63212</t>
  </si>
  <si>
    <t>63272</t>
  </si>
  <si>
    <t>63302</t>
  </si>
  <si>
    <t>63401</t>
  </si>
  <si>
    <t>63470</t>
  </si>
  <si>
    <t>63548</t>
  </si>
  <si>
    <t>63594</t>
  </si>
  <si>
    <t>63690</t>
  </si>
  <si>
    <t>66001</t>
  </si>
  <si>
    <t>66045</t>
  </si>
  <si>
    <t>66075</t>
  </si>
  <si>
    <t>66088</t>
  </si>
  <si>
    <t>66170</t>
  </si>
  <si>
    <t>66318</t>
  </si>
  <si>
    <t>66383</t>
  </si>
  <si>
    <t>66400</t>
  </si>
  <si>
    <t>66440</t>
  </si>
  <si>
    <t>66456</t>
  </si>
  <si>
    <t>66572</t>
  </si>
  <si>
    <t>66594</t>
  </si>
  <si>
    <t>66682</t>
  </si>
  <si>
    <t>66687</t>
  </si>
  <si>
    <t>68001</t>
  </si>
  <si>
    <t>68013</t>
  </si>
  <si>
    <t>68020</t>
  </si>
  <si>
    <t>68051</t>
  </si>
  <si>
    <t>68077</t>
  </si>
  <si>
    <t>68079</t>
  </si>
  <si>
    <t>68081</t>
  </si>
  <si>
    <t>68092</t>
  </si>
  <si>
    <t>68101</t>
  </si>
  <si>
    <t>68121</t>
  </si>
  <si>
    <t>68132</t>
  </si>
  <si>
    <t>68147</t>
  </si>
  <si>
    <t>68152</t>
  </si>
  <si>
    <t>68160</t>
  </si>
  <si>
    <t>68162</t>
  </si>
  <si>
    <t>68167</t>
  </si>
  <si>
    <t>68169</t>
  </si>
  <si>
    <t>68176</t>
  </si>
  <si>
    <t>68179</t>
  </si>
  <si>
    <t>68190</t>
  </si>
  <si>
    <t>68207</t>
  </si>
  <si>
    <t>68209</t>
  </si>
  <si>
    <t>68211</t>
  </si>
  <si>
    <t>68217</t>
  </si>
  <si>
    <t>68229</t>
  </si>
  <si>
    <t>68235</t>
  </si>
  <si>
    <t>68245</t>
  </si>
  <si>
    <t>68250</t>
  </si>
  <si>
    <t>68255</t>
  </si>
  <si>
    <t>68264</t>
  </si>
  <si>
    <t>68266</t>
  </si>
  <si>
    <t>68271</t>
  </si>
  <si>
    <t>68276</t>
  </si>
  <si>
    <t>68296</t>
  </si>
  <si>
    <t>68298</t>
  </si>
  <si>
    <t>68307</t>
  </si>
  <si>
    <t>68318</t>
  </si>
  <si>
    <t>68320</t>
  </si>
  <si>
    <t>68322</t>
  </si>
  <si>
    <t>68324</t>
  </si>
  <si>
    <t>68327</t>
  </si>
  <si>
    <t>68344</t>
  </si>
  <si>
    <t>68368</t>
  </si>
  <si>
    <t>68370</t>
  </si>
  <si>
    <t>68377</t>
  </si>
  <si>
    <t>68385</t>
  </si>
  <si>
    <t>68397</t>
  </si>
  <si>
    <t>68406</t>
  </si>
  <si>
    <t>68418</t>
  </si>
  <si>
    <t>68425</t>
  </si>
  <si>
    <t>68432</t>
  </si>
  <si>
    <t>68444</t>
  </si>
  <si>
    <t>68464</t>
  </si>
  <si>
    <t>68468</t>
  </si>
  <si>
    <t>68498</t>
  </si>
  <si>
    <t>68500</t>
  </si>
  <si>
    <t>68502</t>
  </si>
  <si>
    <t>68522</t>
  </si>
  <si>
    <t>68524</t>
  </si>
  <si>
    <t>68533</t>
  </si>
  <si>
    <t>68547</t>
  </si>
  <si>
    <t>68549</t>
  </si>
  <si>
    <t>68572</t>
  </si>
  <si>
    <t>68573</t>
  </si>
  <si>
    <t>68575</t>
  </si>
  <si>
    <t>68615</t>
  </si>
  <si>
    <t>68655</t>
  </si>
  <si>
    <t>68669</t>
  </si>
  <si>
    <t>68673</t>
  </si>
  <si>
    <t>68679</t>
  </si>
  <si>
    <t>68682</t>
  </si>
  <si>
    <t>68684</t>
  </si>
  <si>
    <t>68686</t>
  </si>
  <si>
    <t>68689</t>
  </si>
  <si>
    <t>68705</t>
  </si>
  <si>
    <t>68720</t>
  </si>
  <si>
    <t>68745</t>
  </si>
  <si>
    <t>68755</t>
  </si>
  <si>
    <t>68770</t>
  </si>
  <si>
    <t>68773</t>
  </si>
  <si>
    <t>68780</t>
  </si>
  <si>
    <t>68820</t>
  </si>
  <si>
    <t>68855</t>
  </si>
  <si>
    <t>68861</t>
  </si>
  <si>
    <t>68867</t>
  </si>
  <si>
    <t>68872</t>
  </si>
  <si>
    <t>68895</t>
  </si>
  <si>
    <t>70001</t>
  </si>
  <si>
    <t>70110</t>
  </si>
  <si>
    <t>70124</t>
  </si>
  <si>
    <t>70204</t>
  </si>
  <si>
    <t>70215</t>
  </si>
  <si>
    <t>70221</t>
  </si>
  <si>
    <t>70230</t>
  </si>
  <si>
    <t>70233</t>
  </si>
  <si>
    <t>70235</t>
  </si>
  <si>
    <t>70265</t>
  </si>
  <si>
    <t>70400</t>
  </si>
  <si>
    <t>70418</t>
  </si>
  <si>
    <t>70429</t>
  </si>
  <si>
    <t>70473</t>
  </si>
  <si>
    <t>70508</t>
  </si>
  <si>
    <t>70523</t>
  </si>
  <si>
    <t>70670</t>
  </si>
  <si>
    <t>70678</t>
  </si>
  <si>
    <t>70702</t>
  </si>
  <si>
    <t>70708</t>
  </si>
  <si>
    <t>70713</t>
  </si>
  <si>
    <t>70717</t>
  </si>
  <si>
    <t>70742</t>
  </si>
  <si>
    <t>70771</t>
  </si>
  <si>
    <t>70820</t>
  </si>
  <si>
    <t>70823</t>
  </si>
  <si>
    <t>73001</t>
  </si>
  <si>
    <t>73024</t>
  </si>
  <si>
    <t>73026</t>
  </si>
  <si>
    <t>73030</t>
  </si>
  <si>
    <t>73043</t>
  </si>
  <si>
    <t>73055</t>
  </si>
  <si>
    <t>73067</t>
  </si>
  <si>
    <t>73124</t>
  </si>
  <si>
    <t>73148</t>
  </si>
  <si>
    <t>73152</t>
  </si>
  <si>
    <t>73168</t>
  </si>
  <si>
    <t>73200</t>
  </si>
  <si>
    <t>73217</t>
  </si>
  <si>
    <t>73226</t>
  </si>
  <si>
    <t>73236</t>
  </si>
  <si>
    <t>73268</t>
  </si>
  <si>
    <t>73270</t>
  </si>
  <si>
    <t>73275</t>
  </si>
  <si>
    <t>73283</t>
  </si>
  <si>
    <t>73319</t>
  </si>
  <si>
    <t>73347</t>
  </si>
  <si>
    <t>73349</t>
  </si>
  <si>
    <t>73352</t>
  </si>
  <si>
    <t>73408</t>
  </si>
  <si>
    <t>73411</t>
  </si>
  <si>
    <t>73443</t>
  </si>
  <si>
    <t>73449</t>
  </si>
  <si>
    <t>73461</t>
  </si>
  <si>
    <t>73483</t>
  </si>
  <si>
    <t>73504</t>
  </si>
  <si>
    <t>73520</t>
  </si>
  <si>
    <t>73547</t>
  </si>
  <si>
    <t>73555</t>
  </si>
  <si>
    <t>73563</t>
  </si>
  <si>
    <t>73585</t>
  </si>
  <si>
    <t>73616</t>
  </si>
  <si>
    <t>73622</t>
  </si>
  <si>
    <t>73624</t>
  </si>
  <si>
    <t>73671</t>
  </si>
  <si>
    <t>73675</t>
  </si>
  <si>
    <t>73678</t>
  </si>
  <si>
    <t>73686</t>
  </si>
  <si>
    <t>73770</t>
  </si>
  <si>
    <t>73854</t>
  </si>
  <si>
    <t>73861</t>
  </si>
  <si>
    <t>73870</t>
  </si>
  <si>
    <t>73873</t>
  </si>
  <si>
    <t>76001</t>
  </si>
  <si>
    <t>76020</t>
  </si>
  <si>
    <t>76036</t>
  </si>
  <si>
    <t>76041</t>
  </si>
  <si>
    <t>76054</t>
  </si>
  <si>
    <t>76100</t>
  </si>
  <si>
    <t>76109</t>
  </si>
  <si>
    <t>76111</t>
  </si>
  <si>
    <t>76113</t>
  </si>
  <si>
    <t>76122</t>
  </si>
  <si>
    <t>76126</t>
  </si>
  <si>
    <t>76130</t>
  </si>
  <si>
    <t>76147</t>
  </si>
  <si>
    <t>76233</t>
  </si>
  <si>
    <t>76243</t>
  </si>
  <si>
    <t>76246</t>
  </si>
  <si>
    <t>76248</t>
  </si>
  <si>
    <t>76250</t>
  </si>
  <si>
    <t>76275</t>
  </si>
  <si>
    <t>76306</t>
  </si>
  <si>
    <t>76318</t>
  </si>
  <si>
    <t>76364</t>
  </si>
  <si>
    <t>76377</t>
  </si>
  <si>
    <t>76400</t>
  </si>
  <si>
    <t>76403</t>
  </si>
  <si>
    <t>76497</t>
  </si>
  <si>
    <t>76520</t>
  </si>
  <si>
    <t>76563</t>
  </si>
  <si>
    <t>76606</t>
  </si>
  <si>
    <t>76616</t>
  </si>
  <si>
    <t>76622</t>
  </si>
  <si>
    <t>76670</t>
  </si>
  <si>
    <t>76736</t>
  </si>
  <si>
    <t>76823</t>
  </si>
  <si>
    <t>76828</t>
  </si>
  <si>
    <t>76834</t>
  </si>
  <si>
    <t>76845</t>
  </si>
  <si>
    <t>76863</t>
  </si>
  <si>
    <t>76869</t>
  </si>
  <si>
    <t>76890</t>
  </si>
  <si>
    <t>76892</t>
  </si>
  <si>
    <t>76895</t>
  </si>
  <si>
    <t>81001</t>
  </si>
  <si>
    <t>81065</t>
  </si>
  <si>
    <t>81220</t>
  </si>
  <si>
    <t>81300</t>
  </si>
  <si>
    <t>81591</t>
  </si>
  <si>
    <t>81736</t>
  </si>
  <si>
    <t>81794</t>
  </si>
  <si>
    <t>85001</t>
  </si>
  <si>
    <t>85010</t>
  </si>
  <si>
    <t>85015</t>
  </si>
  <si>
    <t>85125</t>
  </si>
  <si>
    <t>85136</t>
  </si>
  <si>
    <t>85139</t>
  </si>
  <si>
    <t>85162</t>
  </si>
  <si>
    <t>85225</t>
  </si>
  <si>
    <t>85230</t>
  </si>
  <si>
    <t>85250</t>
  </si>
  <si>
    <t>85263</t>
  </si>
  <si>
    <t>85279</t>
  </si>
  <si>
    <t>85300</t>
  </si>
  <si>
    <t>85315</t>
  </si>
  <si>
    <t>85325</t>
  </si>
  <si>
    <t>85400</t>
  </si>
  <si>
    <t>85410</t>
  </si>
  <si>
    <t>85430</t>
  </si>
  <si>
    <t>85440</t>
  </si>
  <si>
    <t>86001</t>
  </si>
  <si>
    <t>86219</t>
  </si>
  <si>
    <t>86320</t>
  </si>
  <si>
    <t>86568</t>
  </si>
  <si>
    <t>86569</t>
  </si>
  <si>
    <t>86571</t>
  </si>
  <si>
    <t>86573</t>
  </si>
  <si>
    <t>86749</t>
  </si>
  <si>
    <t>86755</t>
  </si>
  <si>
    <t>86757</t>
  </si>
  <si>
    <t>86760</t>
  </si>
  <si>
    <t>86865</t>
  </si>
  <si>
    <t>86885</t>
  </si>
  <si>
    <t>88001</t>
  </si>
  <si>
    <t>88564</t>
  </si>
  <si>
    <t>91001</t>
  </si>
  <si>
    <t>91540</t>
  </si>
  <si>
    <t>94001</t>
  </si>
  <si>
    <t>95001</t>
  </si>
  <si>
    <t>95015</t>
  </si>
  <si>
    <t>95025</t>
  </si>
  <si>
    <t>95200</t>
  </si>
  <si>
    <t>97001</t>
  </si>
  <si>
    <t>97161</t>
  </si>
  <si>
    <t>97666</t>
  </si>
  <si>
    <t>99001</t>
  </si>
  <si>
    <t>99524</t>
  </si>
  <si>
    <t>99624</t>
  </si>
  <si>
    <t>99773</t>
  </si>
  <si>
    <t>LA GUAJIRA</t>
  </si>
  <si>
    <t>00</t>
  </si>
  <si>
    <t>00000</t>
  </si>
  <si>
    <t>13490</t>
  </si>
  <si>
    <t>23815</t>
  </si>
  <si>
    <t>23682</t>
  </si>
  <si>
    <t>REPORTE DEL CREPAD. BARRIO 20 DE JULIO VEREDA COROCITO. DESBORDAMIENTO RIO CASANARE. REPORTE DE LA DEFENSA CIVIL..</t>
  </si>
  <si>
    <t>ACTUALIZACION DEL CREPAD SECTOR VIAS NO REQUIEREN FORMULARIOS</t>
  </si>
  <si>
    <t xml:space="preserve">ACTUALIZACION DEL CREPAD </t>
  </si>
  <si>
    <t>Codificación según DIVIPOLA</t>
  </si>
  <si>
    <t>DESREF($ES$1;COINCIDIR($EO3;$EU:$EU;0)-1;0)</t>
  </si>
  <si>
    <t>Lista_Codificación_Dptos_Mpios</t>
  </si>
  <si>
    <t>Llave</t>
  </si>
  <si>
    <t>Cod_Dpto</t>
  </si>
  <si>
    <t>Nombre Dpto</t>
  </si>
  <si>
    <t>Cod_Mpio</t>
  </si>
  <si>
    <t>Nombre Mpio</t>
  </si>
  <si>
    <t>Criterio_Llave</t>
  </si>
  <si>
    <t>Total AMAZONAS</t>
  </si>
  <si>
    <t>Total ANTIOQUIA</t>
  </si>
  <si>
    <t>Total ARAUCA</t>
  </si>
  <si>
    <t>Total ATLANTICO</t>
  </si>
  <si>
    <t>Total BOGOTA D.C.</t>
  </si>
  <si>
    <t>Total BOLIVAR</t>
  </si>
  <si>
    <t>Total BOYACA</t>
  </si>
  <si>
    <t>Total CALDAS</t>
  </si>
  <si>
    <t>Total CAQUETA</t>
  </si>
  <si>
    <t>Total CASANARE</t>
  </si>
  <si>
    <t>Total CAUCA</t>
  </si>
  <si>
    <t>Total CESAR</t>
  </si>
  <si>
    <t>Total CORDOBA</t>
  </si>
  <si>
    <t>Total CUNDINAMARCA</t>
  </si>
  <si>
    <t>Total CHOCO</t>
  </si>
  <si>
    <t>Total GUAINIA</t>
  </si>
  <si>
    <t>Total GUAJIRA</t>
  </si>
  <si>
    <t>Total GUAVIARE</t>
  </si>
  <si>
    <t>Total HUILA</t>
  </si>
  <si>
    <t>Total MAGDALENA</t>
  </si>
  <si>
    <t>Total META</t>
  </si>
  <si>
    <t>Total NARIÑO</t>
  </si>
  <si>
    <t>Total NORTE DE SANTANDER</t>
  </si>
  <si>
    <t>Total PUTUMAYO</t>
  </si>
  <si>
    <t>Total SAN ANDRES</t>
  </si>
  <si>
    <t>Total QUINDIO</t>
  </si>
  <si>
    <t>Total RISARALDA</t>
  </si>
  <si>
    <t>Total SANTANDER</t>
  </si>
  <si>
    <t>Total SUCRE</t>
  </si>
  <si>
    <t>Total TOLIMA</t>
  </si>
  <si>
    <t>Total VAUPES</t>
  </si>
  <si>
    <t>Total VICHADA</t>
  </si>
  <si>
    <t>Total VALLE DEL CAUCA</t>
  </si>
  <si>
    <t>Medellin</t>
  </si>
  <si>
    <t>Abejorral</t>
  </si>
  <si>
    <t>Abriaqui</t>
  </si>
  <si>
    <t>Alejandria</t>
  </si>
  <si>
    <t>Amaga</t>
  </si>
  <si>
    <t>Amalfi</t>
  </si>
  <si>
    <t>Andes</t>
  </si>
  <si>
    <t>Angelopolis</t>
  </si>
  <si>
    <t>Angostura</t>
  </si>
  <si>
    <t>Anori</t>
  </si>
  <si>
    <t>Santafe de Antioquia</t>
  </si>
  <si>
    <t>Anza</t>
  </si>
  <si>
    <t>Apartado</t>
  </si>
  <si>
    <t>Arboletes</t>
  </si>
  <si>
    <t>Argelia</t>
  </si>
  <si>
    <t>Armenia</t>
  </si>
  <si>
    <t>Barbosa</t>
  </si>
  <si>
    <t>Belmira</t>
  </si>
  <si>
    <t>Bello</t>
  </si>
  <si>
    <t>Betania</t>
  </si>
  <si>
    <t>Betulia</t>
  </si>
  <si>
    <t>Ciudad Bolivar</t>
  </si>
  <si>
    <t>Briceño</t>
  </si>
  <si>
    <t>Buritica</t>
  </si>
  <si>
    <t>Caceres</t>
  </si>
  <si>
    <t>Caicedo</t>
  </si>
  <si>
    <t>Campamento</t>
  </si>
  <si>
    <t>Cañasgordas</t>
  </si>
  <si>
    <t>Caracoli</t>
  </si>
  <si>
    <t>Caramanta</t>
  </si>
  <si>
    <t>Carepa</t>
  </si>
  <si>
    <t>El Carmen de Viboral</t>
  </si>
  <si>
    <t>Carolina</t>
  </si>
  <si>
    <t>Caucasia</t>
  </si>
  <si>
    <t>Chigorodo</t>
  </si>
  <si>
    <t>Cisneros</t>
  </si>
  <si>
    <t>Cocorna</t>
  </si>
  <si>
    <t>Concepcion</t>
  </si>
  <si>
    <t>Concordia</t>
  </si>
  <si>
    <t>Copacabana</t>
  </si>
  <si>
    <t>Dabeiba</t>
  </si>
  <si>
    <t>Don Matias</t>
  </si>
  <si>
    <t>Ebejico</t>
  </si>
  <si>
    <t>El Bagre</t>
  </si>
  <si>
    <t>Entrerrios</t>
  </si>
  <si>
    <t>Envigado</t>
  </si>
  <si>
    <t>Fredonia</t>
  </si>
  <si>
    <t>Frontino</t>
  </si>
  <si>
    <t>Giraldo</t>
  </si>
  <si>
    <t>Girardota</t>
  </si>
  <si>
    <t>Gomez Plata</t>
  </si>
  <si>
    <t>Granada</t>
  </si>
  <si>
    <t>Guadalupe</t>
  </si>
  <si>
    <t>Guarne</t>
  </si>
  <si>
    <t>Guatape</t>
  </si>
  <si>
    <t>Heliconia</t>
  </si>
  <si>
    <t>Hispania</t>
  </si>
  <si>
    <t>Itagui</t>
  </si>
  <si>
    <t>Ituango</t>
  </si>
  <si>
    <t>Jardin</t>
  </si>
  <si>
    <t>Jerico</t>
  </si>
  <si>
    <t>La Ceja</t>
  </si>
  <si>
    <t>La Estrella</t>
  </si>
  <si>
    <t>La Pintada</t>
  </si>
  <si>
    <t>La Union</t>
  </si>
  <si>
    <t>Liborina</t>
  </si>
  <si>
    <t>Maceo</t>
  </si>
  <si>
    <t>Marinilla</t>
  </si>
  <si>
    <t>Montebello</t>
  </si>
  <si>
    <t>Murindo</t>
  </si>
  <si>
    <t>Mutata</t>
  </si>
  <si>
    <t>Necocli</t>
  </si>
  <si>
    <t>Nechi</t>
  </si>
  <si>
    <t>Olaya</t>
  </si>
  <si>
    <t>Peñol</t>
  </si>
  <si>
    <t>Peque</t>
  </si>
  <si>
    <t>Pueblorrico</t>
  </si>
  <si>
    <t>Puerto Berrio</t>
  </si>
  <si>
    <t>Puerto Nare</t>
  </si>
  <si>
    <t>Puerto Triunfo</t>
  </si>
  <si>
    <t>Remedios</t>
  </si>
  <si>
    <t>Retiro</t>
  </si>
  <si>
    <t>Rionegro</t>
  </si>
  <si>
    <t>Sabanalarga</t>
  </si>
  <si>
    <t>Sabaneta</t>
  </si>
  <si>
    <t>Salgar</t>
  </si>
  <si>
    <t>San Andres de Cuerquia</t>
  </si>
  <si>
    <t>San Carlos</t>
  </si>
  <si>
    <t>San Francisco</t>
  </si>
  <si>
    <t>San Jeronimo</t>
  </si>
  <si>
    <t>San Jose de La Montaña</t>
  </si>
  <si>
    <t>San Juan de Uraba</t>
  </si>
  <si>
    <t>San Luis</t>
  </si>
  <si>
    <t>San Pedro</t>
  </si>
  <si>
    <t>San Pedro de Uraba</t>
  </si>
  <si>
    <t>San Rafael</t>
  </si>
  <si>
    <t>San Roque</t>
  </si>
  <si>
    <t>San Vicente</t>
  </si>
  <si>
    <t>Santa Barbara</t>
  </si>
  <si>
    <t>Santa Rosa de Osos</t>
  </si>
  <si>
    <t>Santo Domingo</t>
  </si>
  <si>
    <t>El Santuario</t>
  </si>
  <si>
    <t>Segovia</t>
  </si>
  <si>
    <t>Sonson</t>
  </si>
  <si>
    <t>Sopetran</t>
  </si>
  <si>
    <t>Tamesis</t>
  </si>
  <si>
    <t>Taraza</t>
  </si>
  <si>
    <t>Tarso</t>
  </si>
  <si>
    <t>Titiribi</t>
  </si>
  <si>
    <t>Toledo</t>
  </si>
  <si>
    <t>Turbo</t>
  </si>
  <si>
    <t>Uramita</t>
  </si>
  <si>
    <t>Urrao</t>
  </si>
  <si>
    <t>Valdivia</t>
  </si>
  <si>
    <t>Valparaiso</t>
  </si>
  <si>
    <t>Vegachi</t>
  </si>
  <si>
    <t>Venecia</t>
  </si>
  <si>
    <t>Vigia del Fuerte</t>
  </si>
  <si>
    <t>Yali</t>
  </si>
  <si>
    <t>Yarumal</t>
  </si>
  <si>
    <t>Yolombo</t>
  </si>
  <si>
    <t>Yondo</t>
  </si>
  <si>
    <t>Zaragoza</t>
  </si>
  <si>
    <t>Barranquilla</t>
  </si>
  <si>
    <t>Baranoa</t>
  </si>
  <si>
    <t>Campo de La Cruz</t>
  </si>
  <si>
    <t>Candelaria</t>
  </si>
  <si>
    <t>Galapa</t>
  </si>
  <si>
    <t>Juan de Acosta</t>
  </si>
  <si>
    <t>Luruaco</t>
  </si>
  <si>
    <t>Malambo</t>
  </si>
  <si>
    <t>Manati</t>
  </si>
  <si>
    <t>Palmar de Varela</t>
  </si>
  <si>
    <t>Piojo</t>
  </si>
  <si>
    <t>Polonuevo</t>
  </si>
  <si>
    <t>Ponedera</t>
  </si>
  <si>
    <t>Puerto Colombia</t>
  </si>
  <si>
    <t>Repelon</t>
  </si>
  <si>
    <t>Sabanagrande</t>
  </si>
  <si>
    <t>Santa Lucia</t>
  </si>
  <si>
    <t>Santo Tomas</t>
  </si>
  <si>
    <t>Soledad</t>
  </si>
  <si>
    <t>Suan</t>
  </si>
  <si>
    <t>Tubara</t>
  </si>
  <si>
    <t>Usiacuri</t>
  </si>
  <si>
    <t>Bogota D.C.</t>
  </si>
  <si>
    <t>Bogota</t>
  </si>
  <si>
    <t>Cartagena</t>
  </si>
  <si>
    <t>Achi</t>
  </si>
  <si>
    <t>Altos del Rosario</t>
  </si>
  <si>
    <t>Arenal</t>
  </si>
  <si>
    <t>Arjona</t>
  </si>
  <si>
    <t>Arroyohondo</t>
  </si>
  <si>
    <t>Barranco de Loba</t>
  </si>
  <si>
    <t>Calamar</t>
  </si>
  <si>
    <t>Cantagallo</t>
  </si>
  <si>
    <t>Cicuco</t>
  </si>
  <si>
    <t>Clemencia</t>
  </si>
  <si>
    <t>El Carmen de Bolivar</t>
  </si>
  <si>
    <t>El Guamo</t>
  </si>
  <si>
    <t>El Peñon</t>
  </si>
  <si>
    <t>Hatillo de Loba</t>
  </si>
  <si>
    <t>Magangue</t>
  </si>
  <si>
    <t>Mahates</t>
  </si>
  <si>
    <t>Margarita</t>
  </si>
  <si>
    <t>Maria La Baja</t>
  </si>
  <si>
    <t>Montecristo</t>
  </si>
  <si>
    <t>Mompos</t>
  </si>
  <si>
    <t>Morales</t>
  </si>
  <si>
    <t>Norosi</t>
  </si>
  <si>
    <t>Pinillos</t>
  </si>
  <si>
    <t>Regidor</t>
  </si>
  <si>
    <t>Rio Viejo</t>
  </si>
  <si>
    <t>San Cristobal</t>
  </si>
  <si>
    <t>San Estanislao</t>
  </si>
  <si>
    <t>San Fernando</t>
  </si>
  <si>
    <t>San Jacinto</t>
  </si>
  <si>
    <t>San Jacinto del Cauca</t>
  </si>
  <si>
    <t>San Juan Nepomuceno</t>
  </si>
  <si>
    <t>San Martin de Loba</t>
  </si>
  <si>
    <t>San Pablo</t>
  </si>
  <si>
    <t>Santa Catalina</t>
  </si>
  <si>
    <t>Santa Rosa</t>
  </si>
  <si>
    <t>Santa Rosa del Sur</t>
  </si>
  <si>
    <t>Simiti</t>
  </si>
  <si>
    <t>Soplaviento</t>
  </si>
  <si>
    <t>Talaigua Nuevo</t>
  </si>
  <si>
    <t>Tiquisio</t>
  </si>
  <si>
    <t>Turbaco</t>
  </si>
  <si>
    <t>Turbana</t>
  </si>
  <si>
    <t>Villanueva</t>
  </si>
  <si>
    <t>Zambrano</t>
  </si>
  <si>
    <t>Boyaca</t>
  </si>
  <si>
    <t>Tunja</t>
  </si>
  <si>
    <t>Almeida</t>
  </si>
  <si>
    <t>Aquitania</t>
  </si>
  <si>
    <t>Arcabuco</t>
  </si>
  <si>
    <t>Belen</t>
  </si>
  <si>
    <t>Berbeo</t>
  </si>
  <si>
    <t>Beteitiva</t>
  </si>
  <si>
    <t>Boavita</t>
  </si>
  <si>
    <t>Buenavista</t>
  </si>
  <si>
    <t>Busbanza</t>
  </si>
  <si>
    <t>Campohermoso</t>
  </si>
  <si>
    <t>Cerinza</t>
  </si>
  <si>
    <t>Chinavita</t>
  </si>
  <si>
    <t>Chiquinquira</t>
  </si>
  <si>
    <t>Chiscas</t>
  </si>
  <si>
    <t>Chita</t>
  </si>
  <si>
    <t>Chitaraque</t>
  </si>
  <si>
    <t>Chivata</t>
  </si>
  <si>
    <t>Cienega</t>
  </si>
  <si>
    <t>Combita</t>
  </si>
  <si>
    <t>Coper</t>
  </si>
  <si>
    <t>Corrales</t>
  </si>
  <si>
    <t>Covarachia</t>
  </si>
  <si>
    <t>Cubara</t>
  </si>
  <si>
    <t>Cucaita</t>
  </si>
  <si>
    <t>Cuitiva</t>
  </si>
  <si>
    <t>Chiquiza</t>
  </si>
  <si>
    <t>Chivor</t>
  </si>
  <si>
    <t>Duitama</t>
  </si>
  <si>
    <t>El Cocuy</t>
  </si>
  <si>
    <t>El Espino</t>
  </si>
  <si>
    <t>Firavitoba</t>
  </si>
  <si>
    <t>Floresta</t>
  </si>
  <si>
    <t>Gachantiva</t>
  </si>
  <si>
    <t>Gameza</t>
  </si>
  <si>
    <t>Garagoa</t>
  </si>
  <si>
    <t>Guacamayas</t>
  </si>
  <si>
    <t>Guateque</t>
  </si>
  <si>
    <t>Guayata</t>
  </si>
  <si>
    <t>Guican</t>
  </si>
  <si>
    <t>Iza</t>
  </si>
  <si>
    <t>Jenesano</t>
  </si>
  <si>
    <t>Labranzagrande</t>
  </si>
  <si>
    <t>La Capilla</t>
  </si>
  <si>
    <t>La Victoria</t>
  </si>
  <si>
    <t>La Uvita</t>
  </si>
  <si>
    <t>Villa de Leyva</t>
  </si>
  <si>
    <t>Macanal</t>
  </si>
  <si>
    <t>Maripi</t>
  </si>
  <si>
    <t>Miraflores</t>
  </si>
  <si>
    <t>Mongua</t>
  </si>
  <si>
    <t>Mongui</t>
  </si>
  <si>
    <t>Moniquira</t>
  </si>
  <si>
    <t>Motavita</t>
  </si>
  <si>
    <t>Muzo</t>
  </si>
  <si>
    <t>Nobsa</t>
  </si>
  <si>
    <t>Nuevo Colon</t>
  </si>
  <si>
    <t>Oicata</t>
  </si>
  <si>
    <t>Otanche</t>
  </si>
  <si>
    <t>Pachavita</t>
  </si>
  <si>
    <t>Paez</t>
  </si>
  <si>
    <t>Paipa</t>
  </si>
  <si>
    <t>Pajarito</t>
  </si>
  <si>
    <t>Panqueba</t>
  </si>
  <si>
    <t>Pauna</t>
  </si>
  <si>
    <t>Paya</t>
  </si>
  <si>
    <t>Paz de Rio</t>
  </si>
  <si>
    <t>Pesca</t>
  </si>
  <si>
    <t>Pisba</t>
  </si>
  <si>
    <t>Puerto Boyaca</t>
  </si>
  <si>
    <t>Quipama</t>
  </si>
  <si>
    <t>Ramiriqui</t>
  </si>
  <si>
    <t>Raquira</t>
  </si>
  <si>
    <t>Rondon</t>
  </si>
  <si>
    <t>Saboya</t>
  </si>
  <si>
    <t>Sachica</t>
  </si>
  <si>
    <t>Samaca</t>
  </si>
  <si>
    <t>San Eduardo</t>
  </si>
  <si>
    <t>San Jose de Pare</t>
  </si>
  <si>
    <t>San Luis de Gaceno</t>
  </si>
  <si>
    <t>San Mateo</t>
  </si>
  <si>
    <t>San Miguel de Sema</t>
  </si>
  <si>
    <t>San Pablo de Borbur</t>
  </si>
  <si>
    <t>Santana</t>
  </si>
  <si>
    <t>Santa Maria</t>
  </si>
  <si>
    <t>Santa Rosa de Viterbo</t>
  </si>
  <si>
    <t>Santa Sofia</t>
  </si>
  <si>
    <t>Sativanorte</t>
  </si>
  <si>
    <t>Sativasur</t>
  </si>
  <si>
    <t>Siachoque</t>
  </si>
  <si>
    <t>Soata</t>
  </si>
  <si>
    <t>Socota</t>
  </si>
  <si>
    <t>Socha</t>
  </si>
  <si>
    <t>Sogamoso</t>
  </si>
  <si>
    <t>Somondoco</t>
  </si>
  <si>
    <t>Sora</t>
  </si>
  <si>
    <t>Sotaquira</t>
  </si>
  <si>
    <t>Soraca</t>
  </si>
  <si>
    <t>Susacon</t>
  </si>
  <si>
    <t>Sutamarchan</t>
  </si>
  <si>
    <t>Sutatenza</t>
  </si>
  <si>
    <t>Tasco</t>
  </si>
  <si>
    <t>Tenza</t>
  </si>
  <si>
    <t>Tibana</t>
  </si>
  <si>
    <t>Tibasosa</t>
  </si>
  <si>
    <t>Tinjaca</t>
  </si>
  <si>
    <t>Tipacoque</t>
  </si>
  <si>
    <t>Toca</t>
  </si>
  <si>
    <t>Togui</t>
  </si>
  <si>
    <t>Topaga</t>
  </si>
  <si>
    <t>Tota</t>
  </si>
  <si>
    <t>Tunungua</t>
  </si>
  <si>
    <t>Tuta</t>
  </si>
  <si>
    <t>Tutaza</t>
  </si>
  <si>
    <t>Umbita</t>
  </si>
  <si>
    <t>Ventaquemada</t>
  </si>
  <si>
    <t>Viracacha</t>
  </si>
  <si>
    <t>Zetaquira</t>
  </si>
  <si>
    <t>Manizales</t>
  </si>
  <si>
    <t>Aguadas</t>
  </si>
  <si>
    <t>Anserma</t>
  </si>
  <si>
    <t>Aranzazu</t>
  </si>
  <si>
    <t>Belalcazar</t>
  </si>
  <si>
    <t>Chinchina</t>
  </si>
  <si>
    <t>Filadelfia</t>
  </si>
  <si>
    <t>La Dorada</t>
  </si>
  <si>
    <t>La Merced</t>
  </si>
  <si>
    <t>Manzanares</t>
  </si>
  <si>
    <t>Marmato</t>
  </si>
  <si>
    <t>Marquetalia</t>
  </si>
  <si>
    <t>Marulanda</t>
  </si>
  <si>
    <t>Neira</t>
  </si>
  <si>
    <t>Norcasia</t>
  </si>
  <si>
    <t>Pacora</t>
  </si>
  <si>
    <t>Palestina</t>
  </si>
  <si>
    <t>Pensilvania</t>
  </si>
  <si>
    <t>Riosucio</t>
  </si>
  <si>
    <t>Salamina</t>
  </si>
  <si>
    <t>San Jose</t>
  </si>
  <si>
    <t>Supia</t>
  </si>
  <si>
    <t>Victoria</t>
  </si>
  <si>
    <t>Villamaria</t>
  </si>
  <si>
    <t>Viterbo</t>
  </si>
  <si>
    <t>Caqueta</t>
  </si>
  <si>
    <t>Florencia</t>
  </si>
  <si>
    <t>Albania</t>
  </si>
  <si>
    <t>Belen de Los Andaquies</t>
  </si>
  <si>
    <t>Cartagena del Chaira</t>
  </si>
  <si>
    <t>Curillo</t>
  </si>
  <si>
    <t>El Paujil</t>
  </si>
  <si>
    <t>La Montañita</t>
  </si>
  <si>
    <t>Milan</t>
  </si>
  <si>
    <t>Morelia</t>
  </si>
  <si>
    <t>Puerto Rico</t>
  </si>
  <si>
    <t>San Jose del Fragua</t>
  </si>
  <si>
    <t>San Vicente del Caguan</t>
  </si>
  <si>
    <t>Solano</t>
  </si>
  <si>
    <t>Solita</t>
  </si>
  <si>
    <t>Popayan</t>
  </si>
  <si>
    <t>Almaguer</t>
  </si>
  <si>
    <t>Balboa</t>
  </si>
  <si>
    <t>Buenos Aires</t>
  </si>
  <si>
    <t>Cajibio</t>
  </si>
  <si>
    <t>Caloto</t>
  </si>
  <si>
    <t>Corinto</t>
  </si>
  <si>
    <t>El Tambo</t>
  </si>
  <si>
    <t>Guachene</t>
  </si>
  <si>
    <t>Guapi</t>
  </si>
  <si>
    <t>Inza</t>
  </si>
  <si>
    <t>Jambalo</t>
  </si>
  <si>
    <t>La Sierra</t>
  </si>
  <si>
    <t>La Vega</t>
  </si>
  <si>
    <t>Lopez</t>
  </si>
  <si>
    <t>Mercaderes</t>
  </si>
  <si>
    <t>Miranda</t>
  </si>
  <si>
    <t>Patia</t>
  </si>
  <si>
    <t>Piamonte</t>
  </si>
  <si>
    <t>Piendamo</t>
  </si>
  <si>
    <t>Puerto Tejada</t>
  </si>
  <si>
    <t>Purace</t>
  </si>
  <si>
    <t>Rosas</t>
  </si>
  <si>
    <t>San Sebastian</t>
  </si>
  <si>
    <t>Santander de Quilichao</t>
  </si>
  <si>
    <t>Silvia</t>
  </si>
  <si>
    <t>Sotara</t>
  </si>
  <si>
    <t>Suarez</t>
  </si>
  <si>
    <t>Timbio</t>
  </si>
  <si>
    <t>Totoro</t>
  </si>
  <si>
    <t>Villa Rica</t>
  </si>
  <si>
    <t>Valledupar</t>
  </si>
  <si>
    <t>Aguachica</t>
  </si>
  <si>
    <t>Agustin Codazzi</t>
  </si>
  <si>
    <t>Astrea</t>
  </si>
  <si>
    <t>Becerril</t>
  </si>
  <si>
    <t>Bosconia</t>
  </si>
  <si>
    <t>Chimichagua</t>
  </si>
  <si>
    <t>Chiriguana</t>
  </si>
  <si>
    <t>Curumani</t>
  </si>
  <si>
    <t>El Copey</t>
  </si>
  <si>
    <t>El Paso</t>
  </si>
  <si>
    <t>Gamarra</t>
  </si>
  <si>
    <t>Gonzalez</t>
  </si>
  <si>
    <t>La Gloria</t>
  </si>
  <si>
    <t>La Jagua de Ibirico</t>
  </si>
  <si>
    <t>Manaure</t>
  </si>
  <si>
    <t>Pailitas</t>
  </si>
  <si>
    <t>Pelaya</t>
  </si>
  <si>
    <t>Pueblo Bello</t>
  </si>
  <si>
    <t>Rio de Oro</t>
  </si>
  <si>
    <t>La Paz</t>
  </si>
  <si>
    <t>San Alberto</t>
  </si>
  <si>
    <t>San Diego</t>
  </si>
  <si>
    <t>San Martin</t>
  </si>
  <si>
    <t>Tamalameque</t>
  </si>
  <si>
    <t>Monteria</t>
  </si>
  <si>
    <t>Ayapel</t>
  </si>
  <si>
    <t>Canalete</t>
  </si>
  <si>
    <t>Chima</t>
  </si>
  <si>
    <t>Chinu</t>
  </si>
  <si>
    <t>Cienaga de Oro</t>
  </si>
  <si>
    <t>Cotorra</t>
  </si>
  <si>
    <t>La Apartada</t>
  </si>
  <si>
    <t>Lorica</t>
  </si>
  <si>
    <t>Momil</t>
  </si>
  <si>
    <t>Moñitos</t>
  </si>
  <si>
    <t>Planeta Rica</t>
  </si>
  <si>
    <t>Pueblo Nuevo</t>
  </si>
  <si>
    <t>Puerto Escondido</t>
  </si>
  <si>
    <t>Puerto Libertador</t>
  </si>
  <si>
    <t>Purisima</t>
  </si>
  <si>
    <t>Sahagun</t>
  </si>
  <si>
    <t>San Andres Sotavento</t>
  </si>
  <si>
    <t>San Antero</t>
  </si>
  <si>
    <t>San Jose de Ure</t>
  </si>
  <si>
    <t>San Pelayo</t>
  </si>
  <si>
    <t>Tierralta</t>
  </si>
  <si>
    <t>Tuchin</t>
  </si>
  <si>
    <t>Valencia</t>
  </si>
  <si>
    <t>Cundinamarca</t>
  </si>
  <si>
    <t>Agua de Dios</t>
  </si>
  <si>
    <t>Alban</t>
  </si>
  <si>
    <t>Anapoima</t>
  </si>
  <si>
    <t>Arbelaez</t>
  </si>
  <si>
    <t>Beltran</t>
  </si>
  <si>
    <t>Bituima</t>
  </si>
  <si>
    <t>Bojaca</t>
  </si>
  <si>
    <t>Cabrera</t>
  </si>
  <si>
    <t>Cachipay</t>
  </si>
  <si>
    <t>Cajica</t>
  </si>
  <si>
    <t>Caparrapi</t>
  </si>
  <si>
    <t>Caqueza</t>
  </si>
  <si>
    <t>Carmen de Carupa</t>
  </si>
  <si>
    <t>Chaguani</t>
  </si>
  <si>
    <t>Chia</t>
  </si>
  <si>
    <t>Choconta</t>
  </si>
  <si>
    <t>Cogua</t>
  </si>
  <si>
    <t>Cota</t>
  </si>
  <si>
    <t>Cucunuba</t>
  </si>
  <si>
    <t>El Colegio</t>
  </si>
  <si>
    <t>El Rosal</t>
  </si>
  <si>
    <t>Facatativa</t>
  </si>
  <si>
    <t>Fomeque</t>
  </si>
  <si>
    <t>Fosca</t>
  </si>
  <si>
    <t>Funza</t>
  </si>
  <si>
    <t>Fuquene</t>
  </si>
  <si>
    <t>Fusagasuga</t>
  </si>
  <si>
    <t>Gachala</t>
  </si>
  <si>
    <t>Gachancipa</t>
  </si>
  <si>
    <t>Girardot</t>
  </si>
  <si>
    <t>Guacheta</t>
  </si>
  <si>
    <t>Guaduas</t>
  </si>
  <si>
    <t>Guasca</t>
  </si>
  <si>
    <t>Guataqui</t>
  </si>
  <si>
    <t>Guatavita</t>
  </si>
  <si>
    <t>Guayabal de Siquima</t>
  </si>
  <si>
    <t>Guayabetal</t>
  </si>
  <si>
    <t>Gutierrez</t>
  </si>
  <si>
    <t>Jerusalen</t>
  </si>
  <si>
    <t>Junin</t>
  </si>
  <si>
    <t>La Calera</t>
  </si>
  <si>
    <t>La Mesa</t>
  </si>
  <si>
    <t>La Palma</t>
  </si>
  <si>
    <t>REPORTE DE LA FEDERACION NACIONAL DE CAFETREROS SOBRE PRODUCTORES AFECTADOS POR LA TEMPORADA INVERNAL. MEDIANTE OFICIO DEL 23 DE MAYO EL ALCALDE INFORMA QUE NINGUN CAFICULTOR SE HA REGISTRADO.</t>
  </si>
  <si>
    <t>BOGOTA, D.C.</t>
  </si>
  <si>
    <t>GUAYABAL DE SIQUIMA</t>
  </si>
  <si>
    <t>CANTON DE SAN PABLO</t>
  </si>
  <si>
    <t>EL CONTADERO</t>
  </si>
  <si>
    <t>MAGUI PAYAN</t>
  </si>
  <si>
    <t>CRECIENTE RIO ATRATO. APOYO MEDIANTE GIRO DIRECTO AL CLOPAD PARA ADQUISICON DE MACHETES, HACHAS Y CCOMBUSTIBLE PARA APOYAR OPERATIVOS DE EMERGENCIA.</t>
  </si>
  <si>
    <t>REPORTE DEL CREPAD Y CLOPAD. APOYO DEL FNC MEDIANTE GIRO DIRECTO AL CLOPAD PARA LA ADQUISICION DE MACHETES Y COMBUSTIBLE PARA APOYAR LOS OPERATIVOS DE EMERGENCIA.</t>
  </si>
  <si>
    <t>APOYO DEL FNC MEDIANTE GIRO DIRECTO AL CLOPAD PARA LA ADQUISICION DE MACHETES  Y COMBUSTIBLE PARA APOYAR LOS OPERATIVOS DE EMERGENCIA.</t>
  </si>
  <si>
    <t>APOYO DEL FNC MEDIANTE GIRO DIRESTO AL CLOPAD PARA LA ADQUISICION DE COMBUSTIBLE Y LUBRICANTES PARA LA REHABILITACION DE LAS VIAS LA MAICENA - GUASCAS, PUENTE TABLA - PATIO BONITO - PUNTAS, LA QUIEBRA - LA PALMERA, ARENALES, LOS JUANES- LA PUNTA, PIJAO- GUAMAL- PIZZARRAS, PUENTE TABLA - LA CAMPECINA - LA MARIELA, PIJAO - ARENALES - LA MARIELA, BARRAGAN - BERLIN, PIJAO - LA QUIEBRA- CARNICEROS, PIJAO - RIO AZUL, ARENALES - PUENTE TABLA, RIO AZUL - EL SINABRIO - LA PUNTA, LA QUIEBRA - CARNICEROS.</t>
  </si>
  <si>
    <r>
      <t>APOYO GLOBAL PARA LOS MUNICIPIOS DE LA VIRGINIA, QUINCHIA, LA CELIA, SANTUARIO, MARSELLA.</t>
    </r>
    <r>
      <rPr>
        <b/>
        <sz val="9"/>
        <rFont val="Arial"/>
        <family val="2"/>
      </rPr>
      <t xml:space="preserve"> APOYO DEL FNC MEDIANTE GIRO DIRECTO AL CREPAD PARA ADQUISICION DE ALIMENTOS NO PERECEDEROS (30.000.000) Y COMBUSTIBLE (10.000.000)</t>
    </r>
  </si>
  <si>
    <t>DESBORDAMIENTO ARROYOS SECO, GRITADOR Y EL POZO BARRIOS RAMON LUQUE, 15 DE FEBRERO, LA UNION, VILLA LINDA, 20 DE JULIO, LOS GIRASOLES, ZONA LA LOMITA</t>
  </si>
  <si>
    <t>DOCUMENTOS RECIBIDOS EL 21 DE FEBRERO DE 2012.</t>
  </si>
  <si>
    <t>ACTUALIZACION DEL CLOPAD. REALIZADA ENJUNIO DE 2011 LUEGO DE DEPURACION DE CENSO PARA EFECTOS DEL REGISTRO.</t>
  </si>
  <si>
    <t>ACTUALIZADO POR EL CREPAD EN 2011</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</si>
</sst>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86" formatCode="dd\-mmm\-\y\y"/>
    <numFmt numFmtId="187" formatCode="&quot;$&quot;#,##0.00"/>
    <numFmt numFmtId="188" formatCode="&quot;$&quot;#,##0.0"/>
    <numFmt numFmtId="189" formatCode="#,##0.0"/>
    <numFmt numFmtId="192" formatCode="&quot;$&quot;\ #,##0"/>
    <numFmt numFmtId="194" formatCode="[$-C0A]dd\-mmm\-yy;@"/>
  </numFmts>
  <fonts count="30" x14ac:knownFonts="1">
    <font>
      <sz val="10"/>
      <name val="Arial"/>
    </font>
    <font>
      <sz val="10"/>
      <name val="Arial"/>
    </font>
    <font>
      <b/>
      <sz val="10"/>
      <name val="Arial"/>
      <family val="2"/>
    </font>
    <font>
      <sz val="8"/>
      <name val="Arial"/>
      <family val="2"/>
    </font>
    <font>
      <b/>
      <sz val="12"/>
      <name val="Arial"/>
      <family val="2"/>
    </font>
    <font>
      <b/>
      <sz val="8"/>
      <name val="Arial"/>
      <family val="2"/>
    </font>
    <font>
      <sz val="6"/>
      <name val="Arial"/>
      <family val="2"/>
    </font>
    <font>
      <b/>
      <sz val="14"/>
      <name val="Arial"/>
      <family val="2"/>
    </font>
    <font>
      <b/>
      <sz val="9"/>
      <name val="Arial"/>
      <family val="2"/>
    </font>
    <font>
      <b/>
      <sz val="11"/>
      <name val="Arial"/>
      <family val="2"/>
    </font>
    <font>
      <sz val="8"/>
      <name val="Arial"/>
      <family val="2"/>
    </font>
    <font>
      <b/>
      <i/>
      <sz val="9"/>
      <name val="Arial"/>
      <family val="2"/>
    </font>
    <font>
      <sz val="9"/>
      <name val="Arial"/>
      <family val="2"/>
    </font>
    <font>
      <sz val="10"/>
      <name val="Arial"/>
      <family val="2"/>
    </font>
    <font>
      <sz val="9"/>
      <color indexed="8"/>
      <name val="Arial"/>
      <family val="2"/>
    </font>
    <font>
      <sz val="10"/>
      <name val="Arial"/>
      <family val="2"/>
    </font>
    <font>
      <i/>
      <sz val="8"/>
      <name val="Arial"/>
      <family val="2"/>
    </font>
    <font>
      <b/>
      <sz val="9"/>
      <color indexed="8"/>
      <name val="Arial"/>
      <family val="2"/>
    </font>
    <font>
      <sz val="10"/>
      <color indexed="10"/>
      <name val="Arial"/>
      <family val="2"/>
    </font>
    <font>
      <b/>
      <sz val="10"/>
      <color indexed="8"/>
      <name val="Arial"/>
      <family val="2"/>
    </font>
    <font>
      <b/>
      <u/>
      <sz val="9"/>
      <color indexed="8"/>
      <name val="Arial"/>
      <family val="2"/>
    </font>
    <font>
      <u/>
      <sz val="10"/>
      <name val="Arial"/>
      <family val="2"/>
    </font>
    <font>
      <sz val="10"/>
      <color indexed="10"/>
      <name val="Arial"/>
      <family val="2"/>
    </font>
    <font>
      <b/>
      <sz val="7"/>
      <name val="Arial"/>
      <family val="2"/>
    </font>
    <font>
      <sz val="8"/>
      <color indexed="10"/>
      <name val="Arial"/>
      <family val="2"/>
    </font>
    <font>
      <b/>
      <i/>
      <sz val="10"/>
      <color indexed="54"/>
      <name val="Arial"/>
      <family val="2"/>
    </font>
    <font>
      <b/>
      <sz val="9"/>
      <color indexed="43"/>
      <name val="Arial"/>
      <family val="2"/>
    </font>
    <font>
      <sz val="10"/>
      <color indexed="43"/>
      <name val="Arial"/>
      <family val="2"/>
    </font>
    <font>
      <b/>
      <sz val="10"/>
      <color indexed="43"/>
      <name val="Arial"/>
      <family val="2"/>
    </font>
    <font>
      <sz val="8"/>
      <name val="Arial"/>
      <family val="2"/>
    </font>
  </fonts>
  <fills count="17">
    <fill>
      <patternFill patternType="none"/>
    </fill>
    <fill>
      <patternFill patternType="gray125"/>
    </fill>
    <fill>
      <patternFill patternType="solid">
        <fgColor indexed="46"/>
        <bgColor indexed="64"/>
      </patternFill>
    </fill>
    <fill>
      <patternFill patternType="gray0625">
        <bgColor indexed="11"/>
      </patternFill>
    </fill>
    <fill>
      <patternFill patternType="gray0625">
        <bgColor indexed="15"/>
      </patternFill>
    </fill>
    <fill>
      <patternFill patternType="solid">
        <fgColor indexed="53"/>
        <bgColor indexed="64"/>
      </patternFill>
    </fill>
    <fill>
      <patternFill patternType="solid">
        <fgColor indexed="22"/>
        <bgColor indexed="64"/>
      </patternFill>
    </fill>
    <fill>
      <patternFill patternType="solid">
        <fgColor indexed="10"/>
        <bgColor indexed="64"/>
      </patternFill>
    </fill>
    <fill>
      <patternFill patternType="gray0625">
        <bgColor indexed="34"/>
      </patternFill>
    </fill>
    <fill>
      <patternFill patternType="solid">
        <fgColor indexed="9"/>
        <bgColor indexed="64"/>
      </patternFill>
    </fill>
    <fill>
      <patternFill patternType="solid">
        <fgColor indexed="13"/>
        <bgColor indexed="64"/>
      </patternFill>
    </fill>
    <fill>
      <patternFill patternType="solid">
        <fgColor indexed="63"/>
        <bgColor indexed="64"/>
      </patternFill>
    </fill>
    <fill>
      <patternFill patternType="solid">
        <fgColor indexed="48"/>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theme="6" tint="0.39997558519241921"/>
        <bgColor indexed="64"/>
      </patternFill>
    </fill>
  </fills>
  <borders count="58">
    <border>
      <left/>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double">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ck">
        <color indexed="64"/>
      </left>
      <right/>
      <top style="thin">
        <color indexed="64"/>
      </top>
      <bottom style="medium">
        <color indexed="64"/>
      </bottom>
      <diagonal/>
    </border>
    <border>
      <left style="thick">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medium">
        <color indexed="64"/>
      </right>
      <top/>
      <bottom/>
      <diagonal/>
    </border>
    <border>
      <left/>
      <right style="thin">
        <color indexed="64"/>
      </right>
      <top/>
      <bottom/>
      <diagonal/>
    </border>
    <border>
      <left style="medium">
        <color indexed="64"/>
      </left>
      <right style="thick">
        <color indexed="64"/>
      </right>
      <top style="thin">
        <color indexed="64"/>
      </top>
      <bottom/>
      <diagonal/>
    </border>
    <border>
      <left style="thick">
        <color indexed="64"/>
      </left>
      <right style="thick">
        <color indexed="64"/>
      </right>
      <top style="thin">
        <color indexed="64"/>
      </top>
      <bottom/>
      <diagonal/>
    </border>
    <border>
      <left style="thick">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3">
    <xf numFmtId="0" fontId="0" fillId="0" borderId="0"/>
    <xf numFmtId="43" fontId="1" fillId="0" borderId="0" applyFont="0" applyFill="0" applyBorder="0" applyAlignment="0" applyProtection="0"/>
    <xf numFmtId="0" fontId="13" fillId="0" borderId="0"/>
  </cellStyleXfs>
  <cellXfs count="457">
    <xf numFmtId="0" fontId="0" fillId="0" borderId="0" xfId="0"/>
    <xf numFmtId="15" fontId="3" fillId="0" borderId="1" xfId="0" applyNumberFormat="1" applyFont="1" applyBorder="1" applyAlignment="1">
      <alignment horizontal="justify" vertical="top"/>
    </xf>
    <xf numFmtId="0" fontId="0" fillId="0" borderId="0" xfId="0" applyAlignment="1">
      <alignment horizontal="justify" vertical="justify"/>
    </xf>
    <xf numFmtId="3" fontId="3" fillId="0" borderId="2" xfId="0" applyNumberFormat="1" applyFont="1" applyBorder="1" applyAlignment="1">
      <alignment horizontal="justify" vertical="justify"/>
    </xf>
    <xf numFmtId="3" fontId="3" fillId="0" borderId="3" xfId="0" applyNumberFormat="1" applyFont="1" applyBorder="1" applyAlignment="1">
      <alignment horizontal="justify" vertical="justify"/>
    </xf>
    <xf numFmtId="3" fontId="3" fillId="0" borderId="4" xfId="0" applyNumberFormat="1" applyFont="1" applyBorder="1" applyAlignment="1">
      <alignment horizontal="justify" vertical="justify"/>
    </xf>
    <xf numFmtId="0" fontId="0" fillId="0" borderId="5" xfId="0" applyBorder="1" applyAlignment="1">
      <alignment horizontal="justify" vertical="justify"/>
    </xf>
    <xf numFmtId="3" fontId="0" fillId="0" borderId="5" xfId="0" applyNumberFormat="1" applyBorder="1" applyAlignment="1">
      <alignment horizontal="justify" vertical="justify"/>
    </xf>
    <xf numFmtId="189" fontId="3" fillId="0" borderId="6" xfId="0" applyNumberFormat="1" applyFont="1" applyBorder="1" applyAlignment="1">
      <alignment horizontal="justify" vertical="justify"/>
    </xf>
    <xf numFmtId="0" fontId="0" fillId="0" borderId="7" xfId="0" applyBorder="1" applyAlignment="1">
      <alignment horizontal="justify" vertical="justify"/>
    </xf>
    <xf numFmtId="3" fontId="0" fillId="0" borderId="8" xfId="0" applyNumberFormat="1" applyBorder="1" applyAlignment="1">
      <alignment horizontal="justify" vertical="justify"/>
    </xf>
    <xf numFmtId="0" fontId="0" fillId="0" borderId="1" xfId="0" applyBorder="1" applyAlignment="1">
      <alignment horizontal="justify" vertical="justify"/>
    </xf>
    <xf numFmtId="3" fontId="0" fillId="0" borderId="9" xfId="0" applyNumberFormat="1" applyBorder="1" applyAlignment="1">
      <alignment horizontal="justify" vertical="justify"/>
    </xf>
    <xf numFmtId="3" fontId="5" fillId="0" borderId="10" xfId="0" applyNumberFormat="1" applyFont="1" applyBorder="1" applyAlignment="1">
      <alignment horizontal="justify" vertical="justify"/>
    </xf>
    <xf numFmtId="186" fontId="7" fillId="0" borderId="0" xfId="0" applyNumberFormat="1" applyFont="1" applyBorder="1" applyAlignment="1">
      <alignment horizontal="justify" vertical="justify"/>
    </xf>
    <xf numFmtId="3" fontId="5" fillId="0" borderId="0" xfId="0" applyNumberFormat="1" applyFont="1" applyBorder="1" applyAlignment="1">
      <alignment horizontal="justify" vertical="justify"/>
    </xf>
    <xf numFmtId="186" fontId="0" fillId="0" borderId="0" xfId="0" applyNumberFormat="1" applyAlignment="1">
      <alignment horizontal="justify" vertical="justify"/>
    </xf>
    <xf numFmtId="0" fontId="2" fillId="0" borderId="0" xfId="0" applyFont="1" applyAlignment="1">
      <alignment horizontal="justify" vertical="justify"/>
    </xf>
    <xf numFmtId="187" fontId="0" fillId="0" borderId="0" xfId="0" applyNumberFormat="1" applyAlignment="1">
      <alignment horizontal="justify" vertical="justify"/>
    </xf>
    <xf numFmtId="0" fontId="3" fillId="0" borderId="0" xfId="0" applyFont="1" applyAlignment="1">
      <alignment horizontal="justify" vertical="justify" wrapText="1"/>
    </xf>
    <xf numFmtId="0" fontId="0" fillId="0" borderId="0" xfId="0" applyAlignment="1">
      <alignment horizontal="justify" vertical="justify" wrapText="1"/>
    </xf>
    <xf numFmtId="0" fontId="0" fillId="0" borderId="0" xfId="0" applyAlignment="1">
      <alignment horizontal="center" vertical="justify"/>
    </xf>
    <xf numFmtId="0" fontId="2" fillId="2" borderId="11" xfId="0" applyFont="1" applyFill="1" applyBorder="1" applyAlignment="1">
      <alignment horizontal="center" vertical="justify"/>
    </xf>
    <xf numFmtId="3" fontId="0" fillId="0" borderId="0" xfId="0" applyNumberFormat="1" applyAlignment="1">
      <alignment horizontal="justify" vertical="justify"/>
    </xf>
    <xf numFmtId="3" fontId="5" fillId="0" borderId="12" xfId="0" applyNumberFormat="1" applyFont="1" applyBorder="1" applyAlignment="1">
      <alignment horizontal="justify" vertical="justify"/>
    </xf>
    <xf numFmtId="15" fontId="3" fillId="0" borderId="8" xfId="0" applyNumberFormat="1" applyFont="1" applyBorder="1" applyAlignment="1">
      <alignment horizontal="center" vertical="top"/>
    </xf>
    <xf numFmtId="3" fontId="5" fillId="0" borderId="13" xfId="0" applyNumberFormat="1" applyFont="1" applyBorder="1" applyAlignment="1">
      <alignment horizontal="center" vertical="justify"/>
    </xf>
    <xf numFmtId="3" fontId="5" fillId="0" borderId="0" xfId="0" applyNumberFormat="1" applyFont="1" applyBorder="1" applyAlignment="1">
      <alignment horizontal="center" vertical="justify"/>
    </xf>
    <xf numFmtId="3" fontId="0" fillId="0" borderId="0" xfId="0" applyNumberFormat="1" applyAlignment="1">
      <alignment horizontal="center" vertical="justify"/>
    </xf>
    <xf numFmtId="3" fontId="0" fillId="0" borderId="1" xfId="0" applyNumberFormat="1" applyBorder="1" applyAlignment="1">
      <alignment horizontal="justify" vertical="justify"/>
    </xf>
    <xf numFmtId="0" fontId="0" fillId="0" borderId="0" xfId="0" applyBorder="1"/>
    <xf numFmtId="3" fontId="8" fillId="0" borderId="0" xfId="0" applyNumberFormat="1" applyFont="1" applyBorder="1" applyAlignment="1">
      <alignment horizontal="justify" vertical="justify"/>
    </xf>
    <xf numFmtId="3" fontId="2" fillId="0" borderId="0" xfId="0" applyNumberFormat="1" applyFont="1" applyBorder="1" applyAlignment="1">
      <alignment horizontal="justify" vertical="justify"/>
    </xf>
    <xf numFmtId="4" fontId="8" fillId="0" borderId="0" xfId="0" applyNumberFormat="1" applyFont="1" applyBorder="1" applyAlignment="1">
      <alignment horizontal="justify" vertical="justify"/>
    </xf>
    <xf numFmtId="4" fontId="2" fillId="0" borderId="0" xfId="0" applyNumberFormat="1" applyFont="1" applyAlignment="1">
      <alignment horizontal="justify" vertical="justify"/>
    </xf>
    <xf numFmtId="0" fontId="1" fillId="0" borderId="0" xfId="0" applyFont="1" applyBorder="1"/>
    <xf numFmtId="0" fontId="1" fillId="0" borderId="0" xfId="0" applyFont="1" applyAlignment="1">
      <alignment horizontal="justify" vertical="justify"/>
    </xf>
    <xf numFmtId="192" fontId="11" fillId="3" borderId="14" xfId="0" applyNumberFormat="1" applyFont="1" applyFill="1" applyBorder="1" applyAlignment="1">
      <alignment horizontal="center" vertical="justify"/>
    </xf>
    <xf numFmtId="192" fontId="11" fillId="0" borderId="0" xfId="0" applyNumberFormat="1" applyFont="1" applyAlignment="1">
      <alignment horizontal="justify" vertical="justify"/>
    </xf>
    <xf numFmtId="0" fontId="8" fillId="4" borderId="15" xfId="0" applyFont="1" applyFill="1" applyBorder="1" applyAlignment="1">
      <alignment horizontal="center" vertical="justify"/>
    </xf>
    <xf numFmtId="0" fontId="8" fillId="4" borderId="16" xfId="0" applyFont="1" applyFill="1" applyBorder="1" applyAlignment="1">
      <alignment horizontal="center" vertical="justify"/>
    </xf>
    <xf numFmtId="187" fontId="8" fillId="4" borderId="16" xfId="0" applyNumberFormat="1" applyFont="1" applyFill="1" applyBorder="1" applyAlignment="1">
      <alignment horizontal="center" vertical="justify"/>
    </xf>
    <xf numFmtId="187" fontId="8" fillId="4" borderId="17" xfId="0" applyNumberFormat="1" applyFont="1" applyFill="1" applyBorder="1" applyAlignment="1">
      <alignment horizontal="center" vertical="justify"/>
    </xf>
    <xf numFmtId="0" fontId="8" fillId="3" borderId="15" xfId="0" applyFont="1" applyFill="1" applyBorder="1" applyAlignment="1">
      <alignment horizontal="center" vertical="justify"/>
    </xf>
    <xf numFmtId="0" fontId="8" fillId="3" borderId="16" xfId="0" applyFont="1" applyFill="1" applyBorder="1" applyAlignment="1">
      <alignment horizontal="center" vertical="justify"/>
    </xf>
    <xf numFmtId="0" fontId="8" fillId="3" borderId="17" xfId="0" applyFont="1" applyFill="1" applyBorder="1" applyAlignment="1">
      <alignment horizontal="center" vertical="justify"/>
    </xf>
    <xf numFmtId="0" fontId="8" fillId="3" borderId="18" xfId="0" applyFont="1" applyFill="1" applyBorder="1" applyAlignment="1">
      <alignment horizontal="center" vertical="justify"/>
    </xf>
    <xf numFmtId="0" fontId="8" fillId="2" borderId="19" xfId="0" applyFont="1" applyFill="1" applyBorder="1" applyAlignment="1">
      <alignment horizontal="center" vertical="justify"/>
    </xf>
    <xf numFmtId="0" fontId="8" fillId="2" borderId="19" xfId="0" applyFont="1" applyFill="1" applyBorder="1" applyAlignment="1">
      <alignment horizontal="center" vertical="justify" wrapText="1"/>
    </xf>
    <xf numFmtId="0" fontId="8" fillId="2" borderId="20" xfId="0" applyFont="1" applyFill="1" applyBorder="1" applyAlignment="1">
      <alignment horizontal="center" vertical="justify" wrapText="1"/>
    </xf>
    <xf numFmtId="0" fontId="8" fillId="2" borderId="21" xfId="0" applyFont="1" applyFill="1" applyBorder="1" applyAlignment="1">
      <alignment horizontal="center" vertical="justify" wrapText="1"/>
    </xf>
    <xf numFmtId="0" fontId="8" fillId="2" borderId="22" xfId="0" applyFont="1" applyFill="1" applyBorder="1" applyAlignment="1">
      <alignment horizontal="center" vertical="justify" wrapText="1"/>
    </xf>
    <xf numFmtId="0" fontId="8" fillId="2" borderId="23" xfId="0" applyFont="1" applyFill="1" applyBorder="1" applyAlignment="1">
      <alignment horizontal="center" vertical="justify" wrapText="1"/>
    </xf>
    <xf numFmtId="3" fontId="12" fillId="0" borderId="0" xfId="0" applyNumberFormat="1" applyFont="1" applyAlignment="1">
      <alignment horizontal="center" vertical="justify"/>
    </xf>
    <xf numFmtId="0" fontId="12" fillId="0" borderId="0" xfId="0" applyFont="1" applyAlignment="1">
      <alignment horizontal="center" vertical="justify"/>
    </xf>
    <xf numFmtId="0" fontId="12" fillId="0" borderId="0" xfId="0" applyFont="1" applyBorder="1" applyAlignment="1">
      <alignment horizontal="justify" vertical="justify"/>
    </xf>
    <xf numFmtId="0" fontId="8" fillId="5" borderId="24" xfId="0" applyFont="1" applyFill="1" applyBorder="1" applyAlignment="1">
      <alignment horizontal="center" vertical="justify"/>
    </xf>
    <xf numFmtId="15" fontId="3" fillId="0" borderId="25" xfId="0" applyNumberFormat="1" applyFont="1" applyBorder="1" applyAlignment="1">
      <alignment horizontal="justify" vertical="top"/>
    </xf>
    <xf numFmtId="15" fontId="3" fillId="0" borderId="26" xfId="0" applyNumberFormat="1" applyFont="1" applyBorder="1" applyAlignment="1">
      <alignment horizontal="center" vertical="top"/>
    </xf>
    <xf numFmtId="1" fontId="8" fillId="5" borderId="24" xfId="0" applyNumberFormat="1" applyFont="1" applyFill="1" applyBorder="1" applyAlignment="1">
      <alignment horizontal="center" vertical="justify"/>
    </xf>
    <xf numFmtId="1" fontId="5" fillId="0" borderId="12" xfId="0" applyNumberFormat="1" applyFont="1" applyBorder="1" applyAlignment="1">
      <alignment horizontal="justify" vertical="justify"/>
    </xf>
    <xf numFmtId="1" fontId="5" fillId="0" borderId="0" xfId="0" applyNumberFormat="1" applyFont="1" applyBorder="1" applyAlignment="1">
      <alignment horizontal="justify" vertical="justify"/>
    </xf>
    <xf numFmtId="1" fontId="0" fillId="0" borderId="0" xfId="0" applyNumberFormat="1" applyAlignment="1">
      <alignment horizontal="justify" vertical="justify"/>
    </xf>
    <xf numFmtId="1" fontId="5" fillId="5" borderId="24" xfId="0" applyNumberFormat="1" applyFont="1" applyFill="1" applyBorder="1" applyAlignment="1">
      <alignment horizontal="center" vertical="justify"/>
    </xf>
    <xf numFmtId="1" fontId="3" fillId="0" borderId="26" xfId="0" applyNumberFormat="1" applyFont="1" applyBorder="1" applyAlignment="1">
      <alignment horizontal="center" vertical="top"/>
    </xf>
    <xf numFmtId="1" fontId="3" fillId="0" borderId="8" xfId="0" applyNumberFormat="1" applyFont="1" applyBorder="1" applyAlignment="1">
      <alignment horizontal="center" vertical="top"/>
    </xf>
    <xf numFmtId="1" fontId="5" fillId="0" borderId="13" xfId="0" applyNumberFormat="1" applyFont="1" applyBorder="1" applyAlignment="1">
      <alignment horizontal="center" vertical="justify"/>
    </xf>
    <xf numFmtId="1" fontId="5" fillId="0" borderId="0" xfId="0" applyNumberFormat="1" applyFont="1" applyBorder="1" applyAlignment="1">
      <alignment horizontal="center" vertical="justify"/>
    </xf>
    <xf numFmtId="1" fontId="0" fillId="0" borderId="0" xfId="0" applyNumberFormat="1" applyAlignment="1">
      <alignment horizontal="center" vertical="justify"/>
    </xf>
    <xf numFmtId="15" fontId="3" fillId="0" borderId="4" xfId="0" applyNumberFormat="1" applyFont="1" applyBorder="1" applyAlignment="1">
      <alignment horizontal="justify" vertical="top"/>
    </xf>
    <xf numFmtId="15" fontId="3" fillId="0" borderId="4" xfId="0" applyNumberFormat="1" applyFont="1" applyBorder="1" applyAlignment="1">
      <alignment horizontal="center" vertical="top"/>
    </xf>
    <xf numFmtId="1" fontId="3" fillId="0" borderId="4" xfId="0" applyNumberFormat="1" applyFont="1" applyBorder="1" applyAlignment="1">
      <alignment horizontal="center" vertical="top"/>
    </xf>
    <xf numFmtId="15" fontId="3" fillId="0" borderId="3" xfId="0" applyNumberFormat="1" applyFont="1" applyBorder="1" applyAlignment="1">
      <alignment horizontal="justify" vertical="top"/>
    </xf>
    <xf numFmtId="3" fontId="15" fillId="0" borderId="27" xfId="0" applyNumberFormat="1" applyFont="1" applyBorder="1" applyAlignment="1">
      <alignment wrapText="1"/>
    </xf>
    <xf numFmtId="3" fontId="15" fillId="0" borderId="26" xfId="0" applyNumberFormat="1" applyFont="1" applyBorder="1" applyAlignment="1">
      <alignment wrapText="1"/>
    </xf>
    <xf numFmtId="3" fontId="15" fillId="0" borderId="5" xfId="0" applyNumberFormat="1" applyFont="1" applyBorder="1" applyAlignment="1">
      <alignment wrapText="1"/>
    </xf>
    <xf numFmtId="3" fontId="15" fillId="0" borderId="8" xfId="0" applyNumberFormat="1" applyFont="1" applyBorder="1" applyAlignment="1">
      <alignment wrapText="1"/>
    </xf>
    <xf numFmtId="188" fontId="3" fillId="0" borderId="27" xfId="0" applyNumberFormat="1" applyFont="1" applyBorder="1" applyAlignment="1">
      <alignment horizontal="right" vertical="top"/>
    </xf>
    <xf numFmtId="188" fontId="3" fillId="0" borderId="5" xfId="0" applyNumberFormat="1" applyFont="1" applyBorder="1" applyAlignment="1">
      <alignment horizontal="right" vertical="top"/>
    </xf>
    <xf numFmtId="188" fontId="3" fillId="0" borderId="6" xfId="0" applyNumberFormat="1" applyFont="1" applyBorder="1" applyAlignment="1">
      <alignment horizontal="right" vertical="top"/>
    </xf>
    <xf numFmtId="188" fontId="3" fillId="0" borderId="28" xfId="0" applyNumberFormat="1" applyFont="1" applyBorder="1" applyAlignment="1">
      <alignment horizontal="right" vertical="top"/>
    </xf>
    <xf numFmtId="188" fontId="16" fillId="0" borderId="0" xfId="0" applyNumberFormat="1" applyFont="1" applyBorder="1" applyAlignment="1">
      <alignment horizontal="right" vertical="top"/>
    </xf>
    <xf numFmtId="188" fontId="16" fillId="0" borderId="29" xfId="0" applyNumberFormat="1" applyFont="1" applyBorder="1" applyAlignment="1">
      <alignment horizontal="right" vertical="top"/>
    </xf>
    <xf numFmtId="1" fontId="3" fillId="0" borderId="3" xfId="0" applyNumberFormat="1" applyFont="1" applyBorder="1" applyAlignment="1">
      <alignment horizontal="right" vertical="top"/>
    </xf>
    <xf numFmtId="1" fontId="3" fillId="0" borderId="4" xfId="0" applyNumberFormat="1" applyFont="1" applyBorder="1" applyAlignment="1">
      <alignment horizontal="right" vertical="top"/>
    </xf>
    <xf numFmtId="0" fontId="12" fillId="0" borderId="9" xfId="0" applyFont="1" applyBorder="1" applyAlignment="1">
      <alignment vertical="top" wrapText="1"/>
    </xf>
    <xf numFmtId="0" fontId="14" fillId="0" borderId="9" xfId="0" applyFont="1" applyBorder="1" applyAlignment="1">
      <alignment vertical="top" wrapText="1"/>
    </xf>
    <xf numFmtId="0" fontId="12" fillId="0" borderId="4" xfId="0" applyFont="1" applyBorder="1" applyAlignment="1">
      <alignment vertical="top" wrapText="1"/>
    </xf>
    <xf numFmtId="1" fontId="3" fillId="0" borderId="8" xfId="0" applyNumberFormat="1" applyFont="1" applyBorder="1" applyAlignment="1">
      <alignment horizontal="center" vertical="top" wrapText="1"/>
    </xf>
    <xf numFmtId="1" fontId="3" fillId="0" borderId="4" xfId="0" applyNumberFormat="1" applyFont="1" applyBorder="1" applyAlignment="1">
      <alignment horizontal="center" vertical="top" wrapText="1"/>
    </xf>
    <xf numFmtId="0" fontId="0" fillId="6" borderId="0" xfId="0" applyFill="1" applyAlignment="1">
      <alignment horizontal="justify" vertical="justify"/>
    </xf>
    <xf numFmtId="0" fontId="18" fillId="0" borderId="0" xfId="0" applyFont="1" applyAlignment="1">
      <alignment horizontal="justify" vertical="justify"/>
    </xf>
    <xf numFmtId="0" fontId="12" fillId="0" borderId="8" xfId="0" applyFont="1" applyBorder="1" applyAlignment="1">
      <alignment vertical="top" wrapText="1"/>
    </xf>
    <xf numFmtId="0" fontId="8" fillId="0" borderId="4" xfId="0" applyFont="1" applyBorder="1" applyAlignment="1">
      <alignment vertical="top" wrapText="1"/>
    </xf>
    <xf numFmtId="1" fontId="3" fillId="0" borderId="4" xfId="0" applyNumberFormat="1" applyFont="1" applyBorder="1" applyAlignment="1">
      <alignment horizontal="right" vertical="top" wrapText="1"/>
    </xf>
    <xf numFmtId="15" fontId="3" fillId="0" borderId="1" xfId="0" applyNumberFormat="1" applyFont="1" applyFill="1" applyBorder="1" applyAlignment="1">
      <alignment horizontal="justify" vertical="top"/>
    </xf>
    <xf numFmtId="4" fontId="0" fillId="0" borderId="0" xfId="0" applyNumberFormat="1" applyAlignment="1">
      <alignment horizontal="justify" vertical="justify"/>
    </xf>
    <xf numFmtId="0" fontId="8" fillId="0" borderId="9" xfId="0" applyFont="1" applyBorder="1" applyAlignment="1">
      <alignment vertical="top" wrapText="1"/>
    </xf>
    <xf numFmtId="0" fontId="15" fillId="0" borderId="5" xfId="0" applyFont="1" applyBorder="1" applyAlignment="1">
      <alignment horizontal="justify" vertical="justify"/>
    </xf>
    <xf numFmtId="3" fontId="15" fillId="0" borderId="5" xfId="0" applyNumberFormat="1" applyFont="1" applyBorder="1" applyAlignment="1">
      <alignment horizontal="justify" vertical="justify"/>
    </xf>
    <xf numFmtId="0" fontId="15" fillId="0" borderId="7" xfId="0" applyFont="1" applyBorder="1" applyAlignment="1">
      <alignment horizontal="justify" vertical="justify"/>
    </xf>
    <xf numFmtId="3" fontId="15" fillId="0" borderId="8" xfId="0" applyNumberFormat="1" applyFont="1" applyBorder="1" applyAlignment="1">
      <alignment horizontal="justify" vertical="justify"/>
    </xf>
    <xf numFmtId="0" fontId="15" fillId="0" borderId="1" xfId="0" applyFont="1" applyBorder="1" applyAlignment="1">
      <alignment horizontal="justify" vertical="justify"/>
    </xf>
    <xf numFmtId="3" fontId="15" fillId="0" borderId="9" xfId="0" applyNumberFormat="1" applyFont="1" applyBorder="1" applyAlignment="1">
      <alignment horizontal="justify" vertical="justify"/>
    </xf>
    <xf numFmtId="3" fontId="15" fillId="0" borderId="1" xfId="0" applyNumberFormat="1" applyFont="1" applyBorder="1" applyAlignment="1">
      <alignment horizontal="justify" vertical="justify"/>
    </xf>
    <xf numFmtId="3" fontId="15" fillId="0" borderId="0" xfId="0" applyNumberFormat="1" applyFont="1" applyAlignment="1">
      <alignment horizontal="justify" vertical="justify"/>
    </xf>
    <xf numFmtId="0" fontId="15" fillId="0" borderId="0" xfId="0" applyFont="1" applyAlignment="1">
      <alignment horizontal="justify" vertical="justify"/>
    </xf>
    <xf numFmtId="0" fontId="3" fillId="0" borderId="4" xfId="0" applyFont="1" applyBorder="1" applyAlignment="1">
      <alignment vertical="top" wrapText="1"/>
    </xf>
    <xf numFmtId="0" fontId="3" fillId="0" borderId="9" xfId="0" applyFont="1" applyFill="1" applyBorder="1" applyAlignment="1">
      <alignment horizontal="justify" vertical="top" wrapText="1"/>
    </xf>
    <xf numFmtId="1" fontId="3" fillId="0" borderId="8" xfId="0" applyNumberFormat="1" applyFont="1" applyBorder="1" applyAlignment="1">
      <alignment horizontal="justify" vertical="top"/>
    </xf>
    <xf numFmtId="3" fontId="3" fillId="0" borderId="30" xfId="0" applyNumberFormat="1" applyFont="1" applyBorder="1" applyAlignment="1">
      <alignment horizontal="justify" vertical="justify"/>
    </xf>
    <xf numFmtId="3" fontId="1" fillId="0" borderId="0" xfId="0" applyNumberFormat="1" applyFont="1" applyAlignment="1">
      <alignment horizontal="justify" vertical="justify"/>
    </xf>
    <xf numFmtId="3" fontId="15" fillId="0" borderId="5" xfId="0" applyNumberFormat="1" applyFont="1" applyFill="1" applyBorder="1" applyAlignment="1">
      <alignment wrapText="1"/>
    </xf>
    <xf numFmtId="3" fontId="15" fillId="0" borderId="8" xfId="0" applyNumberFormat="1" applyFont="1" applyFill="1" applyBorder="1" applyAlignment="1">
      <alignment wrapText="1"/>
    </xf>
    <xf numFmtId="188" fontId="3" fillId="0" borderId="5" xfId="0" applyNumberFormat="1" applyFont="1" applyFill="1" applyBorder="1" applyAlignment="1">
      <alignment horizontal="right" vertical="top"/>
    </xf>
    <xf numFmtId="188" fontId="3" fillId="0" borderId="28" xfId="0" applyNumberFormat="1" applyFont="1" applyFill="1" applyBorder="1" applyAlignment="1">
      <alignment horizontal="right" vertical="top"/>
    </xf>
    <xf numFmtId="188" fontId="16" fillId="0" borderId="29" xfId="0" applyNumberFormat="1" applyFont="1" applyFill="1" applyBorder="1" applyAlignment="1">
      <alignment horizontal="right" vertical="top"/>
    </xf>
    <xf numFmtId="15" fontId="3" fillId="0" borderId="4" xfId="0" applyNumberFormat="1" applyFont="1" applyFill="1" applyBorder="1" applyAlignment="1">
      <alignment horizontal="justify" vertical="top"/>
    </xf>
    <xf numFmtId="1" fontId="3" fillId="0" borderId="4" xfId="0" applyNumberFormat="1" applyFont="1" applyFill="1" applyBorder="1" applyAlignment="1">
      <alignment horizontal="right" vertical="top"/>
    </xf>
    <xf numFmtId="15" fontId="3" fillId="0" borderId="8" xfId="0" applyNumberFormat="1" applyFont="1" applyFill="1" applyBorder="1" applyAlignment="1">
      <alignment horizontal="center" vertical="top"/>
    </xf>
    <xf numFmtId="1" fontId="3" fillId="0" borderId="8" xfId="0" applyNumberFormat="1" applyFont="1" applyFill="1" applyBorder="1" applyAlignment="1">
      <alignment horizontal="center" vertical="top"/>
    </xf>
    <xf numFmtId="0" fontId="12" fillId="0" borderId="9" xfId="0" applyFont="1" applyFill="1" applyBorder="1" applyAlignment="1">
      <alignment vertical="top" wrapText="1"/>
    </xf>
    <xf numFmtId="3" fontId="3" fillId="0" borderId="2" xfId="0" applyNumberFormat="1" applyFont="1" applyFill="1" applyBorder="1" applyAlignment="1">
      <alignment horizontal="justify" vertical="justify"/>
    </xf>
    <xf numFmtId="3" fontId="3" fillId="0" borderId="3" xfId="0" applyNumberFormat="1" applyFont="1" applyFill="1" applyBorder="1" applyAlignment="1">
      <alignment horizontal="justify" vertical="justify"/>
    </xf>
    <xf numFmtId="3" fontId="3" fillId="0" borderId="4" xfId="0" applyNumberFormat="1" applyFont="1" applyFill="1" applyBorder="1" applyAlignment="1">
      <alignment horizontal="justify" vertical="justify"/>
    </xf>
    <xf numFmtId="0" fontId="0" fillId="0" borderId="5" xfId="0" applyFill="1" applyBorder="1" applyAlignment="1">
      <alignment horizontal="justify" vertical="justify"/>
    </xf>
    <xf numFmtId="3" fontId="0" fillId="0" borderId="5" xfId="0" applyNumberFormat="1" applyFill="1" applyBorder="1" applyAlignment="1">
      <alignment horizontal="justify" vertical="justify"/>
    </xf>
    <xf numFmtId="0" fontId="0" fillId="0" borderId="7" xfId="0" applyFill="1" applyBorder="1" applyAlignment="1">
      <alignment horizontal="justify" vertical="justify"/>
    </xf>
    <xf numFmtId="3" fontId="0" fillId="0" borderId="8" xfId="0" applyNumberFormat="1" applyFill="1" applyBorder="1" applyAlignment="1">
      <alignment horizontal="justify" vertical="justify"/>
    </xf>
    <xf numFmtId="0" fontId="0" fillId="0" borderId="1" xfId="0" applyFill="1" applyBorder="1" applyAlignment="1">
      <alignment horizontal="justify" vertical="justify"/>
    </xf>
    <xf numFmtId="3" fontId="0" fillId="0" borderId="9" xfId="0" applyNumberFormat="1" applyFill="1" applyBorder="1" applyAlignment="1">
      <alignment horizontal="justify" vertical="justify"/>
    </xf>
    <xf numFmtId="3" fontId="0" fillId="0" borderId="1" xfId="0" applyNumberFormat="1" applyFill="1" applyBorder="1" applyAlignment="1">
      <alignment horizontal="justify" vertical="justify"/>
    </xf>
    <xf numFmtId="3" fontId="0" fillId="0" borderId="0" xfId="0" applyNumberFormat="1" applyFill="1" applyAlignment="1">
      <alignment horizontal="justify" vertical="justify"/>
    </xf>
    <xf numFmtId="0" fontId="0" fillId="0" borderId="0" xfId="0" applyFill="1" applyAlignment="1">
      <alignment horizontal="justify" vertical="justify"/>
    </xf>
    <xf numFmtId="189" fontId="3" fillId="0" borderId="6" xfId="0" applyNumberFormat="1" applyFont="1" applyFill="1" applyBorder="1" applyAlignment="1">
      <alignment horizontal="justify" vertical="justify"/>
    </xf>
    <xf numFmtId="1" fontId="3" fillId="0" borderId="8" xfId="0" applyNumberFormat="1" applyFont="1" applyFill="1" applyBorder="1" applyAlignment="1">
      <alignment horizontal="center" vertical="top" wrapText="1"/>
    </xf>
    <xf numFmtId="0" fontId="21" fillId="0" borderId="0" xfId="0" applyFont="1" applyAlignment="1">
      <alignment horizontal="justify" vertical="justify"/>
    </xf>
    <xf numFmtId="1" fontId="3" fillId="0" borderId="4" xfId="0" applyNumberFormat="1" applyFont="1" applyFill="1" applyBorder="1" applyAlignment="1">
      <alignment horizontal="center" vertical="top" wrapText="1"/>
    </xf>
    <xf numFmtId="1" fontId="3" fillId="0" borderId="4" xfId="0" applyNumberFormat="1" applyFont="1" applyFill="1" applyBorder="1" applyAlignment="1">
      <alignment horizontal="center" vertical="top"/>
    </xf>
    <xf numFmtId="3" fontId="13" fillId="0" borderId="5" xfId="0" applyNumberFormat="1" applyFont="1" applyBorder="1" applyAlignment="1">
      <alignment wrapText="1"/>
    </xf>
    <xf numFmtId="43" fontId="0" fillId="0" borderId="0" xfId="1" applyFont="1" applyAlignment="1">
      <alignment horizontal="justify" vertical="justify"/>
    </xf>
    <xf numFmtId="15" fontId="3" fillId="0" borderId="1" xfId="0" applyNumberFormat="1" applyFont="1" applyBorder="1" applyAlignment="1">
      <alignment horizontal="justify" vertical="top" wrapText="1"/>
    </xf>
    <xf numFmtId="188" fontId="3" fillId="0" borderId="5" xfId="0" applyNumberFormat="1" applyFont="1" applyBorder="1" applyAlignment="1">
      <alignment horizontal="right" vertical="top" wrapText="1"/>
    </xf>
    <xf numFmtId="188" fontId="3" fillId="0" borderId="28" xfId="0" applyNumberFormat="1" applyFont="1" applyBorder="1" applyAlignment="1">
      <alignment horizontal="right" vertical="top" wrapText="1"/>
    </xf>
    <xf numFmtId="188" fontId="16" fillId="0" borderId="29" xfId="0" applyNumberFormat="1" applyFont="1" applyBorder="1" applyAlignment="1">
      <alignment horizontal="right" vertical="top" wrapText="1"/>
    </xf>
    <xf numFmtId="3" fontId="3" fillId="0" borderId="2" xfId="0" applyNumberFormat="1" applyFont="1" applyBorder="1" applyAlignment="1">
      <alignment horizontal="justify" vertical="justify" wrapText="1"/>
    </xf>
    <xf numFmtId="3" fontId="3" fillId="0" borderId="3" xfId="0" applyNumberFormat="1" applyFont="1" applyBorder="1" applyAlignment="1">
      <alignment horizontal="justify" vertical="justify" wrapText="1"/>
    </xf>
    <xf numFmtId="3" fontId="3" fillId="0" borderId="4" xfId="0" applyNumberFormat="1" applyFont="1" applyBorder="1" applyAlignment="1">
      <alignment horizontal="justify" vertical="justify" wrapText="1"/>
    </xf>
    <xf numFmtId="0" fontId="0" fillId="0" borderId="5" xfId="0" applyBorder="1" applyAlignment="1">
      <alignment horizontal="justify" vertical="justify" wrapText="1"/>
    </xf>
    <xf numFmtId="3" fontId="0" fillId="0" borderId="5" xfId="0" applyNumberFormat="1" applyBorder="1" applyAlignment="1">
      <alignment horizontal="justify" vertical="justify" wrapText="1"/>
    </xf>
    <xf numFmtId="189" fontId="3" fillId="0" borderId="6" xfId="0" applyNumberFormat="1" applyFont="1" applyBorder="1" applyAlignment="1">
      <alignment horizontal="justify" vertical="justify" wrapText="1"/>
    </xf>
    <xf numFmtId="0" fontId="0" fillId="0" borderId="7" xfId="0" applyBorder="1" applyAlignment="1">
      <alignment horizontal="justify" vertical="justify" wrapText="1"/>
    </xf>
    <xf numFmtId="3" fontId="0" fillId="0" borderId="8" xfId="0" applyNumberFormat="1" applyBorder="1" applyAlignment="1">
      <alignment horizontal="justify" vertical="justify" wrapText="1"/>
    </xf>
    <xf numFmtId="0" fontId="0" fillId="0" borderId="1" xfId="0" applyBorder="1" applyAlignment="1">
      <alignment horizontal="justify" vertical="justify" wrapText="1"/>
    </xf>
    <xf numFmtId="3" fontId="0" fillId="0" borderId="9" xfId="0" applyNumberFormat="1" applyBorder="1" applyAlignment="1">
      <alignment horizontal="justify" vertical="justify" wrapText="1"/>
    </xf>
    <xf numFmtId="3" fontId="0" fillId="0" borderId="1" xfId="0" applyNumberFormat="1" applyBorder="1" applyAlignment="1">
      <alignment horizontal="justify" vertical="justify" wrapText="1"/>
    </xf>
    <xf numFmtId="3" fontId="0" fillId="0" borderId="0" xfId="0" applyNumberFormat="1" applyAlignment="1">
      <alignment horizontal="justify" vertical="justify" wrapText="1"/>
    </xf>
    <xf numFmtId="3" fontId="15" fillId="0" borderId="5" xfId="0" applyNumberFormat="1" applyFont="1" applyBorder="1" applyAlignment="1">
      <alignment vertical="top"/>
    </xf>
    <xf numFmtId="3" fontId="15" fillId="0" borderId="8" xfId="0" applyNumberFormat="1" applyFont="1" applyBorder="1" applyAlignment="1">
      <alignment vertical="top"/>
    </xf>
    <xf numFmtId="3" fontId="3" fillId="0" borderId="2" xfId="0" applyNumberFormat="1" applyFont="1" applyBorder="1" applyAlignment="1">
      <alignment horizontal="justify" vertical="top"/>
    </xf>
    <xf numFmtId="3" fontId="3" fillId="0" borderId="3" xfId="0" applyNumberFormat="1" applyFont="1" applyBorder="1" applyAlignment="1">
      <alignment horizontal="justify" vertical="top"/>
    </xf>
    <xf numFmtId="3" fontId="3" fillId="0" borderId="4" xfId="0" applyNumberFormat="1" applyFont="1" applyBorder="1" applyAlignment="1">
      <alignment horizontal="justify" vertical="top"/>
    </xf>
    <xf numFmtId="0" fontId="0" fillId="0" borderId="5" xfId="0" applyBorder="1" applyAlignment="1">
      <alignment horizontal="justify" vertical="top"/>
    </xf>
    <xf numFmtId="3" fontId="0" fillId="0" borderId="5" xfId="0" applyNumberFormat="1" applyBorder="1" applyAlignment="1">
      <alignment horizontal="justify" vertical="top"/>
    </xf>
    <xf numFmtId="189" fontId="3" fillId="0" borderId="6" xfId="0" applyNumberFormat="1" applyFont="1" applyBorder="1" applyAlignment="1">
      <alignment horizontal="justify" vertical="top"/>
    </xf>
    <xf numFmtId="0" fontId="0" fillId="0" borderId="7" xfId="0" applyBorder="1" applyAlignment="1">
      <alignment horizontal="justify" vertical="top"/>
    </xf>
    <xf numFmtId="3" fontId="0" fillId="0" borderId="8" xfId="0" applyNumberFormat="1" applyBorder="1" applyAlignment="1">
      <alignment horizontal="justify" vertical="top"/>
    </xf>
    <xf numFmtId="0" fontId="0" fillId="0" borderId="1" xfId="0" applyBorder="1" applyAlignment="1">
      <alignment horizontal="justify" vertical="top"/>
    </xf>
    <xf numFmtId="3" fontId="0" fillId="0" borderId="9" xfId="0" applyNumberFormat="1" applyBorder="1" applyAlignment="1">
      <alignment horizontal="justify" vertical="top"/>
    </xf>
    <xf numFmtId="3" fontId="0" fillId="0" borderId="1" xfId="0" applyNumberFormat="1" applyBorder="1" applyAlignment="1">
      <alignment horizontal="justify" vertical="top"/>
    </xf>
    <xf numFmtId="3" fontId="0" fillId="0" borderId="0" xfId="0" applyNumberFormat="1" applyAlignment="1">
      <alignment horizontal="justify" vertical="top"/>
    </xf>
    <xf numFmtId="0" fontId="0" fillId="0" borderId="0" xfId="0" applyAlignment="1">
      <alignment horizontal="justify" vertical="top"/>
    </xf>
    <xf numFmtId="0" fontId="12" fillId="0" borderId="9" xfId="0" applyFont="1" applyBorder="1" applyAlignment="1">
      <alignment horizontal="justify" vertical="top" wrapText="1"/>
    </xf>
    <xf numFmtId="0" fontId="12" fillId="0" borderId="9" xfId="0" applyFont="1" applyBorder="1" applyAlignment="1">
      <alignment horizontal="justify" vertical="top"/>
    </xf>
    <xf numFmtId="0" fontId="12" fillId="0" borderId="0" xfId="0" applyFont="1" applyAlignment="1">
      <alignment horizontal="justify" vertical="top" wrapText="1"/>
    </xf>
    <xf numFmtId="3" fontId="3" fillId="0" borderId="30" xfId="0" applyNumberFormat="1" applyFont="1" applyBorder="1" applyAlignment="1">
      <alignment horizontal="justify" vertical="top"/>
    </xf>
    <xf numFmtId="15" fontId="3" fillId="0" borderId="8" xfId="0" applyNumberFormat="1" applyFont="1" applyBorder="1" applyAlignment="1">
      <alignment horizontal="justify" vertical="top"/>
    </xf>
    <xf numFmtId="0" fontId="8" fillId="0" borderId="9" xfId="0" applyFont="1" applyBorder="1" applyAlignment="1">
      <alignment horizontal="justify" vertical="top"/>
    </xf>
    <xf numFmtId="3" fontId="13" fillId="0" borderId="0" xfId="0" applyNumberFormat="1" applyFont="1" applyAlignment="1">
      <alignment horizontal="justify" vertical="top"/>
    </xf>
    <xf numFmtId="0" fontId="8" fillId="5" borderId="20" xfId="0" applyFont="1" applyFill="1" applyBorder="1" applyAlignment="1">
      <alignment horizontal="center" vertical="top" wrapText="1"/>
    </xf>
    <xf numFmtId="0" fontId="13" fillId="0" borderId="0" xfId="0" applyFont="1" applyAlignment="1">
      <alignment horizontal="justify" vertical="justify"/>
    </xf>
    <xf numFmtId="0" fontId="12" fillId="0" borderId="9" xfId="0" applyFont="1" applyBorder="1" applyAlignment="1">
      <alignment horizontal="justify"/>
    </xf>
    <xf numFmtId="3" fontId="6" fillId="0" borderId="9" xfId="0" applyNumberFormat="1" applyFont="1" applyBorder="1" applyAlignment="1">
      <alignment horizontal="justify" vertical="top"/>
    </xf>
    <xf numFmtId="3" fontId="13" fillId="0" borderId="5" xfId="0" applyNumberFormat="1" applyFont="1" applyBorder="1" applyAlignment="1">
      <alignment vertical="top"/>
    </xf>
    <xf numFmtId="15" fontId="5" fillId="0" borderId="8" xfId="0" applyNumberFormat="1" applyFont="1" applyBorder="1" applyAlignment="1">
      <alignment horizontal="justify" vertical="top"/>
    </xf>
    <xf numFmtId="15" fontId="3" fillId="0" borderId="8" xfId="0" applyNumberFormat="1" applyFont="1" applyBorder="1" applyAlignment="1">
      <alignment horizontal="justify" vertical="top" wrapText="1"/>
    </xf>
    <xf numFmtId="3" fontId="3" fillId="0" borderId="8" xfId="0" applyNumberFormat="1" applyFont="1" applyBorder="1" applyAlignment="1">
      <alignment horizontal="justify" vertical="top"/>
    </xf>
    <xf numFmtId="15" fontId="3" fillId="0" borderId="9" xfId="0" applyNumberFormat="1" applyFont="1" applyBorder="1" applyAlignment="1">
      <alignment horizontal="justify" vertical="top"/>
    </xf>
    <xf numFmtId="15" fontId="5" fillId="0" borderId="9" xfId="0" applyNumberFormat="1" applyFont="1" applyBorder="1" applyAlignment="1">
      <alignment horizontal="justify" vertical="top"/>
    </xf>
    <xf numFmtId="0" fontId="13" fillId="0" borderId="0" xfId="0" applyFont="1" applyAlignment="1">
      <alignment horizontal="justify" vertical="top"/>
    </xf>
    <xf numFmtId="0" fontId="13" fillId="0" borderId="0" xfId="0" applyFont="1"/>
    <xf numFmtId="3" fontId="13" fillId="0" borderId="8" xfId="0" applyNumberFormat="1" applyFont="1" applyBorder="1" applyAlignment="1">
      <alignment vertical="top"/>
    </xf>
    <xf numFmtId="0" fontId="13" fillId="0" borderId="5" xfId="0" applyFont="1" applyBorder="1" applyAlignment="1">
      <alignment horizontal="justify" vertical="top"/>
    </xf>
    <xf numFmtId="3" fontId="13" fillId="0" borderId="5" xfId="0" applyNumberFormat="1" applyFont="1" applyBorder="1" applyAlignment="1">
      <alignment horizontal="justify" vertical="top"/>
    </xf>
    <xf numFmtId="0" fontId="13" fillId="0" borderId="7" xfId="0" applyFont="1" applyBorder="1" applyAlignment="1">
      <alignment horizontal="justify" vertical="top"/>
    </xf>
    <xf numFmtId="3" fontId="13" fillId="0" borderId="8" xfId="0" applyNumberFormat="1" applyFont="1" applyBorder="1" applyAlignment="1">
      <alignment horizontal="justify" vertical="top"/>
    </xf>
    <xf numFmtId="0" fontId="13" fillId="0" borderId="1" xfId="0" applyFont="1" applyBorder="1" applyAlignment="1">
      <alignment horizontal="justify" vertical="top"/>
    </xf>
    <xf numFmtId="3" fontId="13" fillId="0" borderId="9" xfId="0" applyNumberFormat="1" applyFont="1" applyBorder="1" applyAlignment="1">
      <alignment horizontal="justify" vertical="top"/>
    </xf>
    <xf numFmtId="3" fontId="13" fillId="0" borderId="1" xfId="0" applyNumberFormat="1" applyFont="1" applyBorder="1" applyAlignment="1">
      <alignment horizontal="justify" vertical="top"/>
    </xf>
    <xf numFmtId="1" fontId="13" fillId="0" borderId="0" xfId="0" applyNumberFormat="1" applyFont="1" applyAlignment="1">
      <alignment horizontal="center" vertical="justify"/>
    </xf>
    <xf numFmtId="0" fontId="12" fillId="0" borderId="8" xfId="0" applyFont="1" applyBorder="1" applyAlignment="1">
      <alignment horizontal="justify" vertical="top"/>
    </xf>
    <xf numFmtId="0" fontId="22" fillId="0" borderId="0" xfId="0" applyFont="1" applyAlignment="1">
      <alignment horizontal="justify" vertical="top"/>
    </xf>
    <xf numFmtId="0" fontId="0" fillId="7" borderId="4" xfId="0" applyFill="1" applyBorder="1" applyAlignment="1">
      <alignment horizontal="center"/>
    </xf>
    <xf numFmtId="0" fontId="8" fillId="7" borderId="4" xfId="0" applyFont="1" applyFill="1" applyBorder="1" applyAlignment="1">
      <alignment horizontal="center" vertical="justify" wrapText="1"/>
    </xf>
    <xf numFmtId="3" fontId="6" fillId="0" borderId="31" xfId="0" applyNumberFormat="1" applyFont="1" applyBorder="1" applyAlignment="1">
      <alignment horizontal="justify" vertical="top" wrapText="1"/>
    </xf>
    <xf numFmtId="3" fontId="6" fillId="0" borderId="9" xfId="0" applyNumberFormat="1" applyFont="1" applyBorder="1" applyAlignment="1">
      <alignment horizontal="justify" vertical="top" wrapText="1"/>
    </xf>
    <xf numFmtId="3" fontId="6" fillId="0" borderId="9" xfId="0" applyNumberFormat="1" applyFont="1" applyFill="1" applyBorder="1" applyAlignment="1">
      <alignment horizontal="justify" vertical="top" wrapText="1"/>
    </xf>
    <xf numFmtId="3" fontId="8" fillId="0" borderId="0" xfId="0" applyNumberFormat="1" applyFont="1" applyBorder="1" applyAlignment="1">
      <alignment horizontal="justify" vertical="top"/>
    </xf>
    <xf numFmtId="187" fontId="0" fillId="0" borderId="0" xfId="0" applyNumberFormat="1" applyAlignment="1">
      <alignment horizontal="justify" vertical="top"/>
    </xf>
    <xf numFmtId="187" fontId="8" fillId="4" borderId="18" xfId="0" applyNumberFormat="1" applyFont="1" applyFill="1" applyBorder="1" applyAlignment="1">
      <alignment horizontal="center" vertical="top"/>
    </xf>
    <xf numFmtId="0" fontId="5" fillId="5" borderId="24" xfId="0" applyFont="1" applyFill="1" applyBorder="1" applyAlignment="1">
      <alignment horizontal="justify" vertical="top"/>
    </xf>
    <xf numFmtId="15" fontId="3" fillId="0" borderId="26" xfId="0" applyNumberFormat="1" applyFont="1" applyBorder="1" applyAlignment="1">
      <alignment horizontal="justify" vertical="top" wrapText="1"/>
    </xf>
    <xf numFmtId="15" fontId="3" fillId="0" borderId="4" xfId="0" applyNumberFormat="1" applyFont="1" applyBorder="1" applyAlignment="1">
      <alignment horizontal="justify" vertical="top" wrapText="1"/>
    </xf>
    <xf numFmtId="15" fontId="3" fillId="0" borderId="8" xfId="0" applyNumberFormat="1" applyFont="1" applyFill="1" applyBorder="1" applyAlignment="1">
      <alignment horizontal="justify" vertical="top" wrapText="1"/>
    </xf>
    <xf numFmtId="15" fontId="5" fillId="0" borderId="8" xfId="0" applyNumberFormat="1" applyFont="1" applyBorder="1" applyAlignment="1">
      <alignment horizontal="justify" vertical="top" wrapText="1"/>
    </xf>
    <xf numFmtId="15" fontId="8" fillId="0" borderId="8" xfId="0" applyNumberFormat="1" applyFont="1" applyBorder="1" applyAlignment="1">
      <alignment horizontal="justify" vertical="top" wrapText="1"/>
    </xf>
    <xf numFmtId="3" fontId="5" fillId="0" borderId="13" xfId="0" applyNumberFormat="1" applyFont="1" applyBorder="1" applyAlignment="1">
      <alignment horizontal="justify" vertical="top"/>
    </xf>
    <xf numFmtId="3" fontId="5" fillId="0" borderId="0" xfId="0" applyNumberFormat="1" applyFont="1" applyBorder="1" applyAlignment="1">
      <alignment horizontal="justify" vertical="top"/>
    </xf>
    <xf numFmtId="3" fontId="15" fillId="0" borderId="5" xfId="0" applyNumberFormat="1" applyFont="1" applyBorder="1" applyAlignment="1">
      <alignment horizontal="justify" vertical="top"/>
    </xf>
    <xf numFmtId="3" fontId="15" fillId="0" borderId="8" xfId="0" applyNumberFormat="1" applyFont="1" applyBorder="1" applyAlignment="1">
      <alignment horizontal="justify" vertical="top"/>
    </xf>
    <xf numFmtId="1" fontId="3" fillId="0" borderId="4" xfId="0" applyNumberFormat="1" applyFont="1" applyBorder="1" applyAlignment="1">
      <alignment horizontal="justify" vertical="top"/>
    </xf>
    <xf numFmtId="3" fontId="15" fillId="0" borderId="7" xfId="0" applyNumberFormat="1" applyFont="1" applyBorder="1" applyAlignment="1">
      <alignment vertical="top"/>
    </xf>
    <xf numFmtId="0" fontId="3" fillId="0" borderId="4" xfId="0" applyFont="1" applyBorder="1" applyAlignment="1">
      <alignment horizontal="justify" vertical="top"/>
    </xf>
    <xf numFmtId="3" fontId="15" fillId="0" borderId="32" xfId="0" applyNumberFormat="1" applyFont="1" applyBorder="1" applyAlignment="1">
      <alignment wrapText="1"/>
    </xf>
    <xf numFmtId="3" fontId="15" fillId="0" borderId="7" xfId="0" applyNumberFormat="1" applyFont="1" applyBorder="1" applyAlignment="1">
      <alignment wrapText="1"/>
    </xf>
    <xf numFmtId="3" fontId="15" fillId="0" borderId="7" xfId="0" applyNumberFormat="1" applyFont="1" applyFill="1" applyBorder="1" applyAlignment="1">
      <alignment wrapText="1"/>
    </xf>
    <xf numFmtId="3" fontId="13" fillId="0" borderId="7" xfId="0" applyNumberFormat="1" applyFont="1" applyBorder="1" applyAlignment="1">
      <alignment wrapText="1"/>
    </xf>
    <xf numFmtId="3" fontId="13" fillId="0" borderId="7" xfId="0" applyNumberFormat="1" applyFont="1" applyBorder="1" applyAlignment="1">
      <alignment vertical="top"/>
    </xf>
    <xf numFmtId="3" fontId="15" fillId="0" borderId="7" xfId="0" applyNumberFormat="1" applyFont="1" applyBorder="1" applyAlignment="1">
      <alignment horizontal="justify" vertical="top"/>
    </xf>
    <xf numFmtId="186" fontId="8" fillId="8" borderId="33" xfId="0" applyNumberFormat="1" applyFont="1" applyFill="1" applyBorder="1" applyAlignment="1">
      <alignment horizontal="center" vertical="justify"/>
    </xf>
    <xf numFmtId="0" fontId="8" fillId="8" borderId="34" xfId="0" applyFont="1" applyFill="1" applyBorder="1" applyAlignment="1">
      <alignment horizontal="center" vertical="justify"/>
    </xf>
    <xf numFmtId="0" fontId="8" fillId="8" borderId="35" xfId="0" applyFont="1" applyFill="1" applyBorder="1" applyAlignment="1">
      <alignment horizontal="center" vertical="justify"/>
    </xf>
    <xf numFmtId="0" fontId="10" fillId="0" borderId="4" xfId="0" applyFont="1" applyBorder="1" applyAlignment="1">
      <alignment vertical="top" wrapText="1"/>
    </xf>
    <xf numFmtId="0" fontId="3" fillId="0" borderId="4" xfId="0" applyFont="1" applyFill="1" applyBorder="1" applyAlignment="1">
      <alignment horizontal="justify" vertical="top"/>
    </xf>
    <xf numFmtId="0" fontId="3" fillId="0" borderId="4" xfId="0" applyFont="1" applyFill="1" applyBorder="1" applyAlignment="1">
      <alignment vertical="top" wrapText="1"/>
    </xf>
    <xf numFmtId="0" fontId="3" fillId="0" borderId="4" xfId="0" applyFont="1" applyFill="1" applyBorder="1" applyAlignment="1">
      <alignment horizontal="justify" vertical="top" wrapText="1"/>
    </xf>
    <xf numFmtId="0" fontId="3" fillId="0" borderId="4" xfId="0" applyFont="1" applyBorder="1" applyAlignment="1">
      <alignment vertical="top"/>
    </xf>
    <xf numFmtId="14" fontId="3" fillId="0" borderId="4" xfId="0" applyNumberFormat="1" applyFont="1" applyBorder="1" applyAlignment="1">
      <alignment vertical="top" wrapText="1"/>
    </xf>
    <xf numFmtId="0" fontId="3" fillId="9" borderId="4" xfId="0" applyFont="1" applyFill="1" applyBorder="1" applyAlignment="1">
      <alignment vertical="top" wrapText="1"/>
    </xf>
    <xf numFmtId="14" fontId="3" fillId="0" borderId="4" xfId="0" applyNumberFormat="1" applyFont="1" applyBorder="1" applyAlignment="1">
      <alignment horizontal="justify" vertical="top"/>
    </xf>
    <xf numFmtId="15" fontId="3" fillId="0" borderId="36" xfId="0" applyNumberFormat="1" applyFont="1" applyBorder="1" applyAlignment="1">
      <alignment horizontal="justify" vertical="top"/>
    </xf>
    <xf numFmtId="0" fontId="3" fillId="0" borderId="37" xfId="0" applyFont="1" applyBorder="1" applyAlignment="1">
      <alignment vertical="top" wrapText="1"/>
    </xf>
    <xf numFmtId="15" fontId="3" fillId="0" borderId="38" xfId="0" applyNumberFormat="1" applyFont="1" applyBorder="1" applyAlignment="1">
      <alignment horizontal="justify" vertical="top"/>
    </xf>
    <xf numFmtId="15" fontId="3" fillId="0" borderId="38" xfId="0" applyNumberFormat="1" applyFont="1" applyFill="1" applyBorder="1" applyAlignment="1">
      <alignment horizontal="justify" vertical="top"/>
    </xf>
    <xf numFmtId="194" fontId="3" fillId="0" borderId="38" xfId="0" applyNumberFormat="1" applyFont="1" applyFill="1" applyBorder="1" applyAlignment="1">
      <alignment horizontal="center" vertical="top"/>
    </xf>
    <xf numFmtId="15" fontId="3" fillId="0" borderId="38" xfId="0" applyNumberFormat="1" applyFont="1" applyBorder="1" applyAlignment="1">
      <alignment horizontal="justify" vertical="top" wrapText="1"/>
    </xf>
    <xf numFmtId="15" fontId="3" fillId="9" borderId="38" xfId="0" applyNumberFormat="1" applyFont="1" applyFill="1" applyBorder="1" applyAlignment="1">
      <alignment horizontal="justify" vertical="top"/>
    </xf>
    <xf numFmtId="3" fontId="15" fillId="0" borderId="5" xfId="0" applyNumberFormat="1" applyFont="1" applyBorder="1" applyAlignment="1">
      <alignment horizontal="right" vertical="top"/>
    </xf>
    <xf numFmtId="43" fontId="5" fillId="0" borderId="0" xfId="1" applyFont="1" applyBorder="1" applyAlignment="1">
      <alignment horizontal="center" vertical="justify"/>
    </xf>
    <xf numFmtId="0" fontId="12" fillId="0" borderId="4" xfId="0" applyFont="1" applyBorder="1" applyAlignment="1">
      <alignment horizontal="justify" vertical="top"/>
    </xf>
    <xf numFmtId="3" fontId="13" fillId="0" borderId="0" xfId="0" applyNumberFormat="1" applyFont="1" applyAlignment="1">
      <alignment horizontal="justify" vertical="justify"/>
    </xf>
    <xf numFmtId="3" fontId="15" fillId="0" borderId="39" xfId="0" applyNumberFormat="1" applyFont="1" applyBorder="1" applyAlignment="1">
      <alignment vertical="top"/>
    </xf>
    <xf numFmtId="15" fontId="3" fillId="0" borderId="2" xfId="0" applyNumberFormat="1" applyFont="1" applyBorder="1" applyAlignment="1">
      <alignment horizontal="justify" vertical="top"/>
    </xf>
    <xf numFmtId="188" fontId="3" fillId="0" borderId="8" xfId="0" applyNumberFormat="1" applyFont="1" applyBorder="1" applyAlignment="1">
      <alignment horizontal="right" vertical="top"/>
    </xf>
    <xf numFmtId="1" fontId="3" fillId="0" borderId="8" xfId="0" applyNumberFormat="1" applyFont="1" applyBorder="1" applyAlignment="1">
      <alignment horizontal="justify" vertical="top" wrapText="1"/>
    </xf>
    <xf numFmtId="3" fontId="5" fillId="0" borderId="40" xfId="0" applyNumberFormat="1" applyFont="1" applyBorder="1" applyAlignment="1">
      <alignment horizontal="justify" vertical="justify"/>
    </xf>
    <xf numFmtId="3" fontId="5" fillId="0" borderId="41" xfId="0" applyNumberFormat="1" applyFont="1" applyBorder="1" applyAlignment="1">
      <alignment horizontal="justify" vertical="justify"/>
    </xf>
    <xf numFmtId="3" fontId="5" fillId="0" borderId="42" xfId="0" applyNumberFormat="1" applyFont="1" applyBorder="1" applyAlignment="1">
      <alignment horizontal="justify" vertical="top"/>
    </xf>
    <xf numFmtId="3" fontId="5" fillId="0" borderId="42" xfId="0" applyNumberFormat="1" applyFont="1" applyBorder="1" applyAlignment="1">
      <alignment horizontal="justify" vertical="justify"/>
    </xf>
    <xf numFmtId="3" fontId="3" fillId="0" borderId="42" xfId="0" applyNumberFormat="1" applyFont="1" applyBorder="1" applyAlignment="1">
      <alignment horizontal="right" vertical="justify"/>
    </xf>
    <xf numFmtId="0" fontId="3" fillId="0" borderId="42" xfId="0" applyFont="1" applyBorder="1" applyAlignment="1">
      <alignment horizontal="justify" vertical="justify"/>
    </xf>
    <xf numFmtId="3" fontId="5" fillId="0" borderId="43" xfId="0" applyNumberFormat="1" applyFont="1" applyBorder="1" applyAlignment="1">
      <alignment horizontal="right" vertical="justify"/>
    </xf>
    <xf numFmtId="3" fontId="5" fillId="0" borderId="12" xfId="0" applyNumberFormat="1" applyFont="1" applyBorder="1" applyAlignment="1">
      <alignment horizontal="right" vertical="justify"/>
    </xf>
    <xf numFmtId="3" fontId="5" fillId="0" borderId="40" xfId="0" applyNumberFormat="1" applyFont="1" applyBorder="1" applyAlignment="1">
      <alignment horizontal="right" vertical="justify"/>
    </xf>
    <xf numFmtId="3" fontId="5" fillId="0" borderId="42" xfId="0" applyNumberFormat="1" applyFont="1" applyBorder="1" applyAlignment="1">
      <alignment horizontal="right" vertical="justify"/>
    </xf>
    <xf numFmtId="3" fontId="5" fillId="0" borderId="10" xfId="0" applyNumberFormat="1" applyFont="1" applyBorder="1" applyAlignment="1">
      <alignment horizontal="right" vertical="justify"/>
    </xf>
    <xf numFmtId="3" fontId="5" fillId="0" borderId="13" xfId="0" applyNumberFormat="1" applyFont="1" applyBorder="1" applyAlignment="1">
      <alignment horizontal="right" vertical="justify"/>
    </xf>
    <xf numFmtId="3" fontId="5" fillId="0" borderId="41" xfId="0" applyNumberFormat="1" applyFont="1" applyBorder="1" applyAlignment="1">
      <alignment horizontal="right" vertical="justify"/>
    </xf>
    <xf numFmtId="3" fontId="3" fillId="0" borderId="0" xfId="0" applyNumberFormat="1" applyFont="1" applyAlignment="1">
      <alignment horizontal="justify" vertical="justify"/>
    </xf>
    <xf numFmtId="0" fontId="3" fillId="0" borderId="0" xfId="0" applyFont="1" applyAlignment="1">
      <alignment horizontal="justify" vertical="justify"/>
    </xf>
    <xf numFmtId="187" fontId="13" fillId="0" borderId="0" xfId="0" applyNumberFormat="1" applyFont="1" applyAlignment="1">
      <alignment horizontal="justify" vertical="justify"/>
    </xf>
    <xf numFmtId="3" fontId="23" fillId="0" borderId="41" xfId="0" applyNumberFormat="1" applyFont="1" applyBorder="1" applyAlignment="1">
      <alignment horizontal="justify" vertical="justify"/>
    </xf>
    <xf numFmtId="15" fontId="24" fillId="0" borderId="8" xfId="0" applyNumberFormat="1" applyFont="1" applyBorder="1" applyAlignment="1">
      <alignment horizontal="justify" vertical="top"/>
    </xf>
    <xf numFmtId="15" fontId="12" fillId="0" borderId="9" xfId="0" applyNumberFormat="1" applyFont="1" applyBorder="1" applyAlignment="1">
      <alignment vertical="top" wrapText="1"/>
    </xf>
    <xf numFmtId="0" fontId="0" fillId="0" borderId="9" xfId="0" applyBorder="1" applyAlignment="1">
      <alignment horizontal="justify" vertical="top"/>
    </xf>
    <xf numFmtId="3" fontId="13" fillId="9" borderId="7" xfId="0" applyNumberFormat="1" applyFont="1" applyFill="1" applyBorder="1" applyAlignment="1">
      <alignment vertical="top"/>
    </xf>
    <xf numFmtId="15" fontId="24" fillId="0" borderId="8" xfId="0" applyNumberFormat="1" applyFont="1" applyBorder="1" applyAlignment="1">
      <alignment horizontal="center" vertical="top"/>
    </xf>
    <xf numFmtId="3" fontId="13" fillId="9" borderId="7" xfId="0" applyNumberFormat="1" applyFont="1" applyFill="1" applyBorder="1" applyAlignment="1">
      <alignment wrapText="1"/>
    </xf>
    <xf numFmtId="15" fontId="8" fillId="0" borderId="9" xfId="0" applyNumberFormat="1" applyFont="1" applyBorder="1" applyAlignment="1">
      <alignment horizontal="justify" vertical="top"/>
    </xf>
    <xf numFmtId="0" fontId="3" fillId="9" borderId="4" xfId="0" applyFont="1" applyFill="1" applyBorder="1" applyAlignment="1">
      <alignment vertical="top"/>
    </xf>
    <xf numFmtId="0" fontId="3" fillId="9" borderId="4" xfId="0" applyFont="1" applyFill="1" applyBorder="1" applyAlignment="1">
      <alignment horizontal="justify" vertical="top"/>
    </xf>
    <xf numFmtId="15" fontId="5" fillId="0" borderId="4" xfId="0" applyNumberFormat="1" applyFont="1" applyBorder="1" applyAlignment="1">
      <alignment horizontal="justify" vertical="top"/>
    </xf>
    <xf numFmtId="15" fontId="3" fillId="0" borderId="4" xfId="0" applyNumberFormat="1" applyFont="1" applyFill="1" applyBorder="1" applyAlignment="1">
      <alignment horizontal="center" vertical="top"/>
    </xf>
    <xf numFmtId="15" fontId="3" fillId="0" borderId="4" xfId="0" applyNumberFormat="1" applyFont="1" applyFill="1" applyBorder="1" applyAlignment="1">
      <alignment horizontal="justify" vertical="top" wrapText="1"/>
    </xf>
    <xf numFmtId="0" fontId="14" fillId="0" borderId="4" xfId="0" applyFont="1" applyBorder="1" applyAlignment="1">
      <alignment vertical="top" wrapText="1"/>
    </xf>
    <xf numFmtId="0" fontId="8" fillId="0" borderId="31" xfId="0" applyFont="1" applyBorder="1" applyAlignment="1">
      <alignment vertical="top" wrapText="1"/>
    </xf>
    <xf numFmtId="0" fontId="12" fillId="0" borderId="4" xfId="0" applyFont="1" applyFill="1" applyBorder="1" applyAlignment="1">
      <alignment vertical="top" wrapText="1"/>
    </xf>
    <xf numFmtId="0" fontId="0" fillId="9" borderId="0" xfId="0" applyFill="1" applyAlignment="1">
      <alignment horizontal="justify" vertical="top"/>
    </xf>
    <xf numFmtId="3" fontId="15" fillId="0" borderId="4" xfId="0" applyNumberFormat="1" applyFont="1" applyBorder="1" applyAlignment="1">
      <alignment vertical="top"/>
    </xf>
    <xf numFmtId="3" fontId="6" fillId="0" borderId="4" xfId="0" applyNumberFormat="1" applyFont="1" applyBorder="1" applyAlignment="1">
      <alignment horizontal="justify" vertical="top"/>
    </xf>
    <xf numFmtId="188" fontId="3" fillId="0" borderId="4" xfId="0" applyNumberFormat="1" applyFont="1" applyBorder="1" applyAlignment="1">
      <alignment horizontal="right" vertical="top"/>
    </xf>
    <xf numFmtId="15" fontId="3" fillId="0" borderId="39" xfId="0" applyNumberFormat="1" applyFont="1" applyBorder="1" applyAlignment="1">
      <alignment horizontal="justify" vertical="top"/>
    </xf>
    <xf numFmtId="186" fontId="2" fillId="0" borderId="0" xfId="0" applyNumberFormat="1" applyFont="1" applyBorder="1" applyAlignment="1">
      <alignment horizontal="left" vertical="justify"/>
    </xf>
    <xf numFmtId="186" fontId="5" fillId="0" borderId="44" xfId="0" applyNumberFormat="1" applyFont="1" applyBorder="1" applyAlignment="1">
      <alignment horizontal="justify" vertical="justify"/>
    </xf>
    <xf numFmtId="0" fontId="0" fillId="0" borderId="45" xfId="0" applyBorder="1" applyAlignment="1">
      <alignment horizontal="center"/>
    </xf>
    <xf numFmtId="15" fontId="3" fillId="10" borderId="4" xfId="0" applyNumberFormat="1" applyFont="1" applyFill="1" applyBorder="1" applyAlignment="1">
      <alignment horizontal="justify" vertical="top"/>
    </xf>
    <xf numFmtId="1" fontId="3" fillId="10" borderId="4" xfId="0" applyNumberFormat="1" applyFont="1" applyFill="1" applyBorder="1" applyAlignment="1">
      <alignment horizontal="right" vertical="top"/>
    </xf>
    <xf numFmtId="15" fontId="3" fillId="10" borderId="8" xfId="0" applyNumberFormat="1" applyFont="1" applyFill="1" applyBorder="1" applyAlignment="1">
      <alignment horizontal="center" vertical="top"/>
    </xf>
    <xf numFmtId="1" fontId="3" fillId="10" borderId="8" xfId="0" applyNumberFormat="1" applyFont="1" applyFill="1" applyBorder="1" applyAlignment="1">
      <alignment horizontal="center" vertical="top"/>
    </xf>
    <xf numFmtId="3" fontId="15" fillId="9" borderId="5" xfId="0" applyNumberFormat="1" applyFont="1" applyFill="1" applyBorder="1" applyAlignment="1">
      <alignment vertical="top"/>
    </xf>
    <xf numFmtId="3" fontId="15" fillId="9" borderId="8" xfId="0" applyNumberFormat="1" applyFont="1" applyFill="1" applyBorder="1" applyAlignment="1">
      <alignment vertical="top"/>
    </xf>
    <xf numFmtId="3" fontId="6" fillId="9" borderId="9" xfId="0" applyNumberFormat="1" applyFont="1" applyFill="1" applyBorder="1" applyAlignment="1">
      <alignment horizontal="justify" vertical="top"/>
    </xf>
    <xf numFmtId="15" fontId="3" fillId="9" borderId="1" xfId="0" applyNumberFormat="1" applyFont="1" applyFill="1" applyBorder="1" applyAlignment="1">
      <alignment horizontal="justify" vertical="top"/>
    </xf>
    <xf numFmtId="188" fontId="3" fillId="9" borderId="5" xfId="0" applyNumberFormat="1" applyFont="1" applyFill="1" applyBorder="1" applyAlignment="1">
      <alignment horizontal="right" vertical="top"/>
    </xf>
    <xf numFmtId="188" fontId="3" fillId="9" borderId="28" xfId="0" applyNumberFormat="1" applyFont="1" applyFill="1" applyBorder="1" applyAlignment="1">
      <alignment horizontal="right" vertical="top"/>
    </xf>
    <xf numFmtId="188" fontId="16" fillId="9" borderId="29" xfId="0" applyNumberFormat="1" applyFont="1" applyFill="1" applyBorder="1" applyAlignment="1">
      <alignment horizontal="right" vertical="top"/>
    </xf>
    <xf numFmtId="15" fontId="3" fillId="9" borderId="4" xfId="0" applyNumberFormat="1" applyFont="1" applyFill="1" applyBorder="1" applyAlignment="1">
      <alignment horizontal="justify" vertical="top"/>
    </xf>
    <xf numFmtId="1" fontId="3" fillId="9" borderId="4" xfId="0" applyNumberFormat="1" applyFont="1" applyFill="1" applyBorder="1" applyAlignment="1">
      <alignment horizontal="right" vertical="top"/>
    </xf>
    <xf numFmtId="15" fontId="3" fillId="9" borderId="8" xfId="0" applyNumberFormat="1" applyFont="1" applyFill="1" applyBorder="1" applyAlignment="1">
      <alignment horizontal="center" vertical="top"/>
    </xf>
    <xf numFmtId="1" fontId="3" fillId="9" borderId="8" xfId="0" applyNumberFormat="1" applyFont="1" applyFill="1" applyBorder="1" applyAlignment="1">
      <alignment horizontal="center" vertical="top"/>
    </xf>
    <xf numFmtId="15" fontId="3" fillId="9" borderId="8" xfId="0" applyNumberFormat="1" applyFont="1" applyFill="1" applyBorder="1" applyAlignment="1">
      <alignment horizontal="justify" vertical="top"/>
    </xf>
    <xf numFmtId="0" fontId="12" fillId="9" borderId="9" xfId="0" applyFont="1" applyFill="1" applyBorder="1" applyAlignment="1">
      <alignment horizontal="justify" vertical="top"/>
    </xf>
    <xf numFmtId="3" fontId="3" fillId="9" borderId="2" xfId="0" applyNumberFormat="1" applyFont="1" applyFill="1" applyBorder="1" applyAlignment="1">
      <alignment horizontal="justify" vertical="top"/>
    </xf>
    <xf numFmtId="3" fontId="3" fillId="9" borderId="3" xfId="0" applyNumberFormat="1" applyFont="1" applyFill="1" applyBorder="1" applyAlignment="1">
      <alignment horizontal="justify" vertical="top"/>
    </xf>
    <xf numFmtId="3" fontId="3" fillId="9" borderId="4" xfId="0" applyNumberFormat="1" applyFont="1" applyFill="1" applyBorder="1" applyAlignment="1">
      <alignment horizontal="justify" vertical="top"/>
    </xf>
    <xf numFmtId="0" fontId="0" fillId="9" borderId="5" xfId="0" applyFill="1" applyBorder="1" applyAlignment="1">
      <alignment horizontal="justify" vertical="top"/>
    </xf>
    <xf numFmtId="3" fontId="0" fillId="9" borderId="5" xfId="0" applyNumberFormat="1" applyFill="1" applyBorder="1" applyAlignment="1">
      <alignment horizontal="justify" vertical="top"/>
    </xf>
    <xf numFmtId="189" fontId="3" fillId="9" borderId="6" xfId="0" applyNumberFormat="1" applyFont="1" applyFill="1" applyBorder="1" applyAlignment="1">
      <alignment horizontal="justify" vertical="top"/>
    </xf>
    <xf numFmtId="0" fontId="0" fillId="9" borderId="7" xfId="0" applyFill="1" applyBorder="1" applyAlignment="1">
      <alignment horizontal="justify" vertical="top"/>
    </xf>
    <xf numFmtId="3" fontId="0" fillId="9" borderId="8" xfId="0" applyNumberFormat="1" applyFill="1" applyBorder="1" applyAlignment="1">
      <alignment horizontal="justify" vertical="top"/>
    </xf>
    <xf numFmtId="0" fontId="0" fillId="9" borderId="1" xfId="0" applyFill="1" applyBorder="1" applyAlignment="1">
      <alignment horizontal="justify" vertical="top"/>
    </xf>
    <xf numFmtId="3" fontId="0" fillId="9" borderId="9" xfId="0" applyNumberFormat="1" applyFill="1" applyBorder="1" applyAlignment="1">
      <alignment horizontal="justify" vertical="top"/>
    </xf>
    <xf numFmtId="3" fontId="0" fillId="9" borderId="1" xfId="0" applyNumberFormat="1" applyFill="1" applyBorder="1" applyAlignment="1">
      <alignment horizontal="justify" vertical="top"/>
    </xf>
    <xf numFmtId="1" fontId="3" fillId="9" borderId="4" xfId="0" applyNumberFormat="1" applyFont="1" applyFill="1" applyBorder="1" applyAlignment="1">
      <alignment horizontal="center" vertical="top"/>
    </xf>
    <xf numFmtId="3" fontId="0" fillId="9" borderId="0" xfId="0" applyNumberFormat="1" applyFill="1" applyAlignment="1">
      <alignment horizontal="justify" vertical="top"/>
    </xf>
    <xf numFmtId="3" fontId="15" fillId="9" borderId="7" xfId="0" applyNumberFormat="1" applyFont="1" applyFill="1" applyBorder="1" applyAlignment="1">
      <alignment vertical="top"/>
    </xf>
    <xf numFmtId="0" fontId="8" fillId="0" borderId="4" xfId="0" applyFont="1" applyBorder="1" applyAlignment="1">
      <alignment horizontal="justify" vertical="top"/>
    </xf>
    <xf numFmtId="0" fontId="0" fillId="0" borderId="0" xfId="0" quotePrefix="1"/>
    <xf numFmtId="0" fontId="8" fillId="8" borderId="29" xfId="0" applyFont="1" applyFill="1" applyBorder="1" applyAlignment="1">
      <alignment horizontal="center" vertical="justify"/>
    </xf>
    <xf numFmtId="0" fontId="3" fillId="0" borderId="0" xfId="0" applyFont="1" applyBorder="1" applyAlignment="1">
      <alignment vertical="top" wrapText="1"/>
    </xf>
    <xf numFmtId="0" fontId="3" fillId="0" borderId="29" xfId="0" applyFont="1" applyBorder="1" applyAlignment="1">
      <alignment vertical="top" wrapText="1"/>
    </xf>
    <xf numFmtId="0" fontId="3" fillId="0" borderId="29" xfId="0" applyFont="1" applyFill="1" applyBorder="1" applyAlignment="1">
      <alignment horizontal="justify" vertical="top"/>
    </xf>
    <xf numFmtId="0" fontId="3" fillId="0" borderId="29" xfId="0" applyFont="1" applyFill="1" applyBorder="1" applyAlignment="1">
      <alignment vertical="top" wrapText="1"/>
    </xf>
    <xf numFmtId="0" fontId="3" fillId="0" borderId="29" xfId="0" applyFont="1" applyBorder="1" applyAlignment="1">
      <alignment horizontal="justify" vertical="top"/>
    </xf>
    <xf numFmtId="0" fontId="3" fillId="9" borderId="29" xfId="0" applyFont="1" applyFill="1" applyBorder="1" applyAlignment="1">
      <alignment vertical="top" wrapText="1"/>
    </xf>
    <xf numFmtId="0" fontId="3" fillId="0" borderId="29" xfId="0" applyFont="1" applyBorder="1" applyAlignment="1">
      <alignment vertical="top"/>
    </xf>
    <xf numFmtId="0" fontId="3" fillId="9" borderId="29" xfId="0" applyFont="1" applyFill="1" applyBorder="1" applyAlignment="1">
      <alignment vertical="top"/>
    </xf>
    <xf numFmtId="0" fontId="3" fillId="9" borderId="29" xfId="0" applyFont="1" applyFill="1" applyBorder="1" applyAlignment="1">
      <alignment horizontal="justify" vertical="top"/>
    </xf>
    <xf numFmtId="0" fontId="3" fillId="0" borderId="46" xfId="0" applyFont="1" applyBorder="1" applyAlignment="1">
      <alignment horizontal="justify" vertical="top"/>
    </xf>
    <xf numFmtId="0" fontId="8" fillId="8" borderId="29" xfId="2" applyFont="1" applyFill="1" applyBorder="1" applyAlignment="1">
      <alignment horizontal="center" vertical="justify"/>
    </xf>
    <xf numFmtId="0" fontId="25" fillId="0" borderId="0" xfId="2" applyFont="1" applyAlignment="1">
      <alignment horizontal="center" vertical="justify"/>
    </xf>
    <xf numFmtId="0" fontId="13" fillId="0" borderId="0" xfId="2" applyAlignment="1">
      <alignment horizontal="center" vertical="justify"/>
    </xf>
    <xf numFmtId="0" fontId="26" fillId="11" borderId="47" xfId="2" applyFont="1" applyFill="1" applyBorder="1" applyAlignment="1">
      <alignment horizontal="centerContinuous" vertical="justify"/>
    </xf>
    <xf numFmtId="0" fontId="27" fillId="11" borderId="48" xfId="2" applyFont="1" applyFill="1" applyBorder="1" applyAlignment="1">
      <alignment horizontal="centerContinuous" vertical="justify"/>
    </xf>
    <xf numFmtId="0" fontId="28" fillId="11" borderId="48" xfId="2" applyFont="1" applyFill="1" applyBorder="1" applyAlignment="1">
      <alignment horizontal="centerContinuous" vertical="justify"/>
    </xf>
    <xf numFmtId="0" fontId="28" fillId="11" borderId="49" xfId="2" applyFont="1" applyFill="1" applyBorder="1" applyAlignment="1">
      <alignment horizontal="centerContinuous" vertical="justify"/>
    </xf>
    <xf numFmtId="0" fontId="27" fillId="11" borderId="0" xfId="2" applyFont="1" applyFill="1" applyAlignment="1">
      <alignment horizontal="centerContinuous" vertical="justify"/>
    </xf>
    <xf numFmtId="0" fontId="26" fillId="12" borderId="0" xfId="2" applyFont="1" applyFill="1" applyAlignment="1">
      <alignment horizontal="center" vertical="justify"/>
    </xf>
    <xf numFmtId="0" fontId="12" fillId="0" borderId="0" xfId="2" applyFont="1" applyAlignment="1">
      <alignment horizontal="center" vertical="justify"/>
    </xf>
    <xf numFmtId="0" fontId="13" fillId="0" borderId="5" xfId="2" applyBorder="1" applyAlignment="1">
      <alignment horizontal="justify" vertical="justify"/>
    </xf>
    <xf numFmtId="0" fontId="13" fillId="0" borderId="0" xfId="2" applyAlignment="1">
      <alignment horizontal="justify" vertical="justify"/>
    </xf>
    <xf numFmtId="0" fontId="13" fillId="0" borderId="0" xfId="2"/>
    <xf numFmtId="0" fontId="13" fillId="0" borderId="0" xfId="2" applyFont="1"/>
    <xf numFmtId="0" fontId="13" fillId="0" borderId="27" xfId="2" applyBorder="1" applyAlignment="1">
      <alignment horizontal="justify" vertical="justify"/>
    </xf>
    <xf numFmtId="0" fontId="13" fillId="0" borderId="50" xfId="2" quotePrefix="1" applyBorder="1"/>
    <xf numFmtId="0" fontId="13" fillId="0" borderId="50" xfId="2" applyFont="1" applyBorder="1"/>
    <xf numFmtId="0" fontId="13" fillId="0" borderId="50" xfId="2" applyBorder="1" applyAlignment="1">
      <alignment horizontal="justify" vertical="justify"/>
    </xf>
    <xf numFmtId="0" fontId="13" fillId="0" borderId="0" xfId="2" applyFont="1" applyAlignment="1">
      <alignment horizontal="justify" vertical="justify"/>
    </xf>
    <xf numFmtId="0" fontId="13" fillId="0" borderId="0" xfId="2" applyNumberFormat="1" applyFont="1"/>
    <xf numFmtId="0" fontId="13" fillId="6" borderId="27" xfId="2" applyFill="1" applyBorder="1" applyAlignment="1">
      <alignment horizontal="justify" vertical="justify"/>
    </xf>
    <xf numFmtId="0" fontId="13" fillId="6" borderId="0" xfId="2" applyFill="1" applyAlignment="1">
      <alignment horizontal="justify" vertical="justify"/>
    </xf>
    <xf numFmtId="0" fontId="13" fillId="0" borderId="27" xfId="2" applyFill="1" applyBorder="1" applyAlignment="1">
      <alignment horizontal="justify" vertical="justify"/>
    </xf>
    <xf numFmtId="0" fontId="13" fillId="0" borderId="0" xfId="2" applyFill="1" applyAlignment="1">
      <alignment horizontal="justify" vertical="justify"/>
    </xf>
    <xf numFmtId="0" fontId="13" fillId="13" borderId="0" xfId="2" applyNumberFormat="1" applyFont="1" applyFill="1"/>
    <xf numFmtId="0" fontId="18" fillId="0" borderId="27" xfId="2" applyFont="1" applyBorder="1" applyAlignment="1">
      <alignment horizontal="justify" vertical="justify"/>
    </xf>
    <xf numFmtId="0" fontId="18" fillId="0" borderId="0" xfId="2" applyFont="1" applyAlignment="1">
      <alignment horizontal="justify" vertical="justify"/>
    </xf>
    <xf numFmtId="0" fontId="13" fillId="0" borderId="27" xfId="2" applyFont="1" applyBorder="1" applyAlignment="1">
      <alignment horizontal="justify" vertical="justify"/>
    </xf>
    <xf numFmtId="0" fontId="13" fillId="10" borderId="27" xfId="2" applyFill="1" applyBorder="1" applyAlignment="1">
      <alignment horizontal="justify" vertical="justify"/>
    </xf>
    <xf numFmtId="0" fontId="13" fillId="10" borderId="0" xfId="2" applyFill="1" applyAlignment="1">
      <alignment horizontal="justify" vertical="justify"/>
    </xf>
    <xf numFmtId="0" fontId="13" fillId="0" borderId="50" xfId="2" applyNumberFormat="1" applyFont="1" applyBorder="1"/>
    <xf numFmtId="0" fontId="13" fillId="0" borderId="50" xfId="2" applyBorder="1"/>
    <xf numFmtId="0" fontId="13" fillId="0" borderId="50" xfId="2" applyFont="1" applyBorder="1" applyAlignment="1">
      <alignment horizontal="justify" vertical="justify"/>
    </xf>
    <xf numFmtId="0" fontId="13" fillId="0" borderId="27" xfId="2" applyBorder="1" applyAlignment="1">
      <alignment horizontal="justify" vertical="justify" wrapText="1"/>
    </xf>
    <xf numFmtId="0" fontId="13" fillId="0" borderId="0" xfId="2" applyAlignment="1">
      <alignment horizontal="justify" vertical="justify" wrapText="1"/>
    </xf>
    <xf numFmtId="0" fontId="13" fillId="0" borderId="0" xfId="2" applyFont="1" applyAlignment="1">
      <alignment horizontal="justify" vertical="justify" wrapText="1"/>
    </xf>
    <xf numFmtId="0" fontId="13" fillId="0" borderId="27" xfId="2" applyBorder="1" applyAlignment="1">
      <alignment horizontal="justify" vertical="top"/>
    </xf>
    <xf numFmtId="0" fontId="13" fillId="0" borderId="0" xfId="2" applyAlignment="1">
      <alignment horizontal="justify" vertical="top"/>
    </xf>
    <xf numFmtId="0" fontId="13" fillId="0" borderId="0" xfId="2" applyFont="1" applyAlignment="1">
      <alignment horizontal="justify" vertical="top"/>
    </xf>
    <xf numFmtId="0" fontId="18" fillId="0" borderId="27" xfId="2" applyFont="1" applyBorder="1" applyAlignment="1">
      <alignment horizontal="justify" vertical="top"/>
    </xf>
    <xf numFmtId="0" fontId="18" fillId="0" borderId="0" xfId="2" applyFont="1" applyAlignment="1">
      <alignment horizontal="justify" vertical="top"/>
    </xf>
    <xf numFmtId="0" fontId="13" fillId="0" borderId="27" xfId="2" applyFont="1" applyBorder="1" applyAlignment="1">
      <alignment horizontal="justify" vertical="top"/>
    </xf>
    <xf numFmtId="0" fontId="13" fillId="10" borderId="27" xfId="2" applyFill="1" applyBorder="1" applyAlignment="1">
      <alignment horizontal="justify" vertical="top"/>
    </xf>
    <xf numFmtId="0" fontId="13" fillId="10" borderId="0" xfId="2" applyFill="1" applyAlignment="1">
      <alignment horizontal="justify" vertical="top"/>
    </xf>
    <xf numFmtId="0" fontId="13" fillId="10" borderId="0" xfId="2" applyFont="1" applyFill="1" applyAlignment="1">
      <alignment horizontal="justify" vertical="top"/>
    </xf>
    <xf numFmtId="0" fontId="13" fillId="9" borderId="27" xfId="2" applyFill="1" applyBorder="1" applyAlignment="1">
      <alignment horizontal="justify" vertical="top"/>
    </xf>
    <xf numFmtId="0" fontId="13" fillId="9" borderId="0" xfId="2" applyFill="1" applyAlignment="1">
      <alignment horizontal="justify" vertical="top"/>
    </xf>
    <xf numFmtId="0" fontId="13" fillId="9" borderId="0" xfId="2" applyFont="1" applyFill="1" applyAlignment="1">
      <alignment horizontal="justify" vertical="top"/>
    </xf>
    <xf numFmtId="186" fontId="13" fillId="0" borderId="0" xfId="0" applyNumberFormat="1" applyFont="1" applyAlignment="1">
      <alignment horizontal="center" vertical="justify"/>
    </xf>
    <xf numFmtId="186" fontId="0" fillId="0" borderId="0" xfId="0" applyNumberFormat="1" applyAlignment="1">
      <alignment horizontal="center" vertical="justify"/>
    </xf>
    <xf numFmtId="3" fontId="15" fillId="9" borderId="7" xfId="0" applyNumberFormat="1" applyFont="1" applyFill="1" applyBorder="1" applyAlignment="1">
      <alignment wrapText="1"/>
    </xf>
    <xf numFmtId="3" fontId="15" fillId="9" borderId="5" xfId="0" applyNumberFormat="1" applyFont="1" applyFill="1" applyBorder="1" applyAlignment="1">
      <alignment wrapText="1"/>
    </xf>
    <xf numFmtId="3" fontId="15" fillId="9" borderId="8" xfId="0" applyNumberFormat="1" applyFont="1" applyFill="1" applyBorder="1" applyAlignment="1">
      <alignment wrapText="1"/>
    </xf>
    <xf numFmtId="3" fontId="6" fillId="9" borderId="9" xfId="0" applyNumberFormat="1" applyFont="1" applyFill="1" applyBorder="1" applyAlignment="1">
      <alignment horizontal="justify" vertical="top" wrapText="1"/>
    </xf>
    <xf numFmtId="15" fontId="3" fillId="9" borderId="8" xfId="0" applyNumberFormat="1" applyFont="1" applyFill="1" applyBorder="1" applyAlignment="1">
      <alignment horizontal="justify" vertical="top" wrapText="1"/>
    </xf>
    <xf numFmtId="0" fontId="12" fillId="9" borderId="9" xfId="0" applyFont="1" applyFill="1" applyBorder="1" applyAlignment="1">
      <alignment vertical="top" wrapText="1"/>
    </xf>
    <xf numFmtId="3" fontId="3" fillId="9" borderId="2" xfId="0" applyNumberFormat="1" applyFont="1" applyFill="1" applyBorder="1" applyAlignment="1">
      <alignment horizontal="justify" vertical="justify"/>
    </xf>
    <xf numFmtId="3" fontId="3" fillId="9" borderId="3" xfId="0" applyNumberFormat="1" applyFont="1" applyFill="1" applyBorder="1" applyAlignment="1">
      <alignment horizontal="justify" vertical="justify"/>
    </xf>
    <xf numFmtId="3" fontId="3" fillId="9" borderId="4" xfId="0" applyNumberFormat="1" applyFont="1" applyFill="1" applyBorder="1" applyAlignment="1">
      <alignment horizontal="justify" vertical="justify"/>
    </xf>
    <xf numFmtId="0" fontId="0" fillId="9" borderId="5" xfId="0" applyFill="1" applyBorder="1" applyAlignment="1">
      <alignment horizontal="justify" vertical="justify"/>
    </xf>
    <xf numFmtId="3" fontId="0" fillId="9" borderId="5" xfId="0" applyNumberFormat="1" applyFill="1" applyBorder="1" applyAlignment="1">
      <alignment horizontal="justify" vertical="justify"/>
    </xf>
    <xf numFmtId="189" fontId="3" fillId="9" borderId="6" xfId="0" applyNumberFormat="1" applyFont="1" applyFill="1" applyBorder="1" applyAlignment="1">
      <alignment horizontal="justify" vertical="justify"/>
    </xf>
    <xf numFmtId="0" fontId="0" fillId="9" borderId="7" xfId="0" applyFill="1" applyBorder="1" applyAlignment="1">
      <alignment horizontal="justify" vertical="justify"/>
    </xf>
    <xf numFmtId="3" fontId="0" fillId="9" borderId="8" xfId="0" applyNumberFormat="1" applyFill="1" applyBorder="1" applyAlignment="1">
      <alignment horizontal="justify" vertical="justify"/>
    </xf>
    <xf numFmtId="0" fontId="0" fillId="9" borderId="1" xfId="0" applyFill="1" applyBorder="1" applyAlignment="1">
      <alignment horizontal="justify" vertical="justify"/>
    </xf>
    <xf numFmtId="3" fontId="0" fillId="9" borderId="9" xfId="0" applyNumberFormat="1" applyFill="1" applyBorder="1" applyAlignment="1">
      <alignment horizontal="justify" vertical="justify"/>
    </xf>
    <xf numFmtId="3" fontId="0" fillId="9" borderId="1" xfId="0" applyNumberFormat="1" applyFill="1" applyBorder="1" applyAlignment="1">
      <alignment horizontal="justify" vertical="justify"/>
    </xf>
    <xf numFmtId="3" fontId="0" fillId="9" borderId="0" xfId="0" applyNumberFormat="1" applyFill="1" applyAlignment="1">
      <alignment horizontal="justify" vertical="justify"/>
    </xf>
    <xf numFmtId="0" fontId="0" fillId="9" borderId="0" xfId="0" applyFill="1" applyAlignment="1">
      <alignment horizontal="justify" vertical="justify"/>
    </xf>
    <xf numFmtId="0" fontId="13" fillId="9" borderId="27" xfId="2" applyFill="1" applyBorder="1" applyAlignment="1">
      <alignment horizontal="justify" vertical="justify"/>
    </xf>
    <xf numFmtId="0" fontId="13" fillId="9" borderId="0" xfId="2" applyFill="1" applyAlignment="1">
      <alignment horizontal="justify" vertical="justify"/>
    </xf>
    <xf numFmtId="0" fontId="13" fillId="9" borderId="0" xfId="2" applyNumberFormat="1" applyFont="1" applyFill="1"/>
    <xf numFmtId="4" fontId="5" fillId="0" borderId="0" xfId="0" applyNumberFormat="1" applyFont="1" applyAlignment="1">
      <alignment horizontal="justify" vertical="justify"/>
    </xf>
    <xf numFmtId="0" fontId="3" fillId="10" borderId="29" xfId="0" applyFont="1" applyFill="1" applyBorder="1" applyAlignment="1">
      <alignment horizontal="justify" vertical="top"/>
    </xf>
    <xf numFmtId="0" fontId="12" fillId="0" borderId="4" xfId="0" applyFont="1" applyBorder="1" applyAlignment="1">
      <alignment horizontal="left" vertical="center" wrapText="1"/>
    </xf>
    <xf numFmtId="0" fontId="0" fillId="0" borderId="5" xfId="0" applyBorder="1" applyAlignment="1">
      <alignment vertical="center" wrapText="1"/>
    </xf>
    <xf numFmtId="0" fontId="0" fillId="9" borderId="5" xfId="0" applyFill="1" applyBorder="1" applyAlignment="1">
      <alignment vertical="center" wrapText="1"/>
    </xf>
    <xf numFmtId="1" fontId="3" fillId="0" borderId="3" xfId="0" applyNumberFormat="1" applyFont="1" applyBorder="1" applyAlignment="1">
      <alignment horizontal="right" vertical="top" wrapText="1"/>
    </xf>
    <xf numFmtId="15" fontId="3" fillId="9" borderId="4" xfId="0" applyNumberFormat="1" applyFont="1" applyFill="1" applyBorder="1" applyAlignment="1">
      <alignment horizontal="center" vertical="top"/>
    </xf>
    <xf numFmtId="1" fontId="3" fillId="0" borderId="26" xfId="0" applyNumberFormat="1" applyFont="1" applyBorder="1" applyAlignment="1">
      <alignment horizontal="center" vertical="top" wrapText="1"/>
    </xf>
    <xf numFmtId="0" fontId="12" fillId="0" borderId="9" xfId="0" applyFont="1" applyBorder="1" applyAlignment="1">
      <alignment horizontal="left" vertical="center" wrapText="1"/>
    </xf>
    <xf numFmtId="0" fontId="12" fillId="9" borderId="9" xfId="0" applyFont="1" applyFill="1" applyBorder="1" applyAlignment="1">
      <alignment horizontal="left" vertical="center" wrapText="1"/>
    </xf>
    <xf numFmtId="3" fontId="15" fillId="10" borderId="5" xfId="0" applyNumberFormat="1" applyFont="1" applyFill="1" applyBorder="1" applyAlignment="1">
      <alignment vertical="top"/>
    </xf>
    <xf numFmtId="3" fontId="15" fillId="10" borderId="5" xfId="0" applyNumberFormat="1" applyFont="1" applyFill="1" applyBorder="1" applyAlignment="1">
      <alignment wrapText="1"/>
    </xf>
    <xf numFmtId="3" fontId="15" fillId="0" borderId="5" xfId="0" applyNumberFormat="1" applyFont="1" applyFill="1" applyBorder="1" applyAlignment="1">
      <alignment vertical="top"/>
    </xf>
    <xf numFmtId="15" fontId="24" fillId="0" borderId="4" xfId="0" applyNumberFormat="1" applyFont="1" applyBorder="1" applyAlignment="1">
      <alignment horizontal="center" vertical="top"/>
    </xf>
    <xf numFmtId="0" fontId="0" fillId="16" borderId="0" xfId="0" applyFill="1"/>
    <xf numFmtId="0" fontId="3" fillId="0" borderId="51" xfId="0" applyFont="1" applyBorder="1" applyAlignment="1">
      <alignment vertical="top" wrapText="1"/>
    </xf>
    <xf numFmtId="0" fontId="3" fillId="0" borderId="52" xfId="0" applyFont="1" applyBorder="1" applyAlignment="1">
      <alignment vertical="top" wrapText="1"/>
    </xf>
    <xf numFmtId="0" fontId="3" fillId="0" borderId="52" xfId="0" applyFont="1" applyFill="1" applyBorder="1" applyAlignment="1">
      <alignment horizontal="justify" vertical="top"/>
    </xf>
    <xf numFmtId="0" fontId="3" fillId="0" borderId="52" xfId="0" applyFont="1" applyFill="1" applyBorder="1" applyAlignment="1">
      <alignment vertical="top" wrapText="1"/>
    </xf>
    <xf numFmtId="0" fontId="3" fillId="0" borderId="52" xfId="0" applyFont="1" applyBorder="1" applyAlignment="1">
      <alignment horizontal="justify" vertical="top"/>
    </xf>
    <xf numFmtId="0" fontId="3" fillId="9" borderId="52" xfId="0" applyFont="1" applyFill="1" applyBorder="1" applyAlignment="1">
      <alignment vertical="top" wrapText="1"/>
    </xf>
    <xf numFmtId="0" fontId="3" fillId="9" borderId="52" xfId="0" applyFont="1" applyFill="1" applyBorder="1" applyAlignment="1">
      <alignment horizontal="justify" vertical="top"/>
    </xf>
    <xf numFmtId="0" fontId="3" fillId="0" borderId="52" xfId="0" applyFont="1" applyBorder="1" applyAlignment="1">
      <alignment vertical="top"/>
    </xf>
    <xf numFmtId="0" fontId="3" fillId="9" borderId="52" xfId="0" applyFont="1" applyFill="1" applyBorder="1" applyAlignment="1">
      <alignment vertical="top"/>
    </xf>
    <xf numFmtId="0" fontId="4" fillId="10" borderId="55" xfId="0" applyFont="1" applyFill="1" applyBorder="1" applyAlignment="1">
      <alignment horizontal="center" vertical="justify"/>
    </xf>
    <xf numFmtId="0" fontId="4" fillId="10" borderId="45" xfId="0" applyFont="1" applyFill="1" applyBorder="1" applyAlignment="1">
      <alignment horizontal="center" vertical="justify"/>
    </xf>
    <xf numFmtId="0" fontId="5" fillId="2" borderId="55" xfId="0" applyFont="1" applyFill="1" applyBorder="1" applyAlignment="1">
      <alignment horizontal="center" vertical="justify"/>
    </xf>
    <xf numFmtId="0" fontId="5" fillId="2" borderId="56" xfId="0" applyFont="1" applyFill="1" applyBorder="1" applyAlignment="1">
      <alignment horizontal="center" vertical="justify"/>
    </xf>
    <xf numFmtId="0" fontId="0" fillId="0" borderId="56" xfId="0" applyBorder="1" applyAlignment="1">
      <alignment horizontal="center"/>
    </xf>
    <xf numFmtId="0" fontId="8" fillId="5" borderId="21" xfId="0" applyFont="1" applyFill="1" applyBorder="1" applyAlignment="1">
      <alignment horizontal="center" vertical="justify"/>
    </xf>
    <xf numFmtId="0" fontId="8" fillId="5" borderId="14" xfId="0" applyFont="1" applyFill="1" applyBorder="1" applyAlignment="1">
      <alignment horizontal="center" vertical="justify"/>
    </xf>
    <xf numFmtId="0" fontId="8" fillId="5" borderId="20" xfId="0" applyFont="1" applyFill="1" applyBorder="1" applyAlignment="1">
      <alignment horizontal="center" vertical="justify"/>
    </xf>
    <xf numFmtId="0" fontId="5" fillId="2" borderId="45" xfId="0" applyFont="1" applyFill="1" applyBorder="1" applyAlignment="1">
      <alignment horizontal="center" vertical="justify"/>
    </xf>
    <xf numFmtId="0" fontId="0" fillId="2" borderId="45" xfId="0" applyFill="1" applyBorder="1" applyAlignment="1">
      <alignment horizontal="center"/>
    </xf>
    <xf numFmtId="0" fontId="0" fillId="2" borderId="56" xfId="0" applyFill="1" applyBorder="1" applyAlignment="1">
      <alignment horizontal="center"/>
    </xf>
    <xf numFmtId="0" fontId="5" fillId="2" borderId="36" xfId="0" applyFont="1" applyFill="1" applyBorder="1" applyAlignment="1">
      <alignment horizontal="center" vertical="justify"/>
    </xf>
    <xf numFmtId="0" fontId="5" fillId="2" borderId="57" xfId="0" applyFont="1" applyFill="1" applyBorder="1" applyAlignment="1">
      <alignment horizontal="center" vertical="justify"/>
    </xf>
    <xf numFmtId="186" fontId="2" fillId="0" borderId="0" xfId="0" applyNumberFormat="1" applyFont="1" applyBorder="1" applyAlignment="1">
      <alignment horizontal="left" vertical="justify"/>
    </xf>
    <xf numFmtId="186" fontId="5" fillId="0" borderId="53" xfId="0" applyNumberFormat="1" applyFont="1" applyBorder="1" applyAlignment="1">
      <alignment horizontal="justify" vertical="justify"/>
    </xf>
    <xf numFmtId="186" fontId="5" fillId="0" borderId="44" xfId="0" applyNumberFormat="1" applyFont="1" applyBorder="1" applyAlignment="1">
      <alignment horizontal="justify" vertical="justify"/>
    </xf>
    <xf numFmtId="186" fontId="5" fillId="0" borderId="54" xfId="0" applyNumberFormat="1" applyFont="1" applyBorder="1" applyAlignment="1">
      <alignment horizontal="justify" vertical="justify"/>
    </xf>
    <xf numFmtId="0" fontId="4" fillId="15" borderId="55" xfId="0" applyFont="1" applyFill="1" applyBorder="1" applyAlignment="1">
      <alignment horizontal="center" vertical="justify"/>
    </xf>
    <xf numFmtId="0" fontId="0" fillId="0" borderId="45" xfId="0" applyBorder="1" applyAlignment="1">
      <alignment horizontal="center"/>
    </xf>
    <xf numFmtId="187" fontId="2" fillId="14" borderId="55" xfId="0" applyNumberFormat="1" applyFont="1" applyFill="1" applyBorder="1" applyAlignment="1">
      <alignment horizontal="center" vertical="justify"/>
    </xf>
    <xf numFmtId="187" fontId="2" fillId="14" borderId="45" xfId="0" applyNumberFormat="1" applyFont="1" applyFill="1" applyBorder="1" applyAlignment="1">
      <alignment horizontal="center" vertical="justify"/>
    </xf>
    <xf numFmtId="192" fontId="11" fillId="14" borderId="56" xfId="0" applyNumberFormat="1" applyFont="1" applyFill="1" applyBorder="1" applyAlignment="1">
      <alignment horizontal="center" vertical="justify"/>
    </xf>
  </cellXfs>
  <cellStyles count="3">
    <cellStyle name="Millares" xfId="1" builtinId="3"/>
    <cellStyle name="Normal" xfId="0" builtinId="0"/>
    <cellStyle name="Normal_EMERGENCIAS 2010"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38"/>
  <sheetViews>
    <sheetView topLeftCell="A557" workbookViewId="0">
      <selection activeCell="E564" sqref="E564"/>
    </sheetView>
  </sheetViews>
  <sheetFormatPr baseColWidth="10" defaultRowHeight="12.75" x14ac:dyDescent="0.2"/>
  <sheetData>
    <row r="1" spans="1:6" x14ac:dyDescent="0.2">
      <c r="A1" t="s">
        <v>3882</v>
      </c>
      <c r="F1" t="s">
        <v>3883</v>
      </c>
    </row>
    <row r="2" spans="1:6" x14ac:dyDescent="0.2">
      <c r="A2" t="s">
        <v>3884</v>
      </c>
      <c r="B2" t="s">
        <v>3885</v>
      </c>
      <c r="C2" t="str">
        <f>D2&amp;E2</f>
        <v>AntioquiaMEDELLIN</v>
      </c>
      <c r="D2" t="s">
        <v>3887</v>
      </c>
      <c r="E2" t="s">
        <v>2747</v>
      </c>
      <c r="F2" t="s">
        <v>4678</v>
      </c>
    </row>
    <row r="3" spans="1:6" x14ac:dyDescent="0.2">
      <c r="A3" t="s">
        <v>3884</v>
      </c>
      <c r="B3" t="s">
        <v>3888</v>
      </c>
      <c r="C3" t="str">
        <f t="shared" ref="C3:C66" si="0">D3&amp;E3</f>
        <v>AntioquiaABEJORRAL</v>
      </c>
      <c r="D3" t="s">
        <v>3887</v>
      </c>
      <c r="E3" t="s">
        <v>405</v>
      </c>
      <c r="F3" t="s">
        <v>4679</v>
      </c>
    </row>
    <row r="4" spans="1:6" x14ac:dyDescent="0.2">
      <c r="A4" t="s">
        <v>3884</v>
      </c>
      <c r="B4" t="s">
        <v>3889</v>
      </c>
      <c r="C4" t="str">
        <f t="shared" si="0"/>
        <v>AntioquiaABRIAQUI</v>
      </c>
      <c r="D4" t="s">
        <v>3887</v>
      </c>
      <c r="E4" t="s">
        <v>478</v>
      </c>
      <c r="F4" t="s">
        <v>4680</v>
      </c>
    </row>
    <row r="5" spans="1:6" x14ac:dyDescent="0.2">
      <c r="A5" t="s">
        <v>3884</v>
      </c>
      <c r="B5" t="s">
        <v>3890</v>
      </c>
      <c r="C5" t="str">
        <f t="shared" si="0"/>
        <v>AntioquiaALEJANDRIA</v>
      </c>
      <c r="D5" t="s">
        <v>3887</v>
      </c>
      <c r="E5" t="s">
        <v>479</v>
      </c>
      <c r="F5" t="s">
        <v>4681</v>
      </c>
    </row>
    <row r="6" spans="1:6" x14ac:dyDescent="0.2">
      <c r="A6" t="s">
        <v>3884</v>
      </c>
      <c r="B6" t="s">
        <v>3891</v>
      </c>
      <c r="C6" t="str">
        <f t="shared" si="0"/>
        <v>AntioquiaAMAGA</v>
      </c>
      <c r="D6" t="s">
        <v>3887</v>
      </c>
      <c r="E6" t="s">
        <v>271</v>
      </c>
      <c r="F6" t="s">
        <v>4682</v>
      </c>
    </row>
    <row r="7" spans="1:6" x14ac:dyDescent="0.2">
      <c r="A7" t="s">
        <v>3884</v>
      </c>
      <c r="B7" t="s">
        <v>3892</v>
      </c>
      <c r="C7" t="str">
        <f t="shared" si="0"/>
        <v>AntioquiaAMALFI</v>
      </c>
      <c r="D7" t="s">
        <v>3887</v>
      </c>
      <c r="E7" t="s">
        <v>1203</v>
      </c>
      <c r="F7" t="s">
        <v>4683</v>
      </c>
    </row>
    <row r="8" spans="1:6" x14ac:dyDescent="0.2">
      <c r="A8" t="s">
        <v>3884</v>
      </c>
      <c r="B8" t="s">
        <v>3893</v>
      </c>
      <c r="C8" t="str">
        <f t="shared" si="0"/>
        <v>AntioquiaANDES</v>
      </c>
      <c r="D8" t="s">
        <v>3887</v>
      </c>
      <c r="E8" t="s">
        <v>2509</v>
      </c>
      <c r="F8" t="s">
        <v>4684</v>
      </c>
    </row>
    <row r="9" spans="1:6" x14ac:dyDescent="0.2">
      <c r="A9" t="s">
        <v>3884</v>
      </c>
      <c r="B9" t="s">
        <v>3894</v>
      </c>
      <c r="C9" t="str">
        <f t="shared" si="0"/>
        <v>AntioquiaANGELOPOLIS</v>
      </c>
      <c r="D9" t="s">
        <v>3887</v>
      </c>
      <c r="E9" t="s">
        <v>406</v>
      </c>
      <c r="F9" t="s">
        <v>4685</v>
      </c>
    </row>
    <row r="10" spans="1:6" x14ac:dyDescent="0.2">
      <c r="A10" t="s">
        <v>3884</v>
      </c>
      <c r="B10" t="s">
        <v>3895</v>
      </c>
      <c r="C10" t="str">
        <f t="shared" si="0"/>
        <v>AntioquiaANGOSTURA</v>
      </c>
      <c r="D10" t="s">
        <v>3887</v>
      </c>
      <c r="E10" t="s">
        <v>924</v>
      </c>
      <c r="F10" t="s">
        <v>4686</v>
      </c>
    </row>
    <row r="11" spans="1:6" x14ac:dyDescent="0.2">
      <c r="A11" t="s">
        <v>3884</v>
      </c>
      <c r="B11" t="s">
        <v>3896</v>
      </c>
      <c r="C11" t="str">
        <f t="shared" si="0"/>
        <v>AntioquiaANORI</v>
      </c>
      <c r="D11" t="s">
        <v>3887</v>
      </c>
      <c r="E11" t="s">
        <v>1205</v>
      </c>
      <c r="F11" t="s">
        <v>4687</v>
      </c>
    </row>
    <row r="12" spans="1:6" x14ac:dyDescent="0.2">
      <c r="A12" t="s">
        <v>3884</v>
      </c>
      <c r="B12" t="s">
        <v>3897</v>
      </c>
      <c r="C12" t="str">
        <f t="shared" si="0"/>
        <v>AntioquiaSANTAFE DE ANTIOQUIA</v>
      </c>
      <c r="D12" t="s">
        <v>3887</v>
      </c>
      <c r="E12" t="s">
        <v>1039</v>
      </c>
      <c r="F12" t="s">
        <v>4688</v>
      </c>
    </row>
    <row r="13" spans="1:6" x14ac:dyDescent="0.2">
      <c r="A13" t="s">
        <v>3884</v>
      </c>
      <c r="B13" t="s">
        <v>3898</v>
      </c>
      <c r="C13" t="str">
        <f t="shared" si="0"/>
        <v>AntioquiaANZA</v>
      </c>
      <c r="D13" t="s">
        <v>3887</v>
      </c>
      <c r="E13" t="s">
        <v>407</v>
      </c>
      <c r="F13" t="s">
        <v>4689</v>
      </c>
    </row>
    <row r="14" spans="1:6" x14ac:dyDescent="0.2">
      <c r="A14" t="s">
        <v>3884</v>
      </c>
      <c r="B14" t="s">
        <v>3899</v>
      </c>
      <c r="C14" t="str">
        <f t="shared" si="0"/>
        <v>AntioquiaAPARTADO</v>
      </c>
      <c r="D14" t="s">
        <v>3887</v>
      </c>
      <c r="E14" t="s">
        <v>1144</v>
      </c>
      <c r="F14" t="s">
        <v>4690</v>
      </c>
    </row>
    <row r="15" spans="1:6" x14ac:dyDescent="0.2">
      <c r="A15" t="s">
        <v>3884</v>
      </c>
      <c r="B15" t="s">
        <v>3900</v>
      </c>
      <c r="C15" t="str">
        <f t="shared" si="0"/>
        <v>AntioquiaARBOLETES</v>
      </c>
      <c r="D15" t="s">
        <v>3887</v>
      </c>
      <c r="E15" t="s">
        <v>2681</v>
      </c>
      <c r="F15" t="s">
        <v>4691</v>
      </c>
    </row>
    <row r="16" spans="1:6" x14ac:dyDescent="0.2">
      <c r="A16" t="s">
        <v>3884</v>
      </c>
      <c r="B16" t="s">
        <v>3901</v>
      </c>
      <c r="C16" t="str">
        <f t="shared" si="0"/>
        <v>AntioquiaARGELIA</v>
      </c>
      <c r="D16" t="s">
        <v>3887</v>
      </c>
      <c r="E16" t="s">
        <v>2432</v>
      </c>
      <c r="F16" t="s">
        <v>4692</v>
      </c>
    </row>
    <row r="17" spans="1:6" x14ac:dyDescent="0.2">
      <c r="A17" t="s">
        <v>3884</v>
      </c>
      <c r="B17" t="s">
        <v>3902</v>
      </c>
      <c r="C17" t="str">
        <f t="shared" si="0"/>
        <v>AntioquiaARMENIA</v>
      </c>
      <c r="D17" t="s">
        <v>3887</v>
      </c>
      <c r="E17" t="s">
        <v>2015</v>
      </c>
      <c r="F17" t="s">
        <v>4693</v>
      </c>
    </row>
    <row r="18" spans="1:6" x14ac:dyDescent="0.2">
      <c r="A18" t="s">
        <v>3884</v>
      </c>
      <c r="B18" t="s">
        <v>3903</v>
      </c>
      <c r="C18" t="str">
        <f t="shared" si="0"/>
        <v>AntioquiaBARBOSA</v>
      </c>
      <c r="D18" t="s">
        <v>3887</v>
      </c>
      <c r="E18" t="s">
        <v>1795</v>
      </c>
      <c r="F18" t="s">
        <v>4694</v>
      </c>
    </row>
    <row r="19" spans="1:6" x14ac:dyDescent="0.2">
      <c r="A19" t="s">
        <v>3884</v>
      </c>
      <c r="B19" t="s">
        <v>3904</v>
      </c>
      <c r="C19" t="str">
        <f t="shared" si="0"/>
        <v>AntioquiaBELMIRA</v>
      </c>
      <c r="D19" t="s">
        <v>3887</v>
      </c>
      <c r="E19" t="s">
        <v>3905</v>
      </c>
      <c r="F19" t="s">
        <v>4695</v>
      </c>
    </row>
    <row r="20" spans="1:6" x14ac:dyDescent="0.2">
      <c r="A20" t="s">
        <v>3884</v>
      </c>
      <c r="B20" t="s">
        <v>3906</v>
      </c>
      <c r="C20" t="str">
        <f t="shared" si="0"/>
        <v>AntioquiaBELLO</v>
      </c>
      <c r="D20" t="s">
        <v>3887</v>
      </c>
      <c r="E20" t="s">
        <v>856</v>
      </c>
      <c r="F20" t="s">
        <v>4696</v>
      </c>
    </row>
    <row r="21" spans="1:6" x14ac:dyDescent="0.2">
      <c r="A21" t="s">
        <v>3884</v>
      </c>
      <c r="B21" t="s">
        <v>3907</v>
      </c>
      <c r="C21" t="str">
        <f t="shared" si="0"/>
        <v>AntioquiaBETANIA</v>
      </c>
      <c r="D21" t="s">
        <v>3887</v>
      </c>
      <c r="E21" t="s">
        <v>1971</v>
      </c>
      <c r="F21" t="s">
        <v>4697</v>
      </c>
    </row>
    <row r="22" spans="1:6" x14ac:dyDescent="0.2">
      <c r="A22" t="s">
        <v>3884</v>
      </c>
      <c r="B22" t="s">
        <v>3908</v>
      </c>
      <c r="C22" t="str">
        <f t="shared" si="0"/>
        <v>AntioquiaBETULIA</v>
      </c>
      <c r="D22" t="s">
        <v>3887</v>
      </c>
      <c r="E22" t="s">
        <v>1543</v>
      </c>
      <c r="F22" t="s">
        <v>4698</v>
      </c>
    </row>
    <row r="23" spans="1:6" x14ac:dyDescent="0.2">
      <c r="A23" t="s">
        <v>3884</v>
      </c>
      <c r="B23" t="s">
        <v>3909</v>
      </c>
      <c r="C23" t="str">
        <f t="shared" si="0"/>
        <v>AntioquiaCIUDAD BOLIVAR</v>
      </c>
      <c r="D23" t="s">
        <v>3887</v>
      </c>
      <c r="E23" t="s">
        <v>1092</v>
      </c>
      <c r="F23" t="s">
        <v>4699</v>
      </c>
    </row>
    <row r="24" spans="1:6" x14ac:dyDescent="0.2">
      <c r="A24" t="s">
        <v>3884</v>
      </c>
      <c r="B24" t="s">
        <v>3910</v>
      </c>
      <c r="C24" t="str">
        <f t="shared" si="0"/>
        <v>AntioquiaBRICEÑO</v>
      </c>
      <c r="D24" t="s">
        <v>3887</v>
      </c>
      <c r="E24" t="s">
        <v>917</v>
      </c>
      <c r="F24" t="s">
        <v>4700</v>
      </c>
    </row>
    <row r="25" spans="1:6" x14ac:dyDescent="0.2">
      <c r="A25" t="s">
        <v>3884</v>
      </c>
      <c r="B25" t="s">
        <v>3911</v>
      </c>
      <c r="C25" t="str">
        <f t="shared" si="0"/>
        <v>AntioquiaBURITICA</v>
      </c>
      <c r="D25" t="s">
        <v>3887</v>
      </c>
      <c r="E25" t="s">
        <v>480</v>
      </c>
      <c r="F25" t="s">
        <v>4701</v>
      </c>
    </row>
    <row r="26" spans="1:6" x14ac:dyDescent="0.2">
      <c r="A26" t="s">
        <v>3884</v>
      </c>
      <c r="B26" t="s">
        <v>3912</v>
      </c>
      <c r="C26" t="str">
        <f t="shared" si="0"/>
        <v>AntioquiaCACERES</v>
      </c>
      <c r="D26" t="s">
        <v>3887</v>
      </c>
      <c r="E26" t="s">
        <v>408</v>
      </c>
      <c r="F26" t="s">
        <v>4702</v>
      </c>
    </row>
    <row r="27" spans="1:6" x14ac:dyDescent="0.2">
      <c r="A27" t="s">
        <v>3884</v>
      </c>
      <c r="B27" t="s">
        <v>3913</v>
      </c>
      <c r="C27" t="str">
        <f t="shared" si="0"/>
        <v>AntioquiaCAICEDO</v>
      </c>
      <c r="D27" t="s">
        <v>3887</v>
      </c>
      <c r="E27" t="s">
        <v>409</v>
      </c>
      <c r="F27" t="s">
        <v>4703</v>
      </c>
    </row>
    <row r="28" spans="1:6" x14ac:dyDescent="0.2">
      <c r="A28" t="s">
        <v>3884</v>
      </c>
      <c r="B28" t="s">
        <v>3914</v>
      </c>
      <c r="C28" t="str">
        <f t="shared" si="0"/>
        <v>AntioquiaCALDAS</v>
      </c>
      <c r="D28" t="s">
        <v>3887</v>
      </c>
      <c r="E28" t="s">
        <v>289</v>
      </c>
      <c r="F28" t="s">
        <v>4704</v>
      </c>
    </row>
    <row r="29" spans="1:6" x14ac:dyDescent="0.2">
      <c r="A29" t="s">
        <v>3884</v>
      </c>
      <c r="B29" t="s">
        <v>3915</v>
      </c>
      <c r="C29" t="str">
        <f t="shared" si="0"/>
        <v>AntioquiaCAMPAMENTO</v>
      </c>
      <c r="D29" t="s">
        <v>3887</v>
      </c>
      <c r="E29" t="s">
        <v>481</v>
      </c>
      <c r="F29" t="s">
        <v>4705</v>
      </c>
    </row>
    <row r="30" spans="1:6" x14ac:dyDescent="0.2">
      <c r="A30" t="s">
        <v>3884</v>
      </c>
      <c r="B30" t="s">
        <v>3916</v>
      </c>
      <c r="C30" t="str">
        <f t="shared" si="0"/>
        <v>AntioquiaCAÑASGORDAS</v>
      </c>
      <c r="D30" t="s">
        <v>3887</v>
      </c>
      <c r="E30" t="s">
        <v>410</v>
      </c>
      <c r="F30" t="s">
        <v>4706</v>
      </c>
    </row>
    <row r="31" spans="1:6" x14ac:dyDescent="0.2">
      <c r="A31" t="s">
        <v>3884</v>
      </c>
      <c r="B31" t="s">
        <v>3917</v>
      </c>
      <c r="C31" t="str">
        <f t="shared" si="0"/>
        <v>AntioquiaCARACOLI</v>
      </c>
      <c r="D31" t="s">
        <v>3887</v>
      </c>
      <c r="E31" t="s">
        <v>1418</v>
      </c>
      <c r="F31" t="s">
        <v>4707</v>
      </c>
    </row>
    <row r="32" spans="1:6" x14ac:dyDescent="0.2">
      <c r="A32" t="s">
        <v>3884</v>
      </c>
      <c r="B32" t="s">
        <v>3918</v>
      </c>
      <c r="C32" t="str">
        <f t="shared" si="0"/>
        <v>AntioquiaCARAMANTA</v>
      </c>
      <c r="D32" t="s">
        <v>3887</v>
      </c>
      <c r="E32" t="s">
        <v>411</v>
      </c>
      <c r="F32" t="s">
        <v>4708</v>
      </c>
    </row>
    <row r="33" spans="1:6" x14ac:dyDescent="0.2">
      <c r="A33" t="s">
        <v>3884</v>
      </c>
      <c r="B33" t="s">
        <v>3919</v>
      </c>
      <c r="C33" t="str">
        <f t="shared" si="0"/>
        <v>AntioquiaCAREPA</v>
      </c>
      <c r="D33" t="s">
        <v>3887</v>
      </c>
      <c r="E33" t="s">
        <v>118</v>
      </c>
      <c r="F33" t="s">
        <v>4709</v>
      </c>
    </row>
    <row r="34" spans="1:6" x14ac:dyDescent="0.2">
      <c r="A34" t="s">
        <v>3884</v>
      </c>
      <c r="B34" t="s">
        <v>3920</v>
      </c>
      <c r="C34" t="str">
        <f t="shared" si="0"/>
        <v>AntioquiaEL CARMEN DE VIBORAL</v>
      </c>
      <c r="D34" t="s">
        <v>3887</v>
      </c>
      <c r="E34" t="s">
        <v>3921</v>
      </c>
      <c r="F34" t="s">
        <v>4710</v>
      </c>
    </row>
    <row r="35" spans="1:6" x14ac:dyDescent="0.2">
      <c r="A35" t="s">
        <v>3884</v>
      </c>
      <c r="B35" t="s">
        <v>3922</v>
      </c>
      <c r="C35" t="str">
        <f t="shared" si="0"/>
        <v>AntioquiaCAROLINA</v>
      </c>
      <c r="D35" t="s">
        <v>3887</v>
      </c>
      <c r="E35" t="s">
        <v>3923</v>
      </c>
      <c r="F35" t="s">
        <v>4711</v>
      </c>
    </row>
    <row r="36" spans="1:6" x14ac:dyDescent="0.2">
      <c r="A36" t="s">
        <v>3884</v>
      </c>
      <c r="B36" t="s">
        <v>3924</v>
      </c>
      <c r="C36" t="str">
        <f t="shared" si="0"/>
        <v>AntioquiaCAUCASIA</v>
      </c>
      <c r="D36" t="s">
        <v>3887</v>
      </c>
      <c r="E36" t="s">
        <v>1590</v>
      </c>
      <c r="F36" t="s">
        <v>4712</v>
      </c>
    </row>
    <row r="37" spans="1:6" x14ac:dyDescent="0.2">
      <c r="A37" t="s">
        <v>3884</v>
      </c>
      <c r="B37" t="s">
        <v>3925</v>
      </c>
      <c r="C37" t="str">
        <f t="shared" si="0"/>
        <v>AntioquiaCHIGORODO</v>
      </c>
      <c r="D37" t="s">
        <v>3887</v>
      </c>
      <c r="E37" t="s">
        <v>2210</v>
      </c>
      <c r="F37" t="s">
        <v>4713</v>
      </c>
    </row>
    <row r="38" spans="1:6" x14ac:dyDescent="0.2">
      <c r="A38" t="s">
        <v>3884</v>
      </c>
      <c r="B38" t="s">
        <v>3926</v>
      </c>
      <c r="C38" t="str">
        <f t="shared" si="0"/>
        <v>AntioquiaCISNEROS</v>
      </c>
      <c r="D38" t="s">
        <v>3887</v>
      </c>
      <c r="E38" t="s">
        <v>2503</v>
      </c>
      <c r="F38" t="s">
        <v>4714</v>
      </c>
    </row>
    <row r="39" spans="1:6" x14ac:dyDescent="0.2">
      <c r="A39" t="s">
        <v>3884</v>
      </c>
      <c r="B39" t="s">
        <v>3927</v>
      </c>
      <c r="C39" t="str">
        <f t="shared" si="0"/>
        <v>AntioquiaCOCORNA</v>
      </c>
      <c r="D39" t="s">
        <v>3887</v>
      </c>
      <c r="E39" t="s">
        <v>412</v>
      </c>
      <c r="F39" t="s">
        <v>4715</v>
      </c>
    </row>
    <row r="40" spans="1:6" x14ac:dyDescent="0.2">
      <c r="A40" t="s">
        <v>3884</v>
      </c>
      <c r="B40" t="s">
        <v>3928</v>
      </c>
      <c r="C40" t="str">
        <f t="shared" si="0"/>
        <v>AntioquiaCONCEPCION</v>
      </c>
      <c r="D40" t="s">
        <v>3887</v>
      </c>
      <c r="E40" t="s">
        <v>1797</v>
      </c>
      <c r="F40" t="s">
        <v>4716</v>
      </c>
    </row>
    <row r="41" spans="1:6" x14ac:dyDescent="0.2">
      <c r="A41" t="s">
        <v>3884</v>
      </c>
      <c r="B41" t="s">
        <v>3929</v>
      </c>
      <c r="C41" t="str">
        <f t="shared" si="0"/>
        <v>AntioquiaCONCORDIA</v>
      </c>
      <c r="D41" t="s">
        <v>3887</v>
      </c>
      <c r="E41" t="s">
        <v>1922</v>
      </c>
      <c r="F41" t="s">
        <v>4717</v>
      </c>
    </row>
    <row r="42" spans="1:6" x14ac:dyDescent="0.2">
      <c r="A42" t="s">
        <v>3884</v>
      </c>
      <c r="B42" t="s">
        <v>3930</v>
      </c>
      <c r="C42" t="str">
        <f t="shared" si="0"/>
        <v>AntioquiaCOPACABANA</v>
      </c>
      <c r="D42" t="s">
        <v>3887</v>
      </c>
      <c r="E42" t="s">
        <v>1448</v>
      </c>
      <c r="F42" t="s">
        <v>4718</v>
      </c>
    </row>
    <row r="43" spans="1:6" x14ac:dyDescent="0.2">
      <c r="A43" t="s">
        <v>3884</v>
      </c>
      <c r="B43" t="s">
        <v>3931</v>
      </c>
      <c r="C43" t="str">
        <f t="shared" si="0"/>
        <v>AntioquiaDABEIBA</v>
      </c>
      <c r="D43" t="s">
        <v>3887</v>
      </c>
      <c r="E43" t="s">
        <v>3040</v>
      </c>
      <c r="F43" t="s">
        <v>4719</v>
      </c>
    </row>
    <row r="44" spans="1:6" x14ac:dyDescent="0.2">
      <c r="A44" t="s">
        <v>3884</v>
      </c>
      <c r="B44" t="s">
        <v>3932</v>
      </c>
      <c r="C44" t="str">
        <f t="shared" si="0"/>
        <v>AntioquiaDON MATIAS</v>
      </c>
      <c r="D44" t="s">
        <v>3887</v>
      </c>
      <c r="E44" t="s">
        <v>413</v>
      </c>
      <c r="F44" t="s">
        <v>4720</v>
      </c>
    </row>
    <row r="45" spans="1:6" x14ac:dyDescent="0.2">
      <c r="A45" t="s">
        <v>3884</v>
      </c>
      <c r="B45" t="s">
        <v>3933</v>
      </c>
      <c r="C45" t="str">
        <f t="shared" si="0"/>
        <v>AntioquiaEBEJICO</v>
      </c>
      <c r="D45" t="s">
        <v>3887</v>
      </c>
      <c r="E45" t="s">
        <v>414</v>
      </c>
      <c r="F45" t="s">
        <v>4721</v>
      </c>
    </row>
    <row r="46" spans="1:6" x14ac:dyDescent="0.2">
      <c r="A46" t="s">
        <v>3884</v>
      </c>
      <c r="B46" t="s">
        <v>3934</v>
      </c>
      <c r="C46" t="str">
        <f t="shared" si="0"/>
        <v>AntioquiaEL BAGRE</v>
      </c>
      <c r="D46" t="s">
        <v>3887</v>
      </c>
      <c r="E46" t="s">
        <v>3935</v>
      </c>
      <c r="F46" t="s">
        <v>4722</v>
      </c>
    </row>
    <row r="47" spans="1:6" x14ac:dyDescent="0.2">
      <c r="A47" t="s">
        <v>3884</v>
      </c>
      <c r="B47" t="s">
        <v>3936</v>
      </c>
      <c r="C47" t="str">
        <f t="shared" si="0"/>
        <v>AntioquiaENTRERRIOS</v>
      </c>
      <c r="D47" t="s">
        <v>3887</v>
      </c>
      <c r="E47" t="s">
        <v>3937</v>
      </c>
      <c r="F47" t="s">
        <v>4723</v>
      </c>
    </row>
    <row r="48" spans="1:6" x14ac:dyDescent="0.2">
      <c r="A48" t="s">
        <v>3884</v>
      </c>
      <c r="B48" t="s">
        <v>3938</v>
      </c>
      <c r="C48" t="str">
        <f t="shared" si="0"/>
        <v>AntioquiaENVIGADO</v>
      </c>
      <c r="D48" t="s">
        <v>3887</v>
      </c>
      <c r="E48" t="s">
        <v>733</v>
      </c>
      <c r="F48" t="s">
        <v>4724</v>
      </c>
    </row>
    <row r="49" spans="1:6" x14ac:dyDescent="0.2">
      <c r="A49" t="s">
        <v>3884</v>
      </c>
      <c r="B49" t="s">
        <v>3939</v>
      </c>
      <c r="C49" t="str">
        <f t="shared" si="0"/>
        <v>AntioquiaFREDONIA</v>
      </c>
      <c r="D49" t="s">
        <v>3887</v>
      </c>
      <c r="E49" t="s">
        <v>2234</v>
      </c>
      <c r="F49" t="s">
        <v>4725</v>
      </c>
    </row>
    <row r="50" spans="1:6" x14ac:dyDescent="0.2">
      <c r="A50" t="s">
        <v>3884</v>
      </c>
      <c r="B50" t="s">
        <v>3940</v>
      </c>
      <c r="C50" t="str">
        <f t="shared" si="0"/>
        <v>AntioquiaFRONTINO</v>
      </c>
      <c r="D50" t="s">
        <v>3887</v>
      </c>
      <c r="E50" t="s">
        <v>3125</v>
      </c>
      <c r="F50" t="s">
        <v>4726</v>
      </c>
    </row>
    <row r="51" spans="1:6" x14ac:dyDescent="0.2">
      <c r="A51" t="s">
        <v>3884</v>
      </c>
      <c r="B51" t="s">
        <v>3941</v>
      </c>
      <c r="C51" t="str">
        <f t="shared" si="0"/>
        <v>AntioquiaGIRALDO</v>
      </c>
      <c r="D51" t="s">
        <v>3887</v>
      </c>
      <c r="E51" t="s">
        <v>2562</v>
      </c>
      <c r="F51" t="s">
        <v>4727</v>
      </c>
    </row>
    <row r="52" spans="1:6" x14ac:dyDescent="0.2">
      <c r="A52" t="s">
        <v>3884</v>
      </c>
      <c r="B52" t="s">
        <v>3942</v>
      </c>
      <c r="C52" t="str">
        <f t="shared" si="0"/>
        <v>AntioquiaGIRARDOTA</v>
      </c>
      <c r="D52" t="s">
        <v>3887</v>
      </c>
      <c r="E52" t="s">
        <v>415</v>
      </c>
      <c r="F52" t="s">
        <v>4728</v>
      </c>
    </row>
    <row r="53" spans="1:6" x14ac:dyDescent="0.2">
      <c r="A53" t="s">
        <v>3884</v>
      </c>
      <c r="B53" t="s">
        <v>3943</v>
      </c>
      <c r="C53" t="str">
        <f t="shared" si="0"/>
        <v>AntioquiaGOMEZ PLATA</v>
      </c>
      <c r="D53" t="s">
        <v>3887</v>
      </c>
      <c r="E53" t="s">
        <v>416</v>
      </c>
      <c r="F53" t="s">
        <v>4729</v>
      </c>
    </row>
    <row r="54" spans="1:6" x14ac:dyDescent="0.2">
      <c r="A54" t="s">
        <v>3884</v>
      </c>
      <c r="B54" t="s">
        <v>3944</v>
      </c>
      <c r="C54" t="str">
        <f t="shared" si="0"/>
        <v>AntioquiaGRANADA</v>
      </c>
      <c r="D54" t="s">
        <v>3887</v>
      </c>
      <c r="E54" t="s">
        <v>2381</v>
      </c>
      <c r="F54" t="s">
        <v>4730</v>
      </c>
    </row>
    <row r="55" spans="1:6" x14ac:dyDescent="0.2">
      <c r="A55" t="s">
        <v>3884</v>
      </c>
      <c r="B55" t="s">
        <v>3945</v>
      </c>
      <c r="C55" t="str">
        <f t="shared" si="0"/>
        <v>AntioquiaGUADALUPE</v>
      </c>
      <c r="D55" t="s">
        <v>3887</v>
      </c>
      <c r="E55" t="s">
        <v>2030</v>
      </c>
      <c r="F55" t="s">
        <v>4731</v>
      </c>
    </row>
    <row r="56" spans="1:6" x14ac:dyDescent="0.2">
      <c r="A56" t="s">
        <v>3884</v>
      </c>
      <c r="B56" t="s">
        <v>3946</v>
      </c>
      <c r="C56" t="str">
        <f t="shared" si="0"/>
        <v>AntioquiaGUARNE</v>
      </c>
      <c r="D56" t="s">
        <v>3887</v>
      </c>
      <c r="E56" t="s">
        <v>2201</v>
      </c>
      <c r="F56" t="s">
        <v>4732</v>
      </c>
    </row>
    <row r="57" spans="1:6" x14ac:dyDescent="0.2">
      <c r="A57" t="s">
        <v>3884</v>
      </c>
      <c r="B57" t="s">
        <v>3947</v>
      </c>
      <c r="C57" t="str">
        <f t="shared" si="0"/>
        <v>AntioquiaGUATAPE</v>
      </c>
      <c r="D57" t="s">
        <v>3887</v>
      </c>
      <c r="E57" t="s">
        <v>417</v>
      </c>
      <c r="F57" t="s">
        <v>4733</v>
      </c>
    </row>
    <row r="58" spans="1:6" x14ac:dyDescent="0.2">
      <c r="A58" t="s">
        <v>3884</v>
      </c>
      <c r="B58" t="s">
        <v>3948</v>
      </c>
      <c r="C58" t="str">
        <f t="shared" si="0"/>
        <v>AntioquiaHELICONIA</v>
      </c>
      <c r="D58" t="s">
        <v>3887</v>
      </c>
      <c r="E58" t="s">
        <v>418</v>
      </c>
      <c r="F58" t="s">
        <v>4734</v>
      </c>
    </row>
    <row r="59" spans="1:6" x14ac:dyDescent="0.2">
      <c r="A59" t="s">
        <v>3884</v>
      </c>
      <c r="B59" t="s">
        <v>3949</v>
      </c>
      <c r="C59" t="str">
        <f t="shared" si="0"/>
        <v>AntioquiaHISPANIA</v>
      </c>
      <c r="D59" t="s">
        <v>3887</v>
      </c>
      <c r="E59" t="s">
        <v>419</v>
      </c>
      <c r="F59" t="s">
        <v>4735</v>
      </c>
    </row>
    <row r="60" spans="1:6" x14ac:dyDescent="0.2">
      <c r="A60" t="s">
        <v>3884</v>
      </c>
      <c r="B60" t="s">
        <v>3950</v>
      </c>
      <c r="C60" t="str">
        <f t="shared" si="0"/>
        <v>AntioquiaITAGUI</v>
      </c>
      <c r="D60" t="s">
        <v>3887</v>
      </c>
      <c r="E60" t="s">
        <v>3951</v>
      </c>
      <c r="F60" t="s">
        <v>4736</v>
      </c>
    </row>
    <row r="61" spans="1:6" x14ac:dyDescent="0.2">
      <c r="A61" t="s">
        <v>3884</v>
      </c>
      <c r="B61" t="s">
        <v>3952</v>
      </c>
      <c r="C61" t="str">
        <f t="shared" si="0"/>
        <v>AntioquiaITUANGO</v>
      </c>
      <c r="D61" t="s">
        <v>3887</v>
      </c>
      <c r="E61" t="s">
        <v>420</v>
      </c>
      <c r="F61" t="s">
        <v>4737</v>
      </c>
    </row>
    <row r="62" spans="1:6" x14ac:dyDescent="0.2">
      <c r="A62" t="s">
        <v>3884</v>
      </c>
      <c r="B62" t="s">
        <v>3953</v>
      </c>
      <c r="C62" t="str">
        <f t="shared" si="0"/>
        <v>AntioquiaJARDIN</v>
      </c>
      <c r="D62" t="s">
        <v>3887</v>
      </c>
      <c r="E62" t="s">
        <v>1012</v>
      </c>
      <c r="F62" t="s">
        <v>4738</v>
      </c>
    </row>
    <row r="63" spans="1:6" x14ac:dyDescent="0.2">
      <c r="A63" t="s">
        <v>3884</v>
      </c>
      <c r="B63" t="s">
        <v>3954</v>
      </c>
      <c r="C63" t="str">
        <f t="shared" si="0"/>
        <v>AntioquiaJERICO</v>
      </c>
      <c r="D63" t="s">
        <v>3887</v>
      </c>
      <c r="E63" t="s">
        <v>2356</v>
      </c>
      <c r="F63" t="s">
        <v>4739</v>
      </c>
    </row>
    <row r="64" spans="1:6" x14ac:dyDescent="0.2">
      <c r="A64" t="s">
        <v>3884</v>
      </c>
      <c r="B64" t="s">
        <v>3955</v>
      </c>
      <c r="C64" t="str">
        <f t="shared" si="0"/>
        <v>AntioquiaLA CEJA</v>
      </c>
      <c r="D64" t="s">
        <v>3887</v>
      </c>
      <c r="E64" t="s">
        <v>421</v>
      </c>
      <c r="F64" t="s">
        <v>4740</v>
      </c>
    </row>
    <row r="65" spans="1:6" x14ac:dyDescent="0.2">
      <c r="A65" t="s">
        <v>3884</v>
      </c>
      <c r="B65" t="s">
        <v>3956</v>
      </c>
      <c r="C65" t="str">
        <f t="shared" si="0"/>
        <v>AntioquiaLA ESTRELLA</v>
      </c>
      <c r="D65" t="s">
        <v>3887</v>
      </c>
      <c r="E65" t="s">
        <v>2840</v>
      </c>
      <c r="F65" t="s">
        <v>4741</v>
      </c>
    </row>
    <row r="66" spans="1:6" x14ac:dyDescent="0.2">
      <c r="A66" t="s">
        <v>3884</v>
      </c>
      <c r="B66" t="s">
        <v>3957</v>
      </c>
      <c r="C66" t="str">
        <f t="shared" si="0"/>
        <v>AntioquiaLA PINTADA</v>
      </c>
      <c r="D66" t="s">
        <v>3887</v>
      </c>
      <c r="E66" t="s">
        <v>1583</v>
      </c>
      <c r="F66" t="s">
        <v>4742</v>
      </c>
    </row>
    <row r="67" spans="1:6" x14ac:dyDescent="0.2">
      <c r="A67" t="s">
        <v>3884</v>
      </c>
      <c r="B67" t="s">
        <v>3958</v>
      </c>
      <c r="C67" t="str">
        <f t="shared" ref="C67:C130" si="1">D67&amp;E67</f>
        <v>AntioquiaLA UNION</v>
      </c>
      <c r="D67" t="s">
        <v>3887</v>
      </c>
      <c r="E67" t="s">
        <v>113</v>
      </c>
      <c r="F67" t="s">
        <v>4743</v>
      </c>
    </row>
    <row r="68" spans="1:6" x14ac:dyDescent="0.2">
      <c r="A68" t="s">
        <v>3884</v>
      </c>
      <c r="B68" t="s">
        <v>3959</v>
      </c>
      <c r="C68" t="str">
        <f t="shared" si="1"/>
        <v>AntioquiaLIBORINA</v>
      </c>
      <c r="D68" t="s">
        <v>3887</v>
      </c>
      <c r="E68" t="s">
        <v>422</v>
      </c>
      <c r="F68" t="s">
        <v>4744</v>
      </c>
    </row>
    <row r="69" spans="1:6" x14ac:dyDescent="0.2">
      <c r="A69" t="s">
        <v>3884</v>
      </c>
      <c r="B69" t="s">
        <v>3960</v>
      </c>
      <c r="C69" t="str">
        <f t="shared" si="1"/>
        <v>AntioquiaMACEO</v>
      </c>
      <c r="D69" t="s">
        <v>3887</v>
      </c>
      <c r="E69" t="s">
        <v>2549</v>
      </c>
      <c r="F69" t="s">
        <v>4745</v>
      </c>
    </row>
    <row r="70" spans="1:6" x14ac:dyDescent="0.2">
      <c r="A70" t="s">
        <v>3884</v>
      </c>
      <c r="B70" t="s">
        <v>3961</v>
      </c>
      <c r="C70" t="str">
        <f t="shared" si="1"/>
        <v>AntioquiaMARINILLA</v>
      </c>
      <c r="D70" t="s">
        <v>3887</v>
      </c>
      <c r="E70" t="s">
        <v>423</v>
      </c>
      <c r="F70" t="s">
        <v>4746</v>
      </c>
    </row>
    <row r="71" spans="1:6" x14ac:dyDescent="0.2">
      <c r="A71" t="s">
        <v>3884</v>
      </c>
      <c r="B71" t="s">
        <v>3962</v>
      </c>
      <c r="C71" t="str">
        <f t="shared" si="1"/>
        <v>AntioquiaMONTEBELLO</v>
      </c>
      <c r="D71" t="s">
        <v>3887</v>
      </c>
      <c r="E71" t="s">
        <v>1146</v>
      </c>
      <c r="F71" t="s">
        <v>4747</v>
      </c>
    </row>
    <row r="72" spans="1:6" x14ac:dyDescent="0.2">
      <c r="A72" t="s">
        <v>3884</v>
      </c>
      <c r="B72" t="s">
        <v>3963</v>
      </c>
      <c r="C72" t="str">
        <f t="shared" si="1"/>
        <v>AntioquiaMURINDO</v>
      </c>
      <c r="D72" t="s">
        <v>3887</v>
      </c>
      <c r="E72" t="s">
        <v>2402</v>
      </c>
      <c r="F72" t="s">
        <v>4748</v>
      </c>
    </row>
    <row r="73" spans="1:6" x14ac:dyDescent="0.2">
      <c r="A73" t="s">
        <v>3884</v>
      </c>
      <c r="B73" t="s">
        <v>3964</v>
      </c>
      <c r="C73" t="str">
        <f t="shared" si="1"/>
        <v>AntioquiaMUTATA</v>
      </c>
      <c r="D73" t="s">
        <v>3887</v>
      </c>
      <c r="E73" t="s">
        <v>2951</v>
      </c>
      <c r="F73" t="s">
        <v>4749</v>
      </c>
    </row>
    <row r="74" spans="1:6" x14ac:dyDescent="0.2">
      <c r="A74" t="s">
        <v>3884</v>
      </c>
      <c r="B74" t="s">
        <v>3965</v>
      </c>
      <c r="C74" t="str">
        <f t="shared" si="1"/>
        <v>AntioquiaNARIÑO</v>
      </c>
      <c r="D74" t="s">
        <v>3887</v>
      </c>
      <c r="E74" t="s">
        <v>2245</v>
      </c>
      <c r="F74" t="s">
        <v>4750</v>
      </c>
    </row>
    <row r="75" spans="1:6" x14ac:dyDescent="0.2">
      <c r="A75" t="s">
        <v>3884</v>
      </c>
      <c r="B75" t="s">
        <v>3966</v>
      </c>
      <c r="C75" t="str">
        <f t="shared" si="1"/>
        <v>AntioquiaNECOCLI</v>
      </c>
      <c r="D75" t="s">
        <v>3887</v>
      </c>
      <c r="E75" t="s">
        <v>2266</v>
      </c>
      <c r="F75" t="s">
        <v>4751</v>
      </c>
    </row>
    <row r="76" spans="1:6" x14ac:dyDescent="0.2">
      <c r="A76" t="s">
        <v>3884</v>
      </c>
      <c r="B76" t="s">
        <v>3967</v>
      </c>
      <c r="C76" t="str">
        <f t="shared" si="1"/>
        <v>AntioquiaNECHI</v>
      </c>
      <c r="D76" t="s">
        <v>3887</v>
      </c>
      <c r="E76" t="s">
        <v>1253</v>
      </c>
      <c r="F76" t="s">
        <v>4752</v>
      </c>
    </row>
    <row r="77" spans="1:6" x14ac:dyDescent="0.2">
      <c r="A77" t="s">
        <v>3884</v>
      </c>
      <c r="B77" t="s">
        <v>3968</v>
      </c>
      <c r="C77" t="str">
        <f t="shared" si="1"/>
        <v>AntioquiaOLAYA</v>
      </c>
      <c r="D77" t="s">
        <v>3887</v>
      </c>
      <c r="E77" t="s">
        <v>3969</v>
      </c>
      <c r="F77" t="s">
        <v>4753</v>
      </c>
    </row>
    <row r="78" spans="1:6" x14ac:dyDescent="0.2">
      <c r="A78" t="s">
        <v>3884</v>
      </c>
      <c r="B78" t="s">
        <v>3970</v>
      </c>
      <c r="C78" t="str">
        <f t="shared" si="1"/>
        <v>AntioquiaPEÑOL</v>
      </c>
      <c r="D78" t="s">
        <v>3887</v>
      </c>
      <c r="E78" t="s">
        <v>3971</v>
      </c>
      <c r="F78" t="s">
        <v>4754</v>
      </c>
    </row>
    <row r="79" spans="1:6" x14ac:dyDescent="0.2">
      <c r="A79" t="s">
        <v>3884</v>
      </c>
      <c r="B79" t="s">
        <v>3972</v>
      </c>
      <c r="C79" t="str">
        <f t="shared" si="1"/>
        <v>AntioquiaPEQUE</v>
      </c>
      <c r="D79" t="s">
        <v>3887</v>
      </c>
      <c r="E79" t="s">
        <v>424</v>
      </c>
      <c r="F79" t="s">
        <v>4755</v>
      </c>
    </row>
    <row r="80" spans="1:6" x14ac:dyDescent="0.2">
      <c r="A80" t="s">
        <v>3884</v>
      </c>
      <c r="B80" t="s">
        <v>3973</v>
      </c>
      <c r="C80" t="str">
        <f t="shared" si="1"/>
        <v>AntioquiaPUEBLORRICO</v>
      </c>
      <c r="D80" t="s">
        <v>3887</v>
      </c>
      <c r="E80" t="s">
        <v>425</v>
      </c>
      <c r="F80" t="s">
        <v>4756</v>
      </c>
    </row>
    <row r="81" spans="1:6" x14ac:dyDescent="0.2">
      <c r="A81" t="s">
        <v>3884</v>
      </c>
      <c r="B81" t="s">
        <v>3974</v>
      </c>
      <c r="C81" t="str">
        <f t="shared" si="1"/>
        <v>AntioquiaPUERTO BERRIO</v>
      </c>
      <c r="D81" t="s">
        <v>3887</v>
      </c>
      <c r="E81" t="s">
        <v>1094</v>
      </c>
      <c r="F81" t="s">
        <v>4757</v>
      </c>
    </row>
    <row r="82" spans="1:6" x14ac:dyDescent="0.2">
      <c r="A82" t="s">
        <v>3884</v>
      </c>
      <c r="B82" t="s">
        <v>3975</v>
      </c>
      <c r="C82" t="str">
        <f t="shared" si="1"/>
        <v>AntioquiaPUERTO NARE</v>
      </c>
      <c r="D82" t="s">
        <v>3887</v>
      </c>
      <c r="E82" t="s">
        <v>891</v>
      </c>
      <c r="F82" t="s">
        <v>4758</v>
      </c>
    </row>
    <row r="83" spans="1:6" x14ac:dyDescent="0.2">
      <c r="A83" t="s">
        <v>3884</v>
      </c>
      <c r="B83" t="s">
        <v>3976</v>
      </c>
      <c r="C83" t="str">
        <f t="shared" si="1"/>
        <v>AntioquiaPUERTO TRIUNFO</v>
      </c>
      <c r="D83" t="s">
        <v>3887</v>
      </c>
      <c r="E83" t="s">
        <v>1041</v>
      </c>
      <c r="F83" t="s">
        <v>4759</v>
      </c>
    </row>
    <row r="84" spans="1:6" x14ac:dyDescent="0.2">
      <c r="A84" t="s">
        <v>3884</v>
      </c>
      <c r="B84" t="s">
        <v>3977</v>
      </c>
      <c r="C84" t="str">
        <f t="shared" si="1"/>
        <v>AntioquiaREMEDIOS</v>
      </c>
      <c r="D84" t="s">
        <v>3887</v>
      </c>
      <c r="E84" t="s">
        <v>3978</v>
      </c>
      <c r="F84" t="s">
        <v>4760</v>
      </c>
    </row>
    <row r="85" spans="1:6" x14ac:dyDescent="0.2">
      <c r="A85" t="s">
        <v>3884</v>
      </c>
      <c r="B85" t="s">
        <v>3979</v>
      </c>
      <c r="C85" t="str">
        <f t="shared" si="1"/>
        <v>AntioquiaRETIRO</v>
      </c>
      <c r="D85" t="s">
        <v>3887</v>
      </c>
      <c r="E85" t="s">
        <v>3980</v>
      </c>
      <c r="F85" t="s">
        <v>4761</v>
      </c>
    </row>
    <row r="86" spans="1:6" x14ac:dyDescent="0.2">
      <c r="A86" t="s">
        <v>3884</v>
      </c>
      <c r="B86" t="s">
        <v>3981</v>
      </c>
      <c r="C86" t="str">
        <f t="shared" si="1"/>
        <v>AntioquiaRIONEGRO</v>
      </c>
      <c r="D86" t="s">
        <v>3887</v>
      </c>
      <c r="E86" t="s">
        <v>2655</v>
      </c>
      <c r="F86" t="s">
        <v>4762</v>
      </c>
    </row>
    <row r="87" spans="1:6" x14ac:dyDescent="0.2">
      <c r="A87" t="s">
        <v>3884</v>
      </c>
      <c r="B87" t="s">
        <v>3982</v>
      </c>
      <c r="C87" t="str">
        <f t="shared" si="1"/>
        <v>AntioquiaSABANALARGA</v>
      </c>
      <c r="D87" t="s">
        <v>3887</v>
      </c>
      <c r="E87" t="s">
        <v>674</v>
      </c>
      <c r="F87" t="s">
        <v>4763</v>
      </c>
    </row>
    <row r="88" spans="1:6" x14ac:dyDescent="0.2">
      <c r="A88" t="s">
        <v>3884</v>
      </c>
      <c r="B88" t="s">
        <v>3983</v>
      </c>
      <c r="C88" t="str">
        <f t="shared" si="1"/>
        <v>AntioquiaSABANETA</v>
      </c>
      <c r="D88" t="s">
        <v>3887</v>
      </c>
      <c r="E88" t="s">
        <v>426</v>
      </c>
      <c r="F88" t="s">
        <v>4764</v>
      </c>
    </row>
    <row r="89" spans="1:6" x14ac:dyDescent="0.2">
      <c r="A89" t="s">
        <v>3884</v>
      </c>
      <c r="B89" t="s">
        <v>3984</v>
      </c>
      <c r="C89" t="str">
        <f t="shared" si="1"/>
        <v>AntioquiaSALGAR</v>
      </c>
      <c r="D89" t="s">
        <v>3887</v>
      </c>
      <c r="E89" t="s">
        <v>3836</v>
      </c>
      <c r="F89" t="s">
        <v>4765</v>
      </c>
    </row>
    <row r="90" spans="1:6" x14ac:dyDescent="0.2">
      <c r="A90" t="s">
        <v>3884</v>
      </c>
      <c r="B90" t="s">
        <v>3985</v>
      </c>
      <c r="C90" t="str">
        <f t="shared" si="1"/>
        <v>AntioquiaSAN ANDRES DE CUERQUIA</v>
      </c>
      <c r="D90" t="s">
        <v>3887</v>
      </c>
      <c r="E90" t="s">
        <v>1416</v>
      </c>
      <c r="F90" t="s">
        <v>4766</v>
      </c>
    </row>
    <row r="91" spans="1:6" x14ac:dyDescent="0.2">
      <c r="A91" t="s">
        <v>3884</v>
      </c>
      <c r="B91" t="s">
        <v>3986</v>
      </c>
      <c r="C91" t="str">
        <f t="shared" si="1"/>
        <v>AntioquiaSAN CARLOS</v>
      </c>
      <c r="D91" t="s">
        <v>3887</v>
      </c>
      <c r="E91" t="s">
        <v>2135</v>
      </c>
      <c r="F91" t="s">
        <v>4767</v>
      </c>
    </row>
    <row r="92" spans="1:6" x14ac:dyDescent="0.2">
      <c r="A92" t="s">
        <v>3884</v>
      </c>
      <c r="B92" t="s">
        <v>3987</v>
      </c>
      <c r="C92" t="str">
        <f t="shared" si="1"/>
        <v>AntioquiaSAN FRANCISCO</v>
      </c>
      <c r="D92" t="s">
        <v>3887</v>
      </c>
      <c r="E92" t="s">
        <v>2677</v>
      </c>
      <c r="F92" t="s">
        <v>4768</v>
      </c>
    </row>
    <row r="93" spans="1:6" x14ac:dyDescent="0.2">
      <c r="A93" t="s">
        <v>3884</v>
      </c>
      <c r="B93" t="s">
        <v>3988</v>
      </c>
      <c r="C93" t="str">
        <f t="shared" si="1"/>
        <v>AntioquiaSAN JERONIMO</v>
      </c>
      <c r="D93" t="s">
        <v>3887</v>
      </c>
      <c r="E93" t="s">
        <v>427</v>
      </c>
      <c r="F93" t="s">
        <v>4769</v>
      </c>
    </row>
    <row r="94" spans="1:6" x14ac:dyDescent="0.2">
      <c r="A94" t="s">
        <v>3884</v>
      </c>
      <c r="B94" t="s">
        <v>3989</v>
      </c>
      <c r="C94" t="str">
        <f t="shared" si="1"/>
        <v>AntioquiaSAN JOSE DE LA MONTAÑA</v>
      </c>
      <c r="D94" t="s">
        <v>3887</v>
      </c>
      <c r="E94" t="s">
        <v>428</v>
      </c>
      <c r="F94" t="s">
        <v>4770</v>
      </c>
    </row>
    <row r="95" spans="1:6" x14ac:dyDescent="0.2">
      <c r="A95" t="s">
        <v>3884</v>
      </c>
      <c r="B95" t="s">
        <v>3990</v>
      </c>
      <c r="C95" t="str">
        <f t="shared" si="1"/>
        <v>AntioquiaSAN JUAN DE URABA</v>
      </c>
      <c r="D95" t="s">
        <v>3887</v>
      </c>
      <c r="E95" t="s">
        <v>429</v>
      </c>
      <c r="F95" t="s">
        <v>4771</v>
      </c>
    </row>
    <row r="96" spans="1:6" x14ac:dyDescent="0.2">
      <c r="A96" t="s">
        <v>3884</v>
      </c>
      <c r="B96" t="s">
        <v>3991</v>
      </c>
      <c r="C96" t="str">
        <f t="shared" si="1"/>
        <v>AntioquiaSAN LUIS</v>
      </c>
      <c r="D96" t="s">
        <v>3887</v>
      </c>
      <c r="E96" t="s">
        <v>2670</v>
      </c>
      <c r="F96" t="s">
        <v>4772</v>
      </c>
    </row>
    <row r="97" spans="1:6" x14ac:dyDescent="0.2">
      <c r="A97" t="s">
        <v>3884</v>
      </c>
      <c r="B97" t="s">
        <v>3992</v>
      </c>
      <c r="C97" t="str">
        <f t="shared" si="1"/>
        <v>AntioquiaSAN PEDRO</v>
      </c>
      <c r="D97" t="s">
        <v>3887</v>
      </c>
      <c r="E97" t="s">
        <v>103</v>
      </c>
      <c r="F97" t="s">
        <v>4773</v>
      </c>
    </row>
    <row r="98" spans="1:6" x14ac:dyDescent="0.2">
      <c r="A98" t="s">
        <v>3884</v>
      </c>
      <c r="B98" t="s">
        <v>3993</v>
      </c>
      <c r="C98" t="str">
        <f t="shared" si="1"/>
        <v>AntioquiaSAN PEDRO DE URABA</v>
      </c>
      <c r="D98" t="s">
        <v>3887</v>
      </c>
      <c r="E98" t="s">
        <v>0</v>
      </c>
      <c r="F98" t="s">
        <v>4774</v>
      </c>
    </row>
    <row r="99" spans="1:6" x14ac:dyDescent="0.2">
      <c r="A99" t="s">
        <v>3884</v>
      </c>
      <c r="B99" t="s">
        <v>3994</v>
      </c>
      <c r="C99" t="str">
        <f t="shared" si="1"/>
        <v>AntioquiaSAN RAFAEL</v>
      </c>
      <c r="D99" t="s">
        <v>3887</v>
      </c>
      <c r="E99" t="s">
        <v>1304</v>
      </c>
      <c r="F99" t="s">
        <v>4775</v>
      </c>
    </row>
    <row r="100" spans="1:6" x14ac:dyDescent="0.2">
      <c r="A100" t="s">
        <v>3884</v>
      </c>
      <c r="B100" t="s">
        <v>3995</v>
      </c>
      <c r="C100" t="str">
        <f t="shared" si="1"/>
        <v>AntioquiaSAN ROQUE</v>
      </c>
      <c r="D100" t="s">
        <v>3887</v>
      </c>
      <c r="E100" t="s">
        <v>430</v>
      </c>
      <c r="F100" t="s">
        <v>4776</v>
      </c>
    </row>
    <row r="101" spans="1:6" x14ac:dyDescent="0.2">
      <c r="A101" t="s">
        <v>3884</v>
      </c>
      <c r="B101" t="s">
        <v>3996</v>
      </c>
      <c r="C101" t="str">
        <f t="shared" si="1"/>
        <v>AntioquiaSAN VICENTE</v>
      </c>
      <c r="D101" t="s">
        <v>3887</v>
      </c>
      <c r="E101" t="s">
        <v>2554</v>
      </c>
      <c r="F101" t="s">
        <v>4777</v>
      </c>
    </row>
    <row r="102" spans="1:6" x14ac:dyDescent="0.2">
      <c r="A102" t="s">
        <v>3884</v>
      </c>
      <c r="B102" t="s">
        <v>3997</v>
      </c>
      <c r="C102" t="str">
        <f t="shared" si="1"/>
        <v>AntioquiaSANTA BARBARA</v>
      </c>
      <c r="D102" t="s">
        <v>3887</v>
      </c>
      <c r="E102" t="s">
        <v>1536</v>
      </c>
      <c r="F102" t="s">
        <v>4778</v>
      </c>
    </row>
    <row r="103" spans="1:6" x14ac:dyDescent="0.2">
      <c r="A103" t="s">
        <v>3884</v>
      </c>
      <c r="B103" t="s">
        <v>3998</v>
      </c>
      <c r="C103" t="str">
        <f t="shared" si="1"/>
        <v>AntioquiaSANTA ROSA DE OSOS</v>
      </c>
      <c r="D103" t="s">
        <v>3887</v>
      </c>
      <c r="E103" t="s">
        <v>3026</v>
      </c>
      <c r="F103" t="s">
        <v>4779</v>
      </c>
    </row>
    <row r="104" spans="1:6" x14ac:dyDescent="0.2">
      <c r="A104" t="s">
        <v>3884</v>
      </c>
      <c r="B104" t="s">
        <v>3999</v>
      </c>
      <c r="C104" t="str">
        <f t="shared" si="1"/>
        <v>AntioquiaSANTO DOMINGO</v>
      </c>
      <c r="D104" t="s">
        <v>3887</v>
      </c>
      <c r="E104" t="s">
        <v>4000</v>
      </c>
      <c r="F104" t="s">
        <v>4780</v>
      </c>
    </row>
    <row r="105" spans="1:6" x14ac:dyDescent="0.2">
      <c r="A105" t="s">
        <v>3884</v>
      </c>
      <c r="B105" t="s">
        <v>4001</v>
      </c>
      <c r="C105" t="str">
        <f t="shared" si="1"/>
        <v>AntioquiaEL SANTUARIO</v>
      </c>
      <c r="D105" t="s">
        <v>3887</v>
      </c>
      <c r="E105" t="s">
        <v>4002</v>
      </c>
      <c r="F105" t="s">
        <v>4781</v>
      </c>
    </row>
    <row r="106" spans="1:6" x14ac:dyDescent="0.2">
      <c r="A106" t="s">
        <v>3884</v>
      </c>
      <c r="B106" t="s">
        <v>4003</v>
      </c>
      <c r="C106" t="str">
        <f t="shared" si="1"/>
        <v>AntioquiaSEGOVIA</v>
      </c>
      <c r="D106" t="s">
        <v>3887</v>
      </c>
      <c r="E106" t="s">
        <v>2264</v>
      </c>
      <c r="F106" t="s">
        <v>4782</v>
      </c>
    </row>
    <row r="107" spans="1:6" x14ac:dyDescent="0.2">
      <c r="A107" t="s">
        <v>3884</v>
      </c>
      <c r="B107" t="s">
        <v>4004</v>
      </c>
      <c r="C107" t="str">
        <f t="shared" si="1"/>
        <v>AntioquiaSONSON</v>
      </c>
      <c r="D107" t="s">
        <v>3887</v>
      </c>
      <c r="E107" t="s">
        <v>214</v>
      </c>
      <c r="F107" t="s">
        <v>4783</v>
      </c>
    </row>
    <row r="108" spans="1:6" x14ac:dyDescent="0.2">
      <c r="A108" t="s">
        <v>3884</v>
      </c>
      <c r="B108" t="s">
        <v>4005</v>
      </c>
      <c r="C108" t="str">
        <f t="shared" si="1"/>
        <v>AntioquiaSOPETRAN</v>
      </c>
      <c r="D108" t="s">
        <v>3887</v>
      </c>
      <c r="E108" t="s">
        <v>431</v>
      </c>
      <c r="F108" t="s">
        <v>4784</v>
      </c>
    </row>
    <row r="109" spans="1:6" x14ac:dyDescent="0.2">
      <c r="A109" t="s">
        <v>3884</v>
      </c>
      <c r="B109" t="s">
        <v>4006</v>
      </c>
      <c r="C109" t="str">
        <f t="shared" si="1"/>
        <v>AntioquiaTAMESIS</v>
      </c>
      <c r="D109" t="s">
        <v>3887</v>
      </c>
      <c r="E109" t="s">
        <v>1824</v>
      </c>
      <c r="F109" t="s">
        <v>4785</v>
      </c>
    </row>
    <row r="110" spans="1:6" x14ac:dyDescent="0.2">
      <c r="A110" t="s">
        <v>3884</v>
      </c>
      <c r="B110" t="s">
        <v>4007</v>
      </c>
      <c r="C110" t="str">
        <f t="shared" si="1"/>
        <v>AntioquiaTARAZA</v>
      </c>
      <c r="D110" t="s">
        <v>3887</v>
      </c>
      <c r="E110" t="s">
        <v>1924</v>
      </c>
      <c r="F110" t="s">
        <v>4786</v>
      </c>
    </row>
    <row r="111" spans="1:6" x14ac:dyDescent="0.2">
      <c r="A111" t="s">
        <v>3884</v>
      </c>
      <c r="B111" t="s">
        <v>4008</v>
      </c>
      <c r="C111" t="str">
        <f t="shared" si="1"/>
        <v>AntioquiaTARSO</v>
      </c>
      <c r="D111" t="s">
        <v>3887</v>
      </c>
      <c r="E111" t="s">
        <v>432</v>
      </c>
      <c r="F111" t="s">
        <v>4787</v>
      </c>
    </row>
    <row r="112" spans="1:6" x14ac:dyDescent="0.2">
      <c r="A112" t="s">
        <v>3884</v>
      </c>
      <c r="B112" t="s">
        <v>4009</v>
      </c>
      <c r="C112" t="str">
        <f t="shared" si="1"/>
        <v>AntioquiaTITIRIBI</v>
      </c>
      <c r="D112" t="s">
        <v>3887</v>
      </c>
      <c r="E112" t="s">
        <v>2142</v>
      </c>
      <c r="F112" t="s">
        <v>4788</v>
      </c>
    </row>
    <row r="113" spans="1:6" x14ac:dyDescent="0.2">
      <c r="A113" t="s">
        <v>3884</v>
      </c>
      <c r="B113" t="s">
        <v>4010</v>
      </c>
      <c r="C113" t="str">
        <f t="shared" si="1"/>
        <v>AntioquiaTOLEDO</v>
      </c>
      <c r="D113" t="s">
        <v>3887</v>
      </c>
      <c r="E113" t="s">
        <v>3123</v>
      </c>
      <c r="F113" t="s">
        <v>4789</v>
      </c>
    </row>
    <row r="114" spans="1:6" x14ac:dyDescent="0.2">
      <c r="A114" t="s">
        <v>3884</v>
      </c>
      <c r="B114" t="s">
        <v>4011</v>
      </c>
      <c r="C114" t="str">
        <f t="shared" si="1"/>
        <v>AntioquiaTURBO</v>
      </c>
      <c r="D114" t="s">
        <v>3887</v>
      </c>
      <c r="E114" t="s">
        <v>2267</v>
      </c>
      <c r="F114" t="s">
        <v>4790</v>
      </c>
    </row>
    <row r="115" spans="1:6" x14ac:dyDescent="0.2">
      <c r="A115" t="s">
        <v>3884</v>
      </c>
      <c r="B115" t="s">
        <v>4012</v>
      </c>
      <c r="C115" t="str">
        <f t="shared" si="1"/>
        <v>AntioquiaURAMITA</v>
      </c>
      <c r="D115" t="s">
        <v>3887</v>
      </c>
      <c r="E115" t="s">
        <v>433</v>
      </c>
      <c r="F115" t="s">
        <v>4791</v>
      </c>
    </row>
    <row r="116" spans="1:6" x14ac:dyDescent="0.2">
      <c r="A116" t="s">
        <v>3884</v>
      </c>
      <c r="B116" t="s">
        <v>4013</v>
      </c>
      <c r="C116" t="str">
        <f t="shared" si="1"/>
        <v>AntioquiaURRAO</v>
      </c>
      <c r="D116" t="s">
        <v>3887</v>
      </c>
      <c r="E116" t="s">
        <v>1898</v>
      </c>
      <c r="F116" t="s">
        <v>4792</v>
      </c>
    </row>
    <row r="117" spans="1:6" x14ac:dyDescent="0.2">
      <c r="A117" t="s">
        <v>3884</v>
      </c>
      <c r="B117" t="s">
        <v>4014</v>
      </c>
      <c r="C117" t="str">
        <f t="shared" si="1"/>
        <v>AntioquiaVALDIVIA</v>
      </c>
      <c r="D117" t="s">
        <v>3887</v>
      </c>
      <c r="E117" t="s">
        <v>1551</v>
      </c>
      <c r="F117" t="s">
        <v>4793</v>
      </c>
    </row>
    <row r="118" spans="1:6" x14ac:dyDescent="0.2">
      <c r="A118" t="s">
        <v>3884</v>
      </c>
      <c r="B118" t="s">
        <v>4015</v>
      </c>
      <c r="C118" t="str">
        <f t="shared" si="1"/>
        <v>AntioquiaVALPARAISO</v>
      </c>
      <c r="D118" t="s">
        <v>3887</v>
      </c>
      <c r="E118" t="s">
        <v>434</v>
      </c>
      <c r="F118" t="s">
        <v>4794</v>
      </c>
    </row>
    <row r="119" spans="1:6" x14ac:dyDescent="0.2">
      <c r="A119" t="s">
        <v>3884</v>
      </c>
      <c r="B119" t="s">
        <v>4016</v>
      </c>
      <c r="C119" t="str">
        <f t="shared" si="1"/>
        <v>AntioquiaVEGACHI</v>
      </c>
      <c r="D119" t="s">
        <v>3887</v>
      </c>
      <c r="E119" t="s">
        <v>1201</v>
      </c>
      <c r="F119" t="s">
        <v>4795</v>
      </c>
    </row>
    <row r="120" spans="1:6" x14ac:dyDescent="0.2">
      <c r="A120" t="s">
        <v>3884</v>
      </c>
      <c r="B120" t="s">
        <v>4017</v>
      </c>
      <c r="C120" t="str">
        <f t="shared" si="1"/>
        <v>AntioquiaVENECIA</v>
      </c>
      <c r="D120" t="s">
        <v>3887</v>
      </c>
      <c r="E120" t="s">
        <v>1187</v>
      </c>
      <c r="F120" t="s">
        <v>4796</v>
      </c>
    </row>
    <row r="121" spans="1:6" x14ac:dyDescent="0.2">
      <c r="A121" t="s">
        <v>3884</v>
      </c>
      <c r="B121" t="s">
        <v>4018</v>
      </c>
      <c r="C121" t="str">
        <f t="shared" si="1"/>
        <v>AntioquiaVIGIA DEL FUERTE</v>
      </c>
      <c r="D121" t="s">
        <v>3887</v>
      </c>
      <c r="E121" t="s">
        <v>2145</v>
      </c>
      <c r="F121" t="s">
        <v>4797</v>
      </c>
    </row>
    <row r="122" spans="1:6" x14ac:dyDescent="0.2">
      <c r="A122" t="s">
        <v>3884</v>
      </c>
      <c r="B122" t="s">
        <v>4019</v>
      </c>
      <c r="C122" t="str">
        <f t="shared" si="1"/>
        <v>AntioquiaYALI</v>
      </c>
      <c r="D122" t="s">
        <v>3887</v>
      </c>
      <c r="E122" t="s">
        <v>2236</v>
      </c>
      <c r="F122" t="s">
        <v>4798</v>
      </c>
    </row>
    <row r="123" spans="1:6" x14ac:dyDescent="0.2">
      <c r="A123" t="s">
        <v>3884</v>
      </c>
      <c r="B123" t="s">
        <v>4020</v>
      </c>
      <c r="C123" t="str">
        <f t="shared" si="1"/>
        <v>AntioquiaYARUMAL</v>
      </c>
      <c r="D123" t="s">
        <v>3887</v>
      </c>
      <c r="E123" t="s">
        <v>4021</v>
      </c>
      <c r="F123" t="s">
        <v>4799</v>
      </c>
    </row>
    <row r="124" spans="1:6" x14ac:dyDescent="0.2">
      <c r="A124" t="s">
        <v>3884</v>
      </c>
      <c r="B124" t="s">
        <v>4022</v>
      </c>
      <c r="C124" t="str">
        <f t="shared" si="1"/>
        <v>AntioquiaYOLOMBO</v>
      </c>
      <c r="D124" t="s">
        <v>3887</v>
      </c>
      <c r="E124" t="s">
        <v>435</v>
      </c>
      <c r="F124" t="s">
        <v>4800</v>
      </c>
    </row>
    <row r="125" spans="1:6" x14ac:dyDescent="0.2">
      <c r="A125" t="s">
        <v>3884</v>
      </c>
      <c r="B125" t="s">
        <v>4023</v>
      </c>
      <c r="C125" t="str">
        <f t="shared" si="1"/>
        <v>AntioquiaYONDO</v>
      </c>
      <c r="D125" t="s">
        <v>3887</v>
      </c>
      <c r="E125" t="s">
        <v>1420</v>
      </c>
      <c r="F125" t="s">
        <v>4801</v>
      </c>
    </row>
    <row r="126" spans="1:6" x14ac:dyDescent="0.2">
      <c r="A126" t="s">
        <v>3884</v>
      </c>
      <c r="B126" t="s">
        <v>4024</v>
      </c>
      <c r="C126" t="str">
        <f t="shared" si="1"/>
        <v>AntioquiaZARAGOZA</v>
      </c>
      <c r="D126" t="s">
        <v>3887</v>
      </c>
      <c r="E126" t="s">
        <v>1582</v>
      </c>
      <c r="F126" t="s">
        <v>4802</v>
      </c>
    </row>
    <row r="127" spans="1:6" x14ac:dyDescent="0.2">
      <c r="A127" t="s">
        <v>4025</v>
      </c>
      <c r="B127" t="s">
        <v>3885</v>
      </c>
      <c r="C127" t="str">
        <f t="shared" si="1"/>
        <v>AtlanticoBARRANQUILLA</v>
      </c>
      <c r="D127" t="s">
        <v>4026</v>
      </c>
      <c r="E127" t="s">
        <v>1989</v>
      </c>
      <c r="F127" t="s">
        <v>4803</v>
      </c>
    </row>
    <row r="128" spans="1:6" x14ac:dyDescent="0.2">
      <c r="A128" t="s">
        <v>4025</v>
      </c>
      <c r="B128" t="s">
        <v>4027</v>
      </c>
      <c r="C128" t="str">
        <f t="shared" si="1"/>
        <v>AtlanticoBARANOA</v>
      </c>
      <c r="D128" t="s">
        <v>4026</v>
      </c>
      <c r="E128" t="s">
        <v>3146</v>
      </c>
      <c r="F128" t="s">
        <v>4804</v>
      </c>
    </row>
    <row r="129" spans="1:6" x14ac:dyDescent="0.2">
      <c r="A129" t="s">
        <v>4025</v>
      </c>
      <c r="B129" t="s">
        <v>4028</v>
      </c>
      <c r="C129" t="str">
        <f t="shared" si="1"/>
        <v>AtlanticoCAMPO DE LA CRUZ</v>
      </c>
      <c r="D129" t="s">
        <v>4026</v>
      </c>
      <c r="E129" t="s">
        <v>1947</v>
      </c>
      <c r="F129" t="s">
        <v>4805</v>
      </c>
    </row>
    <row r="130" spans="1:6" x14ac:dyDescent="0.2">
      <c r="A130" t="s">
        <v>4025</v>
      </c>
      <c r="B130" t="s">
        <v>4029</v>
      </c>
      <c r="C130" t="str">
        <f t="shared" si="1"/>
        <v>AtlanticoCANDELARIA</v>
      </c>
      <c r="D130" t="s">
        <v>4026</v>
      </c>
      <c r="E130" t="s">
        <v>1948</v>
      </c>
      <c r="F130" t="s">
        <v>4806</v>
      </c>
    </row>
    <row r="131" spans="1:6" x14ac:dyDescent="0.2">
      <c r="A131" t="s">
        <v>4025</v>
      </c>
      <c r="B131" t="s">
        <v>4030</v>
      </c>
      <c r="C131" t="str">
        <f t="shared" ref="C131:C194" si="2">D131&amp;E131</f>
        <v>AtlanticoGALAPA</v>
      </c>
      <c r="D131" t="s">
        <v>4026</v>
      </c>
      <c r="E131" t="s">
        <v>1342</v>
      </c>
      <c r="F131" t="s">
        <v>4807</v>
      </c>
    </row>
    <row r="132" spans="1:6" x14ac:dyDescent="0.2">
      <c r="A132" t="s">
        <v>4025</v>
      </c>
      <c r="B132" t="s">
        <v>4031</v>
      </c>
      <c r="C132" t="str">
        <f t="shared" si="2"/>
        <v>AtlanticoJUAN DE ACOSTA</v>
      </c>
      <c r="D132" t="s">
        <v>4026</v>
      </c>
      <c r="E132" t="s">
        <v>1864</v>
      </c>
      <c r="F132" t="s">
        <v>4808</v>
      </c>
    </row>
    <row r="133" spans="1:6" x14ac:dyDescent="0.2">
      <c r="A133" t="s">
        <v>4025</v>
      </c>
      <c r="B133" t="s">
        <v>4032</v>
      </c>
      <c r="C133" t="str">
        <f t="shared" si="2"/>
        <v>AtlanticoLURUACO</v>
      </c>
      <c r="D133" t="s">
        <v>4026</v>
      </c>
      <c r="E133" t="s">
        <v>2440</v>
      </c>
      <c r="F133" t="s">
        <v>4809</v>
      </c>
    </row>
    <row r="134" spans="1:6" x14ac:dyDescent="0.2">
      <c r="A134" t="s">
        <v>4025</v>
      </c>
      <c r="B134" t="s">
        <v>4033</v>
      </c>
      <c r="C134" t="str">
        <f t="shared" si="2"/>
        <v>AtlanticoMALAMBO</v>
      </c>
      <c r="D134" t="s">
        <v>4026</v>
      </c>
      <c r="E134" t="s">
        <v>974</v>
      </c>
      <c r="F134" t="s">
        <v>4810</v>
      </c>
    </row>
    <row r="135" spans="1:6" x14ac:dyDescent="0.2">
      <c r="A135" t="s">
        <v>4025</v>
      </c>
      <c r="B135" t="s">
        <v>4034</v>
      </c>
      <c r="C135" t="str">
        <f t="shared" si="2"/>
        <v>AtlanticoMANATI</v>
      </c>
      <c r="D135" t="s">
        <v>4026</v>
      </c>
      <c r="E135" t="s">
        <v>1949</v>
      </c>
      <c r="F135" t="s">
        <v>4811</v>
      </c>
    </row>
    <row r="136" spans="1:6" x14ac:dyDescent="0.2">
      <c r="A136" t="s">
        <v>4025</v>
      </c>
      <c r="B136" t="s">
        <v>4035</v>
      </c>
      <c r="C136" t="str">
        <f t="shared" si="2"/>
        <v>AtlanticoPALMAR DE VARELA</v>
      </c>
      <c r="D136" t="s">
        <v>4026</v>
      </c>
      <c r="E136" t="s">
        <v>698</v>
      </c>
      <c r="F136" t="s">
        <v>4812</v>
      </c>
    </row>
    <row r="137" spans="1:6" x14ac:dyDescent="0.2">
      <c r="A137" t="s">
        <v>4025</v>
      </c>
      <c r="B137" t="s">
        <v>4036</v>
      </c>
      <c r="C137" t="str">
        <f t="shared" si="2"/>
        <v>AtlanticoPIOJO</v>
      </c>
      <c r="D137" t="s">
        <v>4026</v>
      </c>
      <c r="E137" t="s">
        <v>2437</v>
      </c>
      <c r="F137" t="s">
        <v>4813</v>
      </c>
    </row>
    <row r="138" spans="1:6" x14ac:dyDescent="0.2">
      <c r="A138" t="s">
        <v>4025</v>
      </c>
      <c r="B138" t="s">
        <v>4037</v>
      </c>
      <c r="C138" t="str">
        <f t="shared" si="2"/>
        <v>AtlanticoPOLONUEVO</v>
      </c>
      <c r="D138" t="s">
        <v>4026</v>
      </c>
      <c r="E138" t="s">
        <v>4038</v>
      </c>
      <c r="F138" t="s">
        <v>4814</v>
      </c>
    </row>
    <row r="139" spans="1:6" x14ac:dyDescent="0.2">
      <c r="A139" t="s">
        <v>4025</v>
      </c>
      <c r="B139" t="s">
        <v>4039</v>
      </c>
      <c r="C139" t="str">
        <f t="shared" si="2"/>
        <v>AtlanticoPONEDERA</v>
      </c>
      <c r="D139" t="s">
        <v>4026</v>
      </c>
      <c r="E139" t="s">
        <v>1950</v>
      </c>
      <c r="F139" t="s">
        <v>4815</v>
      </c>
    </row>
    <row r="140" spans="1:6" x14ac:dyDescent="0.2">
      <c r="A140" t="s">
        <v>4025</v>
      </c>
      <c r="B140" t="s">
        <v>4040</v>
      </c>
      <c r="C140" t="str">
        <f t="shared" si="2"/>
        <v>AtlanticoPUERTO COLOMBIA</v>
      </c>
      <c r="D140" t="s">
        <v>4026</v>
      </c>
      <c r="E140" t="s">
        <v>158</v>
      </c>
      <c r="F140" t="s">
        <v>4816</v>
      </c>
    </row>
    <row r="141" spans="1:6" x14ac:dyDescent="0.2">
      <c r="A141" t="s">
        <v>4025</v>
      </c>
      <c r="B141" t="s">
        <v>4041</v>
      </c>
      <c r="C141" t="str">
        <f t="shared" si="2"/>
        <v>AtlanticoREPELON</v>
      </c>
      <c r="D141" t="s">
        <v>4026</v>
      </c>
      <c r="E141" t="s">
        <v>30</v>
      </c>
      <c r="F141" t="s">
        <v>4817</v>
      </c>
    </row>
    <row r="142" spans="1:6" x14ac:dyDescent="0.2">
      <c r="A142" t="s">
        <v>4025</v>
      </c>
      <c r="B142" t="s">
        <v>4042</v>
      </c>
      <c r="C142" t="str">
        <f t="shared" si="2"/>
        <v>AtlanticoSABANAGRANDE</v>
      </c>
      <c r="D142" t="s">
        <v>4026</v>
      </c>
      <c r="E142" t="s">
        <v>1671</v>
      </c>
      <c r="F142" t="s">
        <v>4818</v>
      </c>
    </row>
    <row r="143" spans="1:6" x14ac:dyDescent="0.2">
      <c r="A143" t="s">
        <v>4025</v>
      </c>
      <c r="B143" t="s">
        <v>4043</v>
      </c>
      <c r="C143" t="str">
        <f t="shared" si="2"/>
        <v>AtlanticoSABANALARGA</v>
      </c>
      <c r="D143" t="s">
        <v>4026</v>
      </c>
      <c r="E143" t="s">
        <v>674</v>
      </c>
      <c r="F143" t="s">
        <v>4819</v>
      </c>
    </row>
    <row r="144" spans="1:6" x14ac:dyDescent="0.2">
      <c r="A144" t="s">
        <v>4025</v>
      </c>
      <c r="B144" t="s">
        <v>4044</v>
      </c>
      <c r="C144" t="str">
        <f t="shared" si="2"/>
        <v>AtlanticoSANTA LUCIA</v>
      </c>
      <c r="D144" t="s">
        <v>4026</v>
      </c>
      <c r="E144" t="s">
        <v>699</v>
      </c>
      <c r="F144" t="s">
        <v>4820</v>
      </c>
    </row>
    <row r="145" spans="1:6" x14ac:dyDescent="0.2">
      <c r="A145" t="s">
        <v>4025</v>
      </c>
      <c r="B145" t="s">
        <v>4045</v>
      </c>
      <c r="C145" t="str">
        <f t="shared" si="2"/>
        <v>AtlanticoSANTO TOMAS</v>
      </c>
      <c r="D145" t="s">
        <v>4026</v>
      </c>
      <c r="E145" t="s">
        <v>2565</v>
      </c>
      <c r="F145" t="s">
        <v>4821</v>
      </c>
    </row>
    <row r="146" spans="1:6" x14ac:dyDescent="0.2">
      <c r="A146" t="s">
        <v>4025</v>
      </c>
      <c r="B146" t="s">
        <v>4046</v>
      </c>
      <c r="C146" t="str">
        <f t="shared" si="2"/>
        <v>AtlanticoSOLEDAD</v>
      </c>
      <c r="D146" t="s">
        <v>4026</v>
      </c>
      <c r="E146" t="s">
        <v>678</v>
      </c>
      <c r="F146" t="s">
        <v>4822</v>
      </c>
    </row>
    <row r="147" spans="1:6" x14ac:dyDescent="0.2">
      <c r="A147" t="s">
        <v>4025</v>
      </c>
      <c r="B147" t="s">
        <v>4047</v>
      </c>
      <c r="C147" t="str">
        <f t="shared" si="2"/>
        <v>AtlanticoSUAN</v>
      </c>
      <c r="D147" t="s">
        <v>4026</v>
      </c>
      <c r="E147" t="s">
        <v>1142</v>
      </c>
      <c r="F147" t="s">
        <v>4823</v>
      </c>
    </row>
    <row r="148" spans="1:6" x14ac:dyDescent="0.2">
      <c r="A148" t="s">
        <v>4025</v>
      </c>
      <c r="B148" t="s">
        <v>4048</v>
      </c>
      <c r="C148" t="str">
        <f t="shared" si="2"/>
        <v>AtlanticoTUBARA</v>
      </c>
      <c r="D148" t="s">
        <v>4026</v>
      </c>
      <c r="E148" t="s">
        <v>145</v>
      </c>
      <c r="F148" t="s">
        <v>4824</v>
      </c>
    </row>
    <row r="149" spans="1:6" x14ac:dyDescent="0.2">
      <c r="A149" t="s">
        <v>4025</v>
      </c>
      <c r="B149" t="s">
        <v>4049</v>
      </c>
      <c r="C149" t="str">
        <f t="shared" si="2"/>
        <v>AtlanticoUSIACURI</v>
      </c>
      <c r="D149" t="s">
        <v>4026</v>
      </c>
      <c r="E149" t="s">
        <v>1818</v>
      </c>
      <c r="F149" t="s">
        <v>4825</v>
      </c>
    </row>
    <row r="150" spans="1:6" x14ac:dyDescent="0.2">
      <c r="A150" t="s">
        <v>4050</v>
      </c>
      <c r="B150" t="s">
        <v>3885</v>
      </c>
      <c r="C150" t="str">
        <f t="shared" si="2"/>
        <v>BOGOTA, D.C.BOGOTA, D.C.</v>
      </c>
      <c r="D150" s="190" t="s">
        <v>6305</v>
      </c>
      <c r="E150" s="190" t="s">
        <v>6305</v>
      </c>
      <c r="F150" t="s">
        <v>4826</v>
      </c>
    </row>
    <row r="151" spans="1:6" x14ac:dyDescent="0.2">
      <c r="A151" t="s">
        <v>4051</v>
      </c>
      <c r="B151" t="s">
        <v>3885</v>
      </c>
      <c r="C151" t="str">
        <f t="shared" si="2"/>
        <v>BolivarCARTAGENA</v>
      </c>
      <c r="D151" t="s">
        <v>4052</v>
      </c>
      <c r="E151" t="s">
        <v>1215</v>
      </c>
      <c r="F151" t="s">
        <v>4827</v>
      </c>
    </row>
    <row r="152" spans="1:6" x14ac:dyDescent="0.2">
      <c r="A152" t="s">
        <v>4051</v>
      </c>
      <c r="B152" t="s">
        <v>4053</v>
      </c>
      <c r="C152" t="str">
        <f t="shared" si="2"/>
        <v>BolivarACHI</v>
      </c>
      <c r="D152" t="s">
        <v>4052</v>
      </c>
      <c r="E152" t="s">
        <v>2136</v>
      </c>
      <c r="F152" t="s">
        <v>4828</v>
      </c>
    </row>
    <row r="153" spans="1:6" x14ac:dyDescent="0.2">
      <c r="A153" t="s">
        <v>4051</v>
      </c>
      <c r="B153" t="s">
        <v>3891</v>
      </c>
      <c r="C153" t="str">
        <f t="shared" si="2"/>
        <v>BolivarALTOS DEL ROSARIO</v>
      </c>
      <c r="D153" t="s">
        <v>4052</v>
      </c>
      <c r="E153" t="s">
        <v>2795</v>
      </c>
      <c r="F153" t="s">
        <v>4829</v>
      </c>
    </row>
    <row r="154" spans="1:6" x14ac:dyDescent="0.2">
      <c r="A154" t="s">
        <v>4051</v>
      </c>
      <c r="B154" t="s">
        <v>3897</v>
      </c>
      <c r="C154" t="str">
        <f t="shared" si="2"/>
        <v>BolivarARENAL</v>
      </c>
      <c r="D154" t="s">
        <v>4052</v>
      </c>
      <c r="E154" t="s">
        <v>2</v>
      </c>
      <c r="F154" t="s">
        <v>4830</v>
      </c>
    </row>
    <row r="155" spans="1:6" x14ac:dyDescent="0.2">
      <c r="A155" t="s">
        <v>4051</v>
      </c>
      <c r="B155" t="s">
        <v>4054</v>
      </c>
      <c r="C155" t="str">
        <f t="shared" si="2"/>
        <v>BolivarARJONA</v>
      </c>
      <c r="D155" t="s">
        <v>4052</v>
      </c>
      <c r="E155" t="s">
        <v>232</v>
      </c>
      <c r="F155" t="s">
        <v>4831</v>
      </c>
    </row>
    <row r="156" spans="1:6" x14ac:dyDescent="0.2">
      <c r="A156" t="s">
        <v>4051</v>
      </c>
      <c r="B156" t="s">
        <v>4055</v>
      </c>
      <c r="C156" t="str">
        <f t="shared" si="2"/>
        <v>BolivarARROYOHONDO</v>
      </c>
      <c r="D156" t="s">
        <v>4052</v>
      </c>
      <c r="E156" t="s">
        <v>4056</v>
      </c>
      <c r="F156" t="s">
        <v>4832</v>
      </c>
    </row>
    <row r="157" spans="1:6" x14ac:dyDescent="0.2">
      <c r="A157" t="s">
        <v>4051</v>
      </c>
      <c r="B157" t="s">
        <v>4057</v>
      </c>
      <c r="C157" t="str">
        <f t="shared" si="2"/>
        <v>BolivarBARRANCO DE LOBA</v>
      </c>
      <c r="D157" t="s">
        <v>4052</v>
      </c>
      <c r="E157" t="s">
        <v>1964</v>
      </c>
      <c r="F157" t="s">
        <v>4833</v>
      </c>
    </row>
    <row r="158" spans="1:6" x14ac:dyDescent="0.2">
      <c r="A158" t="s">
        <v>4051</v>
      </c>
      <c r="B158" t="s">
        <v>4058</v>
      </c>
      <c r="C158" t="str">
        <f t="shared" si="2"/>
        <v>BolivarCALAMAR</v>
      </c>
      <c r="D158" t="s">
        <v>4052</v>
      </c>
      <c r="E158" t="s">
        <v>1958</v>
      </c>
      <c r="F158" t="s">
        <v>4834</v>
      </c>
    </row>
    <row r="159" spans="1:6" x14ac:dyDescent="0.2">
      <c r="A159" t="s">
        <v>4051</v>
      </c>
      <c r="B159" t="s">
        <v>4059</v>
      </c>
      <c r="C159" t="str">
        <f t="shared" si="2"/>
        <v>BolivarCANTAGALLO</v>
      </c>
      <c r="D159" t="s">
        <v>4052</v>
      </c>
      <c r="E159" t="s">
        <v>1208</v>
      </c>
      <c r="F159" t="s">
        <v>4835</v>
      </c>
    </row>
    <row r="160" spans="1:6" x14ac:dyDescent="0.2">
      <c r="A160" t="s">
        <v>4051</v>
      </c>
      <c r="B160" t="s">
        <v>4060</v>
      </c>
      <c r="C160" t="str">
        <f t="shared" si="2"/>
        <v>BolivarCICUCO</v>
      </c>
      <c r="D160" t="s">
        <v>4052</v>
      </c>
      <c r="E160" t="s">
        <v>1963</v>
      </c>
      <c r="F160" t="s">
        <v>4836</v>
      </c>
    </row>
    <row r="161" spans="1:6" x14ac:dyDescent="0.2">
      <c r="A161" t="s">
        <v>4051</v>
      </c>
      <c r="B161" t="s">
        <v>3930</v>
      </c>
      <c r="C161" t="str">
        <f t="shared" si="2"/>
        <v>BolivarCORDOBA</v>
      </c>
      <c r="D161" t="s">
        <v>4052</v>
      </c>
      <c r="E161" t="s">
        <v>1700</v>
      </c>
      <c r="F161" t="s">
        <v>4837</v>
      </c>
    </row>
    <row r="162" spans="1:6" x14ac:dyDescent="0.2">
      <c r="A162" t="s">
        <v>4051</v>
      </c>
      <c r="B162" t="s">
        <v>4061</v>
      </c>
      <c r="C162" t="str">
        <f t="shared" si="2"/>
        <v>BolivarCLEMENCIA</v>
      </c>
      <c r="D162" t="s">
        <v>4052</v>
      </c>
      <c r="E162" t="s">
        <v>1952</v>
      </c>
      <c r="F162" t="s">
        <v>4838</v>
      </c>
    </row>
    <row r="163" spans="1:6" x14ac:dyDescent="0.2">
      <c r="A163" t="s">
        <v>4051</v>
      </c>
      <c r="B163" t="s">
        <v>4062</v>
      </c>
      <c r="C163" t="str">
        <f t="shared" si="2"/>
        <v>BolivarEL CARMEN DE BOLIVAR</v>
      </c>
      <c r="D163" t="s">
        <v>4052</v>
      </c>
      <c r="E163" t="s">
        <v>3</v>
      </c>
      <c r="F163" t="s">
        <v>4839</v>
      </c>
    </row>
    <row r="164" spans="1:6" x14ac:dyDescent="0.2">
      <c r="A164" t="s">
        <v>4051</v>
      </c>
      <c r="B164" t="s">
        <v>4063</v>
      </c>
      <c r="C164" t="str">
        <f t="shared" si="2"/>
        <v>BolivarEL GUAMO</v>
      </c>
      <c r="D164" t="s">
        <v>4052</v>
      </c>
      <c r="E164" t="s">
        <v>1959</v>
      </c>
      <c r="F164" t="s">
        <v>4840</v>
      </c>
    </row>
    <row r="165" spans="1:6" x14ac:dyDescent="0.2">
      <c r="A165" t="s">
        <v>4051</v>
      </c>
      <c r="B165" t="s">
        <v>4064</v>
      </c>
      <c r="C165" t="str">
        <f t="shared" si="2"/>
        <v>BolivarEL PEÑON</v>
      </c>
      <c r="D165" t="s">
        <v>4052</v>
      </c>
      <c r="E165" t="s">
        <v>1841</v>
      </c>
      <c r="F165" t="s">
        <v>4841</v>
      </c>
    </row>
    <row r="166" spans="1:6" x14ac:dyDescent="0.2">
      <c r="A166" t="s">
        <v>4051</v>
      </c>
      <c r="B166" t="s">
        <v>4065</v>
      </c>
      <c r="C166" t="str">
        <f t="shared" si="2"/>
        <v>BolivarHATILLO DE LOBA</v>
      </c>
      <c r="D166" t="s">
        <v>4052</v>
      </c>
      <c r="E166" t="s">
        <v>1479</v>
      </c>
      <c r="F166" t="s">
        <v>4842</v>
      </c>
    </row>
    <row r="167" spans="1:6" x14ac:dyDescent="0.2">
      <c r="A167" t="s">
        <v>4051</v>
      </c>
      <c r="B167" t="s">
        <v>4066</v>
      </c>
      <c r="C167" t="str">
        <f t="shared" si="2"/>
        <v>BolivarMAGANGUE</v>
      </c>
      <c r="D167" t="s">
        <v>4052</v>
      </c>
      <c r="E167" t="s">
        <v>1962</v>
      </c>
      <c r="F167" t="s">
        <v>4843</v>
      </c>
    </row>
    <row r="168" spans="1:6" x14ac:dyDescent="0.2">
      <c r="A168" t="s">
        <v>4051</v>
      </c>
      <c r="B168" t="s">
        <v>4033</v>
      </c>
      <c r="C168" t="str">
        <f t="shared" si="2"/>
        <v>BolivarMAHATES</v>
      </c>
      <c r="D168" t="s">
        <v>4052</v>
      </c>
      <c r="E168" t="s">
        <v>1955</v>
      </c>
      <c r="F168" t="s">
        <v>4844</v>
      </c>
    </row>
    <row r="169" spans="1:6" x14ac:dyDescent="0.2">
      <c r="A169" t="s">
        <v>4051</v>
      </c>
      <c r="B169" t="s">
        <v>3961</v>
      </c>
      <c r="C169" t="str">
        <f t="shared" si="2"/>
        <v>BolivarMARGARITA</v>
      </c>
      <c r="D169" t="s">
        <v>4052</v>
      </c>
      <c r="E169" t="s">
        <v>1915</v>
      </c>
      <c r="F169" t="s">
        <v>4845</v>
      </c>
    </row>
    <row r="170" spans="1:6" x14ac:dyDescent="0.2">
      <c r="A170" t="s">
        <v>4051</v>
      </c>
      <c r="B170" t="s">
        <v>4067</v>
      </c>
      <c r="C170" t="str">
        <f t="shared" si="2"/>
        <v>BolivarMARIA LA BAJA</v>
      </c>
      <c r="D170" t="s">
        <v>4052</v>
      </c>
      <c r="E170" t="s">
        <v>1961</v>
      </c>
      <c r="F170" t="s">
        <v>4846</v>
      </c>
    </row>
    <row r="171" spans="1:6" x14ac:dyDescent="0.2">
      <c r="A171" t="s">
        <v>4051</v>
      </c>
      <c r="B171" t="s">
        <v>4068</v>
      </c>
      <c r="C171" t="str">
        <f t="shared" si="2"/>
        <v>BolivarMONTECRISTO</v>
      </c>
      <c r="D171" t="s">
        <v>4052</v>
      </c>
      <c r="E171" t="s">
        <v>855</v>
      </c>
      <c r="F171" t="s">
        <v>4847</v>
      </c>
    </row>
    <row r="172" spans="1:6" x14ac:dyDescent="0.2">
      <c r="A172" t="s">
        <v>4051</v>
      </c>
      <c r="B172" t="s">
        <v>4069</v>
      </c>
      <c r="C172" t="str">
        <f t="shared" si="2"/>
        <v>BolivarMOMPOS</v>
      </c>
      <c r="D172" t="s">
        <v>4052</v>
      </c>
      <c r="E172" t="s">
        <v>4070</v>
      </c>
      <c r="F172" t="s">
        <v>4848</v>
      </c>
    </row>
    <row r="173" spans="1:6" x14ac:dyDescent="0.2">
      <c r="A173" t="s">
        <v>4051</v>
      </c>
      <c r="B173" t="s">
        <v>4071</v>
      </c>
      <c r="C173" t="str">
        <f t="shared" si="2"/>
        <v>BolivarMORALES</v>
      </c>
      <c r="D173" t="s">
        <v>4052</v>
      </c>
      <c r="E173" t="s">
        <v>985</v>
      </c>
      <c r="F173" t="s">
        <v>4849</v>
      </c>
    </row>
    <row r="174" spans="1:6" x14ac:dyDescent="0.2">
      <c r="A174" t="s">
        <v>4051</v>
      </c>
      <c r="B174" t="s">
        <v>3966</v>
      </c>
      <c r="C174" t="str">
        <f t="shared" si="2"/>
        <v>BolivarNOROSI</v>
      </c>
      <c r="D174" t="s">
        <v>4052</v>
      </c>
      <c r="E174" t="s">
        <v>1965</v>
      </c>
      <c r="F174" t="s">
        <v>5781</v>
      </c>
    </row>
    <row r="175" spans="1:6" x14ac:dyDescent="0.2">
      <c r="A175" t="s">
        <v>4051</v>
      </c>
      <c r="B175" t="s">
        <v>4036</v>
      </c>
      <c r="C175" t="str">
        <f t="shared" si="2"/>
        <v>BolivarPINILLOS</v>
      </c>
      <c r="D175" t="s">
        <v>4052</v>
      </c>
      <c r="E175" t="s">
        <v>1934</v>
      </c>
      <c r="F175" t="s">
        <v>4850</v>
      </c>
    </row>
    <row r="176" spans="1:6" x14ac:dyDescent="0.2">
      <c r="A176" t="s">
        <v>4051</v>
      </c>
      <c r="B176" t="s">
        <v>4072</v>
      </c>
      <c r="C176" t="str">
        <f t="shared" si="2"/>
        <v>BolivarREGIDOR</v>
      </c>
      <c r="D176" t="s">
        <v>4052</v>
      </c>
      <c r="E176" t="s">
        <v>1062</v>
      </c>
      <c r="F176" t="s">
        <v>4851</v>
      </c>
    </row>
    <row r="177" spans="1:6" x14ac:dyDescent="0.2">
      <c r="A177" t="s">
        <v>4051</v>
      </c>
      <c r="B177" t="s">
        <v>4073</v>
      </c>
      <c r="C177" t="str">
        <f t="shared" si="2"/>
        <v>BolivarRIO VIEJO</v>
      </c>
      <c r="D177" t="s">
        <v>4052</v>
      </c>
      <c r="E177" t="s">
        <v>4074</v>
      </c>
      <c r="F177" t="s">
        <v>4852</v>
      </c>
    </row>
    <row r="178" spans="1:6" x14ac:dyDescent="0.2">
      <c r="A178" t="s">
        <v>4051</v>
      </c>
      <c r="B178" t="s">
        <v>4075</v>
      </c>
      <c r="C178" t="str">
        <f t="shared" si="2"/>
        <v>BolivarSAN CRISTOBAL</v>
      </c>
      <c r="D178" t="s">
        <v>4052</v>
      </c>
      <c r="E178" t="s">
        <v>1914</v>
      </c>
      <c r="F178" t="s">
        <v>4853</v>
      </c>
    </row>
    <row r="179" spans="1:6" x14ac:dyDescent="0.2">
      <c r="A179" t="s">
        <v>4051</v>
      </c>
      <c r="B179" t="s">
        <v>3985</v>
      </c>
      <c r="C179" t="str">
        <f t="shared" si="2"/>
        <v>BolivarSAN ESTANISLAO</v>
      </c>
      <c r="D179" t="s">
        <v>4052</v>
      </c>
      <c r="E179" t="s">
        <v>1960</v>
      </c>
      <c r="F179" t="s">
        <v>4854</v>
      </c>
    </row>
    <row r="180" spans="1:6" x14ac:dyDescent="0.2">
      <c r="A180" t="s">
        <v>4051</v>
      </c>
      <c r="B180" t="s">
        <v>4076</v>
      </c>
      <c r="C180" t="str">
        <f t="shared" si="2"/>
        <v>BolivarSAN FERNANDO</v>
      </c>
      <c r="D180" t="s">
        <v>4052</v>
      </c>
      <c r="E180" t="s">
        <v>1843</v>
      </c>
      <c r="F180" t="s">
        <v>4855</v>
      </c>
    </row>
    <row r="181" spans="1:6" x14ac:dyDescent="0.2">
      <c r="A181" t="s">
        <v>4051</v>
      </c>
      <c r="B181" t="s">
        <v>4077</v>
      </c>
      <c r="C181" t="str">
        <f t="shared" si="2"/>
        <v>BolivarSAN JACINTO</v>
      </c>
      <c r="D181" t="s">
        <v>4052</v>
      </c>
      <c r="E181" t="s">
        <v>4078</v>
      </c>
      <c r="F181" t="s">
        <v>4856</v>
      </c>
    </row>
    <row r="182" spans="1:6" x14ac:dyDescent="0.2">
      <c r="A182" t="s">
        <v>4051</v>
      </c>
      <c r="B182" t="s">
        <v>4079</v>
      </c>
      <c r="C182" t="str">
        <f t="shared" si="2"/>
        <v>BolivarSAN JACINTO DEL CAUCA</v>
      </c>
      <c r="D182" t="s">
        <v>4052</v>
      </c>
      <c r="E182" t="s">
        <v>1826</v>
      </c>
      <c r="F182" t="s">
        <v>4857</v>
      </c>
    </row>
    <row r="183" spans="1:6" x14ac:dyDescent="0.2">
      <c r="A183" t="s">
        <v>4051</v>
      </c>
      <c r="B183" t="s">
        <v>4080</v>
      </c>
      <c r="C183" t="str">
        <f t="shared" si="2"/>
        <v>BolivarSAN JUAN NEPOMUCENO</v>
      </c>
      <c r="D183" t="s">
        <v>4052</v>
      </c>
      <c r="E183" t="s">
        <v>1622</v>
      </c>
      <c r="F183" t="s">
        <v>4858</v>
      </c>
    </row>
    <row r="184" spans="1:6" x14ac:dyDescent="0.2">
      <c r="A184" t="s">
        <v>4051</v>
      </c>
      <c r="B184" t="s">
        <v>3994</v>
      </c>
      <c r="C184" t="str">
        <f t="shared" si="2"/>
        <v>BolivarSAN MARTIN DE LOBA</v>
      </c>
      <c r="D184" t="s">
        <v>4052</v>
      </c>
      <c r="E184" t="s">
        <v>1493</v>
      </c>
      <c r="F184" t="s">
        <v>4859</v>
      </c>
    </row>
    <row r="185" spans="1:6" x14ac:dyDescent="0.2">
      <c r="A185" t="s">
        <v>4051</v>
      </c>
      <c r="B185" t="s">
        <v>3995</v>
      </c>
      <c r="C185" t="str">
        <f t="shared" si="2"/>
        <v>BolivarSAN PABLO</v>
      </c>
      <c r="D185" t="s">
        <v>4052</v>
      </c>
      <c r="E185" t="s">
        <v>2105</v>
      </c>
      <c r="F185" t="s">
        <v>4860</v>
      </c>
    </row>
    <row r="186" spans="1:6" x14ac:dyDescent="0.2">
      <c r="A186" t="s">
        <v>4051</v>
      </c>
      <c r="B186" t="s">
        <v>4081</v>
      </c>
      <c r="C186" t="str">
        <f t="shared" si="2"/>
        <v>BolivarSANTA CATALINA</v>
      </c>
      <c r="D186" t="s">
        <v>4052</v>
      </c>
      <c r="E186" t="s">
        <v>1954</v>
      </c>
      <c r="F186" t="s">
        <v>4861</v>
      </c>
    </row>
    <row r="187" spans="1:6" x14ac:dyDescent="0.2">
      <c r="A187" t="s">
        <v>4051</v>
      </c>
      <c r="B187" t="s">
        <v>4082</v>
      </c>
      <c r="C187" t="str">
        <f t="shared" si="2"/>
        <v>BolivarSANTA ROSA</v>
      </c>
      <c r="D187" t="s">
        <v>4052</v>
      </c>
      <c r="E187" t="s">
        <v>654</v>
      </c>
      <c r="F187" t="s">
        <v>4862</v>
      </c>
    </row>
    <row r="188" spans="1:6" x14ac:dyDescent="0.2">
      <c r="A188" t="s">
        <v>4051</v>
      </c>
      <c r="B188" t="s">
        <v>4083</v>
      </c>
      <c r="C188" t="str">
        <f t="shared" si="2"/>
        <v>BolivarSANTA ROSA DEL SUR</v>
      </c>
      <c r="D188" t="s">
        <v>4052</v>
      </c>
      <c r="E188" t="s">
        <v>4084</v>
      </c>
      <c r="F188" t="s">
        <v>4863</v>
      </c>
    </row>
    <row r="189" spans="1:6" x14ac:dyDescent="0.2">
      <c r="A189" t="s">
        <v>4051</v>
      </c>
      <c r="B189" t="s">
        <v>4085</v>
      </c>
      <c r="C189" t="str">
        <f t="shared" si="2"/>
        <v>BolivarSIMITI</v>
      </c>
      <c r="D189" t="s">
        <v>4052</v>
      </c>
      <c r="E189" t="s">
        <v>1063</v>
      </c>
      <c r="F189" t="s">
        <v>4864</v>
      </c>
    </row>
    <row r="190" spans="1:6" x14ac:dyDescent="0.2">
      <c r="A190" t="s">
        <v>4051</v>
      </c>
      <c r="B190" t="s">
        <v>4086</v>
      </c>
      <c r="C190" t="str">
        <f t="shared" si="2"/>
        <v>BolivarSOPLAVIENTO</v>
      </c>
      <c r="D190" t="s">
        <v>4052</v>
      </c>
      <c r="E190" t="s">
        <v>834</v>
      </c>
      <c r="F190" t="s">
        <v>4865</v>
      </c>
    </row>
    <row r="191" spans="1:6" x14ac:dyDescent="0.2">
      <c r="A191" t="s">
        <v>4051</v>
      </c>
      <c r="B191" t="s">
        <v>4087</v>
      </c>
      <c r="C191" t="str">
        <f t="shared" si="2"/>
        <v>BolivarTALAIGUA NUEVO</v>
      </c>
      <c r="D191" t="s">
        <v>4052</v>
      </c>
      <c r="E191" t="s">
        <v>161</v>
      </c>
      <c r="F191" t="s">
        <v>4866</v>
      </c>
    </row>
    <row r="192" spans="1:6" x14ac:dyDescent="0.2">
      <c r="A192" t="s">
        <v>4051</v>
      </c>
      <c r="B192" t="s">
        <v>4088</v>
      </c>
      <c r="C192" t="str">
        <f t="shared" si="2"/>
        <v>BolivarTIQUISIO</v>
      </c>
      <c r="D192" t="s">
        <v>4052</v>
      </c>
      <c r="E192" t="s">
        <v>1933</v>
      </c>
      <c r="F192" t="s">
        <v>4867</v>
      </c>
    </row>
    <row r="193" spans="1:6" x14ac:dyDescent="0.2">
      <c r="A193" t="s">
        <v>4051</v>
      </c>
      <c r="B193" t="s">
        <v>4089</v>
      </c>
      <c r="C193" t="str">
        <f t="shared" si="2"/>
        <v>BolivarTURBACO</v>
      </c>
      <c r="D193" t="s">
        <v>4052</v>
      </c>
      <c r="E193" t="s">
        <v>1956</v>
      </c>
      <c r="F193" t="s">
        <v>4868</v>
      </c>
    </row>
    <row r="194" spans="1:6" x14ac:dyDescent="0.2">
      <c r="A194" t="s">
        <v>4051</v>
      </c>
      <c r="B194" t="s">
        <v>4090</v>
      </c>
      <c r="C194" t="str">
        <f t="shared" si="2"/>
        <v>BolivarTURBANA</v>
      </c>
      <c r="D194" t="s">
        <v>4052</v>
      </c>
      <c r="E194" t="s">
        <v>1957</v>
      </c>
      <c r="F194" t="s">
        <v>4869</v>
      </c>
    </row>
    <row r="195" spans="1:6" x14ac:dyDescent="0.2">
      <c r="A195" t="s">
        <v>4051</v>
      </c>
      <c r="B195" t="s">
        <v>4018</v>
      </c>
      <c r="C195" t="str">
        <f t="shared" ref="C195:C258" si="3">D195&amp;E195</f>
        <v>BolivarVILLANUEVA</v>
      </c>
      <c r="D195" t="s">
        <v>4052</v>
      </c>
      <c r="E195" t="s">
        <v>1953</v>
      </c>
      <c r="F195" t="s">
        <v>4870</v>
      </c>
    </row>
    <row r="196" spans="1:6" x14ac:dyDescent="0.2">
      <c r="A196" t="s">
        <v>4051</v>
      </c>
      <c r="B196" t="s">
        <v>4091</v>
      </c>
      <c r="C196" t="str">
        <f t="shared" si="3"/>
        <v>BolivarZAMBRANO</v>
      </c>
      <c r="D196" t="s">
        <v>4052</v>
      </c>
      <c r="E196" t="s">
        <v>1842</v>
      </c>
      <c r="F196" t="s">
        <v>4871</v>
      </c>
    </row>
    <row r="197" spans="1:6" x14ac:dyDescent="0.2">
      <c r="A197" t="s">
        <v>4092</v>
      </c>
      <c r="B197" t="s">
        <v>3885</v>
      </c>
      <c r="C197" t="str">
        <f t="shared" si="3"/>
        <v>BOYACATUNJA</v>
      </c>
      <c r="D197" t="s">
        <v>828</v>
      </c>
      <c r="E197" t="s">
        <v>621</v>
      </c>
      <c r="F197" t="s">
        <v>4872</v>
      </c>
    </row>
    <row r="198" spans="1:6" x14ac:dyDescent="0.2">
      <c r="A198" t="s">
        <v>4092</v>
      </c>
      <c r="B198" t="s">
        <v>4093</v>
      </c>
      <c r="C198" t="str">
        <f t="shared" si="3"/>
        <v>BOYACAALMEIDA</v>
      </c>
      <c r="D198" t="s">
        <v>828</v>
      </c>
      <c r="E198" t="s">
        <v>4094</v>
      </c>
      <c r="F198" t="s">
        <v>4873</v>
      </c>
    </row>
    <row r="199" spans="1:6" x14ac:dyDescent="0.2">
      <c r="A199" t="s">
        <v>4092</v>
      </c>
      <c r="B199" t="s">
        <v>4095</v>
      </c>
      <c r="C199" t="str">
        <f t="shared" si="3"/>
        <v>BOYACAAQUITANIA</v>
      </c>
      <c r="D199" t="s">
        <v>828</v>
      </c>
      <c r="E199" t="s">
        <v>2340</v>
      </c>
      <c r="F199" t="s">
        <v>4874</v>
      </c>
    </row>
    <row r="200" spans="1:6" x14ac:dyDescent="0.2">
      <c r="A200" t="s">
        <v>4092</v>
      </c>
      <c r="B200" t="s">
        <v>3900</v>
      </c>
      <c r="C200" t="str">
        <f t="shared" si="3"/>
        <v>BOYACAARCABUCO</v>
      </c>
      <c r="D200" t="s">
        <v>828</v>
      </c>
      <c r="E200" t="s">
        <v>4096</v>
      </c>
      <c r="F200" t="s">
        <v>4875</v>
      </c>
    </row>
    <row r="201" spans="1:6" x14ac:dyDescent="0.2">
      <c r="A201" t="s">
        <v>4092</v>
      </c>
      <c r="B201" t="s">
        <v>4097</v>
      </c>
      <c r="C201" t="str">
        <f t="shared" si="3"/>
        <v>BOYACABELEN</v>
      </c>
      <c r="D201" t="s">
        <v>828</v>
      </c>
      <c r="E201" t="s">
        <v>2531</v>
      </c>
      <c r="F201" t="s">
        <v>4876</v>
      </c>
    </row>
    <row r="202" spans="1:6" x14ac:dyDescent="0.2">
      <c r="A202" t="s">
        <v>4092</v>
      </c>
      <c r="B202" t="s">
        <v>4098</v>
      </c>
      <c r="C202" t="str">
        <f t="shared" si="3"/>
        <v>BOYACABERBEO</v>
      </c>
      <c r="D202" t="s">
        <v>828</v>
      </c>
      <c r="E202" t="s">
        <v>4099</v>
      </c>
      <c r="F202" t="s">
        <v>4877</v>
      </c>
    </row>
    <row r="203" spans="1:6" x14ac:dyDescent="0.2">
      <c r="A203" t="s">
        <v>4092</v>
      </c>
      <c r="B203" t="s">
        <v>4100</v>
      </c>
      <c r="C203" t="str">
        <f t="shared" si="3"/>
        <v>BOYACABETEITIVA</v>
      </c>
      <c r="D203" t="s">
        <v>828</v>
      </c>
      <c r="E203" t="s">
        <v>393</v>
      </c>
      <c r="F203" t="s">
        <v>4878</v>
      </c>
    </row>
    <row r="204" spans="1:6" x14ac:dyDescent="0.2">
      <c r="A204" t="s">
        <v>4092</v>
      </c>
      <c r="B204" t="s">
        <v>4101</v>
      </c>
      <c r="C204" t="str">
        <f t="shared" si="3"/>
        <v>BOYACABOAVITA</v>
      </c>
      <c r="D204" t="s">
        <v>828</v>
      </c>
      <c r="E204" t="s">
        <v>394</v>
      </c>
      <c r="F204" t="s">
        <v>4879</v>
      </c>
    </row>
    <row r="205" spans="1:6" x14ac:dyDescent="0.2">
      <c r="A205" t="s">
        <v>4092</v>
      </c>
      <c r="B205" t="s">
        <v>4102</v>
      </c>
      <c r="C205" t="str">
        <f t="shared" si="3"/>
        <v>BOYACABOYACA</v>
      </c>
      <c r="D205" t="s">
        <v>828</v>
      </c>
      <c r="E205" t="s">
        <v>828</v>
      </c>
      <c r="F205" t="s">
        <v>4880</v>
      </c>
    </row>
    <row r="206" spans="1:6" x14ac:dyDescent="0.2">
      <c r="A206" t="s">
        <v>4092</v>
      </c>
      <c r="B206" t="s">
        <v>4103</v>
      </c>
      <c r="C206" t="str">
        <f t="shared" si="3"/>
        <v>BOYACABRICEÑO</v>
      </c>
      <c r="D206" t="s">
        <v>828</v>
      </c>
      <c r="E206" t="s">
        <v>917</v>
      </c>
      <c r="F206" t="s">
        <v>4881</v>
      </c>
    </row>
    <row r="207" spans="1:6" x14ac:dyDescent="0.2">
      <c r="A207" t="s">
        <v>4092</v>
      </c>
      <c r="B207" t="s">
        <v>4104</v>
      </c>
      <c r="C207" t="str">
        <f t="shared" si="3"/>
        <v>BOYACABUENAVISTA</v>
      </c>
      <c r="D207" t="s">
        <v>828</v>
      </c>
      <c r="E207" t="s">
        <v>2371</v>
      </c>
      <c r="F207" t="s">
        <v>4882</v>
      </c>
    </row>
    <row r="208" spans="1:6" x14ac:dyDescent="0.2">
      <c r="A208" t="s">
        <v>4092</v>
      </c>
      <c r="B208" t="s">
        <v>4105</v>
      </c>
      <c r="C208" t="str">
        <f t="shared" si="3"/>
        <v>BOYACABUSBANZA</v>
      </c>
      <c r="D208" t="s">
        <v>828</v>
      </c>
      <c r="E208" t="s">
        <v>392</v>
      </c>
      <c r="F208" t="s">
        <v>4883</v>
      </c>
    </row>
    <row r="209" spans="1:6" x14ac:dyDescent="0.2">
      <c r="A209" t="s">
        <v>4092</v>
      </c>
      <c r="B209" t="s">
        <v>4106</v>
      </c>
      <c r="C209" t="str">
        <f t="shared" si="3"/>
        <v>BOYACACALDAS</v>
      </c>
      <c r="D209" t="s">
        <v>828</v>
      </c>
      <c r="E209" t="s">
        <v>289</v>
      </c>
      <c r="F209" t="s">
        <v>4884</v>
      </c>
    </row>
    <row r="210" spans="1:6" x14ac:dyDescent="0.2">
      <c r="A210" t="s">
        <v>4092</v>
      </c>
      <c r="B210" t="s">
        <v>4107</v>
      </c>
      <c r="C210" t="str">
        <f t="shared" si="3"/>
        <v>BOYACACAMPOHERMOSO</v>
      </c>
      <c r="D210" t="s">
        <v>828</v>
      </c>
      <c r="E210" t="s">
        <v>4108</v>
      </c>
      <c r="F210" t="s">
        <v>4885</v>
      </c>
    </row>
    <row r="211" spans="1:6" x14ac:dyDescent="0.2">
      <c r="A211" t="s">
        <v>4092</v>
      </c>
      <c r="B211" t="s">
        <v>4109</v>
      </c>
      <c r="C211" t="str">
        <f t="shared" si="3"/>
        <v>BOYACACERINZA</v>
      </c>
      <c r="D211" t="s">
        <v>828</v>
      </c>
      <c r="E211" t="s">
        <v>509</v>
      </c>
      <c r="F211" t="s">
        <v>4886</v>
      </c>
    </row>
    <row r="212" spans="1:6" x14ac:dyDescent="0.2">
      <c r="A212" t="s">
        <v>4092</v>
      </c>
      <c r="B212" t="s">
        <v>3925</v>
      </c>
      <c r="C212" t="str">
        <f t="shared" si="3"/>
        <v>BOYACACHINAVITA</v>
      </c>
      <c r="D212" t="s">
        <v>828</v>
      </c>
      <c r="E212" t="s">
        <v>4110</v>
      </c>
      <c r="F212" t="s">
        <v>4887</v>
      </c>
    </row>
    <row r="213" spans="1:6" x14ac:dyDescent="0.2">
      <c r="A213" t="s">
        <v>4092</v>
      </c>
      <c r="B213" t="s">
        <v>4111</v>
      </c>
      <c r="C213" t="str">
        <f t="shared" si="3"/>
        <v>BOYACACHIQUINQUIRA</v>
      </c>
      <c r="D213" t="s">
        <v>828</v>
      </c>
      <c r="E213" t="s">
        <v>2342</v>
      </c>
      <c r="F213" t="s">
        <v>4888</v>
      </c>
    </row>
    <row r="214" spans="1:6" x14ac:dyDescent="0.2">
      <c r="A214" t="s">
        <v>4092</v>
      </c>
      <c r="B214" t="s">
        <v>4112</v>
      </c>
      <c r="C214" t="str">
        <f t="shared" si="3"/>
        <v>BOYACACHISCAS</v>
      </c>
      <c r="D214" t="s">
        <v>828</v>
      </c>
      <c r="E214" t="s">
        <v>2343</v>
      </c>
      <c r="F214" t="s">
        <v>4889</v>
      </c>
    </row>
    <row r="215" spans="1:6" x14ac:dyDescent="0.2">
      <c r="A215" t="s">
        <v>4092</v>
      </c>
      <c r="B215" t="s">
        <v>4113</v>
      </c>
      <c r="C215" t="str">
        <f t="shared" si="3"/>
        <v>BOYACACHITA</v>
      </c>
      <c r="D215" t="s">
        <v>828</v>
      </c>
      <c r="E215" t="s">
        <v>1664</v>
      </c>
      <c r="F215" t="s">
        <v>4890</v>
      </c>
    </row>
    <row r="216" spans="1:6" x14ac:dyDescent="0.2">
      <c r="A216" t="s">
        <v>4092</v>
      </c>
      <c r="B216" t="s">
        <v>4114</v>
      </c>
      <c r="C216" t="str">
        <f t="shared" si="3"/>
        <v>BOYACACHITARAQUE</v>
      </c>
      <c r="D216" t="s">
        <v>828</v>
      </c>
      <c r="E216" t="s">
        <v>4115</v>
      </c>
      <c r="F216" t="s">
        <v>4891</v>
      </c>
    </row>
    <row r="217" spans="1:6" x14ac:dyDescent="0.2">
      <c r="A217" t="s">
        <v>4092</v>
      </c>
      <c r="B217" t="s">
        <v>4116</v>
      </c>
      <c r="C217" t="str">
        <f t="shared" si="3"/>
        <v>BOYACACHIVATA</v>
      </c>
      <c r="D217" t="s">
        <v>828</v>
      </c>
      <c r="E217" t="s">
        <v>395</v>
      </c>
      <c r="F217" t="s">
        <v>4892</v>
      </c>
    </row>
    <row r="218" spans="1:6" x14ac:dyDescent="0.2">
      <c r="A218" t="s">
        <v>4092</v>
      </c>
      <c r="B218" t="s">
        <v>4117</v>
      </c>
      <c r="C218" t="str">
        <f t="shared" si="3"/>
        <v>BOYACACIENEGA</v>
      </c>
      <c r="D218" t="s">
        <v>828</v>
      </c>
      <c r="E218" t="s">
        <v>4118</v>
      </c>
      <c r="F218" t="s">
        <v>4893</v>
      </c>
    </row>
    <row r="219" spans="1:6" x14ac:dyDescent="0.2">
      <c r="A219" t="s">
        <v>4092</v>
      </c>
      <c r="B219" t="s">
        <v>4119</v>
      </c>
      <c r="C219" t="str">
        <f t="shared" si="3"/>
        <v>BOYACACOMBITA</v>
      </c>
      <c r="D219" t="s">
        <v>828</v>
      </c>
      <c r="E219" t="s">
        <v>2344</v>
      </c>
      <c r="F219" t="s">
        <v>4894</v>
      </c>
    </row>
    <row r="220" spans="1:6" x14ac:dyDescent="0.2">
      <c r="A220" t="s">
        <v>4092</v>
      </c>
      <c r="B220" t="s">
        <v>3930</v>
      </c>
      <c r="C220" t="str">
        <f t="shared" si="3"/>
        <v>BOYACACOPER</v>
      </c>
      <c r="D220" t="s">
        <v>828</v>
      </c>
      <c r="E220" t="s">
        <v>396</v>
      </c>
      <c r="F220" t="s">
        <v>4895</v>
      </c>
    </row>
    <row r="221" spans="1:6" x14ac:dyDescent="0.2">
      <c r="A221" t="s">
        <v>4092</v>
      </c>
      <c r="B221" t="s">
        <v>4120</v>
      </c>
      <c r="C221" t="str">
        <f t="shared" si="3"/>
        <v>BOYACACORRALES</v>
      </c>
      <c r="D221" t="s">
        <v>828</v>
      </c>
      <c r="E221" t="s">
        <v>2345</v>
      </c>
      <c r="F221" t="s">
        <v>4896</v>
      </c>
    </row>
    <row r="222" spans="1:6" x14ac:dyDescent="0.2">
      <c r="A222" t="s">
        <v>4092</v>
      </c>
      <c r="B222" t="s">
        <v>4121</v>
      </c>
      <c r="C222" t="str">
        <f t="shared" si="3"/>
        <v>BOYACACOVARACHIA</v>
      </c>
      <c r="D222" t="s">
        <v>828</v>
      </c>
      <c r="E222" t="s">
        <v>4122</v>
      </c>
      <c r="F222" t="s">
        <v>4897</v>
      </c>
    </row>
    <row r="223" spans="1:6" x14ac:dyDescent="0.2">
      <c r="A223" t="s">
        <v>4092</v>
      </c>
      <c r="B223" t="s">
        <v>4123</v>
      </c>
      <c r="C223" t="str">
        <f t="shared" si="3"/>
        <v>BOYACACUBARA</v>
      </c>
      <c r="D223" t="s">
        <v>828</v>
      </c>
      <c r="E223" t="s">
        <v>366</v>
      </c>
      <c r="F223" t="s">
        <v>4898</v>
      </c>
    </row>
    <row r="224" spans="1:6" x14ac:dyDescent="0.2">
      <c r="A224" t="s">
        <v>4092</v>
      </c>
      <c r="B224" t="s">
        <v>4124</v>
      </c>
      <c r="C224" t="str">
        <f t="shared" si="3"/>
        <v>BOYACACUCAITA</v>
      </c>
      <c r="D224" t="s">
        <v>828</v>
      </c>
      <c r="E224" t="s">
        <v>2346</v>
      </c>
      <c r="F224" t="s">
        <v>4899</v>
      </c>
    </row>
    <row r="225" spans="1:6" x14ac:dyDescent="0.2">
      <c r="A225" t="s">
        <v>4092</v>
      </c>
      <c r="B225" t="s">
        <v>4125</v>
      </c>
      <c r="C225" t="str">
        <f t="shared" si="3"/>
        <v>BOYACACUITIVA</v>
      </c>
      <c r="D225" t="s">
        <v>828</v>
      </c>
      <c r="E225" t="s">
        <v>1966</v>
      </c>
      <c r="F225" t="s">
        <v>4900</v>
      </c>
    </row>
    <row r="226" spans="1:6" x14ac:dyDescent="0.2">
      <c r="A226" t="s">
        <v>4092</v>
      </c>
      <c r="B226" t="s">
        <v>4126</v>
      </c>
      <c r="C226" t="str">
        <f t="shared" si="3"/>
        <v>BOYACACHIQUIZA</v>
      </c>
      <c r="D226" t="s">
        <v>828</v>
      </c>
      <c r="E226" t="s">
        <v>4127</v>
      </c>
      <c r="F226" t="s">
        <v>4901</v>
      </c>
    </row>
    <row r="227" spans="1:6" x14ac:dyDescent="0.2">
      <c r="A227" t="s">
        <v>4092</v>
      </c>
      <c r="B227" t="s">
        <v>4128</v>
      </c>
      <c r="C227" t="str">
        <f t="shared" si="3"/>
        <v>BOYACACHIVOR</v>
      </c>
      <c r="D227" t="s">
        <v>828</v>
      </c>
      <c r="E227" t="s">
        <v>4129</v>
      </c>
      <c r="F227" t="s">
        <v>4902</v>
      </c>
    </row>
    <row r="228" spans="1:6" x14ac:dyDescent="0.2">
      <c r="A228" t="s">
        <v>4092</v>
      </c>
      <c r="B228" t="s">
        <v>4130</v>
      </c>
      <c r="C228" t="str">
        <f t="shared" si="3"/>
        <v>BOYACADUITAMA</v>
      </c>
      <c r="D228" t="s">
        <v>828</v>
      </c>
      <c r="E228" t="s">
        <v>2347</v>
      </c>
      <c r="F228" t="s">
        <v>4903</v>
      </c>
    </row>
    <row r="229" spans="1:6" x14ac:dyDescent="0.2">
      <c r="A229" t="s">
        <v>4092</v>
      </c>
      <c r="B229" t="s">
        <v>4062</v>
      </c>
      <c r="C229" t="str">
        <f t="shared" si="3"/>
        <v>BOYACAEL COCUY</v>
      </c>
      <c r="D229" t="s">
        <v>828</v>
      </c>
      <c r="E229" t="s">
        <v>6</v>
      </c>
      <c r="F229" t="s">
        <v>4904</v>
      </c>
    </row>
    <row r="230" spans="1:6" x14ac:dyDescent="0.2">
      <c r="A230" t="s">
        <v>4092</v>
      </c>
      <c r="B230" t="s">
        <v>4063</v>
      </c>
      <c r="C230" t="str">
        <f t="shared" si="3"/>
        <v>BOYACAEL ESPINO</v>
      </c>
      <c r="D230" t="s">
        <v>828</v>
      </c>
      <c r="E230" t="s">
        <v>358</v>
      </c>
      <c r="F230" t="s">
        <v>4905</v>
      </c>
    </row>
    <row r="231" spans="1:6" x14ac:dyDescent="0.2">
      <c r="A231" t="s">
        <v>4092</v>
      </c>
      <c r="B231" t="s">
        <v>4131</v>
      </c>
      <c r="C231" t="str">
        <f t="shared" si="3"/>
        <v>BOYACAFIRAVITOBA</v>
      </c>
      <c r="D231" t="s">
        <v>828</v>
      </c>
      <c r="E231" t="s">
        <v>2348</v>
      </c>
      <c r="F231" t="s">
        <v>4906</v>
      </c>
    </row>
    <row r="232" spans="1:6" x14ac:dyDescent="0.2">
      <c r="A232" t="s">
        <v>4092</v>
      </c>
      <c r="B232" t="s">
        <v>4132</v>
      </c>
      <c r="C232" t="str">
        <f t="shared" si="3"/>
        <v>BOYACAFLORESTA</v>
      </c>
      <c r="D232" t="s">
        <v>828</v>
      </c>
      <c r="E232" t="s">
        <v>101</v>
      </c>
      <c r="F232" t="s">
        <v>4907</v>
      </c>
    </row>
    <row r="233" spans="1:6" x14ac:dyDescent="0.2">
      <c r="A233" t="s">
        <v>4092</v>
      </c>
      <c r="B233" t="s">
        <v>4133</v>
      </c>
      <c r="C233" t="str">
        <f t="shared" si="3"/>
        <v>BOYACAGACHANTIVA</v>
      </c>
      <c r="D233" t="s">
        <v>828</v>
      </c>
      <c r="E233" t="s">
        <v>2349</v>
      </c>
      <c r="F233" t="s">
        <v>4908</v>
      </c>
    </row>
    <row r="234" spans="1:6" x14ac:dyDescent="0.2">
      <c r="A234" t="s">
        <v>4092</v>
      </c>
      <c r="B234" t="s">
        <v>4030</v>
      </c>
      <c r="C234" t="str">
        <f t="shared" si="3"/>
        <v>BOYACAGAMEZA</v>
      </c>
      <c r="D234" t="s">
        <v>828</v>
      </c>
      <c r="E234" t="s">
        <v>3088</v>
      </c>
      <c r="F234" t="s">
        <v>4909</v>
      </c>
    </row>
    <row r="235" spans="1:6" x14ac:dyDescent="0.2">
      <c r="A235" t="s">
        <v>4092</v>
      </c>
      <c r="B235" t="s">
        <v>4134</v>
      </c>
      <c r="C235" t="str">
        <f t="shared" si="3"/>
        <v>BOYACAGARAGOA</v>
      </c>
      <c r="D235" t="s">
        <v>828</v>
      </c>
      <c r="E235" t="s">
        <v>2350</v>
      </c>
      <c r="F235" t="s">
        <v>4910</v>
      </c>
    </row>
    <row r="236" spans="1:6" x14ac:dyDescent="0.2">
      <c r="A236" t="s">
        <v>4092</v>
      </c>
      <c r="B236" t="s">
        <v>4135</v>
      </c>
      <c r="C236" t="str">
        <f t="shared" si="3"/>
        <v>BOYACAGUACAMAYAS</v>
      </c>
      <c r="D236" t="s">
        <v>828</v>
      </c>
      <c r="E236" t="s">
        <v>2351</v>
      </c>
      <c r="F236" t="s">
        <v>4911</v>
      </c>
    </row>
    <row r="237" spans="1:6" x14ac:dyDescent="0.2">
      <c r="A237" t="s">
        <v>4092</v>
      </c>
      <c r="B237" t="s">
        <v>4136</v>
      </c>
      <c r="C237" t="str">
        <f t="shared" si="3"/>
        <v>BOYACAGUATEQUE</v>
      </c>
      <c r="D237" t="s">
        <v>828</v>
      </c>
      <c r="E237" t="s">
        <v>2354</v>
      </c>
      <c r="F237" t="s">
        <v>4912</v>
      </c>
    </row>
    <row r="238" spans="1:6" x14ac:dyDescent="0.2">
      <c r="A238" t="s">
        <v>4092</v>
      </c>
      <c r="B238" t="s">
        <v>4137</v>
      </c>
      <c r="C238" t="str">
        <f t="shared" si="3"/>
        <v>BOYACAGUAYATA</v>
      </c>
      <c r="D238" t="s">
        <v>828</v>
      </c>
      <c r="E238" t="s">
        <v>4138</v>
      </c>
      <c r="F238" t="s">
        <v>4913</v>
      </c>
    </row>
    <row r="239" spans="1:6" x14ac:dyDescent="0.2">
      <c r="A239" t="s">
        <v>4092</v>
      </c>
      <c r="B239" t="s">
        <v>4139</v>
      </c>
      <c r="C239" t="str">
        <f t="shared" si="3"/>
        <v>BOYACAGUICAN</v>
      </c>
      <c r="D239" t="s">
        <v>828</v>
      </c>
      <c r="E239" t="s">
        <v>2569</v>
      </c>
      <c r="F239" t="s">
        <v>4914</v>
      </c>
    </row>
    <row r="240" spans="1:6" x14ac:dyDescent="0.2">
      <c r="A240" t="s">
        <v>4092</v>
      </c>
      <c r="B240" t="s">
        <v>4140</v>
      </c>
      <c r="C240" t="str">
        <f t="shared" si="3"/>
        <v>BOYACAIZA</v>
      </c>
      <c r="D240" t="s">
        <v>828</v>
      </c>
      <c r="E240" t="s">
        <v>4141</v>
      </c>
      <c r="F240" t="s">
        <v>4915</v>
      </c>
    </row>
    <row r="241" spans="1:6" x14ac:dyDescent="0.2">
      <c r="A241" t="s">
        <v>4092</v>
      </c>
      <c r="B241" t="s">
        <v>4142</v>
      </c>
      <c r="C241" t="str">
        <f t="shared" si="3"/>
        <v>BOYACAJENESANO</v>
      </c>
      <c r="D241" t="s">
        <v>828</v>
      </c>
      <c r="E241" t="s">
        <v>4143</v>
      </c>
      <c r="F241" t="s">
        <v>4916</v>
      </c>
    </row>
    <row r="242" spans="1:6" x14ac:dyDescent="0.2">
      <c r="A242" t="s">
        <v>4092</v>
      </c>
      <c r="B242" t="s">
        <v>3954</v>
      </c>
      <c r="C242" t="str">
        <f t="shared" si="3"/>
        <v>BOYACAJERICO</v>
      </c>
      <c r="D242" t="s">
        <v>828</v>
      </c>
      <c r="E242" t="s">
        <v>2356</v>
      </c>
      <c r="F242" t="s">
        <v>4917</v>
      </c>
    </row>
    <row r="243" spans="1:6" x14ac:dyDescent="0.2">
      <c r="A243" t="s">
        <v>4092</v>
      </c>
      <c r="B243" t="s">
        <v>4144</v>
      </c>
      <c r="C243" t="str">
        <f t="shared" si="3"/>
        <v>BOYACALABRANZAGRANDE</v>
      </c>
      <c r="D243" t="s">
        <v>828</v>
      </c>
      <c r="E243" t="s">
        <v>4145</v>
      </c>
      <c r="F243" t="s">
        <v>4918</v>
      </c>
    </row>
    <row r="244" spans="1:6" x14ac:dyDescent="0.2">
      <c r="A244" t="s">
        <v>4092</v>
      </c>
      <c r="B244" t="s">
        <v>3956</v>
      </c>
      <c r="C244" t="str">
        <f t="shared" si="3"/>
        <v>BOYACALA CAPILLA</v>
      </c>
      <c r="D244" t="s">
        <v>828</v>
      </c>
      <c r="E244" t="s">
        <v>2355</v>
      </c>
      <c r="F244" t="s">
        <v>4919</v>
      </c>
    </row>
    <row r="245" spans="1:6" x14ac:dyDescent="0.2">
      <c r="A245" t="s">
        <v>4092</v>
      </c>
      <c r="B245" t="s">
        <v>4146</v>
      </c>
      <c r="C245" t="str">
        <f t="shared" si="3"/>
        <v>BOYACALA VICTORIA</v>
      </c>
      <c r="D245" t="s">
        <v>828</v>
      </c>
      <c r="E245" t="s">
        <v>2359</v>
      </c>
      <c r="F245" t="s">
        <v>4920</v>
      </c>
    </row>
    <row r="246" spans="1:6" x14ac:dyDescent="0.2">
      <c r="A246" t="s">
        <v>4092</v>
      </c>
      <c r="B246" t="s">
        <v>4147</v>
      </c>
      <c r="C246" t="str">
        <f t="shared" si="3"/>
        <v>BOYACALA UVITA</v>
      </c>
      <c r="D246" t="s">
        <v>828</v>
      </c>
      <c r="E246" t="s">
        <v>1662</v>
      </c>
      <c r="F246" t="s">
        <v>4921</v>
      </c>
    </row>
    <row r="247" spans="1:6" x14ac:dyDescent="0.2">
      <c r="A247" t="s">
        <v>4092</v>
      </c>
      <c r="B247" t="s">
        <v>4148</v>
      </c>
      <c r="C247" t="str">
        <f t="shared" si="3"/>
        <v>BOYACAVILLA DE LEYVA</v>
      </c>
      <c r="D247" t="s">
        <v>828</v>
      </c>
      <c r="E247" t="s">
        <v>1545</v>
      </c>
      <c r="F247" t="s">
        <v>4922</v>
      </c>
    </row>
    <row r="248" spans="1:6" x14ac:dyDescent="0.2">
      <c r="A248" t="s">
        <v>4092</v>
      </c>
      <c r="B248" t="s">
        <v>3960</v>
      </c>
      <c r="C248" t="str">
        <f t="shared" si="3"/>
        <v>BOYACAMACANAL</v>
      </c>
      <c r="D248" t="s">
        <v>828</v>
      </c>
      <c r="E248" t="s">
        <v>4149</v>
      </c>
      <c r="F248" t="s">
        <v>4923</v>
      </c>
    </row>
    <row r="249" spans="1:6" x14ac:dyDescent="0.2">
      <c r="A249" t="s">
        <v>4092</v>
      </c>
      <c r="B249" t="s">
        <v>4067</v>
      </c>
      <c r="C249" t="str">
        <f t="shared" si="3"/>
        <v>BOYACAMARIPI</v>
      </c>
      <c r="D249" t="s">
        <v>828</v>
      </c>
      <c r="E249" t="s">
        <v>1633</v>
      </c>
      <c r="F249" t="s">
        <v>4924</v>
      </c>
    </row>
    <row r="250" spans="1:6" x14ac:dyDescent="0.2">
      <c r="A250" t="s">
        <v>4092</v>
      </c>
      <c r="B250" t="s">
        <v>4150</v>
      </c>
      <c r="C250" t="str">
        <f t="shared" si="3"/>
        <v>BOYACAMIRAFLORES</v>
      </c>
      <c r="D250" t="s">
        <v>828</v>
      </c>
      <c r="E250" t="s">
        <v>2358</v>
      </c>
      <c r="F250" t="s">
        <v>4925</v>
      </c>
    </row>
    <row r="251" spans="1:6" x14ac:dyDescent="0.2">
      <c r="A251" t="s">
        <v>4092</v>
      </c>
      <c r="B251" t="s">
        <v>4151</v>
      </c>
      <c r="C251" t="str">
        <f t="shared" si="3"/>
        <v>BOYACAMONGUA</v>
      </c>
      <c r="D251" t="s">
        <v>828</v>
      </c>
      <c r="E251" t="s">
        <v>953</v>
      </c>
      <c r="F251" t="s">
        <v>4926</v>
      </c>
    </row>
    <row r="252" spans="1:6" x14ac:dyDescent="0.2">
      <c r="A252" t="s">
        <v>4092</v>
      </c>
      <c r="B252" t="s">
        <v>4152</v>
      </c>
      <c r="C252" t="str">
        <f t="shared" si="3"/>
        <v>BOYACAMONGUI</v>
      </c>
      <c r="D252" t="s">
        <v>828</v>
      </c>
      <c r="E252" t="s">
        <v>2357</v>
      </c>
      <c r="F252" t="s">
        <v>4927</v>
      </c>
    </row>
    <row r="253" spans="1:6" x14ac:dyDescent="0.2">
      <c r="A253" t="s">
        <v>4092</v>
      </c>
      <c r="B253" t="s">
        <v>4153</v>
      </c>
      <c r="C253" t="str">
        <f t="shared" si="3"/>
        <v>BOYACAMONIQUIRA</v>
      </c>
      <c r="D253" t="s">
        <v>828</v>
      </c>
      <c r="E253" t="s">
        <v>1111</v>
      </c>
      <c r="F253" t="s">
        <v>4928</v>
      </c>
    </row>
    <row r="254" spans="1:6" x14ac:dyDescent="0.2">
      <c r="A254" t="s">
        <v>4092</v>
      </c>
      <c r="B254" t="s">
        <v>4154</v>
      </c>
      <c r="C254" t="str">
        <f t="shared" si="3"/>
        <v>BOYACAMOTAVITA</v>
      </c>
      <c r="D254" t="s">
        <v>828</v>
      </c>
      <c r="E254" t="s">
        <v>2360</v>
      </c>
      <c r="F254" t="s">
        <v>4929</v>
      </c>
    </row>
    <row r="255" spans="1:6" x14ac:dyDescent="0.2">
      <c r="A255" t="s">
        <v>4092</v>
      </c>
      <c r="B255" t="s">
        <v>3964</v>
      </c>
      <c r="C255" t="str">
        <f t="shared" si="3"/>
        <v>BOYACAMUZO</v>
      </c>
      <c r="D255" t="s">
        <v>828</v>
      </c>
      <c r="E255" t="s">
        <v>1750</v>
      </c>
      <c r="F255" t="s">
        <v>4930</v>
      </c>
    </row>
    <row r="256" spans="1:6" x14ac:dyDescent="0.2">
      <c r="A256" t="s">
        <v>4092</v>
      </c>
      <c r="B256" t="s">
        <v>4155</v>
      </c>
      <c r="C256" t="str">
        <f t="shared" si="3"/>
        <v>BOYACANOBSA</v>
      </c>
      <c r="D256" t="s">
        <v>828</v>
      </c>
      <c r="E256" t="s">
        <v>2361</v>
      </c>
      <c r="F256" t="s">
        <v>4931</v>
      </c>
    </row>
    <row r="257" spans="1:6" x14ac:dyDescent="0.2">
      <c r="A257" t="s">
        <v>4092</v>
      </c>
      <c r="B257" t="s">
        <v>4156</v>
      </c>
      <c r="C257" t="str">
        <f t="shared" si="3"/>
        <v>BOYACANUEVO COLON</v>
      </c>
      <c r="D257" t="s">
        <v>828</v>
      </c>
      <c r="E257" t="s">
        <v>397</v>
      </c>
      <c r="F257" t="s">
        <v>4932</v>
      </c>
    </row>
    <row r="258" spans="1:6" x14ac:dyDescent="0.2">
      <c r="A258" t="s">
        <v>4092</v>
      </c>
      <c r="B258" t="s">
        <v>4157</v>
      </c>
      <c r="C258" t="str">
        <f t="shared" si="3"/>
        <v>BOYACAOICATA</v>
      </c>
      <c r="D258" t="s">
        <v>828</v>
      </c>
      <c r="E258" t="s">
        <v>2362</v>
      </c>
      <c r="F258" t="s">
        <v>4933</v>
      </c>
    </row>
    <row r="259" spans="1:6" x14ac:dyDescent="0.2">
      <c r="A259" t="s">
        <v>4092</v>
      </c>
      <c r="B259" t="s">
        <v>4158</v>
      </c>
      <c r="C259" t="str">
        <f t="shared" ref="C259:C322" si="4">D259&amp;E259</f>
        <v>BOYACAOTANCHE</v>
      </c>
      <c r="D259" t="s">
        <v>828</v>
      </c>
      <c r="E259" t="s">
        <v>1584</v>
      </c>
      <c r="F259" t="s">
        <v>4934</v>
      </c>
    </row>
    <row r="260" spans="1:6" x14ac:dyDescent="0.2">
      <c r="A260" t="s">
        <v>4092</v>
      </c>
      <c r="B260" t="s">
        <v>4159</v>
      </c>
      <c r="C260" t="str">
        <f t="shared" si="4"/>
        <v>BOYACAPACHAVITA</v>
      </c>
      <c r="D260" t="s">
        <v>828</v>
      </c>
      <c r="E260" t="s">
        <v>398</v>
      </c>
      <c r="F260" t="s">
        <v>4935</v>
      </c>
    </row>
    <row r="261" spans="1:6" x14ac:dyDescent="0.2">
      <c r="A261" t="s">
        <v>4092</v>
      </c>
      <c r="B261" t="s">
        <v>4160</v>
      </c>
      <c r="C261" t="str">
        <f t="shared" si="4"/>
        <v>BOYACAPAEZ</v>
      </c>
      <c r="D261" t="s">
        <v>828</v>
      </c>
      <c r="E261" t="s">
        <v>2002</v>
      </c>
      <c r="F261" t="s">
        <v>4936</v>
      </c>
    </row>
    <row r="262" spans="1:6" x14ac:dyDescent="0.2">
      <c r="A262" t="s">
        <v>4092</v>
      </c>
      <c r="B262" t="s">
        <v>4161</v>
      </c>
      <c r="C262" t="str">
        <f t="shared" si="4"/>
        <v>BOYACAPAIPA</v>
      </c>
      <c r="D262" t="s">
        <v>828</v>
      </c>
      <c r="E262" t="s">
        <v>2363</v>
      </c>
      <c r="F262" t="s">
        <v>4937</v>
      </c>
    </row>
    <row r="263" spans="1:6" x14ac:dyDescent="0.2">
      <c r="A263" t="s">
        <v>4092</v>
      </c>
      <c r="B263" t="s">
        <v>4162</v>
      </c>
      <c r="C263" t="str">
        <f t="shared" si="4"/>
        <v>BOYACAPAJARITO</v>
      </c>
      <c r="D263" t="s">
        <v>828</v>
      </c>
      <c r="E263" t="s">
        <v>992</v>
      </c>
      <c r="F263" t="s">
        <v>4938</v>
      </c>
    </row>
    <row r="264" spans="1:6" x14ac:dyDescent="0.2">
      <c r="A264" t="s">
        <v>4092</v>
      </c>
      <c r="B264" t="s">
        <v>4163</v>
      </c>
      <c r="C264" t="str">
        <f t="shared" si="4"/>
        <v>BOYACAPANQUEBA</v>
      </c>
      <c r="D264" t="s">
        <v>828</v>
      </c>
      <c r="E264" t="s">
        <v>399</v>
      </c>
      <c r="F264" t="s">
        <v>4939</v>
      </c>
    </row>
    <row r="265" spans="1:6" x14ac:dyDescent="0.2">
      <c r="A265" t="s">
        <v>4092</v>
      </c>
      <c r="B265" t="s">
        <v>4164</v>
      </c>
      <c r="C265" t="str">
        <f t="shared" si="4"/>
        <v>BOYACAPAUNA</v>
      </c>
      <c r="D265" t="s">
        <v>828</v>
      </c>
      <c r="E265" t="s">
        <v>365</v>
      </c>
      <c r="F265" t="s">
        <v>4940</v>
      </c>
    </row>
    <row r="266" spans="1:6" x14ac:dyDescent="0.2">
      <c r="A266" t="s">
        <v>4092</v>
      </c>
      <c r="B266" t="s">
        <v>4165</v>
      </c>
      <c r="C266" t="str">
        <f t="shared" si="4"/>
        <v>BOYACAPAYA</v>
      </c>
      <c r="D266" t="s">
        <v>828</v>
      </c>
      <c r="E266" t="s">
        <v>4166</v>
      </c>
      <c r="F266" t="s">
        <v>4941</v>
      </c>
    </row>
    <row r="267" spans="1:6" x14ac:dyDescent="0.2">
      <c r="A267" t="s">
        <v>4092</v>
      </c>
      <c r="B267" t="s">
        <v>4167</v>
      </c>
      <c r="C267" t="str">
        <f t="shared" si="4"/>
        <v>BOYACAPAZ DE RIO</v>
      </c>
      <c r="D267" t="s">
        <v>828</v>
      </c>
      <c r="E267" t="s">
        <v>2077</v>
      </c>
      <c r="F267" t="s">
        <v>4942</v>
      </c>
    </row>
    <row r="268" spans="1:6" x14ac:dyDescent="0.2">
      <c r="A268" t="s">
        <v>4092</v>
      </c>
      <c r="B268" t="s">
        <v>4168</v>
      </c>
      <c r="C268" t="str">
        <f t="shared" si="4"/>
        <v>BOYACAPESCA</v>
      </c>
      <c r="D268" t="s">
        <v>828</v>
      </c>
      <c r="E268" t="s">
        <v>4169</v>
      </c>
      <c r="F268" t="s">
        <v>4943</v>
      </c>
    </row>
    <row r="269" spans="1:6" x14ac:dyDescent="0.2">
      <c r="A269" t="s">
        <v>4092</v>
      </c>
      <c r="B269" t="s">
        <v>4170</v>
      </c>
      <c r="C269" t="str">
        <f t="shared" si="4"/>
        <v>BOYACAPISBA</v>
      </c>
      <c r="D269" t="s">
        <v>828</v>
      </c>
      <c r="E269" t="s">
        <v>364</v>
      </c>
      <c r="F269" t="s">
        <v>4944</v>
      </c>
    </row>
    <row r="270" spans="1:6" x14ac:dyDescent="0.2">
      <c r="A270" t="s">
        <v>4092</v>
      </c>
      <c r="B270" t="s">
        <v>4171</v>
      </c>
      <c r="C270" t="str">
        <f t="shared" si="4"/>
        <v>BOYACAPUERTO BOYACA</v>
      </c>
      <c r="D270" t="s">
        <v>828</v>
      </c>
      <c r="E270" t="s">
        <v>2364</v>
      </c>
      <c r="F270" t="s">
        <v>4945</v>
      </c>
    </row>
    <row r="271" spans="1:6" x14ac:dyDescent="0.2">
      <c r="A271" t="s">
        <v>4092</v>
      </c>
      <c r="B271" t="s">
        <v>4072</v>
      </c>
      <c r="C271" t="str">
        <f t="shared" si="4"/>
        <v>BOYACAQUIPAMA</v>
      </c>
      <c r="D271" t="s">
        <v>828</v>
      </c>
      <c r="E271" t="s">
        <v>2365</v>
      </c>
      <c r="F271" t="s">
        <v>4946</v>
      </c>
    </row>
    <row r="272" spans="1:6" x14ac:dyDescent="0.2">
      <c r="A272" t="s">
        <v>4092</v>
      </c>
      <c r="B272" t="s">
        <v>4172</v>
      </c>
      <c r="C272" t="str">
        <f t="shared" si="4"/>
        <v>BOYACARAMIRIQUI</v>
      </c>
      <c r="D272" t="s">
        <v>828</v>
      </c>
      <c r="E272" t="s">
        <v>4173</v>
      </c>
      <c r="F272" t="s">
        <v>4947</v>
      </c>
    </row>
    <row r="273" spans="1:6" x14ac:dyDescent="0.2">
      <c r="A273" t="s">
        <v>4092</v>
      </c>
      <c r="B273" t="s">
        <v>4073</v>
      </c>
      <c r="C273" t="str">
        <f t="shared" si="4"/>
        <v>BOYACARAQUIRA</v>
      </c>
      <c r="D273" t="s">
        <v>828</v>
      </c>
      <c r="E273" t="s">
        <v>2249</v>
      </c>
      <c r="F273" t="s">
        <v>4948</v>
      </c>
    </row>
    <row r="274" spans="1:6" x14ac:dyDescent="0.2">
      <c r="A274" t="s">
        <v>4092</v>
      </c>
      <c r="B274" t="s">
        <v>4174</v>
      </c>
      <c r="C274" t="str">
        <f t="shared" si="4"/>
        <v>BOYACARONDON</v>
      </c>
      <c r="D274" t="s">
        <v>828</v>
      </c>
      <c r="E274" t="s">
        <v>8</v>
      </c>
      <c r="F274" t="s">
        <v>4949</v>
      </c>
    </row>
    <row r="275" spans="1:6" x14ac:dyDescent="0.2">
      <c r="A275" t="s">
        <v>4092</v>
      </c>
      <c r="B275" t="s">
        <v>4175</v>
      </c>
      <c r="C275" t="str">
        <f t="shared" si="4"/>
        <v>BOYACASABOYA</v>
      </c>
      <c r="D275" t="s">
        <v>828</v>
      </c>
      <c r="E275" t="s">
        <v>2366</v>
      </c>
      <c r="F275" t="s">
        <v>4950</v>
      </c>
    </row>
    <row r="276" spans="1:6" x14ac:dyDescent="0.2">
      <c r="A276" t="s">
        <v>4092</v>
      </c>
      <c r="B276" t="s">
        <v>4043</v>
      </c>
      <c r="C276" t="str">
        <f t="shared" si="4"/>
        <v>BOYACASACHICA</v>
      </c>
      <c r="D276" t="s">
        <v>828</v>
      </c>
      <c r="E276" t="s">
        <v>4176</v>
      </c>
      <c r="F276" t="s">
        <v>4951</v>
      </c>
    </row>
    <row r="277" spans="1:6" x14ac:dyDescent="0.2">
      <c r="A277" t="s">
        <v>4092</v>
      </c>
      <c r="B277" t="s">
        <v>4177</v>
      </c>
      <c r="C277" t="str">
        <f t="shared" si="4"/>
        <v>BOYACASAMACA</v>
      </c>
      <c r="D277" t="s">
        <v>828</v>
      </c>
      <c r="E277" t="s">
        <v>4178</v>
      </c>
      <c r="F277" t="s">
        <v>4952</v>
      </c>
    </row>
    <row r="278" spans="1:6" x14ac:dyDescent="0.2">
      <c r="A278" t="s">
        <v>4092</v>
      </c>
      <c r="B278" t="s">
        <v>3991</v>
      </c>
      <c r="C278" t="str">
        <f t="shared" si="4"/>
        <v>BOYACASAN EDUARDO</v>
      </c>
      <c r="D278" t="s">
        <v>828</v>
      </c>
      <c r="E278" t="s">
        <v>2098</v>
      </c>
      <c r="F278" t="s">
        <v>4953</v>
      </c>
    </row>
    <row r="279" spans="1:6" x14ac:dyDescent="0.2">
      <c r="A279" t="s">
        <v>4092</v>
      </c>
      <c r="B279" t="s">
        <v>3992</v>
      </c>
      <c r="C279" t="str">
        <f t="shared" si="4"/>
        <v>BOYACASAN JOSE DE PARE</v>
      </c>
      <c r="D279" t="s">
        <v>828</v>
      </c>
      <c r="E279" t="s">
        <v>400</v>
      </c>
      <c r="F279" t="s">
        <v>4954</v>
      </c>
    </row>
    <row r="280" spans="1:6" x14ac:dyDescent="0.2">
      <c r="A280" t="s">
        <v>4092</v>
      </c>
      <c r="B280" t="s">
        <v>3994</v>
      </c>
      <c r="C280" t="str">
        <f t="shared" si="4"/>
        <v>BOYACASAN LUIS DE GACENO</v>
      </c>
      <c r="D280" t="s">
        <v>828</v>
      </c>
      <c r="E280" t="s">
        <v>829</v>
      </c>
      <c r="F280" t="s">
        <v>4955</v>
      </c>
    </row>
    <row r="281" spans="1:6" x14ac:dyDescent="0.2">
      <c r="A281" t="s">
        <v>4092</v>
      </c>
      <c r="B281" t="s">
        <v>4081</v>
      </c>
      <c r="C281" t="str">
        <f t="shared" si="4"/>
        <v>BOYACASAN MATEO</v>
      </c>
      <c r="D281" t="s">
        <v>828</v>
      </c>
      <c r="E281" t="s">
        <v>1568</v>
      </c>
      <c r="F281" t="s">
        <v>4956</v>
      </c>
    </row>
    <row r="282" spans="1:6" x14ac:dyDescent="0.2">
      <c r="A282" t="s">
        <v>4092</v>
      </c>
      <c r="B282" t="s">
        <v>4179</v>
      </c>
      <c r="C282" t="str">
        <f t="shared" si="4"/>
        <v>BOYACASAN MIGUEL DE SEMA</v>
      </c>
      <c r="D282" t="s">
        <v>828</v>
      </c>
      <c r="E282" t="s">
        <v>2367</v>
      </c>
      <c r="F282" t="s">
        <v>4957</v>
      </c>
    </row>
    <row r="283" spans="1:6" x14ac:dyDescent="0.2">
      <c r="A283" t="s">
        <v>4092</v>
      </c>
      <c r="B283" t="s">
        <v>4180</v>
      </c>
      <c r="C283" t="str">
        <f t="shared" si="4"/>
        <v>BOYACASAN PABLO DE BORBUR</v>
      </c>
      <c r="D283" t="s">
        <v>828</v>
      </c>
      <c r="E283" t="s">
        <v>1248</v>
      </c>
      <c r="F283" t="s">
        <v>4958</v>
      </c>
    </row>
    <row r="284" spans="1:6" x14ac:dyDescent="0.2">
      <c r="A284" t="s">
        <v>4092</v>
      </c>
      <c r="B284" t="s">
        <v>3998</v>
      </c>
      <c r="C284" t="str">
        <f t="shared" si="4"/>
        <v>BOYACASANTANA</v>
      </c>
      <c r="D284" t="s">
        <v>828</v>
      </c>
      <c r="E284" t="s">
        <v>4181</v>
      </c>
      <c r="F284" t="s">
        <v>4959</v>
      </c>
    </row>
    <row r="285" spans="1:6" x14ac:dyDescent="0.2">
      <c r="A285" t="s">
        <v>4092</v>
      </c>
      <c r="B285" t="s">
        <v>3999</v>
      </c>
      <c r="C285" t="str">
        <f t="shared" si="4"/>
        <v>BOYACASANTA MARIA</v>
      </c>
      <c r="D285" t="s">
        <v>828</v>
      </c>
      <c r="E285" t="s">
        <v>3091</v>
      </c>
      <c r="F285" t="s">
        <v>4960</v>
      </c>
    </row>
    <row r="286" spans="1:6" x14ac:dyDescent="0.2">
      <c r="A286" t="s">
        <v>4092</v>
      </c>
      <c r="B286" t="s">
        <v>4182</v>
      </c>
      <c r="C286" t="str">
        <f t="shared" si="4"/>
        <v>BOYACASANTA ROSA DE VITERBO</v>
      </c>
      <c r="D286" t="s">
        <v>828</v>
      </c>
      <c r="E286" t="s">
        <v>876</v>
      </c>
      <c r="F286" t="s">
        <v>4961</v>
      </c>
    </row>
    <row r="287" spans="1:6" x14ac:dyDescent="0.2">
      <c r="A287" t="s">
        <v>4092</v>
      </c>
      <c r="B287" t="s">
        <v>4183</v>
      </c>
      <c r="C287" t="str">
        <f t="shared" si="4"/>
        <v>BOYACASANTA SOFIA</v>
      </c>
      <c r="D287" t="s">
        <v>828</v>
      </c>
      <c r="E287" t="s">
        <v>4184</v>
      </c>
      <c r="F287" t="s">
        <v>4962</v>
      </c>
    </row>
    <row r="288" spans="1:6" x14ac:dyDescent="0.2">
      <c r="A288" t="s">
        <v>4092</v>
      </c>
      <c r="B288" t="s">
        <v>4185</v>
      </c>
      <c r="C288" t="str">
        <f t="shared" si="4"/>
        <v>BOYACASATIVANORTE</v>
      </c>
      <c r="D288" t="s">
        <v>828</v>
      </c>
      <c r="E288" t="s">
        <v>368</v>
      </c>
      <c r="F288" t="s">
        <v>4963</v>
      </c>
    </row>
    <row r="289" spans="1:6" x14ac:dyDescent="0.2">
      <c r="A289" t="s">
        <v>4092</v>
      </c>
      <c r="B289" t="s">
        <v>4186</v>
      </c>
      <c r="C289" t="str">
        <f t="shared" si="4"/>
        <v>BOYACASATIVASUR</v>
      </c>
      <c r="D289" t="s">
        <v>828</v>
      </c>
      <c r="E289" t="s">
        <v>3178</v>
      </c>
      <c r="F289" t="s">
        <v>4964</v>
      </c>
    </row>
    <row r="290" spans="1:6" x14ac:dyDescent="0.2">
      <c r="A290" t="s">
        <v>4092</v>
      </c>
      <c r="B290" t="s">
        <v>4187</v>
      </c>
      <c r="C290" t="str">
        <f t="shared" si="4"/>
        <v>BOYACASIACHOQUE</v>
      </c>
      <c r="D290" t="s">
        <v>828</v>
      </c>
      <c r="E290" t="s">
        <v>4188</v>
      </c>
      <c r="F290" t="s">
        <v>4965</v>
      </c>
    </row>
    <row r="291" spans="1:6" x14ac:dyDescent="0.2">
      <c r="A291" t="s">
        <v>4092</v>
      </c>
      <c r="B291" t="s">
        <v>4189</v>
      </c>
      <c r="C291" t="str">
        <f t="shared" si="4"/>
        <v>BOYACASOATA</v>
      </c>
      <c r="D291" t="s">
        <v>828</v>
      </c>
      <c r="E291" t="s">
        <v>3067</v>
      </c>
      <c r="F291" t="s">
        <v>4966</v>
      </c>
    </row>
    <row r="292" spans="1:6" x14ac:dyDescent="0.2">
      <c r="A292" t="s">
        <v>4092</v>
      </c>
      <c r="B292" t="s">
        <v>4190</v>
      </c>
      <c r="C292" t="str">
        <f t="shared" si="4"/>
        <v>BOYACASOCOTA</v>
      </c>
      <c r="D292" t="s">
        <v>828</v>
      </c>
      <c r="E292" t="s">
        <v>360</v>
      </c>
      <c r="F292" t="s">
        <v>4967</v>
      </c>
    </row>
    <row r="293" spans="1:6" x14ac:dyDescent="0.2">
      <c r="A293" t="s">
        <v>4092</v>
      </c>
      <c r="B293" t="s">
        <v>4191</v>
      </c>
      <c r="C293" t="str">
        <f t="shared" si="4"/>
        <v>BOYACASOCHA</v>
      </c>
      <c r="D293" t="s">
        <v>828</v>
      </c>
      <c r="E293" t="s">
        <v>1804</v>
      </c>
      <c r="F293" t="s">
        <v>4968</v>
      </c>
    </row>
    <row r="294" spans="1:6" x14ac:dyDescent="0.2">
      <c r="A294" t="s">
        <v>4092</v>
      </c>
      <c r="B294" t="s">
        <v>4192</v>
      </c>
      <c r="C294" t="str">
        <f t="shared" si="4"/>
        <v>BOYACASOGAMOSO</v>
      </c>
      <c r="D294" t="s">
        <v>828</v>
      </c>
      <c r="E294" t="s">
        <v>1775</v>
      </c>
      <c r="F294" t="s">
        <v>4969</v>
      </c>
    </row>
    <row r="295" spans="1:6" x14ac:dyDescent="0.2">
      <c r="A295" t="s">
        <v>4092</v>
      </c>
      <c r="B295" t="s">
        <v>4005</v>
      </c>
      <c r="C295" t="str">
        <f t="shared" si="4"/>
        <v>BOYACASOMONDOCO</v>
      </c>
      <c r="D295" t="s">
        <v>828</v>
      </c>
      <c r="E295" t="s">
        <v>4193</v>
      </c>
      <c r="F295" t="s">
        <v>4970</v>
      </c>
    </row>
    <row r="296" spans="1:6" x14ac:dyDescent="0.2">
      <c r="A296" t="s">
        <v>4092</v>
      </c>
      <c r="B296" t="s">
        <v>4194</v>
      </c>
      <c r="C296" t="str">
        <f t="shared" si="4"/>
        <v>BOYACASORA</v>
      </c>
      <c r="D296" t="s">
        <v>828</v>
      </c>
      <c r="E296" t="s">
        <v>871</v>
      </c>
      <c r="F296" t="s">
        <v>4971</v>
      </c>
    </row>
    <row r="297" spans="1:6" x14ac:dyDescent="0.2">
      <c r="A297" t="s">
        <v>4092</v>
      </c>
      <c r="B297" t="s">
        <v>4195</v>
      </c>
      <c r="C297" t="str">
        <f t="shared" si="4"/>
        <v>BOYACASOTAQUIRA</v>
      </c>
      <c r="D297" t="s">
        <v>828</v>
      </c>
      <c r="E297" t="s">
        <v>287</v>
      </c>
      <c r="F297" t="s">
        <v>4972</v>
      </c>
    </row>
    <row r="298" spans="1:6" x14ac:dyDescent="0.2">
      <c r="A298" t="s">
        <v>4092</v>
      </c>
      <c r="B298" t="s">
        <v>4196</v>
      </c>
      <c r="C298" t="str">
        <f t="shared" si="4"/>
        <v>BOYACASORACA</v>
      </c>
      <c r="D298" t="s">
        <v>828</v>
      </c>
      <c r="E298" t="s">
        <v>1740</v>
      </c>
      <c r="F298" t="s">
        <v>4973</v>
      </c>
    </row>
    <row r="299" spans="1:6" x14ac:dyDescent="0.2">
      <c r="A299" t="s">
        <v>4092</v>
      </c>
      <c r="B299" t="s">
        <v>4197</v>
      </c>
      <c r="C299" t="str">
        <f t="shared" si="4"/>
        <v>BOYACASUSACON</v>
      </c>
      <c r="D299" t="s">
        <v>828</v>
      </c>
      <c r="E299" t="s">
        <v>2718</v>
      </c>
      <c r="F299" t="s">
        <v>4974</v>
      </c>
    </row>
    <row r="300" spans="1:6" x14ac:dyDescent="0.2">
      <c r="A300" t="s">
        <v>4092</v>
      </c>
      <c r="B300" t="s">
        <v>4198</v>
      </c>
      <c r="C300" t="str">
        <f t="shared" si="4"/>
        <v>BOYACASUTAMARCHAN</v>
      </c>
      <c r="D300" t="s">
        <v>828</v>
      </c>
      <c r="E300" t="s">
        <v>4199</v>
      </c>
      <c r="F300" t="s">
        <v>4975</v>
      </c>
    </row>
    <row r="301" spans="1:6" x14ac:dyDescent="0.2">
      <c r="A301" t="s">
        <v>4092</v>
      </c>
      <c r="B301" t="s">
        <v>4200</v>
      </c>
      <c r="C301" t="str">
        <f t="shared" si="4"/>
        <v>BOYACASUTATENZA</v>
      </c>
      <c r="D301" t="s">
        <v>828</v>
      </c>
      <c r="E301" t="s">
        <v>2368</v>
      </c>
      <c r="F301" t="s">
        <v>4976</v>
      </c>
    </row>
    <row r="302" spans="1:6" x14ac:dyDescent="0.2">
      <c r="A302" t="s">
        <v>4092</v>
      </c>
      <c r="B302" t="s">
        <v>4007</v>
      </c>
      <c r="C302" t="str">
        <f t="shared" si="4"/>
        <v>BOYACATASCO</v>
      </c>
      <c r="D302" t="s">
        <v>828</v>
      </c>
      <c r="E302" t="s">
        <v>1809</v>
      </c>
      <c r="F302" t="s">
        <v>4977</v>
      </c>
    </row>
    <row r="303" spans="1:6" x14ac:dyDescent="0.2">
      <c r="A303" t="s">
        <v>4092</v>
      </c>
      <c r="B303" t="s">
        <v>4201</v>
      </c>
      <c r="C303" t="str">
        <f t="shared" si="4"/>
        <v>BOYACATENZA</v>
      </c>
      <c r="D303" t="s">
        <v>828</v>
      </c>
      <c r="E303" t="s">
        <v>1741</v>
      </c>
      <c r="F303" t="s">
        <v>4978</v>
      </c>
    </row>
    <row r="304" spans="1:6" x14ac:dyDescent="0.2">
      <c r="A304" t="s">
        <v>4092</v>
      </c>
      <c r="B304" t="s">
        <v>4202</v>
      </c>
      <c r="C304" t="str">
        <f t="shared" si="4"/>
        <v>BOYACATIBANA</v>
      </c>
      <c r="D304" t="s">
        <v>828</v>
      </c>
      <c r="E304" t="s">
        <v>2472</v>
      </c>
      <c r="F304" t="s">
        <v>4979</v>
      </c>
    </row>
    <row r="305" spans="1:6" x14ac:dyDescent="0.2">
      <c r="A305" t="s">
        <v>4092</v>
      </c>
      <c r="B305" t="s">
        <v>4203</v>
      </c>
      <c r="C305" t="str">
        <f t="shared" si="4"/>
        <v>BOYACATIBASOSA</v>
      </c>
      <c r="D305" t="s">
        <v>828</v>
      </c>
      <c r="E305" t="s">
        <v>1110</v>
      </c>
      <c r="F305" t="s">
        <v>4980</v>
      </c>
    </row>
    <row r="306" spans="1:6" x14ac:dyDescent="0.2">
      <c r="A306" t="s">
        <v>4092</v>
      </c>
      <c r="B306" t="s">
        <v>4204</v>
      </c>
      <c r="C306" t="str">
        <f t="shared" si="4"/>
        <v>BOYACATINJACA</v>
      </c>
      <c r="D306" t="s">
        <v>828</v>
      </c>
      <c r="E306" t="s">
        <v>2248</v>
      </c>
      <c r="F306" t="s">
        <v>4981</v>
      </c>
    </row>
    <row r="307" spans="1:6" x14ac:dyDescent="0.2">
      <c r="A307" t="s">
        <v>4092</v>
      </c>
      <c r="B307" t="s">
        <v>4088</v>
      </c>
      <c r="C307" t="str">
        <f t="shared" si="4"/>
        <v>BOYACATIPACOQUE</v>
      </c>
      <c r="D307" t="s">
        <v>828</v>
      </c>
      <c r="E307" t="s">
        <v>2369</v>
      </c>
      <c r="F307" t="s">
        <v>4982</v>
      </c>
    </row>
    <row r="308" spans="1:6" x14ac:dyDescent="0.2">
      <c r="A308" t="s">
        <v>4092</v>
      </c>
      <c r="B308" t="s">
        <v>4205</v>
      </c>
      <c r="C308" t="str">
        <f t="shared" si="4"/>
        <v>BOYACATOCA</v>
      </c>
      <c r="D308" t="s">
        <v>828</v>
      </c>
      <c r="E308" t="s">
        <v>2370</v>
      </c>
      <c r="F308" t="s">
        <v>4983</v>
      </c>
    </row>
    <row r="309" spans="1:6" x14ac:dyDescent="0.2">
      <c r="A309" t="s">
        <v>4092</v>
      </c>
      <c r="B309" t="s">
        <v>4206</v>
      </c>
      <c r="C309" t="str">
        <f t="shared" si="4"/>
        <v>BOYACATOGUI</v>
      </c>
      <c r="D309" t="s">
        <v>828</v>
      </c>
      <c r="E309" t="s">
        <v>4207</v>
      </c>
      <c r="F309" t="s">
        <v>4984</v>
      </c>
    </row>
    <row r="310" spans="1:6" x14ac:dyDescent="0.2">
      <c r="A310" t="s">
        <v>4092</v>
      </c>
      <c r="B310" t="s">
        <v>4208</v>
      </c>
      <c r="C310" t="str">
        <f t="shared" si="4"/>
        <v>BOYACATOPAGA</v>
      </c>
      <c r="D310" t="s">
        <v>828</v>
      </c>
      <c r="E310" t="s">
        <v>718</v>
      </c>
      <c r="F310" t="s">
        <v>4985</v>
      </c>
    </row>
    <row r="311" spans="1:6" x14ac:dyDescent="0.2">
      <c r="A311" t="s">
        <v>4092</v>
      </c>
      <c r="B311" t="s">
        <v>4209</v>
      </c>
      <c r="C311" t="str">
        <f t="shared" si="4"/>
        <v>BOYACATOTA</v>
      </c>
      <c r="D311" t="s">
        <v>828</v>
      </c>
      <c r="E311" t="s">
        <v>2341</v>
      </c>
      <c r="F311" t="s">
        <v>4986</v>
      </c>
    </row>
    <row r="312" spans="1:6" x14ac:dyDescent="0.2">
      <c r="A312" t="s">
        <v>4092</v>
      </c>
      <c r="B312" t="s">
        <v>4048</v>
      </c>
      <c r="C312" t="str">
        <f t="shared" si="4"/>
        <v>BOYACATUNUNGUA</v>
      </c>
      <c r="D312" t="s">
        <v>828</v>
      </c>
      <c r="E312" t="s">
        <v>4210</v>
      </c>
      <c r="F312" t="s">
        <v>4987</v>
      </c>
    </row>
    <row r="313" spans="1:6" x14ac:dyDescent="0.2">
      <c r="A313" t="s">
        <v>4092</v>
      </c>
      <c r="B313" t="s">
        <v>4211</v>
      </c>
      <c r="C313" t="str">
        <f t="shared" si="4"/>
        <v>BOYACATURMEQUE</v>
      </c>
      <c r="D313" t="s">
        <v>828</v>
      </c>
      <c r="E313" t="s">
        <v>4212</v>
      </c>
      <c r="F313" t="s">
        <v>4988</v>
      </c>
    </row>
    <row r="314" spans="1:6" x14ac:dyDescent="0.2">
      <c r="A314" t="s">
        <v>4092</v>
      </c>
      <c r="B314" t="s">
        <v>4011</v>
      </c>
      <c r="C314" t="str">
        <f t="shared" si="4"/>
        <v>BOYACATUTA</v>
      </c>
      <c r="D314" t="s">
        <v>828</v>
      </c>
      <c r="E314" t="s">
        <v>1425</v>
      </c>
      <c r="F314" t="s">
        <v>4989</v>
      </c>
    </row>
    <row r="315" spans="1:6" x14ac:dyDescent="0.2">
      <c r="A315" t="s">
        <v>4092</v>
      </c>
      <c r="B315" t="s">
        <v>4213</v>
      </c>
      <c r="C315" t="str">
        <f t="shared" si="4"/>
        <v>BOYACATUTAZA</v>
      </c>
      <c r="D315" t="s">
        <v>828</v>
      </c>
      <c r="E315" t="s">
        <v>4214</v>
      </c>
      <c r="F315" t="s">
        <v>4990</v>
      </c>
    </row>
    <row r="316" spans="1:6" x14ac:dyDescent="0.2">
      <c r="A316" t="s">
        <v>4092</v>
      </c>
      <c r="B316" t="s">
        <v>4012</v>
      </c>
      <c r="C316" t="str">
        <f t="shared" si="4"/>
        <v>BOYACAUMBITA</v>
      </c>
      <c r="D316" t="s">
        <v>828</v>
      </c>
      <c r="E316" t="s">
        <v>4215</v>
      </c>
      <c r="F316" t="s">
        <v>4991</v>
      </c>
    </row>
    <row r="317" spans="1:6" x14ac:dyDescent="0.2">
      <c r="A317" t="s">
        <v>4092</v>
      </c>
      <c r="B317" t="s">
        <v>4017</v>
      </c>
      <c r="C317" t="str">
        <f t="shared" si="4"/>
        <v>BOYACAVENTAQUEMADA</v>
      </c>
      <c r="D317" t="s">
        <v>828</v>
      </c>
      <c r="E317" t="s">
        <v>4216</v>
      </c>
      <c r="F317" t="s">
        <v>4992</v>
      </c>
    </row>
    <row r="318" spans="1:6" x14ac:dyDescent="0.2">
      <c r="A318" t="s">
        <v>4092</v>
      </c>
      <c r="B318" t="s">
        <v>4217</v>
      </c>
      <c r="C318" t="str">
        <f t="shared" si="4"/>
        <v>BOYACAVIRACACHA</v>
      </c>
      <c r="D318" t="s">
        <v>828</v>
      </c>
      <c r="E318" t="s">
        <v>401</v>
      </c>
      <c r="F318" t="s">
        <v>4993</v>
      </c>
    </row>
    <row r="319" spans="1:6" x14ac:dyDescent="0.2">
      <c r="A319" t="s">
        <v>4092</v>
      </c>
      <c r="B319" t="s">
        <v>4218</v>
      </c>
      <c r="C319" t="str">
        <f t="shared" si="4"/>
        <v>BOYACAZETAQUIRA</v>
      </c>
      <c r="D319" t="s">
        <v>828</v>
      </c>
      <c r="E319" t="s">
        <v>4219</v>
      </c>
      <c r="F319" t="s">
        <v>4994</v>
      </c>
    </row>
    <row r="320" spans="1:6" x14ac:dyDescent="0.2">
      <c r="A320" t="s">
        <v>4220</v>
      </c>
      <c r="B320" t="s">
        <v>3885</v>
      </c>
      <c r="C320" t="str">
        <f t="shared" si="4"/>
        <v>CaldasMANIZALES</v>
      </c>
      <c r="D320" t="s">
        <v>4221</v>
      </c>
      <c r="E320" t="s">
        <v>711</v>
      </c>
      <c r="F320" t="s">
        <v>4995</v>
      </c>
    </row>
    <row r="321" spans="1:6" x14ac:dyDescent="0.2">
      <c r="A321" t="s">
        <v>4220</v>
      </c>
      <c r="B321" t="s">
        <v>4222</v>
      </c>
      <c r="C321" t="str">
        <f t="shared" si="4"/>
        <v>CaldasAGUADAS</v>
      </c>
      <c r="D321" t="s">
        <v>4221</v>
      </c>
      <c r="E321" t="s">
        <v>2070</v>
      </c>
      <c r="F321" t="s">
        <v>4996</v>
      </c>
    </row>
    <row r="322" spans="1:6" x14ac:dyDescent="0.2">
      <c r="A322" t="s">
        <v>4220</v>
      </c>
      <c r="B322" t="s">
        <v>3897</v>
      </c>
      <c r="C322" t="str">
        <f t="shared" si="4"/>
        <v>CaldasANSERMA</v>
      </c>
      <c r="D322" t="s">
        <v>4221</v>
      </c>
      <c r="E322" t="s">
        <v>2559</v>
      </c>
      <c r="F322" t="s">
        <v>4997</v>
      </c>
    </row>
    <row r="323" spans="1:6" x14ac:dyDescent="0.2">
      <c r="A323" t="s">
        <v>4220</v>
      </c>
      <c r="B323" t="s">
        <v>4223</v>
      </c>
      <c r="C323" t="str">
        <f t="shared" ref="C323:C386" si="5">D323&amp;E323</f>
        <v>CaldasARANZAZU</v>
      </c>
      <c r="D323" t="s">
        <v>4221</v>
      </c>
      <c r="E323" t="s">
        <v>2939</v>
      </c>
      <c r="F323" t="s">
        <v>4998</v>
      </c>
    </row>
    <row r="324" spans="1:6" x14ac:dyDescent="0.2">
      <c r="A324" t="s">
        <v>4220</v>
      </c>
      <c r="B324" t="s">
        <v>3906</v>
      </c>
      <c r="C324" t="str">
        <f t="shared" si="5"/>
        <v>CaldasBELALCAZAR</v>
      </c>
      <c r="D324" t="s">
        <v>4221</v>
      </c>
      <c r="E324" t="s">
        <v>473</v>
      </c>
      <c r="F324" t="s">
        <v>4999</v>
      </c>
    </row>
    <row r="325" spans="1:6" x14ac:dyDescent="0.2">
      <c r="A325" t="s">
        <v>4220</v>
      </c>
      <c r="B325" t="s">
        <v>4224</v>
      </c>
      <c r="C325" t="str">
        <f t="shared" si="5"/>
        <v>CaldasCHINCHINA</v>
      </c>
      <c r="D325" t="s">
        <v>4221</v>
      </c>
      <c r="E325" t="s">
        <v>341</v>
      </c>
      <c r="F325" t="s">
        <v>5000</v>
      </c>
    </row>
    <row r="326" spans="1:6" x14ac:dyDescent="0.2">
      <c r="A326" t="s">
        <v>4220</v>
      </c>
      <c r="B326" t="s">
        <v>4131</v>
      </c>
      <c r="C326" t="str">
        <f t="shared" si="5"/>
        <v>CaldasFILADELFIA</v>
      </c>
      <c r="D326" t="s">
        <v>4221</v>
      </c>
      <c r="E326" t="s">
        <v>474</v>
      </c>
      <c r="F326" t="s">
        <v>5001</v>
      </c>
    </row>
    <row r="327" spans="1:6" x14ac:dyDescent="0.2">
      <c r="A327" t="s">
        <v>4220</v>
      </c>
      <c r="B327" t="s">
        <v>3956</v>
      </c>
      <c r="C327" t="str">
        <f t="shared" si="5"/>
        <v>CaldasLA DORADA</v>
      </c>
      <c r="D327" t="s">
        <v>4221</v>
      </c>
      <c r="E327" t="s">
        <v>644</v>
      </c>
      <c r="F327" t="s">
        <v>5002</v>
      </c>
    </row>
    <row r="328" spans="1:6" x14ac:dyDescent="0.2">
      <c r="A328" t="s">
        <v>4220</v>
      </c>
      <c r="B328" t="s">
        <v>4225</v>
      </c>
      <c r="C328" t="str">
        <f t="shared" si="5"/>
        <v>CaldasLA MERCED</v>
      </c>
      <c r="D328" t="s">
        <v>4221</v>
      </c>
      <c r="E328" t="s">
        <v>3140</v>
      </c>
      <c r="F328" t="s">
        <v>5003</v>
      </c>
    </row>
    <row r="329" spans="1:6" x14ac:dyDescent="0.2">
      <c r="A329" t="s">
        <v>4220</v>
      </c>
      <c r="B329" t="s">
        <v>4033</v>
      </c>
      <c r="C329" t="str">
        <f t="shared" si="5"/>
        <v>CaldasMANZANARES</v>
      </c>
      <c r="D329" t="s">
        <v>4221</v>
      </c>
      <c r="E329" t="s">
        <v>2403</v>
      </c>
      <c r="F329" t="s">
        <v>5004</v>
      </c>
    </row>
    <row r="330" spans="1:6" x14ac:dyDescent="0.2">
      <c r="A330" t="s">
        <v>4220</v>
      </c>
      <c r="B330" t="s">
        <v>4067</v>
      </c>
      <c r="C330" t="str">
        <f t="shared" si="5"/>
        <v>CaldasMARMATO</v>
      </c>
      <c r="D330" t="s">
        <v>4221</v>
      </c>
      <c r="E330" t="s">
        <v>3138</v>
      </c>
      <c r="F330" t="s">
        <v>5005</v>
      </c>
    </row>
    <row r="331" spans="1:6" x14ac:dyDescent="0.2">
      <c r="A331" t="s">
        <v>4220</v>
      </c>
      <c r="B331" t="s">
        <v>4226</v>
      </c>
      <c r="C331" t="str">
        <f t="shared" si="5"/>
        <v>CaldasMARQUETALIA</v>
      </c>
      <c r="D331" t="s">
        <v>4221</v>
      </c>
      <c r="E331" t="s">
        <v>1643</v>
      </c>
      <c r="F331" t="s">
        <v>5006</v>
      </c>
    </row>
    <row r="332" spans="1:6" x14ac:dyDescent="0.2">
      <c r="A332" t="s">
        <v>4220</v>
      </c>
      <c r="B332" t="s">
        <v>4227</v>
      </c>
      <c r="C332" t="str">
        <f t="shared" si="5"/>
        <v>CaldasMARULANDA</v>
      </c>
      <c r="D332" t="s">
        <v>4221</v>
      </c>
      <c r="E332" t="s">
        <v>1650</v>
      </c>
      <c r="F332" t="s">
        <v>5007</v>
      </c>
    </row>
    <row r="333" spans="1:6" x14ac:dyDescent="0.2">
      <c r="A333" t="s">
        <v>4220</v>
      </c>
      <c r="B333" t="s">
        <v>4228</v>
      </c>
      <c r="C333" t="str">
        <f t="shared" si="5"/>
        <v>CaldasNEIRA</v>
      </c>
      <c r="D333" t="s">
        <v>4221</v>
      </c>
      <c r="E333" t="s">
        <v>343</v>
      </c>
      <c r="F333" t="s">
        <v>5008</v>
      </c>
    </row>
    <row r="334" spans="1:6" x14ac:dyDescent="0.2">
      <c r="A334" t="s">
        <v>4220</v>
      </c>
      <c r="B334" t="s">
        <v>3967</v>
      </c>
      <c r="C334" t="str">
        <f t="shared" si="5"/>
        <v>CaldasNORCASIA</v>
      </c>
      <c r="D334" t="s">
        <v>4221</v>
      </c>
      <c r="E334" t="s">
        <v>344</v>
      </c>
      <c r="F334" t="s">
        <v>5009</v>
      </c>
    </row>
    <row r="335" spans="1:6" x14ac:dyDescent="0.2">
      <c r="A335" t="s">
        <v>4220</v>
      </c>
      <c r="B335" t="s">
        <v>4229</v>
      </c>
      <c r="C335" t="str">
        <f t="shared" si="5"/>
        <v>CaldasPACORA</v>
      </c>
      <c r="D335" t="s">
        <v>4221</v>
      </c>
      <c r="E335" t="s">
        <v>1134</v>
      </c>
      <c r="F335" t="s">
        <v>5010</v>
      </c>
    </row>
    <row r="336" spans="1:6" x14ac:dyDescent="0.2">
      <c r="A336" t="s">
        <v>4220</v>
      </c>
      <c r="B336" t="s">
        <v>4230</v>
      </c>
      <c r="C336" t="str">
        <f t="shared" si="5"/>
        <v>CaldasPALESTINA</v>
      </c>
      <c r="D336" t="s">
        <v>4221</v>
      </c>
      <c r="E336" t="s">
        <v>2504</v>
      </c>
      <c r="F336" t="s">
        <v>5011</v>
      </c>
    </row>
    <row r="337" spans="1:6" x14ac:dyDescent="0.2">
      <c r="A337" t="s">
        <v>4220</v>
      </c>
      <c r="B337" t="s">
        <v>3970</v>
      </c>
      <c r="C337" t="str">
        <f t="shared" si="5"/>
        <v>CaldasPENSILVANIA</v>
      </c>
      <c r="D337" t="s">
        <v>4221</v>
      </c>
      <c r="E337" t="s">
        <v>1665</v>
      </c>
      <c r="F337" t="s">
        <v>5012</v>
      </c>
    </row>
    <row r="338" spans="1:6" x14ac:dyDescent="0.2">
      <c r="A338" t="s">
        <v>4220</v>
      </c>
      <c r="B338" t="s">
        <v>4231</v>
      </c>
      <c r="C338" t="str">
        <f t="shared" si="5"/>
        <v>CaldasRIOSUCIO</v>
      </c>
      <c r="D338" t="s">
        <v>4221</v>
      </c>
      <c r="E338" t="s">
        <v>2483</v>
      </c>
      <c r="F338" t="s">
        <v>5013</v>
      </c>
    </row>
    <row r="339" spans="1:6" x14ac:dyDescent="0.2">
      <c r="A339" t="s">
        <v>4220</v>
      </c>
      <c r="B339" t="s">
        <v>4232</v>
      </c>
      <c r="C339" t="str">
        <f t="shared" si="5"/>
        <v>CaldasRISARALDA</v>
      </c>
      <c r="D339" t="s">
        <v>4221</v>
      </c>
      <c r="E339" t="s">
        <v>2012</v>
      </c>
      <c r="F339" t="s">
        <v>5014</v>
      </c>
    </row>
    <row r="340" spans="1:6" x14ac:dyDescent="0.2">
      <c r="A340" t="s">
        <v>4220</v>
      </c>
      <c r="B340" t="s">
        <v>4233</v>
      </c>
      <c r="C340" t="str">
        <f t="shared" si="5"/>
        <v>CaldasSALAMINA</v>
      </c>
      <c r="D340" t="s">
        <v>4221</v>
      </c>
      <c r="E340" t="s">
        <v>2584</v>
      </c>
      <c r="F340" t="s">
        <v>5015</v>
      </c>
    </row>
    <row r="341" spans="1:6" x14ac:dyDescent="0.2">
      <c r="A341" t="s">
        <v>4220</v>
      </c>
      <c r="B341" t="s">
        <v>4234</v>
      </c>
      <c r="C341" t="str">
        <f t="shared" si="5"/>
        <v>CaldasSAMANA</v>
      </c>
      <c r="D341" t="s">
        <v>4221</v>
      </c>
      <c r="E341" t="s">
        <v>2632</v>
      </c>
      <c r="F341" t="s">
        <v>5016</v>
      </c>
    </row>
    <row r="342" spans="1:6" x14ac:dyDescent="0.2">
      <c r="A342" t="s">
        <v>4220</v>
      </c>
      <c r="B342" t="s">
        <v>3993</v>
      </c>
      <c r="C342" t="str">
        <f t="shared" si="5"/>
        <v>CaldasSAN JOSE</v>
      </c>
      <c r="D342" t="s">
        <v>4221</v>
      </c>
      <c r="E342" t="s">
        <v>345</v>
      </c>
      <c r="F342" t="s">
        <v>5017</v>
      </c>
    </row>
    <row r="343" spans="1:6" x14ac:dyDescent="0.2">
      <c r="A343" t="s">
        <v>4220</v>
      </c>
      <c r="B343" t="s">
        <v>4235</v>
      </c>
      <c r="C343" t="str">
        <f t="shared" si="5"/>
        <v>CaldasSUPIA</v>
      </c>
      <c r="D343" t="s">
        <v>4221</v>
      </c>
      <c r="E343" t="s">
        <v>1646</v>
      </c>
      <c r="F343" t="s">
        <v>5018</v>
      </c>
    </row>
    <row r="344" spans="1:6" x14ac:dyDescent="0.2">
      <c r="A344" t="s">
        <v>4220</v>
      </c>
      <c r="B344" t="s">
        <v>4236</v>
      </c>
      <c r="C344" t="str">
        <f t="shared" si="5"/>
        <v>CaldasVICTORIA</v>
      </c>
      <c r="D344" t="s">
        <v>4221</v>
      </c>
      <c r="E344" t="s">
        <v>4237</v>
      </c>
      <c r="F344" t="s">
        <v>5019</v>
      </c>
    </row>
    <row r="345" spans="1:6" x14ac:dyDescent="0.2">
      <c r="A345" t="s">
        <v>4220</v>
      </c>
      <c r="B345" t="s">
        <v>4018</v>
      </c>
      <c r="C345" t="str">
        <f t="shared" si="5"/>
        <v>CaldasVILLAMARIA</v>
      </c>
      <c r="D345" t="s">
        <v>4221</v>
      </c>
      <c r="E345" t="s">
        <v>1456</v>
      </c>
      <c r="F345" t="s">
        <v>5020</v>
      </c>
    </row>
    <row r="346" spans="1:6" x14ac:dyDescent="0.2">
      <c r="A346" t="s">
        <v>4220</v>
      </c>
      <c r="B346" t="s">
        <v>4238</v>
      </c>
      <c r="C346" t="str">
        <f t="shared" si="5"/>
        <v>CaldasVITERBO</v>
      </c>
      <c r="D346" t="s">
        <v>4221</v>
      </c>
      <c r="E346" t="s">
        <v>346</v>
      </c>
      <c r="F346" t="s">
        <v>5021</v>
      </c>
    </row>
    <row r="347" spans="1:6" x14ac:dyDescent="0.2">
      <c r="A347" t="s">
        <v>4239</v>
      </c>
      <c r="B347" t="s">
        <v>3885</v>
      </c>
      <c r="C347" t="str">
        <f t="shared" si="5"/>
        <v>CAQUETAFLORENCIA</v>
      </c>
      <c r="D347" t="s">
        <v>3112</v>
      </c>
      <c r="E347" t="s">
        <v>1535</v>
      </c>
      <c r="F347" t="s">
        <v>5022</v>
      </c>
    </row>
    <row r="348" spans="1:6" x14ac:dyDescent="0.2">
      <c r="A348" t="s">
        <v>4239</v>
      </c>
      <c r="B348" t="s">
        <v>4240</v>
      </c>
      <c r="C348" t="str">
        <f t="shared" si="5"/>
        <v>CAQUETAALBANIA</v>
      </c>
      <c r="D348" t="s">
        <v>3112</v>
      </c>
      <c r="E348" t="s">
        <v>600</v>
      </c>
      <c r="F348" t="s">
        <v>5023</v>
      </c>
    </row>
    <row r="349" spans="1:6" x14ac:dyDescent="0.2">
      <c r="A349" t="s">
        <v>4239</v>
      </c>
      <c r="B349" t="s">
        <v>4241</v>
      </c>
      <c r="C349" t="str">
        <f t="shared" si="5"/>
        <v>CAQUETABELEN DE LOS ANDAQUIES</v>
      </c>
      <c r="D349" t="s">
        <v>3112</v>
      </c>
      <c r="E349" t="s">
        <v>2195</v>
      </c>
      <c r="F349" t="s">
        <v>5024</v>
      </c>
    </row>
    <row r="350" spans="1:6" x14ac:dyDescent="0.2">
      <c r="A350" t="s">
        <v>4239</v>
      </c>
      <c r="B350" t="s">
        <v>3922</v>
      </c>
      <c r="C350" t="str">
        <f t="shared" si="5"/>
        <v>CAQUETACARTAGENA DEL CHAIRA</v>
      </c>
      <c r="D350" t="s">
        <v>3112</v>
      </c>
      <c r="E350" t="s">
        <v>4242</v>
      </c>
      <c r="F350" t="s">
        <v>5025</v>
      </c>
    </row>
    <row r="351" spans="1:6" x14ac:dyDescent="0.2">
      <c r="A351" t="s">
        <v>4239</v>
      </c>
      <c r="B351" t="s">
        <v>4243</v>
      </c>
      <c r="C351" t="str">
        <f t="shared" si="5"/>
        <v>CAQUETACURILLO</v>
      </c>
      <c r="D351" t="s">
        <v>3112</v>
      </c>
      <c r="E351" t="s">
        <v>3113</v>
      </c>
      <c r="F351" t="s">
        <v>5026</v>
      </c>
    </row>
    <row r="352" spans="1:6" x14ac:dyDescent="0.2">
      <c r="A352" t="s">
        <v>4239</v>
      </c>
      <c r="B352" t="s">
        <v>4244</v>
      </c>
      <c r="C352" t="str">
        <f t="shared" si="5"/>
        <v>CAQUETAEL DONCELLO</v>
      </c>
      <c r="D352" t="s">
        <v>3112</v>
      </c>
      <c r="E352" t="s">
        <v>4245</v>
      </c>
      <c r="F352" t="s">
        <v>5027</v>
      </c>
    </row>
    <row r="353" spans="1:6" x14ac:dyDescent="0.2">
      <c r="A353" t="s">
        <v>4239</v>
      </c>
      <c r="B353" t="s">
        <v>4246</v>
      </c>
      <c r="C353" t="str">
        <f t="shared" si="5"/>
        <v>CAQUETAEL PAUJIL</v>
      </c>
      <c r="D353" t="s">
        <v>3112</v>
      </c>
      <c r="E353" t="s">
        <v>4247</v>
      </c>
      <c r="F353" t="s">
        <v>5028</v>
      </c>
    </row>
    <row r="354" spans="1:6" x14ac:dyDescent="0.2">
      <c r="A354" t="s">
        <v>4239</v>
      </c>
      <c r="B354" t="s">
        <v>4248</v>
      </c>
      <c r="C354" t="str">
        <f t="shared" si="5"/>
        <v>CAQUETALA MONTAÑITA</v>
      </c>
      <c r="D354" t="s">
        <v>3112</v>
      </c>
      <c r="E354" t="s">
        <v>2764</v>
      </c>
      <c r="F354" t="s">
        <v>5029</v>
      </c>
    </row>
    <row r="355" spans="1:6" x14ac:dyDescent="0.2">
      <c r="A355" t="s">
        <v>4239</v>
      </c>
      <c r="B355" t="s">
        <v>4249</v>
      </c>
      <c r="C355" t="str">
        <f t="shared" si="5"/>
        <v>CAQUETAMILAN</v>
      </c>
      <c r="D355" t="s">
        <v>3112</v>
      </c>
      <c r="E355" t="s">
        <v>2408</v>
      </c>
      <c r="F355" t="s">
        <v>5030</v>
      </c>
    </row>
    <row r="356" spans="1:6" x14ac:dyDescent="0.2">
      <c r="A356" t="s">
        <v>4239</v>
      </c>
      <c r="B356" t="s">
        <v>4250</v>
      </c>
      <c r="C356" t="str">
        <f t="shared" si="5"/>
        <v>CAQUETAMORELIA</v>
      </c>
      <c r="D356" t="s">
        <v>3112</v>
      </c>
      <c r="E356" t="s">
        <v>2194</v>
      </c>
      <c r="F356" t="s">
        <v>5031</v>
      </c>
    </row>
    <row r="357" spans="1:6" x14ac:dyDescent="0.2">
      <c r="A357" t="s">
        <v>4239</v>
      </c>
      <c r="B357" t="s">
        <v>4251</v>
      </c>
      <c r="C357" t="str">
        <f t="shared" si="5"/>
        <v>CAQUETAPUERTO RICO</v>
      </c>
      <c r="D357" t="s">
        <v>3112</v>
      </c>
      <c r="E357" t="s">
        <v>2019</v>
      </c>
      <c r="F357" t="s">
        <v>5032</v>
      </c>
    </row>
    <row r="358" spans="1:6" x14ac:dyDescent="0.2">
      <c r="A358" t="s">
        <v>4239</v>
      </c>
      <c r="B358" t="s">
        <v>4252</v>
      </c>
      <c r="C358" t="str">
        <f t="shared" si="5"/>
        <v>CAQUETASAN JOSE DEL FRAGUA</v>
      </c>
      <c r="D358" t="s">
        <v>3112</v>
      </c>
      <c r="E358" t="s">
        <v>3838</v>
      </c>
      <c r="F358" t="s">
        <v>5033</v>
      </c>
    </row>
    <row r="359" spans="1:6" x14ac:dyDescent="0.2">
      <c r="A359" t="s">
        <v>4239</v>
      </c>
      <c r="B359" t="s">
        <v>4189</v>
      </c>
      <c r="C359" t="str">
        <f t="shared" si="5"/>
        <v>CAQUETASAN VICENTE DEL CAGUAN</v>
      </c>
      <c r="D359" t="s">
        <v>3112</v>
      </c>
      <c r="E359" t="s">
        <v>4253</v>
      </c>
      <c r="F359" t="s">
        <v>5034</v>
      </c>
    </row>
    <row r="360" spans="1:6" x14ac:dyDescent="0.2">
      <c r="A360" t="s">
        <v>4239</v>
      </c>
      <c r="B360" t="s">
        <v>4004</v>
      </c>
      <c r="C360" t="str">
        <f t="shared" si="5"/>
        <v>CAQUETASOLANO</v>
      </c>
      <c r="D360" t="s">
        <v>3112</v>
      </c>
      <c r="E360" t="s">
        <v>603</v>
      </c>
      <c r="F360" t="s">
        <v>5035</v>
      </c>
    </row>
    <row r="361" spans="1:6" x14ac:dyDescent="0.2">
      <c r="A361" t="s">
        <v>4239</v>
      </c>
      <c r="B361" t="s">
        <v>4254</v>
      </c>
      <c r="C361" t="str">
        <f t="shared" si="5"/>
        <v>CAQUETASOLITA</v>
      </c>
      <c r="D361" t="s">
        <v>3112</v>
      </c>
      <c r="E361" t="s">
        <v>1602</v>
      </c>
      <c r="F361" t="s">
        <v>5036</v>
      </c>
    </row>
    <row r="362" spans="1:6" x14ac:dyDescent="0.2">
      <c r="A362" t="s">
        <v>4239</v>
      </c>
      <c r="B362" t="s">
        <v>4255</v>
      </c>
      <c r="C362" t="str">
        <f t="shared" si="5"/>
        <v>CAQUETAVALPARAISO</v>
      </c>
      <c r="D362" t="s">
        <v>3112</v>
      </c>
      <c r="E362" t="s">
        <v>434</v>
      </c>
      <c r="F362" t="s">
        <v>5037</v>
      </c>
    </row>
    <row r="363" spans="1:6" x14ac:dyDescent="0.2">
      <c r="A363" t="s">
        <v>4256</v>
      </c>
      <c r="B363" t="s">
        <v>3885</v>
      </c>
      <c r="C363" t="str">
        <f t="shared" si="5"/>
        <v>CaucaPOPAYAN</v>
      </c>
      <c r="D363" t="s">
        <v>4257</v>
      </c>
      <c r="E363" t="s">
        <v>1720</v>
      </c>
      <c r="F363" t="s">
        <v>5038</v>
      </c>
    </row>
    <row r="364" spans="1:6" x14ac:dyDescent="0.2">
      <c r="A364" t="s">
        <v>4256</v>
      </c>
      <c r="B364" t="s">
        <v>4093</v>
      </c>
      <c r="C364" t="str">
        <f t="shared" si="5"/>
        <v>CaucaALMAGUER</v>
      </c>
      <c r="D364" t="s">
        <v>4257</v>
      </c>
      <c r="E364" t="s">
        <v>2646</v>
      </c>
      <c r="F364" t="s">
        <v>5039</v>
      </c>
    </row>
    <row r="365" spans="1:6" x14ac:dyDescent="0.2">
      <c r="A365" t="s">
        <v>4256</v>
      </c>
      <c r="B365" t="s">
        <v>4223</v>
      </c>
      <c r="C365" t="str">
        <f t="shared" si="5"/>
        <v>CaucaARGELIA</v>
      </c>
      <c r="D365" t="s">
        <v>4257</v>
      </c>
      <c r="E365" t="s">
        <v>2432</v>
      </c>
      <c r="F365" t="s">
        <v>5040</v>
      </c>
    </row>
    <row r="366" spans="1:6" x14ac:dyDescent="0.2">
      <c r="A366" t="s">
        <v>4256</v>
      </c>
      <c r="B366" t="s">
        <v>4258</v>
      </c>
      <c r="C366" t="str">
        <f t="shared" si="5"/>
        <v>CaucaBALBOA</v>
      </c>
      <c r="D366" t="s">
        <v>4257</v>
      </c>
      <c r="E366" t="s">
        <v>1103</v>
      </c>
      <c r="F366" t="s">
        <v>5041</v>
      </c>
    </row>
    <row r="367" spans="1:6" x14ac:dyDescent="0.2">
      <c r="A367" t="s">
        <v>4256</v>
      </c>
      <c r="B367" t="s">
        <v>4259</v>
      </c>
      <c r="C367" t="str">
        <f t="shared" si="5"/>
        <v>CaucaBOLIVAR</v>
      </c>
      <c r="D367" t="s">
        <v>4257</v>
      </c>
      <c r="E367" t="s">
        <v>2017</v>
      </c>
      <c r="F367" t="s">
        <v>5042</v>
      </c>
    </row>
    <row r="368" spans="1:6" x14ac:dyDescent="0.2">
      <c r="A368" t="s">
        <v>4256</v>
      </c>
      <c r="B368" t="s">
        <v>4260</v>
      </c>
      <c r="C368" t="str">
        <f t="shared" si="5"/>
        <v>CaucaBUENOS AIRES</v>
      </c>
      <c r="D368" t="s">
        <v>4257</v>
      </c>
      <c r="E368" t="s">
        <v>3828</v>
      </c>
      <c r="F368" t="s">
        <v>5043</v>
      </c>
    </row>
    <row r="369" spans="1:6" x14ac:dyDescent="0.2">
      <c r="A369" t="s">
        <v>4256</v>
      </c>
      <c r="B369" t="s">
        <v>4261</v>
      </c>
      <c r="C369" t="str">
        <f t="shared" si="5"/>
        <v>CaucaCAJIBIO</v>
      </c>
      <c r="D369" t="s">
        <v>4257</v>
      </c>
      <c r="E369" t="s">
        <v>2948</v>
      </c>
      <c r="F369" t="s">
        <v>5044</v>
      </c>
    </row>
    <row r="370" spans="1:6" x14ac:dyDescent="0.2">
      <c r="A370" t="s">
        <v>4256</v>
      </c>
      <c r="B370" t="s">
        <v>4028</v>
      </c>
      <c r="C370" t="str">
        <f t="shared" si="5"/>
        <v>CaucaCALDONO</v>
      </c>
      <c r="D370" t="s">
        <v>4257</v>
      </c>
      <c r="E370" t="s">
        <v>282</v>
      </c>
      <c r="F370" t="s">
        <v>5045</v>
      </c>
    </row>
    <row r="371" spans="1:6" x14ac:dyDescent="0.2">
      <c r="A371" t="s">
        <v>4256</v>
      </c>
      <c r="B371" t="s">
        <v>3917</v>
      </c>
      <c r="C371" t="str">
        <f t="shared" si="5"/>
        <v>CaucaCALOTO</v>
      </c>
      <c r="D371" t="s">
        <v>4257</v>
      </c>
      <c r="E371" t="s">
        <v>735</v>
      </c>
      <c r="F371" t="s">
        <v>5046</v>
      </c>
    </row>
    <row r="372" spans="1:6" x14ac:dyDescent="0.2">
      <c r="A372" t="s">
        <v>4256</v>
      </c>
      <c r="B372" t="s">
        <v>3930</v>
      </c>
      <c r="C372" t="str">
        <f t="shared" si="5"/>
        <v>CaucaCORINTO</v>
      </c>
      <c r="D372" t="s">
        <v>4257</v>
      </c>
      <c r="E372" t="s">
        <v>1475</v>
      </c>
      <c r="F372" t="s">
        <v>5047</v>
      </c>
    </row>
    <row r="373" spans="1:6" x14ac:dyDescent="0.2">
      <c r="A373" t="s">
        <v>4256</v>
      </c>
      <c r="B373" t="s">
        <v>4246</v>
      </c>
      <c r="C373" t="str">
        <f t="shared" si="5"/>
        <v>CaucaEL TAMBO</v>
      </c>
      <c r="D373" t="s">
        <v>4257</v>
      </c>
      <c r="E373" t="s">
        <v>170</v>
      </c>
      <c r="F373" t="s">
        <v>5048</v>
      </c>
    </row>
    <row r="374" spans="1:6" x14ac:dyDescent="0.2">
      <c r="A374" t="s">
        <v>4256</v>
      </c>
      <c r="B374" t="s">
        <v>4262</v>
      </c>
      <c r="C374" t="str">
        <f t="shared" si="5"/>
        <v>CaucaFLORENCIA</v>
      </c>
      <c r="D374" t="s">
        <v>4257</v>
      </c>
      <c r="E374" t="s">
        <v>1535</v>
      </c>
      <c r="F374" t="s">
        <v>5049</v>
      </c>
    </row>
    <row r="375" spans="1:6" x14ac:dyDescent="0.2">
      <c r="A375" t="s">
        <v>4256</v>
      </c>
      <c r="B375" t="s">
        <v>4065</v>
      </c>
      <c r="C375" t="str">
        <f t="shared" si="5"/>
        <v>CaucaGUACHENE</v>
      </c>
      <c r="D375" t="s">
        <v>4257</v>
      </c>
      <c r="E375" t="s">
        <v>752</v>
      </c>
      <c r="F375" t="s">
        <v>5050</v>
      </c>
    </row>
    <row r="376" spans="1:6" x14ac:dyDescent="0.2">
      <c r="A376" t="s">
        <v>4256</v>
      </c>
      <c r="B376" t="s">
        <v>3946</v>
      </c>
      <c r="C376" t="str">
        <f t="shared" si="5"/>
        <v>CaucaGUAPI</v>
      </c>
      <c r="D376" t="s">
        <v>4257</v>
      </c>
      <c r="E376" t="s">
        <v>1785</v>
      </c>
      <c r="F376" t="s">
        <v>5051</v>
      </c>
    </row>
    <row r="377" spans="1:6" x14ac:dyDescent="0.2">
      <c r="A377" t="s">
        <v>4256</v>
      </c>
      <c r="B377" t="s">
        <v>4263</v>
      </c>
      <c r="C377" t="str">
        <f t="shared" si="5"/>
        <v>CaucaINZA</v>
      </c>
      <c r="D377" t="s">
        <v>4257</v>
      </c>
      <c r="E377" t="s">
        <v>2231</v>
      </c>
      <c r="F377" t="s">
        <v>5052</v>
      </c>
    </row>
    <row r="378" spans="1:6" x14ac:dyDescent="0.2">
      <c r="A378" t="s">
        <v>4256</v>
      </c>
      <c r="B378" t="s">
        <v>3953</v>
      </c>
      <c r="C378" t="str">
        <f t="shared" si="5"/>
        <v>CaucaJAMBALO</v>
      </c>
      <c r="D378" t="s">
        <v>4257</v>
      </c>
      <c r="E378" t="s">
        <v>1648</v>
      </c>
      <c r="F378" t="s">
        <v>5053</v>
      </c>
    </row>
    <row r="379" spans="1:6" x14ac:dyDescent="0.2">
      <c r="A379" t="s">
        <v>4256</v>
      </c>
      <c r="B379" t="s">
        <v>4264</v>
      </c>
      <c r="C379" t="str">
        <f t="shared" si="5"/>
        <v>CaucaLA SIERRA</v>
      </c>
      <c r="D379" t="s">
        <v>4257</v>
      </c>
      <c r="E379" t="s">
        <v>1258</v>
      </c>
      <c r="F379" t="s">
        <v>5054</v>
      </c>
    </row>
    <row r="380" spans="1:6" x14ac:dyDescent="0.2">
      <c r="A380" t="s">
        <v>4256</v>
      </c>
      <c r="B380" t="s">
        <v>4265</v>
      </c>
      <c r="C380" t="str">
        <f t="shared" si="5"/>
        <v>CaucaLA VEGA</v>
      </c>
      <c r="D380" t="s">
        <v>4257</v>
      </c>
      <c r="E380" t="s">
        <v>3143</v>
      </c>
      <c r="F380" t="s">
        <v>5055</v>
      </c>
    </row>
    <row r="381" spans="1:6" x14ac:dyDescent="0.2">
      <c r="A381" t="s">
        <v>4256</v>
      </c>
      <c r="B381" t="s">
        <v>4266</v>
      </c>
      <c r="C381" t="str">
        <f t="shared" si="5"/>
        <v>CaucaLOPEZ</v>
      </c>
      <c r="D381" t="s">
        <v>4257</v>
      </c>
      <c r="E381" t="s">
        <v>4267</v>
      </c>
      <c r="F381" t="s">
        <v>5056</v>
      </c>
    </row>
    <row r="382" spans="1:6" x14ac:dyDescent="0.2">
      <c r="A382" t="s">
        <v>4256</v>
      </c>
      <c r="B382" t="s">
        <v>4268</v>
      </c>
      <c r="C382" t="str">
        <f t="shared" si="5"/>
        <v>CaucaMERCADERES</v>
      </c>
      <c r="D382" t="s">
        <v>4257</v>
      </c>
      <c r="E382" t="s">
        <v>1260</v>
      </c>
      <c r="F382" t="s">
        <v>5057</v>
      </c>
    </row>
    <row r="383" spans="1:6" x14ac:dyDescent="0.2">
      <c r="A383" t="s">
        <v>4256</v>
      </c>
      <c r="B383" t="s">
        <v>4150</v>
      </c>
      <c r="C383" t="str">
        <f t="shared" si="5"/>
        <v>CaucaMIRANDA</v>
      </c>
      <c r="D383" t="s">
        <v>4257</v>
      </c>
      <c r="E383" t="s">
        <v>3128</v>
      </c>
      <c r="F383" t="s">
        <v>5058</v>
      </c>
    </row>
    <row r="384" spans="1:6" x14ac:dyDescent="0.2">
      <c r="A384" t="s">
        <v>4256</v>
      </c>
      <c r="B384" t="s">
        <v>4071</v>
      </c>
      <c r="C384" t="str">
        <f t="shared" si="5"/>
        <v>CaucaMORALES</v>
      </c>
      <c r="D384" t="s">
        <v>4257</v>
      </c>
      <c r="E384" t="s">
        <v>985</v>
      </c>
      <c r="F384" t="s">
        <v>5059</v>
      </c>
    </row>
    <row r="385" spans="1:6" x14ac:dyDescent="0.2">
      <c r="A385" t="s">
        <v>4256</v>
      </c>
      <c r="B385" t="s">
        <v>4229</v>
      </c>
      <c r="C385" t="str">
        <f t="shared" si="5"/>
        <v>CaucaPADILLA</v>
      </c>
      <c r="D385" t="s">
        <v>4257</v>
      </c>
      <c r="E385" t="s">
        <v>2601</v>
      </c>
      <c r="F385" t="s">
        <v>5060</v>
      </c>
    </row>
    <row r="386" spans="1:6" x14ac:dyDescent="0.2">
      <c r="A386" t="s">
        <v>4256</v>
      </c>
      <c r="B386" t="s">
        <v>4269</v>
      </c>
      <c r="C386" t="str">
        <f t="shared" si="5"/>
        <v>CaucaPAEZ</v>
      </c>
      <c r="D386" t="s">
        <v>4257</v>
      </c>
      <c r="E386" t="s">
        <v>2002</v>
      </c>
      <c r="F386" t="s">
        <v>5061</v>
      </c>
    </row>
    <row r="387" spans="1:6" x14ac:dyDescent="0.2">
      <c r="A387" t="s">
        <v>4256</v>
      </c>
      <c r="B387" t="s">
        <v>4270</v>
      </c>
      <c r="C387" t="str">
        <f t="shared" ref="C387:C450" si="6">D387&amp;E387</f>
        <v>CaucaPATIA</v>
      </c>
      <c r="D387" t="s">
        <v>4257</v>
      </c>
      <c r="E387" t="s">
        <v>3044</v>
      </c>
      <c r="F387" t="s">
        <v>5062</v>
      </c>
    </row>
    <row r="388" spans="1:6" x14ac:dyDescent="0.2">
      <c r="A388" t="s">
        <v>4256</v>
      </c>
      <c r="B388" t="s">
        <v>4165</v>
      </c>
      <c r="C388" t="str">
        <f t="shared" si="6"/>
        <v>CaucaPIAMONTE</v>
      </c>
      <c r="D388" t="s">
        <v>4257</v>
      </c>
      <c r="E388" t="s">
        <v>1409</v>
      </c>
      <c r="F388" t="s">
        <v>5063</v>
      </c>
    </row>
    <row r="389" spans="1:6" x14ac:dyDescent="0.2">
      <c r="A389" t="s">
        <v>4256</v>
      </c>
      <c r="B389" t="s">
        <v>4271</v>
      </c>
      <c r="C389" t="str">
        <f t="shared" si="6"/>
        <v>CaucaPIENDAMO</v>
      </c>
      <c r="D389" t="s">
        <v>4257</v>
      </c>
      <c r="E389" t="s">
        <v>2640</v>
      </c>
      <c r="F389" t="s">
        <v>5064</v>
      </c>
    </row>
    <row r="390" spans="1:6" x14ac:dyDescent="0.2">
      <c r="A390" t="s">
        <v>4256</v>
      </c>
      <c r="B390" t="s">
        <v>4040</v>
      </c>
      <c r="C390" t="str">
        <f t="shared" si="6"/>
        <v>CaucaPUERTO TEJADA</v>
      </c>
      <c r="D390" t="s">
        <v>4257</v>
      </c>
      <c r="E390" t="s">
        <v>767</v>
      </c>
      <c r="F390" t="s">
        <v>5065</v>
      </c>
    </row>
    <row r="391" spans="1:6" x14ac:dyDescent="0.2">
      <c r="A391" t="s">
        <v>4256</v>
      </c>
      <c r="B391" t="s">
        <v>3975</v>
      </c>
      <c r="C391" t="str">
        <f t="shared" si="6"/>
        <v>CaucaPURACE</v>
      </c>
      <c r="D391" t="s">
        <v>4257</v>
      </c>
      <c r="E391" t="s">
        <v>872</v>
      </c>
      <c r="F391" t="s">
        <v>5066</v>
      </c>
    </row>
    <row r="392" spans="1:6" x14ac:dyDescent="0.2">
      <c r="A392" t="s">
        <v>4256</v>
      </c>
      <c r="B392" t="s">
        <v>4272</v>
      </c>
      <c r="C392" t="str">
        <f t="shared" si="6"/>
        <v>CaucaROSAS</v>
      </c>
      <c r="D392" t="s">
        <v>4257</v>
      </c>
      <c r="E392" t="s">
        <v>2175</v>
      </c>
      <c r="F392" t="s">
        <v>5067</v>
      </c>
    </row>
    <row r="393" spans="1:6" x14ac:dyDescent="0.2">
      <c r="A393" t="s">
        <v>4256</v>
      </c>
      <c r="B393" t="s">
        <v>4182</v>
      </c>
      <c r="C393" t="str">
        <f t="shared" si="6"/>
        <v>CaucaSAN SEBASTIAN</v>
      </c>
      <c r="D393" t="s">
        <v>4257</v>
      </c>
      <c r="E393" t="s">
        <v>1987</v>
      </c>
      <c r="F393" t="s">
        <v>5068</v>
      </c>
    </row>
    <row r="394" spans="1:6" x14ac:dyDescent="0.2">
      <c r="A394" t="s">
        <v>4256</v>
      </c>
      <c r="B394" t="s">
        <v>4273</v>
      </c>
      <c r="C394" t="str">
        <f t="shared" si="6"/>
        <v>CaucaSANTANDER DE QUILICHAO</v>
      </c>
      <c r="D394" t="s">
        <v>4257</v>
      </c>
      <c r="E394" t="s">
        <v>772</v>
      </c>
      <c r="F394" t="s">
        <v>5069</v>
      </c>
    </row>
    <row r="395" spans="1:6" x14ac:dyDescent="0.2">
      <c r="A395" t="s">
        <v>4256</v>
      </c>
      <c r="B395" t="s">
        <v>4274</v>
      </c>
      <c r="C395" t="str">
        <f t="shared" si="6"/>
        <v>CaucaSANTA ROSA</v>
      </c>
      <c r="D395" t="s">
        <v>4257</v>
      </c>
      <c r="E395" t="s">
        <v>654</v>
      </c>
      <c r="F395" t="s">
        <v>5070</v>
      </c>
    </row>
    <row r="396" spans="1:6" x14ac:dyDescent="0.2">
      <c r="A396" t="s">
        <v>4256</v>
      </c>
      <c r="B396" t="s">
        <v>4275</v>
      </c>
      <c r="C396" t="str">
        <f t="shared" si="6"/>
        <v>CaucaSILVIA</v>
      </c>
      <c r="D396" t="s">
        <v>4257</v>
      </c>
      <c r="E396" t="s">
        <v>861</v>
      </c>
      <c r="F396" t="s">
        <v>5071</v>
      </c>
    </row>
    <row r="397" spans="1:6" x14ac:dyDescent="0.2">
      <c r="A397" t="s">
        <v>4256</v>
      </c>
      <c r="B397" t="s">
        <v>4086</v>
      </c>
      <c r="C397" t="str">
        <f t="shared" si="6"/>
        <v>CaucaSOTARA</v>
      </c>
      <c r="D397" t="s">
        <v>4257</v>
      </c>
      <c r="E397" t="s">
        <v>1129</v>
      </c>
      <c r="F397" t="s">
        <v>5072</v>
      </c>
    </row>
    <row r="398" spans="1:6" x14ac:dyDescent="0.2">
      <c r="A398" t="s">
        <v>4256</v>
      </c>
      <c r="B398" t="s">
        <v>4087</v>
      </c>
      <c r="C398" t="str">
        <f t="shared" si="6"/>
        <v>CaucaSUAREZ</v>
      </c>
      <c r="D398" t="s">
        <v>4257</v>
      </c>
      <c r="E398" t="s">
        <v>1558</v>
      </c>
      <c r="F398" t="s">
        <v>5073</v>
      </c>
    </row>
    <row r="399" spans="1:6" x14ac:dyDescent="0.2">
      <c r="A399" t="s">
        <v>4256</v>
      </c>
      <c r="B399" t="s">
        <v>4254</v>
      </c>
      <c r="C399" t="str">
        <f t="shared" si="6"/>
        <v>CaucaSUCRE</v>
      </c>
      <c r="D399" t="s">
        <v>4257</v>
      </c>
      <c r="E399" t="s">
        <v>2372</v>
      </c>
      <c r="F399" t="s">
        <v>5074</v>
      </c>
    </row>
    <row r="400" spans="1:6" x14ac:dyDescent="0.2">
      <c r="A400" t="s">
        <v>4256</v>
      </c>
      <c r="B400" t="s">
        <v>4276</v>
      </c>
      <c r="C400" t="str">
        <f t="shared" si="6"/>
        <v>CaucaTIMBIO</v>
      </c>
      <c r="D400" t="s">
        <v>4257</v>
      </c>
      <c r="E400" t="s">
        <v>33</v>
      </c>
      <c r="F400" t="s">
        <v>5075</v>
      </c>
    </row>
    <row r="401" spans="1:6" x14ac:dyDescent="0.2">
      <c r="A401" t="s">
        <v>4256</v>
      </c>
      <c r="B401" t="s">
        <v>4009</v>
      </c>
      <c r="C401" t="str">
        <f t="shared" si="6"/>
        <v>CaucaTIMBIQUI</v>
      </c>
      <c r="D401" t="s">
        <v>4257</v>
      </c>
      <c r="E401" t="s">
        <v>92</v>
      </c>
      <c r="F401" t="s">
        <v>5076</v>
      </c>
    </row>
    <row r="402" spans="1:6" x14ac:dyDescent="0.2">
      <c r="A402" t="s">
        <v>4256</v>
      </c>
      <c r="B402" t="s">
        <v>4277</v>
      </c>
      <c r="C402" t="str">
        <f t="shared" si="6"/>
        <v>CaucaTORIBIO</v>
      </c>
      <c r="D402" t="s">
        <v>4257</v>
      </c>
      <c r="E402" t="s">
        <v>779</v>
      </c>
      <c r="F402" t="s">
        <v>5077</v>
      </c>
    </row>
    <row r="403" spans="1:6" x14ac:dyDescent="0.2">
      <c r="A403" t="s">
        <v>4256</v>
      </c>
      <c r="B403" t="s">
        <v>4278</v>
      </c>
      <c r="C403" t="str">
        <f t="shared" si="6"/>
        <v>CaucaTOTORO</v>
      </c>
      <c r="D403" t="s">
        <v>4257</v>
      </c>
      <c r="E403" t="s">
        <v>1999</v>
      </c>
      <c r="F403" t="s">
        <v>5078</v>
      </c>
    </row>
    <row r="404" spans="1:6" x14ac:dyDescent="0.2">
      <c r="A404" t="s">
        <v>4256</v>
      </c>
      <c r="B404" t="s">
        <v>4279</v>
      </c>
      <c r="C404" t="str">
        <f t="shared" si="6"/>
        <v>CaucaVILLA RICA</v>
      </c>
      <c r="D404" t="s">
        <v>4257</v>
      </c>
      <c r="E404" t="s">
        <v>3159</v>
      </c>
      <c r="F404" t="s">
        <v>5079</v>
      </c>
    </row>
    <row r="405" spans="1:6" x14ac:dyDescent="0.2">
      <c r="A405" t="s">
        <v>4280</v>
      </c>
      <c r="B405" t="s">
        <v>3885</v>
      </c>
      <c r="C405" t="str">
        <f t="shared" si="6"/>
        <v>CesarVALLEDUPAR</v>
      </c>
      <c r="D405" t="s">
        <v>4281</v>
      </c>
      <c r="E405" t="s">
        <v>221</v>
      </c>
      <c r="F405" t="s">
        <v>5080</v>
      </c>
    </row>
    <row r="406" spans="1:6" x14ac:dyDescent="0.2">
      <c r="A406" t="s">
        <v>4280</v>
      </c>
      <c r="B406" t="s">
        <v>4282</v>
      </c>
      <c r="C406" t="str">
        <f t="shared" si="6"/>
        <v>CesarAGUACHICA</v>
      </c>
      <c r="D406" t="s">
        <v>4281</v>
      </c>
      <c r="E406" t="s">
        <v>1930</v>
      </c>
      <c r="F406" t="s">
        <v>5081</v>
      </c>
    </row>
    <row r="407" spans="1:6" x14ac:dyDescent="0.2">
      <c r="A407" t="s">
        <v>4280</v>
      </c>
      <c r="B407" t="s">
        <v>4222</v>
      </c>
      <c r="C407" t="str">
        <f t="shared" si="6"/>
        <v>CesarAGUSTIN CODAZZI</v>
      </c>
      <c r="D407" t="s">
        <v>4281</v>
      </c>
      <c r="E407" t="s">
        <v>1238</v>
      </c>
      <c r="F407" t="s">
        <v>5082</v>
      </c>
    </row>
    <row r="408" spans="1:6" x14ac:dyDescent="0.2">
      <c r="A408" t="s">
        <v>4280</v>
      </c>
      <c r="B408" t="s">
        <v>4283</v>
      </c>
      <c r="C408" t="str">
        <f t="shared" si="6"/>
        <v>CesarASTREA</v>
      </c>
      <c r="D408" t="s">
        <v>4281</v>
      </c>
      <c r="E408" t="s">
        <v>1105</v>
      </c>
      <c r="F408" t="s">
        <v>5083</v>
      </c>
    </row>
    <row r="409" spans="1:6" x14ac:dyDescent="0.2">
      <c r="A409" t="s">
        <v>4280</v>
      </c>
      <c r="B409" t="s">
        <v>3899</v>
      </c>
      <c r="C409" t="str">
        <f t="shared" si="6"/>
        <v>CesarBECERRIL</v>
      </c>
      <c r="D409" t="s">
        <v>4281</v>
      </c>
      <c r="E409" t="s">
        <v>228</v>
      </c>
      <c r="F409" t="s">
        <v>5084</v>
      </c>
    </row>
    <row r="410" spans="1:6" x14ac:dyDescent="0.2">
      <c r="A410" t="s">
        <v>4280</v>
      </c>
      <c r="B410" t="s">
        <v>4284</v>
      </c>
      <c r="C410" t="str">
        <f t="shared" si="6"/>
        <v>CesarBOSCONIA</v>
      </c>
      <c r="D410" t="s">
        <v>4281</v>
      </c>
      <c r="E410" t="s">
        <v>737</v>
      </c>
      <c r="F410" t="s">
        <v>5085</v>
      </c>
    </row>
    <row r="411" spans="1:6" x14ac:dyDescent="0.2">
      <c r="A411" t="s">
        <v>4280</v>
      </c>
      <c r="B411" t="s">
        <v>4285</v>
      </c>
      <c r="C411" t="str">
        <f t="shared" si="6"/>
        <v>CesarCHIMICHAGUA</v>
      </c>
      <c r="D411" t="s">
        <v>4281</v>
      </c>
      <c r="E411" t="s">
        <v>189</v>
      </c>
      <c r="F411" t="s">
        <v>5086</v>
      </c>
    </row>
    <row r="412" spans="1:6" x14ac:dyDescent="0.2">
      <c r="A412" t="s">
        <v>4280</v>
      </c>
      <c r="B412" t="s">
        <v>4286</v>
      </c>
      <c r="C412" t="str">
        <f t="shared" si="6"/>
        <v>CesarCHIRIGUANA</v>
      </c>
      <c r="D412" t="s">
        <v>4281</v>
      </c>
      <c r="E412" t="s">
        <v>1235</v>
      </c>
      <c r="F412" t="s">
        <v>5087</v>
      </c>
    </row>
    <row r="413" spans="1:6" x14ac:dyDescent="0.2">
      <c r="A413" t="s">
        <v>4280</v>
      </c>
      <c r="B413" t="s">
        <v>4287</v>
      </c>
      <c r="C413" t="str">
        <f t="shared" si="6"/>
        <v>CesarCURUMANI</v>
      </c>
      <c r="D413" t="s">
        <v>4281</v>
      </c>
      <c r="E413" t="s">
        <v>1790</v>
      </c>
      <c r="F413" t="s">
        <v>5088</v>
      </c>
    </row>
    <row r="414" spans="1:6" x14ac:dyDescent="0.2">
      <c r="A414" t="s">
        <v>4280</v>
      </c>
      <c r="B414" t="s">
        <v>4130</v>
      </c>
      <c r="C414" t="str">
        <f t="shared" si="6"/>
        <v>CesarEL COPEY</v>
      </c>
      <c r="D414" t="s">
        <v>4281</v>
      </c>
      <c r="E414" t="s">
        <v>3078</v>
      </c>
      <c r="F414" t="s">
        <v>5089</v>
      </c>
    </row>
    <row r="415" spans="1:6" x14ac:dyDescent="0.2">
      <c r="A415" t="s">
        <v>4280</v>
      </c>
      <c r="B415" t="s">
        <v>3934</v>
      </c>
      <c r="C415" t="str">
        <f t="shared" si="6"/>
        <v>CesarEL PASO</v>
      </c>
      <c r="D415" t="s">
        <v>4281</v>
      </c>
      <c r="E415" t="s">
        <v>193</v>
      </c>
      <c r="F415" t="s">
        <v>5090</v>
      </c>
    </row>
    <row r="416" spans="1:6" x14ac:dyDescent="0.2">
      <c r="A416" t="s">
        <v>4280</v>
      </c>
      <c r="B416" t="s">
        <v>4288</v>
      </c>
      <c r="C416" t="str">
        <f t="shared" si="6"/>
        <v>CesarGAMARRA</v>
      </c>
      <c r="D416" t="s">
        <v>4281</v>
      </c>
      <c r="E416" t="s">
        <v>1405</v>
      </c>
      <c r="F416" t="s">
        <v>5091</v>
      </c>
    </row>
    <row r="417" spans="1:6" x14ac:dyDescent="0.2">
      <c r="A417" t="s">
        <v>4280</v>
      </c>
      <c r="B417" t="s">
        <v>3943</v>
      </c>
      <c r="C417" t="str">
        <f t="shared" si="6"/>
        <v>CesarGONZALEZ</v>
      </c>
      <c r="D417" t="s">
        <v>4281</v>
      </c>
      <c r="E417" t="s">
        <v>176</v>
      </c>
      <c r="F417" t="s">
        <v>5092</v>
      </c>
    </row>
    <row r="418" spans="1:6" x14ac:dyDescent="0.2">
      <c r="A418" t="s">
        <v>4280</v>
      </c>
      <c r="B418" t="s">
        <v>4289</v>
      </c>
      <c r="C418" t="str">
        <f t="shared" si="6"/>
        <v>CesarLA GLORIA</v>
      </c>
      <c r="D418" t="s">
        <v>4281</v>
      </c>
      <c r="E418" t="s">
        <v>1388</v>
      </c>
      <c r="F418" t="s">
        <v>5093</v>
      </c>
    </row>
    <row r="419" spans="1:6" x14ac:dyDescent="0.2">
      <c r="A419" t="s">
        <v>4280</v>
      </c>
      <c r="B419" t="s">
        <v>3958</v>
      </c>
      <c r="C419" t="str">
        <f t="shared" si="6"/>
        <v>CesarLA JAGUA DE IBIRICO</v>
      </c>
      <c r="D419" t="s">
        <v>4281</v>
      </c>
      <c r="E419" t="s">
        <v>1024</v>
      </c>
      <c r="F419" t="s">
        <v>5094</v>
      </c>
    </row>
    <row r="420" spans="1:6" x14ac:dyDescent="0.2">
      <c r="A420" t="s">
        <v>4280</v>
      </c>
      <c r="B420" t="s">
        <v>4290</v>
      </c>
      <c r="C420" t="str">
        <f t="shared" si="6"/>
        <v>CesarMANAURE</v>
      </c>
      <c r="D420" t="s">
        <v>4281</v>
      </c>
      <c r="E420" t="s">
        <v>2424</v>
      </c>
      <c r="F420" t="s">
        <v>5095</v>
      </c>
    </row>
    <row r="421" spans="1:6" x14ac:dyDescent="0.2">
      <c r="A421" t="s">
        <v>4280</v>
      </c>
      <c r="B421" t="s">
        <v>4269</v>
      </c>
      <c r="C421" t="str">
        <f t="shared" si="6"/>
        <v>CesarPAILITAS</v>
      </c>
      <c r="D421" t="s">
        <v>4281</v>
      </c>
      <c r="E421" t="s">
        <v>2243</v>
      </c>
      <c r="F421" t="s">
        <v>5096</v>
      </c>
    </row>
    <row r="422" spans="1:6" x14ac:dyDescent="0.2">
      <c r="A422" t="s">
        <v>4280</v>
      </c>
      <c r="B422" t="s">
        <v>4170</v>
      </c>
      <c r="C422" t="str">
        <f t="shared" si="6"/>
        <v>CesarPELAYA</v>
      </c>
      <c r="D422" t="s">
        <v>4281</v>
      </c>
      <c r="E422" t="s">
        <v>192</v>
      </c>
      <c r="F422" t="s">
        <v>5097</v>
      </c>
    </row>
    <row r="423" spans="1:6" x14ac:dyDescent="0.2">
      <c r="A423" t="s">
        <v>4280</v>
      </c>
      <c r="B423" t="s">
        <v>4291</v>
      </c>
      <c r="C423" t="str">
        <f t="shared" si="6"/>
        <v>CesarPUEBLO BELLO</v>
      </c>
      <c r="D423" t="s">
        <v>4281</v>
      </c>
      <c r="E423" t="s">
        <v>190</v>
      </c>
      <c r="F423" t="s">
        <v>5098</v>
      </c>
    </row>
    <row r="424" spans="1:6" x14ac:dyDescent="0.2">
      <c r="A424" t="s">
        <v>4280</v>
      </c>
      <c r="B424" t="s">
        <v>4231</v>
      </c>
      <c r="C424" t="str">
        <f t="shared" si="6"/>
        <v>CesarRIO DE ORO</v>
      </c>
      <c r="D424" t="s">
        <v>4281</v>
      </c>
      <c r="E424" t="s">
        <v>191</v>
      </c>
      <c r="F424" t="s">
        <v>5099</v>
      </c>
    </row>
    <row r="425" spans="1:6" x14ac:dyDescent="0.2">
      <c r="A425" t="s">
        <v>4280</v>
      </c>
      <c r="B425" t="s">
        <v>4174</v>
      </c>
      <c r="C425" t="str">
        <f t="shared" si="6"/>
        <v>CesarLA PAZ</v>
      </c>
      <c r="D425" t="s">
        <v>4281</v>
      </c>
      <c r="E425" t="s">
        <v>1227</v>
      </c>
      <c r="F425" t="s">
        <v>5100</v>
      </c>
    </row>
    <row r="426" spans="1:6" x14ac:dyDescent="0.2">
      <c r="A426" t="s">
        <v>4280</v>
      </c>
      <c r="B426" t="s">
        <v>4292</v>
      </c>
      <c r="C426" t="str">
        <f t="shared" si="6"/>
        <v>CesarSAN ALBERTO</v>
      </c>
      <c r="D426" t="s">
        <v>4281</v>
      </c>
      <c r="E426" t="s">
        <v>370</v>
      </c>
      <c r="F426" t="s">
        <v>5101</v>
      </c>
    </row>
    <row r="427" spans="1:6" x14ac:dyDescent="0.2">
      <c r="A427" t="s">
        <v>4280</v>
      </c>
      <c r="B427" t="s">
        <v>4293</v>
      </c>
      <c r="C427" t="str">
        <f t="shared" si="6"/>
        <v>CesarSAN DIEGO</v>
      </c>
      <c r="D427" t="s">
        <v>4281</v>
      </c>
      <c r="E427" t="s">
        <v>905</v>
      </c>
      <c r="F427" t="s">
        <v>5102</v>
      </c>
    </row>
    <row r="428" spans="1:6" x14ac:dyDescent="0.2">
      <c r="A428" t="s">
        <v>4280</v>
      </c>
      <c r="B428" t="s">
        <v>4047</v>
      </c>
      <c r="C428" t="str">
        <f t="shared" si="6"/>
        <v>CesarSAN MARTIN</v>
      </c>
      <c r="D428" t="s">
        <v>4281</v>
      </c>
      <c r="E428" t="s">
        <v>2188</v>
      </c>
      <c r="F428" t="s">
        <v>5103</v>
      </c>
    </row>
    <row r="429" spans="1:6" x14ac:dyDescent="0.2">
      <c r="A429" t="s">
        <v>4280</v>
      </c>
      <c r="B429" t="s">
        <v>4294</v>
      </c>
      <c r="C429" t="str">
        <f t="shared" si="6"/>
        <v>CesarTAMALAMEQUE</v>
      </c>
      <c r="D429" t="s">
        <v>4281</v>
      </c>
      <c r="E429" t="s">
        <v>1212</v>
      </c>
      <c r="F429" t="s">
        <v>5104</v>
      </c>
    </row>
    <row r="430" spans="1:6" x14ac:dyDescent="0.2">
      <c r="A430" t="s">
        <v>4295</v>
      </c>
      <c r="B430" t="s">
        <v>3885</v>
      </c>
      <c r="C430" t="str">
        <f t="shared" si="6"/>
        <v>CordobaMONTERIA</v>
      </c>
      <c r="D430" t="s">
        <v>4296</v>
      </c>
      <c r="E430" t="s">
        <v>2134</v>
      </c>
      <c r="F430" t="s">
        <v>5105</v>
      </c>
    </row>
    <row r="431" spans="1:6" x14ac:dyDescent="0.2">
      <c r="A431" t="s">
        <v>4295</v>
      </c>
      <c r="B431" t="s">
        <v>4297</v>
      </c>
      <c r="C431" t="str">
        <f t="shared" si="6"/>
        <v>CordobaAYAPEL</v>
      </c>
      <c r="D431" t="s">
        <v>4296</v>
      </c>
      <c r="E431" t="s">
        <v>154</v>
      </c>
      <c r="F431" t="s">
        <v>5106</v>
      </c>
    </row>
    <row r="432" spans="1:6" x14ac:dyDescent="0.2">
      <c r="A432" t="s">
        <v>4295</v>
      </c>
      <c r="B432" t="s">
        <v>3903</v>
      </c>
      <c r="C432" t="str">
        <f t="shared" si="6"/>
        <v>CordobaBUENAVISTA</v>
      </c>
      <c r="D432" t="s">
        <v>4296</v>
      </c>
      <c r="E432" t="s">
        <v>2371</v>
      </c>
      <c r="F432" t="s">
        <v>5107</v>
      </c>
    </row>
    <row r="433" spans="1:6" x14ac:dyDescent="0.2">
      <c r="A433" t="s">
        <v>4295</v>
      </c>
      <c r="B433" t="s">
        <v>4098</v>
      </c>
      <c r="C433" t="str">
        <f t="shared" si="6"/>
        <v>CordobaCANALETE</v>
      </c>
      <c r="D433" t="s">
        <v>4296</v>
      </c>
      <c r="E433" t="s">
        <v>1800</v>
      </c>
      <c r="F433" t="s">
        <v>5108</v>
      </c>
    </row>
    <row r="434" spans="1:6" x14ac:dyDescent="0.2">
      <c r="A434" t="s">
        <v>4295</v>
      </c>
      <c r="B434" t="s">
        <v>4109</v>
      </c>
      <c r="C434" t="str">
        <f t="shared" si="6"/>
        <v>CordobaCERETE</v>
      </c>
      <c r="D434" t="s">
        <v>4296</v>
      </c>
      <c r="E434" t="s">
        <v>1046</v>
      </c>
      <c r="F434" t="s">
        <v>5109</v>
      </c>
    </row>
    <row r="435" spans="1:6" x14ac:dyDescent="0.2">
      <c r="A435" t="s">
        <v>4295</v>
      </c>
      <c r="B435" t="s">
        <v>4298</v>
      </c>
      <c r="C435" t="str">
        <f t="shared" si="6"/>
        <v>CordobaCHIMA</v>
      </c>
      <c r="D435" t="s">
        <v>4296</v>
      </c>
      <c r="E435" t="s">
        <v>1400</v>
      </c>
      <c r="F435" t="s">
        <v>5110</v>
      </c>
    </row>
    <row r="436" spans="1:6" x14ac:dyDescent="0.2">
      <c r="A436" t="s">
        <v>4295</v>
      </c>
      <c r="B436" t="s">
        <v>4299</v>
      </c>
      <c r="C436" t="str">
        <f t="shared" si="6"/>
        <v>CordobaCHINU</v>
      </c>
      <c r="D436" t="s">
        <v>4296</v>
      </c>
      <c r="E436" t="s">
        <v>3827</v>
      </c>
      <c r="F436" t="s">
        <v>5111</v>
      </c>
    </row>
    <row r="437" spans="1:6" x14ac:dyDescent="0.2">
      <c r="A437" t="s">
        <v>4295</v>
      </c>
      <c r="B437" t="s">
        <v>4117</v>
      </c>
      <c r="C437" t="str">
        <f t="shared" si="6"/>
        <v>CordobaCIENAGA DE ORO</v>
      </c>
      <c r="D437" t="s">
        <v>4296</v>
      </c>
      <c r="E437" t="s">
        <v>704</v>
      </c>
      <c r="F437" t="s">
        <v>5112</v>
      </c>
    </row>
    <row r="438" spans="1:6" x14ac:dyDescent="0.2">
      <c r="A438" t="s">
        <v>4295</v>
      </c>
      <c r="B438" t="s">
        <v>4065</v>
      </c>
      <c r="C438" t="str">
        <f t="shared" si="6"/>
        <v>CordobaCOTORRA</v>
      </c>
      <c r="D438" t="s">
        <v>4296</v>
      </c>
      <c r="E438" t="s">
        <v>157</v>
      </c>
      <c r="F438" t="s">
        <v>5113</v>
      </c>
    </row>
    <row r="439" spans="1:6" x14ac:dyDescent="0.2">
      <c r="A439" t="s">
        <v>4295</v>
      </c>
      <c r="B439" t="s">
        <v>4300</v>
      </c>
      <c r="C439" t="str">
        <f t="shared" si="6"/>
        <v>CordobaLA APARTADA</v>
      </c>
      <c r="D439" t="s">
        <v>4296</v>
      </c>
      <c r="E439" t="s">
        <v>272</v>
      </c>
      <c r="F439" t="s">
        <v>5114</v>
      </c>
    </row>
    <row r="440" spans="1:6" x14ac:dyDescent="0.2">
      <c r="A440" t="s">
        <v>4295</v>
      </c>
      <c r="B440" t="s">
        <v>4301</v>
      </c>
      <c r="C440" t="str">
        <f t="shared" si="6"/>
        <v>CordobaLORICA</v>
      </c>
      <c r="D440" t="s">
        <v>4296</v>
      </c>
      <c r="E440" t="s">
        <v>2690</v>
      </c>
      <c r="F440" t="s">
        <v>5115</v>
      </c>
    </row>
    <row r="441" spans="1:6" x14ac:dyDescent="0.2">
      <c r="A441" t="s">
        <v>4295</v>
      </c>
      <c r="B441" t="s">
        <v>4302</v>
      </c>
      <c r="C441" t="str">
        <f t="shared" si="6"/>
        <v>CordobaLOS CORDOBAS</v>
      </c>
      <c r="D441" t="s">
        <v>4296</v>
      </c>
      <c r="E441" t="s">
        <v>543</v>
      </c>
      <c r="F441" t="s">
        <v>5116</v>
      </c>
    </row>
    <row r="442" spans="1:6" x14ac:dyDescent="0.2">
      <c r="A442" t="s">
        <v>4295</v>
      </c>
      <c r="B442" t="s">
        <v>4151</v>
      </c>
      <c r="C442" t="str">
        <f t="shared" si="6"/>
        <v>CordobaMOMIL</v>
      </c>
      <c r="D442" t="s">
        <v>4296</v>
      </c>
      <c r="E442" t="s">
        <v>26</v>
      </c>
      <c r="F442" t="s">
        <v>5117</v>
      </c>
    </row>
    <row r="443" spans="1:6" x14ac:dyDescent="0.2">
      <c r="A443" t="s">
        <v>4295</v>
      </c>
      <c r="B443" t="s">
        <v>4152</v>
      </c>
      <c r="C443" t="str">
        <f t="shared" si="6"/>
        <v>CordobaMONTELIBANO</v>
      </c>
      <c r="D443" t="s">
        <v>4296</v>
      </c>
      <c r="E443" t="s">
        <v>274</v>
      </c>
      <c r="F443" t="s">
        <v>5118</v>
      </c>
    </row>
    <row r="444" spans="1:6" x14ac:dyDescent="0.2">
      <c r="A444" t="s">
        <v>4295</v>
      </c>
      <c r="B444" t="s">
        <v>4157</v>
      </c>
      <c r="C444" t="str">
        <f t="shared" si="6"/>
        <v>CordobaMOÑITOS</v>
      </c>
      <c r="D444" t="s">
        <v>4296</v>
      </c>
      <c r="E444" t="s">
        <v>1672</v>
      </c>
      <c r="F444" t="s">
        <v>5119</v>
      </c>
    </row>
    <row r="445" spans="1:6" x14ac:dyDescent="0.2">
      <c r="A445" t="s">
        <v>4295</v>
      </c>
      <c r="B445" t="s">
        <v>4303</v>
      </c>
      <c r="C445" t="str">
        <f t="shared" si="6"/>
        <v>CordobaPLANETA RICA</v>
      </c>
      <c r="D445" t="s">
        <v>4296</v>
      </c>
      <c r="E445" t="s">
        <v>3186</v>
      </c>
      <c r="F445" t="s">
        <v>5120</v>
      </c>
    </row>
    <row r="446" spans="1:6" x14ac:dyDescent="0.2">
      <c r="A446" t="s">
        <v>4295</v>
      </c>
      <c r="B446" t="s">
        <v>4291</v>
      </c>
      <c r="C446" t="str">
        <f t="shared" si="6"/>
        <v>CordobaPUEBLO NUEVO</v>
      </c>
      <c r="D446" t="s">
        <v>4296</v>
      </c>
      <c r="E446" t="s">
        <v>693</v>
      </c>
      <c r="F446" t="s">
        <v>5121</v>
      </c>
    </row>
    <row r="447" spans="1:6" x14ac:dyDescent="0.2">
      <c r="A447" t="s">
        <v>4295</v>
      </c>
      <c r="B447" t="s">
        <v>4304</v>
      </c>
      <c r="C447" t="str">
        <f t="shared" si="6"/>
        <v>CordobaPUERTO ESCONDIDO</v>
      </c>
      <c r="D447" t="s">
        <v>4296</v>
      </c>
      <c r="E447" t="s">
        <v>2825</v>
      </c>
      <c r="F447" t="s">
        <v>5122</v>
      </c>
    </row>
    <row r="448" spans="1:6" x14ac:dyDescent="0.2">
      <c r="A448" t="s">
        <v>4295</v>
      </c>
      <c r="B448" t="s">
        <v>4072</v>
      </c>
      <c r="C448" t="str">
        <f t="shared" si="6"/>
        <v>CordobaPUERTO LIBERTADOR</v>
      </c>
      <c r="D448" t="s">
        <v>4296</v>
      </c>
      <c r="E448" t="s">
        <v>830</v>
      </c>
      <c r="F448" t="s">
        <v>5123</v>
      </c>
    </row>
    <row r="449" spans="1:6" x14ac:dyDescent="0.2">
      <c r="A449" t="s">
        <v>4295</v>
      </c>
      <c r="B449" t="s">
        <v>4305</v>
      </c>
      <c r="C449" t="str">
        <f t="shared" si="6"/>
        <v>CordobaPURISIMA</v>
      </c>
      <c r="D449" t="s">
        <v>4296</v>
      </c>
      <c r="E449" t="s">
        <v>38</v>
      </c>
      <c r="F449" t="s">
        <v>5124</v>
      </c>
    </row>
    <row r="450" spans="1:6" x14ac:dyDescent="0.2">
      <c r="A450" t="s">
        <v>4295</v>
      </c>
      <c r="B450" t="s">
        <v>3991</v>
      </c>
      <c r="C450" t="str">
        <f t="shared" si="6"/>
        <v>CordobaSAHAGUN</v>
      </c>
      <c r="D450" t="s">
        <v>4296</v>
      </c>
      <c r="E450" t="s">
        <v>4306</v>
      </c>
      <c r="F450" t="s">
        <v>5125</v>
      </c>
    </row>
    <row r="451" spans="1:6" x14ac:dyDescent="0.2">
      <c r="A451" t="s">
        <v>4295</v>
      </c>
      <c r="B451" t="s">
        <v>3995</v>
      </c>
      <c r="C451" t="str">
        <f t="shared" ref="C451:C514" si="7">D451&amp;E451</f>
        <v>CordobaSAN ANDRES SOTAVENTO</v>
      </c>
      <c r="D451" t="s">
        <v>4296</v>
      </c>
      <c r="E451" t="s">
        <v>4307</v>
      </c>
      <c r="F451" t="s">
        <v>5126</v>
      </c>
    </row>
    <row r="452" spans="1:6" x14ac:dyDescent="0.2">
      <c r="A452" t="s">
        <v>4295</v>
      </c>
      <c r="B452" t="s">
        <v>4308</v>
      </c>
      <c r="C452" t="str">
        <f t="shared" si="7"/>
        <v>CordobaSAN ANTERO</v>
      </c>
      <c r="D452" t="s">
        <v>4296</v>
      </c>
      <c r="E452" t="s">
        <v>857</v>
      </c>
      <c r="F452" t="s">
        <v>5127</v>
      </c>
    </row>
    <row r="453" spans="1:6" x14ac:dyDescent="0.2">
      <c r="A453" t="s">
        <v>4295</v>
      </c>
      <c r="B453" t="s">
        <v>4044</v>
      </c>
      <c r="C453" t="str">
        <f t="shared" si="7"/>
        <v>CordobaSAN BERNARDO DEL VIENTO</v>
      </c>
      <c r="D453" t="s">
        <v>4296</v>
      </c>
      <c r="E453" t="s">
        <v>1337</v>
      </c>
      <c r="F453" t="s">
        <v>5128</v>
      </c>
    </row>
    <row r="454" spans="1:6" x14ac:dyDescent="0.2">
      <c r="A454" t="s">
        <v>4295</v>
      </c>
      <c r="B454" t="s">
        <v>4309</v>
      </c>
      <c r="C454" t="str">
        <f t="shared" si="7"/>
        <v>CordobaSAN CARLOS</v>
      </c>
      <c r="D454" t="s">
        <v>4296</v>
      </c>
      <c r="E454" t="s">
        <v>2135</v>
      </c>
      <c r="F454" t="s">
        <v>5129</v>
      </c>
    </row>
    <row r="455" spans="1:6" x14ac:dyDescent="0.2">
      <c r="A455" s="327" t="s">
        <v>4295</v>
      </c>
      <c r="B455" s="327" t="s">
        <v>4534</v>
      </c>
      <c r="C455" t="str">
        <f t="shared" si="7"/>
        <v>CordobaSAN JOSE DE URE</v>
      </c>
      <c r="D455" t="s">
        <v>4296</v>
      </c>
      <c r="E455" t="s">
        <v>1593</v>
      </c>
      <c r="F455" s="327" t="s">
        <v>5783</v>
      </c>
    </row>
    <row r="456" spans="1:6" x14ac:dyDescent="0.2">
      <c r="A456" t="s">
        <v>4295</v>
      </c>
      <c r="B456" t="s">
        <v>3998</v>
      </c>
      <c r="C456" t="str">
        <f t="shared" si="7"/>
        <v>CordobaSAN PELAYO</v>
      </c>
      <c r="D456" t="s">
        <v>4296</v>
      </c>
      <c r="E456" t="s">
        <v>1469</v>
      </c>
      <c r="F456" t="s">
        <v>5130</v>
      </c>
    </row>
    <row r="457" spans="1:6" x14ac:dyDescent="0.2">
      <c r="A457" t="s">
        <v>4295</v>
      </c>
      <c r="B457" t="s">
        <v>4276</v>
      </c>
      <c r="C457" t="str">
        <f t="shared" si="7"/>
        <v>CordobaTIERRALTA</v>
      </c>
      <c r="D457" t="s">
        <v>4296</v>
      </c>
      <c r="E457" t="s">
        <v>1045</v>
      </c>
      <c r="F457" t="s">
        <v>5131</v>
      </c>
    </row>
    <row r="458" spans="1:6" x14ac:dyDescent="0.2">
      <c r="A458" t="s">
        <v>4295</v>
      </c>
      <c r="B458" t="s">
        <v>4391</v>
      </c>
      <c r="C458" t="str">
        <f t="shared" si="7"/>
        <v>CordobaTUCHIN</v>
      </c>
      <c r="D458" t="s">
        <v>4296</v>
      </c>
      <c r="E458" t="s">
        <v>2132</v>
      </c>
      <c r="F458" t="s">
        <v>5782</v>
      </c>
    </row>
    <row r="459" spans="1:6" x14ac:dyDescent="0.2">
      <c r="A459" t="s">
        <v>4295</v>
      </c>
      <c r="B459" t="s">
        <v>4310</v>
      </c>
      <c r="C459" t="str">
        <f t="shared" si="7"/>
        <v>CordobaVALENCIA</v>
      </c>
      <c r="D459" t="s">
        <v>4296</v>
      </c>
      <c r="E459" t="s">
        <v>3825</v>
      </c>
      <c r="F459" t="s">
        <v>5132</v>
      </c>
    </row>
    <row r="460" spans="1:6" x14ac:dyDescent="0.2">
      <c r="A460" t="s">
        <v>4311</v>
      </c>
      <c r="B460" t="s">
        <v>3885</v>
      </c>
      <c r="C460" t="str">
        <f t="shared" si="7"/>
        <v>CUNDINAMARCAAGUA DE DIOS</v>
      </c>
      <c r="D460" t="s">
        <v>2007</v>
      </c>
      <c r="E460" t="s">
        <v>1573</v>
      </c>
      <c r="F460" t="s">
        <v>5133</v>
      </c>
    </row>
    <row r="461" spans="1:6" x14ac:dyDescent="0.2">
      <c r="A461" t="s">
        <v>4311</v>
      </c>
      <c r="B461" t="s">
        <v>4312</v>
      </c>
      <c r="C461" t="str">
        <f t="shared" si="7"/>
        <v>CUNDINAMARCAALBAN</v>
      </c>
      <c r="D461" t="s">
        <v>2007</v>
      </c>
      <c r="E461" t="s">
        <v>556</v>
      </c>
      <c r="F461" t="s">
        <v>5134</v>
      </c>
    </row>
    <row r="462" spans="1:6" x14ac:dyDescent="0.2">
      <c r="A462" t="s">
        <v>4311</v>
      </c>
      <c r="B462" t="s">
        <v>4313</v>
      </c>
      <c r="C462" t="str">
        <f t="shared" si="7"/>
        <v>CUNDINAMARCAANAPOIMA</v>
      </c>
      <c r="D462" t="s">
        <v>2007</v>
      </c>
      <c r="E462" t="s">
        <v>2375</v>
      </c>
      <c r="F462" t="s">
        <v>5135</v>
      </c>
    </row>
    <row r="463" spans="1:6" x14ac:dyDescent="0.2">
      <c r="A463" t="s">
        <v>4311</v>
      </c>
      <c r="B463" t="s">
        <v>3896</v>
      </c>
      <c r="C463" t="str">
        <f t="shared" si="7"/>
        <v>CUNDINAMARCAANOLAIMA</v>
      </c>
      <c r="D463" t="s">
        <v>2007</v>
      </c>
      <c r="E463" t="s">
        <v>11</v>
      </c>
      <c r="F463" t="s">
        <v>5136</v>
      </c>
    </row>
    <row r="464" spans="1:6" x14ac:dyDescent="0.2">
      <c r="A464" t="s">
        <v>4311</v>
      </c>
      <c r="B464" t="s">
        <v>4314</v>
      </c>
      <c r="C464" t="str">
        <f t="shared" si="7"/>
        <v>CUNDINAMARCAARBELAEZ</v>
      </c>
      <c r="D464" t="s">
        <v>2007</v>
      </c>
      <c r="E464" t="s">
        <v>4315</v>
      </c>
      <c r="F464" t="s">
        <v>5137</v>
      </c>
    </row>
    <row r="465" spans="1:6" x14ac:dyDescent="0.2">
      <c r="A465" t="s">
        <v>4311</v>
      </c>
      <c r="B465" t="s">
        <v>3904</v>
      </c>
      <c r="C465" t="str">
        <f t="shared" si="7"/>
        <v>CUNDINAMARCABELTRAN</v>
      </c>
      <c r="D465" t="s">
        <v>2007</v>
      </c>
      <c r="E465" t="s">
        <v>4316</v>
      </c>
      <c r="F465" t="s">
        <v>5138</v>
      </c>
    </row>
    <row r="466" spans="1:6" x14ac:dyDescent="0.2">
      <c r="A466" t="s">
        <v>4311</v>
      </c>
      <c r="B466" t="s">
        <v>4317</v>
      </c>
      <c r="C466" t="str">
        <f t="shared" si="7"/>
        <v>CUNDINAMARCABITUIMA</v>
      </c>
      <c r="D466" t="s">
        <v>2007</v>
      </c>
      <c r="E466" t="s">
        <v>2376</v>
      </c>
      <c r="F466" t="s">
        <v>5139</v>
      </c>
    </row>
    <row r="467" spans="1:6" x14ac:dyDescent="0.2">
      <c r="A467" t="s">
        <v>4311</v>
      </c>
      <c r="B467" t="s">
        <v>4318</v>
      </c>
      <c r="C467" t="str">
        <f t="shared" si="7"/>
        <v>CUNDINAMARCABOJACA</v>
      </c>
      <c r="D467" t="s">
        <v>2007</v>
      </c>
      <c r="E467" t="s">
        <v>4319</v>
      </c>
      <c r="F467" t="s">
        <v>5140</v>
      </c>
    </row>
    <row r="468" spans="1:6" x14ac:dyDescent="0.2">
      <c r="A468" t="s">
        <v>4311</v>
      </c>
      <c r="B468" t="s">
        <v>3912</v>
      </c>
      <c r="C468" t="str">
        <f t="shared" si="7"/>
        <v>CUNDINAMARCACABRERA</v>
      </c>
      <c r="D468" t="s">
        <v>2007</v>
      </c>
      <c r="E468" t="s">
        <v>1383</v>
      </c>
      <c r="F468" t="s">
        <v>5141</v>
      </c>
    </row>
    <row r="469" spans="1:6" x14ac:dyDescent="0.2">
      <c r="A469" t="s">
        <v>4311</v>
      </c>
      <c r="B469" t="s">
        <v>4320</v>
      </c>
      <c r="C469" t="str">
        <f t="shared" si="7"/>
        <v>CUNDINAMARCACACHIPAY</v>
      </c>
      <c r="D469" t="s">
        <v>2007</v>
      </c>
      <c r="E469" t="s">
        <v>4321</v>
      </c>
      <c r="F469" t="s">
        <v>5142</v>
      </c>
    </row>
    <row r="470" spans="1:6" x14ac:dyDescent="0.2">
      <c r="A470" t="s">
        <v>4311</v>
      </c>
      <c r="B470" t="s">
        <v>4322</v>
      </c>
      <c r="C470" t="str">
        <f t="shared" si="7"/>
        <v>CUNDINAMARCACAJICA</v>
      </c>
      <c r="D470" t="s">
        <v>2007</v>
      </c>
      <c r="E470" t="s">
        <v>1778</v>
      </c>
      <c r="F470" t="s">
        <v>5143</v>
      </c>
    </row>
    <row r="471" spans="1:6" x14ac:dyDescent="0.2">
      <c r="A471" t="s">
        <v>4311</v>
      </c>
      <c r="B471" t="s">
        <v>3920</v>
      </c>
      <c r="C471" t="str">
        <f t="shared" si="7"/>
        <v>CUNDINAMARCACAPARRAPI</v>
      </c>
      <c r="D471" t="s">
        <v>2007</v>
      </c>
      <c r="E471" t="s">
        <v>262</v>
      </c>
      <c r="F471" t="s">
        <v>5144</v>
      </c>
    </row>
    <row r="472" spans="1:6" x14ac:dyDescent="0.2">
      <c r="A472" t="s">
        <v>4311</v>
      </c>
      <c r="B472" t="s">
        <v>4323</v>
      </c>
      <c r="C472" t="str">
        <f t="shared" si="7"/>
        <v>CUNDINAMARCACAQUEZA</v>
      </c>
      <c r="D472" t="s">
        <v>2007</v>
      </c>
      <c r="E472" t="s">
        <v>2910</v>
      </c>
      <c r="F472" t="s">
        <v>5145</v>
      </c>
    </row>
    <row r="473" spans="1:6" x14ac:dyDescent="0.2">
      <c r="A473" t="s">
        <v>4311</v>
      </c>
      <c r="B473" t="s">
        <v>3924</v>
      </c>
      <c r="C473" t="str">
        <f t="shared" si="7"/>
        <v>CUNDINAMARCACARMEN DE CARUPA</v>
      </c>
      <c r="D473" t="s">
        <v>2007</v>
      </c>
      <c r="E473" t="s">
        <v>2129</v>
      </c>
      <c r="F473" t="s">
        <v>5146</v>
      </c>
    </row>
    <row r="474" spans="1:6" x14ac:dyDescent="0.2">
      <c r="A474" t="s">
        <v>4311</v>
      </c>
      <c r="B474" t="s">
        <v>4298</v>
      </c>
      <c r="C474" t="str">
        <f t="shared" si="7"/>
        <v>CUNDINAMARCACHAGUANI</v>
      </c>
      <c r="D474" t="s">
        <v>2007</v>
      </c>
      <c r="E474" t="s">
        <v>1574</v>
      </c>
      <c r="F474" t="s">
        <v>5147</v>
      </c>
    </row>
    <row r="475" spans="1:6" x14ac:dyDescent="0.2">
      <c r="A475" t="s">
        <v>4311</v>
      </c>
      <c r="B475" t="s">
        <v>4285</v>
      </c>
      <c r="C475" t="str">
        <f t="shared" si="7"/>
        <v>CUNDINAMARCACHIA</v>
      </c>
      <c r="D475" t="s">
        <v>2007</v>
      </c>
      <c r="E475" t="s">
        <v>1252</v>
      </c>
      <c r="F475" t="s">
        <v>5148</v>
      </c>
    </row>
    <row r="476" spans="1:6" x14ac:dyDescent="0.2">
      <c r="A476" t="s">
        <v>4311</v>
      </c>
      <c r="B476" t="s">
        <v>4286</v>
      </c>
      <c r="C476" t="str">
        <f t="shared" si="7"/>
        <v>CUNDINAMARCACHIPAQUE</v>
      </c>
      <c r="D476" t="s">
        <v>2007</v>
      </c>
      <c r="E476" t="s">
        <v>4324</v>
      </c>
      <c r="F476" t="s">
        <v>5149</v>
      </c>
    </row>
    <row r="477" spans="1:6" x14ac:dyDescent="0.2">
      <c r="A477" t="s">
        <v>4311</v>
      </c>
      <c r="B477" t="s">
        <v>4325</v>
      </c>
      <c r="C477" t="str">
        <f t="shared" si="7"/>
        <v>CUNDINAMARCACHOACHI</v>
      </c>
      <c r="D477" t="s">
        <v>2007</v>
      </c>
      <c r="E477" t="s">
        <v>1089</v>
      </c>
      <c r="F477" t="s">
        <v>5150</v>
      </c>
    </row>
    <row r="478" spans="1:6" x14ac:dyDescent="0.2">
      <c r="A478" t="s">
        <v>4311</v>
      </c>
      <c r="B478" t="s">
        <v>4113</v>
      </c>
      <c r="C478" t="str">
        <f t="shared" si="7"/>
        <v>CUNDINAMARCACHOCONTA</v>
      </c>
      <c r="D478" t="s">
        <v>2007</v>
      </c>
      <c r="E478" t="s">
        <v>4326</v>
      </c>
      <c r="F478" t="s">
        <v>5151</v>
      </c>
    </row>
    <row r="479" spans="1:6" x14ac:dyDescent="0.2">
      <c r="A479" t="s">
        <v>4311</v>
      </c>
      <c r="B479" t="s">
        <v>4327</v>
      </c>
      <c r="C479" t="str">
        <f t="shared" si="7"/>
        <v>CUNDINAMARCACOGUA</v>
      </c>
      <c r="D479" t="s">
        <v>2007</v>
      </c>
      <c r="E479" t="s">
        <v>2377</v>
      </c>
      <c r="F479" t="s">
        <v>5152</v>
      </c>
    </row>
    <row r="480" spans="1:6" x14ac:dyDescent="0.2">
      <c r="A480" t="s">
        <v>4311</v>
      </c>
      <c r="B480" t="s">
        <v>4328</v>
      </c>
      <c r="C480" t="str">
        <f t="shared" si="7"/>
        <v>CUNDINAMARCACOTA</v>
      </c>
      <c r="D480" t="s">
        <v>2007</v>
      </c>
      <c r="E480" t="s">
        <v>2378</v>
      </c>
      <c r="F480" t="s">
        <v>5153</v>
      </c>
    </row>
    <row r="481" spans="1:6" x14ac:dyDescent="0.2">
      <c r="A481" t="s">
        <v>4311</v>
      </c>
      <c r="B481" t="s">
        <v>4124</v>
      </c>
      <c r="C481" t="str">
        <f t="shared" si="7"/>
        <v>CUNDINAMARCACUCUNUBA</v>
      </c>
      <c r="D481" t="s">
        <v>2007</v>
      </c>
      <c r="E481" t="s">
        <v>402</v>
      </c>
      <c r="F481" t="s">
        <v>5154</v>
      </c>
    </row>
    <row r="482" spans="1:6" x14ac:dyDescent="0.2">
      <c r="A482" t="s">
        <v>4311</v>
      </c>
      <c r="B482" t="s">
        <v>4329</v>
      </c>
      <c r="C482" t="str">
        <f t="shared" si="7"/>
        <v>CUNDINAMARCAEL COLEGIO</v>
      </c>
      <c r="D482" t="s">
        <v>2007</v>
      </c>
      <c r="E482" t="s">
        <v>2379</v>
      </c>
      <c r="F482" t="s">
        <v>5155</v>
      </c>
    </row>
    <row r="483" spans="1:6" x14ac:dyDescent="0.2">
      <c r="A483" t="s">
        <v>4311</v>
      </c>
      <c r="B483" t="s">
        <v>4330</v>
      </c>
      <c r="C483" t="str">
        <f t="shared" si="7"/>
        <v>CUNDINAMARCAEL PEÑON</v>
      </c>
      <c r="D483" t="s">
        <v>2007</v>
      </c>
      <c r="E483" t="s">
        <v>1841</v>
      </c>
      <c r="F483" t="s">
        <v>5156</v>
      </c>
    </row>
    <row r="484" spans="1:6" x14ac:dyDescent="0.2">
      <c r="A484" t="s">
        <v>4311</v>
      </c>
      <c r="B484" t="s">
        <v>4331</v>
      </c>
      <c r="C484" t="str">
        <f t="shared" si="7"/>
        <v>CUNDINAMARCAEL ROSAL</v>
      </c>
      <c r="D484" t="s">
        <v>2007</v>
      </c>
      <c r="E484" t="s">
        <v>4332</v>
      </c>
      <c r="F484" t="s">
        <v>5157</v>
      </c>
    </row>
    <row r="485" spans="1:6" x14ac:dyDescent="0.2">
      <c r="A485" t="s">
        <v>4311</v>
      </c>
      <c r="B485" t="s">
        <v>4333</v>
      </c>
      <c r="C485" t="str">
        <f t="shared" si="7"/>
        <v>CUNDINAMARCAFACATATIVA</v>
      </c>
      <c r="D485" t="s">
        <v>2007</v>
      </c>
      <c r="E485" t="s">
        <v>3070</v>
      </c>
      <c r="F485" t="s">
        <v>5158</v>
      </c>
    </row>
    <row r="486" spans="1:6" x14ac:dyDescent="0.2">
      <c r="A486" t="s">
        <v>4311</v>
      </c>
      <c r="B486" t="s">
        <v>4334</v>
      </c>
      <c r="C486" t="str">
        <f t="shared" si="7"/>
        <v>CUNDINAMARCAFOMEQUE</v>
      </c>
      <c r="D486" t="s">
        <v>2007</v>
      </c>
      <c r="E486" t="s">
        <v>4335</v>
      </c>
      <c r="F486" t="s">
        <v>5159</v>
      </c>
    </row>
    <row r="487" spans="1:6" x14ac:dyDescent="0.2">
      <c r="A487" t="s">
        <v>4311</v>
      </c>
      <c r="B487" t="s">
        <v>4336</v>
      </c>
      <c r="C487" t="str">
        <f t="shared" si="7"/>
        <v>CUNDINAMARCAFOSCA</v>
      </c>
      <c r="D487" t="s">
        <v>2007</v>
      </c>
      <c r="E487" t="s">
        <v>2890</v>
      </c>
      <c r="F487" t="s">
        <v>5160</v>
      </c>
    </row>
    <row r="488" spans="1:6" x14ac:dyDescent="0.2">
      <c r="A488" t="s">
        <v>4311</v>
      </c>
      <c r="B488" t="s">
        <v>4337</v>
      </c>
      <c r="C488" t="str">
        <f t="shared" si="7"/>
        <v>CUNDINAMARCAFUNZA</v>
      </c>
      <c r="D488" t="s">
        <v>2007</v>
      </c>
      <c r="E488" t="s">
        <v>4338</v>
      </c>
      <c r="F488" t="s">
        <v>5161</v>
      </c>
    </row>
    <row r="489" spans="1:6" x14ac:dyDescent="0.2">
      <c r="A489" t="s">
        <v>4311</v>
      </c>
      <c r="B489" t="s">
        <v>4339</v>
      </c>
      <c r="C489" t="str">
        <f t="shared" si="7"/>
        <v>CUNDINAMARCAFUQUENE</v>
      </c>
      <c r="D489" t="s">
        <v>2007</v>
      </c>
      <c r="E489" t="s">
        <v>2380</v>
      </c>
      <c r="F489" t="s">
        <v>5162</v>
      </c>
    </row>
    <row r="490" spans="1:6" x14ac:dyDescent="0.2">
      <c r="A490" t="s">
        <v>4311</v>
      </c>
      <c r="B490" t="s">
        <v>4262</v>
      </c>
      <c r="C490" t="str">
        <f t="shared" si="7"/>
        <v>CUNDINAMARCAFUSAGASUGA</v>
      </c>
      <c r="D490" t="s">
        <v>2007</v>
      </c>
      <c r="E490" t="s">
        <v>626</v>
      </c>
      <c r="F490" t="s">
        <v>5163</v>
      </c>
    </row>
    <row r="491" spans="1:6" x14ac:dyDescent="0.2">
      <c r="A491" t="s">
        <v>4311</v>
      </c>
      <c r="B491" t="s">
        <v>4133</v>
      </c>
      <c r="C491" t="str">
        <f t="shared" si="7"/>
        <v>CUNDINAMARCAGACHALA</v>
      </c>
      <c r="D491" t="s">
        <v>2007</v>
      </c>
      <c r="E491" t="s">
        <v>2382</v>
      </c>
      <c r="F491" t="s">
        <v>5164</v>
      </c>
    </row>
    <row r="492" spans="1:6" x14ac:dyDescent="0.2">
      <c r="A492" t="s">
        <v>4311</v>
      </c>
      <c r="B492" t="s">
        <v>4288</v>
      </c>
      <c r="C492" t="str">
        <f t="shared" si="7"/>
        <v>CUNDINAMARCAGACHANCIPA</v>
      </c>
      <c r="D492" t="s">
        <v>2007</v>
      </c>
      <c r="E492" t="s">
        <v>4340</v>
      </c>
      <c r="F492" t="s">
        <v>5165</v>
      </c>
    </row>
    <row r="493" spans="1:6" x14ac:dyDescent="0.2">
      <c r="A493" t="s">
        <v>4311</v>
      </c>
      <c r="B493" t="s">
        <v>4341</v>
      </c>
      <c r="C493" t="str">
        <f t="shared" si="7"/>
        <v>CUNDINAMARCAGACHETA</v>
      </c>
      <c r="D493" t="s">
        <v>2007</v>
      </c>
      <c r="E493" t="s">
        <v>2712</v>
      </c>
      <c r="F493" t="s">
        <v>5166</v>
      </c>
    </row>
    <row r="494" spans="1:6" x14ac:dyDescent="0.2">
      <c r="A494" t="s">
        <v>4311</v>
      </c>
      <c r="B494" t="s">
        <v>4134</v>
      </c>
      <c r="C494" t="str">
        <f t="shared" si="7"/>
        <v>CUNDINAMARCAGAMA</v>
      </c>
      <c r="D494" t="s">
        <v>2007</v>
      </c>
      <c r="E494" t="s">
        <v>4342</v>
      </c>
      <c r="F494" t="s">
        <v>5167</v>
      </c>
    </row>
    <row r="495" spans="1:6" x14ac:dyDescent="0.2">
      <c r="A495" t="s">
        <v>4311</v>
      </c>
      <c r="B495" t="s">
        <v>4343</v>
      </c>
      <c r="C495" t="str">
        <f t="shared" si="7"/>
        <v>CUNDINAMARCAGIRARDOT</v>
      </c>
      <c r="D495" t="s">
        <v>2007</v>
      </c>
      <c r="E495" t="s">
        <v>2246</v>
      </c>
      <c r="F495" t="s">
        <v>5168</v>
      </c>
    </row>
    <row r="496" spans="1:6" x14ac:dyDescent="0.2">
      <c r="A496" t="s">
        <v>4311</v>
      </c>
      <c r="B496" t="s">
        <v>4344</v>
      </c>
      <c r="C496" t="str">
        <f t="shared" si="7"/>
        <v>CUNDINAMARCAGRANADA</v>
      </c>
      <c r="D496" t="s">
        <v>2007</v>
      </c>
      <c r="E496" t="s">
        <v>2381</v>
      </c>
      <c r="F496" t="s">
        <v>5169</v>
      </c>
    </row>
    <row r="497" spans="1:6" x14ac:dyDescent="0.2">
      <c r="A497" t="s">
        <v>4311</v>
      </c>
      <c r="B497" t="s">
        <v>4135</v>
      </c>
      <c r="C497" t="str">
        <f t="shared" si="7"/>
        <v>CUNDINAMARCAGUACHETA</v>
      </c>
      <c r="D497" t="s">
        <v>2007</v>
      </c>
      <c r="E497" t="s">
        <v>2383</v>
      </c>
      <c r="F497" t="s">
        <v>5170</v>
      </c>
    </row>
    <row r="498" spans="1:6" x14ac:dyDescent="0.2">
      <c r="A498" t="s">
        <v>4311</v>
      </c>
      <c r="B498" t="s">
        <v>4345</v>
      </c>
      <c r="C498" t="str">
        <f t="shared" si="7"/>
        <v>CUNDINAMARCAGUADUAS</v>
      </c>
      <c r="D498" t="s">
        <v>2007</v>
      </c>
      <c r="E498" t="s">
        <v>1100</v>
      </c>
      <c r="F498" t="s">
        <v>5171</v>
      </c>
    </row>
    <row r="499" spans="1:6" x14ac:dyDescent="0.2">
      <c r="A499" t="s">
        <v>4311</v>
      </c>
      <c r="B499" t="s">
        <v>4136</v>
      </c>
      <c r="C499" t="str">
        <f t="shared" si="7"/>
        <v>CUNDINAMARCAGUASCA</v>
      </c>
      <c r="D499" t="s">
        <v>2007</v>
      </c>
      <c r="E499" t="s">
        <v>2384</v>
      </c>
      <c r="F499" t="s">
        <v>5172</v>
      </c>
    </row>
    <row r="500" spans="1:6" x14ac:dyDescent="0.2">
      <c r="A500" t="s">
        <v>4311</v>
      </c>
      <c r="B500" t="s">
        <v>4346</v>
      </c>
      <c r="C500" t="str">
        <f t="shared" si="7"/>
        <v>CUNDINAMARCAGUATAQUI</v>
      </c>
      <c r="D500" t="s">
        <v>2007</v>
      </c>
      <c r="E500" t="s">
        <v>300</v>
      </c>
      <c r="F500" t="s">
        <v>5173</v>
      </c>
    </row>
    <row r="501" spans="1:6" x14ac:dyDescent="0.2">
      <c r="A501" t="s">
        <v>4311</v>
      </c>
      <c r="B501" t="s">
        <v>4347</v>
      </c>
      <c r="C501" t="str">
        <f t="shared" si="7"/>
        <v>CUNDINAMARCAGUATAVITA</v>
      </c>
      <c r="D501" t="s">
        <v>2007</v>
      </c>
      <c r="E501" t="s">
        <v>2385</v>
      </c>
      <c r="F501" t="s">
        <v>5174</v>
      </c>
    </row>
    <row r="502" spans="1:6" x14ac:dyDescent="0.2">
      <c r="A502" t="s">
        <v>4311</v>
      </c>
      <c r="B502" t="s">
        <v>4348</v>
      </c>
      <c r="C502" t="str">
        <f t="shared" si="7"/>
        <v>CUNDINAMARCAGUAYABAL DE SIQUIMA</v>
      </c>
      <c r="D502" t="s">
        <v>2007</v>
      </c>
      <c r="E502" s="190" t="s">
        <v>6306</v>
      </c>
      <c r="F502" t="s">
        <v>5175</v>
      </c>
    </row>
    <row r="503" spans="1:6" x14ac:dyDescent="0.2">
      <c r="A503" t="s">
        <v>4311</v>
      </c>
      <c r="B503" t="s">
        <v>4349</v>
      </c>
      <c r="C503" t="str">
        <f t="shared" si="7"/>
        <v>CUNDINAMARCAGUAYABETAL</v>
      </c>
      <c r="D503" t="s">
        <v>2007</v>
      </c>
      <c r="E503" t="s">
        <v>2694</v>
      </c>
      <c r="F503" t="s">
        <v>5176</v>
      </c>
    </row>
    <row r="504" spans="1:6" x14ac:dyDescent="0.2">
      <c r="A504" t="s">
        <v>4311</v>
      </c>
      <c r="B504" t="s">
        <v>4350</v>
      </c>
      <c r="C504" t="str">
        <f t="shared" si="7"/>
        <v>CUNDINAMARCAGUTIERREZ</v>
      </c>
      <c r="D504" t="s">
        <v>2007</v>
      </c>
      <c r="E504" t="s">
        <v>1560</v>
      </c>
      <c r="F504" t="s">
        <v>5177</v>
      </c>
    </row>
    <row r="505" spans="1:6" x14ac:dyDescent="0.2">
      <c r="A505" t="s">
        <v>4311</v>
      </c>
      <c r="B505" t="s">
        <v>3954</v>
      </c>
      <c r="C505" t="str">
        <f t="shared" si="7"/>
        <v>CUNDINAMARCAJERUSALEN</v>
      </c>
      <c r="D505" t="s">
        <v>2007</v>
      </c>
      <c r="E505" t="s">
        <v>4351</v>
      </c>
      <c r="F505" t="s">
        <v>5178</v>
      </c>
    </row>
    <row r="506" spans="1:6" x14ac:dyDescent="0.2">
      <c r="A506" t="s">
        <v>4311</v>
      </c>
      <c r="B506" t="s">
        <v>4031</v>
      </c>
      <c r="C506" t="str">
        <f t="shared" si="7"/>
        <v>CUNDINAMARCAJUNIN</v>
      </c>
      <c r="D506" t="s">
        <v>2007</v>
      </c>
      <c r="E506" t="s">
        <v>4352</v>
      </c>
      <c r="F506" t="s">
        <v>5179</v>
      </c>
    </row>
    <row r="507" spans="1:6" x14ac:dyDescent="0.2">
      <c r="A507" t="s">
        <v>4311</v>
      </c>
      <c r="B507" t="s">
        <v>4144</v>
      </c>
      <c r="C507" t="str">
        <f t="shared" si="7"/>
        <v>CUNDINAMARCALA CALERA</v>
      </c>
      <c r="D507" t="s">
        <v>2007</v>
      </c>
      <c r="E507" t="s">
        <v>220</v>
      </c>
      <c r="F507" t="s">
        <v>5180</v>
      </c>
    </row>
    <row r="508" spans="1:6" x14ac:dyDescent="0.2">
      <c r="A508" t="s">
        <v>4311</v>
      </c>
      <c r="B508" t="s">
        <v>4353</v>
      </c>
      <c r="C508" t="str">
        <f t="shared" si="7"/>
        <v>CUNDINAMARCALA MESA</v>
      </c>
      <c r="D508" t="s">
        <v>2007</v>
      </c>
      <c r="E508" t="s">
        <v>2386</v>
      </c>
      <c r="F508" t="s">
        <v>5181</v>
      </c>
    </row>
    <row r="509" spans="1:6" x14ac:dyDescent="0.2">
      <c r="A509" t="s">
        <v>4311</v>
      </c>
      <c r="B509" t="s">
        <v>4354</v>
      </c>
      <c r="C509" t="str">
        <f t="shared" si="7"/>
        <v>CUNDINAMARCALA PALMA</v>
      </c>
      <c r="D509" t="s">
        <v>2007</v>
      </c>
      <c r="E509" t="s">
        <v>2387</v>
      </c>
      <c r="F509" t="s">
        <v>5182</v>
      </c>
    </row>
    <row r="510" spans="1:6" x14ac:dyDescent="0.2">
      <c r="A510" t="s">
        <v>4311</v>
      </c>
      <c r="B510" t="s">
        <v>4355</v>
      </c>
      <c r="C510" t="str">
        <f t="shared" si="7"/>
        <v>CUNDINAMARCALA PEÑA</v>
      </c>
      <c r="D510" t="s">
        <v>2007</v>
      </c>
      <c r="E510" t="s">
        <v>2388</v>
      </c>
      <c r="F510" t="s">
        <v>5183</v>
      </c>
    </row>
    <row r="511" spans="1:6" x14ac:dyDescent="0.2">
      <c r="A511" t="s">
        <v>4311</v>
      </c>
      <c r="B511" t="s">
        <v>4356</v>
      </c>
      <c r="C511" t="str">
        <f t="shared" si="7"/>
        <v>CUNDINAMARCALA VEGA</v>
      </c>
      <c r="D511" t="s">
        <v>2007</v>
      </c>
      <c r="E511" t="s">
        <v>3143</v>
      </c>
      <c r="F511" t="s">
        <v>5184</v>
      </c>
    </row>
    <row r="512" spans="1:6" x14ac:dyDescent="0.2">
      <c r="A512" t="s">
        <v>4311</v>
      </c>
      <c r="B512" t="s">
        <v>4148</v>
      </c>
      <c r="C512" t="str">
        <f t="shared" si="7"/>
        <v>CUNDINAMARCALENGUAZAQUE</v>
      </c>
      <c r="D512" t="s">
        <v>2007</v>
      </c>
      <c r="E512" t="s">
        <v>2389</v>
      </c>
      <c r="F512" t="s">
        <v>5185</v>
      </c>
    </row>
    <row r="513" spans="1:6" x14ac:dyDescent="0.2">
      <c r="A513" t="s">
        <v>4311</v>
      </c>
      <c r="B513" t="s">
        <v>4357</v>
      </c>
      <c r="C513" t="str">
        <f t="shared" si="7"/>
        <v>CUNDINAMARCAMACHETA</v>
      </c>
      <c r="D513" t="s">
        <v>2007</v>
      </c>
      <c r="E513" t="s">
        <v>4358</v>
      </c>
      <c r="F513" t="s">
        <v>5186</v>
      </c>
    </row>
    <row r="514" spans="1:6" x14ac:dyDescent="0.2">
      <c r="A514" t="s">
        <v>4311</v>
      </c>
      <c r="B514" t="s">
        <v>4066</v>
      </c>
      <c r="C514" t="str">
        <f t="shared" si="7"/>
        <v>CUNDINAMARCAMADRID</v>
      </c>
      <c r="D514" t="s">
        <v>2007</v>
      </c>
      <c r="E514" t="s">
        <v>4359</v>
      </c>
      <c r="F514" t="s">
        <v>5187</v>
      </c>
    </row>
    <row r="515" spans="1:6" x14ac:dyDescent="0.2">
      <c r="A515" t="s">
        <v>4311</v>
      </c>
      <c r="B515" t="s">
        <v>4034</v>
      </c>
      <c r="C515" t="str">
        <f t="shared" ref="C515:C578" si="8">D515&amp;E515</f>
        <v>CUNDINAMARCAMANTA</v>
      </c>
      <c r="D515" t="s">
        <v>2007</v>
      </c>
      <c r="E515" t="s">
        <v>4360</v>
      </c>
      <c r="F515" t="s">
        <v>5188</v>
      </c>
    </row>
    <row r="516" spans="1:6" x14ac:dyDescent="0.2">
      <c r="A516" t="s">
        <v>4311</v>
      </c>
      <c r="B516" t="s">
        <v>4361</v>
      </c>
      <c r="C516" t="str">
        <f t="shared" si="8"/>
        <v>CUNDINAMARCAMEDINA</v>
      </c>
      <c r="D516" t="s">
        <v>2007</v>
      </c>
      <c r="E516" t="s">
        <v>625</v>
      </c>
      <c r="F516" t="s">
        <v>5189</v>
      </c>
    </row>
    <row r="517" spans="1:6" x14ac:dyDescent="0.2">
      <c r="A517" t="s">
        <v>4311</v>
      </c>
      <c r="B517" t="s">
        <v>4071</v>
      </c>
      <c r="C517" t="str">
        <f t="shared" si="8"/>
        <v>CUNDINAMARCAMOSQUERA</v>
      </c>
      <c r="D517" t="s">
        <v>2007</v>
      </c>
      <c r="E517" t="s">
        <v>1586</v>
      </c>
      <c r="F517" t="s">
        <v>5190</v>
      </c>
    </row>
    <row r="518" spans="1:6" x14ac:dyDescent="0.2">
      <c r="A518" t="s">
        <v>4311</v>
      </c>
      <c r="B518" t="s">
        <v>3965</v>
      </c>
      <c r="C518" t="str">
        <f t="shared" si="8"/>
        <v>CUNDINAMARCANARIÑO</v>
      </c>
      <c r="D518" t="s">
        <v>2007</v>
      </c>
      <c r="E518" t="s">
        <v>2245</v>
      </c>
      <c r="F518" t="s">
        <v>5191</v>
      </c>
    </row>
    <row r="519" spans="1:6" x14ac:dyDescent="0.2">
      <c r="A519" t="s">
        <v>4311</v>
      </c>
      <c r="B519" t="s">
        <v>4228</v>
      </c>
      <c r="C519" t="str">
        <f t="shared" si="8"/>
        <v>CUNDINAMARCANEMOCON</v>
      </c>
      <c r="D519" t="s">
        <v>2007</v>
      </c>
      <c r="E519" t="s">
        <v>4362</v>
      </c>
      <c r="F519" t="s">
        <v>5192</v>
      </c>
    </row>
    <row r="520" spans="1:6" x14ac:dyDescent="0.2">
      <c r="A520" t="s">
        <v>4311</v>
      </c>
      <c r="B520" t="s">
        <v>4363</v>
      </c>
      <c r="C520" t="str">
        <f t="shared" si="8"/>
        <v>CUNDINAMARCANILO</v>
      </c>
      <c r="D520" t="s">
        <v>2007</v>
      </c>
      <c r="E520" t="s">
        <v>4364</v>
      </c>
      <c r="F520" t="s">
        <v>5193</v>
      </c>
    </row>
    <row r="521" spans="1:6" x14ac:dyDescent="0.2">
      <c r="A521" t="s">
        <v>4311</v>
      </c>
      <c r="B521" t="s">
        <v>4365</v>
      </c>
      <c r="C521" t="str">
        <f t="shared" si="8"/>
        <v>CUNDINAMARCANIMAIMA</v>
      </c>
      <c r="D521" t="s">
        <v>2007</v>
      </c>
      <c r="E521" t="s">
        <v>2219</v>
      </c>
      <c r="F521" t="s">
        <v>5194</v>
      </c>
    </row>
    <row r="522" spans="1:6" x14ac:dyDescent="0.2">
      <c r="A522" t="s">
        <v>4311</v>
      </c>
      <c r="B522" t="s">
        <v>4155</v>
      </c>
      <c r="C522" t="str">
        <f t="shared" si="8"/>
        <v>CUNDINAMARCANOCAIMA</v>
      </c>
      <c r="D522" t="s">
        <v>2007</v>
      </c>
      <c r="E522" t="s">
        <v>13</v>
      </c>
      <c r="F522" t="s">
        <v>5195</v>
      </c>
    </row>
    <row r="523" spans="1:6" x14ac:dyDescent="0.2">
      <c r="A523" t="s">
        <v>4311</v>
      </c>
      <c r="B523" t="s">
        <v>4366</v>
      </c>
      <c r="C523" t="str">
        <f t="shared" si="8"/>
        <v>CUNDINAMARCAVENECIA</v>
      </c>
      <c r="D523" t="s">
        <v>2007</v>
      </c>
      <c r="E523" s="190" t="s">
        <v>1187</v>
      </c>
      <c r="F523" t="s">
        <v>5196</v>
      </c>
    </row>
    <row r="524" spans="1:6" x14ac:dyDescent="0.2">
      <c r="A524" t="s">
        <v>4311</v>
      </c>
      <c r="B524" t="s">
        <v>4229</v>
      </c>
      <c r="C524" t="str">
        <f t="shared" si="8"/>
        <v>CUNDINAMARCAPACHO</v>
      </c>
      <c r="D524" t="s">
        <v>2007</v>
      </c>
      <c r="E524" t="s">
        <v>1521</v>
      </c>
      <c r="F524" t="s">
        <v>5197</v>
      </c>
    </row>
    <row r="525" spans="1:6" x14ac:dyDescent="0.2">
      <c r="A525" t="s">
        <v>4311</v>
      </c>
      <c r="B525" t="s">
        <v>4162</v>
      </c>
      <c r="C525" t="str">
        <f t="shared" si="8"/>
        <v>CUNDINAMARCAPAIME</v>
      </c>
      <c r="D525" t="s">
        <v>2007</v>
      </c>
      <c r="E525" t="s">
        <v>572</v>
      </c>
      <c r="F525" t="s">
        <v>5198</v>
      </c>
    </row>
    <row r="526" spans="1:6" x14ac:dyDescent="0.2">
      <c r="A526" t="s">
        <v>4311</v>
      </c>
      <c r="B526" t="s">
        <v>4230</v>
      </c>
      <c r="C526" t="str">
        <f t="shared" si="8"/>
        <v>CUNDINAMARCAPANDI</v>
      </c>
      <c r="D526" t="s">
        <v>2007</v>
      </c>
      <c r="E526" t="s">
        <v>1320</v>
      </c>
      <c r="F526" t="s">
        <v>5199</v>
      </c>
    </row>
    <row r="527" spans="1:6" x14ac:dyDescent="0.2">
      <c r="A527" t="s">
        <v>4311</v>
      </c>
      <c r="B527" t="s">
        <v>4367</v>
      </c>
      <c r="C527" t="str">
        <f t="shared" si="8"/>
        <v>CUNDINAMARCAPARATEBUENO</v>
      </c>
      <c r="D527" t="s">
        <v>2007</v>
      </c>
      <c r="E527" t="s">
        <v>1321</v>
      </c>
      <c r="F527" t="s">
        <v>5200</v>
      </c>
    </row>
    <row r="528" spans="1:6" x14ac:dyDescent="0.2">
      <c r="A528" t="s">
        <v>4311</v>
      </c>
      <c r="B528" t="s">
        <v>4368</v>
      </c>
      <c r="C528" t="str">
        <f t="shared" si="8"/>
        <v>CUNDINAMARCAPASCA</v>
      </c>
      <c r="D528" t="s">
        <v>2007</v>
      </c>
      <c r="E528" t="s">
        <v>16</v>
      </c>
      <c r="F528" t="s">
        <v>5201</v>
      </c>
    </row>
    <row r="529" spans="1:6" x14ac:dyDescent="0.2">
      <c r="A529" t="s">
        <v>4311</v>
      </c>
      <c r="B529" t="s">
        <v>4171</v>
      </c>
      <c r="C529" t="str">
        <f t="shared" si="8"/>
        <v>CUNDINAMARCAPUERTO SALGAR</v>
      </c>
      <c r="D529" t="s">
        <v>2007</v>
      </c>
      <c r="E529" t="s">
        <v>1322</v>
      </c>
      <c r="F529" t="s">
        <v>5202</v>
      </c>
    </row>
    <row r="530" spans="1:6" x14ac:dyDescent="0.2">
      <c r="A530" t="s">
        <v>4311</v>
      </c>
      <c r="B530" t="s">
        <v>4072</v>
      </c>
      <c r="C530" t="str">
        <f t="shared" si="8"/>
        <v>CUNDINAMARCAPULI</v>
      </c>
      <c r="D530" t="s">
        <v>2007</v>
      </c>
      <c r="E530" t="s">
        <v>1323</v>
      </c>
      <c r="F530" t="s">
        <v>5203</v>
      </c>
    </row>
    <row r="531" spans="1:6" x14ac:dyDescent="0.2">
      <c r="A531" t="s">
        <v>4311</v>
      </c>
      <c r="B531" t="s">
        <v>4251</v>
      </c>
      <c r="C531" t="str">
        <f t="shared" si="8"/>
        <v>CUNDINAMARCAQUEBRADANEGRA</v>
      </c>
      <c r="D531" t="s">
        <v>2007</v>
      </c>
      <c r="E531" t="s">
        <v>4369</v>
      </c>
      <c r="F531" t="s">
        <v>5204</v>
      </c>
    </row>
    <row r="532" spans="1:6" x14ac:dyDescent="0.2">
      <c r="A532" t="s">
        <v>4311</v>
      </c>
      <c r="B532" t="s">
        <v>4370</v>
      </c>
      <c r="C532" t="str">
        <f t="shared" si="8"/>
        <v>CUNDINAMARCAQUETAME</v>
      </c>
      <c r="D532" t="s">
        <v>2007</v>
      </c>
      <c r="E532" t="s">
        <v>1324</v>
      </c>
      <c r="F532" t="s">
        <v>5205</v>
      </c>
    </row>
    <row r="533" spans="1:6" x14ac:dyDescent="0.2">
      <c r="A533" t="s">
        <v>4311</v>
      </c>
      <c r="B533" t="s">
        <v>4371</v>
      </c>
      <c r="C533" t="str">
        <f t="shared" si="8"/>
        <v>CUNDINAMARCAQUIPILE</v>
      </c>
      <c r="D533" t="s">
        <v>2007</v>
      </c>
      <c r="E533" t="s">
        <v>2191</v>
      </c>
      <c r="F533" t="s">
        <v>5206</v>
      </c>
    </row>
    <row r="534" spans="1:6" x14ac:dyDescent="0.2">
      <c r="A534" t="s">
        <v>4311</v>
      </c>
      <c r="B534" t="s">
        <v>4172</v>
      </c>
      <c r="C534" t="str">
        <f t="shared" si="8"/>
        <v>CUNDINAMARCAAPULO</v>
      </c>
      <c r="D534" t="s">
        <v>2007</v>
      </c>
      <c r="E534" t="s">
        <v>1356</v>
      </c>
      <c r="F534" t="s">
        <v>5207</v>
      </c>
    </row>
    <row r="535" spans="1:6" x14ac:dyDescent="0.2">
      <c r="A535" t="s">
        <v>4311</v>
      </c>
      <c r="B535" t="s">
        <v>4372</v>
      </c>
      <c r="C535" t="str">
        <f t="shared" si="8"/>
        <v>CUNDINAMARCARICAURTE</v>
      </c>
      <c r="D535" t="s">
        <v>2007</v>
      </c>
      <c r="E535" t="s">
        <v>496</v>
      </c>
      <c r="F535" t="s">
        <v>5208</v>
      </c>
    </row>
    <row r="536" spans="1:6" x14ac:dyDescent="0.2">
      <c r="A536" t="s">
        <v>4311</v>
      </c>
      <c r="B536" t="s">
        <v>4373</v>
      </c>
      <c r="C536" t="str">
        <f t="shared" si="8"/>
        <v>CUNDINAMARCASAN ANTONIO DEL TEQUENDAMA</v>
      </c>
      <c r="D536" t="s">
        <v>2007</v>
      </c>
      <c r="E536" s="190" t="s">
        <v>3740</v>
      </c>
      <c r="F536" t="s">
        <v>5209</v>
      </c>
    </row>
    <row r="537" spans="1:6" x14ac:dyDescent="0.2">
      <c r="A537" t="s">
        <v>4311</v>
      </c>
      <c r="B537" t="s">
        <v>3986</v>
      </c>
      <c r="C537" t="str">
        <f t="shared" si="8"/>
        <v>CUNDINAMARCASAN BERNARDO</v>
      </c>
      <c r="D537" t="s">
        <v>2007</v>
      </c>
      <c r="E537" t="s">
        <v>1325</v>
      </c>
      <c r="F537" t="s">
        <v>5210</v>
      </c>
    </row>
    <row r="538" spans="1:6" x14ac:dyDescent="0.2">
      <c r="A538" t="s">
        <v>4311</v>
      </c>
      <c r="B538" t="s">
        <v>4233</v>
      </c>
      <c r="C538" t="str">
        <f t="shared" si="8"/>
        <v>CUNDINAMARCASAN CAYETANO</v>
      </c>
      <c r="D538" t="s">
        <v>2007</v>
      </c>
      <c r="E538" t="s">
        <v>2744</v>
      </c>
      <c r="F538" t="s">
        <v>5211</v>
      </c>
    </row>
    <row r="539" spans="1:6" x14ac:dyDescent="0.2">
      <c r="A539" t="s">
        <v>4311</v>
      </c>
      <c r="B539" t="s">
        <v>3989</v>
      </c>
      <c r="C539" t="str">
        <f t="shared" si="8"/>
        <v>CUNDINAMARCASAN FRANCISCO</v>
      </c>
      <c r="D539" t="s">
        <v>2007</v>
      </c>
      <c r="E539" t="s">
        <v>2677</v>
      </c>
      <c r="F539" t="s">
        <v>5212</v>
      </c>
    </row>
    <row r="540" spans="1:6" x14ac:dyDescent="0.2">
      <c r="A540" t="s">
        <v>4311</v>
      </c>
      <c r="B540" t="s">
        <v>4234</v>
      </c>
      <c r="C540" t="str">
        <f t="shared" si="8"/>
        <v>CUNDINAMARCASAN JUAN DE RIO SECO</v>
      </c>
      <c r="D540" t="s">
        <v>2007</v>
      </c>
      <c r="E540" t="s">
        <v>4374</v>
      </c>
      <c r="F540" t="s">
        <v>5213</v>
      </c>
    </row>
    <row r="541" spans="1:6" x14ac:dyDescent="0.2">
      <c r="A541" t="s">
        <v>4311</v>
      </c>
      <c r="B541" t="s">
        <v>4375</v>
      </c>
      <c r="C541" t="str">
        <f t="shared" si="8"/>
        <v>CUNDINAMARCASASAIMA</v>
      </c>
      <c r="D541" t="s">
        <v>2007</v>
      </c>
      <c r="E541" t="s">
        <v>2157</v>
      </c>
      <c r="F541" t="s">
        <v>5214</v>
      </c>
    </row>
    <row r="542" spans="1:6" x14ac:dyDescent="0.2">
      <c r="A542" t="s">
        <v>4311</v>
      </c>
      <c r="B542" t="s">
        <v>4003</v>
      </c>
      <c r="C542" t="str">
        <f t="shared" si="8"/>
        <v>CUNDINAMARCASESQUILE</v>
      </c>
      <c r="D542" t="s">
        <v>2007</v>
      </c>
      <c r="E542" t="s">
        <v>4376</v>
      </c>
      <c r="F542" t="s">
        <v>5215</v>
      </c>
    </row>
    <row r="543" spans="1:6" x14ac:dyDescent="0.2">
      <c r="A543" t="s">
        <v>4311</v>
      </c>
      <c r="B543" t="s">
        <v>4187</v>
      </c>
      <c r="C543" t="str">
        <f t="shared" si="8"/>
        <v>CUNDINAMARCASIBATE</v>
      </c>
      <c r="D543" t="s">
        <v>2007</v>
      </c>
      <c r="E543" t="s">
        <v>504</v>
      </c>
      <c r="F543" t="s">
        <v>5216</v>
      </c>
    </row>
    <row r="544" spans="1:6" x14ac:dyDescent="0.2">
      <c r="A544" t="s">
        <v>4311</v>
      </c>
      <c r="B544" t="s">
        <v>4275</v>
      </c>
      <c r="C544" t="str">
        <f t="shared" si="8"/>
        <v>CUNDINAMARCASILVANIA</v>
      </c>
      <c r="D544" t="s">
        <v>2007</v>
      </c>
      <c r="E544" t="s">
        <v>2955</v>
      </c>
      <c r="F544" t="s">
        <v>5217</v>
      </c>
    </row>
    <row r="545" spans="1:6" x14ac:dyDescent="0.2">
      <c r="A545" t="s">
        <v>4311</v>
      </c>
      <c r="B545" t="s">
        <v>4377</v>
      </c>
      <c r="C545" t="str">
        <f t="shared" si="8"/>
        <v>CUNDINAMARCASIMIJACA</v>
      </c>
      <c r="D545" t="s">
        <v>2007</v>
      </c>
      <c r="E545" t="s">
        <v>873</v>
      </c>
      <c r="F545" t="s">
        <v>5218</v>
      </c>
    </row>
    <row r="546" spans="1:6" x14ac:dyDescent="0.2">
      <c r="A546" t="s">
        <v>4311</v>
      </c>
      <c r="B546" t="s">
        <v>4378</v>
      </c>
      <c r="C546" t="str">
        <f t="shared" si="8"/>
        <v>CUNDINAMARCASOACHA</v>
      </c>
      <c r="D546" t="s">
        <v>2007</v>
      </c>
      <c r="E546" t="s">
        <v>2740</v>
      </c>
      <c r="F546" t="s">
        <v>5219</v>
      </c>
    </row>
    <row r="547" spans="1:6" x14ac:dyDescent="0.2">
      <c r="A547" t="s">
        <v>4311</v>
      </c>
      <c r="B547" t="s">
        <v>4046</v>
      </c>
      <c r="C547" t="str">
        <f t="shared" si="8"/>
        <v>CUNDINAMARCASOPO</v>
      </c>
      <c r="D547" t="s">
        <v>2007</v>
      </c>
      <c r="E547" t="s">
        <v>2914</v>
      </c>
      <c r="F547" t="s">
        <v>5220</v>
      </c>
    </row>
    <row r="548" spans="1:6" x14ac:dyDescent="0.2">
      <c r="A548" t="s">
        <v>4311</v>
      </c>
      <c r="B548" t="s">
        <v>4379</v>
      </c>
      <c r="C548" t="str">
        <f t="shared" si="8"/>
        <v>CUNDINAMARCASUBACHOQUE</v>
      </c>
      <c r="D548" t="s">
        <v>2007</v>
      </c>
      <c r="E548" t="s">
        <v>519</v>
      </c>
      <c r="F548" t="s">
        <v>5221</v>
      </c>
    </row>
    <row r="549" spans="1:6" x14ac:dyDescent="0.2">
      <c r="A549" t="s">
        <v>4311</v>
      </c>
      <c r="B549" t="s">
        <v>4380</v>
      </c>
      <c r="C549" t="str">
        <f t="shared" si="8"/>
        <v>CUNDINAMARCASUESCA</v>
      </c>
      <c r="D549" t="s">
        <v>2007</v>
      </c>
      <c r="E549" t="s">
        <v>4381</v>
      </c>
      <c r="F549" t="s">
        <v>5222</v>
      </c>
    </row>
    <row r="550" spans="1:6" x14ac:dyDescent="0.2">
      <c r="A550" t="s">
        <v>4311</v>
      </c>
      <c r="B550" t="s">
        <v>4235</v>
      </c>
      <c r="C550" t="str">
        <f t="shared" si="8"/>
        <v>CUNDINAMARCASUPATA</v>
      </c>
      <c r="D550" t="s">
        <v>2007</v>
      </c>
      <c r="E550" t="s">
        <v>14</v>
      </c>
      <c r="F550" t="s">
        <v>5223</v>
      </c>
    </row>
    <row r="551" spans="1:6" x14ac:dyDescent="0.2">
      <c r="A551" t="s">
        <v>4311</v>
      </c>
      <c r="B551" t="s">
        <v>4382</v>
      </c>
      <c r="C551" t="str">
        <f t="shared" si="8"/>
        <v>CUNDINAMARCASUSA</v>
      </c>
      <c r="D551" t="s">
        <v>2007</v>
      </c>
      <c r="E551" t="s">
        <v>4383</v>
      </c>
      <c r="F551" t="s">
        <v>5224</v>
      </c>
    </row>
    <row r="552" spans="1:6" x14ac:dyDescent="0.2">
      <c r="A552" t="s">
        <v>4311</v>
      </c>
      <c r="B552" t="s">
        <v>4384</v>
      </c>
      <c r="C552" t="str">
        <f t="shared" si="8"/>
        <v>CUNDINAMARCASUTATAUSA</v>
      </c>
      <c r="D552" t="s">
        <v>2007</v>
      </c>
      <c r="E552" t="s">
        <v>371</v>
      </c>
      <c r="F552" t="s">
        <v>5225</v>
      </c>
    </row>
    <row r="553" spans="1:6" x14ac:dyDescent="0.2">
      <c r="A553" t="s">
        <v>4311</v>
      </c>
      <c r="B553" t="s">
        <v>4254</v>
      </c>
      <c r="C553" t="str">
        <f t="shared" si="8"/>
        <v>CUNDINAMARCATABIO</v>
      </c>
      <c r="D553" t="s">
        <v>2007</v>
      </c>
      <c r="E553" t="s">
        <v>2842</v>
      </c>
      <c r="F553" t="s">
        <v>5226</v>
      </c>
    </row>
    <row r="554" spans="1:6" x14ac:dyDescent="0.2">
      <c r="A554" t="s">
        <v>4311</v>
      </c>
      <c r="B554" t="s">
        <v>4385</v>
      </c>
      <c r="C554" t="str">
        <f t="shared" si="8"/>
        <v>CUNDINAMARCATAUSA</v>
      </c>
      <c r="D554" t="s">
        <v>2007</v>
      </c>
      <c r="E554" t="s">
        <v>4386</v>
      </c>
      <c r="F554" t="s">
        <v>5227</v>
      </c>
    </row>
    <row r="555" spans="1:6" x14ac:dyDescent="0.2">
      <c r="A555" t="s">
        <v>4311</v>
      </c>
      <c r="B555" t="s">
        <v>4387</v>
      </c>
      <c r="C555" t="str">
        <f t="shared" si="8"/>
        <v>CUNDINAMARCATENA</v>
      </c>
      <c r="D555" t="s">
        <v>2007</v>
      </c>
      <c r="E555" t="s">
        <v>15</v>
      </c>
      <c r="F555" t="s">
        <v>5228</v>
      </c>
    </row>
    <row r="556" spans="1:6" x14ac:dyDescent="0.2">
      <c r="A556" t="s">
        <v>4311</v>
      </c>
      <c r="B556" t="s">
        <v>4388</v>
      </c>
      <c r="C556" t="str">
        <f t="shared" si="8"/>
        <v>CUNDINAMARCATENJO</v>
      </c>
      <c r="D556" t="s">
        <v>2007</v>
      </c>
      <c r="E556" t="s">
        <v>2808</v>
      </c>
      <c r="F556" t="s">
        <v>5229</v>
      </c>
    </row>
    <row r="557" spans="1:6" x14ac:dyDescent="0.2">
      <c r="A557" t="s">
        <v>4311</v>
      </c>
      <c r="B557" t="s">
        <v>4389</v>
      </c>
      <c r="C557" t="str">
        <f t="shared" si="8"/>
        <v>CUNDINAMARCATIBACUY</v>
      </c>
      <c r="D557" t="s">
        <v>2007</v>
      </c>
      <c r="E557" t="s">
        <v>2979</v>
      </c>
      <c r="F557" t="s">
        <v>5230</v>
      </c>
    </row>
    <row r="558" spans="1:6" x14ac:dyDescent="0.2">
      <c r="A558" t="s">
        <v>4311</v>
      </c>
      <c r="B558" t="s">
        <v>4276</v>
      </c>
      <c r="C558" t="str">
        <f t="shared" si="8"/>
        <v>CUNDINAMARCATIBIRITA</v>
      </c>
      <c r="D558" t="s">
        <v>2007</v>
      </c>
      <c r="E558" t="s">
        <v>4390</v>
      </c>
      <c r="F558" t="s">
        <v>5231</v>
      </c>
    </row>
    <row r="559" spans="1:6" x14ac:dyDescent="0.2">
      <c r="A559" t="s">
        <v>4311</v>
      </c>
      <c r="B559" t="s">
        <v>4391</v>
      </c>
      <c r="C559" t="str">
        <f t="shared" si="8"/>
        <v>CUNDINAMARCATOCAIMA</v>
      </c>
      <c r="D559" t="s">
        <v>2007</v>
      </c>
      <c r="E559" t="s">
        <v>1354</v>
      </c>
      <c r="F559" t="s">
        <v>5232</v>
      </c>
    </row>
    <row r="560" spans="1:6" x14ac:dyDescent="0.2">
      <c r="A560" t="s">
        <v>4311</v>
      </c>
      <c r="B560" t="s">
        <v>4392</v>
      </c>
      <c r="C560" t="str">
        <f t="shared" si="8"/>
        <v>CUNDINAMARCATOCANCIPA</v>
      </c>
      <c r="D560" t="s">
        <v>2007</v>
      </c>
      <c r="E560" t="s">
        <v>2608</v>
      </c>
      <c r="F560" t="s">
        <v>5233</v>
      </c>
    </row>
    <row r="561" spans="1:6" x14ac:dyDescent="0.2">
      <c r="A561" t="s">
        <v>4311</v>
      </c>
      <c r="B561" t="s">
        <v>4393</v>
      </c>
      <c r="C561" t="str">
        <f t="shared" si="8"/>
        <v>CUNDINAMARCATOPAIPI</v>
      </c>
      <c r="D561" t="s">
        <v>2007</v>
      </c>
      <c r="E561" t="s">
        <v>17</v>
      </c>
      <c r="F561" t="s">
        <v>5234</v>
      </c>
    </row>
    <row r="562" spans="1:6" x14ac:dyDescent="0.2">
      <c r="A562" t="s">
        <v>4311</v>
      </c>
      <c r="B562" t="s">
        <v>4213</v>
      </c>
      <c r="C562" t="str">
        <f t="shared" si="8"/>
        <v>CUNDINAMARCAUBALA</v>
      </c>
      <c r="D562" t="s">
        <v>2007</v>
      </c>
      <c r="E562" t="s">
        <v>4394</v>
      </c>
      <c r="F562" t="s">
        <v>5235</v>
      </c>
    </row>
    <row r="563" spans="1:6" x14ac:dyDescent="0.2">
      <c r="A563" t="s">
        <v>4311</v>
      </c>
      <c r="B563" t="s">
        <v>4395</v>
      </c>
      <c r="C563" t="str">
        <f t="shared" si="8"/>
        <v>CUNDINAMARCAUBAQUE</v>
      </c>
      <c r="D563" t="s">
        <v>2007</v>
      </c>
      <c r="E563" t="s">
        <v>897</v>
      </c>
      <c r="F563" t="s">
        <v>5236</v>
      </c>
    </row>
    <row r="564" spans="1:6" x14ac:dyDescent="0.2">
      <c r="A564" t="s">
        <v>4311</v>
      </c>
      <c r="B564" t="s">
        <v>4396</v>
      </c>
      <c r="C564" t="str">
        <f t="shared" si="8"/>
        <v>CUNDINAMARCAUBATE</v>
      </c>
      <c r="D564" t="s">
        <v>2007</v>
      </c>
      <c r="E564" t="s">
        <v>2885</v>
      </c>
      <c r="F564" t="s">
        <v>5237</v>
      </c>
    </row>
    <row r="565" spans="1:6" x14ac:dyDescent="0.2">
      <c r="A565" t="s">
        <v>4311</v>
      </c>
      <c r="B565" t="s">
        <v>4279</v>
      </c>
      <c r="C565" t="str">
        <f t="shared" si="8"/>
        <v>CUNDINAMARCAUNE</v>
      </c>
      <c r="D565" t="s">
        <v>2007</v>
      </c>
      <c r="E565" t="s">
        <v>2912</v>
      </c>
      <c r="F565" t="s">
        <v>5238</v>
      </c>
    </row>
    <row r="566" spans="1:6" x14ac:dyDescent="0.2">
      <c r="A566" t="s">
        <v>4311</v>
      </c>
      <c r="B566" t="s">
        <v>4397</v>
      </c>
      <c r="C566" t="str">
        <f t="shared" si="8"/>
        <v>CUNDINAMARCAUTICA</v>
      </c>
      <c r="D566" t="s">
        <v>2007</v>
      </c>
      <c r="E566" t="s">
        <v>4398</v>
      </c>
      <c r="F566" t="s">
        <v>5239</v>
      </c>
    </row>
    <row r="567" spans="1:6" x14ac:dyDescent="0.2">
      <c r="A567" t="s">
        <v>4311</v>
      </c>
      <c r="B567" t="s">
        <v>4399</v>
      </c>
      <c r="C567" t="str">
        <f t="shared" si="8"/>
        <v>CUNDINAMARCAVERGARA</v>
      </c>
      <c r="D567" t="s">
        <v>2007</v>
      </c>
      <c r="E567" t="s">
        <v>1326</v>
      </c>
      <c r="F567" t="s">
        <v>5240</v>
      </c>
    </row>
    <row r="568" spans="1:6" x14ac:dyDescent="0.2">
      <c r="A568" t="s">
        <v>4311</v>
      </c>
      <c r="B568" t="s">
        <v>4236</v>
      </c>
      <c r="C568" t="str">
        <f t="shared" si="8"/>
        <v>CUNDINAMARCAVIANI</v>
      </c>
      <c r="D568" t="s">
        <v>2007</v>
      </c>
      <c r="E568" t="s">
        <v>18</v>
      </c>
      <c r="F568" t="s">
        <v>5241</v>
      </c>
    </row>
    <row r="569" spans="1:6" x14ac:dyDescent="0.2">
      <c r="A569" t="s">
        <v>4311</v>
      </c>
      <c r="B569" t="s">
        <v>4400</v>
      </c>
      <c r="C569" t="str">
        <f t="shared" si="8"/>
        <v>CUNDINAMARCAVILLAGOMEZ</v>
      </c>
      <c r="D569" t="s">
        <v>2007</v>
      </c>
      <c r="E569" t="s">
        <v>4401</v>
      </c>
      <c r="F569" t="s">
        <v>5242</v>
      </c>
    </row>
    <row r="570" spans="1:6" x14ac:dyDescent="0.2">
      <c r="A570" t="s">
        <v>4311</v>
      </c>
      <c r="B570" t="s">
        <v>4018</v>
      </c>
      <c r="C570" t="str">
        <f t="shared" si="8"/>
        <v>CUNDINAMARCAVILLAPINZON</v>
      </c>
      <c r="D570" t="s">
        <v>2007</v>
      </c>
      <c r="E570" t="s">
        <v>4402</v>
      </c>
      <c r="F570" t="s">
        <v>5243</v>
      </c>
    </row>
    <row r="571" spans="1:6" x14ac:dyDescent="0.2">
      <c r="A571" t="s">
        <v>4311</v>
      </c>
      <c r="B571" t="s">
        <v>4403</v>
      </c>
      <c r="C571" t="str">
        <f t="shared" si="8"/>
        <v>CUNDINAMARCAVILLETA</v>
      </c>
      <c r="D571" t="s">
        <v>2007</v>
      </c>
      <c r="E571" t="s">
        <v>1327</v>
      </c>
      <c r="F571" t="s">
        <v>5244</v>
      </c>
    </row>
    <row r="572" spans="1:6" x14ac:dyDescent="0.2">
      <c r="A572" t="s">
        <v>4311</v>
      </c>
      <c r="B572" t="s">
        <v>4404</v>
      </c>
      <c r="C572" t="str">
        <f t="shared" si="8"/>
        <v>CUNDINAMARCAVIOTA</v>
      </c>
      <c r="D572" t="s">
        <v>2007</v>
      </c>
      <c r="E572" t="s">
        <v>1328</v>
      </c>
      <c r="F572" t="s">
        <v>5245</v>
      </c>
    </row>
    <row r="573" spans="1:6" x14ac:dyDescent="0.2">
      <c r="A573" t="s">
        <v>4311</v>
      </c>
      <c r="B573" t="s">
        <v>4019</v>
      </c>
      <c r="C573" t="str">
        <f t="shared" si="8"/>
        <v>CUNDINAMARCAYACOPI</v>
      </c>
      <c r="D573" t="s">
        <v>2007</v>
      </c>
      <c r="E573" t="s">
        <v>1329</v>
      </c>
      <c r="F573" t="s">
        <v>5246</v>
      </c>
    </row>
    <row r="574" spans="1:6" x14ac:dyDescent="0.2">
      <c r="A574" t="s">
        <v>4311</v>
      </c>
      <c r="B574" t="s">
        <v>4405</v>
      </c>
      <c r="C574" t="str">
        <f t="shared" si="8"/>
        <v>CUNDINAMARCAZIPACON</v>
      </c>
      <c r="D574" t="s">
        <v>2007</v>
      </c>
      <c r="E574" t="s">
        <v>1330</v>
      </c>
      <c r="F574" t="s">
        <v>5247</v>
      </c>
    </row>
    <row r="575" spans="1:6" x14ac:dyDescent="0.2">
      <c r="A575" t="s">
        <v>4311</v>
      </c>
      <c r="B575" t="s">
        <v>4406</v>
      </c>
      <c r="C575" t="str">
        <f t="shared" si="8"/>
        <v>CUNDINAMARCAZIPAQUIRA</v>
      </c>
      <c r="D575" t="s">
        <v>2007</v>
      </c>
      <c r="E575" t="s">
        <v>1331</v>
      </c>
      <c r="F575" t="s">
        <v>5248</v>
      </c>
    </row>
    <row r="576" spans="1:6" x14ac:dyDescent="0.2">
      <c r="A576" t="s">
        <v>4407</v>
      </c>
      <c r="B576" t="s">
        <v>3885</v>
      </c>
      <c r="C576" t="str">
        <f>D576&amp;E576</f>
        <v>ChocoQUIBDO</v>
      </c>
      <c r="D576" t="s">
        <v>4408</v>
      </c>
      <c r="E576" t="s">
        <v>2374</v>
      </c>
      <c r="F576" t="s">
        <v>5249</v>
      </c>
    </row>
    <row r="577" spans="1:6" x14ac:dyDescent="0.2">
      <c r="A577" t="s">
        <v>4407</v>
      </c>
      <c r="B577" t="s">
        <v>4053</v>
      </c>
      <c r="C577" t="str">
        <f t="shared" si="8"/>
        <v>ChocoACANDI</v>
      </c>
      <c r="D577" t="s">
        <v>4408</v>
      </c>
      <c r="E577" t="s">
        <v>173</v>
      </c>
      <c r="F577" t="s">
        <v>5250</v>
      </c>
    </row>
    <row r="578" spans="1:6" x14ac:dyDescent="0.2">
      <c r="A578" t="s">
        <v>4407</v>
      </c>
      <c r="B578" t="s">
        <v>4409</v>
      </c>
      <c r="C578" t="str">
        <f t="shared" si="8"/>
        <v>ChocoALTO BAUDO</v>
      </c>
      <c r="D578" t="s">
        <v>4408</v>
      </c>
      <c r="E578" t="s">
        <v>1218</v>
      </c>
      <c r="F578" t="s">
        <v>5251</v>
      </c>
    </row>
    <row r="579" spans="1:6" x14ac:dyDescent="0.2">
      <c r="A579" t="s">
        <v>4407</v>
      </c>
      <c r="B579" t="s">
        <v>4223</v>
      </c>
      <c r="C579" t="str">
        <f t="shared" ref="C579:C642" si="9">D579&amp;E579</f>
        <v>ChocoATRATO</v>
      </c>
      <c r="D579" t="s">
        <v>4408</v>
      </c>
      <c r="E579" t="s">
        <v>1311</v>
      </c>
      <c r="F579" t="s">
        <v>5252</v>
      </c>
    </row>
    <row r="580" spans="1:6" x14ac:dyDescent="0.2">
      <c r="A580" t="s">
        <v>4407</v>
      </c>
      <c r="B580" t="s">
        <v>4410</v>
      </c>
      <c r="C580" t="str">
        <f t="shared" si="9"/>
        <v>ChocoBAGADO</v>
      </c>
      <c r="D580" t="s">
        <v>4408</v>
      </c>
      <c r="E580" t="s">
        <v>2800</v>
      </c>
      <c r="F580" t="s">
        <v>5253</v>
      </c>
    </row>
    <row r="581" spans="1:6" x14ac:dyDescent="0.2">
      <c r="A581" t="s">
        <v>4407</v>
      </c>
      <c r="B581" t="s">
        <v>4258</v>
      </c>
      <c r="C581" t="str">
        <f t="shared" si="9"/>
        <v>ChocoBAHIA SOLANO</v>
      </c>
      <c r="D581" t="s">
        <v>4408</v>
      </c>
      <c r="E581" t="s">
        <v>2426</v>
      </c>
      <c r="F581" t="s">
        <v>5254</v>
      </c>
    </row>
    <row r="582" spans="1:6" x14ac:dyDescent="0.2">
      <c r="A582" t="s">
        <v>4407</v>
      </c>
      <c r="B582" t="s">
        <v>4411</v>
      </c>
      <c r="C582" t="str">
        <f t="shared" si="9"/>
        <v>ChocoBAJO BAUDO</v>
      </c>
      <c r="D582" t="s">
        <v>4408</v>
      </c>
      <c r="E582" t="s">
        <v>1126</v>
      </c>
      <c r="F582" t="s">
        <v>5255</v>
      </c>
    </row>
    <row r="583" spans="1:6" x14ac:dyDescent="0.2">
      <c r="A583" t="s">
        <v>4407</v>
      </c>
      <c r="B583" t="s">
        <v>3904</v>
      </c>
      <c r="C583" t="str">
        <f t="shared" si="9"/>
        <v>ChocoBELEN DE BAJIRA</v>
      </c>
      <c r="D583" t="s">
        <v>4408</v>
      </c>
      <c r="E583" t="s">
        <v>4412</v>
      </c>
      <c r="F583" t="s">
        <v>5256</v>
      </c>
    </row>
    <row r="584" spans="1:6" x14ac:dyDescent="0.2">
      <c r="A584" t="s">
        <v>4407</v>
      </c>
      <c r="B584" t="s">
        <v>4318</v>
      </c>
      <c r="C584" t="str">
        <f t="shared" si="9"/>
        <v>ChocoBOJAYA</v>
      </c>
      <c r="D584" t="s">
        <v>4408</v>
      </c>
      <c r="E584" t="s">
        <v>2147</v>
      </c>
      <c r="F584" t="s">
        <v>5257</v>
      </c>
    </row>
    <row r="585" spans="1:6" x14ac:dyDescent="0.2">
      <c r="A585" t="s">
        <v>4407</v>
      </c>
      <c r="B585" t="s">
        <v>4107</v>
      </c>
      <c r="C585" t="str">
        <f t="shared" si="9"/>
        <v>ChocoCANTON DE SAN PABLO</v>
      </c>
      <c r="D585" t="s">
        <v>4408</v>
      </c>
      <c r="E585" s="190" t="s">
        <v>6307</v>
      </c>
      <c r="F585" t="s">
        <v>5258</v>
      </c>
    </row>
    <row r="586" spans="1:6" x14ac:dyDescent="0.2">
      <c r="A586" t="s">
        <v>4407</v>
      </c>
      <c r="B586" t="s">
        <v>3922</v>
      </c>
      <c r="C586" t="str">
        <f t="shared" si="9"/>
        <v>ChocoCARMEN DEL DARIEN</v>
      </c>
      <c r="D586" t="s">
        <v>4408</v>
      </c>
      <c r="E586" t="s">
        <v>3082</v>
      </c>
      <c r="F586" t="s">
        <v>5259</v>
      </c>
    </row>
    <row r="587" spans="1:6" x14ac:dyDescent="0.2">
      <c r="A587" t="s">
        <v>4407</v>
      </c>
      <c r="B587" t="s">
        <v>4059</v>
      </c>
      <c r="C587" t="str">
        <f t="shared" si="9"/>
        <v>ChocoCERTEGUI</v>
      </c>
      <c r="D587" t="s">
        <v>4408</v>
      </c>
      <c r="E587" t="s">
        <v>4413</v>
      </c>
      <c r="F587" t="s">
        <v>5260</v>
      </c>
    </row>
    <row r="588" spans="1:6" x14ac:dyDescent="0.2">
      <c r="A588" t="s">
        <v>4407</v>
      </c>
      <c r="B588" t="s">
        <v>4243</v>
      </c>
      <c r="C588" t="str">
        <f t="shared" si="9"/>
        <v>ChocoCONDOTO</v>
      </c>
      <c r="D588" t="s">
        <v>4408</v>
      </c>
      <c r="E588" t="s">
        <v>4414</v>
      </c>
      <c r="F588" t="s">
        <v>5261</v>
      </c>
    </row>
    <row r="589" spans="1:6" x14ac:dyDescent="0.2">
      <c r="A589" t="s">
        <v>4407</v>
      </c>
      <c r="B589" t="s">
        <v>4329</v>
      </c>
      <c r="C589" t="str">
        <f t="shared" si="9"/>
        <v>ChocoEL CARMEN DE ATRATO</v>
      </c>
      <c r="D589" t="s">
        <v>4408</v>
      </c>
      <c r="E589" t="s">
        <v>4415</v>
      </c>
      <c r="F589" t="s">
        <v>5262</v>
      </c>
    </row>
    <row r="590" spans="1:6" x14ac:dyDescent="0.2">
      <c r="A590" t="s">
        <v>4407</v>
      </c>
      <c r="B590" t="s">
        <v>3934</v>
      </c>
      <c r="C590" t="str">
        <f t="shared" si="9"/>
        <v>ChocoEL LITORAL DEL SAN JUAN</v>
      </c>
      <c r="D590" t="s">
        <v>4408</v>
      </c>
      <c r="E590" t="s">
        <v>4416</v>
      </c>
      <c r="F590" t="s">
        <v>5263</v>
      </c>
    </row>
    <row r="591" spans="1:6" x14ac:dyDescent="0.2">
      <c r="A591" t="s">
        <v>4407</v>
      </c>
      <c r="B591" t="s">
        <v>3952</v>
      </c>
      <c r="C591" t="str">
        <f t="shared" si="9"/>
        <v>ChocoISTMINA</v>
      </c>
      <c r="D591" t="s">
        <v>4408</v>
      </c>
      <c r="E591" t="s">
        <v>4417</v>
      </c>
      <c r="F591" t="s">
        <v>5264</v>
      </c>
    </row>
    <row r="592" spans="1:6" x14ac:dyDescent="0.2">
      <c r="A592" t="s">
        <v>4407</v>
      </c>
      <c r="B592" t="s">
        <v>4031</v>
      </c>
      <c r="C592" t="str">
        <f t="shared" si="9"/>
        <v>ChocoJURADO</v>
      </c>
      <c r="D592" t="s">
        <v>4408</v>
      </c>
      <c r="E592" t="s">
        <v>2603</v>
      </c>
      <c r="F592" t="s">
        <v>5265</v>
      </c>
    </row>
    <row r="593" spans="1:6" x14ac:dyDescent="0.2">
      <c r="A593" t="s">
        <v>4407</v>
      </c>
      <c r="B593" t="s">
        <v>4418</v>
      </c>
      <c r="C593" t="str">
        <f t="shared" si="9"/>
        <v>ChocoLLORO</v>
      </c>
      <c r="D593" t="s">
        <v>4408</v>
      </c>
      <c r="E593" t="s">
        <v>3130</v>
      </c>
      <c r="F593" t="s">
        <v>5266</v>
      </c>
    </row>
    <row r="594" spans="1:6" x14ac:dyDescent="0.2">
      <c r="A594" t="s">
        <v>4407</v>
      </c>
      <c r="B594" t="s">
        <v>3960</v>
      </c>
      <c r="C594" t="str">
        <f t="shared" si="9"/>
        <v>ChocoMEDIO ATRATO</v>
      </c>
      <c r="D594" t="s">
        <v>4408</v>
      </c>
      <c r="E594" t="s">
        <v>2330</v>
      </c>
      <c r="F594" t="s">
        <v>5267</v>
      </c>
    </row>
    <row r="595" spans="1:6" x14ac:dyDescent="0.2">
      <c r="A595" t="s">
        <v>4407</v>
      </c>
      <c r="B595" t="s">
        <v>4066</v>
      </c>
      <c r="C595" t="str">
        <f t="shared" si="9"/>
        <v>ChocoMEDIO BAUDO</v>
      </c>
      <c r="D595" t="s">
        <v>4408</v>
      </c>
      <c r="E595" t="s">
        <v>1318</v>
      </c>
      <c r="F595" t="s">
        <v>5268</v>
      </c>
    </row>
    <row r="596" spans="1:6" x14ac:dyDescent="0.2">
      <c r="A596" t="s">
        <v>4407</v>
      </c>
      <c r="B596" t="s">
        <v>4268</v>
      </c>
      <c r="C596" t="str">
        <f t="shared" si="9"/>
        <v>ChocoMEDIO SAN JUAN</v>
      </c>
      <c r="D596" t="s">
        <v>4408</v>
      </c>
      <c r="E596" t="s">
        <v>2320</v>
      </c>
      <c r="F596" t="s">
        <v>5269</v>
      </c>
    </row>
    <row r="597" spans="1:6" x14ac:dyDescent="0.2">
      <c r="A597" t="s">
        <v>4407</v>
      </c>
      <c r="B597" t="s">
        <v>4155</v>
      </c>
      <c r="C597" t="str">
        <f t="shared" si="9"/>
        <v>ChocoNOVITA</v>
      </c>
      <c r="D597" t="s">
        <v>4408</v>
      </c>
      <c r="E597" t="s">
        <v>1310</v>
      </c>
      <c r="F597" t="s">
        <v>5270</v>
      </c>
    </row>
    <row r="598" spans="1:6" x14ac:dyDescent="0.2">
      <c r="A598" t="s">
        <v>4407</v>
      </c>
      <c r="B598" t="s">
        <v>3967</v>
      </c>
      <c r="C598" t="str">
        <f t="shared" si="9"/>
        <v>ChocoNUQUI</v>
      </c>
      <c r="D598" t="s">
        <v>4408</v>
      </c>
      <c r="E598" t="s">
        <v>2028</v>
      </c>
      <c r="F598" t="s">
        <v>5271</v>
      </c>
    </row>
    <row r="599" spans="1:6" x14ac:dyDescent="0.2">
      <c r="A599" t="s">
        <v>4407</v>
      </c>
      <c r="B599" t="s">
        <v>4072</v>
      </c>
      <c r="C599" t="str">
        <f t="shared" si="9"/>
        <v>ChocoRIO IRO</v>
      </c>
      <c r="D599" t="s">
        <v>4408</v>
      </c>
      <c r="E599" t="s">
        <v>1312</v>
      </c>
      <c r="F599" t="s">
        <v>5272</v>
      </c>
    </row>
    <row r="600" spans="1:6" x14ac:dyDescent="0.2">
      <c r="A600" t="s">
        <v>4407</v>
      </c>
      <c r="B600" t="s">
        <v>4073</v>
      </c>
      <c r="C600" t="str">
        <f t="shared" si="9"/>
        <v>ChocoRIO QUITO</v>
      </c>
      <c r="D600" t="s">
        <v>4408</v>
      </c>
      <c r="E600" t="s">
        <v>454</v>
      </c>
      <c r="F600" t="s">
        <v>5273</v>
      </c>
    </row>
    <row r="601" spans="1:6" x14ac:dyDescent="0.2">
      <c r="A601" t="s">
        <v>4407</v>
      </c>
      <c r="B601" t="s">
        <v>3981</v>
      </c>
      <c r="C601" t="str">
        <f t="shared" si="9"/>
        <v>ChocoRIOSUCIO</v>
      </c>
      <c r="D601" t="s">
        <v>4408</v>
      </c>
      <c r="E601" t="s">
        <v>2483</v>
      </c>
      <c r="F601" t="s">
        <v>5274</v>
      </c>
    </row>
    <row r="602" spans="1:6" x14ac:dyDescent="0.2">
      <c r="A602" t="s">
        <v>4407</v>
      </c>
      <c r="B602" t="s">
        <v>3991</v>
      </c>
      <c r="C602" t="str">
        <f t="shared" si="9"/>
        <v>ChocoSAN JOSE DEL PALMAR</v>
      </c>
      <c r="D602" t="s">
        <v>4408</v>
      </c>
      <c r="E602" t="s">
        <v>1455</v>
      </c>
      <c r="F602" t="s">
        <v>5275</v>
      </c>
    </row>
    <row r="603" spans="1:6" x14ac:dyDescent="0.2">
      <c r="A603" t="s">
        <v>4407</v>
      </c>
      <c r="B603" t="s">
        <v>4377</v>
      </c>
      <c r="C603" t="str">
        <f t="shared" si="9"/>
        <v>ChocoSIPI</v>
      </c>
      <c r="D603" t="s">
        <v>4408</v>
      </c>
      <c r="E603" t="s">
        <v>3084</v>
      </c>
      <c r="F603" t="s">
        <v>5276</v>
      </c>
    </row>
    <row r="604" spans="1:6" x14ac:dyDescent="0.2">
      <c r="A604" t="s">
        <v>4407</v>
      </c>
      <c r="B604" t="s">
        <v>4294</v>
      </c>
      <c r="C604" t="str">
        <f t="shared" si="9"/>
        <v>ChocoTADO</v>
      </c>
      <c r="D604" t="s">
        <v>4408</v>
      </c>
      <c r="E604" t="s">
        <v>1553</v>
      </c>
      <c r="F604" t="s">
        <v>5277</v>
      </c>
    </row>
    <row r="605" spans="1:6" x14ac:dyDescent="0.2">
      <c r="A605" t="s">
        <v>4407</v>
      </c>
      <c r="B605" t="s">
        <v>4419</v>
      </c>
      <c r="C605" t="str">
        <f t="shared" si="9"/>
        <v>ChocoUNGUIA</v>
      </c>
      <c r="D605" t="s">
        <v>4408</v>
      </c>
      <c r="E605" t="s">
        <v>1309</v>
      </c>
      <c r="F605" t="s">
        <v>5278</v>
      </c>
    </row>
    <row r="606" spans="1:6" x14ac:dyDescent="0.2">
      <c r="A606" t="s">
        <v>4407</v>
      </c>
      <c r="B606" t="s">
        <v>4088</v>
      </c>
      <c r="C606" t="str">
        <f t="shared" si="9"/>
        <v>ChocoUNION PANAMERICANA</v>
      </c>
      <c r="D606" t="s">
        <v>4408</v>
      </c>
      <c r="E606" t="s">
        <v>476</v>
      </c>
      <c r="F606" t="s">
        <v>5279</v>
      </c>
    </row>
    <row r="607" spans="1:6" x14ac:dyDescent="0.2">
      <c r="A607" t="s">
        <v>4420</v>
      </c>
      <c r="B607" t="s">
        <v>3885</v>
      </c>
      <c r="C607" t="str">
        <f t="shared" si="9"/>
        <v>HUILANEIVA</v>
      </c>
      <c r="D607" t="s">
        <v>1333</v>
      </c>
      <c r="E607" t="s">
        <v>226</v>
      </c>
      <c r="F607" t="s">
        <v>5280</v>
      </c>
    </row>
    <row r="608" spans="1:6" x14ac:dyDescent="0.2">
      <c r="A608" t="s">
        <v>4420</v>
      </c>
      <c r="B608" t="s">
        <v>4053</v>
      </c>
      <c r="C608" t="str">
        <f t="shared" si="9"/>
        <v>HUILAACEVEDO</v>
      </c>
      <c r="D608" t="s">
        <v>1333</v>
      </c>
      <c r="E608" t="s">
        <v>2971</v>
      </c>
      <c r="F608" t="s">
        <v>5281</v>
      </c>
    </row>
    <row r="609" spans="1:6" x14ac:dyDescent="0.2">
      <c r="A609" t="s">
        <v>4420</v>
      </c>
      <c r="B609" t="s">
        <v>4222</v>
      </c>
      <c r="C609" t="str">
        <f t="shared" si="9"/>
        <v>HUILAAGRADO</v>
      </c>
      <c r="D609" t="s">
        <v>1333</v>
      </c>
      <c r="E609" t="s">
        <v>381</v>
      </c>
      <c r="F609" t="s">
        <v>5282</v>
      </c>
    </row>
    <row r="610" spans="1:6" x14ac:dyDescent="0.2">
      <c r="A610" t="s">
        <v>4420</v>
      </c>
      <c r="B610" t="s">
        <v>4421</v>
      </c>
      <c r="C610" t="str">
        <f t="shared" si="9"/>
        <v>HUILAAIPE</v>
      </c>
      <c r="D610" t="s">
        <v>1333</v>
      </c>
      <c r="E610" t="s">
        <v>1315</v>
      </c>
      <c r="F610" t="s">
        <v>5283</v>
      </c>
    </row>
    <row r="611" spans="1:6" x14ac:dyDescent="0.2">
      <c r="A611" t="s">
        <v>4420</v>
      </c>
      <c r="B611" t="s">
        <v>4422</v>
      </c>
      <c r="C611" t="str">
        <f t="shared" si="9"/>
        <v>HUILAALGECIRAS</v>
      </c>
      <c r="D611" t="s">
        <v>1333</v>
      </c>
      <c r="E611" t="s">
        <v>2960</v>
      </c>
      <c r="F611" t="s">
        <v>5284</v>
      </c>
    </row>
    <row r="612" spans="1:6" x14ac:dyDescent="0.2">
      <c r="A612" t="s">
        <v>4420</v>
      </c>
      <c r="B612" t="s">
        <v>4423</v>
      </c>
      <c r="C612" t="str">
        <f t="shared" si="9"/>
        <v>HUILAALTAMIRA</v>
      </c>
      <c r="D612" t="s">
        <v>1333</v>
      </c>
      <c r="E612" t="s">
        <v>383</v>
      </c>
      <c r="F612" t="s">
        <v>5285</v>
      </c>
    </row>
    <row r="613" spans="1:6" x14ac:dyDescent="0.2">
      <c r="A613" t="s">
        <v>4420</v>
      </c>
      <c r="B613" t="s">
        <v>4027</v>
      </c>
      <c r="C613" t="str">
        <f t="shared" si="9"/>
        <v>HUILABARAYA</v>
      </c>
      <c r="D613" t="s">
        <v>1333</v>
      </c>
      <c r="E613" t="s">
        <v>135</v>
      </c>
      <c r="F613" t="s">
        <v>5286</v>
      </c>
    </row>
    <row r="614" spans="1:6" x14ac:dyDescent="0.2">
      <c r="A614" t="s">
        <v>4420</v>
      </c>
      <c r="B614" t="s">
        <v>4424</v>
      </c>
      <c r="C614" t="str">
        <f t="shared" si="9"/>
        <v>HUILACAMPOALEGRE</v>
      </c>
      <c r="D614" t="s">
        <v>1333</v>
      </c>
      <c r="E614" t="s">
        <v>4425</v>
      </c>
      <c r="F614" t="s">
        <v>5287</v>
      </c>
    </row>
    <row r="615" spans="1:6" x14ac:dyDescent="0.2">
      <c r="A615" t="s">
        <v>4420</v>
      </c>
      <c r="B615" t="s">
        <v>3928</v>
      </c>
      <c r="C615" t="str">
        <f t="shared" si="9"/>
        <v>HUILACOLOMBIA</v>
      </c>
      <c r="D615" t="s">
        <v>1333</v>
      </c>
      <c r="E615" t="s">
        <v>2770</v>
      </c>
      <c r="F615" t="s">
        <v>5288</v>
      </c>
    </row>
    <row r="616" spans="1:6" x14ac:dyDescent="0.2">
      <c r="A616" t="s">
        <v>4420</v>
      </c>
      <c r="B616" t="s">
        <v>4062</v>
      </c>
      <c r="C616" t="str">
        <f t="shared" si="9"/>
        <v>HUILAELIAS</v>
      </c>
      <c r="D616" t="s">
        <v>1333</v>
      </c>
      <c r="E616" t="s">
        <v>382</v>
      </c>
      <c r="F616" t="s">
        <v>5289</v>
      </c>
    </row>
    <row r="617" spans="1:6" x14ac:dyDescent="0.2">
      <c r="A617" t="s">
        <v>4420</v>
      </c>
      <c r="B617" t="s">
        <v>4426</v>
      </c>
      <c r="C617" t="str">
        <f t="shared" si="9"/>
        <v>HUILAGARZON</v>
      </c>
      <c r="D617" t="s">
        <v>1333</v>
      </c>
      <c r="E617" t="s">
        <v>332</v>
      </c>
      <c r="F617" t="s">
        <v>5290</v>
      </c>
    </row>
    <row r="618" spans="1:6" x14ac:dyDescent="0.2">
      <c r="A618" t="s">
        <v>4420</v>
      </c>
      <c r="B618" t="s">
        <v>3941</v>
      </c>
      <c r="C618" t="str">
        <f t="shared" si="9"/>
        <v>HUILAGIGANTE</v>
      </c>
      <c r="D618" t="s">
        <v>1333</v>
      </c>
      <c r="E618" t="s">
        <v>2680</v>
      </c>
      <c r="F618" t="s">
        <v>5291</v>
      </c>
    </row>
    <row r="619" spans="1:6" x14ac:dyDescent="0.2">
      <c r="A619" t="s">
        <v>4420</v>
      </c>
      <c r="B619" t="s">
        <v>4427</v>
      </c>
      <c r="C619" t="str">
        <f t="shared" si="9"/>
        <v>HUILAGUADALUPE</v>
      </c>
      <c r="D619" t="s">
        <v>1333</v>
      </c>
      <c r="E619" t="s">
        <v>2030</v>
      </c>
      <c r="F619" t="s">
        <v>5292</v>
      </c>
    </row>
    <row r="620" spans="1:6" x14ac:dyDescent="0.2">
      <c r="A620" t="s">
        <v>4420</v>
      </c>
      <c r="B620" t="s">
        <v>4428</v>
      </c>
      <c r="C620" t="str">
        <f t="shared" si="9"/>
        <v>HUILAHOBO</v>
      </c>
      <c r="D620" t="s">
        <v>1333</v>
      </c>
      <c r="E620" t="s">
        <v>3037</v>
      </c>
      <c r="F620" t="s">
        <v>5293</v>
      </c>
    </row>
    <row r="621" spans="1:6" x14ac:dyDescent="0.2">
      <c r="A621" t="s">
        <v>4420</v>
      </c>
      <c r="B621" t="s">
        <v>4429</v>
      </c>
      <c r="C621" t="str">
        <f t="shared" si="9"/>
        <v>HUILAIQUIRA</v>
      </c>
      <c r="D621" t="s">
        <v>1333</v>
      </c>
      <c r="E621" t="s">
        <v>3051</v>
      </c>
      <c r="F621" t="s">
        <v>5294</v>
      </c>
    </row>
    <row r="622" spans="1:6" x14ac:dyDescent="0.2">
      <c r="A622" t="s">
        <v>4420</v>
      </c>
      <c r="B622" t="s">
        <v>4430</v>
      </c>
      <c r="C622" t="str">
        <f t="shared" si="9"/>
        <v>HUILAISNOS</v>
      </c>
      <c r="D622" t="s">
        <v>1333</v>
      </c>
      <c r="E622" t="s">
        <v>1433</v>
      </c>
      <c r="F622" t="s">
        <v>5295</v>
      </c>
    </row>
    <row r="623" spans="1:6" x14ac:dyDescent="0.2">
      <c r="A623" t="s">
        <v>4420</v>
      </c>
      <c r="B623" t="s">
        <v>4431</v>
      </c>
      <c r="C623" t="str">
        <f t="shared" si="9"/>
        <v>HUILALA ARGENTINA</v>
      </c>
      <c r="D623" t="s">
        <v>1333</v>
      </c>
      <c r="E623" t="s">
        <v>2575</v>
      </c>
      <c r="F623" t="s">
        <v>5296</v>
      </c>
    </row>
    <row r="624" spans="1:6" x14ac:dyDescent="0.2">
      <c r="A624" t="s">
        <v>4420</v>
      </c>
      <c r="B624" t="s">
        <v>4432</v>
      </c>
      <c r="C624" t="str">
        <f t="shared" si="9"/>
        <v>HUILALA PLATA</v>
      </c>
      <c r="D624" t="s">
        <v>1333</v>
      </c>
      <c r="E624" t="s">
        <v>1538</v>
      </c>
      <c r="F624" t="s">
        <v>5297</v>
      </c>
    </row>
    <row r="625" spans="1:6" x14ac:dyDescent="0.2">
      <c r="A625" t="s">
        <v>4420</v>
      </c>
      <c r="B625" t="s">
        <v>3965</v>
      </c>
      <c r="C625" t="str">
        <f t="shared" si="9"/>
        <v>HUILANATAGA</v>
      </c>
      <c r="D625" t="s">
        <v>1333</v>
      </c>
      <c r="E625" t="s">
        <v>1334</v>
      </c>
      <c r="F625" t="s">
        <v>5298</v>
      </c>
    </row>
    <row r="626" spans="1:6" x14ac:dyDescent="0.2">
      <c r="A626" t="s">
        <v>4420</v>
      </c>
      <c r="B626" t="s">
        <v>4433</v>
      </c>
      <c r="C626" t="str">
        <f t="shared" si="9"/>
        <v>HUILAOPORAPA</v>
      </c>
      <c r="D626" t="s">
        <v>1333</v>
      </c>
      <c r="E626" t="s">
        <v>384</v>
      </c>
      <c r="F626" t="s">
        <v>5299</v>
      </c>
    </row>
    <row r="627" spans="1:6" x14ac:dyDescent="0.2">
      <c r="A627" t="s">
        <v>4420</v>
      </c>
      <c r="B627" t="s">
        <v>4162</v>
      </c>
      <c r="C627" t="str">
        <f t="shared" si="9"/>
        <v>HUILAPAICOL</v>
      </c>
      <c r="D627" t="s">
        <v>1333</v>
      </c>
      <c r="E627" t="s">
        <v>139</v>
      </c>
      <c r="F627" t="s">
        <v>5300</v>
      </c>
    </row>
    <row r="628" spans="1:6" x14ac:dyDescent="0.2">
      <c r="A628" t="s">
        <v>4420</v>
      </c>
      <c r="B628" t="s">
        <v>4230</v>
      </c>
      <c r="C628" t="str">
        <f t="shared" si="9"/>
        <v>HUILAPALERMO</v>
      </c>
      <c r="D628" t="s">
        <v>1333</v>
      </c>
      <c r="E628" t="s">
        <v>380</v>
      </c>
      <c r="F628" t="s">
        <v>5301</v>
      </c>
    </row>
    <row r="629" spans="1:6" x14ac:dyDescent="0.2">
      <c r="A629" t="s">
        <v>4420</v>
      </c>
      <c r="B629" t="s">
        <v>4367</v>
      </c>
      <c r="C629" t="str">
        <f t="shared" si="9"/>
        <v>HUILAPALESTINA</v>
      </c>
      <c r="D629" t="s">
        <v>1333</v>
      </c>
      <c r="E629" t="s">
        <v>2504</v>
      </c>
      <c r="F629" t="s">
        <v>5302</v>
      </c>
    </row>
    <row r="630" spans="1:6" x14ac:dyDescent="0.2">
      <c r="A630" t="s">
        <v>4420</v>
      </c>
      <c r="B630" t="s">
        <v>4271</v>
      </c>
      <c r="C630" t="str">
        <f t="shared" si="9"/>
        <v>HUILAPITAL</v>
      </c>
      <c r="D630" t="s">
        <v>1333</v>
      </c>
      <c r="E630" t="s">
        <v>4434</v>
      </c>
      <c r="F630" t="s">
        <v>5303</v>
      </c>
    </row>
    <row r="631" spans="1:6" x14ac:dyDescent="0.2">
      <c r="A631" t="s">
        <v>4420</v>
      </c>
      <c r="B631" t="s">
        <v>4435</v>
      </c>
      <c r="C631" t="str">
        <f t="shared" si="9"/>
        <v>HUILAPITALITO</v>
      </c>
      <c r="D631" t="s">
        <v>1333</v>
      </c>
      <c r="E631" t="s">
        <v>1597</v>
      </c>
      <c r="F631" t="s">
        <v>5304</v>
      </c>
    </row>
    <row r="632" spans="1:6" x14ac:dyDescent="0.2">
      <c r="A632" t="s">
        <v>4420</v>
      </c>
      <c r="B632" t="s">
        <v>3981</v>
      </c>
      <c r="C632" t="str">
        <f t="shared" si="9"/>
        <v>HUILARIVERA</v>
      </c>
      <c r="D632" t="s">
        <v>1333</v>
      </c>
      <c r="E632" t="s">
        <v>3165</v>
      </c>
      <c r="F632" t="s">
        <v>5305</v>
      </c>
    </row>
    <row r="633" spans="1:6" x14ac:dyDescent="0.2">
      <c r="A633" t="s">
        <v>4420</v>
      </c>
      <c r="B633" t="s">
        <v>3991</v>
      </c>
      <c r="C633" t="str">
        <f t="shared" si="9"/>
        <v>HUILASALADOBLANCO</v>
      </c>
      <c r="D633" t="s">
        <v>1333</v>
      </c>
      <c r="E633" t="s">
        <v>2970</v>
      </c>
      <c r="F633" t="s">
        <v>5306</v>
      </c>
    </row>
    <row r="634" spans="1:6" x14ac:dyDescent="0.2">
      <c r="A634" t="s">
        <v>4420</v>
      </c>
      <c r="B634" t="s">
        <v>4436</v>
      </c>
      <c r="C634" t="str">
        <f t="shared" si="9"/>
        <v>HUILASAN AGUSTIN</v>
      </c>
      <c r="D634" t="s">
        <v>1333</v>
      </c>
      <c r="E634" t="s">
        <v>1335</v>
      </c>
      <c r="F634" t="s">
        <v>5307</v>
      </c>
    </row>
    <row r="635" spans="1:6" x14ac:dyDescent="0.2">
      <c r="A635" t="s">
        <v>4420</v>
      </c>
      <c r="B635" t="s">
        <v>4179</v>
      </c>
      <c r="C635" t="str">
        <f t="shared" si="9"/>
        <v>HUILASANTA MARIA</v>
      </c>
      <c r="D635" t="s">
        <v>1333</v>
      </c>
      <c r="E635" t="s">
        <v>3091</v>
      </c>
      <c r="F635" t="s">
        <v>5308</v>
      </c>
    </row>
    <row r="636" spans="1:6" x14ac:dyDescent="0.2">
      <c r="A636" t="s">
        <v>4420</v>
      </c>
      <c r="B636" t="s">
        <v>4047</v>
      </c>
      <c r="C636" t="str">
        <f t="shared" si="9"/>
        <v>HUILASUAZA</v>
      </c>
      <c r="D636" t="s">
        <v>1333</v>
      </c>
      <c r="E636" t="s">
        <v>2585</v>
      </c>
      <c r="F636" t="s">
        <v>5309</v>
      </c>
    </row>
    <row r="637" spans="1:6" x14ac:dyDescent="0.2">
      <c r="A637" t="s">
        <v>4420</v>
      </c>
      <c r="B637" t="s">
        <v>4437</v>
      </c>
      <c r="C637" t="str">
        <f t="shared" si="9"/>
        <v>HUILATARQUI</v>
      </c>
      <c r="D637" t="s">
        <v>1333</v>
      </c>
      <c r="E637" t="s">
        <v>2907</v>
      </c>
      <c r="F637" t="s">
        <v>5310</v>
      </c>
    </row>
    <row r="638" spans="1:6" x14ac:dyDescent="0.2">
      <c r="A638" t="s">
        <v>4420</v>
      </c>
      <c r="B638" t="s">
        <v>4387</v>
      </c>
      <c r="C638" t="str">
        <f t="shared" si="9"/>
        <v>HUILATESALIA</v>
      </c>
      <c r="D638" t="s">
        <v>1333</v>
      </c>
      <c r="E638" t="s">
        <v>2588</v>
      </c>
      <c r="F638" t="s">
        <v>5311</v>
      </c>
    </row>
    <row r="639" spans="1:6" x14ac:dyDescent="0.2">
      <c r="A639" t="s">
        <v>4420</v>
      </c>
      <c r="B639" t="s">
        <v>4388</v>
      </c>
      <c r="C639" t="str">
        <f t="shared" si="9"/>
        <v>HUILATELLO</v>
      </c>
      <c r="D639" t="s">
        <v>1333</v>
      </c>
      <c r="E639" t="s">
        <v>926</v>
      </c>
      <c r="F639" t="s">
        <v>5312</v>
      </c>
    </row>
    <row r="640" spans="1:6" x14ac:dyDescent="0.2">
      <c r="A640" t="s">
        <v>4420</v>
      </c>
      <c r="B640" t="s">
        <v>4438</v>
      </c>
      <c r="C640" t="str">
        <f t="shared" si="9"/>
        <v>HUILATERUEL</v>
      </c>
      <c r="D640" t="s">
        <v>1333</v>
      </c>
      <c r="E640" t="s">
        <v>458</v>
      </c>
      <c r="F640" t="s">
        <v>5313</v>
      </c>
    </row>
    <row r="641" spans="1:6" x14ac:dyDescent="0.2">
      <c r="A641" t="s">
        <v>4420</v>
      </c>
      <c r="B641" t="s">
        <v>4276</v>
      </c>
      <c r="C641" t="str">
        <f t="shared" si="9"/>
        <v>HUILATIMANA</v>
      </c>
      <c r="D641" t="s">
        <v>1333</v>
      </c>
      <c r="E641" t="s">
        <v>1432</v>
      </c>
      <c r="F641" t="s">
        <v>5314</v>
      </c>
    </row>
    <row r="642" spans="1:6" x14ac:dyDescent="0.2">
      <c r="A642" t="s">
        <v>4420</v>
      </c>
      <c r="B642" t="s">
        <v>4439</v>
      </c>
      <c r="C642" t="str">
        <f t="shared" si="9"/>
        <v>HUILAVILLAVIEJA</v>
      </c>
      <c r="D642" t="s">
        <v>1333</v>
      </c>
      <c r="E642" t="s">
        <v>2749</v>
      </c>
      <c r="F642" t="s">
        <v>5315</v>
      </c>
    </row>
    <row r="643" spans="1:6" x14ac:dyDescent="0.2">
      <c r="A643" t="s">
        <v>4420</v>
      </c>
      <c r="B643" t="s">
        <v>4019</v>
      </c>
      <c r="C643" t="str">
        <f t="shared" ref="C643:C706" si="10">D643&amp;E643</f>
        <v>HUILAYAGUARA</v>
      </c>
      <c r="D643" t="s">
        <v>1333</v>
      </c>
      <c r="E643" t="s">
        <v>614</v>
      </c>
      <c r="F643" t="s">
        <v>5316</v>
      </c>
    </row>
    <row r="644" spans="1:6" x14ac:dyDescent="0.2">
      <c r="A644" t="s">
        <v>4440</v>
      </c>
      <c r="B644" t="s">
        <v>3885</v>
      </c>
      <c r="C644" t="str">
        <f t="shared" si="10"/>
        <v>La GuajiraRIOHACHA</v>
      </c>
      <c r="D644" t="s">
        <v>4441</v>
      </c>
      <c r="E644" t="s">
        <v>1060</v>
      </c>
      <c r="F644" t="s">
        <v>5317</v>
      </c>
    </row>
    <row r="645" spans="1:6" x14ac:dyDescent="0.2">
      <c r="A645" t="s">
        <v>4440</v>
      </c>
      <c r="B645" t="s">
        <v>4313</v>
      </c>
      <c r="C645" t="str">
        <f t="shared" si="10"/>
        <v>La GuajiraALBANIA</v>
      </c>
      <c r="D645" t="s">
        <v>4441</v>
      </c>
      <c r="E645" t="s">
        <v>600</v>
      </c>
      <c r="F645" t="s">
        <v>5318</v>
      </c>
    </row>
    <row r="646" spans="1:6" x14ac:dyDescent="0.2">
      <c r="A646" t="s">
        <v>4440</v>
      </c>
      <c r="B646" t="s">
        <v>4027</v>
      </c>
      <c r="C646" t="str">
        <f t="shared" si="10"/>
        <v>La GuajiraBARRANCAS</v>
      </c>
      <c r="D646" t="s">
        <v>4441</v>
      </c>
      <c r="E646" t="s">
        <v>4442</v>
      </c>
      <c r="F646" t="s">
        <v>5319</v>
      </c>
    </row>
    <row r="647" spans="1:6" x14ac:dyDescent="0.2">
      <c r="A647" t="s">
        <v>4440</v>
      </c>
      <c r="B647" t="s">
        <v>4098</v>
      </c>
      <c r="C647" t="str">
        <f t="shared" si="10"/>
        <v>La GuajiraDIBULLA</v>
      </c>
      <c r="D647" t="s">
        <v>4441</v>
      </c>
      <c r="E647" t="s">
        <v>167</v>
      </c>
      <c r="F647" t="s">
        <v>5320</v>
      </c>
    </row>
    <row r="648" spans="1:6" x14ac:dyDescent="0.2">
      <c r="A648" t="s">
        <v>4440</v>
      </c>
      <c r="B648" t="s">
        <v>4443</v>
      </c>
      <c r="C648" t="str">
        <f t="shared" si="10"/>
        <v>La GuajiraDISTRACCION</v>
      </c>
      <c r="D648" t="s">
        <v>4441</v>
      </c>
      <c r="E648" t="s">
        <v>3784</v>
      </c>
      <c r="F648" t="s">
        <v>5321</v>
      </c>
    </row>
    <row r="649" spans="1:6" x14ac:dyDescent="0.2">
      <c r="A649" t="s">
        <v>4440</v>
      </c>
      <c r="B649" t="s">
        <v>4260</v>
      </c>
      <c r="C649" t="str">
        <f t="shared" si="10"/>
        <v>La GuajiraEL MOLINO</v>
      </c>
      <c r="D649" t="s">
        <v>4441</v>
      </c>
      <c r="E649" t="s">
        <v>1132</v>
      </c>
      <c r="F649" t="s">
        <v>5322</v>
      </c>
    </row>
    <row r="650" spans="1:6" x14ac:dyDescent="0.2">
      <c r="A650" t="s">
        <v>4440</v>
      </c>
      <c r="B650" t="s">
        <v>4334</v>
      </c>
      <c r="C650" t="str">
        <f t="shared" si="10"/>
        <v>La GuajiraFONSECA</v>
      </c>
      <c r="D650" t="s">
        <v>4441</v>
      </c>
      <c r="E650" t="s">
        <v>3183</v>
      </c>
      <c r="F650" t="s">
        <v>5323</v>
      </c>
    </row>
    <row r="651" spans="1:6" x14ac:dyDescent="0.2">
      <c r="A651" t="s">
        <v>4440</v>
      </c>
      <c r="B651" t="s">
        <v>4431</v>
      </c>
      <c r="C651" t="str">
        <f t="shared" si="10"/>
        <v>La GuajiraHATONUEVO</v>
      </c>
      <c r="D651" t="s">
        <v>4441</v>
      </c>
      <c r="E651" t="s">
        <v>4444</v>
      </c>
      <c r="F651" t="s">
        <v>5324</v>
      </c>
    </row>
    <row r="652" spans="1:6" x14ac:dyDescent="0.2">
      <c r="A652" t="s">
        <v>4440</v>
      </c>
      <c r="B652" t="s">
        <v>4445</v>
      </c>
      <c r="C652" t="str">
        <f t="shared" si="10"/>
        <v>La GuajiraLA JAGUA DEL PILAR</v>
      </c>
      <c r="D652" t="s">
        <v>4441</v>
      </c>
      <c r="E652" t="s">
        <v>4446</v>
      </c>
      <c r="F652" t="s">
        <v>5325</v>
      </c>
    </row>
    <row r="653" spans="1:6" x14ac:dyDescent="0.2">
      <c r="A653" t="s">
        <v>4440</v>
      </c>
      <c r="B653" t="s">
        <v>4066</v>
      </c>
      <c r="C653" t="str">
        <f t="shared" si="10"/>
        <v>La GuajiraMAICAO</v>
      </c>
      <c r="D653" t="s">
        <v>4441</v>
      </c>
      <c r="E653" t="s">
        <v>874</v>
      </c>
      <c r="F653" t="s">
        <v>5326</v>
      </c>
    </row>
    <row r="654" spans="1:6" x14ac:dyDescent="0.2">
      <c r="A654" t="s">
        <v>4440</v>
      </c>
      <c r="B654" t="s">
        <v>4039</v>
      </c>
      <c r="C654" t="str">
        <f t="shared" si="10"/>
        <v>La GuajiraMANAURE</v>
      </c>
      <c r="D654" t="s">
        <v>4441</v>
      </c>
      <c r="E654" t="s">
        <v>2424</v>
      </c>
      <c r="F654" t="s">
        <v>5327</v>
      </c>
    </row>
    <row r="655" spans="1:6" x14ac:dyDescent="0.2">
      <c r="A655" t="s">
        <v>4440</v>
      </c>
      <c r="B655" t="s">
        <v>4076</v>
      </c>
      <c r="C655" t="str">
        <f t="shared" si="10"/>
        <v>La GuajiraSAN JUAN DEL CESAR</v>
      </c>
      <c r="D655" t="s">
        <v>4441</v>
      </c>
      <c r="E655" t="s">
        <v>2063</v>
      </c>
      <c r="F655" t="s">
        <v>5328</v>
      </c>
    </row>
    <row r="656" spans="1:6" x14ac:dyDescent="0.2">
      <c r="A656" t="s">
        <v>4440</v>
      </c>
      <c r="B656" t="s">
        <v>4013</v>
      </c>
      <c r="C656" t="str">
        <f t="shared" si="10"/>
        <v>La GuajiraURIBIA</v>
      </c>
      <c r="D656" t="s">
        <v>4441</v>
      </c>
      <c r="E656" t="s">
        <v>1332</v>
      </c>
      <c r="F656" t="s">
        <v>5329</v>
      </c>
    </row>
    <row r="657" spans="1:6" x14ac:dyDescent="0.2">
      <c r="A657" t="s">
        <v>4440</v>
      </c>
      <c r="B657" t="s">
        <v>4310</v>
      </c>
      <c r="C657" t="str">
        <f t="shared" si="10"/>
        <v>La GuajiraURUMITA</v>
      </c>
      <c r="D657" t="s">
        <v>4441</v>
      </c>
      <c r="E657" t="s">
        <v>4447</v>
      </c>
      <c r="F657" t="s">
        <v>5330</v>
      </c>
    </row>
    <row r="658" spans="1:6" x14ac:dyDescent="0.2">
      <c r="A658" t="s">
        <v>4440</v>
      </c>
      <c r="B658" t="s">
        <v>4448</v>
      </c>
      <c r="C658" t="str">
        <f t="shared" si="10"/>
        <v>La GuajiraVILLANUEVA</v>
      </c>
      <c r="D658" t="s">
        <v>4441</v>
      </c>
      <c r="E658" t="s">
        <v>1953</v>
      </c>
      <c r="F658" t="s">
        <v>5331</v>
      </c>
    </row>
    <row r="659" spans="1:6" x14ac:dyDescent="0.2">
      <c r="A659" t="s">
        <v>4449</v>
      </c>
      <c r="B659" t="s">
        <v>3885</v>
      </c>
      <c r="C659" t="str">
        <f t="shared" si="10"/>
        <v>MagdalenaSANTA MARTA</v>
      </c>
      <c r="D659" t="s">
        <v>4450</v>
      </c>
      <c r="E659" t="s">
        <v>1814</v>
      </c>
      <c r="F659" t="s">
        <v>5332</v>
      </c>
    </row>
    <row r="660" spans="1:6" x14ac:dyDescent="0.2">
      <c r="A660" t="s">
        <v>4449</v>
      </c>
      <c r="B660" t="s">
        <v>3891</v>
      </c>
      <c r="C660" t="str">
        <f t="shared" si="10"/>
        <v>MagdalenaALGARROBO</v>
      </c>
      <c r="D660" t="s">
        <v>4450</v>
      </c>
      <c r="E660" t="s">
        <v>1616</v>
      </c>
      <c r="F660" t="s">
        <v>5333</v>
      </c>
    </row>
    <row r="661" spans="1:6" x14ac:dyDescent="0.2">
      <c r="A661" t="s">
        <v>4449</v>
      </c>
      <c r="B661" t="s">
        <v>4314</v>
      </c>
      <c r="C661" t="str">
        <f t="shared" si="10"/>
        <v>MagdalenaARACATACA</v>
      </c>
      <c r="D661" t="s">
        <v>4450</v>
      </c>
      <c r="E661" t="s">
        <v>1610</v>
      </c>
      <c r="F661" t="s">
        <v>5334</v>
      </c>
    </row>
    <row r="662" spans="1:6" x14ac:dyDescent="0.2">
      <c r="A662" t="s">
        <v>4449</v>
      </c>
      <c r="B662" t="s">
        <v>4451</v>
      </c>
      <c r="C662" t="str">
        <f t="shared" si="10"/>
        <v>MagdalenaARIGUANI</v>
      </c>
      <c r="D662" t="s">
        <v>4450</v>
      </c>
      <c r="E662" t="s">
        <v>997</v>
      </c>
      <c r="F662" t="s">
        <v>5335</v>
      </c>
    </row>
    <row r="663" spans="1:6" x14ac:dyDescent="0.2">
      <c r="A663" t="s">
        <v>4449</v>
      </c>
      <c r="B663" t="s">
        <v>4452</v>
      </c>
      <c r="C663" t="str">
        <f t="shared" si="10"/>
        <v>MagdalenaCERRO SAN ANTONIO</v>
      </c>
      <c r="D663" t="s">
        <v>4450</v>
      </c>
      <c r="E663" t="s">
        <v>4453</v>
      </c>
      <c r="F663" t="s">
        <v>5336</v>
      </c>
    </row>
    <row r="664" spans="1:6" x14ac:dyDescent="0.2">
      <c r="A664" t="s">
        <v>4449</v>
      </c>
      <c r="B664" t="s">
        <v>4454</v>
      </c>
      <c r="C664" t="str">
        <f t="shared" si="10"/>
        <v>MagdalenaCHIBOLO</v>
      </c>
      <c r="D664" t="s">
        <v>4450</v>
      </c>
      <c r="E664" t="s">
        <v>4455</v>
      </c>
      <c r="F664" t="s">
        <v>5337</v>
      </c>
    </row>
    <row r="665" spans="1:6" x14ac:dyDescent="0.2">
      <c r="A665" t="s">
        <v>4449</v>
      </c>
      <c r="B665" t="s">
        <v>4117</v>
      </c>
      <c r="C665" t="str">
        <f t="shared" si="10"/>
        <v>MagdalenaCIENAGA</v>
      </c>
      <c r="D665" t="s">
        <v>4450</v>
      </c>
      <c r="E665" t="s">
        <v>1886</v>
      </c>
      <c r="F665" t="s">
        <v>5338</v>
      </c>
    </row>
    <row r="666" spans="1:6" x14ac:dyDescent="0.2">
      <c r="A666" t="s">
        <v>4449</v>
      </c>
      <c r="B666" t="s">
        <v>4243</v>
      </c>
      <c r="C666" t="str">
        <f t="shared" si="10"/>
        <v>MagdalenaCONCORDIA</v>
      </c>
      <c r="D666" t="s">
        <v>4450</v>
      </c>
      <c r="E666" t="s">
        <v>1922</v>
      </c>
      <c r="F666" t="s">
        <v>5339</v>
      </c>
    </row>
    <row r="667" spans="1:6" x14ac:dyDescent="0.2">
      <c r="A667" t="s">
        <v>4449</v>
      </c>
      <c r="B667" t="s">
        <v>4329</v>
      </c>
      <c r="C667" t="str">
        <f t="shared" si="10"/>
        <v>MagdalenaEL BANCO</v>
      </c>
      <c r="D667" t="s">
        <v>4450</v>
      </c>
      <c r="E667" t="s">
        <v>1837</v>
      </c>
      <c r="F667" t="s">
        <v>5340</v>
      </c>
    </row>
    <row r="668" spans="1:6" x14ac:dyDescent="0.2">
      <c r="A668" t="s">
        <v>4449</v>
      </c>
      <c r="B668" t="s">
        <v>4330</v>
      </c>
      <c r="C668" t="str">
        <f t="shared" si="10"/>
        <v>MagdalenaEL PIÑON</v>
      </c>
      <c r="D668" t="s">
        <v>4450</v>
      </c>
      <c r="E668" t="s">
        <v>1875</v>
      </c>
      <c r="F668" t="s">
        <v>5341</v>
      </c>
    </row>
    <row r="669" spans="1:6" x14ac:dyDescent="0.2">
      <c r="A669" t="s">
        <v>4449</v>
      </c>
      <c r="B669" t="s">
        <v>4064</v>
      </c>
      <c r="C669" t="str">
        <f t="shared" si="10"/>
        <v>MagdalenaEL RETEN</v>
      </c>
      <c r="D669" t="s">
        <v>4450</v>
      </c>
      <c r="E669" t="s">
        <v>1881</v>
      </c>
      <c r="F669" t="s">
        <v>5342</v>
      </c>
    </row>
    <row r="670" spans="1:6" x14ac:dyDescent="0.2">
      <c r="A670" t="s">
        <v>4449</v>
      </c>
      <c r="B670" t="s">
        <v>4339</v>
      </c>
      <c r="C670" t="str">
        <f t="shared" si="10"/>
        <v>MagdalenaFUNDACION</v>
      </c>
      <c r="D670" t="s">
        <v>4450</v>
      </c>
      <c r="E670" t="s">
        <v>995</v>
      </c>
      <c r="F670" t="s">
        <v>5343</v>
      </c>
    </row>
    <row r="671" spans="1:6" x14ac:dyDescent="0.2">
      <c r="A671" t="s">
        <v>4449</v>
      </c>
      <c r="B671" t="s">
        <v>3946</v>
      </c>
      <c r="C671" t="str">
        <f t="shared" si="10"/>
        <v>MagdalenaGUAMAL</v>
      </c>
      <c r="D671" t="s">
        <v>4450</v>
      </c>
      <c r="E671" t="s">
        <v>1882</v>
      </c>
      <c r="F671" t="s">
        <v>5344</v>
      </c>
    </row>
    <row r="672" spans="1:6" x14ac:dyDescent="0.2">
      <c r="A672" t="s">
        <v>4449</v>
      </c>
      <c r="B672" t="s">
        <v>4249</v>
      </c>
      <c r="C672" t="str">
        <f t="shared" si="10"/>
        <v>MagdalenaNUEVA GRANADA</v>
      </c>
      <c r="D672" t="s">
        <v>4450</v>
      </c>
      <c r="E672" t="s">
        <v>49</v>
      </c>
      <c r="F672" t="s">
        <v>5345</v>
      </c>
    </row>
    <row r="673" spans="1:6" x14ac:dyDescent="0.2">
      <c r="A673" t="s">
        <v>4449</v>
      </c>
      <c r="B673" t="s">
        <v>3970</v>
      </c>
      <c r="C673" t="str">
        <f t="shared" si="10"/>
        <v>MagdalenaPEDRAZA</v>
      </c>
      <c r="D673" t="s">
        <v>4450</v>
      </c>
      <c r="E673" t="s">
        <v>1883</v>
      </c>
      <c r="F673" t="s">
        <v>5346</v>
      </c>
    </row>
    <row r="674" spans="1:6" x14ac:dyDescent="0.2">
      <c r="A674" t="s">
        <v>4449</v>
      </c>
      <c r="B674" t="s">
        <v>4456</v>
      </c>
      <c r="C674" t="str">
        <f t="shared" si="10"/>
        <v>MagdalenaPIJIÑO DEL CARMEN</v>
      </c>
      <c r="D674" t="s">
        <v>4450</v>
      </c>
      <c r="E674" t="s">
        <v>1879</v>
      </c>
      <c r="F674" t="s">
        <v>5347</v>
      </c>
    </row>
    <row r="675" spans="1:6" x14ac:dyDescent="0.2">
      <c r="A675" t="s">
        <v>4449</v>
      </c>
      <c r="B675" t="s">
        <v>4435</v>
      </c>
      <c r="C675" t="str">
        <f t="shared" si="10"/>
        <v>MagdalenaPIVIJAY</v>
      </c>
      <c r="D675" t="s">
        <v>4450</v>
      </c>
      <c r="E675" t="s">
        <v>1876</v>
      </c>
      <c r="F675" t="s">
        <v>5348</v>
      </c>
    </row>
    <row r="676" spans="1:6" x14ac:dyDescent="0.2">
      <c r="A676" t="s">
        <v>4449</v>
      </c>
      <c r="B676" t="s">
        <v>4303</v>
      </c>
      <c r="C676" t="str">
        <f t="shared" si="10"/>
        <v>MagdalenaPLATO</v>
      </c>
      <c r="D676" t="s">
        <v>4450</v>
      </c>
      <c r="E676" t="s">
        <v>996</v>
      </c>
      <c r="F676" t="s">
        <v>5349</v>
      </c>
    </row>
    <row r="677" spans="1:6" x14ac:dyDescent="0.2">
      <c r="A677" t="s">
        <v>4449</v>
      </c>
      <c r="B677" t="s">
        <v>4291</v>
      </c>
      <c r="C677" t="str">
        <f t="shared" si="10"/>
        <v>MagdalenaPUEBLOVIEJO</v>
      </c>
      <c r="D677" t="s">
        <v>4450</v>
      </c>
      <c r="E677" t="s">
        <v>4457</v>
      </c>
      <c r="F677" t="s">
        <v>5350</v>
      </c>
    </row>
    <row r="678" spans="1:6" x14ac:dyDescent="0.2">
      <c r="A678" t="s">
        <v>4449</v>
      </c>
      <c r="B678" t="s">
        <v>4458</v>
      </c>
      <c r="C678" t="str">
        <f t="shared" si="10"/>
        <v>MagdalenaREMOLINO</v>
      </c>
      <c r="D678" t="s">
        <v>4450</v>
      </c>
      <c r="E678" t="s">
        <v>1920</v>
      </c>
      <c r="F678" t="s">
        <v>5351</v>
      </c>
    </row>
    <row r="679" spans="1:6" x14ac:dyDescent="0.2">
      <c r="A679" t="s">
        <v>4449</v>
      </c>
      <c r="B679" t="s">
        <v>3991</v>
      </c>
      <c r="C679" t="str">
        <f t="shared" si="10"/>
        <v>MagdalenaSABANAS DE SAN ANGEL</v>
      </c>
      <c r="D679" t="s">
        <v>4450</v>
      </c>
      <c r="E679" t="s">
        <v>1867</v>
      </c>
      <c r="F679" t="s">
        <v>5352</v>
      </c>
    </row>
    <row r="680" spans="1:6" x14ac:dyDescent="0.2">
      <c r="A680" t="s">
        <v>4449</v>
      </c>
      <c r="B680" t="s">
        <v>4044</v>
      </c>
      <c r="C680" t="str">
        <f t="shared" si="10"/>
        <v>MagdalenaSALAMINA</v>
      </c>
      <c r="D680" t="s">
        <v>4450</v>
      </c>
      <c r="E680" t="s">
        <v>2584</v>
      </c>
      <c r="F680" t="s">
        <v>5353</v>
      </c>
    </row>
    <row r="681" spans="1:6" x14ac:dyDescent="0.2">
      <c r="A681" t="s">
        <v>4449</v>
      </c>
      <c r="B681" t="s">
        <v>4459</v>
      </c>
      <c r="C681" t="str">
        <f t="shared" si="10"/>
        <v>MagdalenaSAN SEBASTIAN DE BUENAVISTA</v>
      </c>
      <c r="D681" t="s">
        <v>4450</v>
      </c>
      <c r="E681" t="s">
        <v>4460</v>
      </c>
      <c r="F681" t="s">
        <v>5354</v>
      </c>
    </row>
    <row r="682" spans="1:6" x14ac:dyDescent="0.2">
      <c r="A682" t="s">
        <v>4449</v>
      </c>
      <c r="B682" t="s">
        <v>4461</v>
      </c>
      <c r="C682" t="str">
        <f t="shared" si="10"/>
        <v>MagdalenaSAN ZENON</v>
      </c>
      <c r="D682" t="s">
        <v>4450</v>
      </c>
      <c r="E682" t="s">
        <v>1860</v>
      </c>
      <c r="F682" t="s">
        <v>5355</v>
      </c>
    </row>
    <row r="683" spans="1:6" x14ac:dyDescent="0.2">
      <c r="A683" t="s">
        <v>4449</v>
      </c>
      <c r="B683" t="s">
        <v>4462</v>
      </c>
      <c r="C683" t="str">
        <f t="shared" si="10"/>
        <v>MagdalenaSANTA ANA</v>
      </c>
      <c r="D683" t="s">
        <v>4450</v>
      </c>
      <c r="E683" t="s">
        <v>1861</v>
      </c>
      <c r="F683" t="s">
        <v>5356</v>
      </c>
    </row>
    <row r="684" spans="1:6" x14ac:dyDescent="0.2">
      <c r="A684" t="s">
        <v>4449</v>
      </c>
      <c r="B684" t="s">
        <v>4185</v>
      </c>
      <c r="C684" t="str">
        <f t="shared" si="10"/>
        <v>MagdalenaSANTA BARBARA DE PINTO</v>
      </c>
      <c r="D684" t="s">
        <v>4450</v>
      </c>
      <c r="E684" t="s">
        <v>1877</v>
      </c>
      <c r="F684" t="s">
        <v>5357</v>
      </c>
    </row>
    <row r="685" spans="1:6" x14ac:dyDescent="0.2">
      <c r="A685" t="s">
        <v>4449</v>
      </c>
      <c r="B685" t="s">
        <v>4377</v>
      </c>
      <c r="C685" t="str">
        <f t="shared" si="10"/>
        <v>MagdalenaSITIONUEVO</v>
      </c>
      <c r="D685" t="s">
        <v>4450</v>
      </c>
      <c r="E685" t="s">
        <v>4463</v>
      </c>
      <c r="F685" t="s">
        <v>5358</v>
      </c>
    </row>
    <row r="686" spans="1:6" x14ac:dyDescent="0.2">
      <c r="A686" t="s">
        <v>4449</v>
      </c>
      <c r="B686" t="s">
        <v>4201</v>
      </c>
      <c r="C686" t="str">
        <f t="shared" si="10"/>
        <v>MagdalenaTENERIFE</v>
      </c>
      <c r="D686" t="s">
        <v>4450</v>
      </c>
      <c r="E686" t="s">
        <v>1880</v>
      </c>
      <c r="F686" t="s">
        <v>5359</v>
      </c>
    </row>
    <row r="687" spans="1:6" x14ac:dyDescent="0.2">
      <c r="A687" t="s">
        <v>4449</v>
      </c>
      <c r="B687" t="s">
        <v>4464</v>
      </c>
      <c r="C687" t="str">
        <f t="shared" si="10"/>
        <v>MagdalenaZAPAYAN</v>
      </c>
      <c r="D687" t="s">
        <v>4450</v>
      </c>
      <c r="E687" t="s">
        <v>1874</v>
      </c>
      <c r="F687" t="s">
        <v>5360</v>
      </c>
    </row>
    <row r="688" spans="1:6" x14ac:dyDescent="0.2">
      <c r="A688" t="s">
        <v>4449</v>
      </c>
      <c r="B688" t="s">
        <v>4465</v>
      </c>
      <c r="C688" t="str">
        <f t="shared" si="10"/>
        <v>MagdalenaZONA BANANERA</v>
      </c>
      <c r="D688" t="s">
        <v>4450</v>
      </c>
      <c r="E688" t="s">
        <v>1348</v>
      </c>
      <c r="F688" t="s">
        <v>5361</v>
      </c>
    </row>
    <row r="689" spans="1:6" x14ac:dyDescent="0.2">
      <c r="A689" t="s">
        <v>4466</v>
      </c>
      <c r="B689" t="s">
        <v>3885</v>
      </c>
      <c r="C689" t="str">
        <f t="shared" si="10"/>
        <v>METAVILLAVICENCIO</v>
      </c>
      <c r="D689" t="s">
        <v>708</v>
      </c>
      <c r="E689" t="s">
        <v>2328</v>
      </c>
      <c r="F689" t="s">
        <v>5362</v>
      </c>
    </row>
    <row r="690" spans="1:6" x14ac:dyDescent="0.2">
      <c r="A690" t="s">
        <v>4466</v>
      </c>
      <c r="B690" t="s">
        <v>4053</v>
      </c>
      <c r="C690" t="str">
        <f t="shared" si="10"/>
        <v>METAACACIAS</v>
      </c>
      <c r="D690" t="s">
        <v>708</v>
      </c>
      <c r="E690" t="s">
        <v>2092</v>
      </c>
      <c r="F690" t="s">
        <v>5363</v>
      </c>
    </row>
    <row r="691" spans="1:6" x14ac:dyDescent="0.2">
      <c r="A691" t="s">
        <v>4466</v>
      </c>
      <c r="B691" t="s">
        <v>4260</v>
      </c>
      <c r="C691" t="str">
        <f t="shared" si="10"/>
        <v>METABARRANCA DE UPIA</v>
      </c>
      <c r="D691" t="s">
        <v>708</v>
      </c>
      <c r="E691" t="s">
        <v>949</v>
      </c>
      <c r="F691" t="s">
        <v>5364</v>
      </c>
    </row>
    <row r="692" spans="1:6" x14ac:dyDescent="0.2">
      <c r="A692" t="s">
        <v>4466</v>
      </c>
      <c r="B692" t="s">
        <v>4467</v>
      </c>
      <c r="C692" t="str">
        <f t="shared" si="10"/>
        <v>METACABUYARO</v>
      </c>
      <c r="D692" t="s">
        <v>708</v>
      </c>
      <c r="E692" t="s">
        <v>2505</v>
      </c>
      <c r="F692" t="s">
        <v>5365</v>
      </c>
    </row>
    <row r="693" spans="1:6" x14ac:dyDescent="0.2">
      <c r="A693" t="s">
        <v>4466</v>
      </c>
      <c r="B693" t="s">
        <v>3922</v>
      </c>
      <c r="C693" t="str">
        <f t="shared" si="10"/>
        <v>METACASTILLA LA NUEVA</v>
      </c>
      <c r="D693" t="s">
        <v>708</v>
      </c>
      <c r="E693" t="s">
        <v>1347</v>
      </c>
      <c r="F693" t="s">
        <v>5366</v>
      </c>
    </row>
    <row r="694" spans="1:6" x14ac:dyDescent="0.2">
      <c r="A694" t="s">
        <v>4466</v>
      </c>
      <c r="B694" t="s">
        <v>4123</v>
      </c>
      <c r="C694" t="str">
        <f t="shared" si="10"/>
        <v>METACUBARRAL</v>
      </c>
      <c r="D694" t="s">
        <v>708</v>
      </c>
      <c r="E694" t="s">
        <v>4468</v>
      </c>
      <c r="F694" t="s">
        <v>5367</v>
      </c>
    </row>
    <row r="695" spans="1:6" x14ac:dyDescent="0.2">
      <c r="A695" t="s">
        <v>4466</v>
      </c>
      <c r="B695" t="s">
        <v>4125</v>
      </c>
      <c r="C695" t="str">
        <f t="shared" si="10"/>
        <v>METACUMARAL</v>
      </c>
      <c r="D695" t="s">
        <v>708</v>
      </c>
      <c r="E695" t="s">
        <v>2270</v>
      </c>
      <c r="F695" t="s">
        <v>5368</v>
      </c>
    </row>
    <row r="696" spans="1:6" x14ac:dyDescent="0.2">
      <c r="A696" t="s">
        <v>4466</v>
      </c>
      <c r="B696" t="s">
        <v>4329</v>
      </c>
      <c r="C696" t="str">
        <f t="shared" si="10"/>
        <v>METAEL CALVARIO</v>
      </c>
      <c r="D696" t="s">
        <v>708</v>
      </c>
      <c r="E696" t="s">
        <v>2664</v>
      </c>
      <c r="F696" t="s">
        <v>5369</v>
      </c>
    </row>
    <row r="697" spans="1:6" x14ac:dyDescent="0.2">
      <c r="A697" t="s">
        <v>4466</v>
      </c>
      <c r="B697" t="s">
        <v>4469</v>
      </c>
      <c r="C697" t="str">
        <f t="shared" si="10"/>
        <v>METAEL CASTILLO</v>
      </c>
      <c r="D697" t="s">
        <v>708</v>
      </c>
      <c r="E697" t="s">
        <v>709</v>
      </c>
      <c r="F697" t="s">
        <v>5370</v>
      </c>
    </row>
    <row r="698" spans="1:6" x14ac:dyDescent="0.2">
      <c r="A698" t="s">
        <v>4466</v>
      </c>
      <c r="B698" t="s">
        <v>4470</v>
      </c>
      <c r="C698" t="str">
        <f t="shared" si="10"/>
        <v>METAEL DORADO</v>
      </c>
      <c r="D698" t="s">
        <v>708</v>
      </c>
      <c r="E698" t="s">
        <v>438</v>
      </c>
      <c r="F698" t="s">
        <v>5371</v>
      </c>
    </row>
    <row r="699" spans="1:6" x14ac:dyDescent="0.2">
      <c r="A699" t="s">
        <v>4466</v>
      </c>
      <c r="B699" t="s">
        <v>4471</v>
      </c>
      <c r="C699" t="str">
        <f t="shared" si="10"/>
        <v>METAFUENTE DE ORO</v>
      </c>
      <c r="D699" t="s">
        <v>708</v>
      </c>
      <c r="E699" t="s">
        <v>4472</v>
      </c>
      <c r="F699" t="s">
        <v>5372</v>
      </c>
    </row>
    <row r="700" spans="1:6" x14ac:dyDescent="0.2">
      <c r="A700" t="s">
        <v>4466</v>
      </c>
      <c r="B700" t="s">
        <v>3944</v>
      </c>
      <c r="C700" t="str">
        <f t="shared" si="10"/>
        <v>METAGRANADA</v>
      </c>
      <c r="D700" t="s">
        <v>708</v>
      </c>
      <c r="E700" t="s">
        <v>2381</v>
      </c>
      <c r="F700" t="s">
        <v>5373</v>
      </c>
    </row>
    <row r="701" spans="1:6" x14ac:dyDescent="0.2">
      <c r="A701" t="s">
        <v>4466</v>
      </c>
      <c r="B701" t="s">
        <v>3946</v>
      </c>
      <c r="C701" t="str">
        <f t="shared" si="10"/>
        <v>METAGUAMAL</v>
      </c>
      <c r="D701" t="s">
        <v>708</v>
      </c>
      <c r="E701" t="s">
        <v>1882</v>
      </c>
      <c r="F701" t="s">
        <v>5374</v>
      </c>
    </row>
    <row r="702" spans="1:6" x14ac:dyDescent="0.2">
      <c r="A702" t="s">
        <v>4466</v>
      </c>
      <c r="B702" t="s">
        <v>4137</v>
      </c>
      <c r="C702" t="str">
        <f t="shared" si="10"/>
        <v>METAMAPIRIPAN</v>
      </c>
      <c r="D702" t="s">
        <v>708</v>
      </c>
      <c r="E702" t="s">
        <v>806</v>
      </c>
      <c r="F702" t="s">
        <v>5375</v>
      </c>
    </row>
    <row r="703" spans="1:6" x14ac:dyDescent="0.2">
      <c r="A703" t="s">
        <v>4466</v>
      </c>
      <c r="B703" t="s">
        <v>4473</v>
      </c>
      <c r="C703" t="str">
        <f t="shared" si="10"/>
        <v>METAMESETAS</v>
      </c>
      <c r="D703" t="s">
        <v>708</v>
      </c>
      <c r="E703" t="s">
        <v>3098</v>
      </c>
      <c r="F703" t="s">
        <v>5376</v>
      </c>
    </row>
    <row r="704" spans="1:6" x14ac:dyDescent="0.2">
      <c r="A704" t="s">
        <v>4466</v>
      </c>
      <c r="B704" t="s">
        <v>4300</v>
      </c>
      <c r="C704" t="str">
        <f t="shared" si="10"/>
        <v>METALA MACARENA</v>
      </c>
      <c r="D704" t="s">
        <v>708</v>
      </c>
      <c r="E704" t="s">
        <v>4474</v>
      </c>
      <c r="F704" t="s">
        <v>5377</v>
      </c>
    </row>
    <row r="705" spans="1:6" x14ac:dyDescent="0.2">
      <c r="A705" t="s">
        <v>4466</v>
      </c>
      <c r="B705" t="s">
        <v>4475</v>
      </c>
      <c r="C705" t="str">
        <f t="shared" si="10"/>
        <v>METALA URIBE</v>
      </c>
      <c r="D705" t="s">
        <v>708</v>
      </c>
      <c r="E705" t="s">
        <v>4476</v>
      </c>
      <c r="F705" t="s">
        <v>5378</v>
      </c>
    </row>
    <row r="706" spans="1:6" x14ac:dyDescent="0.2">
      <c r="A706" t="s">
        <v>4466</v>
      </c>
      <c r="B706" t="s">
        <v>3958</v>
      </c>
      <c r="C706" t="str">
        <f t="shared" si="10"/>
        <v>METALEJANIAS</v>
      </c>
      <c r="D706" t="s">
        <v>708</v>
      </c>
      <c r="E706" t="s">
        <v>1738</v>
      </c>
      <c r="F706" t="s">
        <v>5379</v>
      </c>
    </row>
    <row r="707" spans="1:6" x14ac:dyDescent="0.2">
      <c r="A707" t="s">
        <v>4466</v>
      </c>
      <c r="B707" t="s">
        <v>4268</v>
      </c>
      <c r="C707" t="str">
        <f t="shared" ref="C707:C770" si="11">D707&amp;E707</f>
        <v>METAPUERTO CONCORDIA</v>
      </c>
      <c r="D707" t="s">
        <v>708</v>
      </c>
      <c r="E707" t="s">
        <v>437</v>
      </c>
      <c r="F707" t="s">
        <v>5380</v>
      </c>
    </row>
    <row r="708" spans="1:6" x14ac:dyDescent="0.2">
      <c r="A708" t="s">
        <v>4466</v>
      </c>
      <c r="B708" t="s">
        <v>4477</v>
      </c>
      <c r="C708" t="str">
        <f t="shared" si="11"/>
        <v>METAPUERTO GAITAN</v>
      </c>
      <c r="D708" t="s">
        <v>708</v>
      </c>
      <c r="E708" t="s">
        <v>4478</v>
      </c>
      <c r="F708" t="s">
        <v>5381</v>
      </c>
    </row>
    <row r="709" spans="1:6" x14ac:dyDescent="0.2">
      <c r="A709" t="s">
        <v>4466</v>
      </c>
      <c r="B709" t="s">
        <v>4040</v>
      </c>
      <c r="C709" t="str">
        <f t="shared" si="11"/>
        <v>METAPUERTO LOPEZ</v>
      </c>
      <c r="D709" t="s">
        <v>708</v>
      </c>
      <c r="E709" t="s">
        <v>3105</v>
      </c>
      <c r="F709" t="s">
        <v>5382</v>
      </c>
    </row>
    <row r="710" spans="1:6" x14ac:dyDescent="0.2">
      <c r="A710" t="s">
        <v>4466</v>
      </c>
      <c r="B710" t="s">
        <v>4479</v>
      </c>
      <c r="C710" t="str">
        <f t="shared" si="11"/>
        <v>METAPUERTO LLERAS</v>
      </c>
      <c r="D710" t="s">
        <v>708</v>
      </c>
      <c r="E710" t="s">
        <v>726</v>
      </c>
      <c r="F710" t="s">
        <v>5383</v>
      </c>
    </row>
    <row r="711" spans="1:6" x14ac:dyDescent="0.2">
      <c r="A711" t="s">
        <v>4466</v>
      </c>
      <c r="B711" t="s">
        <v>4480</v>
      </c>
      <c r="C711" t="str">
        <f t="shared" si="11"/>
        <v>METAPUERTO RICO</v>
      </c>
      <c r="D711" t="s">
        <v>708</v>
      </c>
      <c r="E711" t="s">
        <v>2019</v>
      </c>
      <c r="F711" t="s">
        <v>5384</v>
      </c>
    </row>
    <row r="712" spans="1:6" x14ac:dyDescent="0.2">
      <c r="A712" t="s">
        <v>4466</v>
      </c>
      <c r="B712" t="s">
        <v>4041</v>
      </c>
      <c r="C712" t="str">
        <f t="shared" si="11"/>
        <v>METARESTREPO</v>
      </c>
      <c r="D712" t="s">
        <v>708</v>
      </c>
      <c r="E712" t="s">
        <v>2736</v>
      </c>
      <c r="F712" t="s">
        <v>5385</v>
      </c>
    </row>
    <row r="713" spans="1:6" x14ac:dyDescent="0.2">
      <c r="A713" t="s">
        <v>4466</v>
      </c>
      <c r="B713" t="s">
        <v>4481</v>
      </c>
      <c r="C713" t="str">
        <f t="shared" si="11"/>
        <v>METASAN CARLOS DE GUAROA</v>
      </c>
      <c r="D713" t="s">
        <v>708</v>
      </c>
      <c r="E713" t="s">
        <v>4482</v>
      </c>
      <c r="F713" t="s">
        <v>5386</v>
      </c>
    </row>
    <row r="714" spans="1:6" x14ac:dyDescent="0.2">
      <c r="A714" t="s">
        <v>4466</v>
      </c>
      <c r="B714" t="s">
        <v>4082</v>
      </c>
      <c r="C714" t="str">
        <f t="shared" si="11"/>
        <v>METASAN JUAN DE ARAMA</v>
      </c>
      <c r="D714" t="s">
        <v>708</v>
      </c>
      <c r="E714" t="s">
        <v>2116</v>
      </c>
      <c r="F714" t="s">
        <v>5387</v>
      </c>
    </row>
    <row r="715" spans="1:6" x14ac:dyDescent="0.2">
      <c r="A715" t="s">
        <v>4466</v>
      </c>
      <c r="B715" t="s">
        <v>3998</v>
      </c>
      <c r="C715" t="str">
        <f t="shared" si="11"/>
        <v>METASAN JUANITO</v>
      </c>
      <c r="D715" t="s">
        <v>708</v>
      </c>
      <c r="E715" t="s">
        <v>2277</v>
      </c>
      <c r="F715" t="s">
        <v>5388</v>
      </c>
    </row>
    <row r="716" spans="1:6" x14ac:dyDescent="0.2">
      <c r="A716" t="s">
        <v>4466</v>
      </c>
      <c r="B716" t="s">
        <v>4483</v>
      </c>
      <c r="C716" t="str">
        <f t="shared" si="11"/>
        <v>METASAN MARTIN</v>
      </c>
      <c r="D716" t="s">
        <v>708</v>
      </c>
      <c r="E716" t="s">
        <v>2188</v>
      </c>
      <c r="F716" t="s">
        <v>5389</v>
      </c>
    </row>
    <row r="717" spans="1:6" x14ac:dyDescent="0.2">
      <c r="A717" t="s">
        <v>4466</v>
      </c>
      <c r="B717" t="s">
        <v>4484</v>
      </c>
      <c r="C717" t="str">
        <f t="shared" si="11"/>
        <v>METAVISTAHERMOSA</v>
      </c>
      <c r="D717" t="s">
        <v>708</v>
      </c>
      <c r="E717" t="s">
        <v>2833</v>
      </c>
      <c r="F717" t="s">
        <v>5390</v>
      </c>
    </row>
    <row r="718" spans="1:6" x14ac:dyDescent="0.2">
      <c r="A718" t="s">
        <v>4485</v>
      </c>
      <c r="B718" t="s">
        <v>3885</v>
      </c>
      <c r="C718" t="str">
        <f t="shared" si="11"/>
        <v>NariñoPASTO</v>
      </c>
      <c r="D718" t="s">
        <v>4486</v>
      </c>
      <c r="E718" t="s">
        <v>497</v>
      </c>
      <c r="F718" t="s">
        <v>5391</v>
      </c>
    </row>
    <row r="719" spans="1:6" x14ac:dyDescent="0.2">
      <c r="A719" t="s">
        <v>4485</v>
      </c>
      <c r="B719" t="s">
        <v>4312</v>
      </c>
      <c r="C719" t="str">
        <f t="shared" si="11"/>
        <v>NariñoALBAN</v>
      </c>
      <c r="D719" t="s">
        <v>4486</v>
      </c>
      <c r="E719" t="s">
        <v>556</v>
      </c>
      <c r="F719" t="s">
        <v>5392</v>
      </c>
    </row>
    <row r="720" spans="1:6" x14ac:dyDescent="0.2">
      <c r="A720" t="s">
        <v>4485</v>
      </c>
      <c r="B720" t="s">
        <v>4093</v>
      </c>
      <c r="C720" t="str">
        <f t="shared" si="11"/>
        <v>NariñoALDANA</v>
      </c>
      <c r="D720" t="s">
        <v>4486</v>
      </c>
      <c r="E720" t="s">
        <v>4487</v>
      </c>
      <c r="F720" t="s">
        <v>5393</v>
      </c>
    </row>
    <row r="721" spans="1:6" x14ac:dyDescent="0.2">
      <c r="A721" t="s">
        <v>4485</v>
      </c>
      <c r="B721" t="s">
        <v>3894</v>
      </c>
      <c r="C721" t="str">
        <f t="shared" si="11"/>
        <v>NariñoANCUYA</v>
      </c>
      <c r="D721" t="s">
        <v>4486</v>
      </c>
      <c r="E721" t="s">
        <v>2501</v>
      </c>
      <c r="F721" t="s">
        <v>5394</v>
      </c>
    </row>
    <row r="722" spans="1:6" x14ac:dyDescent="0.2">
      <c r="A722" t="s">
        <v>4485</v>
      </c>
      <c r="B722" t="s">
        <v>3900</v>
      </c>
      <c r="C722" t="str">
        <f t="shared" si="11"/>
        <v>NariñoARBOLEDA</v>
      </c>
      <c r="D722" t="s">
        <v>4486</v>
      </c>
      <c r="E722" t="s">
        <v>2919</v>
      </c>
      <c r="F722" t="s">
        <v>5395</v>
      </c>
    </row>
    <row r="723" spans="1:6" x14ac:dyDescent="0.2">
      <c r="A723" t="s">
        <v>4485</v>
      </c>
      <c r="B723" t="s">
        <v>3903</v>
      </c>
      <c r="C723" t="str">
        <f t="shared" si="11"/>
        <v>NariñoBARBACOAS</v>
      </c>
      <c r="D723" t="s">
        <v>4486</v>
      </c>
      <c r="E723" t="s">
        <v>893</v>
      </c>
      <c r="F723" t="s">
        <v>5396</v>
      </c>
    </row>
    <row r="724" spans="1:6" x14ac:dyDescent="0.2">
      <c r="A724" t="s">
        <v>4485</v>
      </c>
      <c r="B724" t="s">
        <v>4488</v>
      </c>
      <c r="C724" t="str">
        <f t="shared" si="11"/>
        <v>NariñoBELEN</v>
      </c>
      <c r="D724" t="s">
        <v>4486</v>
      </c>
      <c r="E724" s="190" t="s">
        <v>2531</v>
      </c>
      <c r="F724" t="s">
        <v>5397</v>
      </c>
    </row>
    <row r="725" spans="1:6" x14ac:dyDescent="0.2">
      <c r="A725" t="s">
        <v>4485</v>
      </c>
      <c r="B725" t="s">
        <v>4260</v>
      </c>
      <c r="C725" t="str">
        <f t="shared" si="11"/>
        <v>NariñoBUESACO</v>
      </c>
      <c r="D725" t="s">
        <v>4486</v>
      </c>
      <c r="E725" t="s">
        <v>551</v>
      </c>
      <c r="F725" t="s">
        <v>5398</v>
      </c>
    </row>
    <row r="726" spans="1:6" x14ac:dyDescent="0.2">
      <c r="A726" t="s">
        <v>4485</v>
      </c>
      <c r="B726" t="s">
        <v>4489</v>
      </c>
      <c r="C726" t="str">
        <f t="shared" si="11"/>
        <v>NariñoCOLON</v>
      </c>
      <c r="D726" t="s">
        <v>4486</v>
      </c>
      <c r="E726" t="s">
        <v>388</v>
      </c>
      <c r="F726" t="s">
        <v>5399</v>
      </c>
    </row>
    <row r="727" spans="1:6" x14ac:dyDescent="0.2">
      <c r="A727" t="s">
        <v>4485</v>
      </c>
      <c r="B727" t="s">
        <v>4490</v>
      </c>
      <c r="C727" t="str">
        <f t="shared" si="11"/>
        <v>NariñoCONSACA</v>
      </c>
      <c r="D727" t="s">
        <v>4486</v>
      </c>
      <c r="E727" t="s">
        <v>389</v>
      </c>
      <c r="F727" t="s">
        <v>5400</v>
      </c>
    </row>
    <row r="728" spans="1:6" x14ac:dyDescent="0.2">
      <c r="A728" t="s">
        <v>4485</v>
      </c>
      <c r="B728" t="s">
        <v>4491</v>
      </c>
      <c r="C728" t="str">
        <f t="shared" si="11"/>
        <v>NariñoEL CONTADERO</v>
      </c>
      <c r="D728" t="s">
        <v>4486</v>
      </c>
      <c r="E728" s="190" t="s">
        <v>6308</v>
      </c>
      <c r="F728" t="s">
        <v>5401</v>
      </c>
    </row>
    <row r="729" spans="1:6" x14ac:dyDescent="0.2">
      <c r="A729" t="s">
        <v>4485</v>
      </c>
      <c r="B729" t="s">
        <v>4120</v>
      </c>
      <c r="C729" t="str">
        <f t="shared" si="11"/>
        <v>NariñoCORDOBA</v>
      </c>
      <c r="D729" t="s">
        <v>4486</v>
      </c>
      <c r="E729" t="s">
        <v>1700</v>
      </c>
      <c r="F729" t="s">
        <v>5402</v>
      </c>
    </row>
    <row r="730" spans="1:6" x14ac:dyDescent="0.2">
      <c r="A730" t="s">
        <v>4485</v>
      </c>
      <c r="B730" t="s">
        <v>4124</v>
      </c>
      <c r="C730" t="str">
        <f t="shared" si="11"/>
        <v>NariñoCUASPUD</v>
      </c>
      <c r="D730" t="s">
        <v>4486</v>
      </c>
      <c r="E730" t="s">
        <v>2997</v>
      </c>
      <c r="F730" t="s">
        <v>5403</v>
      </c>
    </row>
    <row r="731" spans="1:6" x14ac:dyDescent="0.2">
      <c r="A731" t="s">
        <v>4485</v>
      </c>
      <c r="B731" t="s">
        <v>4492</v>
      </c>
      <c r="C731" t="str">
        <f t="shared" si="11"/>
        <v>NariñoCUMBAL</v>
      </c>
      <c r="D731" t="s">
        <v>4486</v>
      </c>
      <c r="E731" t="s">
        <v>2515</v>
      </c>
      <c r="F731" t="s">
        <v>5404</v>
      </c>
    </row>
    <row r="732" spans="1:6" x14ac:dyDescent="0.2">
      <c r="A732" t="s">
        <v>4485</v>
      </c>
      <c r="B732" t="s">
        <v>4493</v>
      </c>
      <c r="C732" t="str">
        <f t="shared" si="11"/>
        <v>NariñoCUMBITARA</v>
      </c>
      <c r="D732" t="s">
        <v>4486</v>
      </c>
      <c r="E732" t="s">
        <v>578</v>
      </c>
      <c r="F732" t="s">
        <v>5405</v>
      </c>
    </row>
    <row r="733" spans="1:6" x14ac:dyDescent="0.2">
      <c r="A733" t="s">
        <v>4485</v>
      </c>
      <c r="B733" t="s">
        <v>3933</v>
      </c>
      <c r="C733" t="str">
        <f t="shared" si="11"/>
        <v>NariñoCHACHAGUI</v>
      </c>
      <c r="D733" t="s">
        <v>4486</v>
      </c>
      <c r="E733" t="s">
        <v>559</v>
      </c>
      <c r="F733" t="s">
        <v>5406</v>
      </c>
    </row>
    <row r="734" spans="1:6" x14ac:dyDescent="0.2">
      <c r="A734" t="s">
        <v>4485</v>
      </c>
      <c r="B734" t="s">
        <v>3934</v>
      </c>
      <c r="C734" t="str">
        <f t="shared" si="11"/>
        <v>NariñoEL CHARCO</v>
      </c>
      <c r="D734" t="s">
        <v>4486</v>
      </c>
      <c r="E734" t="s">
        <v>2296</v>
      </c>
      <c r="F734" t="s">
        <v>5407</v>
      </c>
    </row>
    <row r="735" spans="1:6" x14ac:dyDescent="0.2">
      <c r="A735" t="s">
        <v>4485</v>
      </c>
      <c r="B735" t="s">
        <v>4494</v>
      </c>
      <c r="C735" t="str">
        <f t="shared" si="11"/>
        <v>NariñoEL PEÑOL</v>
      </c>
      <c r="D735" t="s">
        <v>4486</v>
      </c>
      <c r="E735" t="s">
        <v>375</v>
      </c>
      <c r="F735" t="s">
        <v>5408</v>
      </c>
    </row>
    <row r="736" spans="1:6" x14ac:dyDescent="0.2">
      <c r="A736" t="s">
        <v>4485</v>
      </c>
      <c r="B736" t="s">
        <v>4246</v>
      </c>
      <c r="C736" t="str">
        <f t="shared" si="11"/>
        <v>NariñoEL ROSARIO</v>
      </c>
      <c r="D736" t="s">
        <v>4486</v>
      </c>
      <c r="E736" t="s">
        <v>460</v>
      </c>
      <c r="F736" t="s">
        <v>5409</v>
      </c>
    </row>
    <row r="737" spans="1:6" x14ac:dyDescent="0.2">
      <c r="A737" t="s">
        <v>4485</v>
      </c>
      <c r="B737" t="s">
        <v>4330</v>
      </c>
      <c r="C737" t="str">
        <f t="shared" si="11"/>
        <v>NariñoEL TABLON DE GOMEZ</v>
      </c>
      <c r="D737" t="s">
        <v>4486</v>
      </c>
      <c r="E737" t="s">
        <v>4495</v>
      </c>
      <c r="F737" t="s">
        <v>5410</v>
      </c>
    </row>
    <row r="738" spans="1:6" x14ac:dyDescent="0.2">
      <c r="A738" t="s">
        <v>4485</v>
      </c>
      <c r="B738" t="s">
        <v>4331</v>
      </c>
      <c r="C738" t="str">
        <f t="shared" si="11"/>
        <v>NariñoEL TAMBO</v>
      </c>
      <c r="D738" t="s">
        <v>4486</v>
      </c>
      <c r="E738" t="s">
        <v>170</v>
      </c>
      <c r="F738" t="s">
        <v>5411</v>
      </c>
    </row>
    <row r="739" spans="1:6" x14ac:dyDescent="0.2">
      <c r="A739" t="s">
        <v>4485</v>
      </c>
      <c r="B739" t="s">
        <v>4471</v>
      </c>
      <c r="C739" t="str">
        <f t="shared" si="11"/>
        <v>NariñoFUNES</v>
      </c>
      <c r="D739" t="s">
        <v>4486</v>
      </c>
      <c r="E739" t="s">
        <v>2999</v>
      </c>
      <c r="F739" t="s">
        <v>5412</v>
      </c>
    </row>
    <row r="740" spans="1:6" x14ac:dyDescent="0.2">
      <c r="A740" t="s">
        <v>4485</v>
      </c>
      <c r="B740" t="s">
        <v>4135</v>
      </c>
      <c r="C740" t="str">
        <f t="shared" si="11"/>
        <v>NariñoGUACHUCAL</v>
      </c>
      <c r="D740" t="s">
        <v>4486</v>
      </c>
      <c r="E740" t="s">
        <v>3818</v>
      </c>
      <c r="F740" t="s">
        <v>5413</v>
      </c>
    </row>
    <row r="741" spans="1:6" x14ac:dyDescent="0.2">
      <c r="A741" t="s">
        <v>4485</v>
      </c>
      <c r="B741" t="s">
        <v>4345</v>
      </c>
      <c r="C741" t="str">
        <f t="shared" si="11"/>
        <v>NariñoGUAITARILLA</v>
      </c>
      <c r="D741" t="s">
        <v>4486</v>
      </c>
      <c r="E741" t="s">
        <v>2511</v>
      </c>
      <c r="F741" t="s">
        <v>5414</v>
      </c>
    </row>
    <row r="742" spans="1:6" x14ac:dyDescent="0.2">
      <c r="A742" t="s">
        <v>4485</v>
      </c>
      <c r="B742" t="s">
        <v>4496</v>
      </c>
      <c r="C742" t="str">
        <f t="shared" si="11"/>
        <v>NariñoGUALMATAN</v>
      </c>
      <c r="D742" t="s">
        <v>4486</v>
      </c>
      <c r="E742" t="s">
        <v>2892</v>
      </c>
      <c r="F742" t="s">
        <v>5415</v>
      </c>
    </row>
    <row r="743" spans="1:6" x14ac:dyDescent="0.2">
      <c r="A743" t="s">
        <v>4485</v>
      </c>
      <c r="B743" t="s">
        <v>4497</v>
      </c>
      <c r="C743" t="str">
        <f t="shared" si="11"/>
        <v>NariñoILES</v>
      </c>
      <c r="D743" t="s">
        <v>4486</v>
      </c>
      <c r="E743" t="s">
        <v>378</v>
      </c>
      <c r="F743" t="s">
        <v>5416</v>
      </c>
    </row>
    <row r="744" spans="1:6" x14ac:dyDescent="0.2">
      <c r="A744" t="s">
        <v>4485</v>
      </c>
      <c r="B744" t="s">
        <v>4498</v>
      </c>
      <c r="C744" t="str">
        <f t="shared" si="11"/>
        <v>NariñoIMUES</v>
      </c>
      <c r="D744" t="s">
        <v>4486</v>
      </c>
      <c r="E744" t="s">
        <v>376</v>
      </c>
      <c r="F744" t="s">
        <v>5417</v>
      </c>
    </row>
    <row r="745" spans="1:6" x14ac:dyDescent="0.2">
      <c r="A745" t="s">
        <v>4485</v>
      </c>
      <c r="B745" t="s">
        <v>4499</v>
      </c>
      <c r="C745" t="str">
        <f t="shared" si="11"/>
        <v>NariñoIPIALES</v>
      </c>
      <c r="D745" t="s">
        <v>4486</v>
      </c>
      <c r="E745" t="s">
        <v>379</v>
      </c>
      <c r="F745" t="s">
        <v>5418</v>
      </c>
    </row>
    <row r="746" spans="1:6" x14ac:dyDescent="0.2">
      <c r="A746" t="s">
        <v>4485</v>
      </c>
      <c r="B746" t="s">
        <v>4431</v>
      </c>
      <c r="C746" t="str">
        <f t="shared" si="11"/>
        <v>NariñoLA CRUZ</v>
      </c>
      <c r="D746" t="s">
        <v>4486</v>
      </c>
      <c r="E746" t="s">
        <v>554</v>
      </c>
      <c r="F746" t="s">
        <v>5419</v>
      </c>
    </row>
    <row r="747" spans="1:6" x14ac:dyDescent="0.2">
      <c r="A747" t="s">
        <v>4485</v>
      </c>
      <c r="B747" t="s">
        <v>4500</v>
      </c>
      <c r="C747" t="str">
        <f t="shared" si="11"/>
        <v>NariñoLA FLORIDA</v>
      </c>
      <c r="D747" t="s">
        <v>4486</v>
      </c>
      <c r="E747" t="s">
        <v>461</v>
      </c>
      <c r="F747" t="s">
        <v>5420</v>
      </c>
    </row>
    <row r="748" spans="1:6" x14ac:dyDescent="0.2">
      <c r="A748" t="s">
        <v>4485</v>
      </c>
      <c r="B748" t="s">
        <v>4501</v>
      </c>
      <c r="C748" t="str">
        <f t="shared" si="11"/>
        <v>NariñoLA LLANADA</v>
      </c>
      <c r="D748" t="s">
        <v>4486</v>
      </c>
      <c r="E748" t="s">
        <v>110</v>
      </c>
      <c r="F748" t="s">
        <v>5421</v>
      </c>
    </row>
    <row r="749" spans="1:6" x14ac:dyDescent="0.2">
      <c r="A749" t="s">
        <v>4485</v>
      </c>
      <c r="B749" t="s">
        <v>3957</v>
      </c>
      <c r="C749" t="str">
        <f t="shared" si="11"/>
        <v>NariñoLA TOLA</v>
      </c>
      <c r="D749" t="s">
        <v>4486</v>
      </c>
      <c r="E749" t="s">
        <v>4502</v>
      </c>
      <c r="F749" t="s">
        <v>5422</v>
      </c>
    </row>
    <row r="750" spans="1:6" x14ac:dyDescent="0.2">
      <c r="A750" t="s">
        <v>4485</v>
      </c>
      <c r="B750" t="s">
        <v>4503</v>
      </c>
      <c r="C750" t="str">
        <f t="shared" si="11"/>
        <v>NariñoLA UNION</v>
      </c>
      <c r="D750" t="s">
        <v>4486</v>
      </c>
      <c r="E750" t="s">
        <v>113</v>
      </c>
      <c r="F750" t="s">
        <v>5423</v>
      </c>
    </row>
    <row r="751" spans="1:6" x14ac:dyDescent="0.2">
      <c r="A751" t="s">
        <v>4485</v>
      </c>
      <c r="B751" t="s">
        <v>4504</v>
      </c>
      <c r="C751" t="str">
        <f t="shared" si="11"/>
        <v>NariñoLEIVA</v>
      </c>
      <c r="D751" t="s">
        <v>4486</v>
      </c>
      <c r="E751" t="s">
        <v>2894</v>
      </c>
      <c r="F751" t="s">
        <v>5424</v>
      </c>
    </row>
    <row r="752" spans="1:6" x14ac:dyDescent="0.2">
      <c r="A752" t="s">
        <v>4485</v>
      </c>
      <c r="B752" t="s">
        <v>3959</v>
      </c>
      <c r="C752" t="str">
        <f t="shared" si="11"/>
        <v>NariñoLINARES</v>
      </c>
      <c r="D752" t="s">
        <v>4486</v>
      </c>
      <c r="E752" t="s">
        <v>3815</v>
      </c>
      <c r="F752" t="s">
        <v>5425</v>
      </c>
    </row>
    <row r="753" spans="1:6" x14ac:dyDescent="0.2">
      <c r="A753" t="s">
        <v>4485</v>
      </c>
      <c r="B753" t="s">
        <v>4266</v>
      </c>
      <c r="C753" t="str">
        <f t="shared" si="11"/>
        <v>NariñoLOS ANDES</v>
      </c>
      <c r="D753" t="s">
        <v>4486</v>
      </c>
      <c r="E753" t="s">
        <v>335</v>
      </c>
      <c r="F753" t="s">
        <v>5426</v>
      </c>
    </row>
    <row r="754" spans="1:6" x14ac:dyDescent="0.2">
      <c r="A754" t="s">
        <v>4485</v>
      </c>
      <c r="B754" t="s">
        <v>4505</v>
      </c>
      <c r="C754" t="str">
        <f t="shared" si="11"/>
        <v>NariñoMAGUI PAYAN</v>
      </c>
      <c r="D754" t="s">
        <v>4486</v>
      </c>
      <c r="E754" s="190" t="s">
        <v>6309</v>
      </c>
      <c r="F754" t="s">
        <v>5427</v>
      </c>
    </row>
    <row r="755" spans="1:6" x14ac:dyDescent="0.2">
      <c r="A755" t="s">
        <v>4485</v>
      </c>
      <c r="B755" t="s">
        <v>4506</v>
      </c>
      <c r="C755" t="str">
        <f t="shared" si="11"/>
        <v>NariñoMALLAMA</v>
      </c>
      <c r="D755" t="s">
        <v>4486</v>
      </c>
      <c r="E755" t="s">
        <v>3829</v>
      </c>
      <c r="F755" t="s">
        <v>5428</v>
      </c>
    </row>
    <row r="756" spans="1:6" x14ac:dyDescent="0.2">
      <c r="A756" t="s">
        <v>4485</v>
      </c>
      <c r="B756" t="s">
        <v>4071</v>
      </c>
      <c r="C756" t="str">
        <f t="shared" si="11"/>
        <v>NariñoMOSQUERA</v>
      </c>
      <c r="D756" t="s">
        <v>4486</v>
      </c>
      <c r="E756" t="s">
        <v>1586</v>
      </c>
      <c r="F756" t="s">
        <v>5429</v>
      </c>
    </row>
    <row r="757" spans="1:6" x14ac:dyDescent="0.2">
      <c r="A757" t="s">
        <v>4485</v>
      </c>
      <c r="B757" t="s">
        <v>3964</v>
      </c>
      <c r="C757" t="str">
        <f t="shared" si="11"/>
        <v>NariñoNARIÑO</v>
      </c>
      <c r="D757" t="s">
        <v>4486</v>
      </c>
      <c r="E757" t="s">
        <v>2245</v>
      </c>
      <c r="F757" t="s">
        <v>5430</v>
      </c>
    </row>
    <row r="758" spans="1:6" x14ac:dyDescent="0.2">
      <c r="A758" t="s">
        <v>4485</v>
      </c>
      <c r="B758" t="s">
        <v>3966</v>
      </c>
      <c r="C758" t="str">
        <f t="shared" si="11"/>
        <v>NariñoOLAYA HERRERA</v>
      </c>
      <c r="D758" t="s">
        <v>4486</v>
      </c>
      <c r="E758" t="s">
        <v>2484</v>
      </c>
      <c r="F758" t="s">
        <v>5431</v>
      </c>
    </row>
    <row r="759" spans="1:6" x14ac:dyDescent="0.2">
      <c r="A759" t="s">
        <v>4485</v>
      </c>
      <c r="B759" t="s">
        <v>4366</v>
      </c>
      <c r="C759" t="str">
        <f t="shared" si="11"/>
        <v>NariñoOSPINA</v>
      </c>
      <c r="D759" t="s">
        <v>4486</v>
      </c>
      <c r="E759" t="s">
        <v>562</v>
      </c>
      <c r="F759" t="s">
        <v>5432</v>
      </c>
    </row>
    <row r="760" spans="1:6" x14ac:dyDescent="0.2">
      <c r="A760" t="s">
        <v>4485</v>
      </c>
      <c r="B760" t="s">
        <v>4035</v>
      </c>
      <c r="C760" t="str">
        <f t="shared" si="11"/>
        <v>NariñoFRANCISCO PIZARRO</v>
      </c>
      <c r="D760" t="s">
        <v>4486</v>
      </c>
      <c r="E760" t="s">
        <v>336</v>
      </c>
      <c r="F760" t="s">
        <v>5433</v>
      </c>
    </row>
    <row r="761" spans="1:6" x14ac:dyDescent="0.2">
      <c r="A761" t="s">
        <v>4485</v>
      </c>
      <c r="B761" t="s">
        <v>4507</v>
      </c>
      <c r="C761" t="str">
        <f t="shared" si="11"/>
        <v>NariñoPOLICARPA</v>
      </c>
      <c r="D761" t="s">
        <v>4486</v>
      </c>
      <c r="E761" t="s">
        <v>1743</v>
      </c>
      <c r="F761" t="s">
        <v>5434</v>
      </c>
    </row>
    <row r="762" spans="1:6" x14ac:dyDescent="0.2">
      <c r="A762" t="s">
        <v>4485</v>
      </c>
      <c r="B762" t="s">
        <v>4039</v>
      </c>
      <c r="C762" t="str">
        <f t="shared" si="11"/>
        <v>NariñoPOTOSI</v>
      </c>
      <c r="D762" t="s">
        <v>4486</v>
      </c>
      <c r="E762" t="s">
        <v>3002</v>
      </c>
      <c r="F762" t="s">
        <v>5435</v>
      </c>
    </row>
    <row r="763" spans="1:6" x14ac:dyDescent="0.2">
      <c r="A763" t="s">
        <v>4485</v>
      </c>
      <c r="B763" t="s">
        <v>4508</v>
      </c>
      <c r="C763" t="str">
        <f t="shared" si="11"/>
        <v>NariñoPROVIDENCIA</v>
      </c>
      <c r="D763" t="s">
        <v>4486</v>
      </c>
      <c r="E763" t="s">
        <v>2419</v>
      </c>
      <c r="F763" t="s">
        <v>5436</v>
      </c>
    </row>
    <row r="764" spans="1:6" x14ac:dyDescent="0.2">
      <c r="A764" t="s">
        <v>4485</v>
      </c>
      <c r="B764" t="s">
        <v>4040</v>
      </c>
      <c r="C764" t="str">
        <f t="shared" si="11"/>
        <v>NariñoPUERRES</v>
      </c>
      <c r="D764" t="s">
        <v>4486</v>
      </c>
      <c r="E764" t="s">
        <v>334</v>
      </c>
      <c r="F764" t="s">
        <v>5437</v>
      </c>
    </row>
    <row r="765" spans="1:6" x14ac:dyDescent="0.2">
      <c r="A765" t="s">
        <v>4485</v>
      </c>
      <c r="B765" t="s">
        <v>3975</v>
      </c>
      <c r="C765" t="str">
        <f t="shared" si="11"/>
        <v>NariñoPUPIALES</v>
      </c>
      <c r="D765" t="s">
        <v>4486</v>
      </c>
      <c r="E765" t="s">
        <v>377</v>
      </c>
      <c r="F765" t="s">
        <v>5438</v>
      </c>
    </row>
    <row r="766" spans="1:6" x14ac:dyDescent="0.2">
      <c r="A766" t="s">
        <v>4485</v>
      </c>
      <c r="B766" t="s">
        <v>4372</v>
      </c>
      <c r="C766" t="str">
        <f t="shared" si="11"/>
        <v>NariñoRICAURTE</v>
      </c>
      <c r="D766" t="s">
        <v>4486</v>
      </c>
      <c r="E766" t="s">
        <v>496</v>
      </c>
      <c r="F766" t="s">
        <v>5439</v>
      </c>
    </row>
    <row r="767" spans="1:6" x14ac:dyDescent="0.2">
      <c r="A767" t="s">
        <v>4485</v>
      </c>
      <c r="B767" t="s">
        <v>4174</v>
      </c>
      <c r="C767" t="str">
        <f t="shared" si="11"/>
        <v>NariñoROBERTO PAYAN</v>
      </c>
      <c r="D767" t="s">
        <v>4486</v>
      </c>
      <c r="E767" t="s">
        <v>2993</v>
      </c>
      <c r="F767" t="s">
        <v>5440</v>
      </c>
    </row>
    <row r="768" spans="1:6" x14ac:dyDescent="0.2">
      <c r="A768" t="s">
        <v>4485</v>
      </c>
      <c r="B768" t="s">
        <v>4309</v>
      </c>
      <c r="C768" t="str">
        <f t="shared" si="11"/>
        <v>NariñoSAMANIEGO</v>
      </c>
      <c r="D768" t="s">
        <v>4486</v>
      </c>
      <c r="E768" t="s">
        <v>2923</v>
      </c>
      <c r="F768" t="s">
        <v>5441</v>
      </c>
    </row>
    <row r="769" spans="1:6" x14ac:dyDescent="0.2">
      <c r="A769" t="s">
        <v>4485</v>
      </c>
      <c r="B769" t="s">
        <v>4082</v>
      </c>
      <c r="C769" t="str">
        <f t="shared" si="11"/>
        <v>NariñoSANDONA</v>
      </c>
      <c r="D769" t="s">
        <v>4486</v>
      </c>
      <c r="E769" t="s">
        <v>2944</v>
      </c>
      <c r="F769" t="s">
        <v>5442</v>
      </c>
    </row>
    <row r="770" spans="1:6" x14ac:dyDescent="0.2">
      <c r="A770" t="s">
        <v>4485</v>
      </c>
      <c r="B770" t="s">
        <v>4045</v>
      </c>
      <c r="C770" t="str">
        <f t="shared" si="11"/>
        <v>NariñoSAN BERNARDO</v>
      </c>
      <c r="D770" t="s">
        <v>4486</v>
      </c>
      <c r="E770" t="s">
        <v>1325</v>
      </c>
      <c r="F770" t="s">
        <v>5443</v>
      </c>
    </row>
    <row r="771" spans="1:6" x14ac:dyDescent="0.2">
      <c r="A771" t="s">
        <v>4485</v>
      </c>
      <c r="B771" t="s">
        <v>4509</v>
      </c>
      <c r="C771" t="str">
        <f t="shared" ref="C771:C834" si="12">D771&amp;E771</f>
        <v>NariñoSAN LORENZO</v>
      </c>
      <c r="D771" t="s">
        <v>4486</v>
      </c>
      <c r="E771" t="s">
        <v>696</v>
      </c>
      <c r="F771" t="s">
        <v>5444</v>
      </c>
    </row>
    <row r="772" spans="1:6" x14ac:dyDescent="0.2">
      <c r="A772" t="s">
        <v>4485</v>
      </c>
      <c r="B772" t="s">
        <v>4182</v>
      </c>
      <c r="C772" t="str">
        <f t="shared" si="12"/>
        <v>NariñoSAN PABLO</v>
      </c>
      <c r="D772" t="s">
        <v>4486</v>
      </c>
      <c r="E772" t="s">
        <v>2105</v>
      </c>
      <c r="F772" t="s">
        <v>5445</v>
      </c>
    </row>
    <row r="773" spans="1:6" x14ac:dyDescent="0.2">
      <c r="A773" t="s">
        <v>4485</v>
      </c>
      <c r="B773" t="s">
        <v>4510</v>
      </c>
      <c r="C773" t="str">
        <f t="shared" si="12"/>
        <v>NariñoSAN PEDRO DE CARTAGO</v>
      </c>
      <c r="D773" t="s">
        <v>4486</v>
      </c>
      <c r="E773" t="s">
        <v>2513</v>
      </c>
      <c r="F773" t="s">
        <v>5446</v>
      </c>
    </row>
    <row r="774" spans="1:6" x14ac:dyDescent="0.2">
      <c r="A774" t="s">
        <v>4485</v>
      </c>
      <c r="B774" t="s">
        <v>4183</v>
      </c>
      <c r="C774" t="str">
        <f t="shared" si="12"/>
        <v>NariñoSANTA BARBARA</v>
      </c>
      <c r="D774" t="s">
        <v>4486</v>
      </c>
      <c r="E774" t="s">
        <v>1536</v>
      </c>
      <c r="F774" t="s">
        <v>5447</v>
      </c>
    </row>
    <row r="775" spans="1:6" x14ac:dyDescent="0.2">
      <c r="A775" t="s">
        <v>4485</v>
      </c>
      <c r="B775" t="s">
        <v>4511</v>
      </c>
      <c r="C775" t="str">
        <f t="shared" si="12"/>
        <v>NariñoSANTACRUZ</v>
      </c>
      <c r="D775" t="s">
        <v>4486</v>
      </c>
      <c r="E775" t="s">
        <v>333</v>
      </c>
      <c r="F775" t="s">
        <v>5448</v>
      </c>
    </row>
    <row r="776" spans="1:6" x14ac:dyDescent="0.2">
      <c r="A776" t="s">
        <v>4485</v>
      </c>
      <c r="B776" t="s">
        <v>4185</v>
      </c>
      <c r="C776" t="str">
        <f t="shared" si="12"/>
        <v>NariñoSAPUYES</v>
      </c>
      <c r="D776" t="s">
        <v>4486</v>
      </c>
      <c r="E776" t="s">
        <v>2507</v>
      </c>
      <c r="F776" t="s">
        <v>5449</v>
      </c>
    </row>
    <row r="777" spans="1:6" x14ac:dyDescent="0.2">
      <c r="A777" t="s">
        <v>4485</v>
      </c>
      <c r="B777" t="s">
        <v>4512</v>
      </c>
      <c r="C777" t="str">
        <f t="shared" si="12"/>
        <v>NariñoTAMINANGO</v>
      </c>
      <c r="D777" t="s">
        <v>4486</v>
      </c>
      <c r="E777" t="s">
        <v>1744</v>
      </c>
      <c r="F777" t="s">
        <v>5450</v>
      </c>
    </row>
    <row r="778" spans="1:6" x14ac:dyDescent="0.2">
      <c r="A778" t="s">
        <v>4485</v>
      </c>
      <c r="B778" t="s">
        <v>4513</v>
      </c>
      <c r="C778" t="str">
        <f t="shared" si="12"/>
        <v>NariñoTANGUA</v>
      </c>
      <c r="D778" t="s">
        <v>4486</v>
      </c>
      <c r="E778" t="s">
        <v>2921</v>
      </c>
      <c r="F778" t="s">
        <v>5451</v>
      </c>
    </row>
    <row r="779" spans="1:6" x14ac:dyDescent="0.2">
      <c r="A779" t="s">
        <v>4485</v>
      </c>
      <c r="B779" t="s">
        <v>4211</v>
      </c>
      <c r="C779" t="str">
        <f t="shared" si="12"/>
        <v>NariñoSAN ANDRES DE TUMACO</v>
      </c>
      <c r="D779" t="s">
        <v>4486</v>
      </c>
      <c r="E779" t="s">
        <v>4514</v>
      </c>
      <c r="F779" t="s">
        <v>5452</v>
      </c>
    </row>
    <row r="780" spans="1:6" x14ac:dyDescent="0.2">
      <c r="A780" t="s">
        <v>4485</v>
      </c>
      <c r="B780" t="s">
        <v>4090</v>
      </c>
      <c r="C780" t="str">
        <f t="shared" si="12"/>
        <v>NariñoTUQUERRES</v>
      </c>
      <c r="D780" t="s">
        <v>4486</v>
      </c>
      <c r="E780" t="s">
        <v>456</v>
      </c>
      <c r="F780" t="s">
        <v>5453</v>
      </c>
    </row>
    <row r="781" spans="1:6" x14ac:dyDescent="0.2">
      <c r="A781" t="s">
        <v>4485</v>
      </c>
      <c r="B781" t="s">
        <v>4019</v>
      </c>
      <c r="C781" t="str">
        <f t="shared" si="12"/>
        <v>NariñoYACUANQUER</v>
      </c>
      <c r="D781" t="s">
        <v>4486</v>
      </c>
      <c r="E781" t="s">
        <v>462</v>
      </c>
      <c r="F781" t="s">
        <v>5454</v>
      </c>
    </row>
    <row r="782" spans="1:6" x14ac:dyDescent="0.2">
      <c r="A782" t="s">
        <v>4515</v>
      </c>
      <c r="B782" t="s">
        <v>3885</v>
      </c>
      <c r="C782" t="str">
        <f t="shared" si="12"/>
        <v>Norte de SantanderCUCUTA</v>
      </c>
      <c r="D782" t="s">
        <v>4516</v>
      </c>
      <c r="E782" t="s">
        <v>1732</v>
      </c>
      <c r="F782" t="s">
        <v>5455</v>
      </c>
    </row>
    <row r="783" spans="1:6" x14ac:dyDescent="0.2">
      <c r="A783" t="s">
        <v>4515</v>
      </c>
      <c r="B783" t="s">
        <v>4517</v>
      </c>
      <c r="C783" t="str">
        <f t="shared" si="12"/>
        <v>Norte de SantanderABREGO</v>
      </c>
      <c r="D783" t="s">
        <v>4516</v>
      </c>
      <c r="E783" t="s">
        <v>151</v>
      </c>
      <c r="F783" t="s">
        <v>5456</v>
      </c>
    </row>
    <row r="784" spans="1:6" x14ac:dyDescent="0.2">
      <c r="A784" t="s">
        <v>4515</v>
      </c>
      <c r="B784" t="s">
        <v>3900</v>
      </c>
      <c r="C784" t="str">
        <f t="shared" si="12"/>
        <v>Norte de SantanderARBOLEDAS</v>
      </c>
      <c r="D784" t="s">
        <v>4516</v>
      </c>
      <c r="E784" t="s">
        <v>3786</v>
      </c>
      <c r="F784" t="s">
        <v>5457</v>
      </c>
    </row>
    <row r="785" spans="1:6" x14ac:dyDescent="0.2">
      <c r="A785" t="s">
        <v>4515</v>
      </c>
      <c r="B785" t="s">
        <v>4318</v>
      </c>
      <c r="C785" t="str">
        <f t="shared" si="12"/>
        <v>Norte de SantanderBOCHALEMA</v>
      </c>
      <c r="D785" t="s">
        <v>4516</v>
      </c>
      <c r="E785" t="s">
        <v>1360</v>
      </c>
      <c r="F785" t="s">
        <v>5458</v>
      </c>
    </row>
    <row r="786" spans="1:6" x14ac:dyDescent="0.2">
      <c r="A786" t="s">
        <v>4515</v>
      </c>
      <c r="B786" t="s">
        <v>4104</v>
      </c>
      <c r="C786" t="str">
        <f t="shared" si="12"/>
        <v>Norte de SantanderBUCARASICA</v>
      </c>
      <c r="D786" t="s">
        <v>4516</v>
      </c>
      <c r="E786" t="s">
        <v>645</v>
      </c>
      <c r="F786" t="s">
        <v>5459</v>
      </c>
    </row>
    <row r="787" spans="1:6" x14ac:dyDescent="0.2">
      <c r="A787" t="s">
        <v>4515</v>
      </c>
      <c r="B787" t="s">
        <v>3913</v>
      </c>
      <c r="C787" t="str">
        <f t="shared" si="12"/>
        <v>Norte de SantanderCACOTA</v>
      </c>
      <c r="D787" t="s">
        <v>4516</v>
      </c>
      <c r="E787" t="s">
        <v>385</v>
      </c>
      <c r="F787" t="s">
        <v>5460</v>
      </c>
    </row>
    <row r="788" spans="1:6" x14ac:dyDescent="0.2">
      <c r="A788" t="s">
        <v>4515</v>
      </c>
      <c r="B788" t="s">
        <v>4518</v>
      </c>
      <c r="C788" t="str">
        <f t="shared" si="12"/>
        <v>Norte de SantanderCACHIRA</v>
      </c>
      <c r="D788" t="s">
        <v>4516</v>
      </c>
      <c r="E788" t="s">
        <v>565</v>
      </c>
      <c r="F788" t="s">
        <v>5461</v>
      </c>
    </row>
    <row r="789" spans="1:6" x14ac:dyDescent="0.2">
      <c r="A789" t="s">
        <v>4515</v>
      </c>
      <c r="B789" t="s">
        <v>3925</v>
      </c>
      <c r="C789" t="str">
        <f t="shared" si="12"/>
        <v>Norte de SantanderCHINACOTA</v>
      </c>
      <c r="D789" t="s">
        <v>4516</v>
      </c>
      <c r="E789" t="s">
        <v>2854</v>
      </c>
      <c r="F789" t="s">
        <v>5462</v>
      </c>
    </row>
    <row r="790" spans="1:6" x14ac:dyDescent="0.2">
      <c r="A790" t="s">
        <v>4515</v>
      </c>
      <c r="B790" t="s">
        <v>4224</v>
      </c>
      <c r="C790" t="str">
        <f t="shared" si="12"/>
        <v>Norte de SantanderCHITAGA</v>
      </c>
      <c r="D790" t="s">
        <v>4516</v>
      </c>
      <c r="E790" t="s">
        <v>1379</v>
      </c>
      <c r="F790" t="s">
        <v>5463</v>
      </c>
    </row>
    <row r="791" spans="1:6" x14ac:dyDescent="0.2">
      <c r="A791" t="s">
        <v>4515</v>
      </c>
      <c r="B791" t="s">
        <v>3928</v>
      </c>
      <c r="C791" t="str">
        <f t="shared" si="12"/>
        <v>Norte de SantanderCONVENCION</v>
      </c>
      <c r="D791" t="s">
        <v>4516</v>
      </c>
      <c r="E791" t="s">
        <v>1845</v>
      </c>
      <c r="F791" t="s">
        <v>5464</v>
      </c>
    </row>
    <row r="792" spans="1:6" x14ac:dyDescent="0.2">
      <c r="A792" t="s">
        <v>4515</v>
      </c>
      <c r="B792" t="s">
        <v>4123</v>
      </c>
      <c r="C792" t="str">
        <f t="shared" si="12"/>
        <v>Norte de SantanderCUCUTILLA</v>
      </c>
      <c r="D792" t="s">
        <v>4516</v>
      </c>
      <c r="E792" t="s">
        <v>1350</v>
      </c>
      <c r="F792" t="s">
        <v>5465</v>
      </c>
    </row>
    <row r="793" spans="1:6" x14ac:dyDescent="0.2">
      <c r="A793" t="s">
        <v>4515</v>
      </c>
      <c r="B793" t="s">
        <v>4519</v>
      </c>
      <c r="C793" t="str">
        <f t="shared" si="12"/>
        <v>Norte de SantanderDURANIA</v>
      </c>
      <c r="D793" t="s">
        <v>4516</v>
      </c>
      <c r="E793" t="s">
        <v>3066</v>
      </c>
      <c r="F793" t="s">
        <v>5466</v>
      </c>
    </row>
    <row r="794" spans="1:6" x14ac:dyDescent="0.2">
      <c r="A794" t="s">
        <v>4515</v>
      </c>
      <c r="B794" t="s">
        <v>4329</v>
      </c>
      <c r="C794" t="str">
        <f t="shared" si="12"/>
        <v>Norte de SantanderEL CARMEN</v>
      </c>
      <c r="D794" t="s">
        <v>4516</v>
      </c>
      <c r="E794" t="s">
        <v>657</v>
      </c>
      <c r="F794" t="s">
        <v>5467</v>
      </c>
    </row>
    <row r="795" spans="1:6" x14ac:dyDescent="0.2">
      <c r="A795" t="s">
        <v>4515</v>
      </c>
      <c r="B795" t="s">
        <v>3934</v>
      </c>
      <c r="C795" t="str">
        <f t="shared" si="12"/>
        <v>Norte de SantanderEL TARRA</v>
      </c>
      <c r="D795" t="s">
        <v>4516</v>
      </c>
      <c r="E795" t="s">
        <v>2470</v>
      </c>
      <c r="F795" t="s">
        <v>5468</v>
      </c>
    </row>
    <row r="796" spans="1:6" x14ac:dyDescent="0.2">
      <c r="A796" t="s">
        <v>4515</v>
      </c>
      <c r="B796" t="s">
        <v>4520</v>
      </c>
      <c r="C796" t="str">
        <f t="shared" si="12"/>
        <v>Norte de SantanderEL ZULIA</v>
      </c>
      <c r="D796" t="s">
        <v>4516</v>
      </c>
      <c r="E796" t="s">
        <v>1624</v>
      </c>
      <c r="F796" t="s">
        <v>5469</v>
      </c>
    </row>
    <row r="797" spans="1:6" x14ac:dyDescent="0.2">
      <c r="A797" t="s">
        <v>4515</v>
      </c>
      <c r="B797" t="s">
        <v>3944</v>
      </c>
      <c r="C797" t="str">
        <f t="shared" si="12"/>
        <v>Norte de SantanderGRAMALOTE</v>
      </c>
      <c r="D797" t="s">
        <v>4516</v>
      </c>
      <c r="E797" t="s">
        <v>2448</v>
      </c>
      <c r="F797" t="s">
        <v>5470</v>
      </c>
    </row>
    <row r="798" spans="1:6" x14ac:dyDescent="0.2">
      <c r="A798" t="s">
        <v>4515</v>
      </c>
      <c r="B798" t="s">
        <v>4521</v>
      </c>
      <c r="C798" t="str">
        <f t="shared" si="12"/>
        <v>Norte de SantanderHACARI</v>
      </c>
      <c r="D798" t="s">
        <v>4516</v>
      </c>
      <c r="E798" t="s">
        <v>1057</v>
      </c>
      <c r="F798" t="s">
        <v>5471</v>
      </c>
    </row>
    <row r="799" spans="1:6" x14ac:dyDescent="0.2">
      <c r="A799" t="s">
        <v>4515</v>
      </c>
      <c r="B799" t="s">
        <v>3948</v>
      </c>
      <c r="C799" t="str">
        <f t="shared" si="12"/>
        <v>Norte de SantanderHERRAN</v>
      </c>
      <c r="D799" t="s">
        <v>4516</v>
      </c>
      <c r="E799" t="s">
        <v>1423</v>
      </c>
      <c r="F799" t="s">
        <v>5472</v>
      </c>
    </row>
    <row r="800" spans="1:6" x14ac:dyDescent="0.2">
      <c r="A800" t="s">
        <v>4515</v>
      </c>
      <c r="B800" t="s">
        <v>4144</v>
      </c>
      <c r="C800" t="str">
        <f t="shared" si="12"/>
        <v>Norte de SantanderLABATECA</v>
      </c>
      <c r="D800" t="s">
        <v>4516</v>
      </c>
      <c r="E800" t="s">
        <v>4522</v>
      </c>
      <c r="F800" t="s">
        <v>5473</v>
      </c>
    </row>
    <row r="801" spans="1:6" x14ac:dyDescent="0.2">
      <c r="A801" t="s">
        <v>4515</v>
      </c>
      <c r="B801" t="s">
        <v>4501</v>
      </c>
      <c r="C801" t="str">
        <f t="shared" si="12"/>
        <v>Norte de SantanderLA ESPERANZA</v>
      </c>
      <c r="D801" t="s">
        <v>4516</v>
      </c>
      <c r="E801" t="s">
        <v>386</v>
      </c>
      <c r="F801" t="s">
        <v>5474</v>
      </c>
    </row>
    <row r="802" spans="1:6" x14ac:dyDescent="0.2">
      <c r="A802" t="s">
        <v>4515</v>
      </c>
      <c r="B802" t="s">
        <v>4355</v>
      </c>
      <c r="C802" t="str">
        <f t="shared" si="12"/>
        <v>Norte de SantanderLA PLAYA</v>
      </c>
      <c r="D802" t="s">
        <v>4516</v>
      </c>
      <c r="E802" t="s">
        <v>1075</v>
      </c>
      <c r="F802" t="s">
        <v>5475</v>
      </c>
    </row>
    <row r="803" spans="1:6" x14ac:dyDescent="0.2">
      <c r="A803" t="s">
        <v>4515</v>
      </c>
      <c r="B803" t="s">
        <v>4504</v>
      </c>
      <c r="C803" t="str">
        <f t="shared" si="12"/>
        <v>Norte de SantanderLOS PATIOS</v>
      </c>
      <c r="D803" t="s">
        <v>4516</v>
      </c>
      <c r="E803" t="s">
        <v>1734</v>
      </c>
      <c r="F803" t="s">
        <v>5476</v>
      </c>
    </row>
    <row r="804" spans="1:6" x14ac:dyDescent="0.2">
      <c r="A804" t="s">
        <v>4515</v>
      </c>
      <c r="B804" t="s">
        <v>4266</v>
      </c>
      <c r="C804" t="str">
        <f t="shared" si="12"/>
        <v>Norte de SantanderLOURDES</v>
      </c>
      <c r="D804" t="s">
        <v>4516</v>
      </c>
      <c r="E804" t="s">
        <v>1076</v>
      </c>
      <c r="F804" t="s">
        <v>5477</v>
      </c>
    </row>
    <row r="805" spans="1:6" x14ac:dyDescent="0.2">
      <c r="A805" t="s">
        <v>4515</v>
      </c>
      <c r="B805" t="s">
        <v>3964</v>
      </c>
      <c r="C805" t="str">
        <f t="shared" si="12"/>
        <v>Norte de SantanderMUTISCUA</v>
      </c>
      <c r="D805" t="s">
        <v>4516</v>
      </c>
      <c r="E805" t="s">
        <v>1380</v>
      </c>
      <c r="F805" t="s">
        <v>5478</v>
      </c>
    </row>
    <row r="806" spans="1:6" x14ac:dyDescent="0.2">
      <c r="A806" t="s">
        <v>4515</v>
      </c>
      <c r="B806" t="s">
        <v>4523</v>
      </c>
      <c r="C806" t="str">
        <f t="shared" si="12"/>
        <v>Norte de SantanderOCAÑA</v>
      </c>
      <c r="D806" t="s">
        <v>4516</v>
      </c>
      <c r="E806" t="s">
        <v>1378</v>
      </c>
      <c r="F806" t="s">
        <v>5479</v>
      </c>
    </row>
    <row r="807" spans="1:6" x14ac:dyDescent="0.2">
      <c r="A807" t="s">
        <v>4515</v>
      </c>
      <c r="B807" t="s">
        <v>4162</v>
      </c>
      <c r="C807" t="str">
        <f t="shared" si="12"/>
        <v>Norte de SantanderPAMPLONA</v>
      </c>
      <c r="D807" t="s">
        <v>4516</v>
      </c>
      <c r="E807" t="s">
        <v>3107</v>
      </c>
      <c r="F807" t="s">
        <v>5480</v>
      </c>
    </row>
    <row r="808" spans="1:6" x14ac:dyDescent="0.2">
      <c r="A808" t="s">
        <v>4515</v>
      </c>
      <c r="B808" t="s">
        <v>4035</v>
      </c>
      <c r="C808" t="str">
        <f t="shared" si="12"/>
        <v>Norte de SantanderPAMPLONITA</v>
      </c>
      <c r="D808" t="s">
        <v>4516</v>
      </c>
      <c r="E808" t="s">
        <v>1123</v>
      </c>
      <c r="F808" t="s">
        <v>5481</v>
      </c>
    </row>
    <row r="809" spans="1:6" x14ac:dyDescent="0.2">
      <c r="A809" t="s">
        <v>4515</v>
      </c>
      <c r="B809" t="s">
        <v>4524</v>
      </c>
      <c r="C809" t="str">
        <f t="shared" si="12"/>
        <v>Norte de SantanderPUERTO SANTANDER</v>
      </c>
      <c r="D809" t="s">
        <v>4516</v>
      </c>
      <c r="E809" t="s">
        <v>483</v>
      </c>
      <c r="F809" t="s">
        <v>5482</v>
      </c>
    </row>
    <row r="810" spans="1:6" x14ac:dyDescent="0.2">
      <c r="A810" t="s">
        <v>4515</v>
      </c>
      <c r="B810" t="s">
        <v>4172</v>
      </c>
      <c r="C810" t="str">
        <f t="shared" si="12"/>
        <v>Norte de SantanderRAGONVALIA</v>
      </c>
      <c r="D810" t="s">
        <v>4516</v>
      </c>
      <c r="E810" t="s">
        <v>2812</v>
      </c>
      <c r="F810" t="s">
        <v>5483</v>
      </c>
    </row>
    <row r="811" spans="1:6" x14ac:dyDescent="0.2">
      <c r="A811" t="s">
        <v>4515</v>
      </c>
      <c r="B811" t="s">
        <v>3991</v>
      </c>
      <c r="C811" t="str">
        <f t="shared" si="12"/>
        <v>Norte de SantanderSALAZAR</v>
      </c>
      <c r="D811" t="s">
        <v>4516</v>
      </c>
      <c r="E811" t="s">
        <v>2445</v>
      </c>
      <c r="F811" t="s">
        <v>5484</v>
      </c>
    </row>
    <row r="812" spans="1:6" x14ac:dyDescent="0.2">
      <c r="A812" t="s">
        <v>4515</v>
      </c>
      <c r="B812" t="s">
        <v>3995</v>
      </c>
      <c r="C812" t="str">
        <f t="shared" si="12"/>
        <v>Norte de SantanderSAN CALIXTO</v>
      </c>
      <c r="D812" t="s">
        <v>4516</v>
      </c>
      <c r="E812" t="s">
        <v>1381</v>
      </c>
      <c r="F812" t="s">
        <v>5485</v>
      </c>
    </row>
    <row r="813" spans="1:6" x14ac:dyDescent="0.2">
      <c r="A813" t="s">
        <v>4515</v>
      </c>
      <c r="B813" t="s">
        <v>4081</v>
      </c>
      <c r="C813" t="str">
        <f t="shared" si="12"/>
        <v>Norte de SantanderSAN CAYETANO</v>
      </c>
      <c r="D813" t="s">
        <v>4516</v>
      </c>
      <c r="E813" t="s">
        <v>2744</v>
      </c>
      <c r="F813" t="s">
        <v>5486</v>
      </c>
    </row>
    <row r="814" spans="1:6" x14ac:dyDescent="0.2">
      <c r="A814" t="s">
        <v>4515</v>
      </c>
      <c r="B814" t="s">
        <v>4481</v>
      </c>
      <c r="C814" t="str">
        <f t="shared" si="12"/>
        <v>Norte de SantanderSANTIAGO</v>
      </c>
      <c r="D814" t="s">
        <v>4516</v>
      </c>
      <c r="E814" t="s">
        <v>1124</v>
      </c>
      <c r="F814" t="s">
        <v>5487</v>
      </c>
    </row>
    <row r="815" spans="1:6" x14ac:dyDescent="0.2">
      <c r="A815" t="s">
        <v>4515</v>
      </c>
      <c r="B815" t="s">
        <v>4185</v>
      </c>
      <c r="C815" t="str">
        <f t="shared" si="12"/>
        <v>Norte de SantanderSARDINATA</v>
      </c>
      <c r="D815" t="s">
        <v>4516</v>
      </c>
      <c r="E815" t="s">
        <v>3018</v>
      </c>
      <c r="F815" t="s">
        <v>5488</v>
      </c>
    </row>
    <row r="816" spans="1:6" x14ac:dyDescent="0.2">
      <c r="A816" t="s">
        <v>4515</v>
      </c>
      <c r="B816" t="s">
        <v>4275</v>
      </c>
      <c r="C816" t="str">
        <f t="shared" si="12"/>
        <v>Norte de SantanderSILOS</v>
      </c>
      <c r="D816" t="s">
        <v>4516</v>
      </c>
      <c r="E816" t="s">
        <v>1125</v>
      </c>
      <c r="F816" t="s">
        <v>5489</v>
      </c>
    </row>
    <row r="817" spans="1:6" x14ac:dyDescent="0.2">
      <c r="A817" t="s">
        <v>4515</v>
      </c>
      <c r="B817" t="s">
        <v>4419</v>
      </c>
      <c r="C817" t="str">
        <f t="shared" si="12"/>
        <v>Norte de SantanderTEORAMA</v>
      </c>
      <c r="D817" t="s">
        <v>4516</v>
      </c>
      <c r="E817" t="s">
        <v>1056</v>
      </c>
      <c r="F817" t="s">
        <v>5490</v>
      </c>
    </row>
    <row r="818" spans="1:6" x14ac:dyDescent="0.2">
      <c r="A818" t="s">
        <v>4515</v>
      </c>
      <c r="B818" t="s">
        <v>4088</v>
      </c>
      <c r="C818" t="str">
        <f t="shared" si="12"/>
        <v>Norte de SantanderTIBU</v>
      </c>
      <c r="D818" t="s">
        <v>4516</v>
      </c>
      <c r="E818" t="s">
        <v>1618</v>
      </c>
      <c r="F818" t="s">
        <v>5491</v>
      </c>
    </row>
    <row r="819" spans="1:6" x14ac:dyDescent="0.2">
      <c r="A819" t="s">
        <v>4515</v>
      </c>
      <c r="B819" t="s">
        <v>4208</v>
      </c>
      <c r="C819" t="str">
        <f t="shared" si="12"/>
        <v>Norte de SantanderTOLEDO</v>
      </c>
      <c r="D819" t="s">
        <v>4516</v>
      </c>
      <c r="E819" t="s">
        <v>3123</v>
      </c>
      <c r="F819" t="s">
        <v>5492</v>
      </c>
    </row>
    <row r="820" spans="1:6" x14ac:dyDescent="0.2">
      <c r="A820" t="s">
        <v>4515</v>
      </c>
      <c r="B820" t="s">
        <v>4400</v>
      </c>
      <c r="C820" t="str">
        <f t="shared" si="12"/>
        <v>Norte de SantanderVILLA CARO</v>
      </c>
      <c r="D820" t="s">
        <v>4516</v>
      </c>
      <c r="E820" t="s">
        <v>4525</v>
      </c>
      <c r="F820" t="s">
        <v>5493</v>
      </c>
    </row>
    <row r="821" spans="1:6" x14ac:dyDescent="0.2">
      <c r="A821" t="s">
        <v>4515</v>
      </c>
      <c r="B821" t="s">
        <v>4448</v>
      </c>
      <c r="C821" t="str">
        <f t="shared" si="12"/>
        <v>Norte de SantanderVILLA DEL ROSARIO</v>
      </c>
      <c r="D821" t="s">
        <v>4516</v>
      </c>
      <c r="E821" t="s">
        <v>1733</v>
      </c>
      <c r="F821" t="s">
        <v>5494</v>
      </c>
    </row>
    <row r="822" spans="1:6" x14ac:dyDescent="0.2">
      <c r="A822" t="s">
        <v>4526</v>
      </c>
      <c r="B822" t="s">
        <v>3885</v>
      </c>
      <c r="C822" t="str">
        <f t="shared" si="12"/>
        <v>QuindioARMENIA</v>
      </c>
      <c r="D822" t="s">
        <v>4527</v>
      </c>
      <c r="E822" t="s">
        <v>2015</v>
      </c>
      <c r="F822" t="s">
        <v>5495</v>
      </c>
    </row>
    <row r="823" spans="1:6" x14ac:dyDescent="0.2">
      <c r="A823" t="s">
        <v>4526</v>
      </c>
      <c r="B823" t="s">
        <v>4528</v>
      </c>
      <c r="C823" t="str">
        <f t="shared" si="12"/>
        <v>QuindioBUENAVISTA</v>
      </c>
      <c r="D823" t="s">
        <v>4527</v>
      </c>
      <c r="E823" t="s">
        <v>2371</v>
      </c>
      <c r="F823" t="s">
        <v>5496</v>
      </c>
    </row>
    <row r="824" spans="1:6" x14ac:dyDescent="0.2">
      <c r="A824" t="s">
        <v>4526</v>
      </c>
      <c r="B824" t="s">
        <v>4261</v>
      </c>
      <c r="C824" t="str">
        <f t="shared" si="12"/>
        <v>QuindioCALARCA</v>
      </c>
      <c r="D824" t="s">
        <v>4527</v>
      </c>
      <c r="E824" t="s">
        <v>1033</v>
      </c>
      <c r="F824" t="s">
        <v>5497</v>
      </c>
    </row>
    <row r="825" spans="1:6" x14ac:dyDescent="0.2">
      <c r="A825" t="s">
        <v>4526</v>
      </c>
      <c r="B825" t="s">
        <v>3926</v>
      </c>
      <c r="C825" t="str">
        <f t="shared" si="12"/>
        <v>QuindioCIRCASIA</v>
      </c>
      <c r="D825" t="s">
        <v>4527</v>
      </c>
      <c r="E825" t="s">
        <v>2217</v>
      </c>
      <c r="F825" t="s">
        <v>5498</v>
      </c>
    </row>
    <row r="826" spans="1:6" x14ac:dyDescent="0.2">
      <c r="A826" t="s">
        <v>4526</v>
      </c>
      <c r="B826" t="s">
        <v>3930</v>
      </c>
      <c r="C826" t="str">
        <f t="shared" si="12"/>
        <v>QuindioCORDOBA</v>
      </c>
      <c r="D826" t="s">
        <v>4527</v>
      </c>
      <c r="E826" t="s">
        <v>1700</v>
      </c>
      <c r="F826" t="s">
        <v>5499</v>
      </c>
    </row>
    <row r="827" spans="1:6" x14ac:dyDescent="0.2">
      <c r="A827" t="s">
        <v>4526</v>
      </c>
      <c r="B827" t="s">
        <v>4131</v>
      </c>
      <c r="C827" t="str">
        <f t="shared" si="12"/>
        <v>QuindioFILANDIA</v>
      </c>
      <c r="D827" t="s">
        <v>4527</v>
      </c>
      <c r="E827" t="s">
        <v>2991</v>
      </c>
      <c r="F827" t="s">
        <v>5500</v>
      </c>
    </row>
    <row r="828" spans="1:6" x14ac:dyDescent="0.2">
      <c r="A828" t="s">
        <v>4526</v>
      </c>
      <c r="B828" t="s">
        <v>4529</v>
      </c>
      <c r="C828" t="str">
        <f t="shared" si="12"/>
        <v>QuindioGENOVA</v>
      </c>
      <c r="D828" t="s">
        <v>4527</v>
      </c>
      <c r="E828" t="s">
        <v>203</v>
      </c>
      <c r="F828" t="s">
        <v>5501</v>
      </c>
    </row>
    <row r="829" spans="1:6" x14ac:dyDescent="0.2">
      <c r="A829" t="s">
        <v>4526</v>
      </c>
      <c r="B829" t="s">
        <v>4146</v>
      </c>
      <c r="C829" t="str">
        <f t="shared" si="12"/>
        <v>QuindioLA TEBAIDA</v>
      </c>
      <c r="D829" t="s">
        <v>4527</v>
      </c>
      <c r="E829" t="s">
        <v>1992</v>
      </c>
      <c r="F829" t="s">
        <v>5502</v>
      </c>
    </row>
    <row r="830" spans="1:6" x14ac:dyDescent="0.2">
      <c r="A830" t="s">
        <v>4526</v>
      </c>
      <c r="B830" t="s">
        <v>4530</v>
      </c>
      <c r="C830" t="str">
        <f t="shared" si="12"/>
        <v>QuindioMONTENEGRO</v>
      </c>
      <c r="D830" t="s">
        <v>4527</v>
      </c>
      <c r="E830" t="s">
        <v>239</v>
      </c>
      <c r="F830" t="s">
        <v>5503</v>
      </c>
    </row>
    <row r="831" spans="1:6" x14ac:dyDescent="0.2">
      <c r="A831" t="s">
        <v>4526</v>
      </c>
      <c r="B831" t="s">
        <v>4271</v>
      </c>
      <c r="C831" t="str">
        <f t="shared" si="12"/>
        <v>QuindioPIJAO</v>
      </c>
      <c r="D831" t="s">
        <v>4527</v>
      </c>
      <c r="E831" t="s">
        <v>3121</v>
      </c>
      <c r="F831" t="s">
        <v>5504</v>
      </c>
    </row>
    <row r="832" spans="1:6" x14ac:dyDescent="0.2">
      <c r="A832" t="s">
        <v>4526</v>
      </c>
      <c r="B832" t="s">
        <v>4370</v>
      </c>
      <c r="C832" t="str">
        <f t="shared" si="12"/>
        <v>QuindioQUIMBAYA</v>
      </c>
      <c r="D832" t="s">
        <v>4527</v>
      </c>
      <c r="E832" t="s">
        <v>1978</v>
      </c>
      <c r="F832" t="s">
        <v>5505</v>
      </c>
    </row>
    <row r="833" spans="1:6" x14ac:dyDescent="0.2">
      <c r="A833" t="s">
        <v>4526</v>
      </c>
      <c r="B833" t="s">
        <v>3999</v>
      </c>
      <c r="C833" t="str">
        <f t="shared" si="12"/>
        <v>QuindioSALENTO</v>
      </c>
      <c r="D833" t="s">
        <v>4527</v>
      </c>
      <c r="E833" t="s">
        <v>1526</v>
      </c>
      <c r="F833" t="s">
        <v>5506</v>
      </c>
    </row>
    <row r="834" spans="1:6" x14ac:dyDescent="0.2">
      <c r="A834" t="s">
        <v>4531</v>
      </c>
      <c r="B834" t="s">
        <v>3885</v>
      </c>
      <c r="C834" t="str">
        <f t="shared" si="12"/>
        <v>RisaraldaPEREIRA</v>
      </c>
      <c r="D834" t="s">
        <v>4532</v>
      </c>
      <c r="E834" t="s">
        <v>2433</v>
      </c>
      <c r="F834" t="s">
        <v>5507</v>
      </c>
    </row>
    <row r="835" spans="1:6" x14ac:dyDescent="0.2">
      <c r="A835" t="s">
        <v>4531</v>
      </c>
      <c r="B835" t="s">
        <v>3899</v>
      </c>
      <c r="C835" t="str">
        <f t="shared" ref="C835:C898" si="13">D835&amp;E835</f>
        <v>RisaraldaAPIA</v>
      </c>
      <c r="D835" t="s">
        <v>4532</v>
      </c>
      <c r="E835" t="s">
        <v>2761</v>
      </c>
      <c r="F835" t="s">
        <v>5508</v>
      </c>
    </row>
    <row r="836" spans="1:6" x14ac:dyDescent="0.2">
      <c r="A836" t="s">
        <v>4531</v>
      </c>
      <c r="B836" t="s">
        <v>4258</v>
      </c>
      <c r="C836" t="str">
        <f t="shared" si="13"/>
        <v>RisaraldaBALBOA</v>
      </c>
      <c r="D836" t="s">
        <v>4532</v>
      </c>
      <c r="E836" t="s">
        <v>1103</v>
      </c>
      <c r="F836" t="s">
        <v>5509</v>
      </c>
    </row>
    <row r="837" spans="1:6" x14ac:dyDescent="0.2">
      <c r="A837" t="s">
        <v>4531</v>
      </c>
      <c r="B837" t="s">
        <v>3906</v>
      </c>
      <c r="C837" t="str">
        <f t="shared" si="13"/>
        <v>RisaraldaBELEN DE UMBRIA</v>
      </c>
      <c r="D837" t="s">
        <v>4532</v>
      </c>
      <c r="E837" t="s">
        <v>2183</v>
      </c>
      <c r="F837" t="s">
        <v>5510</v>
      </c>
    </row>
    <row r="838" spans="1:6" x14ac:dyDescent="0.2">
      <c r="A838" t="s">
        <v>4531</v>
      </c>
      <c r="B838" t="s">
        <v>4454</v>
      </c>
      <c r="C838" t="str">
        <f t="shared" si="13"/>
        <v>RisaraldaDOSQUEBRADAS</v>
      </c>
      <c r="D838" t="s">
        <v>4532</v>
      </c>
      <c r="E838" t="s">
        <v>2260</v>
      </c>
      <c r="F838" t="s">
        <v>5511</v>
      </c>
    </row>
    <row r="839" spans="1:6" x14ac:dyDescent="0.2">
      <c r="A839" t="s">
        <v>4531</v>
      </c>
      <c r="B839" t="s">
        <v>3946</v>
      </c>
      <c r="C839" t="str">
        <f t="shared" si="13"/>
        <v>RisaraldaGUATICA</v>
      </c>
      <c r="D839" t="s">
        <v>4532</v>
      </c>
      <c r="E839" t="s">
        <v>1853</v>
      </c>
      <c r="F839" t="s">
        <v>5512</v>
      </c>
    </row>
    <row r="840" spans="1:6" x14ac:dyDescent="0.2">
      <c r="A840" t="s">
        <v>4531</v>
      </c>
      <c r="B840" t="s">
        <v>4289</v>
      </c>
      <c r="C840" t="str">
        <f t="shared" si="13"/>
        <v>RisaraldaLA CELIA</v>
      </c>
      <c r="D840" t="s">
        <v>4532</v>
      </c>
      <c r="E840" t="s">
        <v>2199</v>
      </c>
      <c r="F840" t="s">
        <v>5513</v>
      </c>
    </row>
    <row r="841" spans="1:6" x14ac:dyDescent="0.2">
      <c r="A841" t="s">
        <v>4531</v>
      </c>
      <c r="B841" t="s">
        <v>3958</v>
      </c>
      <c r="C841" t="str">
        <f t="shared" si="13"/>
        <v>RisaraldaLA VIRGINIA</v>
      </c>
      <c r="D841" t="s">
        <v>4532</v>
      </c>
      <c r="E841" t="s">
        <v>3168</v>
      </c>
      <c r="F841" t="s">
        <v>5514</v>
      </c>
    </row>
    <row r="842" spans="1:6" x14ac:dyDescent="0.2">
      <c r="A842" t="s">
        <v>4531</v>
      </c>
      <c r="B842" t="s">
        <v>3961</v>
      </c>
      <c r="C842" t="str">
        <f t="shared" si="13"/>
        <v>RisaraldaMARSELLA</v>
      </c>
      <c r="D842" t="s">
        <v>4532</v>
      </c>
      <c r="E842" t="s">
        <v>2766</v>
      </c>
      <c r="F842" t="s">
        <v>5515</v>
      </c>
    </row>
    <row r="843" spans="1:6" x14ac:dyDescent="0.2">
      <c r="A843" t="s">
        <v>4531</v>
      </c>
      <c r="B843" t="s">
        <v>4533</v>
      </c>
      <c r="C843" t="str">
        <f t="shared" si="13"/>
        <v>RisaraldaMISTRATO</v>
      </c>
      <c r="D843" t="s">
        <v>4532</v>
      </c>
      <c r="E843" t="s">
        <v>2762</v>
      </c>
      <c r="F843" t="s">
        <v>5516</v>
      </c>
    </row>
    <row r="844" spans="1:6" x14ac:dyDescent="0.2">
      <c r="A844" t="s">
        <v>4531</v>
      </c>
      <c r="B844" t="s">
        <v>4171</v>
      </c>
      <c r="C844" t="str">
        <f t="shared" si="13"/>
        <v>RisaraldaPUEBLO RICO</v>
      </c>
      <c r="D844" t="s">
        <v>4532</v>
      </c>
      <c r="E844" t="s">
        <v>313</v>
      </c>
      <c r="F844" t="s">
        <v>5517</v>
      </c>
    </row>
    <row r="845" spans="1:6" x14ac:dyDescent="0.2">
      <c r="A845" t="s">
        <v>4531</v>
      </c>
      <c r="B845" t="s">
        <v>4370</v>
      </c>
      <c r="C845" t="str">
        <f t="shared" si="13"/>
        <v>RisaraldaQUINCHIA</v>
      </c>
      <c r="D845" t="s">
        <v>4532</v>
      </c>
      <c r="E845" t="s">
        <v>2593</v>
      </c>
      <c r="F845" t="s">
        <v>5518</v>
      </c>
    </row>
    <row r="846" spans="1:6" x14ac:dyDescent="0.2">
      <c r="A846" t="s">
        <v>4531</v>
      </c>
      <c r="B846" t="s">
        <v>4534</v>
      </c>
      <c r="C846" t="str">
        <f t="shared" si="13"/>
        <v>RisaraldaSANTA ROSA DE CABAL</v>
      </c>
      <c r="D846" t="s">
        <v>4532</v>
      </c>
      <c r="E846" t="s">
        <v>2118</v>
      </c>
      <c r="F846" t="s">
        <v>5519</v>
      </c>
    </row>
    <row r="847" spans="1:6" x14ac:dyDescent="0.2">
      <c r="A847" t="s">
        <v>4531</v>
      </c>
      <c r="B847" t="s">
        <v>4509</v>
      </c>
      <c r="C847" t="str">
        <f t="shared" si="13"/>
        <v>RisaraldaSANTUARIO</v>
      </c>
      <c r="D847" t="s">
        <v>4532</v>
      </c>
      <c r="E847" t="s">
        <v>1938</v>
      </c>
      <c r="F847" t="s">
        <v>5520</v>
      </c>
    </row>
    <row r="848" spans="1:6" x14ac:dyDescent="0.2">
      <c r="A848" t="s">
        <v>4535</v>
      </c>
      <c r="B848" t="s">
        <v>3885</v>
      </c>
      <c r="C848" t="str">
        <f t="shared" si="13"/>
        <v>SantanderBUCARAMANGA</v>
      </c>
      <c r="D848" t="s">
        <v>4536</v>
      </c>
      <c r="E848" t="s">
        <v>628</v>
      </c>
      <c r="F848" t="s">
        <v>5521</v>
      </c>
    </row>
    <row r="849" spans="1:6" x14ac:dyDescent="0.2">
      <c r="A849" t="s">
        <v>4535</v>
      </c>
      <c r="B849" t="s">
        <v>4222</v>
      </c>
      <c r="C849" t="str">
        <f t="shared" si="13"/>
        <v>SantanderAGUADA</v>
      </c>
      <c r="D849" t="s">
        <v>4536</v>
      </c>
      <c r="E849" t="s">
        <v>4537</v>
      </c>
      <c r="F849" t="s">
        <v>5522</v>
      </c>
    </row>
    <row r="850" spans="1:6" x14ac:dyDescent="0.2">
      <c r="A850" t="s">
        <v>4535</v>
      </c>
      <c r="B850" t="s">
        <v>4422</v>
      </c>
      <c r="C850" t="str">
        <f t="shared" si="13"/>
        <v>SantanderALBANIA</v>
      </c>
      <c r="D850" t="s">
        <v>4536</v>
      </c>
      <c r="E850" t="s">
        <v>600</v>
      </c>
      <c r="F850" t="s">
        <v>5523</v>
      </c>
    </row>
    <row r="851" spans="1:6" x14ac:dyDescent="0.2">
      <c r="A851" t="s">
        <v>4535</v>
      </c>
      <c r="B851" t="s">
        <v>3900</v>
      </c>
      <c r="C851" t="str">
        <f t="shared" si="13"/>
        <v>SantanderARATOCA</v>
      </c>
      <c r="D851" t="s">
        <v>4536</v>
      </c>
      <c r="E851" t="s">
        <v>988</v>
      </c>
      <c r="F851" t="s">
        <v>5524</v>
      </c>
    </row>
    <row r="852" spans="1:6" x14ac:dyDescent="0.2">
      <c r="A852" t="s">
        <v>4535</v>
      </c>
      <c r="B852" t="s">
        <v>4411</v>
      </c>
      <c r="C852" t="str">
        <f t="shared" si="13"/>
        <v>SantanderBARBOSA</v>
      </c>
      <c r="D852" t="s">
        <v>4536</v>
      </c>
      <c r="E852" t="s">
        <v>1795</v>
      </c>
      <c r="F852" t="s">
        <v>5525</v>
      </c>
    </row>
    <row r="853" spans="1:6" x14ac:dyDescent="0.2">
      <c r="A853" t="s">
        <v>4535</v>
      </c>
      <c r="B853" t="s">
        <v>3903</v>
      </c>
      <c r="C853" t="str">
        <f t="shared" si="13"/>
        <v>SantanderBARICHARA</v>
      </c>
      <c r="D853" t="s">
        <v>4536</v>
      </c>
      <c r="E853" t="s">
        <v>1382</v>
      </c>
      <c r="F853" t="s">
        <v>5526</v>
      </c>
    </row>
    <row r="854" spans="1:6" x14ac:dyDescent="0.2">
      <c r="A854" t="s">
        <v>4535</v>
      </c>
      <c r="B854" t="s">
        <v>4538</v>
      </c>
      <c r="C854" t="str">
        <f t="shared" si="13"/>
        <v>SantanderBARRANCABERMEJA</v>
      </c>
      <c r="D854" t="s">
        <v>4536</v>
      </c>
      <c r="E854" t="s">
        <v>1457</v>
      </c>
      <c r="F854" t="s">
        <v>5527</v>
      </c>
    </row>
    <row r="855" spans="1:6" x14ac:dyDescent="0.2">
      <c r="A855" t="s">
        <v>4535</v>
      </c>
      <c r="B855" t="s">
        <v>4100</v>
      </c>
      <c r="C855" t="str">
        <f t="shared" si="13"/>
        <v>SantanderBETULIA</v>
      </c>
      <c r="D855" t="s">
        <v>4536</v>
      </c>
      <c r="E855" t="s">
        <v>1543</v>
      </c>
      <c r="F855" t="s">
        <v>5528</v>
      </c>
    </row>
    <row r="856" spans="1:6" x14ac:dyDescent="0.2">
      <c r="A856" t="s">
        <v>4535</v>
      </c>
      <c r="B856" t="s">
        <v>3909</v>
      </c>
      <c r="C856" t="str">
        <f t="shared" si="13"/>
        <v>SantanderBOLIVAR</v>
      </c>
      <c r="D856" t="s">
        <v>4536</v>
      </c>
      <c r="E856" t="s">
        <v>2017</v>
      </c>
      <c r="F856" t="s">
        <v>5529</v>
      </c>
    </row>
    <row r="857" spans="1:6" x14ac:dyDescent="0.2">
      <c r="A857" t="s">
        <v>4535</v>
      </c>
      <c r="B857" t="s">
        <v>4539</v>
      </c>
      <c r="C857" t="str">
        <f t="shared" si="13"/>
        <v>SantanderCABRERA</v>
      </c>
      <c r="D857" t="s">
        <v>4536</v>
      </c>
      <c r="E857" t="s">
        <v>1383</v>
      </c>
      <c r="F857" t="s">
        <v>5530</v>
      </c>
    </row>
    <row r="858" spans="1:6" x14ac:dyDescent="0.2">
      <c r="A858" t="s">
        <v>4535</v>
      </c>
      <c r="B858" t="s">
        <v>4424</v>
      </c>
      <c r="C858" t="str">
        <f t="shared" si="13"/>
        <v>SantanderCALIFORNIA</v>
      </c>
      <c r="D858" t="s">
        <v>4536</v>
      </c>
      <c r="E858" t="s">
        <v>337</v>
      </c>
      <c r="F858" t="s">
        <v>5531</v>
      </c>
    </row>
    <row r="859" spans="1:6" x14ac:dyDescent="0.2">
      <c r="A859" t="s">
        <v>4535</v>
      </c>
      <c r="B859" t="s">
        <v>3919</v>
      </c>
      <c r="C859" t="str">
        <f t="shared" si="13"/>
        <v>SantanderCAPITANEJO</v>
      </c>
      <c r="D859" t="s">
        <v>4536</v>
      </c>
      <c r="E859" t="s">
        <v>1969</v>
      </c>
      <c r="F859" t="s">
        <v>5532</v>
      </c>
    </row>
    <row r="860" spans="1:6" x14ac:dyDescent="0.2">
      <c r="A860" t="s">
        <v>4535</v>
      </c>
      <c r="B860" t="s">
        <v>4540</v>
      </c>
      <c r="C860" t="str">
        <f t="shared" si="13"/>
        <v>SantanderCARCASI</v>
      </c>
      <c r="D860" t="s">
        <v>4536</v>
      </c>
      <c r="E860" t="s">
        <v>1274</v>
      </c>
      <c r="F860" t="s">
        <v>5533</v>
      </c>
    </row>
    <row r="861" spans="1:6" x14ac:dyDescent="0.2">
      <c r="A861" t="s">
        <v>4535</v>
      </c>
      <c r="B861" t="s">
        <v>4059</v>
      </c>
      <c r="C861" t="str">
        <f t="shared" si="13"/>
        <v>SantanderCEPITA</v>
      </c>
      <c r="D861" t="s">
        <v>4536</v>
      </c>
      <c r="E861" t="s">
        <v>1796</v>
      </c>
      <c r="F861" t="s">
        <v>5534</v>
      </c>
    </row>
    <row r="862" spans="1:6" x14ac:dyDescent="0.2">
      <c r="A862" t="s">
        <v>4535</v>
      </c>
      <c r="B862" t="s">
        <v>4109</v>
      </c>
      <c r="C862" t="str">
        <f t="shared" si="13"/>
        <v>SantanderCERRITO</v>
      </c>
      <c r="D862" t="s">
        <v>4536</v>
      </c>
      <c r="E862" t="s">
        <v>4541</v>
      </c>
      <c r="F862" t="s">
        <v>5535</v>
      </c>
    </row>
    <row r="863" spans="1:6" x14ac:dyDescent="0.2">
      <c r="A863" t="s">
        <v>4535</v>
      </c>
      <c r="B863" t="s">
        <v>4542</v>
      </c>
      <c r="C863" t="str">
        <f t="shared" si="13"/>
        <v>SantanderCHARALA</v>
      </c>
      <c r="D863" t="s">
        <v>4536</v>
      </c>
      <c r="E863" t="s">
        <v>3005</v>
      </c>
      <c r="F863" t="s">
        <v>5536</v>
      </c>
    </row>
    <row r="864" spans="1:6" x14ac:dyDescent="0.2">
      <c r="A864" t="s">
        <v>4535</v>
      </c>
      <c r="B864" t="s">
        <v>4543</v>
      </c>
      <c r="C864" t="str">
        <f t="shared" si="13"/>
        <v>SantanderCHARTA</v>
      </c>
      <c r="D864" t="s">
        <v>4536</v>
      </c>
      <c r="E864" t="s">
        <v>1364</v>
      </c>
      <c r="F864" t="s">
        <v>5537</v>
      </c>
    </row>
    <row r="865" spans="1:6" x14ac:dyDescent="0.2">
      <c r="A865" t="s">
        <v>4535</v>
      </c>
      <c r="B865" t="s">
        <v>4111</v>
      </c>
      <c r="C865" t="str">
        <f t="shared" si="13"/>
        <v>SantanderCHIMA</v>
      </c>
      <c r="D865" t="s">
        <v>4536</v>
      </c>
      <c r="E865" t="s">
        <v>1400</v>
      </c>
      <c r="F865" t="s">
        <v>5538</v>
      </c>
    </row>
    <row r="866" spans="1:6" x14ac:dyDescent="0.2">
      <c r="A866" t="s">
        <v>4535</v>
      </c>
      <c r="B866" t="s">
        <v>4544</v>
      </c>
      <c r="C866" t="str">
        <f t="shared" si="13"/>
        <v>SantanderCHIPATA</v>
      </c>
      <c r="D866" t="s">
        <v>4536</v>
      </c>
      <c r="E866" t="s">
        <v>339</v>
      </c>
      <c r="F866" t="s">
        <v>5539</v>
      </c>
    </row>
    <row r="867" spans="1:6" x14ac:dyDescent="0.2">
      <c r="A867" t="s">
        <v>4535</v>
      </c>
      <c r="B867" t="s">
        <v>3926</v>
      </c>
      <c r="C867" t="str">
        <f t="shared" si="13"/>
        <v>SantanderCIMITARRA</v>
      </c>
      <c r="D867" t="s">
        <v>4536</v>
      </c>
      <c r="E867" t="s">
        <v>2773</v>
      </c>
      <c r="F867" t="s">
        <v>5540</v>
      </c>
    </row>
    <row r="868" spans="1:6" x14ac:dyDescent="0.2">
      <c r="A868" t="s">
        <v>4535</v>
      </c>
      <c r="B868" t="s">
        <v>4490</v>
      </c>
      <c r="C868" t="str">
        <f t="shared" si="13"/>
        <v>SantanderCONCEPCION</v>
      </c>
      <c r="D868" t="s">
        <v>4536</v>
      </c>
      <c r="E868" t="s">
        <v>1797</v>
      </c>
      <c r="F868" t="s">
        <v>5541</v>
      </c>
    </row>
    <row r="869" spans="1:6" x14ac:dyDescent="0.2">
      <c r="A869" t="s">
        <v>4535</v>
      </c>
      <c r="B869" t="s">
        <v>3929</v>
      </c>
      <c r="C869" t="str">
        <f t="shared" si="13"/>
        <v>SantanderCONFINES</v>
      </c>
      <c r="D869" t="s">
        <v>4536</v>
      </c>
      <c r="E869" t="s">
        <v>338</v>
      </c>
      <c r="F869" t="s">
        <v>5542</v>
      </c>
    </row>
    <row r="870" spans="1:6" x14ac:dyDescent="0.2">
      <c r="A870" t="s">
        <v>4535</v>
      </c>
      <c r="B870" t="s">
        <v>4545</v>
      </c>
      <c r="C870" t="str">
        <f t="shared" si="13"/>
        <v>SantanderCONTRATACION</v>
      </c>
      <c r="D870" t="s">
        <v>4536</v>
      </c>
      <c r="E870" t="s">
        <v>1271</v>
      </c>
      <c r="F870" t="s">
        <v>5543</v>
      </c>
    </row>
    <row r="871" spans="1:6" x14ac:dyDescent="0.2">
      <c r="A871" t="s">
        <v>4535</v>
      </c>
      <c r="B871" t="s">
        <v>4546</v>
      </c>
      <c r="C871" t="str">
        <f t="shared" si="13"/>
        <v>SantanderCOROMORO</v>
      </c>
      <c r="D871" t="s">
        <v>4536</v>
      </c>
      <c r="E871" t="s">
        <v>1798</v>
      </c>
      <c r="F871" t="s">
        <v>5544</v>
      </c>
    </row>
    <row r="872" spans="1:6" x14ac:dyDescent="0.2">
      <c r="A872" t="s">
        <v>4535</v>
      </c>
      <c r="B872" t="s">
        <v>4547</v>
      </c>
      <c r="C872" t="str">
        <f t="shared" si="13"/>
        <v>SantanderCURITI</v>
      </c>
      <c r="D872" t="s">
        <v>4536</v>
      </c>
      <c r="E872" t="s">
        <v>1008</v>
      </c>
      <c r="F872" t="s">
        <v>5545</v>
      </c>
    </row>
    <row r="873" spans="1:6" x14ac:dyDescent="0.2">
      <c r="A873" t="s">
        <v>4535</v>
      </c>
      <c r="B873" t="s">
        <v>4548</v>
      </c>
      <c r="C873" t="str">
        <f t="shared" si="13"/>
        <v>SantanderEL CARMEN DE CHUCURI</v>
      </c>
      <c r="D873" t="s">
        <v>4536</v>
      </c>
      <c r="E873" t="s">
        <v>1366</v>
      </c>
      <c r="F873" t="s">
        <v>5546</v>
      </c>
    </row>
    <row r="874" spans="1:6" x14ac:dyDescent="0.2">
      <c r="A874" t="s">
        <v>4535</v>
      </c>
      <c r="B874" t="s">
        <v>4329</v>
      </c>
      <c r="C874" t="str">
        <f t="shared" si="13"/>
        <v>SantanderEL GUACAMAYO</v>
      </c>
      <c r="D874" t="s">
        <v>4536</v>
      </c>
      <c r="E874" t="s">
        <v>4549</v>
      </c>
      <c r="F874" t="s">
        <v>5547</v>
      </c>
    </row>
    <row r="875" spans="1:6" x14ac:dyDescent="0.2">
      <c r="A875" t="s">
        <v>4535</v>
      </c>
      <c r="B875" t="s">
        <v>3934</v>
      </c>
      <c r="C875" t="str">
        <f t="shared" si="13"/>
        <v>SantanderEL PEÑON</v>
      </c>
      <c r="D875" t="s">
        <v>4536</v>
      </c>
      <c r="E875" t="s">
        <v>1841</v>
      </c>
      <c r="F875" t="s">
        <v>5548</v>
      </c>
    </row>
    <row r="876" spans="1:6" x14ac:dyDescent="0.2">
      <c r="A876" t="s">
        <v>4535</v>
      </c>
      <c r="B876" t="s">
        <v>4550</v>
      </c>
      <c r="C876" t="str">
        <f t="shared" si="13"/>
        <v>SantanderEL PLAYON</v>
      </c>
      <c r="D876" t="s">
        <v>4536</v>
      </c>
      <c r="E876" t="s">
        <v>1077</v>
      </c>
      <c r="F876" t="s">
        <v>5549</v>
      </c>
    </row>
    <row r="877" spans="1:6" x14ac:dyDescent="0.2">
      <c r="A877" t="s">
        <v>4535</v>
      </c>
      <c r="B877" t="s">
        <v>3936</v>
      </c>
      <c r="C877" t="str">
        <f t="shared" si="13"/>
        <v>SantanderENCINO</v>
      </c>
      <c r="D877" t="s">
        <v>4536</v>
      </c>
      <c r="E877" t="s">
        <v>4551</v>
      </c>
      <c r="F877" t="s">
        <v>5550</v>
      </c>
    </row>
    <row r="878" spans="1:6" x14ac:dyDescent="0.2">
      <c r="A878" t="s">
        <v>4535</v>
      </c>
      <c r="B878" t="s">
        <v>3938</v>
      </c>
      <c r="C878" t="str">
        <f t="shared" si="13"/>
        <v>SantanderENCISO</v>
      </c>
      <c r="D878" t="s">
        <v>4536</v>
      </c>
      <c r="E878" t="s">
        <v>3006</v>
      </c>
      <c r="F878" t="s">
        <v>5551</v>
      </c>
    </row>
    <row r="879" spans="1:6" x14ac:dyDescent="0.2">
      <c r="A879" t="s">
        <v>4535</v>
      </c>
      <c r="B879" t="s">
        <v>4552</v>
      </c>
      <c r="C879" t="str">
        <f t="shared" si="13"/>
        <v>SantanderFLORIAN</v>
      </c>
      <c r="D879" t="s">
        <v>4536</v>
      </c>
      <c r="E879" t="s">
        <v>4553</v>
      </c>
      <c r="F879" t="s">
        <v>5552</v>
      </c>
    </row>
    <row r="880" spans="1:6" x14ac:dyDescent="0.2">
      <c r="A880" t="s">
        <v>4535</v>
      </c>
      <c r="B880" t="s">
        <v>4132</v>
      </c>
      <c r="C880" t="str">
        <f t="shared" si="13"/>
        <v>SantanderFLORIDABLANCA</v>
      </c>
      <c r="D880" t="s">
        <v>4536</v>
      </c>
      <c r="E880" t="s">
        <v>1022</v>
      </c>
      <c r="F880" t="s">
        <v>5553</v>
      </c>
    </row>
    <row r="881" spans="1:6" x14ac:dyDescent="0.2">
      <c r="A881" t="s">
        <v>4535</v>
      </c>
      <c r="B881" t="s">
        <v>4030</v>
      </c>
      <c r="C881" t="str">
        <f t="shared" si="13"/>
        <v>SantanderGALAN</v>
      </c>
      <c r="D881" t="s">
        <v>4536</v>
      </c>
      <c r="E881" t="s">
        <v>1890</v>
      </c>
      <c r="F881" t="s">
        <v>5554</v>
      </c>
    </row>
    <row r="882" spans="1:6" x14ac:dyDescent="0.2">
      <c r="A882" t="s">
        <v>4535</v>
      </c>
      <c r="B882" t="s">
        <v>4426</v>
      </c>
      <c r="C882" t="str">
        <f t="shared" si="13"/>
        <v>SantanderGAMBITA</v>
      </c>
      <c r="D882" t="s">
        <v>4536</v>
      </c>
      <c r="E882" t="s">
        <v>1303</v>
      </c>
      <c r="F882" t="s">
        <v>5555</v>
      </c>
    </row>
    <row r="883" spans="1:6" x14ac:dyDescent="0.2">
      <c r="A883" t="s">
        <v>4535</v>
      </c>
      <c r="B883" t="s">
        <v>4343</v>
      </c>
      <c r="C883" t="str">
        <f t="shared" si="13"/>
        <v>SantanderGIRON</v>
      </c>
      <c r="D883" t="s">
        <v>4536</v>
      </c>
      <c r="E883" t="s">
        <v>2255</v>
      </c>
      <c r="F883" t="s">
        <v>5556</v>
      </c>
    </row>
    <row r="884" spans="1:6" x14ac:dyDescent="0.2">
      <c r="A884" t="s">
        <v>4535</v>
      </c>
      <c r="B884" t="s">
        <v>3946</v>
      </c>
      <c r="C884" t="str">
        <f t="shared" si="13"/>
        <v>SantanderGUACA</v>
      </c>
      <c r="D884" t="s">
        <v>4536</v>
      </c>
      <c r="E884" t="s">
        <v>2652</v>
      </c>
      <c r="F884" t="s">
        <v>5557</v>
      </c>
    </row>
    <row r="885" spans="1:6" x14ac:dyDescent="0.2">
      <c r="A885" t="s">
        <v>4535</v>
      </c>
      <c r="B885" t="s">
        <v>4345</v>
      </c>
      <c r="C885" t="str">
        <f t="shared" si="13"/>
        <v>SantanderGUADALUPE</v>
      </c>
      <c r="D885" t="s">
        <v>4536</v>
      </c>
      <c r="E885" t="s">
        <v>2030</v>
      </c>
      <c r="F885" t="s">
        <v>5558</v>
      </c>
    </row>
    <row r="886" spans="1:6" x14ac:dyDescent="0.2">
      <c r="A886" t="s">
        <v>4535</v>
      </c>
      <c r="B886" t="s">
        <v>4136</v>
      </c>
      <c r="C886" t="str">
        <f t="shared" si="13"/>
        <v>SantanderGUAPOTA</v>
      </c>
      <c r="D886" t="s">
        <v>4536</v>
      </c>
      <c r="E886" t="s">
        <v>2653</v>
      </c>
      <c r="F886" t="s">
        <v>5559</v>
      </c>
    </row>
    <row r="887" spans="1:6" x14ac:dyDescent="0.2">
      <c r="A887" t="s">
        <v>4535</v>
      </c>
      <c r="B887" t="s">
        <v>4346</v>
      </c>
      <c r="C887" t="str">
        <f t="shared" si="13"/>
        <v>SantanderGUAVATA</v>
      </c>
      <c r="D887" t="s">
        <v>4536</v>
      </c>
      <c r="E887" t="s">
        <v>3830</v>
      </c>
      <c r="F887" t="s">
        <v>5560</v>
      </c>
    </row>
    <row r="888" spans="1:6" x14ac:dyDescent="0.2">
      <c r="A888" t="s">
        <v>4535</v>
      </c>
      <c r="B888" t="s">
        <v>4554</v>
      </c>
      <c r="C888" t="str">
        <f t="shared" si="13"/>
        <v>SantanderGUEPSA</v>
      </c>
      <c r="D888" t="s">
        <v>4536</v>
      </c>
      <c r="E888" t="s">
        <v>4555</v>
      </c>
      <c r="F888" t="s">
        <v>5561</v>
      </c>
    </row>
    <row r="889" spans="1:6" x14ac:dyDescent="0.2">
      <c r="A889" t="s">
        <v>4535</v>
      </c>
      <c r="B889" t="s">
        <v>4521</v>
      </c>
      <c r="C889" t="str">
        <f t="shared" si="13"/>
        <v>SantanderHATO</v>
      </c>
      <c r="D889" t="s">
        <v>4536</v>
      </c>
      <c r="E889" t="s">
        <v>4556</v>
      </c>
      <c r="F889" t="s">
        <v>5562</v>
      </c>
    </row>
    <row r="890" spans="1:6" x14ac:dyDescent="0.2">
      <c r="A890" t="s">
        <v>4535</v>
      </c>
      <c r="B890" t="s">
        <v>3954</v>
      </c>
      <c r="C890" t="str">
        <f t="shared" si="13"/>
        <v>SantanderJESUS MARIA</v>
      </c>
      <c r="D890" t="s">
        <v>4536</v>
      </c>
      <c r="E890" t="s">
        <v>1399</v>
      </c>
      <c r="F890" t="s">
        <v>5563</v>
      </c>
    </row>
    <row r="891" spans="1:6" x14ac:dyDescent="0.2">
      <c r="A891" t="s">
        <v>4535</v>
      </c>
      <c r="B891" t="s">
        <v>4475</v>
      </c>
      <c r="C891" t="str">
        <f t="shared" si="13"/>
        <v>SantanderJORDAN</v>
      </c>
      <c r="D891" t="s">
        <v>4536</v>
      </c>
      <c r="E891" t="s">
        <v>4557</v>
      </c>
      <c r="F891" t="s">
        <v>5564</v>
      </c>
    </row>
    <row r="892" spans="1:6" x14ac:dyDescent="0.2">
      <c r="A892" t="s">
        <v>4535</v>
      </c>
      <c r="B892" t="s">
        <v>4144</v>
      </c>
      <c r="C892" t="str">
        <f t="shared" si="13"/>
        <v>SantanderLA BELLEZA</v>
      </c>
      <c r="D892" t="s">
        <v>4536</v>
      </c>
      <c r="E892" t="s">
        <v>340</v>
      </c>
      <c r="F892" t="s">
        <v>5565</v>
      </c>
    </row>
    <row r="893" spans="1:6" x14ac:dyDescent="0.2">
      <c r="A893" t="s">
        <v>4535</v>
      </c>
      <c r="B893" t="s">
        <v>4501</v>
      </c>
      <c r="C893" t="str">
        <f t="shared" si="13"/>
        <v>SantanderLANDAZURI</v>
      </c>
      <c r="D893" t="s">
        <v>4536</v>
      </c>
      <c r="E893" t="s">
        <v>4558</v>
      </c>
      <c r="F893" t="s">
        <v>5566</v>
      </c>
    </row>
    <row r="894" spans="1:6" x14ac:dyDescent="0.2">
      <c r="A894" t="s">
        <v>4535</v>
      </c>
      <c r="B894" t="s">
        <v>4265</v>
      </c>
      <c r="C894" t="str">
        <f t="shared" si="13"/>
        <v>SantanderLA PAZ</v>
      </c>
      <c r="D894" t="s">
        <v>4536</v>
      </c>
      <c r="E894" t="s">
        <v>1227</v>
      </c>
      <c r="F894" t="s">
        <v>5567</v>
      </c>
    </row>
    <row r="895" spans="1:6" x14ac:dyDescent="0.2">
      <c r="A895" t="s">
        <v>4535</v>
      </c>
      <c r="B895" t="s">
        <v>4559</v>
      </c>
      <c r="C895" t="str">
        <f t="shared" si="13"/>
        <v>SantanderLEBRIJA</v>
      </c>
      <c r="D895" t="s">
        <v>4536</v>
      </c>
      <c r="E895" t="s">
        <v>3007</v>
      </c>
      <c r="F895" t="s">
        <v>5568</v>
      </c>
    </row>
    <row r="896" spans="1:6" x14ac:dyDescent="0.2">
      <c r="A896" t="s">
        <v>4535</v>
      </c>
      <c r="B896" t="s">
        <v>4266</v>
      </c>
      <c r="C896" t="str">
        <f t="shared" si="13"/>
        <v>SantanderLOS SANTOS</v>
      </c>
      <c r="D896" t="s">
        <v>4536</v>
      </c>
      <c r="E896" t="s">
        <v>2428</v>
      </c>
      <c r="F896" t="s">
        <v>5569</v>
      </c>
    </row>
    <row r="897" spans="1:6" x14ac:dyDescent="0.2">
      <c r="A897" t="s">
        <v>4535</v>
      </c>
      <c r="B897" t="s">
        <v>3960</v>
      </c>
      <c r="C897" t="str">
        <f t="shared" si="13"/>
        <v>SantanderMACARAVITA</v>
      </c>
      <c r="D897" t="s">
        <v>4536</v>
      </c>
      <c r="E897" t="s">
        <v>2654</v>
      </c>
      <c r="F897" t="s">
        <v>5570</v>
      </c>
    </row>
    <row r="898" spans="1:6" x14ac:dyDescent="0.2">
      <c r="A898" t="s">
        <v>4535</v>
      </c>
      <c r="B898" t="s">
        <v>4560</v>
      </c>
      <c r="C898" t="str">
        <f t="shared" si="13"/>
        <v>SantanderMALAGA</v>
      </c>
      <c r="D898" t="s">
        <v>4536</v>
      </c>
      <c r="E898" t="s">
        <v>1384</v>
      </c>
      <c r="F898" t="s">
        <v>5571</v>
      </c>
    </row>
    <row r="899" spans="1:6" x14ac:dyDescent="0.2">
      <c r="A899" t="s">
        <v>4535</v>
      </c>
      <c r="B899" t="s">
        <v>4226</v>
      </c>
      <c r="C899" t="str">
        <f t="shared" ref="C899:C962" si="14">D899&amp;E899</f>
        <v>SantanderMATANZA</v>
      </c>
      <c r="D899" t="s">
        <v>4536</v>
      </c>
      <c r="E899" t="s">
        <v>1365</v>
      </c>
      <c r="F899" t="s">
        <v>5572</v>
      </c>
    </row>
    <row r="900" spans="1:6" x14ac:dyDescent="0.2">
      <c r="A900" t="s">
        <v>4535</v>
      </c>
      <c r="B900" t="s">
        <v>4151</v>
      </c>
      <c r="C900" t="str">
        <f t="shared" si="14"/>
        <v>SantanderMOGOTES</v>
      </c>
      <c r="D900" t="s">
        <v>4536</v>
      </c>
      <c r="E900" t="s">
        <v>3008</v>
      </c>
      <c r="F900" t="s">
        <v>5573</v>
      </c>
    </row>
    <row r="901" spans="1:6" x14ac:dyDescent="0.2">
      <c r="A901" t="s">
        <v>4535</v>
      </c>
      <c r="B901" t="s">
        <v>4069</v>
      </c>
      <c r="C901" t="str">
        <f t="shared" si="14"/>
        <v>SantanderMOLAGAVITA</v>
      </c>
      <c r="D901" t="s">
        <v>4536</v>
      </c>
      <c r="E901" t="s">
        <v>2725</v>
      </c>
      <c r="F901" t="s">
        <v>5574</v>
      </c>
    </row>
    <row r="902" spans="1:6" x14ac:dyDescent="0.2">
      <c r="A902" t="s">
        <v>4535</v>
      </c>
      <c r="B902" t="s">
        <v>4523</v>
      </c>
      <c r="C902" t="str">
        <f t="shared" si="14"/>
        <v>SantanderOCAMONTE</v>
      </c>
      <c r="D902" t="s">
        <v>4536</v>
      </c>
      <c r="E902" t="s">
        <v>2192</v>
      </c>
      <c r="F902" t="s">
        <v>5575</v>
      </c>
    </row>
    <row r="903" spans="1:6" x14ac:dyDescent="0.2">
      <c r="A903" t="s">
        <v>4535</v>
      </c>
      <c r="B903" t="s">
        <v>4157</v>
      </c>
      <c r="C903" t="str">
        <f t="shared" si="14"/>
        <v>SantanderOIBA</v>
      </c>
      <c r="D903" t="s">
        <v>4536</v>
      </c>
      <c r="E903" t="s">
        <v>1970</v>
      </c>
      <c r="F903" t="s">
        <v>5576</v>
      </c>
    </row>
    <row r="904" spans="1:6" x14ac:dyDescent="0.2">
      <c r="A904" t="s">
        <v>4535</v>
      </c>
      <c r="B904" t="s">
        <v>4561</v>
      </c>
      <c r="C904" t="str">
        <f t="shared" si="14"/>
        <v>SantanderONZAGA</v>
      </c>
      <c r="D904" t="s">
        <v>4536</v>
      </c>
      <c r="E904" t="s">
        <v>2875</v>
      </c>
      <c r="F904" t="s">
        <v>5577</v>
      </c>
    </row>
    <row r="905" spans="1:6" x14ac:dyDescent="0.2">
      <c r="A905" t="s">
        <v>4535</v>
      </c>
      <c r="B905" t="s">
        <v>4163</v>
      </c>
      <c r="C905" t="str">
        <f t="shared" si="14"/>
        <v>SantanderPALMAR</v>
      </c>
      <c r="D905" t="s">
        <v>4536</v>
      </c>
      <c r="E905" t="s">
        <v>4562</v>
      </c>
      <c r="F905" t="s">
        <v>5578</v>
      </c>
    </row>
    <row r="906" spans="1:6" x14ac:dyDescent="0.2">
      <c r="A906" t="s">
        <v>4535</v>
      </c>
      <c r="B906" t="s">
        <v>4230</v>
      </c>
      <c r="C906" t="str">
        <f t="shared" si="14"/>
        <v>SantanderPALMAS DEL SOCORRO</v>
      </c>
      <c r="D906" t="s">
        <v>4536</v>
      </c>
      <c r="E906" t="s">
        <v>1891</v>
      </c>
      <c r="F906" t="s">
        <v>5579</v>
      </c>
    </row>
    <row r="907" spans="1:6" x14ac:dyDescent="0.2">
      <c r="A907" t="s">
        <v>4535</v>
      </c>
      <c r="B907" t="s">
        <v>4165</v>
      </c>
      <c r="C907" t="str">
        <f t="shared" si="14"/>
        <v>SantanderPARAMO</v>
      </c>
      <c r="D907" t="s">
        <v>4536</v>
      </c>
      <c r="E907" t="s">
        <v>351</v>
      </c>
      <c r="F907" t="s">
        <v>5580</v>
      </c>
    </row>
    <row r="908" spans="1:6" x14ac:dyDescent="0.2">
      <c r="A908" t="s">
        <v>4535</v>
      </c>
      <c r="B908" t="s">
        <v>4563</v>
      </c>
      <c r="C908" t="str">
        <f t="shared" si="14"/>
        <v>SantanderPIEDECUESTA</v>
      </c>
      <c r="D908" t="s">
        <v>4536</v>
      </c>
      <c r="E908" t="s">
        <v>3009</v>
      </c>
      <c r="F908" t="s">
        <v>5581</v>
      </c>
    </row>
    <row r="909" spans="1:6" x14ac:dyDescent="0.2">
      <c r="A909" t="s">
        <v>4535</v>
      </c>
      <c r="B909" t="s">
        <v>4036</v>
      </c>
      <c r="C909" t="str">
        <f t="shared" si="14"/>
        <v>SantanderPINCHOTE</v>
      </c>
      <c r="D909" t="s">
        <v>4536</v>
      </c>
      <c r="E909" t="s">
        <v>352</v>
      </c>
      <c r="F909" t="s">
        <v>5582</v>
      </c>
    </row>
    <row r="910" spans="1:6" x14ac:dyDescent="0.2">
      <c r="A910" t="s">
        <v>4535</v>
      </c>
      <c r="B910" t="s">
        <v>4171</v>
      </c>
      <c r="C910" t="str">
        <f t="shared" si="14"/>
        <v>SantanderPUENTE NACIONAL</v>
      </c>
      <c r="D910" t="s">
        <v>4536</v>
      </c>
      <c r="E910" t="s">
        <v>309</v>
      </c>
      <c r="F910" t="s">
        <v>5583</v>
      </c>
    </row>
    <row r="911" spans="1:6" x14ac:dyDescent="0.2">
      <c r="A911" t="s">
        <v>4535</v>
      </c>
      <c r="B911" t="s">
        <v>4040</v>
      </c>
      <c r="C911" t="str">
        <f t="shared" si="14"/>
        <v>SantanderPUERTO PARRA</v>
      </c>
      <c r="D911" t="s">
        <v>4536</v>
      </c>
      <c r="E911" t="s">
        <v>1822</v>
      </c>
      <c r="F911" t="s">
        <v>5584</v>
      </c>
    </row>
    <row r="912" spans="1:6" x14ac:dyDescent="0.2">
      <c r="A912" t="s">
        <v>4535</v>
      </c>
      <c r="B912" t="s">
        <v>4564</v>
      </c>
      <c r="C912" t="str">
        <f t="shared" si="14"/>
        <v>SantanderPUERTO WILCHES</v>
      </c>
      <c r="D912" t="s">
        <v>4536</v>
      </c>
      <c r="E912" t="s">
        <v>2480</v>
      </c>
      <c r="F912" t="s">
        <v>5585</v>
      </c>
    </row>
    <row r="913" spans="1:6" x14ac:dyDescent="0.2">
      <c r="A913" t="s">
        <v>4535</v>
      </c>
      <c r="B913" t="s">
        <v>3981</v>
      </c>
      <c r="C913" t="str">
        <f t="shared" si="14"/>
        <v>SantanderRIONEGRO</v>
      </c>
      <c r="D913" t="s">
        <v>4536</v>
      </c>
      <c r="E913" t="s">
        <v>2655</v>
      </c>
      <c r="F913" t="s">
        <v>5586</v>
      </c>
    </row>
    <row r="914" spans="1:6" x14ac:dyDescent="0.2">
      <c r="A914" t="s">
        <v>4535</v>
      </c>
      <c r="B914" t="s">
        <v>4079</v>
      </c>
      <c r="C914" t="str">
        <f t="shared" si="14"/>
        <v>SantanderSABANA DE TORRES</v>
      </c>
      <c r="D914" t="s">
        <v>4536</v>
      </c>
      <c r="E914" t="s">
        <v>947</v>
      </c>
      <c r="F914" t="s">
        <v>5587</v>
      </c>
    </row>
    <row r="915" spans="1:6" x14ac:dyDescent="0.2">
      <c r="A915" t="s">
        <v>4535</v>
      </c>
      <c r="B915" t="s">
        <v>4565</v>
      </c>
      <c r="C915" t="str">
        <f t="shared" si="14"/>
        <v>SantanderSAN ANDRES</v>
      </c>
      <c r="D915" t="s">
        <v>4536</v>
      </c>
      <c r="E915" t="s">
        <v>1972</v>
      </c>
      <c r="F915" t="s">
        <v>5588</v>
      </c>
    </row>
    <row r="916" spans="1:6" x14ac:dyDescent="0.2">
      <c r="A916" t="s">
        <v>4535</v>
      </c>
      <c r="B916" t="s">
        <v>4081</v>
      </c>
      <c r="C916" t="str">
        <f t="shared" si="14"/>
        <v>SantanderSAN BENITO</v>
      </c>
      <c r="D916" t="s">
        <v>4536</v>
      </c>
      <c r="E916" t="s">
        <v>2656</v>
      </c>
      <c r="F916" t="s">
        <v>5589</v>
      </c>
    </row>
    <row r="917" spans="1:6" x14ac:dyDescent="0.2">
      <c r="A917" t="s">
        <v>4535</v>
      </c>
      <c r="B917" t="s">
        <v>3997</v>
      </c>
      <c r="C917" t="str">
        <f t="shared" si="14"/>
        <v>SantanderSAN GIL</v>
      </c>
      <c r="D917" t="s">
        <v>4536</v>
      </c>
      <c r="E917" t="s">
        <v>2226</v>
      </c>
      <c r="F917" t="s">
        <v>5590</v>
      </c>
    </row>
    <row r="918" spans="1:6" x14ac:dyDescent="0.2">
      <c r="A918" t="s">
        <v>4535</v>
      </c>
      <c r="B918" t="s">
        <v>4534</v>
      </c>
      <c r="C918" t="str">
        <f t="shared" si="14"/>
        <v>SantanderSAN JOAQUIN</v>
      </c>
      <c r="D918" t="s">
        <v>4536</v>
      </c>
      <c r="E918" t="s">
        <v>3010</v>
      </c>
      <c r="F918" t="s">
        <v>5591</v>
      </c>
    </row>
    <row r="919" spans="1:6" x14ac:dyDescent="0.2">
      <c r="A919" t="s">
        <v>4535</v>
      </c>
      <c r="B919" t="s">
        <v>4566</v>
      </c>
      <c r="C919" t="str">
        <f t="shared" si="14"/>
        <v>SantanderSAN JOSE DE MIRANDA</v>
      </c>
      <c r="D919" t="s">
        <v>4536</v>
      </c>
      <c r="E919" t="s">
        <v>4567</v>
      </c>
      <c r="F919" t="s">
        <v>5592</v>
      </c>
    </row>
    <row r="920" spans="1:6" x14ac:dyDescent="0.2">
      <c r="A920" t="s">
        <v>4535</v>
      </c>
      <c r="B920" t="s">
        <v>3998</v>
      </c>
      <c r="C920" t="str">
        <f t="shared" si="14"/>
        <v>SantanderSAN MIGUEL</v>
      </c>
      <c r="D920" t="s">
        <v>4536</v>
      </c>
      <c r="E920" t="s">
        <v>353</v>
      </c>
      <c r="F920" t="s">
        <v>5593</v>
      </c>
    </row>
    <row r="921" spans="1:6" x14ac:dyDescent="0.2">
      <c r="A921" t="s">
        <v>4535</v>
      </c>
      <c r="B921" t="s">
        <v>4483</v>
      </c>
      <c r="C921" t="str">
        <f t="shared" si="14"/>
        <v>SantanderSAN VICENTE DE CHUCURI</v>
      </c>
      <c r="D921" t="s">
        <v>4536</v>
      </c>
      <c r="E921" t="s">
        <v>1272</v>
      </c>
      <c r="F921" t="s">
        <v>5594</v>
      </c>
    </row>
    <row r="922" spans="1:6" x14ac:dyDescent="0.2">
      <c r="A922" t="s">
        <v>4535</v>
      </c>
      <c r="B922" t="s">
        <v>4568</v>
      </c>
      <c r="C922" t="str">
        <f t="shared" si="14"/>
        <v>SantanderSANTA BARBARA</v>
      </c>
      <c r="D922" t="s">
        <v>4536</v>
      </c>
      <c r="E922" t="s">
        <v>1536</v>
      </c>
      <c r="F922" t="s">
        <v>5595</v>
      </c>
    </row>
    <row r="923" spans="1:6" x14ac:dyDescent="0.2">
      <c r="A923" t="s">
        <v>4535</v>
      </c>
      <c r="B923" t="s">
        <v>4185</v>
      </c>
      <c r="C923" t="str">
        <f t="shared" si="14"/>
        <v>SantanderSANTA HELENA DEL OPON</v>
      </c>
      <c r="D923" t="s">
        <v>4536</v>
      </c>
      <c r="E923" t="s">
        <v>2657</v>
      </c>
      <c r="F923" t="s">
        <v>5596</v>
      </c>
    </row>
    <row r="924" spans="1:6" x14ac:dyDescent="0.2">
      <c r="A924" t="s">
        <v>4535</v>
      </c>
      <c r="B924" t="s">
        <v>4377</v>
      </c>
      <c r="C924" t="str">
        <f t="shared" si="14"/>
        <v>SantanderSIMACOTA</v>
      </c>
      <c r="D924" t="s">
        <v>4536</v>
      </c>
      <c r="E924" t="s">
        <v>1273</v>
      </c>
      <c r="F924" t="s">
        <v>5597</v>
      </c>
    </row>
    <row r="925" spans="1:6" x14ac:dyDescent="0.2">
      <c r="A925" t="s">
        <v>4535</v>
      </c>
      <c r="B925" t="s">
        <v>4190</v>
      </c>
      <c r="C925" t="str">
        <f t="shared" si="14"/>
        <v>SantanderSOCORRO</v>
      </c>
      <c r="D925" t="s">
        <v>4536</v>
      </c>
      <c r="E925" t="s">
        <v>1438</v>
      </c>
      <c r="F925" t="s">
        <v>5598</v>
      </c>
    </row>
    <row r="926" spans="1:6" x14ac:dyDescent="0.2">
      <c r="A926" t="s">
        <v>4535</v>
      </c>
      <c r="B926" t="s">
        <v>4047</v>
      </c>
      <c r="C926" t="str">
        <f t="shared" si="14"/>
        <v>SantanderSUAITA</v>
      </c>
      <c r="D926" t="s">
        <v>4536</v>
      </c>
      <c r="E926" t="s">
        <v>4569</v>
      </c>
      <c r="F926" t="s">
        <v>5599</v>
      </c>
    </row>
    <row r="927" spans="1:6" x14ac:dyDescent="0.2">
      <c r="A927" t="s">
        <v>4535</v>
      </c>
      <c r="B927" t="s">
        <v>4570</v>
      </c>
      <c r="C927" t="str">
        <f t="shared" si="14"/>
        <v>SantanderSUCRE</v>
      </c>
      <c r="D927" t="s">
        <v>4536</v>
      </c>
      <c r="E927" t="s">
        <v>2372</v>
      </c>
      <c r="F927" t="s">
        <v>5600</v>
      </c>
    </row>
    <row r="928" spans="1:6" x14ac:dyDescent="0.2">
      <c r="A928" t="s">
        <v>4535</v>
      </c>
      <c r="B928" t="s">
        <v>4087</v>
      </c>
      <c r="C928" t="str">
        <f t="shared" si="14"/>
        <v>SantanderSURATA</v>
      </c>
      <c r="D928" t="s">
        <v>4536</v>
      </c>
      <c r="E928" t="s">
        <v>2658</v>
      </c>
      <c r="F928" t="s">
        <v>5601</v>
      </c>
    </row>
    <row r="929" spans="1:6" x14ac:dyDescent="0.2">
      <c r="A929" t="s">
        <v>4535</v>
      </c>
      <c r="B929" t="s">
        <v>4208</v>
      </c>
      <c r="C929" t="str">
        <f t="shared" si="14"/>
        <v>SantanderTONA</v>
      </c>
      <c r="D929" t="s">
        <v>4536</v>
      </c>
      <c r="E929" t="s">
        <v>3012</v>
      </c>
      <c r="F929" t="s">
        <v>5602</v>
      </c>
    </row>
    <row r="930" spans="1:6" x14ac:dyDescent="0.2">
      <c r="A930" t="s">
        <v>4535</v>
      </c>
      <c r="B930" t="s">
        <v>4310</v>
      </c>
      <c r="C930" t="str">
        <f t="shared" si="14"/>
        <v>SantanderVALLE DE SAN JOSE</v>
      </c>
      <c r="D930" t="s">
        <v>4536</v>
      </c>
      <c r="E930" t="s">
        <v>2659</v>
      </c>
      <c r="F930" t="s">
        <v>5603</v>
      </c>
    </row>
    <row r="931" spans="1:6" x14ac:dyDescent="0.2">
      <c r="A931" t="s">
        <v>4535</v>
      </c>
      <c r="B931" t="s">
        <v>4017</v>
      </c>
      <c r="C931" t="str">
        <f t="shared" si="14"/>
        <v>SantanderVELEZ</v>
      </c>
      <c r="D931" t="s">
        <v>4536</v>
      </c>
      <c r="E931" t="s">
        <v>3063</v>
      </c>
      <c r="F931" t="s">
        <v>5604</v>
      </c>
    </row>
    <row r="932" spans="1:6" x14ac:dyDescent="0.2">
      <c r="A932" t="s">
        <v>4535</v>
      </c>
      <c r="B932" t="s">
        <v>4236</v>
      </c>
      <c r="C932" t="str">
        <f t="shared" si="14"/>
        <v>SantanderVETAS</v>
      </c>
      <c r="D932" t="s">
        <v>4536</v>
      </c>
      <c r="E932" t="s">
        <v>354</v>
      </c>
      <c r="F932" t="s">
        <v>5605</v>
      </c>
    </row>
    <row r="933" spans="1:6" x14ac:dyDescent="0.2">
      <c r="A933" t="s">
        <v>4535</v>
      </c>
      <c r="B933" t="s">
        <v>4439</v>
      </c>
      <c r="C933" t="str">
        <f t="shared" si="14"/>
        <v>SantanderVILLANUEVA</v>
      </c>
      <c r="D933" t="s">
        <v>4536</v>
      </c>
      <c r="E933" t="s">
        <v>1953</v>
      </c>
      <c r="F933" t="s">
        <v>5606</v>
      </c>
    </row>
    <row r="934" spans="1:6" x14ac:dyDescent="0.2">
      <c r="A934" t="s">
        <v>4535</v>
      </c>
      <c r="B934" t="s">
        <v>4024</v>
      </c>
      <c r="C934" t="str">
        <f t="shared" si="14"/>
        <v>SantanderZAPATOCA</v>
      </c>
      <c r="D934" t="s">
        <v>4536</v>
      </c>
      <c r="E934" t="s">
        <v>3013</v>
      </c>
      <c r="F934" t="s">
        <v>5607</v>
      </c>
    </row>
    <row r="935" spans="1:6" x14ac:dyDescent="0.2">
      <c r="A935" t="s">
        <v>4571</v>
      </c>
      <c r="B935" t="s">
        <v>3885</v>
      </c>
      <c r="C935" t="str">
        <f t="shared" si="14"/>
        <v>SucreSINCELEJO</v>
      </c>
      <c r="D935" t="s">
        <v>4572</v>
      </c>
      <c r="E935" t="s">
        <v>1605</v>
      </c>
      <c r="F935" t="s">
        <v>5608</v>
      </c>
    </row>
    <row r="936" spans="1:6" x14ac:dyDescent="0.2">
      <c r="A936" t="s">
        <v>4571</v>
      </c>
      <c r="B936" t="s">
        <v>4260</v>
      </c>
      <c r="C936" t="str">
        <f t="shared" si="14"/>
        <v>SucreBUENAVISTA</v>
      </c>
      <c r="D936" t="s">
        <v>4572</v>
      </c>
      <c r="E936" t="s">
        <v>2371</v>
      </c>
      <c r="F936" t="s">
        <v>5609</v>
      </c>
    </row>
    <row r="937" spans="1:6" x14ac:dyDescent="0.2">
      <c r="A937" t="s">
        <v>4571</v>
      </c>
      <c r="B937" t="s">
        <v>4467</v>
      </c>
      <c r="C937" t="str">
        <f t="shared" si="14"/>
        <v>SucreCAIMITO</v>
      </c>
      <c r="D937" t="s">
        <v>4572</v>
      </c>
      <c r="E937" t="s">
        <v>880</v>
      </c>
      <c r="F937" t="s">
        <v>5610</v>
      </c>
    </row>
    <row r="938" spans="1:6" x14ac:dyDescent="0.2">
      <c r="A938" t="s">
        <v>4571</v>
      </c>
      <c r="B938" t="s">
        <v>4119</v>
      </c>
      <c r="C938" t="str">
        <f t="shared" si="14"/>
        <v>SucreCOLOSO</v>
      </c>
      <c r="D938" t="s">
        <v>4572</v>
      </c>
      <c r="E938" t="s">
        <v>4573</v>
      </c>
      <c r="F938" t="s">
        <v>5611</v>
      </c>
    </row>
    <row r="939" spans="1:6" x14ac:dyDescent="0.2">
      <c r="A939" t="s">
        <v>4571</v>
      </c>
      <c r="B939" t="s">
        <v>4120</v>
      </c>
      <c r="C939" t="str">
        <f t="shared" si="14"/>
        <v>SucreCOROZAL</v>
      </c>
      <c r="D939" t="s">
        <v>4572</v>
      </c>
      <c r="E939" t="s">
        <v>706</v>
      </c>
      <c r="F939" t="s">
        <v>5612</v>
      </c>
    </row>
    <row r="940" spans="1:6" x14ac:dyDescent="0.2">
      <c r="A940" t="s">
        <v>4571</v>
      </c>
      <c r="B940" t="s">
        <v>4574</v>
      </c>
      <c r="C940" t="str">
        <f t="shared" si="14"/>
        <v>SucreCOVEÑAS</v>
      </c>
      <c r="D940" t="s">
        <v>4572</v>
      </c>
      <c r="E940" t="s">
        <v>1847</v>
      </c>
      <c r="F940" t="s">
        <v>5613</v>
      </c>
    </row>
    <row r="941" spans="1:6" x14ac:dyDescent="0.2">
      <c r="A941" t="s">
        <v>4571</v>
      </c>
      <c r="B941" t="s">
        <v>4575</v>
      </c>
      <c r="C941" t="str">
        <f t="shared" si="14"/>
        <v>SucreCHALAN</v>
      </c>
      <c r="D941" t="s">
        <v>4572</v>
      </c>
      <c r="E941" t="s">
        <v>2396</v>
      </c>
      <c r="F941" t="s">
        <v>5614</v>
      </c>
    </row>
    <row r="942" spans="1:6" x14ac:dyDescent="0.2">
      <c r="A942" t="s">
        <v>4571</v>
      </c>
      <c r="B942" t="s">
        <v>4493</v>
      </c>
      <c r="C942" t="str">
        <f t="shared" si="14"/>
        <v>SucreEL ROBLE</v>
      </c>
      <c r="D942" t="s">
        <v>4572</v>
      </c>
      <c r="E942" t="s">
        <v>4576</v>
      </c>
      <c r="F942" t="s">
        <v>5615</v>
      </c>
    </row>
    <row r="943" spans="1:6" x14ac:dyDescent="0.2">
      <c r="A943" t="s">
        <v>4571</v>
      </c>
      <c r="B943" t="s">
        <v>4548</v>
      </c>
      <c r="C943" t="str">
        <f t="shared" si="14"/>
        <v>SucreGALERAS</v>
      </c>
      <c r="D943" t="s">
        <v>4572</v>
      </c>
      <c r="E943" t="s">
        <v>2395</v>
      </c>
      <c r="F943" t="s">
        <v>5616</v>
      </c>
    </row>
    <row r="944" spans="1:6" x14ac:dyDescent="0.2">
      <c r="A944" t="s">
        <v>4571</v>
      </c>
      <c r="B944" t="s">
        <v>4577</v>
      </c>
      <c r="C944" t="str">
        <f t="shared" si="14"/>
        <v>SucreGUARANDA</v>
      </c>
      <c r="D944" t="s">
        <v>4572</v>
      </c>
      <c r="E944" t="s">
        <v>229</v>
      </c>
      <c r="F944" t="s">
        <v>5617</v>
      </c>
    </row>
    <row r="945" spans="1:6" x14ac:dyDescent="0.2">
      <c r="A945" t="s">
        <v>4571</v>
      </c>
      <c r="B945" t="s">
        <v>3958</v>
      </c>
      <c r="C945" t="str">
        <f t="shared" si="14"/>
        <v>SucreLA UNION</v>
      </c>
      <c r="D945" t="s">
        <v>4572</v>
      </c>
      <c r="E945" t="s">
        <v>113</v>
      </c>
      <c r="F945" t="s">
        <v>5618</v>
      </c>
    </row>
    <row r="946" spans="1:6" x14ac:dyDescent="0.2">
      <c r="A946" t="s">
        <v>4571</v>
      </c>
      <c r="B946" t="s">
        <v>4266</v>
      </c>
      <c r="C946" t="str">
        <f t="shared" si="14"/>
        <v>SucreLOS PALMITOS</v>
      </c>
      <c r="D946" t="s">
        <v>4572</v>
      </c>
      <c r="E946" t="s">
        <v>2397</v>
      </c>
      <c r="F946" t="s">
        <v>5619</v>
      </c>
    </row>
    <row r="947" spans="1:6" x14ac:dyDescent="0.2">
      <c r="A947" t="s">
        <v>4571</v>
      </c>
      <c r="B947" t="s">
        <v>4578</v>
      </c>
      <c r="C947" t="str">
        <f t="shared" si="14"/>
        <v>SucreMAJAGUAL</v>
      </c>
      <c r="D947" t="s">
        <v>4572</v>
      </c>
      <c r="E947" t="s">
        <v>2393</v>
      </c>
      <c r="F947" t="s">
        <v>5620</v>
      </c>
    </row>
    <row r="948" spans="1:6" x14ac:dyDescent="0.2">
      <c r="A948" t="s">
        <v>4571</v>
      </c>
      <c r="B948" t="s">
        <v>4071</v>
      </c>
      <c r="C948" t="str">
        <f t="shared" si="14"/>
        <v>SucreMORROA</v>
      </c>
      <c r="D948" t="s">
        <v>4572</v>
      </c>
      <c r="E948" t="s">
        <v>4579</v>
      </c>
      <c r="F948" t="s">
        <v>5621</v>
      </c>
    </row>
    <row r="949" spans="1:6" x14ac:dyDescent="0.2">
      <c r="A949" t="s">
        <v>4571</v>
      </c>
      <c r="B949" t="s">
        <v>4580</v>
      </c>
      <c r="C949" t="str">
        <f t="shared" si="14"/>
        <v>SucreOVEJAS</v>
      </c>
      <c r="D949" t="s">
        <v>4572</v>
      </c>
      <c r="E949" t="s">
        <v>4581</v>
      </c>
      <c r="F949" t="s">
        <v>5622</v>
      </c>
    </row>
    <row r="950" spans="1:6" x14ac:dyDescent="0.2">
      <c r="A950" t="s">
        <v>4571</v>
      </c>
      <c r="B950" t="s">
        <v>4582</v>
      </c>
      <c r="C950" t="str">
        <f t="shared" si="14"/>
        <v>SucrePALMITO</v>
      </c>
      <c r="D950" t="s">
        <v>4572</v>
      </c>
      <c r="E950" t="s">
        <v>4583</v>
      </c>
      <c r="F950" t="s">
        <v>5623</v>
      </c>
    </row>
    <row r="951" spans="1:6" x14ac:dyDescent="0.2">
      <c r="A951" t="s">
        <v>4571</v>
      </c>
      <c r="B951" t="s">
        <v>3995</v>
      </c>
      <c r="C951" t="str">
        <f t="shared" si="14"/>
        <v>SucreSAMPUES</v>
      </c>
      <c r="D951" t="s">
        <v>4572</v>
      </c>
      <c r="E951" t="s">
        <v>2373</v>
      </c>
      <c r="F951" t="s">
        <v>5624</v>
      </c>
    </row>
    <row r="952" spans="1:6" x14ac:dyDescent="0.2">
      <c r="A952" t="s">
        <v>4571</v>
      </c>
      <c r="B952" t="s">
        <v>4309</v>
      </c>
      <c r="C952" t="str">
        <f t="shared" si="14"/>
        <v>SucreSAN BENITO ABAD</v>
      </c>
      <c r="D952" t="s">
        <v>4572</v>
      </c>
      <c r="E952" t="s">
        <v>881</v>
      </c>
      <c r="F952" t="s">
        <v>5625</v>
      </c>
    </row>
    <row r="953" spans="1:6" x14ac:dyDescent="0.2">
      <c r="A953" t="s">
        <v>4571</v>
      </c>
      <c r="B953" t="s">
        <v>4584</v>
      </c>
      <c r="C953" t="str">
        <f t="shared" si="14"/>
        <v>SucreSAN JUAN DE BETULIA</v>
      </c>
      <c r="D953" t="s">
        <v>4572</v>
      </c>
      <c r="E953" t="s">
        <v>4585</v>
      </c>
      <c r="F953" t="s">
        <v>5626</v>
      </c>
    </row>
    <row r="954" spans="1:6" x14ac:dyDescent="0.2">
      <c r="A954" t="s">
        <v>4571</v>
      </c>
      <c r="B954" t="s">
        <v>4586</v>
      </c>
      <c r="C954" t="str">
        <f t="shared" si="14"/>
        <v>SucreSAN MARCOS</v>
      </c>
      <c r="D954" t="s">
        <v>4572</v>
      </c>
      <c r="E954" t="s">
        <v>2325</v>
      </c>
      <c r="F954" t="s">
        <v>5627</v>
      </c>
    </row>
    <row r="955" spans="1:6" x14ac:dyDescent="0.2">
      <c r="A955" t="s">
        <v>4571</v>
      </c>
      <c r="B955" t="s">
        <v>4587</v>
      </c>
      <c r="C955" t="str">
        <f t="shared" si="14"/>
        <v>SucreSAN ONOFRE</v>
      </c>
      <c r="D955" t="s">
        <v>4572</v>
      </c>
      <c r="E955" t="s">
        <v>2394</v>
      </c>
      <c r="F955" t="s">
        <v>5628</v>
      </c>
    </row>
    <row r="956" spans="1:6" x14ac:dyDescent="0.2">
      <c r="A956" t="s">
        <v>4571</v>
      </c>
      <c r="B956" t="s">
        <v>4588</v>
      </c>
      <c r="C956" t="str">
        <f t="shared" si="14"/>
        <v>SucreSAN PEDRO</v>
      </c>
      <c r="D956" t="s">
        <v>4572</v>
      </c>
      <c r="E956" t="s">
        <v>103</v>
      </c>
      <c r="F956" t="s">
        <v>5629</v>
      </c>
    </row>
    <row r="957" spans="1:6" x14ac:dyDescent="0.2">
      <c r="A957" t="s">
        <v>4571</v>
      </c>
      <c r="B957" t="s">
        <v>4589</v>
      </c>
      <c r="C957" t="str">
        <f t="shared" si="14"/>
        <v>SucreSAN LUIS DE SINCE</v>
      </c>
      <c r="D957" t="s">
        <v>4572</v>
      </c>
      <c r="E957" t="s">
        <v>4590</v>
      </c>
      <c r="F957" t="s">
        <v>5630</v>
      </c>
    </row>
    <row r="958" spans="1:6" x14ac:dyDescent="0.2">
      <c r="A958" t="s">
        <v>4571</v>
      </c>
      <c r="B958" t="s">
        <v>4591</v>
      </c>
      <c r="C958" t="str">
        <f t="shared" si="14"/>
        <v>SucreSUCRE</v>
      </c>
      <c r="D958" t="s">
        <v>4572</v>
      </c>
      <c r="E958" t="s">
        <v>2372</v>
      </c>
      <c r="F958" t="s">
        <v>5631</v>
      </c>
    </row>
    <row r="959" spans="1:6" x14ac:dyDescent="0.2">
      <c r="A959" t="s">
        <v>4571</v>
      </c>
      <c r="B959" t="s">
        <v>4208</v>
      </c>
      <c r="C959" t="str">
        <f t="shared" si="14"/>
        <v>SucreSANTIAGO DE TOLU</v>
      </c>
      <c r="D959" t="s">
        <v>4572</v>
      </c>
      <c r="E959" t="s">
        <v>4592</v>
      </c>
      <c r="F959" t="s">
        <v>5632</v>
      </c>
    </row>
    <row r="960" spans="1:6" x14ac:dyDescent="0.2">
      <c r="A960" t="s">
        <v>4571</v>
      </c>
      <c r="B960" t="s">
        <v>4393</v>
      </c>
      <c r="C960" t="str">
        <f t="shared" si="14"/>
        <v>SucreTOLU VIEJO</v>
      </c>
      <c r="D960" t="s">
        <v>4572</v>
      </c>
      <c r="E960" t="s">
        <v>4593</v>
      </c>
      <c r="F960" t="s">
        <v>5633</v>
      </c>
    </row>
    <row r="961" spans="1:6" x14ac:dyDescent="0.2">
      <c r="A961" t="s">
        <v>4594</v>
      </c>
      <c r="B961" t="s">
        <v>3885</v>
      </c>
      <c r="C961" t="str">
        <f t="shared" si="14"/>
        <v>TolimaIBAGUE</v>
      </c>
      <c r="D961" t="s">
        <v>4595</v>
      </c>
      <c r="E961" t="s">
        <v>1945</v>
      </c>
      <c r="F961" t="s">
        <v>5634</v>
      </c>
    </row>
    <row r="962" spans="1:6" x14ac:dyDescent="0.2">
      <c r="A962" t="s">
        <v>4594</v>
      </c>
      <c r="B962" t="s">
        <v>4596</v>
      </c>
      <c r="C962" t="str">
        <f t="shared" si="14"/>
        <v>TolimaALPUJARRA</v>
      </c>
      <c r="D962" t="s">
        <v>4595</v>
      </c>
      <c r="E962" t="s">
        <v>372</v>
      </c>
      <c r="F962" t="s">
        <v>5635</v>
      </c>
    </row>
    <row r="963" spans="1:6" x14ac:dyDescent="0.2">
      <c r="A963" t="s">
        <v>4594</v>
      </c>
      <c r="B963" t="s">
        <v>4423</v>
      </c>
      <c r="C963" t="str">
        <f t="shared" ref="C963:C1026" si="15">D963&amp;E963</f>
        <v>TolimaALVARADO</v>
      </c>
      <c r="D963" t="s">
        <v>4595</v>
      </c>
      <c r="E963" t="s">
        <v>2026</v>
      </c>
      <c r="F963" t="s">
        <v>5636</v>
      </c>
    </row>
    <row r="964" spans="1:6" x14ac:dyDescent="0.2">
      <c r="A964" t="s">
        <v>4594</v>
      </c>
      <c r="B964" t="s">
        <v>3891</v>
      </c>
      <c r="C964" t="str">
        <f t="shared" si="15"/>
        <v>TolimaAMBALEMA</v>
      </c>
      <c r="D964" t="s">
        <v>4595</v>
      </c>
      <c r="E964" t="s">
        <v>810</v>
      </c>
      <c r="F964" t="s">
        <v>5637</v>
      </c>
    </row>
    <row r="965" spans="1:6" x14ac:dyDescent="0.2">
      <c r="A965" t="s">
        <v>4594</v>
      </c>
      <c r="B965" t="s">
        <v>4597</v>
      </c>
      <c r="C965" t="str">
        <f t="shared" si="15"/>
        <v>TolimaANZOATEGUI</v>
      </c>
      <c r="D965" t="s">
        <v>4595</v>
      </c>
      <c r="E965" t="s">
        <v>4598</v>
      </c>
      <c r="F965" t="s">
        <v>5638</v>
      </c>
    </row>
    <row r="966" spans="1:6" x14ac:dyDescent="0.2">
      <c r="A966" t="s">
        <v>4594</v>
      </c>
      <c r="B966" t="s">
        <v>3901</v>
      </c>
      <c r="C966" t="str">
        <f t="shared" si="15"/>
        <v>TolimaARMERO</v>
      </c>
      <c r="D966" t="s">
        <v>4595</v>
      </c>
      <c r="E966" t="s">
        <v>4599</v>
      </c>
      <c r="F966" t="s">
        <v>5639</v>
      </c>
    </row>
    <row r="967" spans="1:6" x14ac:dyDescent="0.2">
      <c r="A967" t="s">
        <v>4594</v>
      </c>
      <c r="B967" t="s">
        <v>4600</v>
      </c>
      <c r="C967" t="str">
        <f t="shared" si="15"/>
        <v>TolimaATACO</v>
      </c>
      <c r="D967" t="s">
        <v>4595</v>
      </c>
      <c r="E967" t="s">
        <v>1592</v>
      </c>
      <c r="F967" t="s">
        <v>5640</v>
      </c>
    </row>
    <row r="968" spans="1:6" x14ac:dyDescent="0.2">
      <c r="A968" t="s">
        <v>4594</v>
      </c>
      <c r="B968" t="s">
        <v>4467</v>
      </c>
      <c r="C968" t="str">
        <f t="shared" si="15"/>
        <v>TolimaCAJAMARCA</v>
      </c>
      <c r="D968" t="s">
        <v>4595</v>
      </c>
      <c r="E968" t="s">
        <v>489</v>
      </c>
      <c r="F968" t="s">
        <v>5641</v>
      </c>
    </row>
    <row r="969" spans="1:6" x14ac:dyDescent="0.2">
      <c r="A969" t="s">
        <v>4594</v>
      </c>
      <c r="B969" t="s">
        <v>3920</v>
      </c>
      <c r="C969" t="str">
        <f t="shared" si="15"/>
        <v>TolimaCARMEN DE APICALA</v>
      </c>
      <c r="D969" t="s">
        <v>4595</v>
      </c>
      <c r="E969" t="s">
        <v>2753</v>
      </c>
      <c r="F969" t="s">
        <v>5642</v>
      </c>
    </row>
    <row r="970" spans="1:6" x14ac:dyDescent="0.2">
      <c r="A970" t="s">
        <v>4594</v>
      </c>
      <c r="B970" t="s">
        <v>4540</v>
      </c>
      <c r="C970" t="str">
        <f t="shared" si="15"/>
        <v>TolimaCASABIANCA</v>
      </c>
      <c r="D970" t="s">
        <v>4595</v>
      </c>
      <c r="E970" t="s">
        <v>1097</v>
      </c>
      <c r="F970" t="s">
        <v>5643</v>
      </c>
    </row>
    <row r="971" spans="1:6" x14ac:dyDescent="0.2">
      <c r="A971" t="s">
        <v>4594</v>
      </c>
      <c r="B971" t="s">
        <v>4298</v>
      </c>
      <c r="C971" t="str">
        <f t="shared" si="15"/>
        <v>TolimaCHAPARRAL</v>
      </c>
      <c r="D971" t="s">
        <v>4595</v>
      </c>
      <c r="E971" t="s">
        <v>2706</v>
      </c>
      <c r="F971" t="s">
        <v>5644</v>
      </c>
    </row>
    <row r="972" spans="1:6" x14ac:dyDescent="0.2">
      <c r="A972" t="s">
        <v>4594</v>
      </c>
      <c r="B972" t="s">
        <v>4327</v>
      </c>
      <c r="C972" t="str">
        <f t="shared" si="15"/>
        <v>TolimaCOELLO</v>
      </c>
      <c r="D972" t="s">
        <v>4595</v>
      </c>
      <c r="E972" t="s">
        <v>2111</v>
      </c>
      <c r="F972" t="s">
        <v>5645</v>
      </c>
    </row>
    <row r="973" spans="1:6" x14ac:dyDescent="0.2">
      <c r="A973" t="s">
        <v>4594</v>
      </c>
      <c r="B973" t="s">
        <v>4546</v>
      </c>
      <c r="C973" t="str">
        <f t="shared" si="15"/>
        <v>TolimaCOYAIMA</v>
      </c>
      <c r="D973" t="s">
        <v>4595</v>
      </c>
      <c r="E973" t="s">
        <v>888</v>
      </c>
      <c r="F973" t="s">
        <v>5646</v>
      </c>
    </row>
    <row r="974" spans="1:6" x14ac:dyDescent="0.2">
      <c r="A974" t="s">
        <v>4594</v>
      </c>
      <c r="B974" t="s">
        <v>4125</v>
      </c>
      <c r="C974" t="str">
        <f t="shared" si="15"/>
        <v>TolimaCUNDAY</v>
      </c>
      <c r="D974" t="s">
        <v>4595</v>
      </c>
      <c r="E974" t="s">
        <v>2688</v>
      </c>
      <c r="F974" t="s">
        <v>5647</v>
      </c>
    </row>
    <row r="975" spans="1:6" x14ac:dyDescent="0.2">
      <c r="A975" t="s">
        <v>4594</v>
      </c>
      <c r="B975" t="s">
        <v>4128</v>
      </c>
      <c r="C975" t="str">
        <f t="shared" si="15"/>
        <v>TolimaDOLORES</v>
      </c>
      <c r="D975" t="s">
        <v>4595</v>
      </c>
      <c r="E975" t="s">
        <v>373</v>
      </c>
      <c r="F975" t="s">
        <v>5648</v>
      </c>
    </row>
    <row r="976" spans="1:6" x14ac:dyDescent="0.2">
      <c r="A976" t="s">
        <v>4594</v>
      </c>
      <c r="B976" t="s">
        <v>4064</v>
      </c>
      <c r="C976" t="str">
        <f t="shared" si="15"/>
        <v>TolimaESPINAL</v>
      </c>
      <c r="D976" t="s">
        <v>4595</v>
      </c>
      <c r="E976" t="s">
        <v>1979</v>
      </c>
      <c r="F976" t="s">
        <v>5649</v>
      </c>
    </row>
    <row r="977" spans="1:6" x14ac:dyDescent="0.2">
      <c r="A977" t="s">
        <v>4594</v>
      </c>
      <c r="B977" t="s">
        <v>4470</v>
      </c>
      <c r="C977" t="str">
        <f t="shared" si="15"/>
        <v>TolimaFALAN</v>
      </c>
      <c r="D977" t="s">
        <v>4595</v>
      </c>
      <c r="E977" t="s">
        <v>2703</v>
      </c>
      <c r="F977" t="s">
        <v>5650</v>
      </c>
    </row>
    <row r="978" spans="1:6" x14ac:dyDescent="0.2">
      <c r="A978" t="s">
        <v>4594</v>
      </c>
      <c r="B978" t="s">
        <v>4601</v>
      </c>
      <c r="C978" t="str">
        <f t="shared" si="15"/>
        <v>TolimaFLANDES</v>
      </c>
      <c r="D978" t="s">
        <v>4595</v>
      </c>
      <c r="E978" t="s">
        <v>2036</v>
      </c>
      <c r="F978" t="s">
        <v>5651</v>
      </c>
    </row>
    <row r="979" spans="1:6" x14ac:dyDescent="0.2">
      <c r="A979" t="s">
        <v>4594</v>
      </c>
      <c r="B979" t="s">
        <v>4602</v>
      </c>
      <c r="C979" t="str">
        <f t="shared" si="15"/>
        <v>TolimaFRESNO</v>
      </c>
      <c r="D979" t="s">
        <v>4595</v>
      </c>
      <c r="E979" t="s">
        <v>1099</v>
      </c>
      <c r="F979" t="s">
        <v>5652</v>
      </c>
    </row>
    <row r="980" spans="1:6" x14ac:dyDescent="0.2">
      <c r="A980" t="s">
        <v>4594</v>
      </c>
      <c r="B980" t="s">
        <v>4427</v>
      </c>
      <c r="C980" t="str">
        <f t="shared" si="15"/>
        <v>TolimaGUAMO</v>
      </c>
      <c r="D980" t="s">
        <v>4595</v>
      </c>
      <c r="E980" t="s">
        <v>264</v>
      </c>
      <c r="F980" t="s">
        <v>5653</v>
      </c>
    </row>
    <row r="981" spans="1:6" x14ac:dyDescent="0.2">
      <c r="A981" t="s">
        <v>4594</v>
      </c>
      <c r="B981" t="s">
        <v>3948</v>
      </c>
      <c r="C981" t="str">
        <f t="shared" si="15"/>
        <v>TolimaHERVEO</v>
      </c>
      <c r="D981" t="s">
        <v>4595</v>
      </c>
      <c r="E981" t="s">
        <v>3831</v>
      </c>
      <c r="F981" t="s">
        <v>5654</v>
      </c>
    </row>
    <row r="982" spans="1:6" x14ac:dyDescent="0.2">
      <c r="A982" t="s">
        <v>4594</v>
      </c>
      <c r="B982" t="s">
        <v>4428</v>
      </c>
      <c r="C982" t="str">
        <f t="shared" si="15"/>
        <v>TolimaHONDA</v>
      </c>
      <c r="D982" t="s">
        <v>4595</v>
      </c>
      <c r="E982" t="s">
        <v>642</v>
      </c>
      <c r="F982" t="s">
        <v>5655</v>
      </c>
    </row>
    <row r="983" spans="1:6" x14ac:dyDescent="0.2">
      <c r="A983" t="s">
        <v>4594</v>
      </c>
      <c r="B983" t="s">
        <v>4497</v>
      </c>
      <c r="C983" t="str">
        <f t="shared" si="15"/>
        <v>TolimaICONONZO</v>
      </c>
      <c r="D983" t="s">
        <v>4595</v>
      </c>
      <c r="E983" t="s">
        <v>635</v>
      </c>
      <c r="F983" t="s">
        <v>5656</v>
      </c>
    </row>
    <row r="984" spans="1:6" x14ac:dyDescent="0.2">
      <c r="A984" t="s">
        <v>4594</v>
      </c>
      <c r="B984" t="s">
        <v>4603</v>
      </c>
      <c r="C984" t="str">
        <f t="shared" si="15"/>
        <v>TolimaLERIDA</v>
      </c>
      <c r="D984" t="s">
        <v>4595</v>
      </c>
      <c r="E984" t="s">
        <v>4604</v>
      </c>
      <c r="F984" t="s">
        <v>5657</v>
      </c>
    </row>
    <row r="985" spans="1:6" x14ac:dyDescent="0.2">
      <c r="A985" t="s">
        <v>4594</v>
      </c>
      <c r="B985" t="s">
        <v>3959</v>
      </c>
      <c r="C985" t="str">
        <f t="shared" si="15"/>
        <v>TolimaLIBANO</v>
      </c>
      <c r="D985" t="s">
        <v>4595</v>
      </c>
      <c r="E985" t="s">
        <v>2216</v>
      </c>
      <c r="F985" t="s">
        <v>5658</v>
      </c>
    </row>
    <row r="986" spans="1:6" x14ac:dyDescent="0.2">
      <c r="A986" t="s">
        <v>4594</v>
      </c>
      <c r="B986" t="s">
        <v>4290</v>
      </c>
      <c r="C986" t="str">
        <f t="shared" si="15"/>
        <v>TolimaMARIQUITA</v>
      </c>
      <c r="D986" t="s">
        <v>4595</v>
      </c>
      <c r="E986" t="s">
        <v>1098</v>
      </c>
      <c r="F986" t="s">
        <v>5659</v>
      </c>
    </row>
    <row r="987" spans="1:6" x14ac:dyDescent="0.2">
      <c r="A987" t="s">
        <v>4594</v>
      </c>
      <c r="B987" t="s">
        <v>4605</v>
      </c>
      <c r="C987" t="str">
        <f t="shared" si="15"/>
        <v>TolimaMELGAR</v>
      </c>
      <c r="D987" t="s">
        <v>4595</v>
      </c>
      <c r="E987" t="s">
        <v>2751</v>
      </c>
      <c r="F987" t="s">
        <v>5660</v>
      </c>
    </row>
    <row r="988" spans="1:6" x14ac:dyDescent="0.2">
      <c r="A988" t="s">
        <v>4594</v>
      </c>
      <c r="B988" t="s">
        <v>4606</v>
      </c>
      <c r="C988" t="str">
        <f t="shared" si="15"/>
        <v>TolimaMURILLO</v>
      </c>
      <c r="D988" t="s">
        <v>4595</v>
      </c>
      <c r="E988" t="s">
        <v>617</v>
      </c>
      <c r="F988" t="s">
        <v>5661</v>
      </c>
    </row>
    <row r="989" spans="1:6" x14ac:dyDescent="0.2">
      <c r="A989" t="s">
        <v>4594</v>
      </c>
      <c r="B989" t="s">
        <v>3965</v>
      </c>
      <c r="C989" t="str">
        <f t="shared" si="15"/>
        <v>TolimaNATAGAIMA</v>
      </c>
      <c r="D989" t="s">
        <v>4595</v>
      </c>
      <c r="E989" t="s">
        <v>2668</v>
      </c>
      <c r="F989" t="s">
        <v>5662</v>
      </c>
    </row>
    <row r="990" spans="1:6" x14ac:dyDescent="0.2">
      <c r="A990" t="s">
        <v>4594</v>
      </c>
      <c r="B990" t="s">
        <v>4607</v>
      </c>
      <c r="C990" t="str">
        <f t="shared" si="15"/>
        <v>TolimaORTEGA</v>
      </c>
      <c r="D990" t="s">
        <v>4595</v>
      </c>
      <c r="E990" t="s">
        <v>2390</v>
      </c>
      <c r="F990" t="s">
        <v>5663</v>
      </c>
    </row>
    <row r="991" spans="1:6" x14ac:dyDescent="0.2">
      <c r="A991" t="s">
        <v>4594</v>
      </c>
      <c r="B991" t="s">
        <v>4035</v>
      </c>
      <c r="C991" t="str">
        <f t="shared" si="15"/>
        <v>TolimaPALOCABILDO</v>
      </c>
      <c r="D991" t="s">
        <v>4595</v>
      </c>
      <c r="E991" t="s">
        <v>2704</v>
      </c>
      <c r="F991" t="s">
        <v>5664</v>
      </c>
    </row>
    <row r="992" spans="1:6" x14ac:dyDescent="0.2">
      <c r="A992" t="s">
        <v>4594</v>
      </c>
      <c r="B992" t="s">
        <v>4563</v>
      </c>
      <c r="C992" t="str">
        <f t="shared" si="15"/>
        <v>TolimaPIEDRAS</v>
      </c>
      <c r="D992" t="s">
        <v>4595</v>
      </c>
      <c r="E992" t="s">
        <v>317</v>
      </c>
      <c r="F992" t="s">
        <v>5665</v>
      </c>
    </row>
    <row r="993" spans="1:6" x14ac:dyDescent="0.2">
      <c r="A993" t="s">
        <v>4594</v>
      </c>
      <c r="B993" t="s">
        <v>4303</v>
      </c>
      <c r="C993" t="str">
        <f t="shared" si="15"/>
        <v>TolimaPLANADAS</v>
      </c>
      <c r="D993" t="s">
        <v>4595</v>
      </c>
      <c r="E993" t="s">
        <v>962</v>
      </c>
      <c r="F993" t="s">
        <v>5666</v>
      </c>
    </row>
    <row r="994" spans="1:6" x14ac:dyDescent="0.2">
      <c r="A994" t="s">
        <v>4594</v>
      </c>
      <c r="B994" t="s">
        <v>4608</v>
      </c>
      <c r="C994" t="str">
        <f t="shared" si="15"/>
        <v>TolimaPRADO</v>
      </c>
      <c r="D994" t="s">
        <v>4595</v>
      </c>
      <c r="E994" t="s">
        <v>3163</v>
      </c>
      <c r="F994" t="s">
        <v>5667</v>
      </c>
    </row>
    <row r="995" spans="1:6" x14ac:dyDescent="0.2">
      <c r="A995" t="s">
        <v>4594</v>
      </c>
      <c r="B995" t="s">
        <v>3975</v>
      </c>
      <c r="C995" t="str">
        <f t="shared" si="15"/>
        <v>TolimaPURIFICACION</v>
      </c>
      <c r="D995" t="s">
        <v>4595</v>
      </c>
      <c r="E995" t="s">
        <v>2120</v>
      </c>
      <c r="F995" t="s">
        <v>5668</v>
      </c>
    </row>
    <row r="996" spans="1:6" x14ac:dyDescent="0.2">
      <c r="A996" t="s">
        <v>4594</v>
      </c>
      <c r="B996" t="s">
        <v>4232</v>
      </c>
      <c r="C996" t="str">
        <f t="shared" si="15"/>
        <v>TolimaRIOBLANCO</v>
      </c>
      <c r="D996" t="s">
        <v>4595</v>
      </c>
      <c r="E996" t="s">
        <v>1997</v>
      </c>
      <c r="F996" t="s">
        <v>5669</v>
      </c>
    </row>
    <row r="997" spans="1:6" x14ac:dyDescent="0.2">
      <c r="A997" t="s">
        <v>4594</v>
      </c>
      <c r="B997" t="s">
        <v>4272</v>
      </c>
      <c r="C997" t="str">
        <f t="shared" si="15"/>
        <v>TolimaRONCESVALLES</v>
      </c>
      <c r="D997" t="s">
        <v>4595</v>
      </c>
      <c r="E997" t="s">
        <v>318</v>
      </c>
      <c r="F997" t="s">
        <v>5670</v>
      </c>
    </row>
    <row r="998" spans="1:6" x14ac:dyDescent="0.2">
      <c r="A998" t="s">
        <v>4594</v>
      </c>
      <c r="B998" t="s">
        <v>4609</v>
      </c>
      <c r="C998" t="str">
        <f t="shared" si="15"/>
        <v>TolimaROVIRA</v>
      </c>
      <c r="D998" t="s">
        <v>4595</v>
      </c>
      <c r="E998" t="s">
        <v>319</v>
      </c>
      <c r="F998" t="s">
        <v>5671</v>
      </c>
    </row>
    <row r="999" spans="1:6" x14ac:dyDescent="0.2">
      <c r="A999" t="s">
        <v>4594</v>
      </c>
      <c r="B999" t="s">
        <v>4610</v>
      </c>
      <c r="C999" t="str">
        <f t="shared" si="15"/>
        <v>TolimaSALDAÑA</v>
      </c>
      <c r="D999" t="s">
        <v>4595</v>
      </c>
      <c r="E999" t="s">
        <v>374</v>
      </c>
      <c r="F999" t="s">
        <v>5672</v>
      </c>
    </row>
    <row r="1000" spans="1:6" x14ac:dyDescent="0.2">
      <c r="A1000" t="s">
        <v>4594</v>
      </c>
      <c r="B1000" t="s">
        <v>4044</v>
      </c>
      <c r="C1000" t="str">
        <f t="shared" si="15"/>
        <v>TolimaSAN ANTONIO</v>
      </c>
      <c r="D1000" t="s">
        <v>4595</v>
      </c>
      <c r="E1000" t="s">
        <v>2630</v>
      </c>
      <c r="F1000" t="s">
        <v>5673</v>
      </c>
    </row>
    <row r="1001" spans="1:6" x14ac:dyDescent="0.2">
      <c r="A1001" t="s">
        <v>4594</v>
      </c>
      <c r="B1001" t="s">
        <v>4309</v>
      </c>
      <c r="C1001" t="str">
        <f t="shared" si="15"/>
        <v>TolimaSAN LUIS</v>
      </c>
      <c r="D1001" t="s">
        <v>4595</v>
      </c>
      <c r="E1001" t="s">
        <v>2670</v>
      </c>
      <c r="F1001" t="s">
        <v>5674</v>
      </c>
    </row>
    <row r="1002" spans="1:6" x14ac:dyDescent="0.2">
      <c r="A1002" t="s">
        <v>4594</v>
      </c>
      <c r="B1002" t="s">
        <v>3998</v>
      </c>
      <c r="C1002" t="str">
        <f t="shared" si="15"/>
        <v>TolimaSANTA ISABEL</v>
      </c>
      <c r="D1002" t="s">
        <v>4595</v>
      </c>
      <c r="E1002" t="s">
        <v>607</v>
      </c>
      <c r="F1002" t="s">
        <v>5675</v>
      </c>
    </row>
    <row r="1003" spans="1:6" x14ac:dyDescent="0.2">
      <c r="A1003" t="s">
        <v>4594</v>
      </c>
      <c r="B1003" t="s">
        <v>4047</v>
      </c>
      <c r="C1003" t="str">
        <f t="shared" si="15"/>
        <v>TolimaSUAREZ</v>
      </c>
      <c r="D1003" t="s">
        <v>4595</v>
      </c>
      <c r="E1003" t="s">
        <v>1558</v>
      </c>
      <c r="F1003" t="s">
        <v>5676</v>
      </c>
    </row>
    <row r="1004" spans="1:6" x14ac:dyDescent="0.2">
      <c r="A1004" t="s">
        <v>4594</v>
      </c>
      <c r="B1004" t="s">
        <v>4014</v>
      </c>
      <c r="C1004" t="str">
        <f t="shared" si="15"/>
        <v>TolimaVALLE DE SAN JUAN</v>
      </c>
      <c r="D1004" t="s">
        <v>4595</v>
      </c>
      <c r="E1004" t="s">
        <v>870</v>
      </c>
      <c r="F1004" t="s">
        <v>5677</v>
      </c>
    </row>
    <row r="1005" spans="1:6" x14ac:dyDescent="0.2">
      <c r="A1005" t="s">
        <v>4594</v>
      </c>
      <c r="B1005" t="s">
        <v>4017</v>
      </c>
      <c r="C1005" t="str">
        <f t="shared" si="15"/>
        <v>TolimaVENADILLO</v>
      </c>
      <c r="D1005" t="s">
        <v>4595</v>
      </c>
      <c r="E1005" t="s">
        <v>1095</v>
      </c>
      <c r="F1005" t="s">
        <v>5678</v>
      </c>
    </row>
    <row r="1006" spans="1:6" x14ac:dyDescent="0.2">
      <c r="A1006" t="s">
        <v>4594</v>
      </c>
      <c r="B1006" t="s">
        <v>4611</v>
      </c>
      <c r="C1006" t="str">
        <f t="shared" si="15"/>
        <v>TolimaVILLAHERMOSA</v>
      </c>
      <c r="D1006" t="s">
        <v>4595</v>
      </c>
      <c r="E1006" t="s">
        <v>320</v>
      </c>
      <c r="F1006" t="s">
        <v>5679</v>
      </c>
    </row>
    <row r="1007" spans="1:6" x14ac:dyDescent="0.2">
      <c r="A1007" t="s">
        <v>4594</v>
      </c>
      <c r="B1007" t="s">
        <v>4018</v>
      </c>
      <c r="C1007" t="str">
        <f t="shared" si="15"/>
        <v>TolimaVILLARRICA</v>
      </c>
      <c r="D1007" t="s">
        <v>4595</v>
      </c>
      <c r="E1007" t="s">
        <v>4612</v>
      </c>
      <c r="F1007" t="s">
        <v>5680</v>
      </c>
    </row>
    <row r="1008" spans="1:6" x14ac:dyDescent="0.2">
      <c r="A1008" t="s">
        <v>4613</v>
      </c>
      <c r="B1008" t="s">
        <v>3885</v>
      </c>
      <c r="C1008" t="str">
        <f t="shared" si="15"/>
        <v>Valle del CaucaCALI</v>
      </c>
      <c r="D1008" t="s">
        <v>4614</v>
      </c>
      <c r="E1008" t="s">
        <v>4615</v>
      </c>
      <c r="F1008" t="s">
        <v>5681</v>
      </c>
    </row>
    <row r="1009" spans="1:6" x14ac:dyDescent="0.2">
      <c r="A1009" t="s">
        <v>4613</v>
      </c>
      <c r="B1009" t="s">
        <v>4422</v>
      </c>
      <c r="C1009" t="str">
        <f t="shared" si="15"/>
        <v>Valle del CaucaALCALA</v>
      </c>
      <c r="D1009" t="s">
        <v>4614</v>
      </c>
      <c r="E1009" t="s">
        <v>2465</v>
      </c>
      <c r="F1009" t="s">
        <v>5682</v>
      </c>
    </row>
    <row r="1010" spans="1:6" x14ac:dyDescent="0.2">
      <c r="A1010" t="s">
        <v>4613</v>
      </c>
      <c r="B1010" t="s">
        <v>3894</v>
      </c>
      <c r="C1010" t="str">
        <f t="shared" si="15"/>
        <v>Valle del CaucaANDALUCIA</v>
      </c>
      <c r="D1010" t="s">
        <v>4614</v>
      </c>
      <c r="E1010" t="s">
        <v>3152</v>
      </c>
      <c r="F1010" t="s">
        <v>5683</v>
      </c>
    </row>
    <row r="1011" spans="1:6" x14ac:dyDescent="0.2">
      <c r="A1011" t="s">
        <v>4613</v>
      </c>
      <c r="B1011" t="s">
        <v>4616</v>
      </c>
      <c r="C1011" t="str">
        <f t="shared" si="15"/>
        <v>Valle del CaucaANSERMANUEVO</v>
      </c>
      <c r="D1011" t="s">
        <v>4614</v>
      </c>
      <c r="E1011" t="s">
        <v>2462</v>
      </c>
      <c r="F1011" t="s">
        <v>5684</v>
      </c>
    </row>
    <row r="1012" spans="1:6" x14ac:dyDescent="0.2">
      <c r="A1012" t="s">
        <v>4613</v>
      </c>
      <c r="B1012" t="s">
        <v>4617</v>
      </c>
      <c r="C1012" t="str">
        <f t="shared" si="15"/>
        <v>Valle del CaucaARGELIA</v>
      </c>
      <c r="D1012" t="s">
        <v>4614</v>
      </c>
      <c r="E1012" t="s">
        <v>2432</v>
      </c>
      <c r="F1012" t="s">
        <v>5685</v>
      </c>
    </row>
    <row r="1013" spans="1:6" x14ac:dyDescent="0.2">
      <c r="A1013" t="s">
        <v>4613</v>
      </c>
      <c r="B1013" t="s">
        <v>4259</v>
      </c>
      <c r="C1013" t="str">
        <f t="shared" si="15"/>
        <v>Valle del CaucaBOLIVAR</v>
      </c>
      <c r="D1013" t="s">
        <v>4614</v>
      </c>
      <c r="E1013" t="s">
        <v>2017</v>
      </c>
      <c r="F1013" t="s">
        <v>5686</v>
      </c>
    </row>
    <row r="1014" spans="1:6" x14ac:dyDescent="0.2">
      <c r="A1014" t="s">
        <v>4613</v>
      </c>
      <c r="B1014" t="s">
        <v>4104</v>
      </c>
      <c r="C1014" t="str">
        <f t="shared" si="15"/>
        <v>Valle del CaucaBUENAVENTURA</v>
      </c>
      <c r="D1014" t="s">
        <v>4614</v>
      </c>
      <c r="E1014" t="s">
        <v>1944</v>
      </c>
      <c r="F1014" t="s">
        <v>5687</v>
      </c>
    </row>
    <row r="1015" spans="1:6" x14ac:dyDescent="0.2">
      <c r="A1015" t="s">
        <v>4613</v>
      </c>
      <c r="B1015" t="s">
        <v>4528</v>
      </c>
      <c r="C1015" t="str">
        <f t="shared" si="15"/>
        <v>Valle del CaucaGUADALAJARA DE BUGA</v>
      </c>
      <c r="D1015" t="s">
        <v>4614</v>
      </c>
      <c r="E1015" t="s">
        <v>2697</v>
      </c>
      <c r="F1015" t="s">
        <v>5688</v>
      </c>
    </row>
    <row r="1016" spans="1:6" x14ac:dyDescent="0.2">
      <c r="A1016" t="s">
        <v>4613</v>
      </c>
      <c r="B1016" t="s">
        <v>3911</v>
      </c>
      <c r="C1016" t="str">
        <f t="shared" si="15"/>
        <v>Valle del CaucaBUGALAGRANDE</v>
      </c>
      <c r="D1016" t="s">
        <v>4614</v>
      </c>
      <c r="E1016" t="s">
        <v>884</v>
      </c>
      <c r="F1016" t="s">
        <v>5689</v>
      </c>
    </row>
    <row r="1017" spans="1:6" x14ac:dyDescent="0.2">
      <c r="A1017" t="s">
        <v>4613</v>
      </c>
      <c r="B1017" t="s">
        <v>4618</v>
      </c>
      <c r="C1017" t="str">
        <f t="shared" si="15"/>
        <v>Valle del CaucaCAICEDONIA</v>
      </c>
      <c r="D1017" t="s">
        <v>4614</v>
      </c>
      <c r="E1017" t="s">
        <v>1412</v>
      </c>
      <c r="F1017" t="s">
        <v>5690</v>
      </c>
    </row>
    <row r="1018" spans="1:6" x14ac:dyDescent="0.2">
      <c r="A1018" t="s">
        <v>4613</v>
      </c>
      <c r="B1018" t="s">
        <v>4322</v>
      </c>
      <c r="C1018" t="str">
        <f t="shared" si="15"/>
        <v>Valle del CaucaCALIMA</v>
      </c>
      <c r="D1018" t="s">
        <v>4614</v>
      </c>
      <c r="E1018" t="s">
        <v>4619</v>
      </c>
      <c r="F1018" t="s">
        <v>5691</v>
      </c>
    </row>
    <row r="1019" spans="1:6" x14ac:dyDescent="0.2">
      <c r="A1019" t="s">
        <v>4613</v>
      </c>
      <c r="B1019" t="s">
        <v>4261</v>
      </c>
      <c r="C1019" t="str">
        <f t="shared" si="15"/>
        <v>Valle del CaucaCANDELARIA</v>
      </c>
      <c r="D1019" t="s">
        <v>4614</v>
      </c>
      <c r="E1019" t="s">
        <v>1948</v>
      </c>
      <c r="F1019" t="s">
        <v>5692</v>
      </c>
    </row>
    <row r="1020" spans="1:6" x14ac:dyDescent="0.2">
      <c r="A1020" t="s">
        <v>4613</v>
      </c>
      <c r="B1020" t="s">
        <v>3919</v>
      </c>
      <c r="C1020" t="str">
        <f t="shared" si="15"/>
        <v>Valle del CaucaCARTAGO</v>
      </c>
      <c r="D1020" t="s">
        <v>4614</v>
      </c>
      <c r="E1020" t="s">
        <v>2862</v>
      </c>
      <c r="F1020" t="s">
        <v>5693</v>
      </c>
    </row>
    <row r="1021" spans="1:6" x14ac:dyDescent="0.2">
      <c r="A1021" t="s">
        <v>4613</v>
      </c>
      <c r="B1021" t="s">
        <v>4493</v>
      </c>
      <c r="C1021" t="str">
        <f t="shared" si="15"/>
        <v>Valle del CaucaDAGUA</v>
      </c>
      <c r="D1021" t="s">
        <v>4614</v>
      </c>
      <c r="E1021" t="s">
        <v>2942</v>
      </c>
      <c r="F1021" t="s">
        <v>5694</v>
      </c>
    </row>
    <row r="1022" spans="1:6" x14ac:dyDescent="0.2">
      <c r="A1022" t="s">
        <v>4613</v>
      </c>
      <c r="B1022" t="s">
        <v>4620</v>
      </c>
      <c r="C1022" t="str">
        <f t="shared" si="15"/>
        <v>Valle del CaucaEL AGUILA</v>
      </c>
      <c r="D1022" t="s">
        <v>4614</v>
      </c>
      <c r="E1022" t="s">
        <v>865</v>
      </c>
      <c r="F1022" t="s">
        <v>5695</v>
      </c>
    </row>
    <row r="1023" spans="1:6" x14ac:dyDescent="0.2">
      <c r="A1023" t="s">
        <v>4613</v>
      </c>
      <c r="B1023" t="s">
        <v>4621</v>
      </c>
      <c r="C1023" t="str">
        <f t="shared" si="15"/>
        <v>Valle del CaucaEL CAIRO</v>
      </c>
      <c r="D1023" t="s">
        <v>4614</v>
      </c>
      <c r="E1023" t="s">
        <v>1121</v>
      </c>
      <c r="F1023" t="s">
        <v>5696</v>
      </c>
    </row>
    <row r="1024" spans="1:6" x14ac:dyDescent="0.2">
      <c r="A1024" t="s">
        <v>4613</v>
      </c>
      <c r="B1024" t="s">
        <v>4063</v>
      </c>
      <c r="C1024" t="str">
        <f t="shared" si="15"/>
        <v>Valle del CaucaEL CERRITO</v>
      </c>
      <c r="D1024" t="s">
        <v>4614</v>
      </c>
      <c r="E1024" t="s">
        <v>3156</v>
      </c>
      <c r="F1024" t="s">
        <v>5697</v>
      </c>
    </row>
    <row r="1025" spans="1:6" x14ac:dyDescent="0.2">
      <c r="A1025" t="s">
        <v>4613</v>
      </c>
      <c r="B1025" t="s">
        <v>3934</v>
      </c>
      <c r="C1025" t="str">
        <f t="shared" si="15"/>
        <v>Valle del CaucaEL DOVIO</v>
      </c>
      <c r="D1025" t="s">
        <v>4614</v>
      </c>
      <c r="E1025" t="s">
        <v>2904</v>
      </c>
      <c r="F1025" t="s">
        <v>5698</v>
      </c>
    </row>
    <row r="1026" spans="1:6" x14ac:dyDescent="0.2">
      <c r="A1026" t="s">
        <v>4613</v>
      </c>
      <c r="B1026" t="s">
        <v>4601</v>
      </c>
      <c r="C1026" t="str">
        <f t="shared" si="15"/>
        <v>Valle del CaucaFLORIDA</v>
      </c>
      <c r="D1026" t="s">
        <v>4614</v>
      </c>
      <c r="E1026" t="s">
        <v>2040</v>
      </c>
      <c r="F1026" t="s">
        <v>5699</v>
      </c>
    </row>
    <row r="1027" spans="1:6" x14ac:dyDescent="0.2">
      <c r="A1027" t="s">
        <v>4613</v>
      </c>
      <c r="B1027" t="s">
        <v>3941</v>
      </c>
      <c r="C1027" t="str">
        <f t="shared" ref="C1027:C1090" si="16">D1027&amp;E1027</f>
        <v>Valle del CaucaGINEBRA</v>
      </c>
      <c r="D1027" t="s">
        <v>4614</v>
      </c>
      <c r="E1027" t="s">
        <v>1975</v>
      </c>
      <c r="F1027" t="s">
        <v>5700</v>
      </c>
    </row>
    <row r="1028" spans="1:6" x14ac:dyDescent="0.2">
      <c r="A1028" t="s">
        <v>4613</v>
      </c>
      <c r="B1028" t="s">
        <v>3946</v>
      </c>
      <c r="C1028" t="str">
        <f t="shared" si="16"/>
        <v>Valle del CaucaGUACARI</v>
      </c>
      <c r="D1028" t="s">
        <v>4614</v>
      </c>
      <c r="E1028" t="s">
        <v>2941</v>
      </c>
      <c r="F1028" t="s">
        <v>5701</v>
      </c>
    </row>
    <row r="1029" spans="1:6" x14ac:dyDescent="0.2">
      <c r="A1029" t="s">
        <v>4613</v>
      </c>
      <c r="B1029" t="s">
        <v>3953</v>
      </c>
      <c r="C1029" t="str">
        <f t="shared" si="16"/>
        <v>Valle del CaucaJAMUNDI</v>
      </c>
      <c r="D1029" t="s">
        <v>4614</v>
      </c>
      <c r="E1029" t="s">
        <v>609</v>
      </c>
      <c r="F1029" t="s">
        <v>5702</v>
      </c>
    </row>
    <row r="1030" spans="1:6" x14ac:dyDescent="0.2">
      <c r="A1030" t="s">
        <v>4613</v>
      </c>
      <c r="B1030" t="s">
        <v>4144</v>
      </c>
      <c r="C1030" t="str">
        <f t="shared" si="16"/>
        <v>Valle del CaucaLA CUMBRE</v>
      </c>
      <c r="D1030" t="s">
        <v>4614</v>
      </c>
      <c r="E1030" t="s">
        <v>2524</v>
      </c>
      <c r="F1030" t="s">
        <v>5703</v>
      </c>
    </row>
    <row r="1031" spans="1:6" x14ac:dyDescent="0.2">
      <c r="A1031" t="s">
        <v>4613</v>
      </c>
      <c r="B1031" t="s">
        <v>3958</v>
      </c>
      <c r="C1031" t="str">
        <f t="shared" si="16"/>
        <v>Valle del CaucaLA UNION</v>
      </c>
      <c r="D1031" t="s">
        <v>4614</v>
      </c>
      <c r="E1031" t="s">
        <v>113</v>
      </c>
      <c r="F1031" t="s">
        <v>5704</v>
      </c>
    </row>
    <row r="1032" spans="1:6" x14ac:dyDescent="0.2">
      <c r="A1032" t="s">
        <v>4613</v>
      </c>
      <c r="B1032" t="s">
        <v>4147</v>
      </c>
      <c r="C1032" t="str">
        <f t="shared" si="16"/>
        <v>Valle del CaucaLA VICTORIA</v>
      </c>
      <c r="D1032" t="s">
        <v>4614</v>
      </c>
      <c r="E1032" t="s">
        <v>2359</v>
      </c>
      <c r="F1032" t="s">
        <v>5705</v>
      </c>
    </row>
    <row r="1033" spans="1:6" x14ac:dyDescent="0.2">
      <c r="A1033" t="s">
        <v>4613</v>
      </c>
      <c r="B1033" t="s">
        <v>4622</v>
      </c>
      <c r="C1033" t="str">
        <f t="shared" si="16"/>
        <v>Valle del CaucaOBANDO</v>
      </c>
      <c r="D1033" t="s">
        <v>4614</v>
      </c>
      <c r="E1033" t="s">
        <v>1463</v>
      </c>
      <c r="F1033" t="s">
        <v>5706</v>
      </c>
    </row>
    <row r="1034" spans="1:6" x14ac:dyDescent="0.2">
      <c r="A1034" t="s">
        <v>4613</v>
      </c>
      <c r="B1034" t="s">
        <v>4035</v>
      </c>
      <c r="C1034" t="str">
        <f t="shared" si="16"/>
        <v>Valle del CaucaPALMIRA</v>
      </c>
      <c r="D1034" t="s">
        <v>4614</v>
      </c>
      <c r="E1034" t="s">
        <v>610</v>
      </c>
      <c r="F1034" t="s">
        <v>5707</v>
      </c>
    </row>
    <row r="1035" spans="1:6" x14ac:dyDescent="0.2">
      <c r="A1035" t="s">
        <v>4613</v>
      </c>
      <c r="B1035" t="s">
        <v>4608</v>
      </c>
      <c r="C1035" t="str">
        <f t="shared" si="16"/>
        <v>Valle del CaucaPRADERA</v>
      </c>
      <c r="D1035" t="s">
        <v>4614</v>
      </c>
      <c r="E1035" t="s">
        <v>2041</v>
      </c>
      <c r="F1035" t="s">
        <v>5708</v>
      </c>
    </row>
    <row r="1036" spans="1:6" x14ac:dyDescent="0.2">
      <c r="A1036" t="s">
        <v>4613</v>
      </c>
      <c r="B1036" t="s">
        <v>4041</v>
      </c>
      <c r="C1036" t="str">
        <f t="shared" si="16"/>
        <v>Valle del CaucaRESTREPO</v>
      </c>
      <c r="D1036" t="s">
        <v>4614</v>
      </c>
      <c r="E1036" t="s">
        <v>2736</v>
      </c>
      <c r="F1036" t="s">
        <v>5709</v>
      </c>
    </row>
    <row r="1037" spans="1:6" x14ac:dyDescent="0.2">
      <c r="A1037" t="s">
        <v>4613</v>
      </c>
      <c r="B1037" t="s">
        <v>4232</v>
      </c>
      <c r="C1037" t="str">
        <f t="shared" si="16"/>
        <v>Valle del CaucaRIOFRIO</v>
      </c>
      <c r="D1037" t="s">
        <v>4614</v>
      </c>
      <c r="E1037" t="s">
        <v>2619</v>
      </c>
      <c r="F1037" t="s">
        <v>5710</v>
      </c>
    </row>
    <row r="1038" spans="1:6" x14ac:dyDescent="0.2">
      <c r="A1038" t="s">
        <v>4613</v>
      </c>
      <c r="B1038" t="s">
        <v>4272</v>
      </c>
      <c r="C1038" t="str">
        <f t="shared" si="16"/>
        <v>Valle del CaucaROLDANILLO</v>
      </c>
      <c r="D1038" t="s">
        <v>4614</v>
      </c>
      <c r="E1038" t="s">
        <v>2579</v>
      </c>
      <c r="F1038" t="s">
        <v>5711</v>
      </c>
    </row>
    <row r="1039" spans="1:6" x14ac:dyDescent="0.2">
      <c r="A1039" t="s">
        <v>4613</v>
      </c>
      <c r="B1039" t="s">
        <v>3995</v>
      </c>
      <c r="C1039" t="str">
        <f t="shared" si="16"/>
        <v>Valle del CaucaSAN PEDRO</v>
      </c>
      <c r="D1039" t="s">
        <v>4614</v>
      </c>
      <c r="E1039" t="s">
        <v>103</v>
      </c>
      <c r="F1039" t="s">
        <v>5712</v>
      </c>
    </row>
    <row r="1040" spans="1:6" x14ac:dyDescent="0.2">
      <c r="A1040" t="s">
        <v>4613</v>
      </c>
      <c r="B1040" t="s">
        <v>4003</v>
      </c>
      <c r="C1040" t="str">
        <f t="shared" si="16"/>
        <v>Valle del CaucaSEVILLA</v>
      </c>
      <c r="D1040" t="s">
        <v>4614</v>
      </c>
      <c r="E1040" t="s">
        <v>1481</v>
      </c>
      <c r="F1040" t="s">
        <v>5713</v>
      </c>
    </row>
    <row r="1041" spans="1:6" x14ac:dyDescent="0.2">
      <c r="A1041" t="s">
        <v>4613</v>
      </c>
      <c r="B1041" t="s">
        <v>4393</v>
      </c>
      <c r="C1041" t="str">
        <f t="shared" si="16"/>
        <v>Valle del CaucaTORO</v>
      </c>
      <c r="D1041" t="s">
        <v>4614</v>
      </c>
      <c r="E1041" t="s">
        <v>3116</v>
      </c>
      <c r="F1041" t="s">
        <v>5714</v>
      </c>
    </row>
    <row r="1042" spans="1:6" x14ac:dyDescent="0.2">
      <c r="A1042" t="s">
        <v>4613</v>
      </c>
      <c r="B1042" t="s">
        <v>4623</v>
      </c>
      <c r="C1042" t="str">
        <f t="shared" si="16"/>
        <v>Valle del CaucaTRUJILLO</v>
      </c>
      <c r="D1042" t="s">
        <v>4614</v>
      </c>
      <c r="E1042" t="s">
        <v>1936</v>
      </c>
      <c r="F1042" t="s">
        <v>5715</v>
      </c>
    </row>
    <row r="1043" spans="1:6" x14ac:dyDescent="0.2">
      <c r="A1043" t="s">
        <v>4613</v>
      </c>
      <c r="B1043" t="s">
        <v>4624</v>
      </c>
      <c r="C1043" t="str">
        <f t="shared" si="16"/>
        <v>Valle del CaucaTULUA</v>
      </c>
      <c r="D1043" t="s">
        <v>4614</v>
      </c>
      <c r="E1043" t="s">
        <v>1266</v>
      </c>
      <c r="F1043" t="s">
        <v>5716</v>
      </c>
    </row>
    <row r="1044" spans="1:6" x14ac:dyDescent="0.2">
      <c r="A1044" t="s">
        <v>4613</v>
      </c>
      <c r="B1044" t="s">
        <v>4279</v>
      </c>
      <c r="C1044" t="str">
        <f t="shared" si="16"/>
        <v>Valle del CaucaULLOA</v>
      </c>
      <c r="D1044" t="s">
        <v>4614</v>
      </c>
      <c r="E1044" t="s">
        <v>1385</v>
      </c>
      <c r="F1044" t="s">
        <v>5717</v>
      </c>
    </row>
    <row r="1045" spans="1:6" x14ac:dyDescent="0.2">
      <c r="A1045" t="s">
        <v>4613</v>
      </c>
      <c r="B1045" t="s">
        <v>4625</v>
      </c>
      <c r="C1045" t="str">
        <f t="shared" si="16"/>
        <v>Valle del CaucaVERSALLES</v>
      </c>
      <c r="D1045" t="s">
        <v>4614</v>
      </c>
      <c r="E1045" t="s">
        <v>1050</v>
      </c>
      <c r="F1045" t="s">
        <v>5718</v>
      </c>
    </row>
    <row r="1046" spans="1:6" x14ac:dyDescent="0.2">
      <c r="A1046" t="s">
        <v>4613</v>
      </c>
      <c r="B1046" t="s">
        <v>4626</v>
      </c>
      <c r="C1046" t="str">
        <f t="shared" si="16"/>
        <v>Valle del CaucaVIJES</v>
      </c>
      <c r="D1046" t="s">
        <v>4614</v>
      </c>
      <c r="E1046" t="s">
        <v>1122</v>
      </c>
      <c r="F1046" t="s">
        <v>5719</v>
      </c>
    </row>
    <row r="1047" spans="1:6" x14ac:dyDescent="0.2">
      <c r="A1047" t="s">
        <v>4613</v>
      </c>
      <c r="B1047" t="s">
        <v>4022</v>
      </c>
      <c r="C1047" t="str">
        <f t="shared" si="16"/>
        <v>Valle del CaucaYOTOCO</v>
      </c>
      <c r="D1047" t="s">
        <v>4614</v>
      </c>
      <c r="E1047" t="s">
        <v>1639</v>
      </c>
      <c r="F1047" t="s">
        <v>5720</v>
      </c>
    </row>
    <row r="1048" spans="1:6" x14ac:dyDescent="0.2">
      <c r="A1048" t="s">
        <v>4613</v>
      </c>
      <c r="B1048" t="s">
        <v>4627</v>
      </c>
      <c r="C1048" t="str">
        <f t="shared" si="16"/>
        <v>Valle del CaucaYUMBO</v>
      </c>
      <c r="D1048" t="s">
        <v>4614</v>
      </c>
      <c r="E1048" t="s">
        <v>2506</v>
      </c>
      <c r="F1048" t="s">
        <v>5721</v>
      </c>
    </row>
    <row r="1049" spans="1:6" x14ac:dyDescent="0.2">
      <c r="A1049" t="s">
        <v>4613</v>
      </c>
      <c r="B1049" t="s">
        <v>4024</v>
      </c>
      <c r="C1049" t="str">
        <f t="shared" si="16"/>
        <v>Valle del CaucaZARZAL</v>
      </c>
      <c r="D1049" t="s">
        <v>4614</v>
      </c>
      <c r="E1049" t="s">
        <v>1386</v>
      </c>
      <c r="F1049" t="s">
        <v>5722</v>
      </c>
    </row>
    <row r="1050" spans="1:6" x14ac:dyDescent="0.2">
      <c r="A1050" t="s">
        <v>4628</v>
      </c>
      <c r="B1050" t="s">
        <v>3885</v>
      </c>
      <c r="C1050" t="str">
        <f t="shared" si="16"/>
        <v>AraucaARAUCA</v>
      </c>
      <c r="D1050" t="s">
        <v>4629</v>
      </c>
      <c r="E1050" t="s">
        <v>2756</v>
      </c>
      <c r="F1050" t="s">
        <v>5723</v>
      </c>
    </row>
    <row r="1051" spans="1:6" x14ac:dyDescent="0.2">
      <c r="A1051" t="s">
        <v>4628</v>
      </c>
      <c r="B1051" t="s">
        <v>4630</v>
      </c>
      <c r="C1051" t="str">
        <f t="shared" si="16"/>
        <v>AraucaARAUQUITA</v>
      </c>
      <c r="D1051" t="s">
        <v>4629</v>
      </c>
      <c r="E1051" t="s">
        <v>1773</v>
      </c>
      <c r="F1051" t="s">
        <v>5724</v>
      </c>
    </row>
    <row r="1052" spans="1:6" x14ac:dyDescent="0.2">
      <c r="A1052" t="s">
        <v>4628</v>
      </c>
      <c r="B1052" t="s">
        <v>4631</v>
      </c>
      <c r="C1052" t="str">
        <f t="shared" si="16"/>
        <v>AraucaCRAVO NORTE</v>
      </c>
      <c r="D1052" t="s">
        <v>4629</v>
      </c>
      <c r="E1052" t="s">
        <v>1424</v>
      </c>
      <c r="F1052" t="s">
        <v>5725</v>
      </c>
    </row>
    <row r="1053" spans="1:6" x14ac:dyDescent="0.2">
      <c r="A1053" t="s">
        <v>4628</v>
      </c>
      <c r="B1053" t="s">
        <v>4065</v>
      </c>
      <c r="C1053" t="str">
        <f t="shared" si="16"/>
        <v>AraucaFORTUL</v>
      </c>
      <c r="D1053" t="s">
        <v>4629</v>
      </c>
      <c r="E1053" t="s">
        <v>4632</v>
      </c>
      <c r="F1053" t="s">
        <v>5726</v>
      </c>
    </row>
    <row r="1054" spans="1:6" x14ac:dyDescent="0.2">
      <c r="A1054" t="s">
        <v>4628</v>
      </c>
      <c r="B1054" t="s">
        <v>3976</v>
      </c>
      <c r="C1054" t="str">
        <f t="shared" si="16"/>
        <v>AraucaPUERTO RONDON</v>
      </c>
      <c r="D1054" t="s">
        <v>4629</v>
      </c>
      <c r="E1054" t="s">
        <v>1772</v>
      </c>
      <c r="F1054" t="s">
        <v>5727</v>
      </c>
    </row>
    <row r="1055" spans="1:6" x14ac:dyDescent="0.2">
      <c r="A1055" t="s">
        <v>4628</v>
      </c>
      <c r="B1055" t="s">
        <v>4003</v>
      </c>
      <c r="C1055" t="str">
        <f t="shared" si="16"/>
        <v>AraucaSARAVENA</v>
      </c>
      <c r="D1055" t="s">
        <v>4629</v>
      </c>
      <c r="E1055" t="s">
        <v>1942</v>
      </c>
      <c r="F1055" t="s">
        <v>5728</v>
      </c>
    </row>
    <row r="1056" spans="1:6" x14ac:dyDescent="0.2">
      <c r="A1056" t="s">
        <v>4628</v>
      </c>
      <c r="B1056" t="s">
        <v>4633</v>
      </c>
      <c r="C1056" t="str">
        <f t="shared" si="16"/>
        <v>AraucaTAME</v>
      </c>
      <c r="D1056" t="s">
        <v>4629</v>
      </c>
      <c r="E1056" t="s">
        <v>619</v>
      </c>
      <c r="F1056" t="s">
        <v>5729</v>
      </c>
    </row>
    <row r="1057" spans="1:6" x14ac:dyDescent="0.2">
      <c r="A1057" t="s">
        <v>4634</v>
      </c>
      <c r="B1057" t="s">
        <v>3885</v>
      </c>
      <c r="C1057" t="str">
        <f t="shared" si="16"/>
        <v>CASANAREYOPAL</v>
      </c>
      <c r="D1057" t="s">
        <v>1189</v>
      </c>
      <c r="E1057" t="s">
        <v>2416</v>
      </c>
      <c r="F1057" t="s">
        <v>5730</v>
      </c>
    </row>
    <row r="1058" spans="1:6" x14ac:dyDescent="0.2">
      <c r="A1058" t="s">
        <v>4634</v>
      </c>
      <c r="B1058" t="s">
        <v>4635</v>
      </c>
      <c r="C1058" t="str">
        <f t="shared" si="16"/>
        <v>CASANAREAGUAZUL</v>
      </c>
      <c r="D1058" t="s">
        <v>1189</v>
      </c>
      <c r="E1058" t="s">
        <v>285</v>
      </c>
      <c r="F1058" t="s">
        <v>5731</v>
      </c>
    </row>
    <row r="1059" spans="1:6" x14ac:dyDescent="0.2">
      <c r="A1059" t="s">
        <v>4634</v>
      </c>
      <c r="B1059" t="s">
        <v>4636</v>
      </c>
      <c r="C1059" t="str">
        <f t="shared" si="16"/>
        <v>CASANARECHAMEZA</v>
      </c>
      <c r="D1059" t="s">
        <v>1189</v>
      </c>
      <c r="E1059" t="s">
        <v>4637</v>
      </c>
      <c r="F1059" t="s">
        <v>5732</v>
      </c>
    </row>
    <row r="1060" spans="1:6" x14ac:dyDescent="0.2">
      <c r="A1060" t="s">
        <v>4634</v>
      </c>
      <c r="B1060" t="s">
        <v>3913</v>
      </c>
      <c r="C1060" t="str">
        <f t="shared" si="16"/>
        <v>CASANAREHATO COROZAL</v>
      </c>
      <c r="D1060" t="s">
        <v>1189</v>
      </c>
      <c r="E1060" t="s">
        <v>713</v>
      </c>
      <c r="F1060" t="s">
        <v>5733</v>
      </c>
    </row>
    <row r="1061" spans="1:6" x14ac:dyDescent="0.2">
      <c r="A1061" t="s">
        <v>4634</v>
      </c>
      <c r="B1061" t="s">
        <v>4638</v>
      </c>
      <c r="C1061" t="str">
        <f t="shared" si="16"/>
        <v>CASANARELA SALINA</v>
      </c>
      <c r="D1061" t="s">
        <v>1189</v>
      </c>
      <c r="E1061" t="s">
        <v>4639</v>
      </c>
      <c r="F1061" t="s">
        <v>5734</v>
      </c>
    </row>
    <row r="1062" spans="1:6" x14ac:dyDescent="0.2">
      <c r="A1062" t="s">
        <v>4634</v>
      </c>
      <c r="B1062" t="s">
        <v>4640</v>
      </c>
      <c r="C1062" t="str">
        <f t="shared" si="16"/>
        <v>CASANAREMANI</v>
      </c>
      <c r="D1062" t="s">
        <v>1189</v>
      </c>
      <c r="E1062" t="s">
        <v>2414</v>
      </c>
      <c r="F1062" t="s">
        <v>5735</v>
      </c>
    </row>
    <row r="1063" spans="1:6" x14ac:dyDescent="0.2">
      <c r="A1063" t="s">
        <v>4634</v>
      </c>
      <c r="B1063" t="s">
        <v>4109</v>
      </c>
      <c r="C1063" t="str">
        <f t="shared" si="16"/>
        <v>CASANAREMONTERREY</v>
      </c>
      <c r="D1063" t="s">
        <v>1189</v>
      </c>
      <c r="E1063" t="s">
        <v>4641</v>
      </c>
      <c r="F1063" t="s">
        <v>5736</v>
      </c>
    </row>
    <row r="1064" spans="1:6" x14ac:dyDescent="0.2">
      <c r="A1064" t="s">
        <v>4634</v>
      </c>
      <c r="B1064" t="s">
        <v>4642</v>
      </c>
      <c r="C1064" t="str">
        <f t="shared" si="16"/>
        <v>CASANARENUNCHIA</v>
      </c>
      <c r="D1064" t="s">
        <v>1189</v>
      </c>
      <c r="E1064" t="s">
        <v>492</v>
      </c>
      <c r="F1064" t="s">
        <v>5737</v>
      </c>
    </row>
    <row r="1065" spans="1:6" x14ac:dyDescent="0.2">
      <c r="A1065" t="s">
        <v>4634</v>
      </c>
      <c r="B1065" t="s">
        <v>4575</v>
      </c>
      <c r="C1065" t="str">
        <f t="shared" si="16"/>
        <v>CASANAREOROCUE</v>
      </c>
      <c r="D1065" t="s">
        <v>1189</v>
      </c>
      <c r="E1065" t="s">
        <v>1190</v>
      </c>
      <c r="F1065" t="s">
        <v>5738</v>
      </c>
    </row>
    <row r="1066" spans="1:6" x14ac:dyDescent="0.2">
      <c r="A1066" t="s">
        <v>4634</v>
      </c>
      <c r="B1066" t="s">
        <v>3934</v>
      </c>
      <c r="C1066" t="str">
        <f t="shared" si="16"/>
        <v>CASANAREPAZ DE ARIPORO</v>
      </c>
      <c r="D1066" t="s">
        <v>1189</v>
      </c>
      <c r="E1066" t="s">
        <v>1096</v>
      </c>
      <c r="F1066" t="s">
        <v>5739</v>
      </c>
    </row>
    <row r="1067" spans="1:6" x14ac:dyDescent="0.2">
      <c r="A1067" t="s">
        <v>4634</v>
      </c>
      <c r="B1067" t="s">
        <v>4643</v>
      </c>
      <c r="C1067" t="str">
        <f t="shared" si="16"/>
        <v>CASANAREPORE</v>
      </c>
      <c r="D1067" t="s">
        <v>1189</v>
      </c>
      <c r="E1067" t="s">
        <v>2412</v>
      </c>
      <c r="F1067" t="s">
        <v>5740</v>
      </c>
    </row>
    <row r="1068" spans="1:6" x14ac:dyDescent="0.2">
      <c r="A1068" t="s">
        <v>4634</v>
      </c>
      <c r="B1068" t="s">
        <v>4334</v>
      </c>
      <c r="C1068" t="str">
        <f t="shared" si="16"/>
        <v>CASANARERECETOR</v>
      </c>
      <c r="D1068" t="s">
        <v>1189</v>
      </c>
      <c r="E1068" t="s">
        <v>4644</v>
      </c>
      <c r="F1068" t="s">
        <v>5741</v>
      </c>
    </row>
    <row r="1069" spans="1:6" x14ac:dyDescent="0.2">
      <c r="A1069" t="s">
        <v>4634</v>
      </c>
      <c r="B1069" t="s">
        <v>4065</v>
      </c>
      <c r="C1069" t="str">
        <f t="shared" si="16"/>
        <v>CASANARESABANALARGA</v>
      </c>
      <c r="D1069" t="s">
        <v>1189</v>
      </c>
      <c r="E1069" t="s">
        <v>674</v>
      </c>
      <c r="F1069" t="s">
        <v>5742</v>
      </c>
    </row>
    <row r="1070" spans="1:6" x14ac:dyDescent="0.2">
      <c r="A1070" t="s">
        <v>4634</v>
      </c>
      <c r="B1070" t="s">
        <v>3945</v>
      </c>
      <c r="C1070" t="str">
        <f t="shared" si="16"/>
        <v>CASANARESACAMA</v>
      </c>
      <c r="D1070" t="s">
        <v>1189</v>
      </c>
      <c r="E1070" t="s">
        <v>4645</v>
      </c>
      <c r="F1070" t="s">
        <v>5743</v>
      </c>
    </row>
    <row r="1071" spans="1:6" x14ac:dyDescent="0.2">
      <c r="A1071" t="s">
        <v>4634</v>
      </c>
      <c r="B1071" t="s">
        <v>4137</v>
      </c>
      <c r="C1071" t="str">
        <f t="shared" si="16"/>
        <v>CASANARESAN LUIS DE PALENQUE</v>
      </c>
      <c r="D1071" t="s">
        <v>1189</v>
      </c>
      <c r="E1071" t="s">
        <v>4646</v>
      </c>
      <c r="F1071" t="s">
        <v>5744</v>
      </c>
    </row>
    <row r="1072" spans="1:6" x14ac:dyDescent="0.2">
      <c r="A1072" t="s">
        <v>4634</v>
      </c>
      <c r="B1072" t="s">
        <v>3958</v>
      </c>
      <c r="C1072" t="str">
        <f t="shared" si="16"/>
        <v>CASANARETAMARA</v>
      </c>
      <c r="D1072" t="s">
        <v>1189</v>
      </c>
      <c r="E1072" t="s">
        <v>4647</v>
      </c>
      <c r="F1072" t="s">
        <v>5745</v>
      </c>
    </row>
    <row r="1073" spans="1:6" x14ac:dyDescent="0.2">
      <c r="A1073" t="s">
        <v>4634</v>
      </c>
      <c r="B1073" t="s">
        <v>4248</v>
      </c>
      <c r="C1073" t="str">
        <f t="shared" si="16"/>
        <v>CASANARETAURAMENA</v>
      </c>
      <c r="D1073" t="s">
        <v>1189</v>
      </c>
      <c r="E1073" t="s">
        <v>1976</v>
      </c>
      <c r="F1073" t="s">
        <v>5746</v>
      </c>
    </row>
    <row r="1074" spans="1:6" x14ac:dyDescent="0.2">
      <c r="A1074" t="s">
        <v>4634</v>
      </c>
      <c r="B1074" t="s">
        <v>4066</v>
      </c>
      <c r="C1074" t="str">
        <f t="shared" si="16"/>
        <v>CASANARETRINIDAD</v>
      </c>
      <c r="D1074" t="s">
        <v>1189</v>
      </c>
      <c r="E1074" t="s">
        <v>286</v>
      </c>
      <c r="F1074" t="s">
        <v>5747</v>
      </c>
    </row>
    <row r="1075" spans="1:6" x14ac:dyDescent="0.2">
      <c r="A1075" t="s">
        <v>4634</v>
      </c>
      <c r="B1075" t="s">
        <v>3961</v>
      </c>
      <c r="C1075" t="str">
        <f t="shared" si="16"/>
        <v>CASANAREVILLANUEVA</v>
      </c>
      <c r="D1075" t="s">
        <v>1189</v>
      </c>
      <c r="E1075" t="s">
        <v>1953</v>
      </c>
      <c r="F1075" t="s">
        <v>5748</v>
      </c>
    </row>
    <row r="1076" spans="1:6" x14ac:dyDescent="0.2">
      <c r="A1076" t="s">
        <v>4648</v>
      </c>
      <c r="B1076" t="s">
        <v>3885</v>
      </c>
      <c r="C1076" t="str">
        <f t="shared" si="16"/>
        <v>PutumayoMOCOA</v>
      </c>
      <c r="D1076" t="s">
        <v>4649</v>
      </c>
      <c r="E1076" t="s">
        <v>1896</v>
      </c>
      <c r="F1076" t="s">
        <v>5749</v>
      </c>
    </row>
    <row r="1077" spans="1:6" x14ac:dyDescent="0.2">
      <c r="A1077" t="s">
        <v>4648</v>
      </c>
      <c r="B1077" t="s">
        <v>4650</v>
      </c>
      <c r="C1077" t="str">
        <f t="shared" si="16"/>
        <v>PutumayoCOLON</v>
      </c>
      <c r="D1077" t="s">
        <v>4649</v>
      </c>
      <c r="E1077" t="s">
        <v>388</v>
      </c>
      <c r="F1077" t="s">
        <v>5750</v>
      </c>
    </row>
    <row r="1078" spans="1:6" x14ac:dyDescent="0.2">
      <c r="A1078" t="s">
        <v>4648</v>
      </c>
      <c r="B1078" t="s">
        <v>4345</v>
      </c>
      <c r="C1078" t="str">
        <f t="shared" si="16"/>
        <v>PutumayoORITO</v>
      </c>
      <c r="D1078" t="s">
        <v>4649</v>
      </c>
      <c r="E1078" t="s">
        <v>1514</v>
      </c>
      <c r="F1078" t="s">
        <v>5751</v>
      </c>
    </row>
    <row r="1079" spans="1:6" x14ac:dyDescent="0.2">
      <c r="A1079" t="s">
        <v>4648</v>
      </c>
      <c r="B1079" t="s">
        <v>4477</v>
      </c>
      <c r="C1079" t="str">
        <f t="shared" si="16"/>
        <v>PutumayoPUERTO ASIS</v>
      </c>
      <c r="D1079" t="s">
        <v>4649</v>
      </c>
      <c r="E1079" t="s">
        <v>3875</v>
      </c>
      <c r="F1079" t="s">
        <v>5752</v>
      </c>
    </row>
    <row r="1080" spans="1:6" x14ac:dyDescent="0.2">
      <c r="A1080" t="s">
        <v>4648</v>
      </c>
      <c r="B1080" t="s">
        <v>4651</v>
      </c>
      <c r="C1080" t="str">
        <f t="shared" si="16"/>
        <v>PutumayoPUERTO CAICEDO</v>
      </c>
      <c r="D1080" t="s">
        <v>4649</v>
      </c>
      <c r="E1080" t="s">
        <v>1512</v>
      </c>
      <c r="F1080" t="s">
        <v>5753</v>
      </c>
    </row>
    <row r="1081" spans="1:6" x14ac:dyDescent="0.2">
      <c r="A1081" t="s">
        <v>4648</v>
      </c>
      <c r="B1081" t="s">
        <v>4652</v>
      </c>
      <c r="C1081" t="str">
        <f t="shared" si="16"/>
        <v>PutumayoPUERTO GUZMAN</v>
      </c>
      <c r="D1081" t="s">
        <v>4649</v>
      </c>
      <c r="E1081" t="s">
        <v>3874</v>
      </c>
      <c r="F1081" t="s">
        <v>5754</v>
      </c>
    </row>
    <row r="1082" spans="1:6" x14ac:dyDescent="0.2">
      <c r="A1082" t="s">
        <v>4648</v>
      </c>
      <c r="B1082" t="s">
        <v>4040</v>
      </c>
      <c r="C1082" t="str">
        <f t="shared" si="16"/>
        <v>PutumayoLEGUIZAMO</v>
      </c>
      <c r="D1082" t="s">
        <v>4649</v>
      </c>
      <c r="E1082" t="s">
        <v>4653</v>
      </c>
      <c r="F1082" t="s">
        <v>5755</v>
      </c>
    </row>
    <row r="1083" spans="1:6" x14ac:dyDescent="0.2">
      <c r="A1083" t="s">
        <v>4648</v>
      </c>
      <c r="B1083" t="s">
        <v>4654</v>
      </c>
      <c r="C1083" t="str">
        <f t="shared" si="16"/>
        <v>PutumayoSIBUNDOY</v>
      </c>
      <c r="D1083" t="s">
        <v>4649</v>
      </c>
      <c r="E1083" t="s">
        <v>2212</v>
      </c>
      <c r="F1083" t="s">
        <v>5756</v>
      </c>
    </row>
    <row r="1084" spans="1:6" x14ac:dyDescent="0.2">
      <c r="A1084" t="s">
        <v>4648</v>
      </c>
      <c r="B1084" t="s">
        <v>4190</v>
      </c>
      <c r="C1084" t="str">
        <f t="shared" si="16"/>
        <v>PutumayoSAN FRANCISCO</v>
      </c>
      <c r="D1084" t="s">
        <v>4649</v>
      </c>
      <c r="E1084" t="s">
        <v>2677</v>
      </c>
      <c r="F1084" t="s">
        <v>5757</v>
      </c>
    </row>
    <row r="1085" spans="1:6" x14ac:dyDescent="0.2">
      <c r="A1085" t="s">
        <v>4648</v>
      </c>
      <c r="B1085" t="s">
        <v>4191</v>
      </c>
      <c r="C1085" t="str">
        <f t="shared" si="16"/>
        <v>PutumayoSAN MIGUEL</v>
      </c>
      <c r="D1085" t="s">
        <v>4649</v>
      </c>
      <c r="E1085" t="s">
        <v>353</v>
      </c>
      <c r="F1085" t="s">
        <v>5758</v>
      </c>
    </row>
    <row r="1086" spans="1:6" x14ac:dyDescent="0.2">
      <c r="A1086" t="s">
        <v>4648</v>
      </c>
      <c r="B1086" t="s">
        <v>4086</v>
      </c>
      <c r="C1086" t="str">
        <f t="shared" si="16"/>
        <v>PutumayoSANTIAGO</v>
      </c>
      <c r="D1086" t="s">
        <v>4649</v>
      </c>
      <c r="E1086" t="s">
        <v>1124</v>
      </c>
      <c r="F1086" t="s">
        <v>5759</v>
      </c>
    </row>
    <row r="1087" spans="1:6" x14ac:dyDescent="0.2">
      <c r="A1087" t="s">
        <v>4648</v>
      </c>
      <c r="B1087" t="s">
        <v>4655</v>
      </c>
      <c r="C1087" t="str">
        <f t="shared" si="16"/>
        <v>PutumayoVALLE DEL GUAMUEZ</v>
      </c>
      <c r="D1087" t="s">
        <v>4649</v>
      </c>
      <c r="E1087" t="s">
        <v>4656</v>
      </c>
      <c r="F1087" t="s">
        <v>5760</v>
      </c>
    </row>
    <row r="1088" spans="1:6" x14ac:dyDescent="0.2">
      <c r="A1088" t="s">
        <v>4648</v>
      </c>
      <c r="B1088" t="s">
        <v>4019</v>
      </c>
      <c r="C1088" t="str">
        <f t="shared" si="16"/>
        <v>PutumayoVILLAGARZON</v>
      </c>
      <c r="D1088" t="s">
        <v>4649</v>
      </c>
      <c r="E1088" t="s">
        <v>4657</v>
      </c>
      <c r="F1088" t="s">
        <v>5761</v>
      </c>
    </row>
    <row r="1089" spans="1:6" x14ac:dyDescent="0.2">
      <c r="A1089" t="s">
        <v>4658</v>
      </c>
      <c r="B1089" t="s">
        <v>3885</v>
      </c>
      <c r="C1089" t="str">
        <f t="shared" si="16"/>
        <v>SAN ANDRESSAN ANDRES</v>
      </c>
      <c r="D1089" t="s">
        <v>1972</v>
      </c>
      <c r="E1089" t="s">
        <v>1972</v>
      </c>
      <c r="F1089" t="s">
        <v>5762</v>
      </c>
    </row>
    <row r="1090" spans="1:6" x14ac:dyDescent="0.2">
      <c r="A1090" t="s">
        <v>4658</v>
      </c>
      <c r="B1090" t="s">
        <v>4659</v>
      </c>
      <c r="C1090" t="str">
        <f t="shared" si="16"/>
        <v>SAN ANDRESPROVIDENCIA</v>
      </c>
      <c r="D1090" t="s">
        <v>1972</v>
      </c>
      <c r="E1090" t="s">
        <v>2419</v>
      </c>
      <c r="F1090" t="s">
        <v>5763</v>
      </c>
    </row>
    <row r="1091" spans="1:6" x14ac:dyDescent="0.2">
      <c r="A1091" t="s">
        <v>4660</v>
      </c>
      <c r="B1091" t="s">
        <v>3885</v>
      </c>
      <c r="C1091" t="str">
        <f t="shared" ref="C1091:C1138" si="17">D1091&amp;E1091</f>
        <v>AMAZONASLETICIA</v>
      </c>
      <c r="D1091" t="s">
        <v>235</v>
      </c>
      <c r="E1091" t="s">
        <v>236</v>
      </c>
      <c r="F1091" t="s">
        <v>5764</v>
      </c>
    </row>
    <row r="1092" spans="1:6" x14ac:dyDescent="0.2">
      <c r="A1092" t="s">
        <v>4660</v>
      </c>
      <c r="B1092" t="s">
        <v>4507</v>
      </c>
      <c r="C1092" t="str">
        <f t="shared" si="17"/>
        <v>AMAZONASPUERTO NARIÑO</v>
      </c>
      <c r="D1092" t="s">
        <v>235</v>
      </c>
      <c r="E1092" t="s">
        <v>4661</v>
      </c>
      <c r="F1092" t="s">
        <v>5765</v>
      </c>
    </row>
    <row r="1093" spans="1:6" x14ac:dyDescent="0.2">
      <c r="A1093" t="s">
        <v>4662</v>
      </c>
      <c r="B1093" t="s">
        <v>3885</v>
      </c>
      <c r="C1093" t="str">
        <f t="shared" si="17"/>
        <v>GUAINIAINIRIDA</v>
      </c>
      <c r="D1093" t="s">
        <v>3102</v>
      </c>
      <c r="E1093" t="s">
        <v>4663</v>
      </c>
      <c r="F1093" t="s">
        <v>5766</v>
      </c>
    </row>
    <row r="1094" spans="1:6" x14ac:dyDescent="0.2">
      <c r="A1094" t="s">
        <v>4664</v>
      </c>
      <c r="B1094" t="s">
        <v>3885</v>
      </c>
      <c r="C1094" t="str">
        <f t="shared" si="17"/>
        <v>GUAVIARESAN JOSE DEL GUAVIARE</v>
      </c>
      <c r="D1094" t="s">
        <v>2321</v>
      </c>
      <c r="E1094" t="s">
        <v>2322</v>
      </c>
      <c r="F1094" t="s">
        <v>5767</v>
      </c>
    </row>
    <row r="1095" spans="1:6" x14ac:dyDescent="0.2">
      <c r="A1095" t="s">
        <v>4664</v>
      </c>
      <c r="B1095" t="s">
        <v>4636</v>
      </c>
      <c r="C1095" t="str">
        <f t="shared" si="17"/>
        <v>GUAVIARECALAMAR</v>
      </c>
      <c r="D1095" t="s">
        <v>2321</v>
      </c>
      <c r="E1095" t="s">
        <v>1958</v>
      </c>
      <c r="F1095" t="s">
        <v>5768</v>
      </c>
    </row>
    <row r="1096" spans="1:6" x14ac:dyDescent="0.2">
      <c r="A1096" t="s">
        <v>4664</v>
      </c>
      <c r="B1096" t="s">
        <v>4409</v>
      </c>
      <c r="C1096" t="str">
        <f t="shared" si="17"/>
        <v>GUAVIAREEL RETORNO</v>
      </c>
      <c r="D1096" t="s">
        <v>2321</v>
      </c>
      <c r="E1096" t="s">
        <v>4665</v>
      </c>
      <c r="F1096" t="s">
        <v>5769</v>
      </c>
    </row>
    <row r="1097" spans="1:6" x14ac:dyDescent="0.2">
      <c r="A1097" t="s">
        <v>4664</v>
      </c>
      <c r="B1097" t="s">
        <v>4327</v>
      </c>
      <c r="C1097" t="str">
        <f t="shared" si="17"/>
        <v>GUAVIAREMIRAFLORES</v>
      </c>
      <c r="D1097" t="s">
        <v>2321</v>
      </c>
      <c r="E1097" t="s">
        <v>2358</v>
      </c>
      <c r="F1097" t="s">
        <v>5770</v>
      </c>
    </row>
    <row r="1098" spans="1:6" x14ac:dyDescent="0.2">
      <c r="A1098" t="s">
        <v>4666</v>
      </c>
      <c r="B1098" t="s">
        <v>3885</v>
      </c>
      <c r="C1098" t="str">
        <f t="shared" si="17"/>
        <v>VAUPESMITU</v>
      </c>
      <c r="D1098" t="s">
        <v>4667</v>
      </c>
      <c r="E1098" t="s">
        <v>4668</v>
      </c>
      <c r="F1098" t="s">
        <v>5771</v>
      </c>
    </row>
    <row r="1099" spans="1:6" x14ac:dyDescent="0.2">
      <c r="A1099" t="s">
        <v>4666</v>
      </c>
      <c r="B1099" t="s">
        <v>4452</v>
      </c>
      <c r="C1099" t="str">
        <f t="shared" si="17"/>
        <v>VAUPESCARURU</v>
      </c>
      <c r="D1099" t="s">
        <v>4667</v>
      </c>
      <c r="E1099" t="s">
        <v>4669</v>
      </c>
      <c r="F1099" t="s">
        <v>5772</v>
      </c>
    </row>
    <row r="1100" spans="1:6" x14ac:dyDescent="0.2">
      <c r="A1100" t="s">
        <v>4666</v>
      </c>
      <c r="B1100" t="s">
        <v>4670</v>
      </c>
      <c r="C1100" t="str">
        <f t="shared" si="17"/>
        <v>VAUPESTARAIRA</v>
      </c>
      <c r="D1100" t="s">
        <v>4667</v>
      </c>
      <c r="E1100" t="s">
        <v>4671</v>
      </c>
      <c r="F1100" t="s">
        <v>5773</v>
      </c>
    </row>
    <row r="1101" spans="1:6" x14ac:dyDescent="0.2">
      <c r="A1101" t="s">
        <v>4672</v>
      </c>
      <c r="B1101" t="s">
        <v>3885</v>
      </c>
      <c r="C1101" t="str">
        <f t="shared" si="17"/>
        <v>VICHADAPUERTO CARREÑO</v>
      </c>
      <c r="D1101" t="s">
        <v>4673</v>
      </c>
      <c r="E1101" t="s">
        <v>4674</v>
      </c>
      <c r="F1101" t="s">
        <v>5774</v>
      </c>
    </row>
    <row r="1102" spans="1:6" x14ac:dyDescent="0.2">
      <c r="A1102" t="s">
        <v>4672</v>
      </c>
      <c r="B1102" t="s">
        <v>4230</v>
      </c>
      <c r="C1102" t="str">
        <f t="shared" si="17"/>
        <v>VICHADALA PRIMAVERA</v>
      </c>
      <c r="D1102" t="s">
        <v>4673</v>
      </c>
      <c r="E1102" t="s">
        <v>4675</v>
      </c>
      <c r="F1102" t="s">
        <v>5775</v>
      </c>
    </row>
    <row r="1103" spans="1:6" x14ac:dyDescent="0.2">
      <c r="A1103" t="s">
        <v>4672</v>
      </c>
      <c r="B1103" t="s">
        <v>4609</v>
      </c>
      <c r="C1103" t="str">
        <f t="shared" si="17"/>
        <v>VICHADASANTA ROSALIA</v>
      </c>
      <c r="D1103" t="s">
        <v>4673</v>
      </c>
      <c r="E1103" t="s">
        <v>4676</v>
      </c>
      <c r="F1103" t="s">
        <v>5776</v>
      </c>
    </row>
    <row r="1104" spans="1:6" x14ac:dyDescent="0.2">
      <c r="A1104" t="s">
        <v>4672</v>
      </c>
      <c r="B1104" t="s">
        <v>4570</v>
      </c>
      <c r="C1104" t="str">
        <f t="shared" si="17"/>
        <v>VICHADACUMARIBO</v>
      </c>
      <c r="D1104" t="s">
        <v>4673</v>
      </c>
      <c r="E1104" t="s">
        <v>4677</v>
      </c>
      <c r="F1104" t="s">
        <v>5777</v>
      </c>
    </row>
    <row r="1105" spans="1:6" x14ac:dyDescent="0.2">
      <c r="A1105" s="327" t="s">
        <v>5779</v>
      </c>
      <c r="B1105" s="327" t="s">
        <v>3886</v>
      </c>
      <c r="C1105" t="str">
        <f t="shared" si="17"/>
        <v>NACIONNACION</v>
      </c>
      <c r="D1105" t="s">
        <v>2013</v>
      </c>
      <c r="E1105" t="s">
        <v>2013</v>
      </c>
      <c r="F1105" s="327" t="s">
        <v>5780</v>
      </c>
    </row>
    <row r="1106" spans="1:6" x14ac:dyDescent="0.2">
      <c r="A1106" s="425" t="s">
        <v>3884</v>
      </c>
      <c r="B1106" s="425" t="s">
        <v>3885</v>
      </c>
      <c r="C1106" t="str">
        <f t="shared" si="17"/>
        <v>AntioquiaDEPARTAMENTO</v>
      </c>
      <c r="D1106" s="425" t="s">
        <v>3887</v>
      </c>
      <c r="E1106" s="425" t="s">
        <v>2008</v>
      </c>
      <c r="F1106" s="425">
        <v>5</v>
      </c>
    </row>
    <row r="1107" spans="1:6" x14ac:dyDescent="0.2">
      <c r="A1107" s="425" t="s">
        <v>4025</v>
      </c>
      <c r="B1107" s="425" t="s">
        <v>3885</v>
      </c>
      <c r="C1107" t="str">
        <f t="shared" si="17"/>
        <v>AtlanticoDEPARTAMENTO</v>
      </c>
      <c r="D1107" s="425" t="s">
        <v>4026</v>
      </c>
      <c r="E1107" s="425" t="s">
        <v>2008</v>
      </c>
      <c r="F1107" s="425">
        <v>8</v>
      </c>
    </row>
    <row r="1108" spans="1:6" x14ac:dyDescent="0.2">
      <c r="A1108" s="425" t="s">
        <v>4050</v>
      </c>
      <c r="B1108" s="425" t="s">
        <v>3885</v>
      </c>
      <c r="C1108" t="str">
        <f t="shared" si="17"/>
        <v>BOGOTA D.C.DEPARTAMENTO</v>
      </c>
      <c r="D1108" s="425" t="s">
        <v>2682</v>
      </c>
      <c r="E1108" s="425" t="s">
        <v>2008</v>
      </c>
      <c r="F1108" s="425">
        <v>11</v>
      </c>
    </row>
    <row r="1109" spans="1:6" x14ac:dyDescent="0.2">
      <c r="A1109" s="425" t="s">
        <v>4051</v>
      </c>
      <c r="B1109" s="425" t="s">
        <v>3885</v>
      </c>
      <c r="C1109" t="str">
        <f t="shared" si="17"/>
        <v>BolivarDEPARTAMENTO</v>
      </c>
      <c r="D1109" s="425" t="s">
        <v>4052</v>
      </c>
      <c r="E1109" s="425" t="s">
        <v>2008</v>
      </c>
      <c r="F1109" s="425">
        <v>13</v>
      </c>
    </row>
    <row r="1110" spans="1:6" x14ac:dyDescent="0.2">
      <c r="A1110" s="425" t="s">
        <v>4092</v>
      </c>
      <c r="B1110" s="425" t="s">
        <v>3885</v>
      </c>
      <c r="C1110" t="str">
        <f t="shared" si="17"/>
        <v>BOYACADEPARTAMENTO</v>
      </c>
      <c r="D1110" s="425" t="s">
        <v>828</v>
      </c>
      <c r="E1110" s="425" t="s">
        <v>2008</v>
      </c>
      <c r="F1110" s="425">
        <v>15</v>
      </c>
    </row>
    <row r="1111" spans="1:6" x14ac:dyDescent="0.2">
      <c r="A1111" s="425" t="s">
        <v>4220</v>
      </c>
      <c r="B1111" s="425" t="s">
        <v>3885</v>
      </c>
      <c r="C1111" t="str">
        <f t="shared" si="17"/>
        <v>CaldasDEPARTAMENTO</v>
      </c>
      <c r="D1111" s="425" t="s">
        <v>4221</v>
      </c>
      <c r="E1111" s="425" t="s">
        <v>2008</v>
      </c>
      <c r="F1111" s="425">
        <v>17</v>
      </c>
    </row>
    <row r="1112" spans="1:6" x14ac:dyDescent="0.2">
      <c r="A1112" s="425" t="s">
        <v>4239</v>
      </c>
      <c r="B1112" s="425" t="s">
        <v>3885</v>
      </c>
      <c r="C1112" t="str">
        <f t="shared" si="17"/>
        <v>CAQUETADEPARTAMENTO</v>
      </c>
      <c r="D1112" s="425" t="s">
        <v>3112</v>
      </c>
      <c r="E1112" s="425" t="s">
        <v>2008</v>
      </c>
      <c r="F1112" s="425">
        <v>18</v>
      </c>
    </row>
    <row r="1113" spans="1:6" x14ac:dyDescent="0.2">
      <c r="A1113" s="425" t="s">
        <v>4256</v>
      </c>
      <c r="B1113" s="425" t="s">
        <v>3885</v>
      </c>
      <c r="C1113" t="str">
        <f t="shared" si="17"/>
        <v>CaucaDEPARTAMENTO</v>
      </c>
      <c r="D1113" s="425" t="s">
        <v>4257</v>
      </c>
      <c r="E1113" s="425" t="s">
        <v>2008</v>
      </c>
      <c r="F1113" s="425">
        <v>19</v>
      </c>
    </row>
    <row r="1114" spans="1:6" x14ac:dyDescent="0.2">
      <c r="A1114" s="425" t="s">
        <v>4280</v>
      </c>
      <c r="B1114" s="425" t="s">
        <v>3885</v>
      </c>
      <c r="C1114" t="str">
        <f t="shared" si="17"/>
        <v>CesarDEPARTAMENTO</v>
      </c>
      <c r="D1114" s="425" t="s">
        <v>4281</v>
      </c>
      <c r="E1114" s="425" t="s">
        <v>2008</v>
      </c>
      <c r="F1114" s="425">
        <v>20</v>
      </c>
    </row>
    <row r="1115" spans="1:6" x14ac:dyDescent="0.2">
      <c r="A1115" s="425" t="s">
        <v>4295</v>
      </c>
      <c r="B1115" s="425" t="s">
        <v>3885</v>
      </c>
      <c r="C1115" t="str">
        <f t="shared" si="17"/>
        <v>CordobaDEPARTAMENTO</v>
      </c>
      <c r="D1115" s="425" t="s">
        <v>4296</v>
      </c>
      <c r="E1115" s="425" t="s">
        <v>2008</v>
      </c>
      <c r="F1115" s="425">
        <v>23</v>
      </c>
    </row>
    <row r="1116" spans="1:6" x14ac:dyDescent="0.2">
      <c r="A1116" s="425" t="s">
        <v>4311</v>
      </c>
      <c r="B1116" s="425" t="s">
        <v>3885</v>
      </c>
      <c r="C1116" t="str">
        <f t="shared" si="17"/>
        <v>CUNDINAMARCADEPARTAMENTO</v>
      </c>
      <c r="D1116" s="425" t="s">
        <v>2007</v>
      </c>
      <c r="E1116" s="425" t="s">
        <v>2008</v>
      </c>
      <c r="F1116" s="425">
        <v>25</v>
      </c>
    </row>
    <row r="1117" spans="1:6" x14ac:dyDescent="0.2">
      <c r="A1117" s="425" t="s">
        <v>4407</v>
      </c>
      <c r="B1117" s="425" t="s">
        <v>3885</v>
      </c>
      <c r="C1117" t="str">
        <f t="shared" si="17"/>
        <v>ChocoDEPARTAMENTO</v>
      </c>
      <c r="D1117" s="425" t="s">
        <v>4408</v>
      </c>
      <c r="E1117" s="425" t="s">
        <v>2008</v>
      </c>
      <c r="F1117" s="425">
        <v>27</v>
      </c>
    </row>
    <row r="1118" spans="1:6" x14ac:dyDescent="0.2">
      <c r="A1118" s="425" t="s">
        <v>4420</v>
      </c>
      <c r="B1118" s="425" t="s">
        <v>3885</v>
      </c>
      <c r="C1118" t="str">
        <f t="shared" si="17"/>
        <v>HUILADEPARTAMENTO</v>
      </c>
      <c r="D1118" s="425" t="s">
        <v>1333</v>
      </c>
      <c r="E1118" s="425" t="s">
        <v>2008</v>
      </c>
      <c r="F1118" s="425">
        <v>41</v>
      </c>
    </row>
    <row r="1119" spans="1:6" x14ac:dyDescent="0.2">
      <c r="A1119" s="425" t="s">
        <v>4440</v>
      </c>
      <c r="B1119" s="425" t="s">
        <v>3885</v>
      </c>
      <c r="C1119" t="str">
        <f t="shared" si="17"/>
        <v>La GuajiraDEPARTAMENTO</v>
      </c>
      <c r="D1119" s="425" t="s">
        <v>4441</v>
      </c>
      <c r="E1119" s="425" t="s">
        <v>2008</v>
      </c>
      <c r="F1119" s="425">
        <v>44</v>
      </c>
    </row>
    <row r="1120" spans="1:6" x14ac:dyDescent="0.2">
      <c r="A1120" s="425" t="s">
        <v>4449</v>
      </c>
      <c r="B1120" s="425" t="s">
        <v>3885</v>
      </c>
      <c r="C1120" t="str">
        <f t="shared" si="17"/>
        <v>MagdalenaDEPARTAMENTO</v>
      </c>
      <c r="D1120" s="425" t="s">
        <v>4450</v>
      </c>
      <c r="E1120" s="425" t="s">
        <v>2008</v>
      </c>
      <c r="F1120" s="425">
        <v>47</v>
      </c>
    </row>
    <row r="1121" spans="1:6" x14ac:dyDescent="0.2">
      <c r="A1121" s="425" t="s">
        <v>4466</v>
      </c>
      <c r="B1121" s="425" t="s">
        <v>3885</v>
      </c>
      <c r="C1121" t="str">
        <f t="shared" si="17"/>
        <v>METADEPARTAMENTO</v>
      </c>
      <c r="D1121" s="425" t="s">
        <v>708</v>
      </c>
      <c r="E1121" s="425" t="s">
        <v>2008</v>
      </c>
      <c r="F1121" s="425">
        <v>50</v>
      </c>
    </row>
    <row r="1122" spans="1:6" x14ac:dyDescent="0.2">
      <c r="A1122" s="425" t="s">
        <v>4485</v>
      </c>
      <c r="B1122" s="425" t="s">
        <v>3885</v>
      </c>
      <c r="C1122" t="str">
        <f t="shared" si="17"/>
        <v>NariñoDEPARTAMENTO</v>
      </c>
      <c r="D1122" s="425" t="s">
        <v>4486</v>
      </c>
      <c r="E1122" s="425" t="s">
        <v>2008</v>
      </c>
      <c r="F1122" s="425">
        <v>52</v>
      </c>
    </row>
    <row r="1123" spans="1:6" x14ac:dyDescent="0.2">
      <c r="A1123" s="425" t="s">
        <v>4515</v>
      </c>
      <c r="B1123" s="425" t="s">
        <v>3885</v>
      </c>
      <c r="C1123" t="str">
        <f t="shared" si="17"/>
        <v>Norte de SantanderDEPARTAMENTO</v>
      </c>
      <c r="D1123" s="425" t="s">
        <v>4516</v>
      </c>
      <c r="E1123" s="425" t="s">
        <v>2008</v>
      </c>
      <c r="F1123" s="425">
        <v>54</v>
      </c>
    </row>
    <row r="1124" spans="1:6" x14ac:dyDescent="0.2">
      <c r="A1124" s="425" t="s">
        <v>4526</v>
      </c>
      <c r="B1124" s="425" t="s">
        <v>3885</v>
      </c>
      <c r="C1124" t="str">
        <f t="shared" si="17"/>
        <v>QuindioDEPARTAMENTO</v>
      </c>
      <c r="D1124" s="425" t="s">
        <v>4527</v>
      </c>
      <c r="E1124" s="425" t="s">
        <v>2008</v>
      </c>
      <c r="F1124" s="425">
        <v>63</v>
      </c>
    </row>
    <row r="1125" spans="1:6" x14ac:dyDescent="0.2">
      <c r="A1125" s="425" t="s">
        <v>4531</v>
      </c>
      <c r="B1125" s="425" t="s">
        <v>3885</v>
      </c>
      <c r="C1125" t="str">
        <f t="shared" si="17"/>
        <v>RisaraldaDEPARTAMENTO</v>
      </c>
      <c r="D1125" s="425" t="s">
        <v>4532</v>
      </c>
      <c r="E1125" s="425" t="s">
        <v>2008</v>
      </c>
      <c r="F1125" s="425">
        <v>66</v>
      </c>
    </row>
    <row r="1126" spans="1:6" x14ac:dyDescent="0.2">
      <c r="A1126" s="425" t="s">
        <v>4535</v>
      </c>
      <c r="B1126" s="425" t="s">
        <v>3885</v>
      </c>
      <c r="C1126" t="str">
        <f t="shared" si="17"/>
        <v>SantanderDEPARTAMENTO</v>
      </c>
      <c r="D1126" s="425" t="s">
        <v>4536</v>
      </c>
      <c r="E1126" s="425" t="s">
        <v>2008</v>
      </c>
      <c r="F1126" s="425">
        <v>68</v>
      </c>
    </row>
    <row r="1127" spans="1:6" x14ac:dyDescent="0.2">
      <c r="A1127" s="425" t="s">
        <v>4571</v>
      </c>
      <c r="B1127" s="425" t="s">
        <v>3885</v>
      </c>
      <c r="C1127" t="str">
        <f t="shared" si="17"/>
        <v>SucreDEPARTAMENTO</v>
      </c>
      <c r="D1127" s="425" t="s">
        <v>4572</v>
      </c>
      <c r="E1127" s="425" t="s">
        <v>2008</v>
      </c>
      <c r="F1127" s="425">
        <v>70</v>
      </c>
    </row>
    <row r="1128" spans="1:6" x14ac:dyDescent="0.2">
      <c r="A1128" s="425" t="s">
        <v>4594</v>
      </c>
      <c r="B1128" s="425" t="s">
        <v>3885</v>
      </c>
      <c r="C1128" t="str">
        <f t="shared" si="17"/>
        <v>TolimaDEPARTAMENTO</v>
      </c>
      <c r="D1128" s="425" t="s">
        <v>4595</v>
      </c>
      <c r="E1128" s="425" t="s">
        <v>2008</v>
      </c>
      <c r="F1128" s="425">
        <v>73</v>
      </c>
    </row>
    <row r="1129" spans="1:6" x14ac:dyDescent="0.2">
      <c r="A1129" s="425" t="s">
        <v>4613</v>
      </c>
      <c r="B1129" s="425" t="s">
        <v>3885</v>
      </c>
      <c r="C1129" t="str">
        <f t="shared" si="17"/>
        <v>Valle del CaucaDEPARTAMENTO</v>
      </c>
      <c r="D1129" s="425" t="s">
        <v>4614</v>
      </c>
      <c r="E1129" s="425" t="s">
        <v>2008</v>
      </c>
      <c r="F1129" s="425">
        <v>76</v>
      </c>
    </row>
    <row r="1130" spans="1:6" x14ac:dyDescent="0.2">
      <c r="A1130" s="425" t="s">
        <v>4628</v>
      </c>
      <c r="B1130" s="425" t="s">
        <v>3885</v>
      </c>
      <c r="C1130" t="str">
        <f t="shared" si="17"/>
        <v>AraucaDEPARTAMENTO</v>
      </c>
      <c r="D1130" s="425" t="s">
        <v>4629</v>
      </c>
      <c r="E1130" s="425" t="s">
        <v>2008</v>
      </c>
      <c r="F1130" s="425">
        <v>81</v>
      </c>
    </row>
    <row r="1131" spans="1:6" x14ac:dyDescent="0.2">
      <c r="A1131" s="425" t="s">
        <v>4634</v>
      </c>
      <c r="B1131" s="425" t="s">
        <v>3885</v>
      </c>
      <c r="C1131" t="str">
        <f t="shared" si="17"/>
        <v>CASANAREDEPARTAMENTO</v>
      </c>
      <c r="D1131" s="425" t="s">
        <v>1189</v>
      </c>
      <c r="E1131" s="425" t="s">
        <v>2008</v>
      </c>
      <c r="F1131" s="425">
        <v>85</v>
      </c>
    </row>
    <row r="1132" spans="1:6" x14ac:dyDescent="0.2">
      <c r="A1132" s="425" t="s">
        <v>4648</v>
      </c>
      <c r="B1132" s="425" t="s">
        <v>3885</v>
      </c>
      <c r="C1132" t="str">
        <f t="shared" si="17"/>
        <v>PutumayoDEPARTAMENTO</v>
      </c>
      <c r="D1132" s="425" t="s">
        <v>4649</v>
      </c>
      <c r="E1132" s="425" t="s">
        <v>2008</v>
      </c>
      <c r="F1132" s="425">
        <v>86</v>
      </c>
    </row>
    <row r="1133" spans="1:6" x14ac:dyDescent="0.2">
      <c r="A1133" s="425" t="s">
        <v>4658</v>
      </c>
      <c r="B1133" s="425" t="s">
        <v>3885</v>
      </c>
      <c r="C1133" t="str">
        <f t="shared" si="17"/>
        <v>SAN ANDRESDEPARTAMENTO</v>
      </c>
      <c r="D1133" s="425" t="s">
        <v>1972</v>
      </c>
      <c r="E1133" s="425" t="s">
        <v>2008</v>
      </c>
      <c r="F1133" s="425">
        <v>88</v>
      </c>
    </row>
    <row r="1134" spans="1:6" x14ac:dyDescent="0.2">
      <c r="A1134" s="425" t="s">
        <v>4660</v>
      </c>
      <c r="B1134" s="425" t="s">
        <v>3885</v>
      </c>
      <c r="C1134" t="str">
        <f t="shared" si="17"/>
        <v>AMAZONASDEPARTAMENTO</v>
      </c>
      <c r="D1134" s="425" t="s">
        <v>235</v>
      </c>
      <c r="E1134" s="425" t="s">
        <v>2008</v>
      </c>
      <c r="F1134" s="425">
        <v>91</v>
      </c>
    </row>
    <row r="1135" spans="1:6" x14ac:dyDescent="0.2">
      <c r="A1135" s="425" t="s">
        <v>4662</v>
      </c>
      <c r="B1135" s="425" t="s">
        <v>3885</v>
      </c>
      <c r="C1135" t="str">
        <f t="shared" si="17"/>
        <v>GUAINIADEPARTAMENTO</v>
      </c>
      <c r="D1135" s="425" t="s">
        <v>3102</v>
      </c>
      <c r="E1135" s="425" t="s">
        <v>2008</v>
      </c>
      <c r="F1135" s="425">
        <v>94</v>
      </c>
    </row>
    <row r="1136" spans="1:6" x14ac:dyDescent="0.2">
      <c r="A1136" s="425" t="s">
        <v>4664</v>
      </c>
      <c r="B1136" s="425" t="s">
        <v>3885</v>
      </c>
      <c r="C1136" t="str">
        <f t="shared" si="17"/>
        <v>GUAVIAREDEPARTAMENTO</v>
      </c>
      <c r="D1136" s="425" t="s">
        <v>2321</v>
      </c>
      <c r="E1136" s="425" t="s">
        <v>2008</v>
      </c>
      <c r="F1136" s="425">
        <v>95</v>
      </c>
    </row>
    <row r="1137" spans="1:6" x14ac:dyDescent="0.2">
      <c r="A1137" s="425" t="s">
        <v>4666</v>
      </c>
      <c r="B1137" s="425" t="s">
        <v>3885</v>
      </c>
      <c r="C1137" t="str">
        <f t="shared" si="17"/>
        <v>VAUPESDEPARTAMENTO</v>
      </c>
      <c r="D1137" s="425" t="s">
        <v>4667</v>
      </c>
      <c r="E1137" s="425" t="s">
        <v>2008</v>
      </c>
      <c r="F1137" s="425">
        <v>97</v>
      </c>
    </row>
    <row r="1138" spans="1:6" x14ac:dyDescent="0.2">
      <c r="A1138" s="425" t="s">
        <v>4672</v>
      </c>
      <c r="B1138" s="425" t="s">
        <v>3885</v>
      </c>
      <c r="C1138" t="str">
        <f t="shared" si="17"/>
        <v>VICHADADEPARTAMENTO</v>
      </c>
      <c r="D1138" s="425" t="s">
        <v>4673</v>
      </c>
      <c r="E1138" s="425" t="s">
        <v>2008</v>
      </c>
      <c r="F1138" s="425">
        <v>99</v>
      </c>
    </row>
  </sheetData>
  <phoneticPr fontId="2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U9760"/>
  <sheetViews>
    <sheetView tabSelected="1" zoomScaleNormal="100" zoomScaleSheetLayoutView="100" workbookViewId="0">
      <pane xSplit="4" ySplit="2" topLeftCell="J29" activePane="bottomRight" state="frozen"/>
      <selection pane="topRight" activeCell="E1" sqref="E1"/>
      <selection pane="bottomLeft" activeCell="A3" sqref="A3"/>
      <selection pane="bottomRight" activeCell="J2448" sqref="J2448"/>
    </sheetView>
  </sheetViews>
  <sheetFormatPr baseColWidth="10" defaultRowHeight="12.75" x14ac:dyDescent="0.2"/>
  <cols>
    <col min="1" max="1" width="11.42578125" style="16"/>
    <col min="2" max="2" width="14.5703125" style="17" customWidth="1"/>
    <col min="3" max="3" width="15" style="36" customWidth="1"/>
    <col min="4" max="5" width="13.7109375" style="2" customWidth="1"/>
    <col min="6" max="6" width="13.7109375" style="2" hidden="1" customWidth="1"/>
    <col min="7" max="7" width="10.85546875" style="2" customWidth="1"/>
    <col min="8" max="8" width="10.5703125" style="2" customWidth="1"/>
    <col min="9" max="9" width="10" style="2" customWidth="1"/>
    <col min="10" max="10" width="10.7109375" style="2" customWidth="1"/>
    <col min="11" max="11" width="9.85546875" style="2" customWidth="1"/>
    <col min="12" max="12" width="13" style="2" customWidth="1"/>
    <col min="13" max="13" width="10.28515625" style="2" customWidth="1"/>
    <col min="14" max="14" width="6.5703125" style="2" customWidth="1"/>
    <col min="15" max="15" width="12" style="18" customWidth="1"/>
    <col min="16" max="16" width="11.85546875" style="18" customWidth="1"/>
    <col min="17" max="17" width="7.85546875" style="18" customWidth="1"/>
    <col min="18" max="18" width="12.28515625" style="18" customWidth="1"/>
    <col min="19" max="19" width="9.7109375" style="18" customWidth="1"/>
    <col min="20" max="20" width="10.85546875" style="18" customWidth="1"/>
    <col min="21" max="21" width="12.140625" style="18" customWidth="1"/>
    <col min="22" max="22" width="13.42578125" style="18" customWidth="1"/>
    <col min="23" max="23" width="17.5703125" style="208" customWidth="1"/>
    <col min="24" max="24" width="14.42578125" style="2" customWidth="1"/>
    <col min="25" max="25" width="15.85546875" style="2" customWidth="1"/>
    <col min="26" max="26" width="16.85546875" style="2" customWidth="1"/>
    <col min="27" max="27" width="14.7109375" style="2" customWidth="1"/>
    <col min="28" max="28" width="12.140625" style="2" customWidth="1"/>
    <col min="29" max="29" width="15.7109375" style="2" customWidth="1"/>
    <col min="30" max="30" width="15.5703125" style="2" customWidth="1"/>
    <col min="31" max="31" width="20.7109375" style="17" customWidth="1"/>
    <col min="32" max="32" width="14.140625" style="38" customWidth="1"/>
    <col min="33" max="33" width="12.140625" style="2" customWidth="1"/>
    <col min="34" max="34" width="12.140625" style="62" customWidth="1"/>
    <col min="35" max="35" width="12.140625" style="2" customWidth="1"/>
    <col min="36" max="36" width="9.85546875" style="21" customWidth="1"/>
    <col min="37" max="37" width="18.28515625" style="68" customWidth="1"/>
    <col min="38" max="38" width="27" style="171" customWidth="1"/>
    <col min="39" max="39" width="40" style="174" customWidth="1"/>
    <col min="40" max="40" width="11.85546875" style="2" customWidth="1"/>
    <col min="41" max="41" width="12.28515625" style="2" customWidth="1"/>
    <col min="42" max="42" width="10.5703125" style="2" customWidth="1"/>
    <col min="43" max="43" width="12.28515625" style="2" customWidth="1"/>
    <col min="44" max="44" width="10.7109375" style="2" customWidth="1"/>
    <col min="45" max="45" width="12.28515625" style="2" customWidth="1"/>
    <col min="46" max="46" width="10.5703125" style="2" customWidth="1"/>
    <col min="47" max="47" width="12.28515625" style="2" customWidth="1"/>
    <col min="48" max="48" width="11.7109375" style="2" customWidth="1"/>
    <col min="49" max="51" width="12.28515625" style="2" customWidth="1"/>
    <col min="52" max="52" width="11.5703125" style="2" customWidth="1"/>
    <col min="53" max="53" width="12.7109375" style="2" customWidth="1"/>
    <col min="54" max="54" width="11.85546875" style="2" customWidth="1"/>
    <col min="55" max="55" width="12.28515625" style="2" customWidth="1"/>
    <col min="56" max="56" width="11.5703125" style="2" customWidth="1"/>
    <col min="57" max="61" width="12.28515625" style="2" customWidth="1"/>
    <col min="62" max="62" width="11.42578125" style="2"/>
    <col min="63" max="63" width="12.28515625" style="2" customWidth="1"/>
    <col min="64" max="64" width="12.140625" style="2" customWidth="1"/>
    <col min="65" max="65" width="13.85546875" style="2" customWidth="1"/>
    <col min="66" max="66" width="11.140625" style="2" customWidth="1"/>
    <col min="67" max="69" width="12.28515625" style="2" customWidth="1"/>
    <col min="70" max="70" width="11.42578125" style="2"/>
    <col min="71" max="71" width="12.28515625" style="2" customWidth="1"/>
    <col min="72" max="72" width="11.140625" style="2" customWidth="1"/>
    <col min="73" max="73" width="12.28515625" style="2" customWidth="1"/>
    <col min="74" max="74" width="11.7109375" style="2" customWidth="1"/>
    <col min="75" max="75" width="12.28515625" style="2" customWidth="1"/>
    <col min="76" max="76" width="11.5703125" style="2" customWidth="1"/>
    <col min="77" max="77" width="12.28515625" style="2" customWidth="1"/>
    <col min="78" max="78" width="11.7109375" style="2" customWidth="1"/>
    <col min="79" max="79" width="12.28515625" style="2" customWidth="1"/>
    <col min="80" max="80" width="11.140625" style="2" customWidth="1"/>
    <col min="81" max="81" width="12.28515625" style="2" customWidth="1"/>
    <col min="82" max="82" width="11.7109375" style="2" customWidth="1"/>
    <col min="83" max="83" width="12.28515625" style="2" customWidth="1"/>
    <col min="84" max="84" width="11" style="2" customWidth="1"/>
    <col min="85" max="85" width="12.28515625" style="2" customWidth="1"/>
    <col min="86" max="86" width="11.42578125" style="2"/>
    <col min="87" max="87" width="12.28515625" style="2" customWidth="1"/>
    <col min="88" max="88" width="11.42578125" style="2"/>
    <col min="89" max="89" width="13.85546875" style="2" customWidth="1"/>
    <col min="90" max="90" width="11.42578125" style="2"/>
    <col min="91" max="92" width="12.28515625" style="2" customWidth="1"/>
    <col min="93" max="93" width="13.140625" style="2" customWidth="1"/>
    <col min="94" max="94" width="12.28515625" style="2" customWidth="1"/>
    <col min="95" max="95" width="13.42578125" style="2" customWidth="1"/>
    <col min="96" max="96" width="12.28515625" style="2" customWidth="1"/>
    <col min="97" max="97" width="14.5703125" style="2" customWidth="1"/>
    <col min="98" max="98" width="11.42578125" style="2"/>
    <col min="99" max="99" width="12.28515625" style="2" customWidth="1"/>
    <col min="100" max="100" width="15" style="2" customWidth="1"/>
    <col min="101" max="101" width="11.42578125" style="2"/>
    <col min="102" max="102" width="14.85546875" style="2" customWidth="1"/>
    <col min="103" max="103" width="12.5703125" style="2" customWidth="1"/>
    <col min="104" max="104" width="14.5703125" style="2" customWidth="1"/>
    <col min="105" max="105" width="12.5703125" style="2" customWidth="1"/>
    <col min="106" max="106" width="14.42578125" style="2" customWidth="1"/>
    <col min="107" max="107" width="15.5703125" style="2" customWidth="1"/>
    <col min="108" max="108" width="14.85546875" style="2" customWidth="1"/>
    <col min="109" max="109" width="13.85546875" style="2" customWidth="1"/>
    <col min="110" max="110" width="26.28515625" style="23" customWidth="1"/>
    <col min="111" max="16384" width="11.42578125" style="2"/>
  </cols>
  <sheetData>
    <row r="1" spans="1:151" s="21" customFormat="1" ht="15.75" customHeight="1" thickBot="1" x14ac:dyDescent="0.25">
      <c r="A1" s="435" t="s">
        <v>2778</v>
      </c>
      <c r="B1" s="436"/>
      <c r="C1" s="436"/>
      <c r="D1" s="436"/>
      <c r="E1" s="436"/>
      <c r="F1" s="294"/>
      <c r="G1" s="452" t="s">
        <v>251</v>
      </c>
      <c r="H1" s="453"/>
      <c r="I1" s="453"/>
      <c r="J1" s="453"/>
      <c r="K1" s="453"/>
      <c r="L1" s="453"/>
      <c r="M1" s="453"/>
      <c r="N1" s="453"/>
      <c r="O1" s="453"/>
      <c r="P1" s="453"/>
      <c r="Q1" s="453"/>
      <c r="R1" s="453"/>
      <c r="S1" s="453"/>
      <c r="T1" s="453"/>
      <c r="U1" s="453"/>
      <c r="V1" s="453"/>
      <c r="W1" s="439"/>
      <c r="X1" s="454" t="s">
        <v>2785</v>
      </c>
      <c r="Y1" s="455"/>
      <c r="Z1" s="455"/>
      <c r="AA1" s="455"/>
      <c r="AB1" s="455"/>
      <c r="AC1" s="455"/>
      <c r="AD1" s="455"/>
      <c r="AE1" s="455"/>
      <c r="AF1" s="456"/>
      <c r="AG1" s="440" t="s">
        <v>1718</v>
      </c>
      <c r="AH1" s="441"/>
      <c r="AI1" s="441"/>
      <c r="AJ1" s="441"/>
      <c r="AK1" s="441"/>
      <c r="AL1" s="441"/>
      <c r="AM1" s="442"/>
      <c r="AN1" s="437" t="s">
        <v>1287</v>
      </c>
      <c r="AO1" s="439"/>
      <c r="AP1" s="437" t="s">
        <v>1709</v>
      </c>
      <c r="AQ1" s="438"/>
      <c r="AR1" s="437" t="s">
        <v>3135</v>
      </c>
      <c r="AS1" s="438"/>
      <c r="AT1" s="437" t="s">
        <v>1710</v>
      </c>
      <c r="AU1" s="438"/>
      <c r="AV1" s="437" t="s">
        <v>1711</v>
      </c>
      <c r="AW1" s="438"/>
      <c r="AX1" s="437" t="s">
        <v>78</v>
      </c>
      <c r="AY1" s="439"/>
      <c r="AZ1" s="437" t="s">
        <v>1712</v>
      </c>
      <c r="BA1" s="438"/>
      <c r="BB1" s="437" t="s">
        <v>2303</v>
      </c>
      <c r="BC1" s="438"/>
      <c r="BD1" s="437" t="s">
        <v>79</v>
      </c>
      <c r="BE1" s="438"/>
      <c r="BF1" s="437" t="s">
        <v>2309</v>
      </c>
      <c r="BG1" s="439"/>
      <c r="BH1" s="437" t="s">
        <v>2310</v>
      </c>
      <c r="BI1" s="439"/>
      <c r="BJ1" s="437" t="s">
        <v>1705</v>
      </c>
      <c r="BK1" s="438"/>
      <c r="BL1" s="437" t="s">
        <v>1708</v>
      </c>
      <c r="BM1" s="438"/>
      <c r="BN1" s="437" t="s">
        <v>1282</v>
      </c>
      <c r="BO1" s="438"/>
      <c r="BP1" s="437" t="s">
        <v>2777</v>
      </c>
      <c r="BQ1" s="439"/>
      <c r="BR1" s="437" t="s">
        <v>2208</v>
      </c>
      <c r="BS1" s="438"/>
      <c r="BT1" s="437" t="s">
        <v>2780</v>
      </c>
      <c r="BU1" s="438"/>
      <c r="BV1" s="437" t="s">
        <v>1981</v>
      </c>
      <c r="BW1" s="438"/>
      <c r="BX1" s="437" t="s">
        <v>867</v>
      </c>
      <c r="BY1" s="438"/>
      <c r="BZ1" s="437" t="s">
        <v>2207</v>
      </c>
      <c r="CA1" s="439"/>
      <c r="CB1" s="437" t="s">
        <v>868</v>
      </c>
      <c r="CC1" s="438"/>
      <c r="CD1" s="437" t="s">
        <v>869</v>
      </c>
      <c r="CE1" s="438"/>
      <c r="CF1" s="437" t="s">
        <v>2305</v>
      </c>
      <c r="CG1" s="438"/>
      <c r="CH1" s="437" t="s">
        <v>2306</v>
      </c>
      <c r="CI1" s="438"/>
      <c r="CJ1" s="437" t="s">
        <v>1980</v>
      </c>
      <c r="CK1" s="439"/>
      <c r="CL1" s="437" t="s">
        <v>3134</v>
      </c>
      <c r="CM1" s="438"/>
      <c r="CN1" s="437" t="s">
        <v>3133</v>
      </c>
      <c r="CO1" s="438"/>
      <c r="CP1" s="437" t="s">
        <v>1288</v>
      </c>
      <c r="CQ1" s="438"/>
      <c r="CR1" s="437" t="s">
        <v>2775</v>
      </c>
      <c r="CS1" s="438"/>
      <c r="CT1" s="437" t="s">
        <v>2776</v>
      </c>
      <c r="CU1" s="438"/>
      <c r="CV1" s="22" t="s">
        <v>2782</v>
      </c>
      <c r="CW1" s="437" t="s">
        <v>3132</v>
      </c>
      <c r="CX1" s="445"/>
      <c r="CY1" s="437" t="s">
        <v>1707</v>
      </c>
      <c r="CZ1" s="438"/>
      <c r="DA1" s="446" t="s">
        <v>2784</v>
      </c>
      <c r="DB1" s="447"/>
      <c r="DC1" s="443" t="s">
        <v>1716</v>
      </c>
      <c r="DD1" s="444"/>
      <c r="DE1" s="202" t="s">
        <v>246</v>
      </c>
      <c r="DF1" s="28"/>
      <c r="EO1" s="340" t="s">
        <v>5788</v>
      </c>
      <c r="EP1" s="341"/>
      <c r="EQ1" s="342" t="s">
        <v>5789</v>
      </c>
      <c r="ER1" s="343"/>
      <c r="ES1" s="344"/>
      <c r="ET1" s="345"/>
      <c r="EU1" s="346"/>
    </row>
    <row r="2" spans="1:151" s="54" customFormat="1" ht="36.75" thickBot="1" x14ac:dyDescent="0.25">
      <c r="A2" s="229" t="s">
        <v>743</v>
      </c>
      <c r="B2" s="230" t="s">
        <v>1715</v>
      </c>
      <c r="C2" s="230" t="s">
        <v>2312</v>
      </c>
      <c r="D2" s="231" t="s">
        <v>2313</v>
      </c>
      <c r="E2" s="339" t="s">
        <v>5787</v>
      </c>
      <c r="F2" s="328"/>
      <c r="G2" s="39" t="s">
        <v>1714</v>
      </c>
      <c r="H2" s="40" t="s">
        <v>255</v>
      </c>
      <c r="I2" s="40" t="s">
        <v>256</v>
      </c>
      <c r="J2" s="40" t="s">
        <v>2314</v>
      </c>
      <c r="K2" s="40" t="s">
        <v>2315</v>
      </c>
      <c r="L2" s="40" t="s">
        <v>252</v>
      </c>
      <c r="M2" s="40" t="s">
        <v>253</v>
      </c>
      <c r="N2" s="40" t="s">
        <v>1706</v>
      </c>
      <c r="O2" s="41" t="s">
        <v>257</v>
      </c>
      <c r="P2" s="41" t="s">
        <v>258</v>
      </c>
      <c r="Q2" s="41" t="s">
        <v>2298</v>
      </c>
      <c r="R2" s="41" t="s">
        <v>2301</v>
      </c>
      <c r="S2" s="41" t="s">
        <v>2299</v>
      </c>
      <c r="T2" s="41" t="s">
        <v>2300</v>
      </c>
      <c r="U2" s="41" t="s">
        <v>1280</v>
      </c>
      <c r="V2" s="42" t="s">
        <v>244</v>
      </c>
      <c r="W2" s="209" t="s">
        <v>1284</v>
      </c>
      <c r="X2" s="43" t="s">
        <v>2308</v>
      </c>
      <c r="Y2" s="44" t="s">
        <v>1281</v>
      </c>
      <c r="Z2" s="44" t="s">
        <v>1283</v>
      </c>
      <c r="AA2" s="44" t="s">
        <v>249</v>
      </c>
      <c r="AB2" s="44" t="s">
        <v>3132</v>
      </c>
      <c r="AC2" s="44" t="s">
        <v>1284</v>
      </c>
      <c r="AD2" s="45" t="s">
        <v>246</v>
      </c>
      <c r="AE2" s="46" t="s">
        <v>1654</v>
      </c>
      <c r="AF2" s="37" t="s">
        <v>247</v>
      </c>
      <c r="AG2" s="56" t="s">
        <v>242</v>
      </c>
      <c r="AH2" s="59" t="s">
        <v>259</v>
      </c>
      <c r="AI2" s="56" t="s">
        <v>1717</v>
      </c>
      <c r="AJ2" s="56" t="s">
        <v>1611</v>
      </c>
      <c r="AK2" s="63" t="s">
        <v>260</v>
      </c>
      <c r="AL2" s="210" t="s">
        <v>2006</v>
      </c>
      <c r="AM2" s="179" t="s">
        <v>2311</v>
      </c>
      <c r="AN2" s="47" t="s">
        <v>1285</v>
      </c>
      <c r="AO2" s="47" t="s">
        <v>1286</v>
      </c>
      <c r="AP2" s="47" t="s">
        <v>1285</v>
      </c>
      <c r="AQ2" s="47" t="s">
        <v>1286</v>
      </c>
      <c r="AR2" s="47" t="s">
        <v>1285</v>
      </c>
      <c r="AS2" s="47" t="s">
        <v>1286</v>
      </c>
      <c r="AT2" s="47" t="s">
        <v>1285</v>
      </c>
      <c r="AU2" s="47" t="s">
        <v>1286</v>
      </c>
      <c r="AV2" s="48" t="s">
        <v>1285</v>
      </c>
      <c r="AW2" s="48" t="s">
        <v>1286</v>
      </c>
      <c r="AX2" s="48" t="s">
        <v>1285</v>
      </c>
      <c r="AY2" s="48" t="s">
        <v>1286</v>
      </c>
      <c r="AZ2" s="48" t="s">
        <v>1285</v>
      </c>
      <c r="BA2" s="48" t="s">
        <v>1286</v>
      </c>
      <c r="BB2" s="48" t="s">
        <v>1285</v>
      </c>
      <c r="BC2" s="48" t="s">
        <v>1286</v>
      </c>
      <c r="BD2" s="48" t="s">
        <v>1285</v>
      </c>
      <c r="BE2" s="48" t="s">
        <v>1286</v>
      </c>
      <c r="BF2" s="48" t="s">
        <v>1285</v>
      </c>
      <c r="BG2" s="48" t="s">
        <v>1286</v>
      </c>
      <c r="BH2" s="48" t="s">
        <v>1285</v>
      </c>
      <c r="BI2" s="48" t="s">
        <v>1286</v>
      </c>
      <c r="BJ2" s="48" t="s">
        <v>1285</v>
      </c>
      <c r="BK2" s="48" t="s">
        <v>1286</v>
      </c>
      <c r="BL2" s="48" t="s">
        <v>1285</v>
      </c>
      <c r="BM2" s="48" t="s">
        <v>1286</v>
      </c>
      <c r="BN2" s="48" t="s">
        <v>1285</v>
      </c>
      <c r="BO2" s="48" t="s">
        <v>1286</v>
      </c>
      <c r="BP2" s="48" t="s">
        <v>1285</v>
      </c>
      <c r="BQ2" s="48" t="s">
        <v>1286</v>
      </c>
      <c r="BR2" s="48" t="s">
        <v>1285</v>
      </c>
      <c r="BS2" s="48" t="s">
        <v>1286</v>
      </c>
      <c r="BT2" s="48" t="s">
        <v>1285</v>
      </c>
      <c r="BU2" s="48" t="s">
        <v>1286</v>
      </c>
      <c r="BV2" s="48" t="s">
        <v>1285</v>
      </c>
      <c r="BW2" s="48" t="s">
        <v>1286</v>
      </c>
      <c r="BX2" s="48" t="s">
        <v>1285</v>
      </c>
      <c r="BY2" s="48" t="s">
        <v>1286</v>
      </c>
      <c r="BZ2" s="48" t="s">
        <v>1285</v>
      </c>
      <c r="CA2" s="48" t="s">
        <v>1286</v>
      </c>
      <c r="CB2" s="48" t="s">
        <v>1285</v>
      </c>
      <c r="CC2" s="48" t="s">
        <v>1286</v>
      </c>
      <c r="CD2" s="48" t="s">
        <v>1285</v>
      </c>
      <c r="CE2" s="48" t="s">
        <v>1286</v>
      </c>
      <c r="CF2" s="48" t="s">
        <v>1285</v>
      </c>
      <c r="CG2" s="48" t="s">
        <v>1286</v>
      </c>
      <c r="CH2" s="48" t="s">
        <v>1285</v>
      </c>
      <c r="CI2" s="48" t="s">
        <v>1286</v>
      </c>
      <c r="CJ2" s="48" t="s">
        <v>1285</v>
      </c>
      <c r="CK2" s="48" t="s">
        <v>1286</v>
      </c>
      <c r="CL2" s="48" t="s">
        <v>1285</v>
      </c>
      <c r="CM2" s="48" t="s">
        <v>1286</v>
      </c>
      <c r="CN2" s="48" t="s">
        <v>1285</v>
      </c>
      <c r="CO2" s="48" t="s">
        <v>1286</v>
      </c>
      <c r="CP2" s="48" t="s">
        <v>1285</v>
      </c>
      <c r="CQ2" s="48" t="s">
        <v>1286</v>
      </c>
      <c r="CR2" s="48" t="s">
        <v>1285</v>
      </c>
      <c r="CS2" s="48" t="s">
        <v>1286</v>
      </c>
      <c r="CT2" s="48" t="s">
        <v>1285</v>
      </c>
      <c r="CU2" s="48" t="s">
        <v>1286</v>
      </c>
      <c r="CV2" s="48" t="s">
        <v>2783</v>
      </c>
      <c r="CW2" s="49" t="s">
        <v>1285</v>
      </c>
      <c r="CX2" s="50" t="s">
        <v>1286</v>
      </c>
      <c r="CY2" s="48" t="s">
        <v>1285</v>
      </c>
      <c r="CZ2" s="48" t="s">
        <v>1286</v>
      </c>
      <c r="DA2" s="51" t="s">
        <v>1285</v>
      </c>
      <c r="DB2" s="52" t="s">
        <v>1286</v>
      </c>
      <c r="DC2" s="49" t="s">
        <v>1285</v>
      </c>
      <c r="DD2" s="50" t="s">
        <v>1286</v>
      </c>
      <c r="DE2" s="203" t="s">
        <v>2075</v>
      </c>
      <c r="DF2" s="53"/>
      <c r="EO2" s="347" t="s">
        <v>5790</v>
      </c>
      <c r="EP2" s="348"/>
      <c r="EQ2" s="348" t="s">
        <v>5791</v>
      </c>
      <c r="ER2" s="348" t="s">
        <v>5792</v>
      </c>
      <c r="ES2" s="348" t="s">
        <v>5793</v>
      </c>
      <c r="ET2" s="348" t="s">
        <v>5794</v>
      </c>
      <c r="EU2" s="348" t="s">
        <v>5795</v>
      </c>
    </row>
    <row r="3" spans="1:151" ht="72" x14ac:dyDescent="0.2">
      <c r="A3" s="240">
        <v>38844</v>
      </c>
      <c r="B3" s="241" t="s">
        <v>289</v>
      </c>
      <c r="C3" s="241" t="s">
        <v>3138</v>
      </c>
      <c r="D3" s="426" t="s">
        <v>2307</v>
      </c>
      <c r="E3" s="107" t="str">
        <f>VLOOKUP(B3&amp;C3,Divipola!$C$2:$F$1138,4,FALSE)</f>
        <v>17442</v>
      </c>
      <c r="F3" s="329"/>
      <c r="G3" s="223"/>
      <c r="H3" s="73"/>
      <c r="I3" s="73"/>
      <c r="J3" s="73"/>
      <c r="K3" s="73"/>
      <c r="L3" s="73"/>
      <c r="M3" s="73"/>
      <c r="N3" s="73"/>
      <c r="O3" s="73"/>
      <c r="P3" s="73"/>
      <c r="Q3" s="73"/>
      <c r="R3" s="73"/>
      <c r="S3" s="73"/>
      <c r="T3" s="73"/>
      <c r="U3" s="73"/>
      <c r="V3" s="74"/>
      <c r="W3" s="204"/>
      <c r="X3" s="57">
        <v>40324</v>
      </c>
      <c r="Y3" s="77">
        <f t="shared" ref="Y3:Y66" si="0">CV3</f>
        <v>0</v>
      </c>
      <c r="Z3" s="77">
        <f t="shared" ref="Z3:Z66" si="1">CZ3</f>
        <v>0</v>
      </c>
      <c r="AA3" s="77">
        <f t="shared" ref="AA3:AA66" si="2">DB3+DD3</f>
        <v>0</v>
      </c>
      <c r="AB3" s="77">
        <f t="shared" ref="AB3:AB66" si="3">CX3</f>
        <v>0</v>
      </c>
      <c r="AC3" s="77"/>
      <c r="AD3" s="77">
        <v>600000000</v>
      </c>
      <c r="AE3" s="79">
        <f>Y3+Z3+AA3+AB3+AC3+AD3</f>
        <v>600000000</v>
      </c>
      <c r="AF3" s="81">
        <v>0</v>
      </c>
      <c r="AG3" s="72">
        <v>40319</v>
      </c>
      <c r="AH3" s="83">
        <v>97680</v>
      </c>
      <c r="AI3" s="72" t="s">
        <v>2009</v>
      </c>
      <c r="AJ3" s="58" t="s">
        <v>2010</v>
      </c>
      <c r="AK3" s="64"/>
      <c r="AL3" s="211" t="s">
        <v>3139</v>
      </c>
      <c r="AM3" s="285" t="s">
        <v>956</v>
      </c>
      <c r="AN3" s="3"/>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6"/>
      <c r="CQ3" s="7"/>
      <c r="CR3" s="6"/>
      <c r="CS3" s="7"/>
      <c r="CT3" s="6"/>
      <c r="CU3" s="7"/>
      <c r="CV3" s="8">
        <f t="shared" ref="CV3:CV66" si="4">AO3+AQ3+AS3+AU3+AW3+AY3+BA3+BC3+BE3+BG3+BI3+BK3+BM3+BO3+BQ3+BS3+BU3+BW3+BY3+CA3+CC3+CE3+CG3+CI3+CK3+CM3+CO3+CQ3+CS3+CU3</f>
        <v>0</v>
      </c>
      <c r="CW3" s="9"/>
      <c r="CX3" s="10"/>
      <c r="CY3" s="11"/>
      <c r="CZ3" s="12"/>
      <c r="DA3" s="29"/>
      <c r="DB3" s="12"/>
      <c r="DC3" s="9"/>
      <c r="DD3" s="10"/>
      <c r="DE3" s="71">
        <v>8</v>
      </c>
      <c r="EO3" s="349" t="str">
        <f t="shared" ref="EO3:EO66" si="5">B3&amp;"_"&amp;C3</f>
        <v>CALDAS_MARMATO</v>
      </c>
      <c r="EP3" s="350"/>
      <c r="EQ3" s="351" t="s">
        <v>4660</v>
      </c>
      <c r="ER3" s="352" t="s">
        <v>5796</v>
      </c>
      <c r="ES3" s="351" t="s">
        <v>4660</v>
      </c>
      <c r="ET3" s="350"/>
      <c r="EU3" s="350" t="str">
        <f t="shared" ref="EU3:EU35" si="6">ER3&amp;"_"&amp;ET3</f>
        <v>Total AMAZONAS_</v>
      </c>
    </row>
    <row r="4" spans="1:151" ht="60" x14ac:dyDescent="0.2">
      <c r="A4" s="242">
        <v>39221</v>
      </c>
      <c r="B4" s="107" t="s">
        <v>2401</v>
      </c>
      <c r="C4" s="107" t="s">
        <v>1924</v>
      </c>
      <c r="D4" s="427" t="s">
        <v>2331</v>
      </c>
      <c r="E4" s="107" t="str">
        <f>VLOOKUP(B4&amp;C4,Divipola!$C$2:$F$1138,4,FALSE)</f>
        <v>05790</v>
      </c>
      <c r="F4" s="330"/>
      <c r="G4" s="224"/>
      <c r="H4" s="139" t="s">
        <v>477</v>
      </c>
      <c r="I4" s="75"/>
      <c r="J4" s="75"/>
      <c r="K4" s="75"/>
      <c r="L4" s="75"/>
      <c r="M4" s="75"/>
      <c r="N4" s="75"/>
      <c r="O4" s="75"/>
      <c r="P4" s="75"/>
      <c r="Q4" s="75"/>
      <c r="R4" s="75"/>
      <c r="S4" s="75"/>
      <c r="T4" s="75"/>
      <c r="U4" s="75"/>
      <c r="V4" s="76"/>
      <c r="W4" s="205"/>
      <c r="X4" s="1">
        <v>40400</v>
      </c>
      <c r="Y4" s="78">
        <f t="shared" si="0"/>
        <v>0</v>
      </c>
      <c r="Z4" s="78">
        <f t="shared" si="1"/>
        <v>0</v>
      </c>
      <c r="AA4" s="78">
        <f t="shared" si="2"/>
        <v>0</v>
      </c>
      <c r="AB4" s="78">
        <f t="shared" si="3"/>
        <v>0</v>
      </c>
      <c r="AC4" s="78"/>
      <c r="AD4" s="78">
        <v>50000000</v>
      </c>
      <c r="AE4" s="80">
        <f>Y4+Z4+AA4+AB4+AC4+AD4</f>
        <v>50000000</v>
      </c>
      <c r="AF4" s="82">
        <v>0</v>
      </c>
      <c r="AG4" s="69">
        <v>40252</v>
      </c>
      <c r="AH4" s="84"/>
      <c r="AI4" s="69" t="s">
        <v>2009</v>
      </c>
      <c r="AJ4" s="25" t="s">
        <v>2010</v>
      </c>
      <c r="AK4" s="65">
        <v>389</v>
      </c>
      <c r="AL4" s="212" t="s">
        <v>1925</v>
      </c>
      <c r="AM4" s="93" t="s">
        <v>1873</v>
      </c>
      <c r="AN4" s="110"/>
      <c r="AO4" s="4"/>
      <c r="AP4" s="5"/>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6"/>
      <c r="CQ4" s="7"/>
      <c r="CR4" s="6"/>
      <c r="CS4" s="7"/>
      <c r="CT4" s="6"/>
      <c r="CU4" s="7"/>
      <c r="CV4" s="8">
        <f t="shared" si="4"/>
        <v>0</v>
      </c>
      <c r="CW4" s="9"/>
      <c r="CX4" s="10"/>
      <c r="CY4" s="11"/>
      <c r="CZ4" s="12"/>
      <c r="DA4" s="29"/>
      <c r="DB4" s="12"/>
      <c r="DC4" s="9"/>
      <c r="DD4" s="10"/>
      <c r="DE4" s="71">
        <v>8</v>
      </c>
      <c r="EO4" s="353" t="str">
        <f t="shared" si="5"/>
        <v>ANTIOQUIA_TARAZA</v>
      </c>
      <c r="EP4" s="350"/>
      <c r="EQ4" s="351" t="s">
        <v>3884</v>
      </c>
      <c r="ER4" s="352" t="s">
        <v>5797</v>
      </c>
      <c r="ES4" s="351" t="s">
        <v>3884</v>
      </c>
      <c r="ET4" s="350"/>
      <c r="EU4" s="350" t="str">
        <f t="shared" si="6"/>
        <v>Total ANTIOQUIA_</v>
      </c>
    </row>
    <row r="5" spans="1:151" ht="48" x14ac:dyDescent="0.2">
      <c r="A5" s="242">
        <v>39600</v>
      </c>
      <c r="B5" s="107" t="s">
        <v>1719</v>
      </c>
      <c r="C5" s="107" t="s">
        <v>861</v>
      </c>
      <c r="D5" s="427" t="s">
        <v>882</v>
      </c>
      <c r="E5" s="107" t="str">
        <f>VLOOKUP(B5&amp;C5,Divipola!$C$2:$F$1138,4,FALSE)</f>
        <v>19743</v>
      </c>
      <c r="F5" s="330"/>
      <c r="G5" s="224"/>
      <c r="H5" s="75"/>
      <c r="I5" s="75"/>
      <c r="J5" s="75"/>
      <c r="K5" s="75"/>
      <c r="L5" s="75"/>
      <c r="M5" s="75"/>
      <c r="N5" s="75"/>
      <c r="O5" s="75"/>
      <c r="P5" s="75"/>
      <c r="Q5" s="75"/>
      <c r="R5" s="75"/>
      <c r="S5" s="75"/>
      <c r="T5" s="75"/>
      <c r="U5" s="75"/>
      <c r="V5" s="76"/>
      <c r="W5" s="205"/>
      <c r="X5" s="1">
        <v>40346</v>
      </c>
      <c r="Y5" s="78">
        <f t="shared" si="0"/>
        <v>0</v>
      </c>
      <c r="Z5" s="78">
        <f t="shared" si="1"/>
        <v>0</v>
      </c>
      <c r="AA5" s="78">
        <f t="shared" si="2"/>
        <v>0</v>
      </c>
      <c r="AB5" s="78">
        <f t="shared" si="3"/>
        <v>0</v>
      </c>
      <c r="AC5" s="78"/>
      <c r="AD5" s="78">
        <v>30000000</v>
      </c>
      <c r="AE5" s="80">
        <f>Y5+Z5+AA5+AB5+AC5+AD5</f>
        <v>30000000</v>
      </c>
      <c r="AF5" s="82">
        <v>0</v>
      </c>
      <c r="AG5" s="69">
        <v>40290</v>
      </c>
      <c r="AH5" s="84">
        <v>96842</v>
      </c>
      <c r="AI5" s="69" t="s">
        <v>2009</v>
      </c>
      <c r="AJ5" s="25" t="s">
        <v>2010</v>
      </c>
      <c r="AK5" s="65">
        <v>311</v>
      </c>
      <c r="AL5" s="212" t="s">
        <v>862</v>
      </c>
      <c r="AM5" s="93" t="s">
        <v>863</v>
      </c>
      <c r="AN5" s="110"/>
      <c r="AO5" s="4"/>
      <c r="AP5" s="5"/>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6"/>
      <c r="CQ5" s="7"/>
      <c r="CR5" s="6"/>
      <c r="CS5" s="7"/>
      <c r="CT5" s="6"/>
      <c r="CU5" s="7"/>
      <c r="CV5" s="8">
        <f t="shared" si="4"/>
        <v>0</v>
      </c>
      <c r="CW5" s="9"/>
      <c r="CX5" s="10"/>
      <c r="CY5" s="11"/>
      <c r="CZ5" s="12"/>
      <c r="DA5" s="29"/>
      <c r="DB5" s="12"/>
      <c r="DC5" s="9"/>
      <c r="DD5" s="10"/>
      <c r="DE5" s="71">
        <v>4</v>
      </c>
      <c r="EO5" s="353" t="str">
        <f t="shared" si="5"/>
        <v>CAUCA_SILVIA</v>
      </c>
      <c r="EP5" s="350"/>
      <c r="EQ5" s="351" t="s">
        <v>4628</v>
      </c>
      <c r="ER5" s="352" t="s">
        <v>5798</v>
      </c>
      <c r="ES5" s="351" t="s">
        <v>4628</v>
      </c>
      <c r="ET5" s="350"/>
      <c r="EU5" s="350" t="str">
        <f t="shared" si="6"/>
        <v>Total ARAUCA_</v>
      </c>
    </row>
    <row r="6" spans="1:151" ht="48" x14ac:dyDescent="0.2">
      <c r="A6" s="242">
        <v>39754</v>
      </c>
      <c r="B6" s="107" t="s">
        <v>1951</v>
      </c>
      <c r="C6" s="107" t="s">
        <v>145</v>
      </c>
      <c r="D6" s="427" t="s">
        <v>837</v>
      </c>
      <c r="E6" s="107" t="str">
        <f>VLOOKUP(B6&amp;C6,Divipola!$C$2:$F$1138,4,FALSE)</f>
        <v>08832</v>
      </c>
      <c r="F6" s="330"/>
      <c r="G6" s="224"/>
      <c r="H6" s="75"/>
      <c r="I6" s="75"/>
      <c r="J6" s="75"/>
      <c r="K6" s="75"/>
      <c r="L6" s="75"/>
      <c r="M6" s="75"/>
      <c r="N6" s="75"/>
      <c r="O6" s="75"/>
      <c r="P6" s="75"/>
      <c r="Q6" s="75"/>
      <c r="R6" s="75"/>
      <c r="S6" s="75"/>
      <c r="T6" s="75"/>
      <c r="U6" s="75"/>
      <c r="V6" s="76"/>
      <c r="W6" s="205"/>
      <c r="X6" s="1">
        <v>40339</v>
      </c>
      <c r="Y6" s="78">
        <f t="shared" si="0"/>
        <v>0</v>
      </c>
      <c r="Z6" s="78">
        <f t="shared" si="1"/>
        <v>0</v>
      </c>
      <c r="AA6" s="78">
        <f t="shared" si="2"/>
        <v>0</v>
      </c>
      <c r="AB6" s="78">
        <f t="shared" si="3"/>
        <v>0</v>
      </c>
      <c r="AC6" s="78"/>
      <c r="AD6" s="78">
        <v>66360000</v>
      </c>
      <c r="AE6" s="80">
        <f>Y6+Z6+AA6+AB6+AC6+AD6</f>
        <v>66360000</v>
      </c>
      <c r="AF6" s="82">
        <v>0</v>
      </c>
      <c r="AG6" s="69">
        <v>40234</v>
      </c>
      <c r="AH6" s="84">
        <v>95544</v>
      </c>
      <c r="AI6" s="69" t="s">
        <v>2009</v>
      </c>
      <c r="AJ6" s="25" t="s">
        <v>2010</v>
      </c>
      <c r="AK6" s="65">
        <v>303</v>
      </c>
      <c r="AL6" s="212" t="s">
        <v>1670</v>
      </c>
      <c r="AM6" s="93" t="s">
        <v>146</v>
      </c>
      <c r="AN6" s="110"/>
      <c r="AO6" s="4"/>
      <c r="AP6" s="5"/>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6"/>
      <c r="CQ6" s="7"/>
      <c r="CR6" s="6"/>
      <c r="CS6" s="7"/>
      <c r="CT6" s="6"/>
      <c r="CU6" s="7"/>
      <c r="CV6" s="8">
        <f t="shared" si="4"/>
        <v>0</v>
      </c>
      <c r="CW6" s="9"/>
      <c r="CX6" s="10"/>
      <c r="CY6" s="11"/>
      <c r="CZ6" s="12"/>
      <c r="DA6" s="29"/>
      <c r="DB6" s="12"/>
      <c r="DC6" s="9"/>
      <c r="DD6" s="10"/>
      <c r="DE6" s="71">
        <v>3</v>
      </c>
      <c r="EO6" s="353" t="str">
        <f t="shared" si="5"/>
        <v>ATLANTICO_TUBARA</v>
      </c>
      <c r="EP6" s="350"/>
      <c r="EQ6" s="351" t="s">
        <v>4025</v>
      </c>
      <c r="ER6" s="352" t="s">
        <v>5799</v>
      </c>
      <c r="ES6" s="351" t="s">
        <v>4025</v>
      </c>
      <c r="ET6" s="350"/>
      <c r="EU6" s="350" t="str">
        <f t="shared" si="6"/>
        <v>Total ATLANTICO_</v>
      </c>
    </row>
    <row r="7" spans="1:151" ht="60" x14ac:dyDescent="0.2">
      <c r="A7" s="242">
        <v>39880</v>
      </c>
      <c r="B7" s="107" t="s">
        <v>1719</v>
      </c>
      <c r="C7" s="107" t="s">
        <v>1558</v>
      </c>
      <c r="D7" s="427" t="s">
        <v>2307</v>
      </c>
      <c r="E7" s="107" t="str">
        <f>VLOOKUP(B7&amp;C7,Divipola!$C$2:$F$1138,4,FALSE)</f>
        <v>19780</v>
      </c>
      <c r="F7" s="330"/>
      <c r="G7" s="224"/>
      <c r="H7" s="75"/>
      <c r="I7" s="75"/>
      <c r="J7" s="75"/>
      <c r="K7" s="75"/>
      <c r="L7" s="75"/>
      <c r="M7" s="75"/>
      <c r="N7" s="75"/>
      <c r="O7" s="75"/>
      <c r="P7" s="75"/>
      <c r="Q7" s="75"/>
      <c r="R7" s="75"/>
      <c r="S7" s="75"/>
      <c r="T7" s="75"/>
      <c r="U7" s="75"/>
      <c r="V7" s="76"/>
      <c r="W7" s="205"/>
      <c r="X7" s="1">
        <v>40311</v>
      </c>
      <c r="Y7" s="78">
        <f t="shared" si="0"/>
        <v>0</v>
      </c>
      <c r="Z7" s="78">
        <f t="shared" si="1"/>
        <v>0</v>
      </c>
      <c r="AA7" s="78">
        <f t="shared" si="2"/>
        <v>0</v>
      </c>
      <c r="AB7" s="78">
        <f t="shared" si="3"/>
        <v>0</v>
      </c>
      <c r="AC7" s="78"/>
      <c r="AD7" s="78">
        <v>300000000</v>
      </c>
      <c r="AE7" s="80">
        <f>Y7+Z7+AA7+AB7+AC7+AD7</f>
        <v>300000000</v>
      </c>
      <c r="AF7" s="82">
        <v>0</v>
      </c>
      <c r="AG7" s="69">
        <v>40310</v>
      </c>
      <c r="AH7" s="84">
        <v>96954</v>
      </c>
      <c r="AI7" s="69" t="s">
        <v>2009</v>
      </c>
      <c r="AJ7" s="25" t="s">
        <v>2010</v>
      </c>
      <c r="AK7" s="65">
        <v>249</v>
      </c>
      <c r="AL7" s="212" t="s">
        <v>1730</v>
      </c>
      <c r="AM7" s="93" t="s">
        <v>1731</v>
      </c>
      <c r="AN7" s="110"/>
      <c r="AO7" s="4"/>
      <c r="AP7" s="5"/>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6"/>
      <c r="CQ7" s="7"/>
      <c r="CR7" s="6"/>
      <c r="CS7" s="7"/>
      <c r="CT7" s="6"/>
      <c r="CU7" s="7"/>
      <c r="CV7" s="8">
        <f t="shared" si="4"/>
        <v>0</v>
      </c>
      <c r="CW7" s="9"/>
      <c r="CX7" s="10"/>
      <c r="CY7" s="11"/>
      <c r="CZ7" s="12"/>
      <c r="DA7" s="29"/>
      <c r="DB7" s="12"/>
      <c r="DC7" s="9"/>
      <c r="DD7" s="10"/>
      <c r="DE7" s="71">
        <v>4</v>
      </c>
      <c r="EO7" s="353" t="str">
        <f t="shared" si="5"/>
        <v>CAUCA_SUAREZ</v>
      </c>
      <c r="EP7" s="350"/>
      <c r="EQ7" s="351" t="s">
        <v>4050</v>
      </c>
      <c r="ER7" s="352" t="s">
        <v>5800</v>
      </c>
      <c r="ES7" s="351" t="s">
        <v>4050</v>
      </c>
      <c r="ET7" s="350"/>
      <c r="EU7" s="350" t="str">
        <f t="shared" si="6"/>
        <v>Total BOGOTA D.C._</v>
      </c>
    </row>
    <row r="8" spans="1:151" ht="60" x14ac:dyDescent="0.2">
      <c r="A8" s="242">
        <v>40033</v>
      </c>
      <c r="B8" s="107" t="s">
        <v>1462</v>
      </c>
      <c r="C8" s="107" t="s">
        <v>1412</v>
      </c>
      <c r="D8" s="427" t="s">
        <v>837</v>
      </c>
      <c r="E8" s="107" t="str">
        <f>VLOOKUP(B8&amp;C8,Divipola!$C$2:$F$1138,4,FALSE)</f>
        <v>76122</v>
      </c>
      <c r="F8" s="330"/>
      <c r="G8" s="224"/>
      <c r="H8" s="75"/>
      <c r="I8" s="75"/>
      <c r="J8" s="75">
        <f>42*5</f>
        <v>210</v>
      </c>
      <c r="K8" s="75">
        <f>100-44-14</f>
        <v>42</v>
      </c>
      <c r="L8" s="75"/>
      <c r="M8" s="75">
        <v>42</v>
      </c>
      <c r="N8" s="75"/>
      <c r="O8" s="75"/>
      <c r="P8" s="75"/>
      <c r="Q8" s="75"/>
      <c r="R8" s="75"/>
      <c r="S8" s="75"/>
      <c r="T8" s="75"/>
      <c r="U8" s="75"/>
      <c r="V8" s="76"/>
      <c r="W8" s="205"/>
      <c r="X8" s="1">
        <v>40380</v>
      </c>
      <c r="Y8" s="78">
        <f t="shared" si="0"/>
        <v>0</v>
      </c>
      <c r="Z8" s="78">
        <f t="shared" si="1"/>
        <v>0</v>
      </c>
      <c r="AA8" s="78">
        <f t="shared" si="2"/>
        <v>0</v>
      </c>
      <c r="AB8" s="78">
        <f t="shared" si="3"/>
        <v>0</v>
      </c>
      <c r="AC8" s="78"/>
      <c r="AD8" s="78">
        <v>0</v>
      </c>
      <c r="AE8" s="80">
        <v>46933400</v>
      </c>
      <c r="AF8" s="82">
        <v>0</v>
      </c>
      <c r="AG8" s="69">
        <v>39948</v>
      </c>
      <c r="AH8" s="84"/>
      <c r="AI8" s="69" t="s">
        <v>2009</v>
      </c>
      <c r="AJ8" s="25" t="s">
        <v>2010</v>
      </c>
      <c r="AK8" s="65">
        <v>363</v>
      </c>
      <c r="AL8" s="212" t="s">
        <v>1414</v>
      </c>
      <c r="AM8" s="93" t="s">
        <v>1413</v>
      </c>
      <c r="AN8" s="110"/>
      <c r="AO8" s="4"/>
      <c r="AP8" s="5"/>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6"/>
      <c r="CQ8" s="7"/>
      <c r="CR8" s="6"/>
      <c r="CS8" s="7"/>
      <c r="CT8" s="6"/>
      <c r="CU8" s="7"/>
      <c r="CV8" s="8">
        <f t="shared" si="4"/>
        <v>0</v>
      </c>
      <c r="CW8" s="9"/>
      <c r="CX8" s="10"/>
      <c r="CY8" s="11"/>
      <c r="CZ8" s="12"/>
      <c r="DA8" s="29"/>
      <c r="DB8" s="12"/>
      <c r="DC8" s="9"/>
      <c r="DD8" s="10"/>
      <c r="DE8" s="71">
        <v>8</v>
      </c>
      <c r="EO8" s="353" t="str">
        <f t="shared" si="5"/>
        <v>VALLE DEL CAUCA_CAICEDONIA</v>
      </c>
      <c r="EP8" s="350"/>
      <c r="EQ8" s="351" t="s">
        <v>4051</v>
      </c>
      <c r="ER8" s="352" t="s">
        <v>5801</v>
      </c>
      <c r="ES8" s="351" t="s">
        <v>4051</v>
      </c>
      <c r="ET8" s="350"/>
      <c r="EU8" s="350" t="str">
        <f t="shared" si="6"/>
        <v>Total BOLIVAR_</v>
      </c>
    </row>
    <row r="9" spans="1:151" ht="72" x14ac:dyDescent="0.2">
      <c r="A9" s="242">
        <v>40063</v>
      </c>
      <c r="B9" s="107" t="s">
        <v>2242</v>
      </c>
      <c r="C9" s="107" t="s">
        <v>1405</v>
      </c>
      <c r="D9" s="427" t="s">
        <v>837</v>
      </c>
      <c r="E9" s="107" t="str">
        <f>VLOOKUP(B9&amp;C9,Divipola!$C$2:$F$1138,4,FALSE)</f>
        <v>20295</v>
      </c>
      <c r="F9" s="330"/>
      <c r="G9" s="224"/>
      <c r="H9" s="75"/>
      <c r="I9" s="75"/>
      <c r="J9" s="75"/>
      <c r="K9" s="75"/>
      <c r="L9" s="75"/>
      <c r="M9" s="75"/>
      <c r="N9" s="75"/>
      <c r="O9" s="75"/>
      <c r="P9" s="75"/>
      <c r="Q9" s="75"/>
      <c r="R9" s="75"/>
      <c r="S9" s="75"/>
      <c r="T9" s="75"/>
      <c r="U9" s="75"/>
      <c r="V9" s="76"/>
      <c r="W9" s="205"/>
      <c r="X9" s="1">
        <v>40322</v>
      </c>
      <c r="Y9" s="78">
        <f t="shared" si="0"/>
        <v>0</v>
      </c>
      <c r="Z9" s="78">
        <f t="shared" si="1"/>
        <v>0</v>
      </c>
      <c r="AA9" s="78">
        <f t="shared" si="2"/>
        <v>0</v>
      </c>
      <c r="AB9" s="78">
        <f t="shared" si="3"/>
        <v>27074400</v>
      </c>
      <c r="AC9" s="78"/>
      <c r="AD9" s="78">
        <v>220484855</v>
      </c>
      <c r="AE9" s="80">
        <f t="shared" ref="AE9:AE72" si="7">Y9+Z9+AA9+AB9+AC9+AD9</f>
        <v>247559255</v>
      </c>
      <c r="AF9" s="82">
        <v>0</v>
      </c>
      <c r="AG9" s="69">
        <v>40063</v>
      </c>
      <c r="AH9" s="94" t="s">
        <v>936</v>
      </c>
      <c r="AI9" s="69" t="s">
        <v>2009</v>
      </c>
      <c r="AJ9" s="25" t="s">
        <v>2010</v>
      </c>
      <c r="AK9" s="88" t="s">
        <v>152</v>
      </c>
      <c r="AL9" s="212" t="s">
        <v>1406</v>
      </c>
      <c r="AM9" s="93" t="s">
        <v>1407</v>
      </c>
      <c r="AN9" s="110"/>
      <c r="AO9" s="4"/>
      <c r="AP9" s="5"/>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6"/>
      <c r="CQ9" s="7"/>
      <c r="CR9" s="6"/>
      <c r="CS9" s="7"/>
      <c r="CT9" s="6"/>
      <c r="CU9" s="7"/>
      <c r="CV9" s="8">
        <f t="shared" si="4"/>
        <v>0</v>
      </c>
      <c r="CW9" s="9">
        <v>30000</v>
      </c>
      <c r="CX9" s="10">
        <f>30000*902.48</f>
        <v>27074400</v>
      </c>
      <c r="CY9" s="11"/>
      <c r="CZ9" s="12"/>
      <c r="DA9" s="29"/>
      <c r="DB9" s="12"/>
      <c r="DC9" s="9"/>
      <c r="DD9" s="10"/>
      <c r="DE9" s="71">
        <v>8</v>
      </c>
      <c r="EO9" s="353" t="str">
        <f t="shared" si="5"/>
        <v>CESAR_GAMARRA</v>
      </c>
      <c r="EP9" s="350"/>
      <c r="EQ9" s="351" t="s">
        <v>4092</v>
      </c>
      <c r="ER9" s="352" t="s">
        <v>5802</v>
      </c>
      <c r="ES9" s="351" t="s">
        <v>4092</v>
      </c>
      <c r="ET9" s="350"/>
      <c r="EU9" s="350" t="str">
        <f t="shared" si="6"/>
        <v>Total BOYACA_</v>
      </c>
    </row>
    <row r="10" spans="1:151" ht="78.75" x14ac:dyDescent="0.2">
      <c r="A10" s="242">
        <v>40179</v>
      </c>
      <c r="B10" s="107" t="s">
        <v>2401</v>
      </c>
      <c r="C10" s="107" t="s">
        <v>3123</v>
      </c>
      <c r="D10" s="427" t="s">
        <v>2209</v>
      </c>
      <c r="E10" s="107" t="str">
        <f>VLOOKUP(B10&amp;C10,Divipola!$C$2:$F$1138,4,FALSE)</f>
        <v>05819</v>
      </c>
      <c r="F10" s="330"/>
      <c r="G10" s="224"/>
      <c r="H10" s="75"/>
      <c r="I10" s="75"/>
      <c r="J10" s="75"/>
      <c r="K10" s="75"/>
      <c r="L10" s="75"/>
      <c r="M10" s="75"/>
      <c r="N10" s="75"/>
      <c r="O10" s="75"/>
      <c r="P10" s="75"/>
      <c r="Q10" s="75"/>
      <c r="R10" s="75"/>
      <c r="S10" s="75"/>
      <c r="T10" s="75"/>
      <c r="U10" s="75"/>
      <c r="V10" s="76"/>
      <c r="W10" s="205"/>
      <c r="X10" s="1">
        <v>40312</v>
      </c>
      <c r="Y10" s="78">
        <f t="shared" si="0"/>
        <v>0</v>
      </c>
      <c r="Z10" s="78">
        <f t="shared" si="1"/>
        <v>0</v>
      </c>
      <c r="AA10" s="78">
        <f t="shared" si="2"/>
        <v>143426888</v>
      </c>
      <c r="AB10" s="78">
        <f t="shared" si="3"/>
        <v>0</v>
      </c>
      <c r="AC10" s="78"/>
      <c r="AD10" s="78">
        <v>0</v>
      </c>
      <c r="AE10" s="80">
        <f t="shared" si="7"/>
        <v>143426888</v>
      </c>
      <c r="AF10" s="82">
        <v>0</v>
      </c>
      <c r="AG10" s="69">
        <v>40296</v>
      </c>
      <c r="AH10" s="84">
        <v>97062</v>
      </c>
      <c r="AI10" s="69" t="s">
        <v>2009</v>
      </c>
      <c r="AJ10" s="25" t="s">
        <v>2010</v>
      </c>
      <c r="AK10" s="65">
        <v>119</v>
      </c>
      <c r="AL10" s="212" t="s">
        <v>2337</v>
      </c>
      <c r="AM10" s="87" t="s">
        <v>2338</v>
      </c>
      <c r="AN10" s="110"/>
      <c r="AO10" s="4"/>
      <c r="AP10" s="5"/>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6"/>
      <c r="CQ10" s="7"/>
      <c r="CR10" s="6"/>
      <c r="CS10" s="7"/>
      <c r="CT10" s="6"/>
      <c r="CU10" s="7"/>
      <c r="CV10" s="8">
        <f t="shared" si="4"/>
        <v>0</v>
      </c>
      <c r="CW10" s="9"/>
      <c r="CX10" s="10"/>
      <c r="CY10" s="11"/>
      <c r="CZ10" s="12"/>
      <c r="DA10" s="29"/>
      <c r="DB10" s="12"/>
      <c r="DC10" s="9">
        <f>351+2000+2000+1000</f>
        <v>5351</v>
      </c>
      <c r="DD10" s="10">
        <f>351*26000+18106*348+2000*34000+2000*20000+1000*20000</f>
        <v>143426888</v>
      </c>
      <c r="DE10" s="71"/>
      <c r="DF10" s="23" t="s">
        <v>2339</v>
      </c>
      <c r="EO10" s="353" t="str">
        <f t="shared" si="5"/>
        <v>ANTIOQUIA_TOLEDO</v>
      </c>
      <c r="EP10" s="350"/>
      <c r="EQ10" s="351" t="s">
        <v>4220</v>
      </c>
      <c r="ER10" s="352" t="s">
        <v>5803</v>
      </c>
      <c r="ES10" s="351" t="s">
        <v>4220</v>
      </c>
      <c r="ET10" s="350"/>
      <c r="EU10" s="350" t="str">
        <f t="shared" si="6"/>
        <v>Total CALDAS_</v>
      </c>
    </row>
    <row r="11" spans="1:151" ht="51" x14ac:dyDescent="0.2">
      <c r="A11" s="242">
        <v>40182</v>
      </c>
      <c r="B11" s="107" t="s">
        <v>2007</v>
      </c>
      <c r="C11" s="107" t="s">
        <v>2008</v>
      </c>
      <c r="D11" s="427" t="s">
        <v>2779</v>
      </c>
      <c r="E11" s="107">
        <f>VLOOKUP(B11&amp;C11,Divipola!$C$2:$F$1138,4,FALSE)</f>
        <v>25</v>
      </c>
      <c r="F11" s="330"/>
      <c r="G11" s="224"/>
      <c r="H11" s="75"/>
      <c r="I11" s="75"/>
      <c r="J11" s="75"/>
      <c r="K11" s="75"/>
      <c r="L11" s="75"/>
      <c r="M11" s="75"/>
      <c r="N11" s="75"/>
      <c r="O11" s="75"/>
      <c r="P11" s="75"/>
      <c r="Q11" s="75"/>
      <c r="R11" s="75"/>
      <c r="S11" s="75"/>
      <c r="T11" s="75"/>
      <c r="U11" s="75"/>
      <c r="V11" s="76"/>
      <c r="W11" s="205"/>
      <c r="X11" s="1">
        <v>40206</v>
      </c>
      <c r="Y11" s="78">
        <f t="shared" si="0"/>
        <v>0</v>
      </c>
      <c r="Z11" s="78">
        <f t="shared" si="1"/>
        <v>0</v>
      </c>
      <c r="AA11" s="78">
        <f t="shared" si="2"/>
        <v>0</v>
      </c>
      <c r="AB11" s="78">
        <f t="shared" si="3"/>
        <v>0</v>
      </c>
      <c r="AC11" s="78">
        <f>600*22000</f>
        <v>13200000</v>
      </c>
      <c r="AD11" s="78">
        <v>0</v>
      </c>
      <c r="AE11" s="80">
        <f t="shared" si="7"/>
        <v>13200000</v>
      </c>
      <c r="AF11" s="82">
        <v>0</v>
      </c>
      <c r="AG11" s="69">
        <v>40183</v>
      </c>
      <c r="AH11" s="84">
        <v>94298</v>
      </c>
      <c r="AI11" s="69" t="s">
        <v>2009</v>
      </c>
      <c r="AJ11" s="25" t="s">
        <v>2010</v>
      </c>
      <c r="AK11" s="65">
        <v>13</v>
      </c>
      <c r="AL11" s="212" t="s">
        <v>2011</v>
      </c>
      <c r="AM11" s="87" t="s">
        <v>210</v>
      </c>
      <c r="AN11" s="110"/>
      <c r="AO11" s="4"/>
      <c r="AP11" s="5"/>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6"/>
      <c r="CQ11" s="7"/>
      <c r="CR11" s="6"/>
      <c r="CS11" s="7"/>
      <c r="CT11" s="6"/>
      <c r="CU11" s="7"/>
      <c r="CV11" s="8">
        <f t="shared" si="4"/>
        <v>0</v>
      </c>
      <c r="CW11" s="9"/>
      <c r="CX11" s="10"/>
      <c r="CY11" s="11"/>
      <c r="CZ11" s="12"/>
      <c r="DA11" s="29"/>
      <c r="DB11" s="12"/>
      <c r="DC11" s="9"/>
      <c r="DD11" s="10"/>
      <c r="DE11" s="71"/>
      <c r="EO11" s="353" t="str">
        <f t="shared" si="5"/>
        <v>CUNDINAMARCA_DEPARTAMENTO</v>
      </c>
      <c r="EP11" s="350"/>
      <c r="EQ11" s="351" t="s">
        <v>4239</v>
      </c>
      <c r="ER11" s="352" t="s">
        <v>5804</v>
      </c>
      <c r="ES11" s="351" t="s">
        <v>4239</v>
      </c>
      <c r="ET11" s="350"/>
      <c r="EU11" s="350" t="str">
        <f t="shared" si="6"/>
        <v>Total CAQUETA_</v>
      </c>
    </row>
    <row r="12" spans="1:151" ht="63.75" x14ac:dyDescent="0.2">
      <c r="A12" s="242">
        <v>40182</v>
      </c>
      <c r="B12" s="107" t="s">
        <v>2245</v>
      </c>
      <c r="C12" s="107" t="s">
        <v>4514</v>
      </c>
      <c r="D12" s="427" t="s">
        <v>1546</v>
      </c>
      <c r="E12" s="107" t="str">
        <f>VLOOKUP(B12&amp;C12,Divipola!$C$2:$F$1138,4,FALSE)</f>
        <v>52835</v>
      </c>
      <c r="F12" s="330"/>
      <c r="G12" s="224"/>
      <c r="H12" s="75"/>
      <c r="I12" s="75"/>
      <c r="J12" s="75">
        <v>640</v>
      </c>
      <c r="K12" s="75">
        <v>135</v>
      </c>
      <c r="L12" s="75">
        <v>28</v>
      </c>
      <c r="M12" s="75">
        <f>25+40+12+23</f>
        <v>100</v>
      </c>
      <c r="N12" s="75"/>
      <c r="O12" s="75"/>
      <c r="P12" s="75"/>
      <c r="Q12" s="75"/>
      <c r="R12" s="75"/>
      <c r="S12" s="75"/>
      <c r="T12" s="75"/>
      <c r="U12" s="75"/>
      <c r="V12" s="76"/>
      <c r="W12" s="205"/>
      <c r="X12" s="1"/>
      <c r="Y12" s="78">
        <f t="shared" si="0"/>
        <v>0</v>
      </c>
      <c r="Z12" s="78">
        <f t="shared" si="1"/>
        <v>0</v>
      </c>
      <c r="AA12" s="78">
        <f t="shared" si="2"/>
        <v>0</v>
      </c>
      <c r="AB12" s="78">
        <f t="shared" si="3"/>
        <v>0</v>
      </c>
      <c r="AC12" s="78"/>
      <c r="AD12" s="78">
        <v>0</v>
      </c>
      <c r="AE12" s="80">
        <f t="shared" si="7"/>
        <v>0</v>
      </c>
      <c r="AF12" s="82">
        <v>0</v>
      </c>
      <c r="AG12" s="69">
        <v>40218</v>
      </c>
      <c r="AH12" s="84">
        <v>95066</v>
      </c>
      <c r="AI12" s="69" t="s">
        <v>1984</v>
      </c>
      <c r="AJ12" s="25" t="s">
        <v>1985</v>
      </c>
      <c r="AK12" s="65"/>
      <c r="AL12" s="212" t="s">
        <v>1564</v>
      </c>
      <c r="AM12" s="87" t="s">
        <v>1255</v>
      </c>
      <c r="AN12" s="110"/>
      <c r="AO12" s="4"/>
      <c r="AP12" s="5"/>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6"/>
      <c r="CQ12" s="7"/>
      <c r="CR12" s="6"/>
      <c r="CS12" s="7"/>
      <c r="CT12" s="6"/>
      <c r="CU12" s="7"/>
      <c r="CV12" s="8">
        <f t="shared" si="4"/>
        <v>0</v>
      </c>
      <c r="CW12" s="9"/>
      <c r="CX12" s="10"/>
      <c r="CY12" s="11"/>
      <c r="CZ12" s="12"/>
      <c r="DA12" s="29"/>
      <c r="DB12" s="12"/>
      <c r="DC12" s="9"/>
      <c r="DD12" s="10"/>
      <c r="DE12" s="71"/>
      <c r="EO12" s="353" t="str">
        <f t="shared" si="5"/>
        <v>NARIÑO_SAN ANDRES DE TUMACO</v>
      </c>
      <c r="EP12" s="350"/>
      <c r="EQ12" s="351" t="s">
        <v>4634</v>
      </c>
      <c r="ER12" s="352" t="s">
        <v>5805</v>
      </c>
      <c r="ES12" s="351" t="s">
        <v>4634</v>
      </c>
      <c r="ET12" s="350"/>
      <c r="EU12" s="350" t="str">
        <f t="shared" si="6"/>
        <v>Total CASANARE_</v>
      </c>
    </row>
    <row r="13" spans="1:151" ht="60" x14ac:dyDescent="0.2">
      <c r="A13" s="242">
        <v>40182</v>
      </c>
      <c r="B13" s="107" t="s">
        <v>2012</v>
      </c>
      <c r="C13" s="107" t="s">
        <v>2008</v>
      </c>
      <c r="D13" s="427" t="s">
        <v>2779</v>
      </c>
      <c r="E13" s="107">
        <f>VLOOKUP(B13&amp;C13,Divipola!$C$2:$F$1138,4,FALSE)</f>
        <v>66</v>
      </c>
      <c r="F13" s="330"/>
      <c r="G13" s="224"/>
      <c r="H13" s="75"/>
      <c r="I13" s="75"/>
      <c r="J13" s="75"/>
      <c r="K13" s="75"/>
      <c r="L13" s="75"/>
      <c r="M13" s="75"/>
      <c r="N13" s="75"/>
      <c r="O13" s="75"/>
      <c r="P13" s="75"/>
      <c r="Q13" s="75"/>
      <c r="R13" s="75"/>
      <c r="S13" s="75"/>
      <c r="T13" s="75"/>
      <c r="U13" s="75"/>
      <c r="V13" s="76"/>
      <c r="W13" s="205"/>
      <c r="X13" s="1">
        <v>40206</v>
      </c>
      <c r="Y13" s="78">
        <f t="shared" si="0"/>
        <v>0</v>
      </c>
      <c r="Z13" s="78">
        <f t="shared" si="1"/>
        <v>2101853</v>
      </c>
      <c r="AA13" s="78">
        <f t="shared" si="2"/>
        <v>0</v>
      </c>
      <c r="AB13" s="78">
        <f t="shared" si="3"/>
        <v>0</v>
      </c>
      <c r="AC13" s="78">
        <f>294*22000</f>
        <v>6468000</v>
      </c>
      <c r="AD13" s="78">
        <v>0</v>
      </c>
      <c r="AE13" s="80">
        <f t="shared" si="7"/>
        <v>8569853</v>
      </c>
      <c r="AF13" s="82">
        <v>0</v>
      </c>
      <c r="AG13" s="69">
        <v>40192</v>
      </c>
      <c r="AH13" s="84">
        <v>94442</v>
      </c>
      <c r="AI13" s="69" t="s">
        <v>2009</v>
      </c>
      <c r="AJ13" s="25" t="s">
        <v>2010</v>
      </c>
      <c r="AK13" s="65">
        <v>13</v>
      </c>
      <c r="AL13" s="212" t="s">
        <v>2011</v>
      </c>
      <c r="AM13" s="87" t="s">
        <v>1191</v>
      </c>
      <c r="AN13" s="110"/>
      <c r="AO13" s="4"/>
      <c r="AP13" s="5"/>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6"/>
      <c r="CQ13" s="7"/>
      <c r="CR13" s="6"/>
      <c r="CS13" s="7"/>
      <c r="CT13" s="6"/>
      <c r="CU13" s="7"/>
      <c r="CV13" s="8">
        <f t="shared" si="4"/>
        <v>0</v>
      </c>
      <c r="CW13" s="9"/>
      <c r="CX13" s="10"/>
      <c r="CY13" s="11">
        <v>1</v>
      </c>
      <c r="CZ13" s="12">
        <v>2101853</v>
      </c>
      <c r="DA13" s="29"/>
      <c r="DB13" s="12"/>
      <c r="DC13" s="9"/>
      <c r="DD13" s="10"/>
      <c r="DE13" s="71"/>
      <c r="EO13" s="353" t="str">
        <f t="shared" si="5"/>
        <v>RISARALDA_DEPARTAMENTO</v>
      </c>
      <c r="EP13" s="350"/>
      <c r="EQ13" s="351" t="s">
        <v>4256</v>
      </c>
      <c r="ER13" s="352" t="s">
        <v>5806</v>
      </c>
      <c r="ES13" s="351" t="s">
        <v>4256</v>
      </c>
      <c r="ET13" s="350"/>
      <c r="EU13" s="350" t="str">
        <f t="shared" si="6"/>
        <v>Total CAUCA_</v>
      </c>
    </row>
    <row r="14" spans="1:151" ht="48" x14ac:dyDescent="0.2">
      <c r="A14" s="242">
        <v>40184</v>
      </c>
      <c r="B14" s="107" t="s">
        <v>1719</v>
      </c>
      <c r="C14" s="232" t="s">
        <v>1999</v>
      </c>
      <c r="D14" s="427" t="s">
        <v>1988</v>
      </c>
      <c r="E14" s="107" t="str">
        <f>VLOOKUP(B14&amp;C14,Divipola!$C$2:$F$1138,4,FALSE)</f>
        <v>19824</v>
      </c>
      <c r="F14" s="330"/>
      <c r="G14" s="224"/>
      <c r="H14" s="75"/>
      <c r="I14" s="75"/>
      <c r="J14" s="75">
        <f>261*5</f>
        <v>1305</v>
      </c>
      <c r="K14" s="75">
        <v>261</v>
      </c>
      <c r="L14" s="75"/>
      <c r="M14" s="75"/>
      <c r="N14" s="75"/>
      <c r="O14" s="75"/>
      <c r="P14" s="75"/>
      <c r="Q14" s="75"/>
      <c r="R14" s="75"/>
      <c r="S14" s="75"/>
      <c r="T14" s="75"/>
      <c r="U14" s="75"/>
      <c r="V14" s="76"/>
      <c r="W14" s="205" t="s">
        <v>2001</v>
      </c>
      <c r="X14" s="1">
        <v>40262</v>
      </c>
      <c r="Y14" s="78">
        <f t="shared" si="0"/>
        <v>0</v>
      </c>
      <c r="Z14" s="78">
        <f t="shared" si="1"/>
        <v>44370000</v>
      </c>
      <c r="AA14" s="78">
        <f t="shared" si="2"/>
        <v>0</v>
      </c>
      <c r="AB14" s="78">
        <f t="shared" si="3"/>
        <v>0</v>
      </c>
      <c r="AC14" s="78"/>
      <c r="AD14" s="78">
        <v>0</v>
      </c>
      <c r="AE14" s="80">
        <f t="shared" si="7"/>
        <v>44370000</v>
      </c>
      <c r="AF14" s="82">
        <v>0</v>
      </c>
      <c r="AG14" s="69">
        <v>40186</v>
      </c>
      <c r="AH14" s="84">
        <v>94895</v>
      </c>
      <c r="AI14" s="69" t="s">
        <v>2009</v>
      </c>
      <c r="AJ14" s="25" t="s">
        <v>2010</v>
      </c>
      <c r="AK14" s="65">
        <v>52</v>
      </c>
      <c r="AL14" s="212" t="s">
        <v>932</v>
      </c>
      <c r="AM14" s="87" t="s">
        <v>102</v>
      </c>
      <c r="AN14" s="110"/>
      <c r="AO14" s="4"/>
      <c r="AP14" s="5"/>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6"/>
      <c r="CQ14" s="7"/>
      <c r="CR14" s="6"/>
      <c r="CS14" s="7"/>
      <c r="CT14" s="6"/>
      <c r="CU14" s="7"/>
      <c r="CV14" s="8">
        <f t="shared" si="4"/>
        <v>0</v>
      </c>
      <c r="CW14" s="9"/>
      <c r="CX14" s="10"/>
      <c r="CY14" s="11">
        <v>522</v>
      </c>
      <c r="CZ14" s="12">
        <f>522*85000</f>
        <v>44370000</v>
      </c>
      <c r="DA14" s="29"/>
      <c r="DB14" s="12"/>
      <c r="DC14" s="9"/>
      <c r="DD14" s="10"/>
      <c r="DE14" s="71"/>
      <c r="EO14" s="353" t="str">
        <f t="shared" si="5"/>
        <v>CAUCA_TOTORO</v>
      </c>
      <c r="EP14" s="350"/>
      <c r="EQ14" s="351" t="s">
        <v>4280</v>
      </c>
      <c r="ER14" s="352" t="s">
        <v>5807</v>
      </c>
      <c r="ES14" s="351" t="s">
        <v>4280</v>
      </c>
      <c r="ET14" s="350"/>
      <c r="EU14" s="350" t="str">
        <f t="shared" si="6"/>
        <v>Total CESAR_</v>
      </c>
    </row>
    <row r="15" spans="1:151" ht="25.5" x14ac:dyDescent="0.2">
      <c r="A15" s="242">
        <v>40186</v>
      </c>
      <c r="B15" s="107" t="s">
        <v>1719</v>
      </c>
      <c r="C15" s="107" t="s">
        <v>1720</v>
      </c>
      <c r="D15" s="427" t="s">
        <v>1721</v>
      </c>
      <c r="E15" s="107" t="str">
        <f>VLOOKUP(B15&amp;C15,Divipola!$C$2:$F$1138,4,FALSE)</f>
        <v>19001</v>
      </c>
      <c r="F15" s="330"/>
      <c r="G15" s="224"/>
      <c r="H15" s="75"/>
      <c r="I15" s="75"/>
      <c r="J15" s="75">
        <v>17</v>
      </c>
      <c r="K15" s="75">
        <v>3</v>
      </c>
      <c r="L15" s="75">
        <v>3</v>
      </c>
      <c r="M15" s="75"/>
      <c r="N15" s="75"/>
      <c r="O15" s="75"/>
      <c r="P15" s="75"/>
      <c r="Q15" s="75"/>
      <c r="R15" s="75"/>
      <c r="S15" s="75"/>
      <c r="T15" s="75"/>
      <c r="U15" s="75"/>
      <c r="V15" s="76"/>
      <c r="W15" s="205"/>
      <c r="X15" s="1"/>
      <c r="Y15" s="78">
        <f t="shared" si="0"/>
        <v>0</v>
      </c>
      <c r="Z15" s="78">
        <f t="shared" si="1"/>
        <v>0</v>
      </c>
      <c r="AA15" s="78">
        <f t="shared" si="2"/>
        <v>0</v>
      </c>
      <c r="AB15" s="78">
        <f t="shared" si="3"/>
        <v>0</v>
      </c>
      <c r="AC15" s="78"/>
      <c r="AD15" s="78">
        <v>0</v>
      </c>
      <c r="AE15" s="80">
        <f t="shared" si="7"/>
        <v>0</v>
      </c>
      <c r="AF15" s="82">
        <v>0</v>
      </c>
      <c r="AG15" s="69">
        <v>40186</v>
      </c>
      <c r="AH15" s="84"/>
      <c r="AI15" s="69" t="s">
        <v>1984</v>
      </c>
      <c r="AJ15" s="25" t="s">
        <v>1985</v>
      </c>
      <c r="AK15" s="65"/>
      <c r="AL15" s="212" t="s">
        <v>1257</v>
      </c>
      <c r="AM15" s="87" t="s">
        <v>1986</v>
      </c>
      <c r="AN15" s="110"/>
      <c r="AO15" s="4"/>
      <c r="AP15" s="5"/>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6"/>
      <c r="CQ15" s="7"/>
      <c r="CR15" s="6"/>
      <c r="CS15" s="7"/>
      <c r="CT15" s="6"/>
      <c r="CU15" s="7"/>
      <c r="CV15" s="8">
        <f t="shared" si="4"/>
        <v>0</v>
      </c>
      <c r="CW15" s="9"/>
      <c r="CX15" s="10"/>
      <c r="CY15" s="11"/>
      <c r="CZ15" s="12"/>
      <c r="DA15" s="29"/>
      <c r="DB15" s="12"/>
      <c r="DC15" s="9"/>
      <c r="DD15" s="10"/>
      <c r="DE15" s="71"/>
      <c r="EO15" s="353" t="str">
        <f t="shared" si="5"/>
        <v>CAUCA_POPAYAN</v>
      </c>
      <c r="EP15" s="350"/>
      <c r="EQ15" s="351" t="s">
        <v>4295</v>
      </c>
      <c r="ER15" s="352" t="s">
        <v>5808</v>
      </c>
      <c r="ES15" s="351" t="s">
        <v>4295</v>
      </c>
      <c r="ET15" s="350"/>
      <c r="EU15" s="350" t="str">
        <f t="shared" si="6"/>
        <v>Total CORDOBA_</v>
      </c>
    </row>
    <row r="16" spans="1:151" ht="38.25" x14ac:dyDescent="0.2">
      <c r="A16" s="242">
        <v>40186</v>
      </c>
      <c r="B16" s="107" t="s">
        <v>1719</v>
      </c>
      <c r="C16" s="232" t="s">
        <v>1987</v>
      </c>
      <c r="D16" s="427" t="s">
        <v>1988</v>
      </c>
      <c r="E16" s="107" t="str">
        <f>VLOOKUP(B16&amp;C16,Divipola!$C$2:$F$1138,4,FALSE)</f>
        <v>19693</v>
      </c>
      <c r="F16" s="330"/>
      <c r="G16" s="224"/>
      <c r="H16" s="75"/>
      <c r="I16" s="75"/>
      <c r="J16" s="75"/>
      <c r="K16" s="75"/>
      <c r="L16" s="75"/>
      <c r="M16" s="75"/>
      <c r="N16" s="75"/>
      <c r="O16" s="75"/>
      <c r="P16" s="75"/>
      <c r="Q16" s="75"/>
      <c r="R16" s="75"/>
      <c r="S16" s="75"/>
      <c r="T16" s="75"/>
      <c r="U16" s="75"/>
      <c r="V16" s="76">
        <f>100+25000+8000+10</f>
        <v>33110</v>
      </c>
      <c r="W16" s="205" t="s">
        <v>1998</v>
      </c>
      <c r="X16" s="1"/>
      <c r="Y16" s="78">
        <f t="shared" si="0"/>
        <v>0</v>
      </c>
      <c r="Z16" s="78">
        <f t="shared" si="1"/>
        <v>0</v>
      </c>
      <c r="AA16" s="78">
        <f t="shared" si="2"/>
        <v>0</v>
      </c>
      <c r="AB16" s="78">
        <f t="shared" si="3"/>
        <v>0</v>
      </c>
      <c r="AC16" s="78"/>
      <c r="AD16" s="78">
        <v>0</v>
      </c>
      <c r="AE16" s="80">
        <f t="shared" si="7"/>
        <v>0</v>
      </c>
      <c r="AF16" s="82">
        <v>0</v>
      </c>
      <c r="AG16" s="69">
        <v>40186</v>
      </c>
      <c r="AH16" s="84"/>
      <c r="AI16" s="69" t="s">
        <v>1984</v>
      </c>
      <c r="AJ16" s="25" t="s">
        <v>1985</v>
      </c>
      <c r="AK16" s="65"/>
      <c r="AL16" s="212" t="s">
        <v>1257</v>
      </c>
      <c r="AM16" s="87" t="s">
        <v>2000</v>
      </c>
      <c r="AN16" s="110"/>
      <c r="AO16" s="4"/>
      <c r="AP16" s="5"/>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6"/>
      <c r="CQ16" s="7"/>
      <c r="CR16" s="6"/>
      <c r="CS16" s="7"/>
      <c r="CT16" s="6"/>
      <c r="CU16" s="7"/>
      <c r="CV16" s="8">
        <f t="shared" si="4"/>
        <v>0</v>
      </c>
      <c r="CW16" s="9"/>
      <c r="CX16" s="10"/>
      <c r="CY16" s="11"/>
      <c r="CZ16" s="12"/>
      <c r="DA16" s="29"/>
      <c r="DB16" s="12"/>
      <c r="DC16" s="9"/>
      <c r="DD16" s="10"/>
      <c r="DE16" s="71"/>
      <c r="EO16" s="353" t="str">
        <f t="shared" si="5"/>
        <v>CAUCA_SAN SEBASTIAN</v>
      </c>
      <c r="EP16" s="350"/>
      <c r="EQ16" s="351" t="s">
        <v>4311</v>
      </c>
      <c r="ER16" s="352" t="s">
        <v>5809</v>
      </c>
      <c r="ES16" s="351" t="s">
        <v>4311</v>
      </c>
      <c r="ET16" s="350"/>
      <c r="EU16" s="350" t="str">
        <f t="shared" si="6"/>
        <v>Total CUNDINAMARCA_</v>
      </c>
    </row>
    <row r="17" spans="1:151" ht="67.5" x14ac:dyDescent="0.2">
      <c r="A17" s="242">
        <v>40187</v>
      </c>
      <c r="B17" s="107" t="s">
        <v>1719</v>
      </c>
      <c r="C17" s="107" t="s">
        <v>1258</v>
      </c>
      <c r="D17" s="427" t="s">
        <v>1988</v>
      </c>
      <c r="E17" s="107" t="str">
        <f>VLOOKUP(B17&amp;C17,Divipola!$C$2:$F$1138,4,FALSE)</f>
        <v>19392</v>
      </c>
      <c r="F17" s="330"/>
      <c r="G17" s="224"/>
      <c r="H17" s="75"/>
      <c r="I17" s="75"/>
      <c r="J17" s="75">
        <f>967*5</f>
        <v>4835</v>
      </c>
      <c r="K17" s="75">
        <v>967</v>
      </c>
      <c r="L17" s="75"/>
      <c r="M17" s="75"/>
      <c r="N17" s="75"/>
      <c r="O17" s="75"/>
      <c r="P17" s="75"/>
      <c r="Q17" s="75"/>
      <c r="R17" s="75"/>
      <c r="S17" s="75"/>
      <c r="T17" s="75"/>
      <c r="U17" s="75"/>
      <c r="V17" s="76">
        <v>1261</v>
      </c>
      <c r="W17" s="205" t="s">
        <v>1259</v>
      </c>
      <c r="X17" s="1">
        <v>40262</v>
      </c>
      <c r="Y17" s="78">
        <f t="shared" si="0"/>
        <v>0</v>
      </c>
      <c r="Z17" s="78">
        <f t="shared" si="1"/>
        <v>82195000</v>
      </c>
      <c r="AA17" s="78">
        <f t="shared" si="2"/>
        <v>0</v>
      </c>
      <c r="AB17" s="78">
        <f t="shared" si="3"/>
        <v>0</v>
      </c>
      <c r="AC17" s="78"/>
      <c r="AD17" s="78">
        <v>0</v>
      </c>
      <c r="AE17" s="80">
        <f t="shared" si="7"/>
        <v>82195000</v>
      </c>
      <c r="AF17" s="82">
        <v>0</v>
      </c>
      <c r="AG17" s="69">
        <v>40226</v>
      </c>
      <c r="AH17" s="84">
        <v>95320</v>
      </c>
      <c r="AI17" s="69" t="s">
        <v>2009</v>
      </c>
      <c r="AJ17" s="25" t="s">
        <v>2010</v>
      </c>
      <c r="AK17" s="65">
        <v>52</v>
      </c>
      <c r="AL17" s="212" t="s">
        <v>1452</v>
      </c>
      <c r="AM17" s="87" t="s">
        <v>140</v>
      </c>
      <c r="AN17" s="110"/>
      <c r="AO17" s="4"/>
      <c r="AP17" s="5"/>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6"/>
      <c r="CQ17" s="7"/>
      <c r="CR17" s="6"/>
      <c r="CS17" s="7"/>
      <c r="CT17" s="6"/>
      <c r="CU17" s="7"/>
      <c r="CV17" s="8">
        <f t="shared" si="4"/>
        <v>0</v>
      </c>
      <c r="CW17" s="9"/>
      <c r="CX17" s="10"/>
      <c r="CY17" s="11">
        <v>967</v>
      </c>
      <c r="CZ17" s="12">
        <f>967*85000</f>
        <v>82195000</v>
      </c>
      <c r="DA17" s="29"/>
      <c r="DB17" s="12"/>
      <c r="DC17" s="9"/>
      <c r="DD17" s="10"/>
      <c r="DE17" s="71"/>
      <c r="EO17" s="353" t="str">
        <f t="shared" si="5"/>
        <v>CAUCA_LA SIERRA</v>
      </c>
      <c r="EP17" s="350"/>
      <c r="EQ17" s="351" t="s">
        <v>4407</v>
      </c>
      <c r="ER17" s="352" t="s">
        <v>5810</v>
      </c>
      <c r="ES17" s="351" t="s">
        <v>4407</v>
      </c>
      <c r="ET17" s="350"/>
      <c r="EU17" s="350" t="str">
        <f t="shared" si="6"/>
        <v>Total CHOCO_</v>
      </c>
    </row>
    <row r="18" spans="1:151" ht="25.5" x14ac:dyDescent="0.2">
      <c r="A18" s="242">
        <v>40188</v>
      </c>
      <c r="B18" s="107" t="s">
        <v>1719</v>
      </c>
      <c r="C18" s="232" t="s">
        <v>2002</v>
      </c>
      <c r="D18" s="427" t="s">
        <v>2209</v>
      </c>
      <c r="E18" s="107" t="str">
        <f>VLOOKUP(B18&amp;C18,Divipola!$C$2:$F$1138,4,FALSE)</f>
        <v>19517</v>
      </c>
      <c r="F18" s="330"/>
      <c r="G18" s="224"/>
      <c r="H18" s="75"/>
      <c r="I18" s="75"/>
      <c r="J18" s="75">
        <v>16</v>
      </c>
      <c r="K18" s="75">
        <v>5</v>
      </c>
      <c r="L18" s="75"/>
      <c r="M18" s="75">
        <v>3</v>
      </c>
      <c r="N18" s="75"/>
      <c r="O18" s="75"/>
      <c r="P18" s="75"/>
      <c r="Q18" s="75"/>
      <c r="R18" s="75"/>
      <c r="S18" s="75"/>
      <c r="T18" s="75"/>
      <c r="U18" s="75"/>
      <c r="V18" s="76"/>
      <c r="W18" s="205"/>
      <c r="X18" s="1"/>
      <c r="Y18" s="78">
        <f t="shared" si="0"/>
        <v>0</v>
      </c>
      <c r="Z18" s="78">
        <f t="shared" si="1"/>
        <v>0</v>
      </c>
      <c r="AA18" s="78">
        <f t="shared" si="2"/>
        <v>0</v>
      </c>
      <c r="AB18" s="78">
        <f t="shared" si="3"/>
        <v>0</v>
      </c>
      <c r="AC18" s="78"/>
      <c r="AD18" s="78">
        <v>0</v>
      </c>
      <c r="AE18" s="80">
        <f t="shared" si="7"/>
        <v>0</v>
      </c>
      <c r="AF18" s="82">
        <v>0</v>
      </c>
      <c r="AG18" s="69">
        <v>40188</v>
      </c>
      <c r="AH18" s="84"/>
      <c r="AI18" s="69" t="s">
        <v>1984</v>
      </c>
      <c r="AJ18" s="25" t="s">
        <v>1985</v>
      </c>
      <c r="AK18" s="65"/>
      <c r="AL18" s="212" t="s">
        <v>1257</v>
      </c>
      <c r="AM18" s="87" t="s">
        <v>2005</v>
      </c>
      <c r="AN18" s="110"/>
      <c r="AO18" s="4"/>
      <c r="AP18" s="5"/>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6"/>
      <c r="CQ18" s="7"/>
      <c r="CR18" s="6"/>
      <c r="CS18" s="7"/>
      <c r="CT18" s="6"/>
      <c r="CU18" s="7"/>
      <c r="CV18" s="8">
        <f t="shared" si="4"/>
        <v>0</v>
      </c>
      <c r="CW18" s="9"/>
      <c r="CX18" s="10"/>
      <c r="CY18" s="11"/>
      <c r="CZ18" s="12"/>
      <c r="DA18" s="29"/>
      <c r="DB18" s="12"/>
      <c r="DC18" s="9"/>
      <c r="DD18" s="10"/>
      <c r="DE18" s="71"/>
      <c r="EO18" s="353" t="str">
        <f t="shared" si="5"/>
        <v>CAUCA_PAEZ</v>
      </c>
      <c r="EP18" s="350"/>
      <c r="EQ18" s="351" t="s">
        <v>4662</v>
      </c>
      <c r="ER18" s="352" t="s">
        <v>5811</v>
      </c>
      <c r="ES18" s="351" t="s">
        <v>4662</v>
      </c>
      <c r="ET18" s="350"/>
      <c r="EU18" s="350" t="str">
        <f t="shared" si="6"/>
        <v>Total GUAINIA_</v>
      </c>
    </row>
    <row r="19" spans="1:151" ht="45" x14ac:dyDescent="0.2">
      <c r="A19" s="242">
        <v>40192</v>
      </c>
      <c r="B19" s="107" t="s">
        <v>6305</v>
      </c>
      <c r="C19" s="107" t="s">
        <v>6305</v>
      </c>
      <c r="D19" s="427" t="s">
        <v>2779</v>
      </c>
      <c r="E19" s="107" t="str">
        <f>VLOOKUP(B19&amp;C19,Divipola!$C$2:$F$1138,4,FALSE)</f>
        <v>11001</v>
      </c>
      <c r="F19" s="330"/>
      <c r="G19" s="224"/>
      <c r="H19" s="75"/>
      <c r="I19" s="75"/>
      <c r="J19" s="75"/>
      <c r="K19" s="75"/>
      <c r="L19" s="75"/>
      <c r="M19" s="75"/>
      <c r="N19" s="75"/>
      <c r="O19" s="75"/>
      <c r="P19" s="75"/>
      <c r="Q19" s="75"/>
      <c r="R19" s="75"/>
      <c r="S19" s="75"/>
      <c r="T19" s="75"/>
      <c r="U19" s="75"/>
      <c r="V19" s="76"/>
      <c r="W19" s="205"/>
      <c r="X19" s="1">
        <v>40206</v>
      </c>
      <c r="Y19" s="78">
        <f t="shared" si="0"/>
        <v>0</v>
      </c>
      <c r="Z19" s="78">
        <f t="shared" si="1"/>
        <v>0</v>
      </c>
      <c r="AA19" s="78">
        <f t="shared" si="2"/>
        <v>0</v>
      </c>
      <c r="AB19" s="78">
        <f t="shared" si="3"/>
        <v>0</v>
      </c>
      <c r="AC19" s="78">
        <f>300*22000</f>
        <v>6600000</v>
      </c>
      <c r="AD19" s="78">
        <v>0</v>
      </c>
      <c r="AE19" s="80">
        <f t="shared" si="7"/>
        <v>6600000</v>
      </c>
      <c r="AF19" s="82">
        <v>0</v>
      </c>
      <c r="AG19" s="69">
        <v>40192</v>
      </c>
      <c r="AH19" s="84">
        <v>94443</v>
      </c>
      <c r="AI19" s="69" t="s">
        <v>2009</v>
      </c>
      <c r="AJ19" s="25" t="s">
        <v>2010</v>
      </c>
      <c r="AK19" s="65">
        <v>13</v>
      </c>
      <c r="AL19" s="212" t="s">
        <v>2011</v>
      </c>
      <c r="AM19" s="87" t="s">
        <v>1192</v>
      </c>
      <c r="AN19" s="110"/>
      <c r="AO19" s="4"/>
      <c r="AP19" s="5"/>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6"/>
      <c r="CQ19" s="7"/>
      <c r="CR19" s="6"/>
      <c r="CS19" s="7"/>
      <c r="CT19" s="6"/>
      <c r="CU19" s="7"/>
      <c r="CV19" s="8">
        <f t="shared" si="4"/>
        <v>0</v>
      </c>
      <c r="CW19" s="9"/>
      <c r="CX19" s="10"/>
      <c r="CY19" s="11"/>
      <c r="CZ19" s="12"/>
      <c r="DA19" s="29"/>
      <c r="DB19" s="12"/>
      <c r="DC19" s="9"/>
      <c r="DD19" s="10"/>
      <c r="DE19" s="71"/>
      <c r="EO19" s="353" t="str">
        <f t="shared" si="5"/>
        <v>BOGOTA, D.C._BOGOTA, D.C.</v>
      </c>
      <c r="EP19" s="350"/>
      <c r="EQ19" s="351" t="s">
        <v>4440</v>
      </c>
      <c r="ER19" s="352" t="s">
        <v>5812</v>
      </c>
      <c r="ES19" s="351" t="s">
        <v>4440</v>
      </c>
      <c r="ET19" s="350"/>
      <c r="EU19" s="350" t="str">
        <f t="shared" si="6"/>
        <v>Total GUAJIRA_</v>
      </c>
    </row>
    <row r="20" spans="1:151" ht="72" x14ac:dyDescent="0.2">
      <c r="A20" s="242">
        <v>40192</v>
      </c>
      <c r="B20" s="107" t="s">
        <v>2425</v>
      </c>
      <c r="C20" s="107" t="s">
        <v>2320</v>
      </c>
      <c r="D20" s="427" t="s">
        <v>250</v>
      </c>
      <c r="E20" s="107" t="str">
        <f>VLOOKUP(B20&amp;C20,Divipola!$C$2:$F$1138,4,FALSE)</f>
        <v>27450</v>
      </c>
      <c r="F20" s="330"/>
      <c r="G20" s="224"/>
      <c r="H20" s="75"/>
      <c r="I20" s="75"/>
      <c r="J20" s="75"/>
      <c r="K20" s="75"/>
      <c r="L20" s="75"/>
      <c r="M20" s="75"/>
      <c r="N20" s="75"/>
      <c r="O20" s="75"/>
      <c r="P20" s="75"/>
      <c r="Q20" s="75"/>
      <c r="R20" s="75"/>
      <c r="S20" s="75"/>
      <c r="T20" s="75"/>
      <c r="U20" s="75"/>
      <c r="V20" s="76"/>
      <c r="W20" s="205"/>
      <c r="X20" s="1">
        <v>40287</v>
      </c>
      <c r="Y20" s="78">
        <f t="shared" si="0"/>
        <v>0</v>
      </c>
      <c r="Z20" s="78">
        <f t="shared" si="1"/>
        <v>0</v>
      </c>
      <c r="AA20" s="78">
        <f t="shared" si="2"/>
        <v>0</v>
      </c>
      <c r="AB20" s="78">
        <f t="shared" si="3"/>
        <v>0</v>
      </c>
      <c r="AC20" s="78"/>
      <c r="AD20" s="78">
        <v>40000000</v>
      </c>
      <c r="AE20" s="80">
        <f t="shared" si="7"/>
        <v>40000000</v>
      </c>
      <c r="AF20" s="82">
        <v>0</v>
      </c>
      <c r="AG20" s="69">
        <v>40218</v>
      </c>
      <c r="AH20" s="84">
        <v>95080</v>
      </c>
      <c r="AI20" s="69" t="s">
        <v>2009</v>
      </c>
      <c r="AJ20" s="25" t="s">
        <v>2010</v>
      </c>
      <c r="AK20" s="65">
        <v>202</v>
      </c>
      <c r="AL20" s="212" t="s">
        <v>2323</v>
      </c>
      <c r="AM20" s="93" t="s">
        <v>1317</v>
      </c>
      <c r="AN20" s="110"/>
      <c r="AO20" s="4"/>
      <c r="AP20" s="5"/>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6"/>
      <c r="CQ20" s="7"/>
      <c r="CR20" s="6"/>
      <c r="CS20" s="7"/>
      <c r="CT20" s="6"/>
      <c r="CU20" s="7"/>
      <c r="CV20" s="8">
        <f t="shared" si="4"/>
        <v>0</v>
      </c>
      <c r="CW20" s="9"/>
      <c r="CX20" s="10"/>
      <c r="CY20" s="11"/>
      <c r="CZ20" s="12"/>
      <c r="DA20" s="29"/>
      <c r="DB20" s="12"/>
      <c r="DC20" s="9"/>
      <c r="DD20" s="10"/>
      <c r="DE20" s="71">
        <v>2</v>
      </c>
      <c r="EO20" s="353" t="str">
        <f t="shared" si="5"/>
        <v>CHOCO_MEDIO SAN JUAN</v>
      </c>
      <c r="EP20" s="350"/>
      <c r="EQ20" s="351" t="s">
        <v>4664</v>
      </c>
      <c r="ER20" s="352" t="s">
        <v>5813</v>
      </c>
      <c r="ES20" s="351" t="s">
        <v>4664</v>
      </c>
      <c r="ET20" s="350"/>
      <c r="EU20" s="350" t="str">
        <f t="shared" si="6"/>
        <v>Total GUAVIARE_</v>
      </c>
    </row>
    <row r="21" spans="1:151" ht="45" x14ac:dyDescent="0.2">
      <c r="A21" s="242">
        <v>40192</v>
      </c>
      <c r="B21" s="107" t="s">
        <v>2013</v>
      </c>
      <c r="C21" s="107" t="s">
        <v>2013</v>
      </c>
      <c r="D21" s="427" t="s">
        <v>2779</v>
      </c>
      <c r="E21" s="107" t="str">
        <f>VLOOKUP(B21&amp;C21,Divipola!$C$2:$F$1138,4,FALSE)</f>
        <v>00000</v>
      </c>
      <c r="F21" s="330"/>
      <c r="G21" s="224"/>
      <c r="H21" s="75"/>
      <c r="I21" s="75"/>
      <c r="J21" s="75"/>
      <c r="K21" s="75"/>
      <c r="L21" s="75"/>
      <c r="M21" s="75"/>
      <c r="N21" s="75"/>
      <c r="O21" s="75"/>
      <c r="P21" s="75"/>
      <c r="Q21" s="75"/>
      <c r="R21" s="75"/>
      <c r="S21" s="75"/>
      <c r="T21" s="75"/>
      <c r="U21" s="75"/>
      <c r="V21" s="76"/>
      <c r="W21" s="205"/>
      <c r="X21" s="1">
        <v>40206</v>
      </c>
      <c r="Y21" s="78">
        <f t="shared" si="0"/>
        <v>0</v>
      </c>
      <c r="Z21" s="78">
        <f t="shared" si="1"/>
        <v>0</v>
      </c>
      <c r="AA21" s="78">
        <f t="shared" si="2"/>
        <v>0</v>
      </c>
      <c r="AB21" s="78">
        <f t="shared" si="3"/>
        <v>0</v>
      </c>
      <c r="AC21" s="78">
        <f>500*22000</f>
        <v>11000000</v>
      </c>
      <c r="AD21" s="78">
        <v>0</v>
      </c>
      <c r="AE21" s="80">
        <f t="shared" si="7"/>
        <v>11000000</v>
      </c>
      <c r="AF21" s="82">
        <v>0</v>
      </c>
      <c r="AG21" s="69">
        <v>40205</v>
      </c>
      <c r="AH21" s="84">
        <v>94859</v>
      </c>
      <c r="AI21" s="69" t="s">
        <v>2009</v>
      </c>
      <c r="AJ21" s="25" t="s">
        <v>2010</v>
      </c>
      <c r="AK21" s="65">
        <v>13</v>
      </c>
      <c r="AL21" s="212" t="s">
        <v>2011</v>
      </c>
      <c r="AM21" s="87" t="s">
        <v>1193</v>
      </c>
      <c r="AN21" s="110"/>
      <c r="AO21" s="4"/>
      <c r="AP21" s="5"/>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6"/>
      <c r="CQ21" s="7"/>
      <c r="CR21" s="6"/>
      <c r="CS21" s="7"/>
      <c r="CT21" s="6"/>
      <c r="CU21" s="7"/>
      <c r="CV21" s="8">
        <f t="shared" si="4"/>
        <v>0</v>
      </c>
      <c r="CW21" s="9"/>
      <c r="CX21" s="10"/>
      <c r="CY21" s="11"/>
      <c r="CZ21" s="12"/>
      <c r="DA21" s="29"/>
      <c r="DB21" s="12"/>
      <c r="DC21" s="9"/>
      <c r="DD21" s="10"/>
      <c r="DE21" s="71"/>
      <c r="EO21" s="353" t="str">
        <f t="shared" si="5"/>
        <v>NACION_NACION</v>
      </c>
      <c r="EP21" s="350"/>
      <c r="EQ21" s="351" t="s">
        <v>4420</v>
      </c>
      <c r="ER21" s="352" t="s">
        <v>5814</v>
      </c>
      <c r="ES21" s="351" t="s">
        <v>4420</v>
      </c>
      <c r="ET21" s="350"/>
      <c r="EU21" s="350" t="str">
        <f t="shared" si="6"/>
        <v>Total HUILA_</v>
      </c>
    </row>
    <row r="22" spans="1:151" ht="84" x14ac:dyDescent="0.2">
      <c r="A22" s="242">
        <v>40193</v>
      </c>
      <c r="B22" s="107" t="s">
        <v>2013</v>
      </c>
      <c r="C22" s="232" t="s">
        <v>2013</v>
      </c>
      <c r="D22" s="427" t="s">
        <v>2779</v>
      </c>
      <c r="E22" s="107" t="str">
        <f>VLOOKUP(B22&amp;C22,Divipola!$C$2:$F$1138,4,FALSE)</f>
        <v>00000</v>
      </c>
      <c r="F22" s="330"/>
      <c r="G22" s="224"/>
      <c r="H22" s="75"/>
      <c r="I22" s="75"/>
      <c r="J22" s="75"/>
      <c r="K22" s="75"/>
      <c r="L22" s="75"/>
      <c r="M22" s="75"/>
      <c r="N22" s="75"/>
      <c r="O22" s="75"/>
      <c r="P22" s="75"/>
      <c r="Q22" s="75"/>
      <c r="R22" s="75"/>
      <c r="S22" s="75"/>
      <c r="T22" s="75"/>
      <c r="U22" s="75"/>
      <c r="V22" s="76"/>
      <c r="W22" s="205"/>
      <c r="X22" s="1">
        <v>40204</v>
      </c>
      <c r="Y22" s="78">
        <f t="shared" si="0"/>
        <v>0</v>
      </c>
      <c r="Z22" s="78">
        <f t="shared" si="1"/>
        <v>0</v>
      </c>
      <c r="AA22" s="78">
        <f t="shared" si="2"/>
        <v>0</v>
      </c>
      <c r="AB22" s="78">
        <f t="shared" si="3"/>
        <v>0</v>
      </c>
      <c r="AC22" s="78">
        <f>100*495267.8+200*406000</f>
        <v>130726780</v>
      </c>
      <c r="AD22" s="78">
        <v>0</v>
      </c>
      <c r="AE22" s="80">
        <f t="shared" si="7"/>
        <v>130726780</v>
      </c>
      <c r="AF22" s="82">
        <v>0</v>
      </c>
      <c r="AG22" s="69">
        <v>40193</v>
      </c>
      <c r="AH22" s="84"/>
      <c r="AI22" s="69" t="s">
        <v>2009</v>
      </c>
      <c r="AJ22" s="25" t="s">
        <v>2010</v>
      </c>
      <c r="AK22" s="88" t="s">
        <v>2185</v>
      </c>
      <c r="AL22" s="212" t="s">
        <v>2011</v>
      </c>
      <c r="AM22" s="87" t="s">
        <v>2184</v>
      </c>
      <c r="AN22" s="110"/>
      <c r="AO22" s="4"/>
      <c r="AP22" s="5"/>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6"/>
      <c r="CQ22" s="7"/>
      <c r="CR22" s="6"/>
      <c r="CS22" s="7"/>
      <c r="CT22" s="6"/>
      <c r="CU22" s="7"/>
      <c r="CV22" s="8">
        <f t="shared" si="4"/>
        <v>0</v>
      </c>
      <c r="CW22" s="9"/>
      <c r="CX22" s="10"/>
      <c r="CY22" s="11"/>
      <c r="CZ22" s="12"/>
      <c r="DA22" s="29"/>
      <c r="DB22" s="12"/>
      <c r="DC22" s="9"/>
      <c r="DD22" s="10"/>
      <c r="DE22" s="89"/>
      <c r="EO22" s="353" t="str">
        <f t="shared" si="5"/>
        <v>NACION_NACION</v>
      </c>
      <c r="EP22" s="350"/>
      <c r="EQ22" s="351" t="s">
        <v>4449</v>
      </c>
      <c r="ER22" s="352" t="s">
        <v>5815</v>
      </c>
      <c r="ES22" s="351" t="s">
        <v>4449</v>
      </c>
      <c r="ET22" s="350"/>
      <c r="EU22" s="350" t="str">
        <f t="shared" si="6"/>
        <v>Total MAGDALENA_</v>
      </c>
    </row>
    <row r="23" spans="1:151" ht="63.75" x14ac:dyDescent="0.2">
      <c r="A23" s="242">
        <v>40193</v>
      </c>
      <c r="B23" s="107" t="s">
        <v>1462</v>
      </c>
      <c r="C23" s="107" t="s">
        <v>2008</v>
      </c>
      <c r="D23" s="427" t="s">
        <v>2779</v>
      </c>
      <c r="E23" s="107">
        <f>VLOOKUP(B23&amp;C23,Divipola!$C$2:$F$1138,4,FALSE)</f>
        <v>76</v>
      </c>
      <c r="F23" s="330"/>
      <c r="G23" s="224"/>
      <c r="H23" s="75"/>
      <c r="I23" s="75"/>
      <c r="J23" s="75"/>
      <c r="K23" s="75"/>
      <c r="L23" s="75"/>
      <c r="M23" s="75"/>
      <c r="N23" s="75"/>
      <c r="O23" s="75"/>
      <c r="P23" s="75"/>
      <c r="Q23" s="75"/>
      <c r="R23" s="75"/>
      <c r="S23" s="75"/>
      <c r="T23" s="75"/>
      <c r="U23" s="75"/>
      <c r="V23" s="76"/>
      <c r="W23" s="205"/>
      <c r="X23" s="1">
        <v>40211</v>
      </c>
      <c r="Y23" s="78">
        <f t="shared" si="0"/>
        <v>0</v>
      </c>
      <c r="Z23" s="78">
        <f t="shared" si="1"/>
        <v>42500000</v>
      </c>
      <c r="AA23" s="78">
        <f t="shared" si="2"/>
        <v>0</v>
      </c>
      <c r="AB23" s="78">
        <f t="shared" si="3"/>
        <v>0</v>
      </c>
      <c r="AC23" s="78"/>
      <c r="AD23" s="78">
        <v>0</v>
      </c>
      <c r="AE23" s="80">
        <f t="shared" si="7"/>
        <v>42500000</v>
      </c>
      <c r="AF23" s="82">
        <v>0</v>
      </c>
      <c r="AG23" s="69">
        <v>40224</v>
      </c>
      <c r="AH23" s="84">
        <v>94477</v>
      </c>
      <c r="AI23" s="69" t="s">
        <v>2009</v>
      </c>
      <c r="AJ23" s="25" t="s">
        <v>2010</v>
      </c>
      <c r="AK23" s="65">
        <v>14</v>
      </c>
      <c r="AL23" s="212" t="s">
        <v>2011</v>
      </c>
      <c r="AM23" s="87" t="s">
        <v>284</v>
      </c>
      <c r="AN23" s="110"/>
      <c r="AO23" s="4"/>
      <c r="AP23" s="5"/>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6"/>
      <c r="CQ23" s="7"/>
      <c r="CR23" s="6"/>
      <c r="CS23" s="7"/>
      <c r="CT23" s="6"/>
      <c r="CU23" s="7"/>
      <c r="CV23" s="8">
        <f t="shared" si="4"/>
        <v>0</v>
      </c>
      <c r="CW23" s="9"/>
      <c r="CX23" s="10"/>
      <c r="CY23" s="11">
        <v>500</v>
      </c>
      <c r="CZ23" s="12">
        <f>500*85000</f>
        <v>42500000</v>
      </c>
      <c r="DA23" s="29"/>
      <c r="DB23" s="12"/>
      <c r="DC23" s="9"/>
      <c r="DD23" s="10"/>
      <c r="DE23" s="71"/>
      <c r="EO23" s="353" t="str">
        <f t="shared" si="5"/>
        <v>VALLE DEL CAUCA_DEPARTAMENTO</v>
      </c>
      <c r="EP23" s="350"/>
      <c r="EQ23" s="351" t="s">
        <v>4466</v>
      </c>
      <c r="ER23" s="352" t="s">
        <v>5816</v>
      </c>
      <c r="ES23" s="351" t="s">
        <v>4466</v>
      </c>
      <c r="ET23" s="350"/>
      <c r="EU23" s="350" t="str">
        <f t="shared" si="6"/>
        <v>Total META_</v>
      </c>
    </row>
    <row r="24" spans="1:151" ht="147" x14ac:dyDescent="0.2">
      <c r="A24" s="242">
        <v>40196</v>
      </c>
      <c r="B24" s="107" t="s">
        <v>1951</v>
      </c>
      <c r="C24" s="107" t="s">
        <v>1947</v>
      </c>
      <c r="D24" s="427" t="s">
        <v>1387</v>
      </c>
      <c r="E24" s="107" t="str">
        <f>VLOOKUP(B24&amp;C24,Divipola!$C$2:$F$1138,4,FALSE)</f>
        <v>08137</v>
      </c>
      <c r="F24" s="330"/>
      <c r="G24" s="224"/>
      <c r="H24" s="75"/>
      <c r="I24" s="75"/>
      <c r="J24" s="75"/>
      <c r="K24" s="75"/>
      <c r="L24" s="75"/>
      <c r="M24" s="75"/>
      <c r="N24" s="75"/>
      <c r="O24" s="75"/>
      <c r="P24" s="75"/>
      <c r="Q24" s="75"/>
      <c r="R24" s="75"/>
      <c r="S24" s="75"/>
      <c r="T24" s="75"/>
      <c r="U24" s="75"/>
      <c r="V24" s="76"/>
      <c r="W24" s="205"/>
      <c r="X24" s="1"/>
      <c r="Y24" s="78">
        <f t="shared" si="0"/>
        <v>0</v>
      </c>
      <c r="Z24" s="78">
        <f t="shared" si="1"/>
        <v>0</v>
      </c>
      <c r="AA24" s="78">
        <f t="shared" si="2"/>
        <v>0</v>
      </c>
      <c r="AB24" s="78">
        <f t="shared" si="3"/>
        <v>0</v>
      </c>
      <c r="AC24" s="78"/>
      <c r="AD24" s="78">
        <v>0</v>
      </c>
      <c r="AE24" s="80">
        <f t="shared" si="7"/>
        <v>0</v>
      </c>
      <c r="AF24" s="82">
        <v>0</v>
      </c>
      <c r="AG24" s="69">
        <v>40210</v>
      </c>
      <c r="AH24" s="84"/>
      <c r="AI24" s="69" t="s">
        <v>1984</v>
      </c>
      <c r="AJ24" s="25" t="s">
        <v>1985</v>
      </c>
      <c r="AK24" s="65"/>
      <c r="AL24" s="212" t="s">
        <v>1257</v>
      </c>
      <c r="AM24" s="284" t="s">
        <v>1442</v>
      </c>
      <c r="AN24" s="110"/>
      <c r="AO24" s="4"/>
      <c r="AP24" s="5"/>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6"/>
      <c r="CQ24" s="7"/>
      <c r="CR24" s="6"/>
      <c r="CS24" s="7"/>
      <c r="CT24" s="6"/>
      <c r="CU24" s="7"/>
      <c r="CV24" s="8">
        <f t="shared" si="4"/>
        <v>0</v>
      </c>
      <c r="CW24" s="9"/>
      <c r="CX24" s="10"/>
      <c r="CY24" s="11"/>
      <c r="CZ24" s="12"/>
      <c r="DA24" s="29"/>
      <c r="DB24" s="12"/>
      <c r="DC24" s="9"/>
      <c r="DD24" s="10"/>
      <c r="DE24" s="71"/>
      <c r="EO24" s="353" t="str">
        <f t="shared" si="5"/>
        <v>ATLANTICO_CAMPO DE LA CRUZ</v>
      </c>
      <c r="EP24" s="350"/>
      <c r="EQ24" s="351" t="s">
        <v>4485</v>
      </c>
      <c r="ER24" s="352" t="s">
        <v>5817</v>
      </c>
      <c r="ES24" s="351" t="s">
        <v>4485</v>
      </c>
      <c r="ET24" s="350"/>
      <c r="EU24" s="350" t="str">
        <f t="shared" si="6"/>
        <v>Total NARIÑO_</v>
      </c>
    </row>
    <row r="25" spans="1:151" ht="147" x14ac:dyDescent="0.2">
      <c r="A25" s="242">
        <v>40196</v>
      </c>
      <c r="B25" s="107" t="s">
        <v>1951</v>
      </c>
      <c r="C25" s="107" t="s">
        <v>1948</v>
      </c>
      <c r="D25" s="427" t="s">
        <v>1387</v>
      </c>
      <c r="E25" s="107" t="str">
        <f>VLOOKUP(B25&amp;C25,Divipola!$C$2:$F$1138,4,FALSE)</f>
        <v>08141</v>
      </c>
      <c r="F25" s="330"/>
      <c r="G25" s="224"/>
      <c r="H25" s="75"/>
      <c r="I25" s="75"/>
      <c r="J25" s="75"/>
      <c r="K25" s="75"/>
      <c r="L25" s="75"/>
      <c r="M25" s="75"/>
      <c r="N25" s="75"/>
      <c r="O25" s="75"/>
      <c r="P25" s="75"/>
      <c r="Q25" s="75"/>
      <c r="R25" s="75"/>
      <c r="S25" s="75"/>
      <c r="T25" s="75"/>
      <c r="U25" s="75"/>
      <c r="V25" s="76"/>
      <c r="W25" s="205"/>
      <c r="X25" s="1"/>
      <c r="Y25" s="78">
        <f t="shared" si="0"/>
        <v>0</v>
      </c>
      <c r="Z25" s="78">
        <f t="shared" si="1"/>
        <v>0</v>
      </c>
      <c r="AA25" s="78">
        <f t="shared" si="2"/>
        <v>0</v>
      </c>
      <c r="AB25" s="78">
        <f t="shared" si="3"/>
        <v>0</v>
      </c>
      <c r="AC25" s="78"/>
      <c r="AD25" s="78">
        <v>0</v>
      </c>
      <c r="AE25" s="80">
        <f t="shared" si="7"/>
        <v>0</v>
      </c>
      <c r="AF25" s="82">
        <v>0</v>
      </c>
      <c r="AG25" s="69">
        <v>40210</v>
      </c>
      <c r="AH25" s="84"/>
      <c r="AI25" s="69" t="s">
        <v>1984</v>
      </c>
      <c r="AJ25" s="25" t="s">
        <v>1985</v>
      </c>
      <c r="AK25" s="65"/>
      <c r="AL25" s="212" t="s">
        <v>1257</v>
      </c>
      <c r="AM25" s="284" t="s">
        <v>1441</v>
      </c>
      <c r="AN25" s="110"/>
      <c r="AO25" s="4"/>
      <c r="AP25" s="5"/>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6"/>
      <c r="CQ25" s="7"/>
      <c r="CR25" s="6"/>
      <c r="CS25" s="7"/>
      <c r="CT25" s="6"/>
      <c r="CU25" s="7"/>
      <c r="CV25" s="8">
        <f t="shared" si="4"/>
        <v>0</v>
      </c>
      <c r="CW25" s="9"/>
      <c r="CX25" s="10"/>
      <c r="CY25" s="11"/>
      <c r="CZ25" s="12"/>
      <c r="DA25" s="29"/>
      <c r="DB25" s="12"/>
      <c r="DC25" s="9"/>
      <c r="DD25" s="10"/>
      <c r="DE25" s="71"/>
      <c r="EO25" s="353" t="str">
        <f t="shared" si="5"/>
        <v>ATLANTICO_CANDELARIA</v>
      </c>
      <c r="EP25" s="350"/>
      <c r="EQ25" s="351" t="s">
        <v>4515</v>
      </c>
      <c r="ER25" s="352" t="s">
        <v>5818</v>
      </c>
      <c r="ES25" s="351" t="s">
        <v>4515</v>
      </c>
      <c r="ET25" s="350"/>
      <c r="EU25" s="350" t="str">
        <f t="shared" si="6"/>
        <v>Total NORTE DE SANTANDER_</v>
      </c>
    </row>
    <row r="26" spans="1:151" s="90" customFormat="1" ht="147" x14ac:dyDescent="0.2">
      <c r="A26" s="242">
        <v>40196</v>
      </c>
      <c r="B26" s="107" t="s">
        <v>1951</v>
      </c>
      <c r="C26" s="107" t="s">
        <v>1949</v>
      </c>
      <c r="D26" s="427" t="s">
        <v>1387</v>
      </c>
      <c r="E26" s="107" t="str">
        <f>VLOOKUP(B26&amp;C26,Divipola!$C$2:$F$1138,4,FALSE)</f>
        <v>08436</v>
      </c>
      <c r="F26" s="330"/>
      <c r="G26" s="224"/>
      <c r="H26" s="75"/>
      <c r="I26" s="75"/>
      <c r="J26" s="75"/>
      <c r="K26" s="75"/>
      <c r="L26" s="75"/>
      <c r="M26" s="75"/>
      <c r="N26" s="75"/>
      <c r="O26" s="75"/>
      <c r="P26" s="75"/>
      <c r="Q26" s="75"/>
      <c r="R26" s="75"/>
      <c r="S26" s="75"/>
      <c r="T26" s="75"/>
      <c r="U26" s="75"/>
      <c r="V26" s="76"/>
      <c r="W26" s="205"/>
      <c r="X26" s="1"/>
      <c r="Y26" s="78">
        <f t="shared" si="0"/>
        <v>0</v>
      </c>
      <c r="Z26" s="78">
        <f t="shared" si="1"/>
        <v>0</v>
      </c>
      <c r="AA26" s="78">
        <f t="shared" si="2"/>
        <v>0</v>
      </c>
      <c r="AB26" s="78">
        <f t="shared" si="3"/>
        <v>0</v>
      </c>
      <c r="AC26" s="78"/>
      <c r="AD26" s="78">
        <v>0</v>
      </c>
      <c r="AE26" s="80">
        <f t="shared" si="7"/>
        <v>0</v>
      </c>
      <c r="AF26" s="82">
        <v>0</v>
      </c>
      <c r="AG26" s="69">
        <v>40210</v>
      </c>
      <c r="AH26" s="84"/>
      <c r="AI26" s="69" t="s">
        <v>1984</v>
      </c>
      <c r="AJ26" s="25" t="s">
        <v>1985</v>
      </c>
      <c r="AK26" s="65"/>
      <c r="AL26" s="185" t="s">
        <v>1257</v>
      </c>
      <c r="AM26" s="86" t="s">
        <v>1833</v>
      </c>
      <c r="AN26" s="3"/>
      <c r="AO26" s="4"/>
      <c r="AP26" s="5"/>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6"/>
      <c r="CQ26" s="7"/>
      <c r="CR26" s="6"/>
      <c r="CS26" s="7"/>
      <c r="CT26" s="6"/>
      <c r="CU26" s="7"/>
      <c r="CV26" s="8">
        <f t="shared" si="4"/>
        <v>0</v>
      </c>
      <c r="CW26" s="9"/>
      <c r="CX26" s="10"/>
      <c r="CY26" s="11"/>
      <c r="CZ26" s="12"/>
      <c r="DA26" s="29"/>
      <c r="DB26" s="12"/>
      <c r="DC26" s="9"/>
      <c r="DD26" s="10"/>
      <c r="DE26" s="71"/>
      <c r="DF26" s="23"/>
      <c r="EO26" s="353" t="str">
        <f t="shared" si="5"/>
        <v>ATLANTICO_MANATI</v>
      </c>
      <c r="EP26" s="350"/>
      <c r="EQ26" s="351" t="s">
        <v>4648</v>
      </c>
      <c r="ER26" s="352" t="s">
        <v>5819</v>
      </c>
      <c r="ES26" s="351" t="s">
        <v>4648</v>
      </c>
      <c r="ET26" s="350"/>
      <c r="EU26" s="350" t="str">
        <f t="shared" si="6"/>
        <v>Total PUTUMAYO_</v>
      </c>
    </row>
    <row r="27" spans="1:151" ht="74.25" x14ac:dyDescent="0.2">
      <c r="A27" s="242">
        <v>40196</v>
      </c>
      <c r="B27" s="107" t="s">
        <v>1951</v>
      </c>
      <c r="C27" s="107" t="s">
        <v>698</v>
      </c>
      <c r="D27" s="427" t="s">
        <v>1387</v>
      </c>
      <c r="E27" s="107" t="str">
        <f>VLOOKUP(B27&amp;C27,Divipola!$C$2:$F$1138,4,FALSE)</f>
        <v>08520</v>
      </c>
      <c r="F27" s="330"/>
      <c r="G27" s="224"/>
      <c r="H27" s="75"/>
      <c r="I27" s="75"/>
      <c r="J27" s="75"/>
      <c r="K27" s="75"/>
      <c r="L27" s="75"/>
      <c r="M27" s="75"/>
      <c r="N27" s="75"/>
      <c r="O27" s="75"/>
      <c r="P27" s="75"/>
      <c r="Q27" s="75"/>
      <c r="R27" s="75"/>
      <c r="S27" s="75"/>
      <c r="T27" s="75"/>
      <c r="U27" s="75"/>
      <c r="V27" s="76"/>
      <c r="W27" s="205"/>
      <c r="X27" s="1"/>
      <c r="Y27" s="78">
        <f t="shared" si="0"/>
        <v>0</v>
      </c>
      <c r="Z27" s="78">
        <f t="shared" si="1"/>
        <v>0</v>
      </c>
      <c r="AA27" s="78">
        <f t="shared" si="2"/>
        <v>0</v>
      </c>
      <c r="AB27" s="78">
        <f t="shared" si="3"/>
        <v>0</v>
      </c>
      <c r="AC27" s="78"/>
      <c r="AD27" s="78">
        <v>0</v>
      </c>
      <c r="AE27" s="80">
        <f t="shared" si="7"/>
        <v>0</v>
      </c>
      <c r="AF27" s="82">
        <v>0</v>
      </c>
      <c r="AG27" s="69">
        <v>40220</v>
      </c>
      <c r="AH27" s="84">
        <v>95146</v>
      </c>
      <c r="AI27" s="69" t="s">
        <v>1984</v>
      </c>
      <c r="AJ27" s="25" t="s">
        <v>1985</v>
      </c>
      <c r="AK27" s="65"/>
      <c r="AL27" s="185" t="s">
        <v>1257</v>
      </c>
      <c r="AM27" s="85" t="s">
        <v>934</v>
      </c>
      <c r="AN27" s="3"/>
      <c r="AO27" s="4"/>
      <c r="AP27" s="5"/>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6"/>
      <c r="CQ27" s="7"/>
      <c r="CR27" s="6"/>
      <c r="CS27" s="7"/>
      <c r="CT27" s="6"/>
      <c r="CU27" s="7"/>
      <c r="CV27" s="8">
        <f t="shared" si="4"/>
        <v>0</v>
      </c>
      <c r="CW27" s="9"/>
      <c r="CX27" s="10"/>
      <c r="CY27" s="11"/>
      <c r="CZ27" s="12"/>
      <c r="DA27" s="29"/>
      <c r="DB27" s="12"/>
      <c r="DC27" s="9"/>
      <c r="DD27" s="10"/>
      <c r="DE27" s="71"/>
      <c r="EO27" s="353" t="str">
        <f t="shared" si="5"/>
        <v>ATLANTICO_PALMAR DE VARELA</v>
      </c>
      <c r="EP27" s="350"/>
      <c r="EQ27" s="351" t="s">
        <v>4658</v>
      </c>
      <c r="ER27" s="352" t="s">
        <v>5820</v>
      </c>
      <c r="ES27" s="351" t="s">
        <v>4658</v>
      </c>
      <c r="ET27" s="350"/>
      <c r="EU27" s="350" t="str">
        <f t="shared" si="6"/>
        <v>Total SAN ANDRES_</v>
      </c>
    </row>
    <row r="28" spans="1:151" ht="122.25" x14ac:dyDescent="0.2">
      <c r="A28" s="242">
        <v>40196</v>
      </c>
      <c r="B28" s="107" t="s">
        <v>1951</v>
      </c>
      <c r="C28" s="107" t="s">
        <v>1950</v>
      </c>
      <c r="D28" s="427" t="s">
        <v>1387</v>
      </c>
      <c r="E28" s="107" t="str">
        <f>VLOOKUP(B28&amp;C28,Divipola!$C$2:$F$1138,4,FALSE)</f>
        <v>08560</v>
      </c>
      <c r="F28" s="330"/>
      <c r="G28" s="224"/>
      <c r="H28" s="75"/>
      <c r="I28" s="75"/>
      <c r="J28" s="75"/>
      <c r="K28" s="75"/>
      <c r="L28" s="75"/>
      <c r="M28" s="75"/>
      <c r="N28" s="75"/>
      <c r="O28" s="75"/>
      <c r="P28" s="75"/>
      <c r="Q28" s="75"/>
      <c r="R28" s="75"/>
      <c r="S28" s="75"/>
      <c r="T28" s="75"/>
      <c r="U28" s="75"/>
      <c r="V28" s="76"/>
      <c r="W28" s="205"/>
      <c r="X28" s="1"/>
      <c r="Y28" s="78">
        <f t="shared" si="0"/>
        <v>0</v>
      </c>
      <c r="Z28" s="78">
        <f t="shared" si="1"/>
        <v>0</v>
      </c>
      <c r="AA28" s="78">
        <f t="shared" si="2"/>
        <v>0</v>
      </c>
      <c r="AB28" s="78">
        <f t="shared" si="3"/>
        <v>0</v>
      </c>
      <c r="AC28" s="78"/>
      <c r="AD28" s="78">
        <v>0</v>
      </c>
      <c r="AE28" s="80">
        <f t="shared" si="7"/>
        <v>0</v>
      </c>
      <c r="AF28" s="82">
        <v>0</v>
      </c>
      <c r="AG28" s="69">
        <v>40210</v>
      </c>
      <c r="AH28" s="84"/>
      <c r="AI28" s="69" t="s">
        <v>1984</v>
      </c>
      <c r="AJ28" s="25" t="s">
        <v>1985</v>
      </c>
      <c r="AK28" s="65"/>
      <c r="AL28" s="185" t="s">
        <v>1257</v>
      </c>
      <c r="AM28" s="86" t="s">
        <v>933</v>
      </c>
      <c r="AN28" s="3"/>
      <c r="AO28" s="4"/>
      <c r="AP28" s="5"/>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6"/>
      <c r="CQ28" s="7"/>
      <c r="CR28" s="6"/>
      <c r="CS28" s="7"/>
      <c r="CT28" s="6"/>
      <c r="CU28" s="7"/>
      <c r="CV28" s="8">
        <f t="shared" si="4"/>
        <v>0</v>
      </c>
      <c r="CW28" s="9"/>
      <c r="CX28" s="10"/>
      <c r="CY28" s="11"/>
      <c r="CZ28" s="12"/>
      <c r="DA28" s="29"/>
      <c r="DB28" s="12"/>
      <c r="DC28" s="9"/>
      <c r="DD28" s="10"/>
      <c r="DE28" s="71"/>
      <c r="EO28" s="353" t="str">
        <f t="shared" si="5"/>
        <v>ATLANTICO_PONEDERA</v>
      </c>
      <c r="EP28" s="350"/>
      <c r="EQ28" s="351" t="s">
        <v>4526</v>
      </c>
      <c r="ER28" s="352" t="s">
        <v>5821</v>
      </c>
      <c r="ES28" s="351" t="s">
        <v>4526</v>
      </c>
      <c r="ET28" s="350"/>
      <c r="EU28" s="350" t="str">
        <f t="shared" si="6"/>
        <v>Total QUINDIO_</v>
      </c>
    </row>
    <row r="29" spans="1:151" ht="74.25" x14ac:dyDescent="0.2">
      <c r="A29" s="242">
        <v>40196</v>
      </c>
      <c r="B29" s="107" t="s">
        <v>1951</v>
      </c>
      <c r="C29" s="107" t="s">
        <v>699</v>
      </c>
      <c r="D29" s="427" t="s">
        <v>1387</v>
      </c>
      <c r="E29" s="107" t="str">
        <f>VLOOKUP(B29&amp;C29,Divipola!$C$2:$F$1138,4,FALSE)</f>
        <v>08675</v>
      </c>
      <c r="F29" s="330"/>
      <c r="G29" s="224"/>
      <c r="H29" s="75"/>
      <c r="I29" s="75"/>
      <c r="J29" s="75"/>
      <c r="K29" s="75"/>
      <c r="L29" s="75"/>
      <c r="M29" s="75"/>
      <c r="N29" s="75"/>
      <c r="O29" s="75"/>
      <c r="P29" s="75"/>
      <c r="Q29" s="75"/>
      <c r="R29" s="75"/>
      <c r="S29" s="75"/>
      <c r="T29" s="75"/>
      <c r="U29" s="75"/>
      <c r="V29" s="76"/>
      <c r="W29" s="205"/>
      <c r="X29" s="1"/>
      <c r="Y29" s="78">
        <f t="shared" si="0"/>
        <v>0</v>
      </c>
      <c r="Z29" s="78">
        <f t="shared" si="1"/>
        <v>0</v>
      </c>
      <c r="AA29" s="78">
        <f t="shared" si="2"/>
        <v>0</v>
      </c>
      <c r="AB29" s="78">
        <f t="shared" si="3"/>
        <v>0</v>
      </c>
      <c r="AC29" s="78"/>
      <c r="AD29" s="78">
        <v>0</v>
      </c>
      <c r="AE29" s="80">
        <f t="shared" si="7"/>
        <v>0</v>
      </c>
      <c r="AF29" s="82">
        <v>0</v>
      </c>
      <c r="AG29" s="69">
        <v>40220</v>
      </c>
      <c r="AH29" s="84">
        <v>95146</v>
      </c>
      <c r="AI29" s="69" t="s">
        <v>1984</v>
      </c>
      <c r="AJ29" s="25" t="s">
        <v>1985</v>
      </c>
      <c r="AK29" s="65"/>
      <c r="AL29" s="185" t="s">
        <v>1257</v>
      </c>
      <c r="AM29" s="85" t="s">
        <v>500</v>
      </c>
      <c r="AN29" s="3"/>
      <c r="AO29" s="4"/>
      <c r="AP29" s="5"/>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6"/>
      <c r="CQ29" s="7"/>
      <c r="CR29" s="6"/>
      <c r="CS29" s="7"/>
      <c r="CT29" s="6"/>
      <c r="CU29" s="7"/>
      <c r="CV29" s="8">
        <f t="shared" si="4"/>
        <v>0</v>
      </c>
      <c r="CW29" s="9"/>
      <c r="CX29" s="10"/>
      <c r="CY29" s="11"/>
      <c r="CZ29" s="12"/>
      <c r="DA29" s="29"/>
      <c r="DB29" s="12"/>
      <c r="DC29" s="9"/>
      <c r="DD29" s="10"/>
      <c r="DE29" s="71"/>
      <c r="EO29" s="353" t="str">
        <f t="shared" si="5"/>
        <v>ATLANTICO_SANTA LUCIA</v>
      </c>
      <c r="EP29" s="350"/>
      <c r="EQ29" s="351" t="s">
        <v>4531</v>
      </c>
      <c r="ER29" s="352" t="s">
        <v>5822</v>
      </c>
      <c r="ES29" s="351" t="s">
        <v>4531</v>
      </c>
      <c r="ET29" s="350"/>
      <c r="EU29" s="350" t="str">
        <f t="shared" si="6"/>
        <v>Total RISARALDA_</v>
      </c>
    </row>
    <row r="30" spans="1:151" ht="38.25" x14ac:dyDescent="0.2">
      <c r="A30" s="242">
        <v>40196</v>
      </c>
      <c r="B30" s="107" t="s">
        <v>2014</v>
      </c>
      <c r="C30" s="232" t="s">
        <v>2015</v>
      </c>
      <c r="D30" s="427" t="s">
        <v>1721</v>
      </c>
      <c r="E30" s="107" t="str">
        <f>VLOOKUP(B30&amp;C30,Divipola!$C$2:$F$1138,4,FALSE)</f>
        <v>63001</v>
      </c>
      <c r="F30" s="330"/>
      <c r="G30" s="224"/>
      <c r="H30" s="75"/>
      <c r="I30" s="75"/>
      <c r="J30" s="75">
        <v>21</v>
      </c>
      <c r="K30" s="75">
        <v>4</v>
      </c>
      <c r="L30" s="75">
        <v>3</v>
      </c>
      <c r="M30" s="75">
        <v>1</v>
      </c>
      <c r="N30" s="75"/>
      <c r="O30" s="75"/>
      <c r="P30" s="75"/>
      <c r="Q30" s="75"/>
      <c r="R30" s="75"/>
      <c r="S30" s="75"/>
      <c r="T30" s="75"/>
      <c r="U30" s="75"/>
      <c r="V30" s="76"/>
      <c r="W30" s="205"/>
      <c r="X30" s="1"/>
      <c r="Y30" s="78">
        <f t="shared" si="0"/>
        <v>0</v>
      </c>
      <c r="Z30" s="78">
        <f t="shared" si="1"/>
        <v>0</v>
      </c>
      <c r="AA30" s="78">
        <f t="shared" si="2"/>
        <v>0</v>
      </c>
      <c r="AB30" s="78">
        <f t="shared" si="3"/>
        <v>0</v>
      </c>
      <c r="AC30" s="78"/>
      <c r="AD30" s="78">
        <v>0</v>
      </c>
      <c r="AE30" s="80">
        <f t="shared" si="7"/>
        <v>0</v>
      </c>
      <c r="AF30" s="82">
        <v>0</v>
      </c>
      <c r="AG30" s="69">
        <v>40196</v>
      </c>
      <c r="AH30" s="84"/>
      <c r="AI30" s="69" t="s">
        <v>1984</v>
      </c>
      <c r="AJ30" s="25" t="s">
        <v>1985</v>
      </c>
      <c r="AK30" s="65"/>
      <c r="AL30" s="185" t="s">
        <v>1257</v>
      </c>
      <c r="AM30" s="85" t="s">
        <v>2016</v>
      </c>
      <c r="AN30" s="3"/>
      <c r="AO30" s="4"/>
      <c r="AP30" s="5"/>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6"/>
      <c r="CQ30" s="7"/>
      <c r="CR30" s="6"/>
      <c r="CS30" s="7"/>
      <c r="CT30" s="6"/>
      <c r="CU30" s="7"/>
      <c r="CV30" s="8">
        <f t="shared" si="4"/>
        <v>0</v>
      </c>
      <c r="CW30" s="9"/>
      <c r="CX30" s="10"/>
      <c r="CY30" s="11"/>
      <c r="CZ30" s="12"/>
      <c r="DA30" s="29"/>
      <c r="DB30" s="12"/>
      <c r="DC30" s="9"/>
      <c r="DD30" s="10"/>
      <c r="DE30" s="71"/>
      <c r="EO30" s="353" t="str">
        <f t="shared" si="5"/>
        <v>QUINDIO_ARMENIA</v>
      </c>
      <c r="EP30" s="350"/>
      <c r="EQ30" s="351" t="s">
        <v>4535</v>
      </c>
      <c r="ER30" s="352" t="s">
        <v>5823</v>
      </c>
      <c r="ES30" s="351" t="s">
        <v>4535</v>
      </c>
      <c r="ET30" s="350"/>
      <c r="EU30" s="350" t="str">
        <f t="shared" si="6"/>
        <v>Total SANTANDER_</v>
      </c>
    </row>
    <row r="31" spans="1:151" s="133" customFormat="1" ht="36" x14ac:dyDescent="0.2">
      <c r="A31" s="242">
        <v>40197</v>
      </c>
      <c r="B31" s="107" t="s">
        <v>2017</v>
      </c>
      <c r="C31" s="232" t="s">
        <v>2105</v>
      </c>
      <c r="D31" s="427" t="s">
        <v>1721</v>
      </c>
      <c r="E31" s="107" t="str">
        <f>VLOOKUP(B31&amp;C31,Divipola!$C$2:$F$1138,4,FALSE)</f>
        <v>13670</v>
      </c>
      <c r="F31" s="330"/>
      <c r="G31" s="224"/>
      <c r="H31" s="75"/>
      <c r="I31" s="75"/>
      <c r="J31" s="75"/>
      <c r="K31" s="75"/>
      <c r="L31" s="75"/>
      <c r="M31" s="75"/>
      <c r="N31" s="75"/>
      <c r="O31" s="75"/>
      <c r="P31" s="75"/>
      <c r="Q31" s="75"/>
      <c r="R31" s="75"/>
      <c r="S31" s="75"/>
      <c r="T31" s="75"/>
      <c r="U31" s="75"/>
      <c r="V31" s="76"/>
      <c r="W31" s="205"/>
      <c r="X31" s="1"/>
      <c r="Y31" s="78">
        <f t="shared" si="0"/>
        <v>0</v>
      </c>
      <c r="Z31" s="78">
        <f t="shared" si="1"/>
        <v>0</v>
      </c>
      <c r="AA31" s="78">
        <f t="shared" si="2"/>
        <v>0</v>
      </c>
      <c r="AB31" s="78">
        <f t="shared" si="3"/>
        <v>0</v>
      </c>
      <c r="AC31" s="78"/>
      <c r="AD31" s="78">
        <v>0</v>
      </c>
      <c r="AE31" s="80">
        <f t="shared" si="7"/>
        <v>0</v>
      </c>
      <c r="AF31" s="82">
        <v>0</v>
      </c>
      <c r="AG31" s="69">
        <v>40197</v>
      </c>
      <c r="AH31" s="84"/>
      <c r="AI31" s="69" t="s">
        <v>1984</v>
      </c>
      <c r="AJ31" s="25" t="s">
        <v>1985</v>
      </c>
      <c r="AK31" s="65"/>
      <c r="AL31" s="185" t="s">
        <v>1257</v>
      </c>
      <c r="AM31" s="85" t="s">
        <v>1188</v>
      </c>
      <c r="AN31" s="3"/>
      <c r="AO31" s="4"/>
      <c r="AP31" s="5"/>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6"/>
      <c r="CQ31" s="7"/>
      <c r="CR31" s="6"/>
      <c r="CS31" s="7"/>
      <c r="CT31" s="6"/>
      <c r="CU31" s="7"/>
      <c r="CV31" s="8">
        <f t="shared" si="4"/>
        <v>0</v>
      </c>
      <c r="CW31" s="9"/>
      <c r="CX31" s="10"/>
      <c r="CY31" s="11"/>
      <c r="CZ31" s="12"/>
      <c r="DA31" s="29"/>
      <c r="DB31" s="12"/>
      <c r="DC31" s="9"/>
      <c r="DD31" s="10"/>
      <c r="DE31" s="71"/>
      <c r="DF31" s="23"/>
      <c r="EO31" s="353" t="str">
        <f t="shared" si="5"/>
        <v>BOLIVAR_SAN PABLO</v>
      </c>
      <c r="EP31" s="350"/>
      <c r="EQ31" s="351" t="s">
        <v>4571</v>
      </c>
      <c r="ER31" s="352" t="s">
        <v>5824</v>
      </c>
      <c r="ES31" s="351" t="s">
        <v>4571</v>
      </c>
      <c r="ET31" s="350"/>
      <c r="EU31" s="350" t="str">
        <f t="shared" si="6"/>
        <v>Total SUCRE_</v>
      </c>
    </row>
    <row r="32" spans="1:151" ht="72" x14ac:dyDescent="0.2">
      <c r="A32" s="243">
        <v>40197</v>
      </c>
      <c r="B32" s="233" t="s">
        <v>708</v>
      </c>
      <c r="C32" s="233" t="s">
        <v>2019</v>
      </c>
      <c r="D32" s="428" t="s">
        <v>2779</v>
      </c>
      <c r="E32" s="107" t="str">
        <f>VLOOKUP(B32&amp;C32,Divipola!$C$2:$F$1138,4,FALSE)</f>
        <v>50590</v>
      </c>
      <c r="F32" s="331"/>
      <c r="G32" s="224"/>
      <c r="H32" s="75"/>
      <c r="I32" s="75"/>
      <c r="J32" s="75"/>
      <c r="K32" s="75"/>
      <c r="L32" s="75"/>
      <c r="M32" s="75"/>
      <c r="N32" s="75"/>
      <c r="O32" s="75"/>
      <c r="P32" s="75"/>
      <c r="Q32" s="75"/>
      <c r="R32" s="75"/>
      <c r="S32" s="75"/>
      <c r="T32" s="75"/>
      <c r="U32" s="75"/>
      <c r="V32" s="76"/>
      <c r="W32" s="205"/>
      <c r="X32" s="1">
        <v>40262</v>
      </c>
      <c r="Y32" s="78">
        <f t="shared" si="0"/>
        <v>0</v>
      </c>
      <c r="Z32" s="78">
        <f t="shared" si="1"/>
        <v>0</v>
      </c>
      <c r="AA32" s="78">
        <f t="shared" si="2"/>
        <v>0</v>
      </c>
      <c r="AB32" s="78">
        <f t="shared" si="3"/>
        <v>0</v>
      </c>
      <c r="AC32" s="78">
        <f>4*796293.1*1.16+2*123500*1.16+2*130000*1.16+6*106465.52*1.16+9*26897*1.16+9*9310*1.16+9*12046.55+9*6100*1.16+9*123500*1.16+3*30603+3*27155+2*130000*1.16+1*1316810*1.16+1*2630000*1.16+9*10500*1.16+1*2340000*1.16</f>
        <v>14740557.633199999</v>
      </c>
      <c r="AD32" s="78">
        <v>0</v>
      </c>
      <c r="AE32" s="80">
        <f t="shared" si="7"/>
        <v>14740557.633199999</v>
      </c>
      <c r="AF32" s="82">
        <v>0</v>
      </c>
      <c r="AG32" s="69">
        <v>40242</v>
      </c>
      <c r="AH32" s="84">
        <v>95759</v>
      </c>
      <c r="AI32" s="69" t="s">
        <v>2009</v>
      </c>
      <c r="AJ32" s="25" t="s">
        <v>2010</v>
      </c>
      <c r="AK32" s="65">
        <v>53</v>
      </c>
      <c r="AL32" s="185" t="s">
        <v>2021</v>
      </c>
      <c r="AM32" s="97" t="s">
        <v>1194</v>
      </c>
      <c r="AN32" s="3"/>
      <c r="AO32" s="4"/>
      <c r="AP32" s="5"/>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6"/>
      <c r="CQ32" s="7"/>
      <c r="CR32" s="6"/>
      <c r="CS32" s="7"/>
      <c r="CT32" s="6"/>
      <c r="CU32" s="7"/>
      <c r="CV32" s="8">
        <f t="shared" si="4"/>
        <v>0</v>
      </c>
      <c r="CW32" s="9"/>
      <c r="CX32" s="10"/>
      <c r="CY32" s="11"/>
      <c r="CZ32" s="12"/>
      <c r="DA32" s="29"/>
      <c r="DB32" s="12"/>
      <c r="DC32" s="9"/>
      <c r="DD32" s="10"/>
      <c r="DE32" s="71"/>
      <c r="EO32" s="353" t="str">
        <f t="shared" si="5"/>
        <v>META_PUERTO RICO</v>
      </c>
      <c r="EP32" s="350"/>
      <c r="EQ32" s="351" t="s">
        <v>4594</v>
      </c>
      <c r="ER32" s="352" t="s">
        <v>5825</v>
      </c>
      <c r="ES32" s="351" t="s">
        <v>4594</v>
      </c>
      <c r="ET32" s="350"/>
      <c r="EU32" s="350" t="str">
        <f t="shared" si="6"/>
        <v>Total TOLIMA_</v>
      </c>
    </row>
    <row r="33" spans="1:151" s="90" customFormat="1" ht="156" x14ac:dyDescent="0.2">
      <c r="A33" s="243">
        <v>40198</v>
      </c>
      <c r="B33" s="234" t="s">
        <v>1719</v>
      </c>
      <c r="C33" s="234" t="s">
        <v>872</v>
      </c>
      <c r="D33" s="429" t="s">
        <v>1387</v>
      </c>
      <c r="E33" s="107" t="str">
        <f>VLOOKUP(B33&amp;C33,Divipola!$C$2:$F$1138,4,FALSE)</f>
        <v>19585</v>
      </c>
      <c r="F33" s="332"/>
      <c r="G33" s="225"/>
      <c r="H33" s="112"/>
      <c r="I33" s="112"/>
      <c r="J33" s="112">
        <f>271*5</f>
        <v>1355</v>
      </c>
      <c r="K33" s="112">
        <v>271</v>
      </c>
      <c r="L33" s="112"/>
      <c r="M33" s="112"/>
      <c r="N33" s="112"/>
      <c r="O33" s="112"/>
      <c r="P33" s="112"/>
      <c r="Q33" s="112"/>
      <c r="R33" s="112"/>
      <c r="S33" s="112"/>
      <c r="T33" s="112"/>
      <c r="U33" s="112"/>
      <c r="V33" s="113">
        <v>60</v>
      </c>
      <c r="W33" s="206" t="s">
        <v>1002</v>
      </c>
      <c r="X33" s="95">
        <v>40310</v>
      </c>
      <c r="Y33" s="114">
        <f t="shared" si="0"/>
        <v>20189500</v>
      </c>
      <c r="Z33" s="114">
        <f t="shared" si="1"/>
        <v>0</v>
      </c>
      <c r="AA33" s="114">
        <f t="shared" si="2"/>
        <v>0</v>
      </c>
      <c r="AB33" s="114">
        <f t="shared" si="3"/>
        <v>46070000</v>
      </c>
      <c r="AC33" s="114"/>
      <c r="AD33" s="114">
        <v>0</v>
      </c>
      <c r="AE33" s="115">
        <f t="shared" si="7"/>
        <v>66259500</v>
      </c>
      <c r="AF33" s="116">
        <v>0</v>
      </c>
      <c r="AG33" s="117">
        <v>40296</v>
      </c>
      <c r="AH33" s="118">
        <v>97043</v>
      </c>
      <c r="AI33" s="117" t="s">
        <v>2009</v>
      </c>
      <c r="AJ33" s="119" t="s">
        <v>2010</v>
      </c>
      <c r="AK33" s="120">
        <v>115</v>
      </c>
      <c r="AL33" s="213" t="s">
        <v>948</v>
      </c>
      <c r="AM33" s="121" t="s">
        <v>1264</v>
      </c>
      <c r="AN33" s="122"/>
      <c r="AO33" s="123"/>
      <c r="AP33" s="124"/>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23"/>
      <c r="CE33" s="123"/>
      <c r="CF33" s="123"/>
      <c r="CG33" s="123"/>
      <c r="CH33" s="123"/>
      <c r="CI33" s="123"/>
      <c r="CJ33" s="123"/>
      <c r="CK33" s="123"/>
      <c r="CL33" s="123"/>
      <c r="CM33" s="123"/>
      <c r="CN33" s="123"/>
      <c r="CO33" s="123"/>
      <c r="CP33" s="125">
        <v>271</v>
      </c>
      <c r="CQ33" s="126">
        <f>271*38500</f>
        <v>10433500</v>
      </c>
      <c r="CR33" s="125">
        <v>271</v>
      </c>
      <c r="CS33" s="126">
        <f>271*36000</f>
        <v>9756000</v>
      </c>
      <c r="CT33" s="125"/>
      <c r="CU33" s="126"/>
      <c r="CV33" s="134">
        <f t="shared" si="4"/>
        <v>20189500</v>
      </c>
      <c r="CW33" s="127">
        <v>542</v>
      </c>
      <c r="CX33" s="128">
        <f>542*85000</f>
        <v>46070000</v>
      </c>
      <c r="CY33" s="129"/>
      <c r="CZ33" s="130"/>
      <c r="DA33" s="131"/>
      <c r="DB33" s="130"/>
      <c r="DC33" s="127"/>
      <c r="DD33" s="128"/>
      <c r="DE33" s="138"/>
      <c r="DF33" s="132"/>
      <c r="EO33" s="353" t="str">
        <f t="shared" si="5"/>
        <v>CAUCA_PURACE</v>
      </c>
      <c r="EP33" s="350"/>
      <c r="EQ33" s="351" t="s">
        <v>4666</v>
      </c>
      <c r="ER33" s="352" t="s">
        <v>5826</v>
      </c>
      <c r="ES33" s="351" t="s">
        <v>4666</v>
      </c>
      <c r="ET33" s="350"/>
      <c r="EU33" s="350" t="str">
        <f t="shared" si="6"/>
        <v>Total VAUPES_</v>
      </c>
    </row>
    <row r="34" spans="1:151" ht="56.25" x14ac:dyDescent="0.2">
      <c r="A34" s="242">
        <v>40198</v>
      </c>
      <c r="B34" s="107" t="s">
        <v>2013</v>
      </c>
      <c r="C34" s="107" t="s">
        <v>2013</v>
      </c>
      <c r="D34" s="427" t="s">
        <v>250</v>
      </c>
      <c r="E34" s="107" t="str">
        <f>VLOOKUP(B34&amp;C34,Divipola!$C$2:$F$1138,4,FALSE)</f>
        <v>00000</v>
      </c>
      <c r="F34" s="330"/>
      <c r="G34" s="224"/>
      <c r="H34" s="75"/>
      <c r="I34" s="75"/>
      <c r="J34" s="75"/>
      <c r="K34" s="75"/>
      <c r="L34" s="75"/>
      <c r="M34" s="75"/>
      <c r="N34" s="75"/>
      <c r="O34" s="75"/>
      <c r="P34" s="75"/>
      <c r="Q34" s="75"/>
      <c r="R34" s="75"/>
      <c r="S34" s="75"/>
      <c r="T34" s="75"/>
      <c r="U34" s="75"/>
      <c r="V34" s="76"/>
      <c r="W34" s="205"/>
      <c r="X34" s="1"/>
      <c r="Y34" s="78">
        <f t="shared" si="0"/>
        <v>3400424</v>
      </c>
      <c r="Z34" s="78">
        <f t="shared" si="1"/>
        <v>0</v>
      </c>
      <c r="AA34" s="78">
        <f t="shared" si="2"/>
        <v>0</v>
      </c>
      <c r="AB34" s="78">
        <f t="shared" si="3"/>
        <v>0</v>
      </c>
      <c r="AC34" s="78"/>
      <c r="AD34" s="78">
        <v>0</v>
      </c>
      <c r="AE34" s="80">
        <f t="shared" si="7"/>
        <v>3400424</v>
      </c>
      <c r="AF34" s="82">
        <v>0</v>
      </c>
      <c r="AG34" s="69">
        <v>40226</v>
      </c>
      <c r="AH34" s="84">
        <v>95310</v>
      </c>
      <c r="AI34" s="69" t="s">
        <v>2009</v>
      </c>
      <c r="AJ34" s="25" t="s">
        <v>2010</v>
      </c>
      <c r="AK34" s="65">
        <v>18</v>
      </c>
      <c r="AL34" s="185" t="s">
        <v>1532</v>
      </c>
      <c r="AM34" s="85" t="s">
        <v>1533</v>
      </c>
      <c r="AN34" s="3"/>
      <c r="AO34" s="4"/>
      <c r="AP34" s="5"/>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v>5</v>
      </c>
      <c r="CA34" s="4">
        <f>5*680084.8</f>
        <v>3400424</v>
      </c>
      <c r="CB34" s="4"/>
      <c r="CC34" s="4"/>
      <c r="CD34" s="4"/>
      <c r="CE34" s="4"/>
      <c r="CF34" s="4"/>
      <c r="CG34" s="4"/>
      <c r="CH34" s="4"/>
      <c r="CI34" s="4"/>
      <c r="CJ34" s="4"/>
      <c r="CK34" s="4"/>
      <c r="CL34" s="4"/>
      <c r="CM34" s="4"/>
      <c r="CN34" s="4"/>
      <c r="CO34" s="4"/>
      <c r="CP34" s="6"/>
      <c r="CQ34" s="7"/>
      <c r="CR34" s="6"/>
      <c r="CS34" s="7"/>
      <c r="CT34" s="6"/>
      <c r="CU34" s="7"/>
      <c r="CV34" s="8">
        <f t="shared" si="4"/>
        <v>3400424</v>
      </c>
      <c r="CW34" s="9"/>
      <c r="CX34" s="10"/>
      <c r="CY34" s="11"/>
      <c r="CZ34" s="12"/>
      <c r="DA34" s="29"/>
      <c r="DB34" s="12"/>
      <c r="DC34" s="9"/>
      <c r="DD34" s="10"/>
      <c r="DE34" s="71"/>
      <c r="EO34" s="353" t="str">
        <f t="shared" si="5"/>
        <v>NACION_NACION</v>
      </c>
      <c r="EP34" s="350"/>
      <c r="EQ34" s="351" t="s">
        <v>4672</v>
      </c>
      <c r="ER34" s="352" t="s">
        <v>5827</v>
      </c>
      <c r="ES34" s="351" t="s">
        <v>4672</v>
      </c>
      <c r="ET34" s="350"/>
      <c r="EU34" s="350" t="str">
        <f t="shared" si="6"/>
        <v>Total VICHADA_</v>
      </c>
    </row>
    <row r="35" spans="1:151" ht="60.75" thickBot="1" x14ac:dyDescent="0.25">
      <c r="A35" s="242">
        <v>40198</v>
      </c>
      <c r="B35" s="107" t="s">
        <v>2012</v>
      </c>
      <c r="C35" s="107" t="s">
        <v>2008</v>
      </c>
      <c r="D35" s="427" t="s">
        <v>2779</v>
      </c>
      <c r="E35" s="107">
        <f>VLOOKUP(B35&amp;C35,Divipola!$C$2:$F$1138,4,FALSE)</f>
        <v>66</v>
      </c>
      <c r="F35" s="330"/>
      <c r="G35" s="224"/>
      <c r="H35" s="75"/>
      <c r="I35" s="75"/>
      <c r="J35" s="75"/>
      <c r="K35" s="75"/>
      <c r="L35" s="75"/>
      <c r="M35" s="75"/>
      <c r="N35" s="75"/>
      <c r="O35" s="75"/>
      <c r="P35" s="75"/>
      <c r="Q35" s="75"/>
      <c r="R35" s="75"/>
      <c r="S35" s="75"/>
      <c r="T35" s="75"/>
      <c r="U35" s="75"/>
      <c r="V35" s="76"/>
      <c r="W35" s="205"/>
      <c r="X35" s="1">
        <v>40245</v>
      </c>
      <c r="Y35" s="78">
        <f t="shared" si="0"/>
        <v>0</v>
      </c>
      <c r="Z35" s="78">
        <f t="shared" si="1"/>
        <v>0</v>
      </c>
      <c r="AA35" s="78">
        <f t="shared" si="2"/>
        <v>0</v>
      </c>
      <c r="AB35" s="78">
        <f t="shared" si="3"/>
        <v>0</v>
      </c>
      <c r="AC35" s="78">
        <f>30*796293.1*1.16+30*123500*1.16+30*130000*1.16+80*106465.52*1.16+88*65000*1.16+88*26897*1.16+88*9310*1.16</f>
        <v>56744010.695999987</v>
      </c>
      <c r="AD35" s="78">
        <v>0</v>
      </c>
      <c r="AE35" s="80">
        <f t="shared" si="7"/>
        <v>56744010.695999987</v>
      </c>
      <c r="AF35" s="82">
        <v>0</v>
      </c>
      <c r="AG35" s="69">
        <v>40198</v>
      </c>
      <c r="AH35" s="84">
        <v>94595</v>
      </c>
      <c r="AI35" s="69" t="s">
        <v>2009</v>
      </c>
      <c r="AJ35" s="25" t="s">
        <v>2010</v>
      </c>
      <c r="AK35" s="65">
        <v>35</v>
      </c>
      <c r="AL35" s="185" t="s">
        <v>2011</v>
      </c>
      <c r="AM35" s="85" t="s">
        <v>112</v>
      </c>
      <c r="AN35" s="3"/>
      <c r="AO35" s="4"/>
      <c r="AP35" s="5"/>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6"/>
      <c r="CQ35" s="7"/>
      <c r="CR35" s="6"/>
      <c r="CS35" s="7"/>
      <c r="CT35" s="6"/>
      <c r="CU35" s="7"/>
      <c r="CV35" s="8">
        <f t="shared" si="4"/>
        <v>0</v>
      </c>
      <c r="CW35" s="9"/>
      <c r="CX35" s="10"/>
      <c r="CY35" s="11"/>
      <c r="CZ35" s="12"/>
      <c r="DA35" s="29"/>
      <c r="DB35" s="12"/>
      <c r="DC35" s="9"/>
      <c r="DD35" s="10"/>
      <c r="DE35" s="71"/>
      <c r="EO35" s="353" t="str">
        <f t="shared" si="5"/>
        <v>RISARALDA_DEPARTAMENTO</v>
      </c>
      <c r="EP35" s="350"/>
      <c r="EQ35" s="354" t="s">
        <v>4613</v>
      </c>
      <c r="ER35" s="355" t="s">
        <v>5828</v>
      </c>
      <c r="ES35" s="354" t="s">
        <v>4613</v>
      </c>
      <c r="ET35" s="356"/>
      <c r="EU35" s="356" t="str">
        <f t="shared" si="6"/>
        <v>Total VALLE DEL CAUCA_</v>
      </c>
    </row>
    <row r="36" spans="1:151" ht="57" thickTop="1" x14ac:dyDescent="0.2">
      <c r="A36" s="242">
        <v>40199</v>
      </c>
      <c r="B36" s="107" t="s">
        <v>3112</v>
      </c>
      <c r="C36" s="107" t="s">
        <v>600</v>
      </c>
      <c r="D36" s="427" t="s">
        <v>2209</v>
      </c>
      <c r="E36" s="107" t="str">
        <f>VLOOKUP(B36&amp;C36,Divipola!$C$2:$F$1138,4,FALSE)</f>
        <v>18029</v>
      </c>
      <c r="F36" s="330"/>
      <c r="G36" s="224"/>
      <c r="H36" s="75"/>
      <c r="I36" s="75"/>
      <c r="J36" s="75">
        <f>35*5</f>
        <v>175</v>
      </c>
      <c r="K36" s="75">
        <v>35</v>
      </c>
      <c r="L36" s="75"/>
      <c r="M36" s="75">
        <v>35</v>
      </c>
      <c r="N36" s="75"/>
      <c r="O36" s="75"/>
      <c r="P36" s="75"/>
      <c r="Q36" s="75"/>
      <c r="R36" s="75"/>
      <c r="S36" s="75"/>
      <c r="T36" s="75"/>
      <c r="U36" s="75"/>
      <c r="V36" s="76"/>
      <c r="W36" s="205"/>
      <c r="X36" s="1">
        <v>40290</v>
      </c>
      <c r="Y36" s="78">
        <f t="shared" si="0"/>
        <v>0</v>
      </c>
      <c r="Z36" s="78">
        <f t="shared" si="1"/>
        <v>0</v>
      </c>
      <c r="AA36" s="78">
        <f t="shared" si="2"/>
        <v>10798179</v>
      </c>
      <c r="AB36" s="78">
        <f t="shared" si="3"/>
        <v>0</v>
      </c>
      <c r="AC36" s="78">
        <f>25*215000.2</f>
        <v>5375005</v>
      </c>
      <c r="AD36" s="78">
        <v>0</v>
      </c>
      <c r="AE36" s="80">
        <f t="shared" si="7"/>
        <v>16173184</v>
      </c>
      <c r="AF36" s="82">
        <v>0</v>
      </c>
      <c r="AG36" s="69">
        <v>40221</v>
      </c>
      <c r="AH36" s="84">
        <v>95193</v>
      </c>
      <c r="AI36" s="69" t="s">
        <v>2009</v>
      </c>
      <c r="AJ36" s="25" t="s">
        <v>2010</v>
      </c>
      <c r="AK36" s="65">
        <v>80</v>
      </c>
      <c r="AL36" s="185" t="s">
        <v>269</v>
      </c>
      <c r="AM36" s="97" t="s">
        <v>270</v>
      </c>
      <c r="AN36" s="3"/>
      <c r="AO36" s="4"/>
      <c r="AP36" s="5"/>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6"/>
      <c r="CQ36" s="7"/>
      <c r="CR36" s="6"/>
      <c r="CS36" s="7"/>
      <c r="CT36" s="6"/>
      <c r="CU36" s="7"/>
      <c r="CV36" s="8">
        <f t="shared" si="4"/>
        <v>0</v>
      </c>
      <c r="CW36" s="9"/>
      <c r="CX36" s="10"/>
      <c r="CY36" s="11"/>
      <c r="CZ36" s="12"/>
      <c r="DA36" s="29">
        <v>175</v>
      </c>
      <c r="DB36" s="12">
        <f>175*24583.88</f>
        <v>4302179</v>
      </c>
      <c r="DC36" s="9">
        <v>350</v>
      </c>
      <c r="DD36" s="10">
        <f>350*18560</f>
        <v>6496000</v>
      </c>
      <c r="DE36" s="71"/>
      <c r="EO36" s="353" t="str">
        <f t="shared" si="5"/>
        <v>CAQUETA_ALBANIA</v>
      </c>
      <c r="EP36" s="350"/>
      <c r="EQ36" s="350"/>
      <c r="ER36" s="357"/>
      <c r="ES36" s="350"/>
      <c r="ET36" s="350"/>
      <c r="EU36" s="350"/>
    </row>
    <row r="37" spans="1:151" ht="25.5" x14ac:dyDescent="0.2">
      <c r="A37" s="242">
        <v>40199</v>
      </c>
      <c r="B37" s="107" t="s">
        <v>1189</v>
      </c>
      <c r="C37" s="232" t="s">
        <v>1190</v>
      </c>
      <c r="D37" s="427" t="s">
        <v>2209</v>
      </c>
      <c r="E37" s="107" t="str">
        <f>VLOOKUP(B37&amp;C37,Divipola!$C$2:$F$1138,4,FALSE)</f>
        <v>85230</v>
      </c>
      <c r="F37" s="330"/>
      <c r="G37" s="224"/>
      <c r="H37" s="75"/>
      <c r="I37" s="75"/>
      <c r="J37" s="75">
        <v>65</v>
      </c>
      <c r="K37" s="75">
        <v>15</v>
      </c>
      <c r="L37" s="75"/>
      <c r="M37" s="75">
        <v>13</v>
      </c>
      <c r="N37" s="75"/>
      <c r="O37" s="75"/>
      <c r="P37" s="75"/>
      <c r="Q37" s="75"/>
      <c r="R37" s="75"/>
      <c r="S37" s="75"/>
      <c r="T37" s="75"/>
      <c r="U37" s="75"/>
      <c r="V37" s="76"/>
      <c r="W37" s="205"/>
      <c r="X37" s="1"/>
      <c r="Y37" s="78">
        <f t="shared" si="0"/>
        <v>0</v>
      </c>
      <c r="Z37" s="78">
        <f t="shared" si="1"/>
        <v>0</v>
      </c>
      <c r="AA37" s="78">
        <f t="shared" si="2"/>
        <v>0</v>
      </c>
      <c r="AB37" s="78">
        <f t="shared" si="3"/>
        <v>0</v>
      </c>
      <c r="AC37" s="78"/>
      <c r="AD37" s="78">
        <v>0</v>
      </c>
      <c r="AE37" s="80">
        <f t="shared" si="7"/>
        <v>0</v>
      </c>
      <c r="AF37" s="82">
        <v>0</v>
      </c>
      <c r="AG37" s="69">
        <v>40199</v>
      </c>
      <c r="AH37" s="84"/>
      <c r="AI37" s="69" t="s">
        <v>1984</v>
      </c>
      <c r="AJ37" s="25" t="s">
        <v>1985</v>
      </c>
      <c r="AK37" s="65"/>
      <c r="AL37" s="185" t="s">
        <v>1257</v>
      </c>
      <c r="AM37" s="85" t="s">
        <v>2400</v>
      </c>
      <c r="AN37" s="3"/>
      <c r="AO37" s="4"/>
      <c r="AP37" s="5"/>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6"/>
      <c r="CQ37" s="7"/>
      <c r="CR37" s="6"/>
      <c r="CS37" s="7"/>
      <c r="CT37" s="6"/>
      <c r="CU37" s="7"/>
      <c r="CV37" s="8">
        <f t="shared" si="4"/>
        <v>0</v>
      </c>
      <c r="CW37" s="9"/>
      <c r="CX37" s="10"/>
      <c r="CY37" s="11"/>
      <c r="CZ37" s="12"/>
      <c r="DA37" s="29"/>
      <c r="DB37" s="12"/>
      <c r="DC37" s="9"/>
      <c r="DD37" s="10"/>
      <c r="DE37" s="71"/>
      <c r="EO37" s="353" t="str">
        <f t="shared" si="5"/>
        <v>CASANARE_OROCUE</v>
      </c>
      <c r="EP37" s="350"/>
      <c r="EQ37" s="350" t="s">
        <v>3884</v>
      </c>
      <c r="ER37" s="358" t="s">
        <v>3887</v>
      </c>
      <c r="ES37" s="350" t="s">
        <v>4678</v>
      </c>
      <c r="ET37" s="350" t="s">
        <v>5829</v>
      </c>
      <c r="EU37" s="350" t="str">
        <f t="shared" ref="EU37:EU100" si="8">ER37&amp;"_"&amp;ET37</f>
        <v>Antioquia_Medellin</v>
      </c>
    </row>
    <row r="38" spans="1:151" s="133" customFormat="1" ht="48" x14ac:dyDescent="0.2">
      <c r="A38" s="242">
        <v>40199</v>
      </c>
      <c r="B38" s="107" t="s">
        <v>2425</v>
      </c>
      <c r="C38" s="107" t="s">
        <v>4417</v>
      </c>
      <c r="D38" s="427" t="s">
        <v>1387</v>
      </c>
      <c r="E38" s="107" t="str">
        <f>VLOOKUP(B38&amp;C38,Divipola!$C$2:$F$1138,4,FALSE)</f>
        <v>27361</v>
      </c>
      <c r="F38" s="330"/>
      <c r="G38" s="224"/>
      <c r="H38" s="75"/>
      <c r="I38" s="75"/>
      <c r="J38" s="75">
        <v>31011</v>
      </c>
      <c r="K38" s="75">
        <v>6202.2</v>
      </c>
      <c r="L38" s="75"/>
      <c r="M38" s="75"/>
      <c r="N38" s="75"/>
      <c r="O38" s="75"/>
      <c r="P38" s="75"/>
      <c r="Q38" s="75"/>
      <c r="R38" s="75"/>
      <c r="S38" s="75"/>
      <c r="T38" s="75"/>
      <c r="U38" s="75"/>
      <c r="V38" s="76"/>
      <c r="W38" s="205"/>
      <c r="X38" s="1"/>
      <c r="Y38" s="78">
        <f t="shared" si="0"/>
        <v>0</v>
      </c>
      <c r="Z38" s="78">
        <f t="shared" si="1"/>
        <v>0</v>
      </c>
      <c r="AA38" s="78">
        <f t="shared" si="2"/>
        <v>0</v>
      </c>
      <c r="AB38" s="78">
        <f t="shared" si="3"/>
        <v>0</v>
      </c>
      <c r="AC38" s="78"/>
      <c r="AD38" s="78">
        <v>0</v>
      </c>
      <c r="AE38" s="80">
        <f t="shared" si="7"/>
        <v>0</v>
      </c>
      <c r="AF38" s="82">
        <v>0</v>
      </c>
      <c r="AG38" s="69">
        <v>40203</v>
      </c>
      <c r="AH38" s="84">
        <v>94654</v>
      </c>
      <c r="AI38" s="69" t="s">
        <v>1984</v>
      </c>
      <c r="AJ38" s="25" t="s">
        <v>1985</v>
      </c>
      <c r="AK38" s="65"/>
      <c r="AL38" s="185" t="s">
        <v>1257</v>
      </c>
      <c r="AM38" s="86" t="s">
        <v>705</v>
      </c>
      <c r="AN38" s="3"/>
      <c r="AO38" s="4"/>
      <c r="AP38" s="5"/>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6"/>
      <c r="CQ38" s="7"/>
      <c r="CR38" s="6"/>
      <c r="CS38" s="7"/>
      <c r="CT38" s="6"/>
      <c r="CU38" s="7"/>
      <c r="CV38" s="8">
        <f t="shared" si="4"/>
        <v>0</v>
      </c>
      <c r="CW38" s="9"/>
      <c r="CX38" s="10"/>
      <c r="CY38" s="11"/>
      <c r="CZ38" s="12"/>
      <c r="DA38" s="29"/>
      <c r="DB38" s="12"/>
      <c r="DC38" s="9"/>
      <c r="DD38" s="10"/>
      <c r="DE38" s="71"/>
      <c r="DF38" s="23"/>
      <c r="EO38" s="353" t="str">
        <f t="shared" si="5"/>
        <v>CHOCO_ISTMINA</v>
      </c>
      <c r="EP38" s="350"/>
      <c r="EQ38" s="350" t="s">
        <v>3884</v>
      </c>
      <c r="ER38" s="358" t="s">
        <v>3887</v>
      </c>
      <c r="ES38" s="350" t="s">
        <v>4679</v>
      </c>
      <c r="ET38" s="350" t="s">
        <v>5830</v>
      </c>
      <c r="EU38" s="350" t="str">
        <f t="shared" si="8"/>
        <v>Antioquia_Abejorral</v>
      </c>
    </row>
    <row r="39" spans="1:151" ht="48" x14ac:dyDescent="0.2">
      <c r="A39" s="242">
        <v>40199</v>
      </c>
      <c r="B39" s="107" t="s">
        <v>2425</v>
      </c>
      <c r="C39" s="107" t="s">
        <v>2374</v>
      </c>
      <c r="D39" s="427" t="s">
        <v>1387</v>
      </c>
      <c r="E39" s="107" t="str">
        <f>VLOOKUP(B39&amp;C39,Divipola!$C$2:$F$1138,4,FALSE)</f>
        <v>27001</v>
      </c>
      <c r="F39" s="330"/>
      <c r="G39" s="224"/>
      <c r="H39" s="75"/>
      <c r="I39" s="75"/>
      <c r="J39" s="75">
        <v>120000</v>
      </c>
      <c r="K39" s="75">
        <f>120000/5</f>
        <v>24000</v>
      </c>
      <c r="L39" s="75"/>
      <c r="M39" s="75"/>
      <c r="N39" s="75"/>
      <c r="O39" s="75"/>
      <c r="P39" s="75"/>
      <c r="Q39" s="75"/>
      <c r="R39" s="75"/>
      <c r="S39" s="75"/>
      <c r="T39" s="75"/>
      <c r="U39" s="75"/>
      <c r="V39" s="76"/>
      <c r="W39" s="205"/>
      <c r="X39" s="1"/>
      <c r="Y39" s="78">
        <f t="shared" si="0"/>
        <v>0</v>
      </c>
      <c r="Z39" s="78">
        <f t="shared" si="1"/>
        <v>0</v>
      </c>
      <c r="AA39" s="78">
        <f t="shared" si="2"/>
        <v>0</v>
      </c>
      <c r="AB39" s="78">
        <f t="shared" si="3"/>
        <v>0</v>
      </c>
      <c r="AC39" s="78"/>
      <c r="AD39" s="78">
        <v>0</v>
      </c>
      <c r="AE39" s="80">
        <f t="shared" si="7"/>
        <v>0</v>
      </c>
      <c r="AF39" s="82">
        <v>0</v>
      </c>
      <c r="AG39" s="69">
        <v>40203</v>
      </c>
      <c r="AH39" s="84">
        <v>94654</v>
      </c>
      <c r="AI39" s="69" t="s">
        <v>1984</v>
      </c>
      <c r="AJ39" s="25" t="s">
        <v>1985</v>
      </c>
      <c r="AK39" s="65"/>
      <c r="AL39" s="185" t="s">
        <v>1257</v>
      </c>
      <c r="AM39" s="284" t="s">
        <v>705</v>
      </c>
      <c r="AN39" s="3"/>
      <c r="AO39" s="4"/>
      <c r="AP39" s="5"/>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6"/>
      <c r="CQ39" s="7"/>
      <c r="CR39" s="6"/>
      <c r="CS39" s="7"/>
      <c r="CT39" s="6"/>
      <c r="CU39" s="7"/>
      <c r="CV39" s="8">
        <f t="shared" si="4"/>
        <v>0</v>
      </c>
      <c r="CW39" s="9"/>
      <c r="CX39" s="10"/>
      <c r="CY39" s="11"/>
      <c r="CZ39" s="12"/>
      <c r="DA39" s="29"/>
      <c r="DB39" s="12"/>
      <c r="DC39" s="9"/>
      <c r="DD39" s="10"/>
      <c r="DE39" s="71"/>
      <c r="EO39" s="353" t="str">
        <f t="shared" si="5"/>
        <v>CHOCO_QUIBDO</v>
      </c>
      <c r="EP39" s="350"/>
      <c r="EQ39" s="350" t="s">
        <v>3884</v>
      </c>
      <c r="ER39" s="358" t="s">
        <v>3887</v>
      </c>
      <c r="ES39" s="350" t="s">
        <v>4680</v>
      </c>
      <c r="ET39" s="350" t="s">
        <v>5831</v>
      </c>
      <c r="EU39" s="350" t="str">
        <f t="shared" si="8"/>
        <v>Antioquia_Abriaqui</v>
      </c>
    </row>
    <row r="40" spans="1:151" ht="36" x14ac:dyDescent="0.2">
      <c r="A40" s="242">
        <v>40201</v>
      </c>
      <c r="B40" s="107" t="s">
        <v>2401</v>
      </c>
      <c r="C40" s="232" t="s">
        <v>2402</v>
      </c>
      <c r="D40" s="427" t="s">
        <v>1713</v>
      </c>
      <c r="E40" s="107" t="str">
        <f>VLOOKUP(B40&amp;C40,Divipola!$C$2:$F$1138,4,FALSE)</f>
        <v>05475</v>
      </c>
      <c r="F40" s="330"/>
      <c r="G40" s="224"/>
      <c r="H40" s="75"/>
      <c r="I40" s="75"/>
      <c r="J40" s="75"/>
      <c r="K40" s="75"/>
      <c r="L40" s="75"/>
      <c r="M40" s="75"/>
      <c r="N40" s="75"/>
      <c r="O40" s="75"/>
      <c r="P40" s="75"/>
      <c r="Q40" s="75"/>
      <c r="R40" s="75"/>
      <c r="S40" s="75"/>
      <c r="T40" s="75"/>
      <c r="U40" s="75"/>
      <c r="V40" s="76"/>
      <c r="W40" s="205"/>
      <c r="X40" s="1"/>
      <c r="Y40" s="78">
        <f t="shared" si="0"/>
        <v>0</v>
      </c>
      <c r="Z40" s="78">
        <f t="shared" si="1"/>
        <v>0</v>
      </c>
      <c r="AA40" s="78">
        <f t="shared" si="2"/>
        <v>0</v>
      </c>
      <c r="AB40" s="78">
        <f t="shared" si="3"/>
        <v>0</v>
      </c>
      <c r="AC40" s="78"/>
      <c r="AD40" s="78">
        <v>0</v>
      </c>
      <c r="AE40" s="80">
        <f t="shared" si="7"/>
        <v>0</v>
      </c>
      <c r="AF40" s="82">
        <v>0</v>
      </c>
      <c r="AG40" s="69">
        <v>40201</v>
      </c>
      <c r="AH40" s="84"/>
      <c r="AI40" s="69" t="s">
        <v>1984</v>
      </c>
      <c r="AJ40" s="70" t="s">
        <v>1985</v>
      </c>
      <c r="AK40" s="71"/>
      <c r="AL40" s="212" t="s">
        <v>1257</v>
      </c>
      <c r="AM40" s="87" t="s">
        <v>1461</v>
      </c>
      <c r="AN40" s="3"/>
      <c r="AO40" s="4"/>
      <c r="AP40" s="5"/>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6"/>
      <c r="CQ40" s="7"/>
      <c r="CR40" s="6"/>
      <c r="CS40" s="7"/>
      <c r="CT40" s="6"/>
      <c r="CU40" s="7"/>
      <c r="CV40" s="8">
        <f t="shared" si="4"/>
        <v>0</v>
      </c>
      <c r="CW40" s="9"/>
      <c r="CX40" s="10"/>
      <c r="CY40" s="11"/>
      <c r="CZ40" s="12"/>
      <c r="DA40" s="29"/>
      <c r="DB40" s="12"/>
      <c r="DC40" s="9"/>
      <c r="DD40" s="10"/>
      <c r="DE40" s="71"/>
      <c r="EO40" s="353" t="str">
        <f t="shared" si="5"/>
        <v>ANTIOQUIA_MURINDO</v>
      </c>
      <c r="EP40" s="350"/>
      <c r="EQ40" s="350" t="s">
        <v>3884</v>
      </c>
      <c r="ER40" s="358" t="s">
        <v>3887</v>
      </c>
      <c r="ES40" s="350" t="s">
        <v>4681</v>
      </c>
      <c r="ET40" s="350" t="s">
        <v>5832</v>
      </c>
      <c r="EU40" s="350" t="str">
        <f t="shared" si="8"/>
        <v>Antioquia_Alejandria</v>
      </c>
    </row>
    <row r="41" spans="1:151" ht="45" x14ac:dyDescent="0.2">
      <c r="A41" s="243">
        <v>40201</v>
      </c>
      <c r="B41" s="234" t="s">
        <v>1719</v>
      </c>
      <c r="C41" s="234" t="s">
        <v>1260</v>
      </c>
      <c r="D41" s="429" t="s">
        <v>1387</v>
      </c>
      <c r="E41" s="107" t="str">
        <f>VLOOKUP(B41&amp;C41,Divipola!$C$2:$F$1138,4,FALSE)</f>
        <v>19450</v>
      </c>
      <c r="F41" s="332"/>
      <c r="G41" s="225"/>
      <c r="H41" s="112"/>
      <c r="I41" s="112"/>
      <c r="J41" s="112">
        <f>3022*5</f>
        <v>15110</v>
      </c>
      <c r="K41" s="112">
        <v>3022</v>
      </c>
      <c r="L41" s="112"/>
      <c r="M41" s="112"/>
      <c r="N41" s="112"/>
      <c r="O41" s="112"/>
      <c r="P41" s="112"/>
      <c r="Q41" s="112"/>
      <c r="R41" s="112"/>
      <c r="S41" s="112"/>
      <c r="T41" s="112"/>
      <c r="U41" s="112"/>
      <c r="V41" s="113"/>
      <c r="W41" s="206"/>
      <c r="X41" s="95">
        <v>40310</v>
      </c>
      <c r="Y41" s="114">
        <f t="shared" si="0"/>
        <v>55428000</v>
      </c>
      <c r="Z41" s="114">
        <f t="shared" si="1"/>
        <v>127500000</v>
      </c>
      <c r="AA41" s="114">
        <f t="shared" si="2"/>
        <v>0</v>
      </c>
      <c r="AB41" s="114">
        <f t="shared" si="3"/>
        <v>0</v>
      </c>
      <c r="AC41" s="114"/>
      <c r="AD41" s="114">
        <v>0</v>
      </c>
      <c r="AE41" s="115">
        <f t="shared" si="7"/>
        <v>182928000</v>
      </c>
      <c r="AF41" s="116">
        <v>0</v>
      </c>
      <c r="AG41" s="117">
        <v>40289</v>
      </c>
      <c r="AH41" s="118">
        <v>96780</v>
      </c>
      <c r="AI41" s="117" t="s">
        <v>2009</v>
      </c>
      <c r="AJ41" s="282" t="s">
        <v>2010</v>
      </c>
      <c r="AK41" s="137" t="s">
        <v>848</v>
      </c>
      <c r="AL41" s="283" t="s">
        <v>1290</v>
      </c>
      <c r="AM41" s="286" t="s">
        <v>277</v>
      </c>
      <c r="AN41" s="122"/>
      <c r="AO41" s="123"/>
      <c r="AP41" s="124"/>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123"/>
      <c r="CG41" s="123"/>
      <c r="CH41" s="123"/>
      <c r="CI41" s="123"/>
      <c r="CJ41" s="123"/>
      <c r="CK41" s="123"/>
      <c r="CL41" s="123"/>
      <c r="CM41" s="123"/>
      <c r="CN41" s="123"/>
      <c r="CO41" s="123"/>
      <c r="CP41" s="125">
        <v>1500</v>
      </c>
      <c r="CQ41" s="126">
        <f>1500*36952</f>
        <v>55428000</v>
      </c>
      <c r="CR41" s="125"/>
      <c r="CS41" s="126"/>
      <c r="CT41" s="125"/>
      <c r="CU41" s="126"/>
      <c r="CV41" s="134">
        <f t="shared" si="4"/>
        <v>55428000</v>
      </c>
      <c r="CW41" s="127"/>
      <c r="CX41" s="128"/>
      <c r="CY41" s="129">
        <f>500+1000</f>
        <v>1500</v>
      </c>
      <c r="CZ41" s="130">
        <f>500*85000+1000*85000</f>
        <v>127500000</v>
      </c>
      <c r="DA41" s="131"/>
      <c r="DB41" s="130"/>
      <c r="DC41" s="127"/>
      <c r="DD41" s="128"/>
      <c r="DE41" s="138"/>
      <c r="DF41" s="132"/>
      <c r="EO41" s="353" t="str">
        <f t="shared" si="5"/>
        <v>CAUCA_MERCADERES</v>
      </c>
      <c r="EP41" s="350"/>
      <c r="EQ41" s="350" t="s">
        <v>3884</v>
      </c>
      <c r="ER41" s="358" t="s">
        <v>3887</v>
      </c>
      <c r="ES41" s="350" t="s">
        <v>4682</v>
      </c>
      <c r="ET41" s="350" t="s">
        <v>5833</v>
      </c>
      <c r="EU41" s="350" t="str">
        <f t="shared" si="8"/>
        <v>Antioquia_Amaga</v>
      </c>
    </row>
    <row r="42" spans="1:151" ht="38.25" x14ac:dyDescent="0.2">
      <c r="A42" s="242">
        <v>40201</v>
      </c>
      <c r="B42" s="107" t="s">
        <v>2245</v>
      </c>
      <c r="C42" s="107" t="s">
        <v>696</v>
      </c>
      <c r="D42" s="427" t="s">
        <v>1387</v>
      </c>
      <c r="E42" s="107" t="str">
        <f>VLOOKUP(B42&amp;C42,Divipola!$C$2:$F$1138,4,FALSE)</f>
        <v>52687</v>
      </c>
      <c r="F42" s="330"/>
      <c r="G42" s="224"/>
      <c r="H42" s="75"/>
      <c r="I42" s="75"/>
      <c r="J42" s="75">
        <v>23000</v>
      </c>
      <c r="K42" s="75">
        <v>4600</v>
      </c>
      <c r="L42" s="75"/>
      <c r="M42" s="75"/>
      <c r="N42" s="75"/>
      <c r="O42" s="75"/>
      <c r="P42" s="75"/>
      <c r="Q42" s="75"/>
      <c r="R42" s="75"/>
      <c r="S42" s="75"/>
      <c r="T42" s="75"/>
      <c r="U42" s="75"/>
      <c r="V42" s="76"/>
      <c r="W42" s="205"/>
      <c r="X42" s="1"/>
      <c r="Y42" s="78">
        <f t="shared" si="0"/>
        <v>0</v>
      </c>
      <c r="Z42" s="78">
        <f t="shared" si="1"/>
        <v>0</v>
      </c>
      <c r="AA42" s="78">
        <f t="shared" si="2"/>
        <v>0</v>
      </c>
      <c r="AB42" s="78">
        <f t="shared" si="3"/>
        <v>0</v>
      </c>
      <c r="AC42" s="78"/>
      <c r="AD42" s="78">
        <v>0</v>
      </c>
      <c r="AE42" s="80">
        <f t="shared" si="7"/>
        <v>0</v>
      </c>
      <c r="AF42" s="82">
        <v>0</v>
      </c>
      <c r="AG42" s="69">
        <v>40220</v>
      </c>
      <c r="AH42" s="84">
        <v>95088</v>
      </c>
      <c r="AI42" s="69" t="s">
        <v>1984</v>
      </c>
      <c r="AJ42" s="70" t="s">
        <v>1985</v>
      </c>
      <c r="AK42" s="71"/>
      <c r="AL42" s="212" t="s">
        <v>1257</v>
      </c>
      <c r="AM42" s="87" t="s">
        <v>697</v>
      </c>
      <c r="AN42" s="3"/>
      <c r="AO42" s="4"/>
      <c r="AP42" s="5"/>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6"/>
      <c r="CQ42" s="7"/>
      <c r="CR42" s="6"/>
      <c r="CS42" s="7"/>
      <c r="CT42" s="6"/>
      <c r="CU42" s="7"/>
      <c r="CV42" s="8">
        <f t="shared" si="4"/>
        <v>0</v>
      </c>
      <c r="CW42" s="9"/>
      <c r="CX42" s="10"/>
      <c r="CY42" s="11"/>
      <c r="CZ42" s="12"/>
      <c r="DA42" s="29"/>
      <c r="DB42" s="12"/>
      <c r="DC42" s="9"/>
      <c r="DD42" s="10"/>
      <c r="DE42" s="71"/>
      <c r="EO42" s="359" t="str">
        <f t="shared" si="5"/>
        <v>NARIÑO_SAN LORENZO</v>
      </c>
      <c r="EP42" s="360"/>
      <c r="EQ42" s="350" t="s">
        <v>3884</v>
      </c>
      <c r="ER42" s="358" t="s">
        <v>3887</v>
      </c>
      <c r="ES42" s="350" t="s">
        <v>4683</v>
      </c>
      <c r="ET42" s="350" t="s">
        <v>5834</v>
      </c>
      <c r="EU42" s="350" t="str">
        <f t="shared" si="8"/>
        <v>Antioquia_Amalfi</v>
      </c>
    </row>
    <row r="43" spans="1:151" ht="25.5" x14ac:dyDescent="0.2">
      <c r="A43" s="242">
        <v>40204</v>
      </c>
      <c r="B43" s="107" t="s">
        <v>2012</v>
      </c>
      <c r="C43" s="232" t="s">
        <v>2433</v>
      </c>
      <c r="D43" s="427" t="s">
        <v>2209</v>
      </c>
      <c r="E43" s="107" t="str">
        <f>VLOOKUP(B43&amp;C43,Divipola!$C$2:$F$1138,4,FALSE)</f>
        <v>66001</v>
      </c>
      <c r="F43" s="330"/>
      <c r="G43" s="224"/>
      <c r="H43" s="75"/>
      <c r="I43" s="75"/>
      <c r="J43" s="75">
        <v>105</v>
      </c>
      <c r="K43" s="75">
        <v>21</v>
      </c>
      <c r="L43" s="75"/>
      <c r="M43" s="75">
        <v>21</v>
      </c>
      <c r="N43" s="75"/>
      <c r="O43" s="75"/>
      <c r="P43" s="75"/>
      <c r="Q43" s="75"/>
      <c r="R43" s="75"/>
      <c r="S43" s="75"/>
      <c r="T43" s="75"/>
      <c r="U43" s="75"/>
      <c r="V43" s="76"/>
      <c r="W43" s="205"/>
      <c r="X43" s="1"/>
      <c r="Y43" s="78">
        <f t="shared" si="0"/>
        <v>0</v>
      </c>
      <c r="Z43" s="78">
        <f t="shared" si="1"/>
        <v>0</v>
      </c>
      <c r="AA43" s="78">
        <f t="shared" si="2"/>
        <v>0</v>
      </c>
      <c r="AB43" s="78">
        <f t="shared" si="3"/>
        <v>0</v>
      </c>
      <c r="AC43" s="78"/>
      <c r="AD43" s="78">
        <v>0</v>
      </c>
      <c r="AE43" s="80">
        <f t="shared" si="7"/>
        <v>0</v>
      </c>
      <c r="AF43" s="82">
        <v>0</v>
      </c>
      <c r="AG43" s="69">
        <v>40204</v>
      </c>
      <c r="AH43" s="84"/>
      <c r="AI43" s="69" t="s">
        <v>1984</v>
      </c>
      <c r="AJ43" s="70" t="s">
        <v>1985</v>
      </c>
      <c r="AK43" s="71"/>
      <c r="AL43" s="212" t="s">
        <v>1257</v>
      </c>
      <c r="AM43" s="87" t="s">
        <v>1569</v>
      </c>
      <c r="AN43" s="3"/>
      <c r="AO43" s="4"/>
      <c r="AP43" s="5"/>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6"/>
      <c r="CQ43" s="7"/>
      <c r="CR43" s="6"/>
      <c r="CS43" s="7"/>
      <c r="CT43" s="6"/>
      <c r="CU43" s="7"/>
      <c r="CV43" s="8">
        <f t="shared" si="4"/>
        <v>0</v>
      </c>
      <c r="CW43" s="9"/>
      <c r="CX43" s="10"/>
      <c r="CY43" s="11"/>
      <c r="CZ43" s="12"/>
      <c r="DA43" s="29"/>
      <c r="DB43" s="12"/>
      <c r="DC43" s="9"/>
      <c r="DD43" s="10"/>
      <c r="DE43" s="71"/>
      <c r="EO43" s="353" t="str">
        <f t="shared" si="5"/>
        <v>RISARALDA_PEREIRA</v>
      </c>
      <c r="EP43" s="350"/>
      <c r="EQ43" s="350" t="s">
        <v>3884</v>
      </c>
      <c r="ER43" s="358" t="s">
        <v>3887</v>
      </c>
      <c r="ES43" s="350" t="s">
        <v>4684</v>
      </c>
      <c r="ET43" s="350" t="s">
        <v>5835</v>
      </c>
      <c r="EU43" s="350" t="str">
        <f t="shared" si="8"/>
        <v>Antioquia_Andes</v>
      </c>
    </row>
    <row r="44" spans="1:151" ht="51" x14ac:dyDescent="0.2">
      <c r="A44" s="242">
        <v>40205</v>
      </c>
      <c r="B44" s="107" t="s">
        <v>828</v>
      </c>
      <c r="C44" s="232" t="s">
        <v>829</v>
      </c>
      <c r="D44" s="427" t="s">
        <v>1713</v>
      </c>
      <c r="E44" s="107" t="str">
        <f>VLOOKUP(B44&amp;C44,Divipola!$C$2:$F$1138,4,FALSE)</f>
        <v>15667</v>
      </c>
      <c r="F44" s="330"/>
      <c r="G44" s="224"/>
      <c r="H44" s="75"/>
      <c r="I44" s="75"/>
      <c r="J44" s="75"/>
      <c r="K44" s="75"/>
      <c r="L44" s="75"/>
      <c r="M44" s="75"/>
      <c r="N44" s="75"/>
      <c r="O44" s="75"/>
      <c r="P44" s="75"/>
      <c r="Q44" s="75"/>
      <c r="R44" s="75"/>
      <c r="S44" s="75"/>
      <c r="T44" s="75"/>
      <c r="U44" s="75"/>
      <c r="V44" s="76"/>
      <c r="W44" s="205"/>
      <c r="X44" s="1"/>
      <c r="Y44" s="78">
        <f t="shared" si="0"/>
        <v>0</v>
      </c>
      <c r="Z44" s="78">
        <f t="shared" si="1"/>
        <v>0</v>
      </c>
      <c r="AA44" s="78">
        <f t="shared" si="2"/>
        <v>0</v>
      </c>
      <c r="AB44" s="78">
        <f t="shared" si="3"/>
        <v>0</v>
      </c>
      <c r="AC44" s="78"/>
      <c r="AD44" s="78">
        <v>0</v>
      </c>
      <c r="AE44" s="80">
        <f t="shared" si="7"/>
        <v>0</v>
      </c>
      <c r="AF44" s="82">
        <v>0</v>
      </c>
      <c r="AG44" s="69">
        <v>40205</v>
      </c>
      <c r="AH44" s="84"/>
      <c r="AI44" s="69" t="s">
        <v>1984</v>
      </c>
      <c r="AJ44" s="70" t="s">
        <v>1985</v>
      </c>
      <c r="AK44" s="71"/>
      <c r="AL44" s="212" t="s">
        <v>1257</v>
      </c>
      <c r="AM44" s="87" t="s">
        <v>1765</v>
      </c>
      <c r="AN44" s="3"/>
      <c r="AO44" s="4"/>
      <c r="AP44" s="5"/>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6"/>
      <c r="CQ44" s="7"/>
      <c r="CR44" s="6"/>
      <c r="CS44" s="7"/>
      <c r="CT44" s="6"/>
      <c r="CU44" s="7"/>
      <c r="CV44" s="8">
        <f t="shared" si="4"/>
        <v>0</v>
      </c>
      <c r="CW44" s="9"/>
      <c r="CX44" s="10"/>
      <c r="CY44" s="11"/>
      <c r="CZ44" s="12"/>
      <c r="DA44" s="29"/>
      <c r="DB44" s="12"/>
      <c r="DC44" s="9"/>
      <c r="DD44" s="10"/>
      <c r="DE44" s="71"/>
      <c r="EO44" s="353" t="str">
        <f t="shared" si="5"/>
        <v>BOYACA_SAN LUIS DE GACENO</v>
      </c>
      <c r="EP44" s="350"/>
      <c r="EQ44" s="350" t="s">
        <v>3884</v>
      </c>
      <c r="ER44" s="358" t="s">
        <v>3887</v>
      </c>
      <c r="ES44" s="350" t="s">
        <v>4685</v>
      </c>
      <c r="ET44" s="350" t="s">
        <v>5836</v>
      </c>
      <c r="EU44" s="350" t="str">
        <f t="shared" si="8"/>
        <v>Antioquia_Angelopolis</v>
      </c>
    </row>
    <row r="45" spans="1:151" ht="48" x14ac:dyDescent="0.2">
      <c r="A45" s="242">
        <v>40205</v>
      </c>
      <c r="B45" s="107" t="s">
        <v>5778</v>
      </c>
      <c r="C45" s="232" t="s">
        <v>2424</v>
      </c>
      <c r="D45" s="427" t="s">
        <v>1713</v>
      </c>
      <c r="E45" s="107" t="str">
        <f>VLOOKUP(B45&amp;C45,Divipola!$C$2:$F$1138,4,FALSE)</f>
        <v>44560</v>
      </c>
      <c r="F45" s="330"/>
      <c r="G45" s="224"/>
      <c r="H45" s="75"/>
      <c r="I45" s="75"/>
      <c r="J45" s="75"/>
      <c r="K45" s="75"/>
      <c r="L45" s="75"/>
      <c r="M45" s="75"/>
      <c r="N45" s="75"/>
      <c r="O45" s="75"/>
      <c r="P45" s="75"/>
      <c r="Q45" s="75"/>
      <c r="R45" s="75"/>
      <c r="S45" s="75"/>
      <c r="T45" s="75"/>
      <c r="U45" s="75"/>
      <c r="V45" s="76"/>
      <c r="W45" s="205"/>
      <c r="X45" s="1"/>
      <c r="Y45" s="78">
        <f t="shared" si="0"/>
        <v>0</v>
      </c>
      <c r="Z45" s="78">
        <f t="shared" si="1"/>
        <v>0</v>
      </c>
      <c r="AA45" s="78">
        <f t="shared" si="2"/>
        <v>0</v>
      </c>
      <c r="AB45" s="78">
        <f t="shared" si="3"/>
        <v>0</v>
      </c>
      <c r="AC45" s="78"/>
      <c r="AD45" s="78">
        <v>0</v>
      </c>
      <c r="AE45" s="80">
        <f t="shared" si="7"/>
        <v>0</v>
      </c>
      <c r="AF45" s="82">
        <v>0</v>
      </c>
      <c r="AG45" s="69">
        <v>40205</v>
      </c>
      <c r="AH45" s="84"/>
      <c r="AI45" s="69" t="s">
        <v>1984</v>
      </c>
      <c r="AJ45" s="70" t="s">
        <v>1985</v>
      </c>
      <c r="AK45" s="71"/>
      <c r="AL45" s="212" t="s">
        <v>1257</v>
      </c>
      <c r="AM45" s="87" t="s">
        <v>2431</v>
      </c>
      <c r="AN45" s="3"/>
      <c r="AO45" s="4"/>
      <c r="AP45" s="5"/>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6"/>
      <c r="CQ45" s="7"/>
      <c r="CR45" s="6"/>
      <c r="CS45" s="7"/>
      <c r="CT45" s="6"/>
      <c r="CU45" s="7"/>
      <c r="CV45" s="8">
        <f t="shared" si="4"/>
        <v>0</v>
      </c>
      <c r="CW45" s="9"/>
      <c r="CX45" s="10"/>
      <c r="CY45" s="11"/>
      <c r="CZ45" s="12"/>
      <c r="DA45" s="29"/>
      <c r="DB45" s="12"/>
      <c r="DC45" s="9"/>
      <c r="DD45" s="10"/>
      <c r="DE45" s="71"/>
      <c r="EO45" s="353" t="str">
        <f t="shared" si="5"/>
        <v>LA GUAJIRA_MANAURE</v>
      </c>
      <c r="EP45" s="350"/>
      <c r="EQ45" s="350" t="s">
        <v>3884</v>
      </c>
      <c r="ER45" s="358" t="s">
        <v>3887</v>
      </c>
      <c r="ES45" s="350" t="s">
        <v>4686</v>
      </c>
      <c r="ET45" s="350" t="s">
        <v>5837</v>
      </c>
      <c r="EU45" s="350" t="str">
        <f t="shared" si="8"/>
        <v>Antioquia_Angostura</v>
      </c>
    </row>
    <row r="46" spans="1:151" ht="108" x14ac:dyDescent="0.2">
      <c r="A46" s="242">
        <v>40205</v>
      </c>
      <c r="B46" s="107" t="s">
        <v>2427</v>
      </c>
      <c r="C46" s="107" t="s">
        <v>1227</v>
      </c>
      <c r="D46" s="427" t="s">
        <v>1387</v>
      </c>
      <c r="E46" s="107" t="str">
        <f>VLOOKUP(B46&amp;C46,Divipola!$C$2:$F$1138,4,FALSE)</f>
        <v>68397</v>
      </c>
      <c r="F46" s="330"/>
      <c r="G46" s="224"/>
      <c r="H46" s="75"/>
      <c r="I46" s="75"/>
      <c r="J46" s="75"/>
      <c r="K46" s="75"/>
      <c r="L46" s="75"/>
      <c r="M46" s="75"/>
      <c r="N46" s="75"/>
      <c r="O46" s="75"/>
      <c r="P46" s="75"/>
      <c r="Q46" s="75"/>
      <c r="R46" s="75"/>
      <c r="S46" s="75"/>
      <c r="T46" s="75"/>
      <c r="U46" s="75"/>
      <c r="V46" s="76"/>
      <c r="W46" s="205"/>
      <c r="X46" s="1">
        <v>40316</v>
      </c>
      <c r="Y46" s="78">
        <f t="shared" si="0"/>
        <v>0</v>
      </c>
      <c r="Z46" s="78">
        <f t="shared" si="1"/>
        <v>0</v>
      </c>
      <c r="AA46" s="78">
        <f t="shared" si="2"/>
        <v>0</v>
      </c>
      <c r="AB46" s="78">
        <f t="shared" si="3"/>
        <v>0</v>
      </c>
      <c r="AC46" s="78"/>
      <c r="AD46" s="78">
        <v>33000000</v>
      </c>
      <c r="AE46" s="80">
        <f t="shared" si="7"/>
        <v>33000000</v>
      </c>
      <c r="AF46" s="82">
        <v>0</v>
      </c>
      <c r="AG46" s="69">
        <v>40304</v>
      </c>
      <c r="AH46" s="84">
        <v>97277</v>
      </c>
      <c r="AI46" s="69" t="s">
        <v>2009</v>
      </c>
      <c r="AJ46" s="70" t="s">
        <v>2010</v>
      </c>
      <c r="AK46" s="71">
        <v>243</v>
      </c>
      <c r="AL46" s="212" t="s">
        <v>1967</v>
      </c>
      <c r="AM46" s="93" t="s">
        <v>1968</v>
      </c>
      <c r="AN46" s="3"/>
      <c r="AO46" s="4"/>
      <c r="AP46" s="5"/>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6"/>
      <c r="CQ46" s="7"/>
      <c r="CR46" s="6"/>
      <c r="CS46" s="7"/>
      <c r="CT46" s="6"/>
      <c r="CU46" s="7"/>
      <c r="CV46" s="8">
        <f t="shared" si="4"/>
        <v>0</v>
      </c>
      <c r="CW46" s="9"/>
      <c r="CX46" s="10"/>
      <c r="CY46" s="11"/>
      <c r="CZ46" s="12"/>
      <c r="DA46" s="29"/>
      <c r="DB46" s="12"/>
      <c r="DC46" s="9"/>
      <c r="DD46" s="10"/>
      <c r="DE46" s="71">
        <v>2</v>
      </c>
      <c r="EO46" s="353" t="str">
        <f t="shared" si="5"/>
        <v>SANTANDER_LA PAZ</v>
      </c>
      <c r="EP46" s="350"/>
      <c r="EQ46" s="360" t="s">
        <v>3884</v>
      </c>
      <c r="ER46" s="358" t="s">
        <v>3887</v>
      </c>
      <c r="ES46" s="360" t="s">
        <v>4687</v>
      </c>
      <c r="ET46" s="360" t="s">
        <v>5838</v>
      </c>
      <c r="EU46" s="360" t="str">
        <f t="shared" si="8"/>
        <v>Antioquia_Anori</v>
      </c>
    </row>
    <row r="47" spans="1:151" ht="96" x14ac:dyDescent="0.2">
      <c r="A47" s="242">
        <v>40205</v>
      </c>
      <c r="B47" s="107" t="s">
        <v>1462</v>
      </c>
      <c r="C47" s="232" t="s">
        <v>1463</v>
      </c>
      <c r="D47" s="427" t="s">
        <v>2209</v>
      </c>
      <c r="E47" s="107" t="str">
        <f>VLOOKUP(B47&amp;C47,Divipola!$C$2:$F$1138,4,FALSE)</f>
        <v>76497</v>
      </c>
      <c r="F47" s="330"/>
      <c r="G47" s="224"/>
      <c r="H47" s="75"/>
      <c r="I47" s="75"/>
      <c r="J47" s="75">
        <f>620*5</f>
        <v>3100</v>
      </c>
      <c r="K47" s="75">
        <v>620</v>
      </c>
      <c r="L47" s="75">
        <v>8</v>
      </c>
      <c r="M47" s="75">
        <v>620</v>
      </c>
      <c r="N47" s="75"/>
      <c r="O47" s="75"/>
      <c r="P47" s="75"/>
      <c r="Q47" s="75"/>
      <c r="R47" s="75"/>
      <c r="S47" s="75"/>
      <c r="T47" s="75"/>
      <c r="U47" s="75"/>
      <c r="V47" s="76"/>
      <c r="W47" s="205"/>
      <c r="X47" s="1">
        <v>40211</v>
      </c>
      <c r="Y47" s="78">
        <f t="shared" si="0"/>
        <v>30699342</v>
      </c>
      <c r="Z47" s="78">
        <f t="shared" si="1"/>
        <v>25499538.000000004</v>
      </c>
      <c r="AA47" s="78">
        <f t="shared" si="2"/>
        <v>10499160</v>
      </c>
      <c r="AB47" s="78">
        <f t="shared" si="3"/>
        <v>0</v>
      </c>
      <c r="AC47" s="78"/>
      <c r="AD47" s="78">
        <v>0</v>
      </c>
      <c r="AE47" s="80">
        <f t="shared" si="7"/>
        <v>66698040</v>
      </c>
      <c r="AF47" s="82">
        <v>0</v>
      </c>
      <c r="AG47" s="69">
        <v>40205</v>
      </c>
      <c r="AH47" s="84">
        <v>94996</v>
      </c>
      <c r="AI47" s="69" t="s">
        <v>2009</v>
      </c>
      <c r="AJ47" s="70" t="s">
        <v>2010</v>
      </c>
      <c r="AK47" s="71">
        <v>15</v>
      </c>
      <c r="AL47" s="212" t="s">
        <v>1256</v>
      </c>
      <c r="AM47" s="87" t="s">
        <v>2422</v>
      </c>
      <c r="AN47" s="3"/>
      <c r="AO47" s="4"/>
      <c r="AP47" s="5"/>
      <c r="AQ47" s="4"/>
      <c r="AR47" s="4"/>
      <c r="AS47" s="4"/>
      <c r="AT47" s="4"/>
      <c r="AU47" s="4"/>
      <c r="AV47" s="4">
        <v>300</v>
      </c>
      <c r="AW47" s="4">
        <f>300*20998.32</f>
        <v>6299496</v>
      </c>
      <c r="AX47" s="4"/>
      <c r="AY47" s="4"/>
      <c r="AZ47" s="4">
        <v>300</v>
      </c>
      <c r="BA47" s="4">
        <f>300*55999.58</f>
        <v>16799874</v>
      </c>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6">
        <v>200</v>
      </c>
      <c r="CQ47" s="7">
        <f>200*37999.86</f>
        <v>7599972</v>
      </c>
      <c r="CR47" s="6"/>
      <c r="CS47" s="7"/>
      <c r="CT47" s="6"/>
      <c r="CU47" s="7"/>
      <c r="CV47" s="8">
        <f t="shared" si="4"/>
        <v>30699342</v>
      </c>
      <c r="CW47" s="9"/>
      <c r="CX47" s="10"/>
      <c r="CY47" s="11">
        <v>300</v>
      </c>
      <c r="CZ47" s="12">
        <f>300*84998.46</f>
        <v>25499538.000000004</v>
      </c>
      <c r="DA47" s="29"/>
      <c r="DB47" s="12"/>
      <c r="DC47" s="9">
        <v>500</v>
      </c>
      <c r="DD47" s="10">
        <f>500*20998.32</f>
        <v>10499160</v>
      </c>
      <c r="DE47" s="71"/>
      <c r="EO47" s="353" t="str">
        <f t="shared" si="5"/>
        <v>VALLE DEL CAUCA_OBANDO</v>
      </c>
      <c r="EP47" s="350"/>
      <c r="EQ47" s="350" t="s">
        <v>3884</v>
      </c>
      <c r="ER47" s="358" t="s">
        <v>3887</v>
      </c>
      <c r="ES47" s="350" t="s">
        <v>4688</v>
      </c>
      <c r="ET47" s="350" t="s">
        <v>5839</v>
      </c>
      <c r="EU47" s="350" t="str">
        <f t="shared" si="8"/>
        <v>Antioquia_Santafe de Antioquia</v>
      </c>
    </row>
    <row r="48" spans="1:151" ht="67.5" x14ac:dyDescent="0.2">
      <c r="A48" s="242">
        <v>40206</v>
      </c>
      <c r="B48" s="107" t="s">
        <v>1189</v>
      </c>
      <c r="C48" s="107" t="s">
        <v>285</v>
      </c>
      <c r="D48" s="427" t="s">
        <v>2209</v>
      </c>
      <c r="E48" s="107" t="str">
        <f>VLOOKUP(B48&amp;C48,Divipola!$C$2:$F$1138,4,FALSE)</f>
        <v>85010</v>
      </c>
      <c r="F48" s="330"/>
      <c r="G48" s="224"/>
      <c r="H48" s="75"/>
      <c r="I48" s="75"/>
      <c r="J48" s="75">
        <v>40</v>
      </c>
      <c r="K48" s="75">
        <v>8</v>
      </c>
      <c r="L48" s="75"/>
      <c r="M48" s="75">
        <v>8</v>
      </c>
      <c r="N48" s="75"/>
      <c r="O48" s="75"/>
      <c r="P48" s="75"/>
      <c r="Q48" s="75"/>
      <c r="R48" s="75"/>
      <c r="S48" s="75"/>
      <c r="T48" s="75"/>
      <c r="U48" s="75"/>
      <c r="V48" s="76"/>
      <c r="W48" s="205"/>
      <c r="X48" s="1">
        <v>40261</v>
      </c>
      <c r="Y48" s="78">
        <f t="shared" si="0"/>
        <v>0</v>
      </c>
      <c r="Z48" s="78">
        <f t="shared" si="1"/>
        <v>0</v>
      </c>
      <c r="AA48" s="78">
        <f t="shared" si="2"/>
        <v>3387200</v>
      </c>
      <c r="AB48" s="78">
        <f t="shared" si="3"/>
        <v>0</v>
      </c>
      <c r="AC48" s="78"/>
      <c r="AD48" s="78">
        <v>0</v>
      </c>
      <c r="AE48" s="80">
        <f t="shared" si="7"/>
        <v>3387200</v>
      </c>
      <c r="AF48" s="82">
        <v>0</v>
      </c>
      <c r="AG48" s="69">
        <v>40239</v>
      </c>
      <c r="AH48" s="84">
        <v>95642</v>
      </c>
      <c r="AI48" s="69" t="s">
        <v>2009</v>
      </c>
      <c r="AJ48" s="70" t="s">
        <v>2010</v>
      </c>
      <c r="AK48" s="71">
        <v>50</v>
      </c>
      <c r="AL48" s="212" t="s">
        <v>941</v>
      </c>
      <c r="AM48" s="87" t="s">
        <v>929</v>
      </c>
      <c r="AN48" s="3"/>
      <c r="AO48" s="4"/>
      <c r="AP48" s="5"/>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6"/>
      <c r="CQ48" s="7"/>
      <c r="CR48" s="6"/>
      <c r="CS48" s="7"/>
      <c r="CT48" s="6"/>
      <c r="CU48" s="7"/>
      <c r="CV48" s="8">
        <f t="shared" si="4"/>
        <v>0</v>
      </c>
      <c r="CW48" s="9"/>
      <c r="CX48" s="10"/>
      <c r="CY48" s="11"/>
      <c r="CZ48" s="12"/>
      <c r="DA48" s="29">
        <v>50</v>
      </c>
      <c r="DB48" s="12">
        <f>50*30160</f>
        <v>1508000</v>
      </c>
      <c r="DC48" s="9">
        <v>100</v>
      </c>
      <c r="DD48" s="10">
        <f>100*18792</f>
        <v>1879200</v>
      </c>
      <c r="DE48" s="71"/>
      <c r="EO48" s="353" t="str">
        <f t="shared" si="5"/>
        <v>CASANARE_AGUAZUL</v>
      </c>
      <c r="EP48" s="350"/>
      <c r="EQ48" s="350" t="s">
        <v>3884</v>
      </c>
      <c r="ER48" s="358" t="s">
        <v>3887</v>
      </c>
      <c r="ES48" s="350" t="s">
        <v>4689</v>
      </c>
      <c r="ET48" s="350" t="s">
        <v>5840</v>
      </c>
      <c r="EU48" s="350" t="str">
        <f t="shared" si="8"/>
        <v>Antioquia_Anza</v>
      </c>
    </row>
    <row r="49" spans="1:151" ht="67.5" x14ac:dyDescent="0.2">
      <c r="A49" s="242">
        <v>40206</v>
      </c>
      <c r="B49" s="107" t="s">
        <v>1189</v>
      </c>
      <c r="C49" s="107" t="s">
        <v>286</v>
      </c>
      <c r="D49" s="427" t="s">
        <v>2209</v>
      </c>
      <c r="E49" s="107" t="str">
        <f>VLOOKUP(B49&amp;C49,Divipola!$C$2:$F$1138,4,FALSE)</f>
        <v>85430</v>
      </c>
      <c r="F49" s="330"/>
      <c r="G49" s="224"/>
      <c r="H49" s="75"/>
      <c r="I49" s="75"/>
      <c r="J49" s="75">
        <v>70</v>
      </c>
      <c r="K49" s="75">
        <v>14</v>
      </c>
      <c r="L49" s="75"/>
      <c r="M49" s="75">
        <v>14</v>
      </c>
      <c r="N49" s="75"/>
      <c r="O49" s="75"/>
      <c r="P49" s="75"/>
      <c r="Q49" s="75"/>
      <c r="R49" s="75"/>
      <c r="S49" s="75"/>
      <c r="T49" s="75"/>
      <c r="U49" s="75"/>
      <c r="V49" s="76"/>
      <c r="W49" s="205"/>
      <c r="X49" s="1">
        <v>40261</v>
      </c>
      <c r="Y49" s="78">
        <f t="shared" si="0"/>
        <v>0</v>
      </c>
      <c r="Z49" s="78">
        <f t="shared" si="1"/>
        <v>0</v>
      </c>
      <c r="AA49" s="78">
        <f t="shared" si="2"/>
        <v>4326800</v>
      </c>
      <c r="AB49" s="78">
        <f t="shared" si="3"/>
        <v>0</v>
      </c>
      <c r="AC49" s="78"/>
      <c r="AD49" s="78">
        <v>0</v>
      </c>
      <c r="AE49" s="80">
        <f t="shared" si="7"/>
        <v>4326800</v>
      </c>
      <c r="AF49" s="82">
        <v>0</v>
      </c>
      <c r="AG49" s="69">
        <v>40239</v>
      </c>
      <c r="AH49" s="84">
        <v>95642</v>
      </c>
      <c r="AI49" s="69" t="s">
        <v>2009</v>
      </c>
      <c r="AJ49" s="70" t="s">
        <v>2010</v>
      </c>
      <c r="AK49" s="71">
        <v>50</v>
      </c>
      <c r="AL49" s="212" t="s">
        <v>941</v>
      </c>
      <c r="AM49" s="87" t="s">
        <v>930</v>
      </c>
      <c r="AN49" s="3"/>
      <c r="AO49" s="4"/>
      <c r="AP49" s="5"/>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6"/>
      <c r="CQ49" s="7"/>
      <c r="CR49" s="6"/>
      <c r="CS49" s="7"/>
      <c r="CT49" s="6"/>
      <c r="CU49" s="7"/>
      <c r="CV49" s="8">
        <f t="shared" si="4"/>
        <v>0</v>
      </c>
      <c r="CW49" s="9"/>
      <c r="CX49" s="10"/>
      <c r="CY49" s="11"/>
      <c r="CZ49" s="12"/>
      <c r="DA49" s="29">
        <v>50</v>
      </c>
      <c r="DB49" s="12">
        <f>50*30160</f>
        <v>1508000</v>
      </c>
      <c r="DC49" s="9">
        <v>150</v>
      </c>
      <c r="DD49" s="10">
        <f>150*18792</f>
        <v>2818800</v>
      </c>
      <c r="DE49" s="71"/>
      <c r="EO49" s="361" t="str">
        <f t="shared" si="5"/>
        <v>CASANARE_TRINIDAD</v>
      </c>
      <c r="EP49" s="362"/>
      <c r="EQ49" s="350" t="s">
        <v>3884</v>
      </c>
      <c r="ER49" s="358" t="s">
        <v>3887</v>
      </c>
      <c r="ES49" s="350" t="s">
        <v>4690</v>
      </c>
      <c r="ET49" s="350" t="s">
        <v>5841</v>
      </c>
      <c r="EU49" s="350" t="str">
        <f t="shared" si="8"/>
        <v>Antioquia_Apartado</v>
      </c>
    </row>
    <row r="50" spans="1:151" ht="38.25" x14ac:dyDescent="0.2">
      <c r="A50" s="242">
        <v>40206</v>
      </c>
      <c r="B50" s="107" t="s">
        <v>2425</v>
      </c>
      <c r="C50" s="232" t="s">
        <v>2426</v>
      </c>
      <c r="D50" s="427" t="s">
        <v>1713</v>
      </c>
      <c r="E50" s="107" t="str">
        <f>VLOOKUP(B50&amp;C50,Divipola!$C$2:$F$1138,4,FALSE)</f>
        <v>27075</v>
      </c>
      <c r="F50" s="330"/>
      <c r="G50" s="224"/>
      <c r="H50" s="75"/>
      <c r="I50" s="75"/>
      <c r="J50" s="75"/>
      <c r="K50" s="75"/>
      <c r="L50" s="75"/>
      <c r="M50" s="75"/>
      <c r="N50" s="75"/>
      <c r="O50" s="75"/>
      <c r="P50" s="75"/>
      <c r="Q50" s="75"/>
      <c r="R50" s="75"/>
      <c r="S50" s="75"/>
      <c r="T50" s="75"/>
      <c r="U50" s="75"/>
      <c r="V50" s="76"/>
      <c r="W50" s="205"/>
      <c r="X50" s="1"/>
      <c r="Y50" s="78">
        <f t="shared" si="0"/>
        <v>0</v>
      </c>
      <c r="Z50" s="78">
        <f t="shared" si="1"/>
        <v>0</v>
      </c>
      <c r="AA50" s="78">
        <f t="shared" si="2"/>
        <v>0</v>
      </c>
      <c r="AB50" s="78">
        <f t="shared" si="3"/>
        <v>0</v>
      </c>
      <c r="AC50" s="78"/>
      <c r="AD50" s="78">
        <v>0</v>
      </c>
      <c r="AE50" s="80">
        <f t="shared" si="7"/>
        <v>0</v>
      </c>
      <c r="AF50" s="82">
        <v>0</v>
      </c>
      <c r="AG50" s="69">
        <v>40206</v>
      </c>
      <c r="AH50" s="84"/>
      <c r="AI50" s="69" t="s">
        <v>1984</v>
      </c>
      <c r="AJ50" s="70" t="s">
        <v>1985</v>
      </c>
      <c r="AK50" s="71"/>
      <c r="AL50" s="212" t="s">
        <v>1257</v>
      </c>
      <c r="AM50" s="87" t="s">
        <v>2430</v>
      </c>
      <c r="AN50" s="3"/>
      <c r="AO50" s="4"/>
      <c r="AP50" s="5"/>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6"/>
      <c r="CQ50" s="7"/>
      <c r="CR50" s="6"/>
      <c r="CS50" s="7"/>
      <c r="CT50" s="6"/>
      <c r="CU50" s="7"/>
      <c r="CV50" s="8">
        <f t="shared" si="4"/>
        <v>0</v>
      </c>
      <c r="CW50" s="9"/>
      <c r="CX50" s="10"/>
      <c r="CY50" s="11"/>
      <c r="CZ50" s="12"/>
      <c r="DA50" s="29"/>
      <c r="DB50" s="12"/>
      <c r="DC50" s="9"/>
      <c r="DD50" s="10"/>
      <c r="DE50" s="71"/>
      <c r="EO50" s="361" t="str">
        <f t="shared" si="5"/>
        <v>CHOCO_BAHIA SOLANO</v>
      </c>
      <c r="EP50" s="362"/>
      <c r="EQ50" s="350" t="s">
        <v>3884</v>
      </c>
      <c r="ER50" s="358" t="s">
        <v>3887</v>
      </c>
      <c r="ES50" s="350" t="s">
        <v>4691</v>
      </c>
      <c r="ET50" s="350" t="s">
        <v>5842</v>
      </c>
      <c r="EU50" s="350" t="str">
        <f t="shared" si="8"/>
        <v>Antioquia_Arboletes</v>
      </c>
    </row>
    <row r="51" spans="1:151" ht="72" x14ac:dyDescent="0.2">
      <c r="A51" s="242">
        <v>40206</v>
      </c>
      <c r="B51" s="107" t="s">
        <v>2425</v>
      </c>
      <c r="C51" s="107" t="s">
        <v>1318</v>
      </c>
      <c r="D51" s="427" t="s">
        <v>250</v>
      </c>
      <c r="E51" s="107" t="str">
        <f>VLOOKUP(B51&amp;C51,Divipola!$C$2:$F$1138,4,FALSE)</f>
        <v>27430</v>
      </c>
      <c r="F51" s="330"/>
      <c r="G51" s="224"/>
      <c r="H51" s="75"/>
      <c r="I51" s="75"/>
      <c r="J51" s="75"/>
      <c r="K51" s="75"/>
      <c r="L51" s="75"/>
      <c r="M51" s="75"/>
      <c r="N51" s="75"/>
      <c r="O51" s="75"/>
      <c r="P51" s="75"/>
      <c r="Q51" s="75"/>
      <c r="R51" s="75"/>
      <c r="S51" s="75"/>
      <c r="T51" s="75"/>
      <c r="U51" s="75"/>
      <c r="V51" s="76"/>
      <c r="W51" s="205"/>
      <c r="X51" s="1">
        <v>40287</v>
      </c>
      <c r="Y51" s="78">
        <f t="shared" si="0"/>
        <v>0</v>
      </c>
      <c r="Z51" s="78">
        <f t="shared" si="1"/>
        <v>0</v>
      </c>
      <c r="AA51" s="78">
        <f t="shared" si="2"/>
        <v>0</v>
      </c>
      <c r="AB51" s="78">
        <f t="shared" si="3"/>
        <v>0</v>
      </c>
      <c r="AC51" s="78"/>
      <c r="AD51" s="78">
        <v>45000000</v>
      </c>
      <c r="AE51" s="80">
        <f t="shared" si="7"/>
        <v>45000000</v>
      </c>
      <c r="AF51" s="82">
        <v>0</v>
      </c>
      <c r="AG51" s="69">
        <v>40218</v>
      </c>
      <c r="AH51" s="84">
        <v>95058</v>
      </c>
      <c r="AI51" s="69" t="s">
        <v>2009</v>
      </c>
      <c r="AJ51" s="70" t="s">
        <v>2010</v>
      </c>
      <c r="AK51" s="71"/>
      <c r="AL51" s="212" t="s">
        <v>2323</v>
      </c>
      <c r="AM51" s="93" t="s">
        <v>1319</v>
      </c>
      <c r="AN51" s="3"/>
      <c r="AO51" s="4"/>
      <c r="AP51" s="5"/>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6"/>
      <c r="CQ51" s="7"/>
      <c r="CR51" s="6"/>
      <c r="CS51" s="7"/>
      <c r="CT51" s="6"/>
      <c r="CU51" s="7"/>
      <c r="CV51" s="8">
        <f t="shared" si="4"/>
        <v>0</v>
      </c>
      <c r="CW51" s="9"/>
      <c r="CX51" s="10"/>
      <c r="CY51" s="11"/>
      <c r="CZ51" s="12"/>
      <c r="DA51" s="29"/>
      <c r="DB51" s="12"/>
      <c r="DC51" s="9"/>
      <c r="DD51" s="10"/>
      <c r="DE51" s="71">
        <v>2</v>
      </c>
      <c r="EO51" s="353" t="str">
        <f t="shared" si="5"/>
        <v>CHOCO_MEDIO BAUDO</v>
      </c>
      <c r="EP51" s="350"/>
      <c r="EQ51" s="350" t="s">
        <v>3884</v>
      </c>
      <c r="ER51" s="358" t="s">
        <v>3887</v>
      </c>
      <c r="ES51" s="350" t="s">
        <v>4692</v>
      </c>
      <c r="ET51" s="350" t="s">
        <v>5843</v>
      </c>
      <c r="EU51" s="350" t="str">
        <f t="shared" si="8"/>
        <v>Antioquia_Argelia</v>
      </c>
    </row>
    <row r="52" spans="1:151" ht="72" x14ac:dyDescent="0.2">
      <c r="A52" s="242">
        <v>40206</v>
      </c>
      <c r="B52" s="107" t="s">
        <v>2013</v>
      </c>
      <c r="C52" s="232" t="s">
        <v>2013</v>
      </c>
      <c r="D52" s="427" t="s">
        <v>2779</v>
      </c>
      <c r="E52" s="107" t="str">
        <f>VLOOKUP(B52&amp;C52,Divipola!$C$2:$F$1138,4,FALSE)</f>
        <v>00000</v>
      </c>
      <c r="F52" s="330"/>
      <c r="G52" s="224"/>
      <c r="H52" s="75"/>
      <c r="I52" s="75"/>
      <c r="J52" s="75"/>
      <c r="K52" s="75"/>
      <c r="L52" s="75"/>
      <c r="M52" s="75"/>
      <c r="N52" s="75"/>
      <c r="O52" s="75"/>
      <c r="P52" s="75"/>
      <c r="Q52" s="75"/>
      <c r="R52" s="75"/>
      <c r="S52" s="75"/>
      <c r="T52" s="75"/>
      <c r="U52" s="75"/>
      <c r="V52" s="76"/>
      <c r="W52" s="205"/>
      <c r="X52" s="1">
        <v>40224</v>
      </c>
      <c r="Y52" s="78">
        <f t="shared" si="0"/>
        <v>0</v>
      </c>
      <c r="Z52" s="78">
        <f t="shared" si="1"/>
        <v>0</v>
      </c>
      <c r="AA52" s="78">
        <f t="shared" si="2"/>
        <v>0</v>
      </c>
      <c r="AB52" s="78">
        <f t="shared" si="3"/>
        <v>0</v>
      </c>
      <c r="AC52" s="78">
        <f>100*22000+53040+127488+82176+16800+9750+24300</f>
        <v>2513554</v>
      </c>
      <c r="AD52" s="78">
        <v>0</v>
      </c>
      <c r="AE52" s="80">
        <f t="shared" si="7"/>
        <v>2513554</v>
      </c>
      <c r="AF52" s="82">
        <v>0</v>
      </c>
      <c r="AG52" s="69">
        <v>40217</v>
      </c>
      <c r="AH52" s="84">
        <v>95038</v>
      </c>
      <c r="AI52" s="69" t="s">
        <v>2009</v>
      </c>
      <c r="AJ52" s="70" t="s">
        <v>2010</v>
      </c>
      <c r="AK52" s="71"/>
      <c r="AL52" s="212" t="s">
        <v>2011</v>
      </c>
      <c r="AM52" s="87" t="s">
        <v>695</v>
      </c>
      <c r="AN52" s="3"/>
      <c r="AO52" s="4"/>
      <c r="AP52" s="5"/>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6"/>
      <c r="CQ52" s="7"/>
      <c r="CR52" s="6"/>
      <c r="CS52" s="7"/>
      <c r="CT52" s="6"/>
      <c r="CU52" s="7"/>
      <c r="CV52" s="8">
        <f t="shared" si="4"/>
        <v>0</v>
      </c>
      <c r="CW52" s="9"/>
      <c r="CX52" s="10"/>
      <c r="CY52" s="11"/>
      <c r="CZ52" s="12"/>
      <c r="DA52" s="29"/>
      <c r="DB52" s="12"/>
      <c r="DC52" s="9"/>
      <c r="DD52" s="10"/>
      <c r="DE52" s="71"/>
      <c r="EO52" s="353" t="str">
        <f t="shared" si="5"/>
        <v>NACION_NACION</v>
      </c>
      <c r="EP52" s="350"/>
      <c r="EQ52" s="350" t="s">
        <v>3884</v>
      </c>
      <c r="ER52" s="358" t="s">
        <v>3887</v>
      </c>
      <c r="ES52" s="350" t="s">
        <v>4693</v>
      </c>
      <c r="ET52" s="350" t="s">
        <v>5844</v>
      </c>
      <c r="EU52" s="350" t="str">
        <f t="shared" si="8"/>
        <v>Antioquia_Armenia</v>
      </c>
    </row>
    <row r="53" spans="1:151" ht="25.5" x14ac:dyDescent="0.2">
      <c r="A53" s="242">
        <v>40206</v>
      </c>
      <c r="B53" s="107" t="s">
        <v>2012</v>
      </c>
      <c r="C53" s="232" t="s">
        <v>2433</v>
      </c>
      <c r="D53" s="427" t="s">
        <v>2209</v>
      </c>
      <c r="E53" s="107" t="str">
        <f>VLOOKUP(B53&amp;C53,Divipola!$C$2:$F$1138,4,FALSE)</f>
        <v>66001</v>
      </c>
      <c r="F53" s="330"/>
      <c r="G53" s="224"/>
      <c r="H53" s="75"/>
      <c r="I53" s="75"/>
      <c r="J53" s="75">
        <v>95</v>
      </c>
      <c r="K53" s="75">
        <v>19</v>
      </c>
      <c r="L53" s="75"/>
      <c r="M53" s="75">
        <v>19</v>
      </c>
      <c r="N53" s="75"/>
      <c r="O53" s="75"/>
      <c r="P53" s="75"/>
      <c r="Q53" s="75"/>
      <c r="R53" s="75"/>
      <c r="S53" s="75"/>
      <c r="T53" s="75"/>
      <c r="U53" s="75"/>
      <c r="V53" s="76"/>
      <c r="W53" s="205"/>
      <c r="X53" s="1"/>
      <c r="Y53" s="78">
        <f t="shared" si="0"/>
        <v>0</v>
      </c>
      <c r="Z53" s="78">
        <f t="shared" si="1"/>
        <v>0</v>
      </c>
      <c r="AA53" s="78">
        <f t="shared" si="2"/>
        <v>0</v>
      </c>
      <c r="AB53" s="78">
        <f t="shared" si="3"/>
        <v>0</v>
      </c>
      <c r="AC53" s="78"/>
      <c r="AD53" s="78">
        <v>0</v>
      </c>
      <c r="AE53" s="80">
        <f t="shared" si="7"/>
        <v>0</v>
      </c>
      <c r="AF53" s="82">
        <v>0</v>
      </c>
      <c r="AG53" s="69">
        <v>40206</v>
      </c>
      <c r="AH53" s="84"/>
      <c r="AI53" s="69" t="s">
        <v>1984</v>
      </c>
      <c r="AJ53" s="70" t="s">
        <v>1985</v>
      </c>
      <c r="AK53" s="71"/>
      <c r="AL53" s="212" t="s">
        <v>1257</v>
      </c>
      <c r="AM53" s="87" t="s">
        <v>827</v>
      </c>
      <c r="AN53" s="3"/>
      <c r="AO53" s="4"/>
      <c r="AP53" s="5"/>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6"/>
      <c r="CQ53" s="7"/>
      <c r="CR53" s="6"/>
      <c r="CS53" s="7"/>
      <c r="CT53" s="6"/>
      <c r="CU53" s="7"/>
      <c r="CV53" s="8">
        <f t="shared" si="4"/>
        <v>0</v>
      </c>
      <c r="CW53" s="9"/>
      <c r="CX53" s="10"/>
      <c r="CY53" s="11"/>
      <c r="CZ53" s="12"/>
      <c r="DA53" s="29"/>
      <c r="DB53" s="12"/>
      <c r="DC53" s="9"/>
      <c r="DD53" s="10"/>
      <c r="DE53" s="71"/>
      <c r="EO53" s="359" t="str">
        <f t="shared" si="5"/>
        <v>RISARALDA_PEREIRA</v>
      </c>
      <c r="EP53" s="360"/>
      <c r="EQ53" s="362" t="s">
        <v>3884</v>
      </c>
      <c r="ER53" s="358" t="s">
        <v>3887</v>
      </c>
      <c r="ES53" s="362" t="s">
        <v>4694</v>
      </c>
      <c r="ET53" s="362" t="s">
        <v>5845</v>
      </c>
      <c r="EU53" s="362" t="str">
        <f t="shared" si="8"/>
        <v>Antioquia_Barbosa</v>
      </c>
    </row>
    <row r="54" spans="1:151" ht="38.25" x14ac:dyDescent="0.2">
      <c r="A54" s="242">
        <v>40206</v>
      </c>
      <c r="B54" s="107" t="s">
        <v>2427</v>
      </c>
      <c r="C54" s="232" t="s">
        <v>2428</v>
      </c>
      <c r="D54" s="427" t="s">
        <v>1713</v>
      </c>
      <c r="E54" s="107" t="str">
        <f>VLOOKUP(B54&amp;C54,Divipola!$C$2:$F$1138,4,FALSE)</f>
        <v>68418</v>
      </c>
      <c r="F54" s="330"/>
      <c r="G54" s="224"/>
      <c r="H54" s="75"/>
      <c r="I54" s="75"/>
      <c r="J54" s="75"/>
      <c r="K54" s="75"/>
      <c r="L54" s="75"/>
      <c r="M54" s="75"/>
      <c r="N54" s="75"/>
      <c r="O54" s="75"/>
      <c r="P54" s="75"/>
      <c r="Q54" s="75"/>
      <c r="R54" s="75"/>
      <c r="S54" s="75"/>
      <c r="T54" s="75"/>
      <c r="U54" s="75"/>
      <c r="V54" s="76"/>
      <c r="W54" s="205"/>
      <c r="X54" s="1"/>
      <c r="Y54" s="78">
        <f t="shared" si="0"/>
        <v>0</v>
      </c>
      <c r="Z54" s="78">
        <f t="shared" si="1"/>
        <v>0</v>
      </c>
      <c r="AA54" s="78">
        <f t="shared" si="2"/>
        <v>0</v>
      </c>
      <c r="AB54" s="78">
        <f t="shared" si="3"/>
        <v>0</v>
      </c>
      <c r="AC54" s="78"/>
      <c r="AD54" s="78">
        <v>0</v>
      </c>
      <c r="AE54" s="80">
        <f t="shared" si="7"/>
        <v>0</v>
      </c>
      <c r="AF54" s="82">
        <v>0</v>
      </c>
      <c r="AG54" s="69">
        <v>40206</v>
      </c>
      <c r="AH54" s="84"/>
      <c r="AI54" s="69" t="s">
        <v>1984</v>
      </c>
      <c r="AJ54" s="70" t="s">
        <v>1985</v>
      </c>
      <c r="AK54" s="71"/>
      <c r="AL54" s="212" t="s">
        <v>1257</v>
      </c>
      <c r="AM54" s="87" t="s">
        <v>2429</v>
      </c>
      <c r="AN54" s="3"/>
      <c r="AO54" s="4"/>
      <c r="AP54" s="5"/>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6"/>
      <c r="CQ54" s="7"/>
      <c r="CR54" s="6"/>
      <c r="CS54" s="7"/>
      <c r="CT54" s="6"/>
      <c r="CU54" s="7"/>
      <c r="CV54" s="8">
        <f t="shared" si="4"/>
        <v>0</v>
      </c>
      <c r="CW54" s="9"/>
      <c r="CX54" s="10"/>
      <c r="CY54" s="11"/>
      <c r="CZ54" s="12"/>
      <c r="DA54" s="29"/>
      <c r="DB54" s="12"/>
      <c r="DC54" s="9"/>
      <c r="DD54" s="10"/>
      <c r="DE54" s="71"/>
      <c r="EO54" s="359" t="str">
        <f t="shared" si="5"/>
        <v>SANTANDER_LOS SANTOS</v>
      </c>
      <c r="EP54" s="360"/>
      <c r="EQ54" s="362" t="s">
        <v>3884</v>
      </c>
      <c r="ER54" s="358" t="s">
        <v>3887</v>
      </c>
      <c r="ES54" s="362" t="s">
        <v>4695</v>
      </c>
      <c r="ET54" s="362" t="s">
        <v>5846</v>
      </c>
      <c r="EU54" s="362" t="str">
        <f t="shared" si="8"/>
        <v>Antioquia_Belmira</v>
      </c>
    </row>
    <row r="55" spans="1:151" ht="156" x14ac:dyDescent="0.2">
      <c r="A55" s="242">
        <v>40207</v>
      </c>
      <c r="B55" s="107" t="s">
        <v>828</v>
      </c>
      <c r="C55" s="107" t="s">
        <v>1545</v>
      </c>
      <c r="D55" s="427" t="s">
        <v>2779</v>
      </c>
      <c r="E55" s="107" t="str">
        <f>VLOOKUP(B55&amp;C55,Divipola!$C$2:$F$1138,4,FALSE)</f>
        <v>15407</v>
      </c>
      <c r="F55" s="330"/>
      <c r="G55" s="224"/>
      <c r="H55" s="75"/>
      <c r="I55" s="75"/>
      <c r="J55" s="75"/>
      <c r="K55" s="75"/>
      <c r="L55" s="75"/>
      <c r="M55" s="75"/>
      <c r="N55" s="75"/>
      <c r="O55" s="75"/>
      <c r="P55" s="75"/>
      <c r="Q55" s="75"/>
      <c r="R55" s="75"/>
      <c r="S55" s="75"/>
      <c r="T55" s="75"/>
      <c r="U55" s="75"/>
      <c r="V55" s="76"/>
      <c r="W55" s="205"/>
      <c r="X55" s="1">
        <v>40241</v>
      </c>
      <c r="Y55" s="78">
        <f t="shared" si="0"/>
        <v>0</v>
      </c>
      <c r="Z55" s="78">
        <f t="shared" si="1"/>
        <v>0</v>
      </c>
      <c r="AA55" s="78">
        <f t="shared" si="2"/>
        <v>0</v>
      </c>
      <c r="AB55" s="78">
        <f t="shared" si="3"/>
        <v>0</v>
      </c>
      <c r="AC55" s="78">
        <f>500*22000</f>
        <v>11000000</v>
      </c>
      <c r="AD55" s="78">
        <v>50000000</v>
      </c>
      <c r="AE55" s="80">
        <f t="shared" si="7"/>
        <v>61000000</v>
      </c>
      <c r="AF55" s="82">
        <v>0</v>
      </c>
      <c r="AG55" s="69">
        <v>40213</v>
      </c>
      <c r="AH55" s="84">
        <v>94953</v>
      </c>
      <c r="AI55" s="69" t="s">
        <v>2009</v>
      </c>
      <c r="AJ55" s="70" t="s">
        <v>2010</v>
      </c>
      <c r="AK55" s="89" t="s">
        <v>267</v>
      </c>
      <c r="AL55" s="212" t="s">
        <v>2011</v>
      </c>
      <c r="AM55" s="93" t="s">
        <v>681</v>
      </c>
      <c r="AN55" s="3"/>
      <c r="AO55" s="4"/>
      <c r="AP55" s="5"/>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6"/>
      <c r="CQ55" s="7"/>
      <c r="CR55" s="6"/>
      <c r="CS55" s="7"/>
      <c r="CT55" s="6"/>
      <c r="CU55" s="7"/>
      <c r="CV55" s="8">
        <f t="shared" si="4"/>
        <v>0</v>
      </c>
      <c r="CW55" s="9"/>
      <c r="CX55" s="10"/>
      <c r="CY55" s="11"/>
      <c r="CZ55" s="12"/>
      <c r="DA55" s="29"/>
      <c r="DB55" s="12"/>
      <c r="DC55" s="9"/>
      <c r="DD55" s="10"/>
      <c r="DE55" s="89">
        <v>2</v>
      </c>
      <c r="EO55" s="353" t="str">
        <f t="shared" si="5"/>
        <v>BOYACA_VILLA DE LEYVA</v>
      </c>
      <c r="EP55" s="350"/>
      <c r="EQ55" s="350" t="s">
        <v>3884</v>
      </c>
      <c r="ER55" s="358" t="s">
        <v>3887</v>
      </c>
      <c r="ES55" s="350" t="s">
        <v>4696</v>
      </c>
      <c r="ET55" s="350" t="s">
        <v>5847</v>
      </c>
      <c r="EU55" s="350" t="str">
        <f t="shared" si="8"/>
        <v>Antioquia_Bello</v>
      </c>
    </row>
    <row r="56" spans="1:151" ht="48" x14ac:dyDescent="0.2">
      <c r="A56" s="242">
        <v>40207</v>
      </c>
      <c r="B56" s="107" t="s">
        <v>1719</v>
      </c>
      <c r="C56" s="232" t="s">
        <v>1785</v>
      </c>
      <c r="D56" s="427" t="s">
        <v>1713</v>
      </c>
      <c r="E56" s="107" t="str">
        <f>VLOOKUP(B56&amp;C56,Divipola!$C$2:$F$1138,4,FALSE)</f>
        <v>19318</v>
      </c>
      <c r="F56" s="330"/>
      <c r="G56" s="224"/>
      <c r="H56" s="75"/>
      <c r="I56" s="75"/>
      <c r="J56" s="75"/>
      <c r="K56" s="75"/>
      <c r="L56" s="75"/>
      <c r="M56" s="75"/>
      <c r="N56" s="75"/>
      <c r="O56" s="75"/>
      <c r="P56" s="75"/>
      <c r="Q56" s="75"/>
      <c r="R56" s="75"/>
      <c r="S56" s="75"/>
      <c r="T56" s="75"/>
      <c r="U56" s="75"/>
      <c r="V56" s="76"/>
      <c r="W56" s="205"/>
      <c r="X56" s="1"/>
      <c r="Y56" s="78">
        <f t="shared" si="0"/>
        <v>0</v>
      </c>
      <c r="Z56" s="78">
        <f t="shared" si="1"/>
        <v>0</v>
      </c>
      <c r="AA56" s="78">
        <f t="shared" si="2"/>
        <v>0</v>
      </c>
      <c r="AB56" s="78">
        <f t="shared" si="3"/>
        <v>0</v>
      </c>
      <c r="AC56" s="78"/>
      <c r="AD56" s="78">
        <v>0</v>
      </c>
      <c r="AE56" s="80">
        <f t="shared" si="7"/>
        <v>0</v>
      </c>
      <c r="AF56" s="82">
        <v>0</v>
      </c>
      <c r="AG56" s="69">
        <v>40207</v>
      </c>
      <c r="AH56" s="84"/>
      <c r="AI56" s="69" t="s">
        <v>1984</v>
      </c>
      <c r="AJ56" s="70" t="s">
        <v>1985</v>
      </c>
      <c r="AK56" s="71"/>
      <c r="AL56" s="212" t="s">
        <v>1257</v>
      </c>
      <c r="AM56" s="87" t="s">
        <v>1835</v>
      </c>
      <c r="AN56" s="3"/>
      <c r="AO56" s="4"/>
      <c r="AP56" s="5"/>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6"/>
      <c r="CQ56" s="7"/>
      <c r="CR56" s="6"/>
      <c r="CS56" s="7"/>
      <c r="CT56" s="6"/>
      <c r="CU56" s="7"/>
      <c r="CV56" s="8">
        <f t="shared" si="4"/>
        <v>0</v>
      </c>
      <c r="CW56" s="9"/>
      <c r="CX56" s="10"/>
      <c r="CY56" s="11"/>
      <c r="CZ56" s="12"/>
      <c r="DA56" s="29"/>
      <c r="DB56" s="12"/>
      <c r="DC56" s="9"/>
      <c r="DD56" s="10"/>
      <c r="DE56" s="71"/>
      <c r="EO56" s="353" t="str">
        <f t="shared" si="5"/>
        <v>CAUCA_GUAPI</v>
      </c>
      <c r="EP56" s="350"/>
      <c r="EQ56" s="350" t="s">
        <v>3884</v>
      </c>
      <c r="ER56" s="358" t="s">
        <v>3887</v>
      </c>
      <c r="ES56" s="350" t="s">
        <v>4697</v>
      </c>
      <c r="ET56" s="350" t="s">
        <v>5848</v>
      </c>
      <c r="EU56" s="350" t="str">
        <f t="shared" si="8"/>
        <v>Antioquia_Betania</v>
      </c>
    </row>
    <row r="57" spans="1:151" ht="96" x14ac:dyDescent="0.2">
      <c r="A57" s="242">
        <v>40207</v>
      </c>
      <c r="B57" s="107" t="s">
        <v>2321</v>
      </c>
      <c r="C57" s="107" t="s">
        <v>2322</v>
      </c>
      <c r="D57" s="427" t="s">
        <v>2779</v>
      </c>
      <c r="E57" s="107" t="str">
        <f>VLOOKUP(B57&amp;C57,Divipola!$C$2:$F$1138,4,FALSE)</f>
        <v>95001</v>
      </c>
      <c r="F57" s="330"/>
      <c r="G57" s="224"/>
      <c r="H57" s="75"/>
      <c r="I57" s="75"/>
      <c r="J57" s="75"/>
      <c r="K57" s="75"/>
      <c r="L57" s="75"/>
      <c r="M57" s="75"/>
      <c r="N57" s="75"/>
      <c r="O57" s="75"/>
      <c r="P57" s="75"/>
      <c r="Q57" s="75"/>
      <c r="R57" s="75"/>
      <c r="S57" s="75"/>
      <c r="T57" s="75"/>
      <c r="U57" s="75"/>
      <c r="V57" s="76"/>
      <c r="W57" s="205"/>
      <c r="X57" s="1">
        <v>40287</v>
      </c>
      <c r="Y57" s="78">
        <f t="shared" si="0"/>
        <v>0</v>
      </c>
      <c r="Z57" s="78">
        <f t="shared" si="1"/>
        <v>0</v>
      </c>
      <c r="AA57" s="78">
        <f t="shared" si="2"/>
        <v>0</v>
      </c>
      <c r="AB57" s="78">
        <f t="shared" si="3"/>
        <v>0</v>
      </c>
      <c r="AC57" s="78">
        <v>29760000</v>
      </c>
      <c r="AD57" s="78">
        <v>13425000</v>
      </c>
      <c r="AE57" s="80">
        <f t="shared" si="7"/>
        <v>43185000</v>
      </c>
      <c r="AF57" s="82">
        <v>0</v>
      </c>
      <c r="AG57" s="69">
        <v>40263</v>
      </c>
      <c r="AH57" s="84">
        <v>96279</v>
      </c>
      <c r="AI57" s="69" t="s">
        <v>2009</v>
      </c>
      <c r="AJ57" s="70" t="s">
        <v>2010</v>
      </c>
      <c r="AK57" s="89" t="s">
        <v>2806</v>
      </c>
      <c r="AL57" s="212" t="s">
        <v>2182</v>
      </c>
      <c r="AM57" s="93" t="s">
        <v>2805</v>
      </c>
      <c r="AN57" s="3"/>
      <c r="AO57" s="4"/>
      <c r="AP57" s="5"/>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6"/>
      <c r="CQ57" s="7"/>
      <c r="CR57" s="6"/>
      <c r="CS57" s="7"/>
      <c r="CT57" s="6"/>
      <c r="CU57" s="7"/>
      <c r="CV57" s="8">
        <f t="shared" si="4"/>
        <v>0</v>
      </c>
      <c r="CW57" s="9"/>
      <c r="CX57" s="10"/>
      <c r="CY57" s="11"/>
      <c r="CZ57" s="12"/>
      <c r="DA57" s="29"/>
      <c r="DB57" s="12"/>
      <c r="DC57" s="9"/>
      <c r="DD57" s="10"/>
      <c r="DE57" s="89">
        <v>2</v>
      </c>
      <c r="EO57" s="353" t="str">
        <f t="shared" si="5"/>
        <v>GUAVIARE_SAN JOSE DEL GUAVIARE</v>
      </c>
      <c r="EP57" s="350"/>
      <c r="EQ57" s="360" t="s">
        <v>3884</v>
      </c>
      <c r="ER57" s="358" t="s">
        <v>3887</v>
      </c>
      <c r="ES57" s="360" t="s">
        <v>4698</v>
      </c>
      <c r="ET57" s="360" t="s">
        <v>5849</v>
      </c>
      <c r="EU57" s="360" t="str">
        <f t="shared" si="8"/>
        <v>Antioquia_Betulia</v>
      </c>
    </row>
    <row r="58" spans="1:151" ht="60" x14ac:dyDescent="0.2">
      <c r="A58" s="242">
        <v>40207</v>
      </c>
      <c r="B58" s="107" t="s">
        <v>1462</v>
      </c>
      <c r="C58" s="232" t="s">
        <v>2432</v>
      </c>
      <c r="D58" s="427" t="s">
        <v>1713</v>
      </c>
      <c r="E58" s="107" t="str">
        <f>VLOOKUP(B58&amp;C58,Divipola!$C$2:$F$1138,4,FALSE)</f>
        <v>76054</v>
      </c>
      <c r="F58" s="330"/>
      <c r="G58" s="224"/>
      <c r="H58" s="75"/>
      <c r="I58" s="75"/>
      <c r="J58" s="75"/>
      <c r="K58" s="75"/>
      <c r="L58" s="75"/>
      <c r="M58" s="75"/>
      <c r="N58" s="75"/>
      <c r="O58" s="75"/>
      <c r="P58" s="75"/>
      <c r="Q58" s="75"/>
      <c r="R58" s="75"/>
      <c r="S58" s="75"/>
      <c r="T58" s="75"/>
      <c r="U58" s="75"/>
      <c r="V58" s="76"/>
      <c r="W58" s="205"/>
      <c r="X58" s="1"/>
      <c r="Y58" s="78">
        <f t="shared" si="0"/>
        <v>0</v>
      </c>
      <c r="Z58" s="78">
        <f t="shared" si="1"/>
        <v>0</v>
      </c>
      <c r="AA58" s="78">
        <f t="shared" si="2"/>
        <v>0</v>
      </c>
      <c r="AB58" s="78">
        <f t="shared" si="3"/>
        <v>0</v>
      </c>
      <c r="AC58" s="78"/>
      <c r="AD58" s="78">
        <v>0</v>
      </c>
      <c r="AE58" s="80">
        <f t="shared" si="7"/>
        <v>0</v>
      </c>
      <c r="AF58" s="82">
        <v>0</v>
      </c>
      <c r="AG58" s="69">
        <v>40207</v>
      </c>
      <c r="AH58" s="84"/>
      <c r="AI58" s="69" t="s">
        <v>1984</v>
      </c>
      <c r="AJ58" s="70" t="s">
        <v>1985</v>
      </c>
      <c r="AK58" s="71"/>
      <c r="AL58" s="212" t="s">
        <v>1257</v>
      </c>
      <c r="AM58" s="87" t="s">
        <v>3115</v>
      </c>
      <c r="AN58" s="3"/>
      <c r="AO58" s="4"/>
      <c r="AP58" s="5"/>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6"/>
      <c r="CQ58" s="7"/>
      <c r="CR58" s="6"/>
      <c r="CS58" s="7"/>
      <c r="CT58" s="6"/>
      <c r="CU58" s="7"/>
      <c r="CV58" s="8">
        <f t="shared" si="4"/>
        <v>0</v>
      </c>
      <c r="CW58" s="9"/>
      <c r="CX58" s="10"/>
      <c r="CY58" s="11"/>
      <c r="CZ58" s="12"/>
      <c r="DA58" s="29"/>
      <c r="DB58" s="12"/>
      <c r="DC58" s="9"/>
      <c r="DD58" s="10"/>
      <c r="DE58" s="71"/>
      <c r="EO58" s="353" t="str">
        <f t="shared" si="5"/>
        <v>VALLE DEL CAUCA_ARGELIA</v>
      </c>
      <c r="EP58" s="350"/>
      <c r="EQ58" s="360" t="s">
        <v>3884</v>
      </c>
      <c r="ER58" s="358" t="s">
        <v>3887</v>
      </c>
      <c r="ES58" s="360" t="s">
        <v>4699</v>
      </c>
      <c r="ET58" s="360" t="s">
        <v>5850</v>
      </c>
      <c r="EU58" s="360" t="str">
        <f t="shared" si="8"/>
        <v>Antioquia_Ciudad Bolivar</v>
      </c>
    </row>
    <row r="59" spans="1:151" ht="84" x14ac:dyDescent="0.2">
      <c r="A59" s="242">
        <v>40207</v>
      </c>
      <c r="B59" s="107" t="s">
        <v>1462</v>
      </c>
      <c r="C59" s="232" t="s">
        <v>3116</v>
      </c>
      <c r="D59" s="427" t="s">
        <v>1713</v>
      </c>
      <c r="E59" s="107" t="str">
        <f>VLOOKUP(B59&amp;C59,Divipola!$C$2:$F$1138,4,FALSE)</f>
        <v>76823</v>
      </c>
      <c r="F59" s="330"/>
      <c r="G59" s="224"/>
      <c r="H59" s="75"/>
      <c r="I59" s="75"/>
      <c r="J59" s="75">
        <v>75</v>
      </c>
      <c r="K59" s="75">
        <v>15</v>
      </c>
      <c r="L59" s="75"/>
      <c r="M59" s="75">
        <v>15</v>
      </c>
      <c r="N59" s="75"/>
      <c r="O59" s="75"/>
      <c r="P59" s="75"/>
      <c r="Q59" s="75"/>
      <c r="R59" s="75"/>
      <c r="S59" s="75"/>
      <c r="T59" s="75">
        <v>1</v>
      </c>
      <c r="U59" s="75"/>
      <c r="V59" s="76"/>
      <c r="W59" s="205"/>
      <c r="X59" s="1"/>
      <c r="Y59" s="78">
        <f t="shared" si="0"/>
        <v>0</v>
      </c>
      <c r="Z59" s="78">
        <f t="shared" si="1"/>
        <v>0</v>
      </c>
      <c r="AA59" s="78">
        <f t="shared" si="2"/>
        <v>0</v>
      </c>
      <c r="AB59" s="78">
        <f t="shared" si="3"/>
        <v>0</v>
      </c>
      <c r="AC59" s="78"/>
      <c r="AD59" s="78">
        <v>0</v>
      </c>
      <c r="AE59" s="80">
        <f t="shared" si="7"/>
        <v>0</v>
      </c>
      <c r="AF59" s="82">
        <v>0</v>
      </c>
      <c r="AG59" s="69">
        <v>40207</v>
      </c>
      <c r="AH59" s="84"/>
      <c r="AI59" s="69" t="s">
        <v>1984</v>
      </c>
      <c r="AJ59" s="70" t="s">
        <v>1985</v>
      </c>
      <c r="AK59" s="71"/>
      <c r="AL59" s="212" t="s">
        <v>1257</v>
      </c>
      <c r="AM59" s="87" t="s">
        <v>2295</v>
      </c>
      <c r="AN59" s="3"/>
      <c r="AO59" s="4"/>
      <c r="AP59" s="5"/>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6"/>
      <c r="CQ59" s="7"/>
      <c r="CR59" s="6"/>
      <c r="CS59" s="7"/>
      <c r="CT59" s="6"/>
      <c r="CU59" s="7"/>
      <c r="CV59" s="8">
        <f t="shared" si="4"/>
        <v>0</v>
      </c>
      <c r="CW59" s="9"/>
      <c r="CX59" s="10"/>
      <c r="CY59" s="11"/>
      <c r="CZ59" s="12"/>
      <c r="DA59" s="29"/>
      <c r="DB59" s="12"/>
      <c r="DC59" s="9"/>
      <c r="DD59" s="10"/>
      <c r="DE59" s="71"/>
      <c r="EO59" s="353" t="str">
        <f t="shared" si="5"/>
        <v>VALLE DEL CAUCA_TORO</v>
      </c>
      <c r="EP59" s="350"/>
      <c r="EQ59" s="350" t="s">
        <v>3884</v>
      </c>
      <c r="ER59" s="358" t="s">
        <v>3887</v>
      </c>
      <c r="ES59" s="350" t="s">
        <v>4700</v>
      </c>
      <c r="ET59" s="350" t="s">
        <v>5851</v>
      </c>
      <c r="EU59" s="350" t="str">
        <f t="shared" si="8"/>
        <v>Antioquia_Briceño</v>
      </c>
    </row>
    <row r="60" spans="1:151" ht="36" x14ac:dyDescent="0.2">
      <c r="A60" s="242">
        <v>40208</v>
      </c>
      <c r="B60" s="107" t="s">
        <v>2242</v>
      </c>
      <c r="C60" s="232" t="s">
        <v>2243</v>
      </c>
      <c r="D60" s="427" t="s">
        <v>1713</v>
      </c>
      <c r="E60" s="107" t="str">
        <f>VLOOKUP(B60&amp;C60,Divipola!$C$2:$F$1138,4,FALSE)</f>
        <v>20517</v>
      </c>
      <c r="F60" s="330"/>
      <c r="G60" s="224"/>
      <c r="H60" s="75"/>
      <c r="I60" s="75"/>
      <c r="J60" s="75"/>
      <c r="K60" s="75"/>
      <c r="L60" s="75"/>
      <c r="M60" s="75"/>
      <c r="N60" s="75"/>
      <c r="O60" s="75"/>
      <c r="P60" s="75"/>
      <c r="Q60" s="75"/>
      <c r="R60" s="75"/>
      <c r="S60" s="75"/>
      <c r="T60" s="75"/>
      <c r="U60" s="75"/>
      <c r="V60" s="76"/>
      <c r="W60" s="205"/>
      <c r="X60" s="1"/>
      <c r="Y60" s="78">
        <f t="shared" si="0"/>
        <v>0</v>
      </c>
      <c r="Z60" s="78">
        <f t="shared" si="1"/>
        <v>0</v>
      </c>
      <c r="AA60" s="78">
        <f t="shared" si="2"/>
        <v>0</v>
      </c>
      <c r="AB60" s="78">
        <f t="shared" si="3"/>
        <v>0</v>
      </c>
      <c r="AC60" s="78"/>
      <c r="AD60" s="78">
        <v>0</v>
      </c>
      <c r="AE60" s="80">
        <f t="shared" si="7"/>
        <v>0</v>
      </c>
      <c r="AF60" s="82">
        <v>0</v>
      </c>
      <c r="AG60" s="69">
        <v>40208</v>
      </c>
      <c r="AH60" s="84"/>
      <c r="AI60" s="69" t="s">
        <v>1984</v>
      </c>
      <c r="AJ60" s="70" t="s">
        <v>1985</v>
      </c>
      <c r="AK60" s="71"/>
      <c r="AL60" s="212" t="s">
        <v>1257</v>
      </c>
      <c r="AM60" s="87" t="s">
        <v>2244</v>
      </c>
      <c r="AN60" s="3"/>
      <c r="AO60" s="4"/>
      <c r="AP60" s="5"/>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6"/>
      <c r="CQ60" s="7"/>
      <c r="CR60" s="6"/>
      <c r="CS60" s="7"/>
      <c r="CT60" s="6"/>
      <c r="CU60" s="7"/>
      <c r="CV60" s="8">
        <f t="shared" si="4"/>
        <v>0</v>
      </c>
      <c r="CW60" s="9"/>
      <c r="CX60" s="10"/>
      <c r="CY60" s="11"/>
      <c r="CZ60" s="12"/>
      <c r="DA60" s="29"/>
      <c r="DB60" s="12"/>
      <c r="DC60" s="9"/>
      <c r="DD60" s="10"/>
      <c r="DE60" s="71"/>
      <c r="EO60" s="353" t="str">
        <f t="shared" si="5"/>
        <v>CESAR_PAILITAS</v>
      </c>
      <c r="EP60" s="350"/>
      <c r="EQ60" s="350" t="s">
        <v>3884</v>
      </c>
      <c r="ER60" s="358" t="s">
        <v>3887</v>
      </c>
      <c r="ES60" s="350" t="s">
        <v>4701</v>
      </c>
      <c r="ET60" s="350" t="s">
        <v>5852</v>
      </c>
      <c r="EU60" s="350" t="str">
        <f t="shared" si="8"/>
        <v>Antioquia_Buritica</v>
      </c>
    </row>
    <row r="61" spans="1:151" ht="132" x14ac:dyDescent="0.2">
      <c r="A61" s="242">
        <v>40208</v>
      </c>
      <c r="B61" s="107" t="s">
        <v>1836</v>
      </c>
      <c r="C61" s="232" t="s">
        <v>1837</v>
      </c>
      <c r="D61" s="427" t="s">
        <v>2352</v>
      </c>
      <c r="E61" s="107" t="str">
        <f>VLOOKUP(B61&amp;C61,Divipola!$C$2:$F$1138,4,FALSE)</f>
        <v>47245</v>
      </c>
      <c r="F61" s="330"/>
      <c r="G61" s="224"/>
      <c r="H61" s="75"/>
      <c r="I61" s="75"/>
      <c r="J61" s="75">
        <v>20</v>
      </c>
      <c r="K61" s="75">
        <v>4</v>
      </c>
      <c r="L61" s="75">
        <v>4</v>
      </c>
      <c r="M61" s="75"/>
      <c r="N61" s="75"/>
      <c r="O61" s="75"/>
      <c r="P61" s="75"/>
      <c r="Q61" s="75"/>
      <c r="R61" s="75"/>
      <c r="S61" s="75"/>
      <c r="T61" s="75"/>
      <c r="U61" s="75"/>
      <c r="V61" s="76"/>
      <c r="W61" s="205"/>
      <c r="X61" s="1"/>
      <c r="Y61" s="78">
        <f t="shared" si="0"/>
        <v>0</v>
      </c>
      <c r="Z61" s="78">
        <f t="shared" si="1"/>
        <v>0</v>
      </c>
      <c r="AA61" s="78">
        <f t="shared" si="2"/>
        <v>0</v>
      </c>
      <c r="AB61" s="78">
        <f t="shared" si="3"/>
        <v>0</v>
      </c>
      <c r="AC61" s="78"/>
      <c r="AD61" s="78">
        <v>0</v>
      </c>
      <c r="AE61" s="80">
        <f t="shared" si="7"/>
        <v>0</v>
      </c>
      <c r="AF61" s="82">
        <v>0</v>
      </c>
      <c r="AG61" s="69">
        <v>40208</v>
      </c>
      <c r="AH61" s="84"/>
      <c r="AI61" s="69" t="s">
        <v>1984</v>
      </c>
      <c r="AJ61" s="70" t="s">
        <v>1985</v>
      </c>
      <c r="AK61" s="71"/>
      <c r="AL61" s="212" t="s">
        <v>1257</v>
      </c>
      <c r="AM61" s="87" t="s">
        <v>2241</v>
      </c>
      <c r="AN61" s="3"/>
      <c r="AO61" s="4"/>
      <c r="AP61" s="5"/>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6"/>
      <c r="CQ61" s="7"/>
      <c r="CR61" s="6"/>
      <c r="CS61" s="7"/>
      <c r="CT61" s="6"/>
      <c r="CU61" s="7"/>
      <c r="CV61" s="8">
        <f t="shared" si="4"/>
        <v>0</v>
      </c>
      <c r="CW61" s="9"/>
      <c r="CX61" s="10"/>
      <c r="CY61" s="11"/>
      <c r="CZ61" s="12"/>
      <c r="DA61" s="29"/>
      <c r="DB61" s="12"/>
      <c r="DC61" s="9"/>
      <c r="DD61" s="10"/>
      <c r="DE61" s="71"/>
      <c r="EO61" s="353" t="str">
        <f t="shared" si="5"/>
        <v>MAGDALENA_EL BANCO</v>
      </c>
      <c r="EP61" s="350"/>
      <c r="EQ61" s="350" t="s">
        <v>3884</v>
      </c>
      <c r="ER61" s="358" t="s">
        <v>3887</v>
      </c>
      <c r="ES61" s="350" t="s">
        <v>4702</v>
      </c>
      <c r="ET61" s="350" t="s">
        <v>5853</v>
      </c>
      <c r="EU61" s="350" t="str">
        <f t="shared" si="8"/>
        <v>Antioquia_Caceres</v>
      </c>
    </row>
    <row r="62" spans="1:151" ht="78.75" x14ac:dyDescent="0.2">
      <c r="A62" s="242">
        <v>40208</v>
      </c>
      <c r="B62" s="107" t="s">
        <v>2427</v>
      </c>
      <c r="C62" s="232" t="s">
        <v>2008</v>
      </c>
      <c r="D62" s="427" t="s">
        <v>2209</v>
      </c>
      <c r="E62" s="107">
        <f>VLOOKUP(B62&amp;C62,Divipola!$C$2:$F$1138,4,FALSE)</f>
        <v>68</v>
      </c>
      <c r="F62" s="330"/>
      <c r="G62" s="224"/>
      <c r="H62" s="75"/>
      <c r="I62" s="75"/>
      <c r="J62" s="75">
        <f>250+500+450+500+200</f>
        <v>1900</v>
      </c>
      <c r="K62" s="75">
        <f>50+100+90+50+40</f>
        <v>330</v>
      </c>
      <c r="L62" s="75"/>
      <c r="M62" s="75"/>
      <c r="N62" s="75">
        <v>3</v>
      </c>
      <c r="O62" s="75">
        <v>1</v>
      </c>
      <c r="P62" s="75"/>
      <c r="Q62" s="75">
        <v>2</v>
      </c>
      <c r="R62" s="75"/>
      <c r="S62" s="75"/>
      <c r="T62" s="75"/>
      <c r="U62" s="75"/>
      <c r="V62" s="76">
        <v>1000</v>
      </c>
      <c r="W62" s="205" t="s">
        <v>2094</v>
      </c>
      <c r="X62" s="1">
        <v>40232</v>
      </c>
      <c r="Y62" s="78">
        <f t="shared" si="0"/>
        <v>0</v>
      </c>
      <c r="Z62" s="78">
        <f t="shared" si="1"/>
        <v>0</v>
      </c>
      <c r="AA62" s="78">
        <f t="shared" si="2"/>
        <v>27840000</v>
      </c>
      <c r="AB62" s="78">
        <f t="shared" si="3"/>
        <v>0</v>
      </c>
      <c r="AC62" s="78"/>
      <c r="AD62" s="78">
        <v>0</v>
      </c>
      <c r="AE62" s="80">
        <f t="shared" si="7"/>
        <v>27840000</v>
      </c>
      <c r="AF62" s="82">
        <v>0</v>
      </c>
      <c r="AG62" s="69">
        <v>40213</v>
      </c>
      <c r="AH62" s="84">
        <v>94929</v>
      </c>
      <c r="AI62" s="69" t="s">
        <v>2009</v>
      </c>
      <c r="AJ62" s="70" t="s">
        <v>2010</v>
      </c>
      <c r="AK62" s="71">
        <v>25</v>
      </c>
      <c r="AL62" s="212" t="s">
        <v>605</v>
      </c>
      <c r="AM62" s="87" t="s">
        <v>1928</v>
      </c>
      <c r="AN62" s="3"/>
      <c r="AO62" s="4"/>
      <c r="AP62" s="5"/>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6"/>
      <c r="CQ62" s="7"/>
      <c r="CR62" s="6"/>
      <c r="CS62" s="7"/>
      <c r="CT62" s="6"/>
      <c r="CU62" s="7"/>
      <c r="CV62" s="8">
        <f t="shared" si="4"/>
        <v>0</v>
      </c>
      <c r="CW62" s="9"/>
      <c r="CX62" s="10"/>
      <c r="CY62" s="11"/>
      <c r="CZ62" s="12"/>
      <c r="DA62" s="29"/>
      <c r="DB62" s="12"/>
      <c r="DC62" s="9">
        <v>1500</v>
      </c>
      <c r="DD62" s="10">
        <f>1500*18560</f>
        <v>27840000</v>
      </c>
      <c r="DE62" s="71"/>
      <c r="EO62" s="353" t="str">
        <f t="shared" si="5"/>
        <v>SANTANDER_DEPARTAMENTO</v>
      </c>
      <c r="EP62" s="350"/>
      <c r="EQ62" s="350" t="s">
        <v>3884</v>
      </c>
      <c r="ER62" s="358" t="s">
        <v>3887</v>
      </c>
      <c r="ES62" s="350" t="s">
        <v>4703</v>
      </c>
      <c r="ET62" s="350" t="s">
        <v>5854</v>
      </c>
      <c r="EU62" s="350" t="str">
        <f t="shared" si="8"/>
        <v>Antioquia_Caicedo</v>
      </c>
    </row>
    <row r="63" spans="1:151" ht="84" x14ac:dyDescent="0.2">
      <c r="A63" s="242">
        <v>40210</v>
      </c>
      <c r="B63" s="107" t="s">
        <v>2756</v>
      </c>
      <c r="C63" s="232" t="s">
        <v>2008</v>
      </c>
      <c r="D63" s="427" t="s">
        <v>2779</v>
      </c>
      <c r="E63" s="107">
        <f>VLOOKUP(B63&amp;C63,Divipola!$C$2:$F$1138,4,FALSE)</f>
        <v>81</v>
      </c>
      <c r="F63" s="330"/>
      <c r="G63" s="224"/>
      <c r="H63" s="75"/>
      <c r="I63" s="75"/>
      <c r="J63" s="75"/>
      <c r="K63" s="75"/>
      <c r="L63" s="75"/>
      <c r="M63" s="75"/>
      <c r="N63" s="75"/>
      <c r="O63" s="75"/>
      <c r="P63" s="75"/>
      <c r="Q63" s="75"/>
      <c r="R63" s="75"/>
      <c r="S63" s="75"/>
      <c r="T63" s="75"/>
      <c r="U63" s="75"/>
      <c r="V63" s="76"/>
      <c r="W63" s="205"/>
      <c r="X63" s="1">
        <v>40218</v>
      </c>
      <c r="Y63" s="78">
        <f t="shared" si="0"/>
        <v>0</v>
      </c>
      <c r="Z63" s="78">
        <f t="shared" si="1"/>
        <v>0</v>
      </c>
      <c r="AA63" s="78">
        <f t="shared" si="2"/>
        <v>0</v>
      </c>
      <c r="AB63" s="78">
        <f t="shared" si="3"/>
        <v>0</v>
      </c>
      <c r="AC63" s="78">
        <f>38641800+200*22000+300*22000+600*1400</f>
        <v>50481800</v>
      </c>
      <c r="AD63" s="78">
        <v>0</v>
      </c>
      <c r="AE63" s="80">
        <f t="shared" si="7"/>
        <v>50481800</v>
      </c>
      <c r="AF63" s="82">
        <v>0</v>
      </c>
      <c r="AG63" s="69">
        <v>40210</v>
      </c>
      <c r="AH63" s="84">
        <v>94834</v>
      </c>
      <c r="AI63" s="69" t="s">
        <v>2009</v>
      </c>
      <c r="AJ63" s="70" t="s">
        <v>2010</v>
      </c>
      <c r="AK63" s="89" t="s">
        <v>1699</v>
      </c>
      <c r="AL63" s="212" t="s">
        <v>2011</v>
      </c>
      <c r="AM63" s="87" t="s">
        <v>833</v>
      </c>
      <c r="AN63" s="3"/>
      <c r="AO63" s="4"/>
      <c r="AP63" s="5"/>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6"/>
      <c r="CQ63" s="7"/>
      <c r="CR63" s="6"/>
      <c r="CS63" s="7"/>
      <c r="CT63" s="6"/>
      <c r="CU63" s="7"/>
      <c r="CV63" s="8">
        <f t="shared" si="4"/>
        <v>0</v>
      </c>
      <c r="CW63" s="9"/>
      <c r="CX63" s="10"/>
      <c r="CY63" s="11"/>
      <c r="CZ63" s="12"/>
      <c r="DA63" s="29"/>
      <c r="DB63" s="12"/>
      <c r="DC63" s="9"/>
      <c r="DD63" s="10"/>
      <c r="DE63" s="89"/>
      <c r="EO63" s="361" t="str">
        <f t="shared" si="5"/>
        <v>ARAUCA_DEPARTAMENTO</v>
      </c>
      <c r="EP63" s="362"/>
      <c r="EQ63" s="350" t="s">
        <v>3884</v>
      </c>
      <c r="ER63" s="358" t="s">
        <v>3887</v>
      </c>
      <c r="ES63" s="350" t="s">
        <v>4704</v>
      </c>
      <c r="ET63" s="350" t="s">
        <v>4221</v>
      </c>
      <c r="EU63" s="350" t="str">
        <f t="shared" si="8"/>
        <v>Antioquia_Caldas</v>
      </c>
    </row>
    <row r="64" spans="1:151" ht="84" x14ac:dyDescent="0.2">
      <c r="A64" s="242">
        <v>40210</v>
      </c>
      <c r="B64" s="107" t="s">
        <v>2017</v>
      </c>
      <c r="C64" s="107" t="s">
        <v>2</v>
      </c>
      <c r="D64" s="427" t="s">
        <v>1387</v>
      </c>
      <c r="E64" s="107" t="str">
        <f>VLOOKUP(B64&amp;C64,Divipola!$C$2:$F$1138,4,FALSE)</f>
        <v>13042</v>
      </c>
      <c r="F64" s="330"/>
      <c r="G64" s="224"/>
      <c r="H64" s="75"/>
      <c r="I64" s="75"/>
      <c r="J64" s="75"/>
      <c r="K64" s="75"/>
      <c r="L64" s="75"/>
      <c r="M64" s="75"/>
      <c r="N64" s="75"/>
      <c r="O64" s="75"/>
      <c r="P64" s="75"/>
      <c r="Q64" s="75"/>
      <c r="R64" s="75"/>
      <c r="S64" s="75"/>
      <c r="T64" s="75"/>
      <c r="U64" s="75"/>
      <c r="V64" s="76"/>
      <c r="W64" s="205"/>
      <c r="X64" s="1"/>
      <c r="Y64" s="78">
        <f t="shared" si="0"/>
        <v>29000000</v>
      </c>
      <c r="Z64" s="78">
        <f t="shared" si="1"/>
        <v>0</v>
      </c>
      <c r="AA64" s="78">
        <f t="shared" si="2"/>
        <v>0</v>
      </c>
      <c r="AB64" s="78">
        <f t="shared" si="3"/>
        <v>0</v>
      </c>
      <c r="AC64" s="78"/>
      <c r="AD64" s="78">
        <v>0</v>
      </c>
      <c r="AE64" s="80">
        <f t="shared" si="7"/>
        <v>29000000</v>
      </c>
      <c r="AF64" s="82">
        <v>0</v>
      </c>
      <c r="AG64" s="69">
        <v>40210</v>
      </c>
      <c r="AH64" s="84"/>
      <c r="AI64" s="69" t="s">
        <v>2009</v>
      </c>
      <c r="AJ64" s="70" t="s">
        <v>2010</v>
      </c>
      <c r="AK64" s="71"/>
      <c r="AL64" s="212" t="s">
        <v>1257</v>
      </c>
      <c r="AM64" s="284" t="s">
        <v>3864</v>
      </c>
      <c r="AN64" s="3"/>
      <c r="AO64" s="4"/>
      <c r="AP64" s="5"/>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v>500</v>
      </c>
      <c r="CK64" s="4">
        <f>500*21000</f>
        <v>10500000</v>
      </c>
      <c r="CL64" s="4"/>
      <c r="CM64" s="4"/>
      <c r="CN64" s="4"/>
      <c r="CO64" s="4"/>
      <c r="CP64" s="6">
        <v>500</v>
      </c>
      <c r="CQ64" s="7">
        <f>500*37000</f>
        <v>18500000</v>
      </c>
      <c r="CR64" s="6"/>
      <c r="CS64" s="7"/>
      <c r="CT64" s="6"/>
      <c r="CU64" s="7"/>
      <c r="CV64" s="8">
        <f t="shared" si="4"/>
        <v>29000000</v>
      </c>
      <c r="CW64" s="9"/>
      <c r="CX64" s="10"/>
      <c r="CY64" s="11"/>
      <c r="CZ64" s="12"/>
      <c r="DA64" s="29"/>
      <c r="DB64" s="12"/>
      <c r="DC64" s="9"/>
      <c r="DD64" s="10"/>
      <c r="DE64" s="71"/>
      <c r="EO64" s="353" t="str">
        <f t="shared" si="5"/>
        <v>BOLIVAR_ARENAL</v>
      </c>
      <c r="EP64" s="350"/>
      <c r="EQ64" s="350" t="s">
        <v>3884</v>
      </c>
      <c r="ER64" s="358" t="s">
        <v>3887</v>
      </c>
      <c r="ES64" s="350" t="s">
        <v>4705</v>
      </c>
      <c r="ET64" s="350" t="s">
        <v>5855</v>
      </c>
      <c r="EU64" s="350" t="str">
        <f t="shared" si="8"/>
        <v>Antioquia_Campamento</v>
      </c>
    </row>
    <row r="65" spans="1:151" ht="163.5" x14ac:dyDescent="0.2">
      <c r="A65" s="242">
        <v>40210</v>
      </c>
      <c r="B65" s="107" t="s">
        <v>2017</v>
      </c>
      <c r="C65" s="107" t="s">
        <v>4056</v>
      </c>
      <c r="D65" s="427" t="s">
        <v>1387</v>
      </c>
      <c r="E65" s="107" t="str">
        <f>VLOOKUP(B65&amp;C65,Divipola!$C$2:$F$1138,4,FALSE)</f>
        <v>13062</v>
      </c>
      <c r="F65" s="330"/>
      <c r="G65" s="224"/>
      <c r="H65" s="75"/>
      <c r="I65" s="75"/>
      <c r="J65" s="75"/>
      <c r="K65" s="75"/>
      <c r="L65" s="75"/>
      <c r="M65" s="75"/>
      <c r="N65" s="75"/>
      <c r="O65" s="75"/>
      <c r="P65" s="75"/>
      <c r="Q65" s="75"/>
      <c r="R65" s="75"/>
      <c r="S65" s="75"/>
      <c r="T65" s="75"/>
      <c r="U65" s="75"/>
      <c r="V65" s="76"/>
      <c r="W65" s="205"/>
      <c r="X65" s="1"/>
      <c r="Y65" s="78">
        <f t="shared" si="0"/>
        <v>1998000</v>
      </c>
      <c r="Z65" s="78">
        <f t="shared" si="1"/>
        <v>0</v>
      </c>
      <c r="AA65" s="78">
        <f t="shared" si="2"/>
        <v>0</v>
      </c>
      <c r="AB65" s="78">
        <f t="shared" si="3"/>
        <v>0</v>
      </c>
      <c r="AC65" s="78"/>
      <c r="AD65" s="78">
        <v>0</v>
      </c>
      <c r="AE65" s="80">
        <f t="shared" si="7"/>
        <v>1998000</v>
      </c>
      <c r="AF65" s="82">
        <v>0</v>
      </c>
      <c r="AG65" s="69">
        <v>40210</v>
      </c>
      <c r="AH65" s="84"/>
      <c r="AI65" s="69" t="s">
        <v>2009</v>
      </c>
      <c r="AJ65" s="70" t="s">
        <v>2010</v>
      </c>
      <c r="AK65" s="71"/>
      <c r="AL65" s="212" t="s">
        <v>1257</v>
      </c>
      <c r="AM65" s="284" t="s">
        <v>307</v>
      </c>
      <c r="AN65" s="3"/>
      <c r="AO65" s="4"/>
      <c r="AP65" s="5"/>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6">
        <v>54</v>
      </c>
      <c r="CQ65" s="7">
        <f>54*37000</f>
        <v>1998000</v>
      </c>
      <c r="CR65" s="6"/>
      <c r="CS65" s="7"/>
      <c r="CT65" s="6"/>
      <c r="CU65" s="7"/>
      <c r="CV65" s="8">
        <f t="shared" si="4"/>
        <v>1998000</v>
      </c>
      <c r="CW65" s="9"/>
      <c r="CX65" s="10"/>
      <c r="CY65" s="11"/>
      <c r="CZ65" s="12"/>
      <c r="DA65" s="29"/>
      <c r="DB65" s="12"/>
      <c r="DC65" s="9"/>
      <c r="DD65" s="10"/>
      <c r="DE65" s="71"/>
      <c r="EO65" s="353" t="str">
        <f t="shared" si="5"/>
        <v>BOLIVAR_ARROYOHONDO</v>
      </c>
      <c r="EP65" s="350"/>
      <c r="EQ65" s="350" t="s">
        <v>3884</v>
      </c>
      <c r="ER65" s="358" t="s">
        <v>3887</v>
      </c>
      <c r="ES65" s="350" t="s">
        <v>4706</v>
      </c>
      <c r="ET65" s="350" t="s">
        <v>5856</v>
      </c>
      <c r="EU65" s="350" t="str">
        <f t="shared" si="8"/>
        <v>Antioquia_Cañasgordas</v>
      </c>
    </row>
    <row r="66" spans="1:151" ht="150" x14ac:dyDescent="0.2">
      <c r="A66" s="242">
        <v>40210</v>
      </c>
      <c r="B66" s="107" t="s">
        <v>2017</v>
      </c>
      <c r="C66" s="107" t="s">
        <v>1964</v>
      </c>
      <c r="D66" s="427" t="s">
        <v>1387</v>
      </c>
      <c r="E66" s="107" t="str">
        <f>VLOOKUP(B66&amp;C66,Divipola!$C$2:$F$1138,4,FALSE)</f>
        <v>13074</v>
      </c>
      <c r="F66" s="330"/>
      <c r="G66" s="224"/>
      <c r="H66" s="75"/>
      <c r="I66" s="75"/>
      <c r="J66" s="75"/>
      <c r="K66" s="75"/>
      <c r="L66" s="75"/>
      <c r="M66" s="75"/>
      <c r="N66" s="75"/>
      <c r="O66" s="75"/>
      <c r="P66" s="75"/>
      <c r="Q66" s="75"/>
      <c r="R66" s="75"/>
      <c r="S66" s="75"/>
      <c r="T66" s="75"/>
      <c r="U66" s="75"/>
      <c r="V66" s="76"/>
      <c r="W66" s="205"/>
      <c r="X66" s="1"/>
      <c r="Y66" s="78">
        <f t="shared" si="0"/>
        <v>0</v>
      </c>
      <c r="Z66" s="78">
        <f t="shared" si="1"/>
        <v>0</v>
      </c>
      <c r="AA66" s="78">
        <f t="shared" si="2"/>
        <v>0</v>
      </c>
      <c r="AB66" s="78">
        <f t="shared" si="3"/>
        <v>0</v>
      </c>
      <c r="AC66" s="78"/>
      <c r="AD66" s="78">
        <v>0</v>
      </c>
      <c r="AE66" s="80">
        <f t="shared" si="7"/>
        <v>0</v>
      </c>
      <c r="AF66" s="82">
        <v>0</v>
      </c>
      <c r="AG66" s="69">
        <v>40210</v>
      </c>
      <c r="AH66" s="84"/>
      <c r="AI66" s="69" t="s">
        <v>1984</v>
      </c>
      <c r="AJ66" s="70" t="s">
        <v>1985</v>
      </c>
      <c r="AK66" s="71"/>
      <c r="AL66" s="212" t="s">
        <v>1257</v>
      </c>
      <c r="AM66" s="284" t="s">
        <v>914</v>
      </c>
      <c r="AN66" s="3"/>
      <c r="AO66" s="4"/>
      <c r="AP66" s="5"/>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6"/>
      <c r="CQ66" s="7"/>
      <c r="CR66" s="6"/>
      <c r="CS66" s="7"/>
      <c r="CT66" s="6"/>
      <c r="CU66" s="7"/>
      <c r="CV66" s="8">
        <f t="shared" si="4"/>
        <v>0</v>
      </c>
      <c r="CW66" s="9"/>
      <c r="CX66" s="10"/>
      <c r="CY66" s="11"/>
      <c r="CZ66" s="12"/>
      <c r="DA66" s="29"/>
      <c r="DB66" s="12"/>
      <c r="DC66" s="9"/>
      <c r="DD66" s="10"/>
      <c r="DE66" s="71"/>
      <c r="EO66" s="353" t="str">
        <f t="shared" si="5"/>
        <v>BOLIVAR_BARRANCO DE LOBA</v>
      </c>
      <c r="EP66" s="350"/>
      <c r="EQ66" s="350" t="s">
        <v>3884</v>
      </c>
      <c r="ER66" s="358" t="s">
        <v>3887</v>
      </c>
      <c r="ES66" s="350" t="s">
        <v>4707</v>
      </c>
      <c r="ET66" s="350" t="s">
        <v>5857</v>
      </c>
      <c r="EU66" s="350" t="str">
        <f t="shared" si="8"/>
        <v>Antioquia_Caracoli</v>
      </c>
    </row>
    <row r="67" spans="1:151" ht="150.75" x14ac:dyDescent="0.2">
      <c r="A67" s="242">
        <v>40210</v>
      </c>
      <c r="B67" s="107" t="s">
        <v>2017</v>
      </c>
      <c r="C67" s="107" t="s">
        <v>1958</v>
      </c>
      <c r="D67" s="427" t="s">
        <v>1387</v>
      </c>
      <c r="E67" s="107" t="str">
        <f>VLOOKUP(B67&amp;C67,Divipola!$C$2:$F$1138,4,FALSE)</f>
        <v>13140</v>
      </c>
      <c r="F67" s="330"/>
      <c r="G67" s="224"/>
      <c r="H67" s="75"/>
      <c r="I67" s="75"/>
      <c r="J67" s="75"/>
      <c r="K67" s="75"/>
      <c r="L67" s="75"/>
      <c r="M67" s="75"/>
      <c r="N67" s="75"/>
      <c r="O67" s="75"/>
      <c r="P67" s="75"/>
      <c r="Q67" s="75"/>
      <c r="R67" s="75"/>
      <c r="S67" s="75"/>
      <c r="T67" s="75"/>
      <c r="U67" s="75"/>
      <c r="V67" s="76"/>
      <c r="W67" s="205"/>
      <c r="X67" s="1"/>
      <c r="Y67" s="78">
        <f t="shared" ref="Y67:Y130" si="9">CV67</f>
        <v>0</v>
      </c>
      <c r="Z67" s="78">
        <f t="shared" ref="Z67:Z130" si="10">CZ67</f>
        <v>0</v>
      </c>
      <c r="AA67" s="78">
        <f t="shared" ref="AA67:AA130" si="11">DB67+DD67</f>
        <v>0</v>
      </c>
      <c r="AB67" s="78">
        <f t="shared" ref="AB67:AB130" si="12">CX67</f>
        <v>0</v>
      </c>
      <c r="AC67" s="78"/>
      <c r="AD67" s="78">
        <v>0</v>
      </c>
      <c r="AE67" s="80">
        <f t="shared" si="7"/>
        <v>0</v>
      </c>
      <c r="AF67" s="82">
        <v>0</v>
      </c>
      <c r="AG67" s="69">
        <v>40210</v>
      </c>
      <c r="AH67" s="84"/>
      <c r="AI67" s="69" t="s">
        <v>1984</v>
      </c>
      <c r="AJ67" s="70" t="s">
        <v>1985</v>
      </c>
      <c r="AK67" s="71"/>
      <c r="AL67" s="212" t="s">
        <v>1257</v>
      </c>
      <c r="AM67" s="284" t="s">
        <v>1027</v>
      </c>
      <c r="AN67" s="3"/>
      <c r="AO67" s="4"/>
      <c r="AP67" s="5"/>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6"/>
      <c r="CQ67" s="7"/>
      <c r="CR67" s="6"/>
      <c r="CS67" s="7"/>
      <c r="CT67" s="6"/>
      <c r="CU67" s="7"/>
      <c r="CV67" s="8">
        <f t="shared" ref="CV67:CV130" si="13">AO67+AQ67+AS67+AU67+AW67+AY67+BA67+BC67+BE67+BG67+BI67+BK67+BM67+BO67+BQ67+BS67+BU67+BW67+BY67+CA67+CC67+CE67+CG67+CI67+CK67+CM67+CO67+CQ67+CS67+CU67</f>
        <v>0</v>
      </c>
      <c r="CW67" s="9"/>
      <c r="CX67" s="10"/>
      <c r="CY67" s="11"/>
      <c r="CZ67" s="12"/>
      <c r="DA67" s="29"/>
      <c r="DB67" s="12"/>
      <c r="DC67" s="9"/>
      <c r="DD67" s="10"/>
      <c r="DE67" s="71"/>
      <c r="EO67" s="353" t="str">
        <f t="shared" ref="EO67:EO130" si="14">B67&amp;"_"&amp;C67</f>
        <v>BOLIVAR_CALAMAR</v>
      </c>
      <c r="EP67" s="350"/>
      <c r="EQ67" s="362" t="s">
        <v>3884</v>
      </c>
      <c r="ER67" s="358" t="s">
        <v>3887</v>
      </c>
      <c r="ES67" s="362" t="s">
        <v>4708</v>
      </c>
      <c r="ET67" s="362" t="s">
        <v>5858</v>
      </c>
      <c r="EU67" s="362" t="str">
        <f t="shared" si="8"/>
        <v>Antioquia_Caramanta</v>
      </c>
    </row>
    <row r="68" spans="1:151" ht="74.25" x14ac:dyDescent="0.2">
      <c r="A68" s="242">
        <v>40210</v>
      </c>
      <c r="B68" s="107" t="s">
        <v>2017</v>
      </c>
      <c r="C68" s="107" t="s">
        <v>1963</v>
      </c>
      <c r="D68" s="427" t="s">
        <v>1387</v>
      </c>
      <c r="E68" s="107" t="str">
        <f>VLOOKUP(B68&amp;C68,Divipola!$C$2:$F$1138,4,FALSE)</f>
        <v>13188</v>
      </c>
      <c r="F68" s="330"/>
      <c r="G68" s="224"/>
      <c r="H68" s="75"/>
      <c r="I68" s="75"/>
      <c r="J68" s="75"/>
      <c r="K68" s="75"/>
      <c r="L68" s="75"/>
      <c r="M68" s="75"/>
      <c r="N68" s="75"/>
      <c r="O68" s="75"/>
      <c r="P68" s="75"/>
      <c r="Q68" s="75"/>
      <c r="R68" s="75"/>
      <c r="S68" s="75"/>
      <c r="T68" s="75"/>
      <c r="U68" s="75"/>
      <c r="V68" s="76"/>
      <c r="W68" s="205"/>
      <c r="X68" s="1"/>
      <c r="Y68" s="78">
        <f t="shared" si="9"/>
        <v>0</v>
      </c>
      <c r="Z68" s="78">
        <f t="shared" si="10"/>
        <v>0</v>
      </c>
      <c r="AA68" s="78">
        <f t="shared" si="11"/>
        <v>0</v>
      </c>
      <c r="AB68" s="78">
        <f t="shared" si="12"/>
        <v>0</v>
      </c>
      <c r="AC68" s="78"/>
      <c r="AD68" s="78">
        <v>0</v>
      </c>
      <c r="AE68" s="80">
        <f t="shared" si="7"/>
        <v>0</v>
      </c>
      <c r="AF68" s="82">
        <v>0</v>
      </c>
      <c r="AG68" s="69">
        <v>40210</v>
      </c>
      <c r="AH68" s="84"/>
      <c r="AI68" s="69" t="s">
        <v>1984</v>
      </c>
      <c r="AJ68" s="70" t="s">
        <v>1985</v>
      </c>
      <c r="AK68" s="71"/>
      <c r="AL68" s="212" t="s">
        <v>1257</v>
      </c>
      <c r="AM68" s="284" t="s">
        <v>1983</v>
      </c>
      <c r="AN68" s="3"/>
      <c r="AO68" s="4"/>
      <c r="AP68" s="5"/>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6"/>
      <c r="CQ68" s="7"/>
      <c r="CR68" s="6"/>
      <c r="CS68" s="7"/>
      <c r="CT68" s="6"/>
      <c r="CU68" s="7"/>
      <c r="CV68" s="8">
        <f t="shared" si="13"/>
        <v>0</v>
      </c>
      <c r="CW68" s="9"/>
      <c r="CX68" s="10"/>
      <c r="CY68" s="11"/>
      <c r="CZ68" s="12"/>
      <c r="DA68" s="29"/>
      <c r="DB68" s="12"/>
      <c r="DC68" s="9"/>
      <c r="DD68" s="10"/>
      <c r="DE68" s="71"/>
      <c r="EO68" s="353" t="str">
        <f t="shared" si="14"/>
        <v>BOLIVAR_CICUCO</v>
      </c>
      <c r="EP68" s="350"/>
      <c r="EQ68" s="350" t="s">
        <v>3884</v>
      </c>
      <c r="ER68" s="358" t="s">
        <v>3887</v>
      </c>
      <c r="ES68" s="350" t="s">
        <v>4709</v>
      </c>
      <c r="ET68" s="350" t="s">
        <v>5859</v>
      </c>
      <c r="EU68" s="350" t="str">
        <f t="shared" si="8"/>
        <v>Antioquia_Carepa</v>
      </c>
    </row>
    <row r="69" spans="1:151" ht="111.75" x14ac:dyDescent="0.2">
      <c r="A69" s="242">
        <v>40210</v>
      </c>
      <c r="B69" s="107" t="s">
        <v>2017</v>
      </c>
      <c r="C69" s="107" t="s">
        <v>1952</v>
      </c>
      <c r="D69" s="427" t="s">
        <v>1387</v>
      </c>
      <c r="E69" s="107" t="str">
        <f>VLOOKUP(B69&amp;C69,Divipola!$C$2:$F$1138,4,FALSE)</f>
        <v>13222</v>
      </c>
      <c r="F69" s="330"/>
      <c r="G69" s="224"/>
      <c r="H69" s="75"/>
      <c r="I69" s="75"/>
      <c r="J69" s="75"/>
      <c r="K69" s="75"/>
      <c r="L69" s="75"/>
      <c r="M69" s="75"/>
      <c r="N69" s="75"/>
      <c r="O69" s="75"/>
      <c r="P69" s="75"/>
      <c r="Q69" s="75"/>
      <c r="R69" s="75"/>
      <c r="S69" s="75"/>
      <c r="T69" s="75"/>
      <c r="U69" s="75"/>
      <c r="V69" s="76"/>
      <c r="W69" s="205"/>
      <c r="X69" s="1"/>
      <c r="Y69" s="78">
        <f t="shared" si="9"/>
        <v>0</v>
      </c>
      <c r="Z69" s="78">
        <f t="shared" si="10"/>
        <v>0</v>
      </c>
      <c r="AA69" s="78">
        <f t="shared" si="11"/>
        <v>0</v>
      </c>
      <c r="AB69" s="78">
        <f t="shared" si="12"/>
        <v>0</v>
      </c>
      <c r="AC69" s="78"/>
      <c r="AD69" s="78">
        <v>0</v>
      </c>
      <c r="AE69" s="80">
        <f t="shared" si="7"/>
        <v>0</v>
      </c>
      <c r="AF69" s="82">
        <v>0</v>
      </c>
      <c r="AG69" s="69">
        <v>40210</v>
      </c>
      <c r="AH69" s="84"/>
      <c r="AI69" s="69" t="s">
        <v>1984</v>
      </c>
      <c r="AJ69" s="70" t="s">
        <v>1985</v>
      </c>
      <c r="AK69" s="71"/>
      <c r="AL69" s="212" t="s">
        <v>1257</v>
      </c>
      <c r="AM69" s="284" t="s">
        <v>2280</v>
      </c>
      <c r="AN69" s="3"/>
      <c r="AO69" s="4"/>
      <c r="AP69" s="5"/>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6"/>
      <c r="CQ69" s="7"/>
      <c r="CR69" s="6"/>
      <c r="CS69" s="7"/>
      <c r="CT69" s="6"/>
      <c r="CU69" s="7"/>
      <c r="CV69" s="8">
        <f t="shared" si="13"/>
        <v>0</v>
      </c>
      <c r="CW69" s="9"/>
      <c r="CX69" s="10"/>
      <c r="CY69" s="11"/>
      <c r="CZ69" s="12"/>
      <c r="DA69" s="29"/>
      <c r="DB69" s="12"/>
      <c r="DC69" s="9"/>
      <c r="DD69" s="10"/>
      <c r="DE69" s="71"/>
      <c r="EO69" s="353" t="str">
        <f t="shared" si="14"/>
        <v>BOLIVAR_CLEMENCIA</v>
      </c>
      <c r="EP69" s="350"/>
      <c r="EQ69" s="350" t="s">
        <v>3884</v>
      </c>
      <c r="ER69" s="358" t="s">
        <v>3887</v>
      </c>
      <c r="ES69" s="350" t="s">
        <v>4710</v>
      </c>
      <c r="ET69" s="350" t="s">
        <v>5860</v>
      </c>
      <c r="EU69" s="350" t="str">
        <f t="shared" si="8"/>
        <v>Antioquia_El Carmen de Viboral</v>
      </c>
    </row>
    <row r="70" spans="1:151" ht="60" x14ac:dyDescent="0.2">
      <c r="A70" s="242">
        <v>40210</v>
      </c>
      <c r="B70" s="107" t="s">
        <v>2017</v>
      </c>
      <c r="C70" s="107" t="s">
        <v>3</v>
      </c>
      <c r="D70" s="427" t="s">
        <v>1387</v>
      </c>
      <c r="E70" s="107" t="str">
        <f>VLOOKUP(B70&amp;C70,Divipola!$C$2:$F$1138,4,FALSE)</f>
        <v>13244</v>
      </c>
      <c r="F70" s="330"/>
      <c r="G70" s="224"/>
      <c r="H70" s="75"/>
      <c r="I70" s="75"/>
      <c r="J70" s="75"/>
      <c r="K70" s="75"/>
      <c r="L70" s="75"/>
      <c r="M70" s="75"/>
      <c r="N70" s="75"/>
      <c r="O70" s="75"/>
      <c r="P70" s="75"/>
      <c r="Q70" s="75"/>
      <c r="R70" s="75"/>
      <c r="S70" s="75"/>
      <c r="T70" s="75"/>
      <c r="U70" s="75"/>
      <c r="V70" s="76"/>
      <c r="W70" s="205"/>
      <c r="X70" s="1"/>
      <c r="Y70" s="78">
        <f t="shared" si="9"/>
        <v>0</v>
      </c>
      <c r="Z70" s="78">
        <f t="shared" si="10"/>
        <v>0</v>
      </c>
      <c r="AA70" s="78">
        <f t="shared" si="11"/>
        <v>0</v>
      </c>
      <c r="AB70" s="78">
        <f t="shared" si="12"/>
        <v>0</v>
      </c>
      <c r="AC70" s="78"/>
      <c r="AD70" s="78">
        <v>0</v>
      </c>
      <c r="AE70" s="80">
        <f t="shared" si="7"/>
        <v>0</v>
      </c>
      <c r="AF70" s="82">
        <v>0</v>
      </c>
      <c r="AG70" s="69">
        <v>40210</v>
      </c>
      <c r="AH70" s="84"/>
      <c r="AI70" s="69" t="s">
        <v>1984</v>
      </c>
      <c r="AJ70" s="70" t="s">
        <v>1985</v>
      </c>
      <c r="AK70" s="71"/>
      <c r="AL70" s="212" t="s">
        <v>1257</v>
      </c>
      <c r="AM70" s="284" t="s">
        <v>2479</v>
      </c>
      <c r="AN70" s="3"/>
      <c r="AO70" s="4"/>
      <c r="AP70" s="5"/>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6"/>
      <c r="CQ70" s="7"/>
      <c r="CR70" s="6"/>
      <c r="CS70" s="7"/>
      <c r="CT70" s="6"/>
      <c r="CU70" s="7"/>
      <c r="CV70" s="8">
        <f t="shared" si="13"/>
        <v>0</v>
      </c>
      <c r="CW70" s="9"/>
      <c r="CX70" s="10"/>
      <c r="CY70" s="11"/>
      <c r="CZ70" s="12"/>
      <c r="DA70" s="29"/>
      <c r="DB70" s="12"/>
      <c r="DC70" s="9"/>
      <c r="DD70" s="10"/>
      <c r="DE70" s="71"/>
      <c r="EO70" s="353" t="str">
        <f t="shared" si="14"/>
        <v>BOLIVAR_EL CARMEN DE BOLIVAR</v>
      </c>
      <c r="EP70" s="350"/>
      <c r="EQ70" s="350" t="s">
        <v>3884</v>
      </c>
      <c r="ER70" s="358" t="s">
        <v>3887</v>
      </c>
      <c r="ES70" s="350" t="s">
        <v>4711</v>
      </c>
      <c r="ET70" s="350" t="s">
        <v>5861</v>
      </c>
      <c r="EU70" s="350" t="str">
        <f t="shared" si="8"/>
        <v>Antioquia_Carolina</v>
      </c>
    </row>
    <row r="71" spans="1:151" ht="150.75" x14ac:dyDescent="0.2">
      <c r="A71" s="242">
        <v>40210</v>
      </c>
      <c r="B71" s="107" t="s">
        <v>2017</v>
      </c>
      <c r="C71" s="107" t="s">
        <v>1959</v>
      </c>
      <c r="D71" s="427" t="s">
        <v>1387</v>
      </c>
      <c r="E71" s="107" t="str">
        <f>VLOOKUP(B71&amp;C71,Divipola!$C$2:$F$1138,4,FALSE)</f>
        <v>13248</v>
      </c>
      <c r="F71" s="330"/>
      <c r="G71" s="224"/>
      <c r="H71" s="75"/>
      <c r="I71" s="75"/>
      <c r="J71" s="75"/>
      <c r="K71" s="75"/>
      <c r="L71" s="75"/>
      <c r="M71" s="75"/>
      <c r="N71" s="75"/>
      <c r="O71" s="75"/>
      <c r="P71" s="75"/>
      <c r="Q71" s="75"/>
      <c r="R71" s="75"/>
      <c r="S71" s="75"/>
      <c r="T71" s="75"/>
      <c r="U71" s="75"/>
      <c r="V71" s="76"/>
      <c r="W71" s="205"/>
      <c r="X71" s="1"/>
      <c r="Y71" s="78">
        <f t="shared" si="9"/>
        <v>0</v>
      </c>
      <c r="Z71" s="78">
        <f t="shared" si="10"/>
        <v>0</v>
      </c>
      <c r="AA71" s="78">
        <f t="shared" si="11"/>
        <v>0</v>
      </c>
      <c r="AB71" s="78">
        <f t="shared" si="12"/>
        <v>0</v>
      </c>
      <c r="AC71" s="78"/>
      <c r="AD71" s="78">
        <v>0</v>
      </c>
      <c r="AE71" s="80">
        <f t="shared" si="7"/>
        <v>0</v>
      </c>
      <c r="AF71" s="82">
        <v>0</v>
      </c>
      <c r="AG71" s="69">
        <v>40210</v>
      </c>
      <c r="AH71" s="84"/>
      <c r="AI71" s="69" t="s">
        <v>1984</v>
      </c>
      <c r="AJ71" s="70" t="s">
        <v>1985</v>
      </c>
      <c r="AK71" s="71"/>
      <c r="AL71" s="212" t="s">
        <v>1257</v>
      </c>
      <c r="AM71" s="284" t="s">
        <v>1027</v>
      </c>
      <c r="AN71" s="3"/>
      <c r="AO71" s="4"/>
      <c r="AP71" s="5"/>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6"/>
      <c r="CQ71" s="7"/>
      <c r="CR71" s="6"/>
      <c r="CS71" s="7"/>
      <c r="CT71" s="6"/>
      <c r="CU71" s="7"/>
      <c r="CV71" s="8">
        <f t="shared" si="13"/>
        <v>0</v>
      </c>
      <c r="CW71" s="9"/>
      <c r="CX71" s="10"/>
      <c r="CY71" s="11"/>
      <c r="CZ71" s="12"/>
      <c r="DA71" s="29"/>
      <c r="DB71" s="12"/>
      <c r="DC71" s="9"/>
      <c r="DD71" s="10"/>
      <c r="DE71" s="71"/>
      <c r="EO71" s="353" t="str">
        <f t="shared" si="14"/>
        <v>BOLIVAR_EL GUAMO</v>
      </c>
      <c r="EP71" s="350"/>
      <c r="EQ71" s="350" t="s">
        <v>3884</v>
      </c>
      <c r="ER71" s="358" t="s">
        <v>3887</v>
      </c>
      <c r="ES71" s="350" t="s">
        <v>4712</v>
      </c>
      <c r="ET71" s="350" t="s">
        <v>5862</v>
      </c>
      <c r="EU71" s="350" t="str">
        <f t="shared" si="8"/>
        <v>Antioquia_Caucasia</v>
      </c>
    </row>
    <row r="72" spans="1:151" ht="150.75" x14ac:dyDescent="0.2">
      <c r="A72" s="242">
        <v>40210</v>
      </c>
      <c r="B72" s="107" t="s">
        <v>2017</v>
      </c>
      <c r="C72" s="107" t="s">
        <v>1962</v>
      </c>
      <c r="D72" s="427" t="s">
        <v>1387</v>
      </c>
      <c r="E72" s="107" t="str">
        <f>VLOOKUP(B72&amp;C72,Divipola!$C$2:$F$1138,4,FALSE)</f>
        <v>13430</v>
      </c>
      <c r="F72" s="330"/>
      <c r="G72" s="224"/>
      <c r="H72" s="75"/>
      <c r="I72" s="75"/>
      <c r="J72" s="75"/>
      <c r="K72" s="75"/>
      <c r="L72" s="75"/>
      <c r="M72" s="75"/>
      <c r="N72" s="75"/>
      <c r="O72" s="75"/>
      <c r="P72" s="75"/>
      <c r="Q72" s="75"/>
      <c r="R72" s="75"/>
      <c r="S72" s="75"/>
      <c r="T72" s="75"/>
      <c r="U72" s="75"/>
      <c r="V72" s="76"/>
      <c r="W72" s="205"/>
      <c r="X72" s="1"/>
      <c r="Y72" s="78">
        <f t="shared" si="9"/>
        <v>0</v>
      </c>
      <c r="Z72" s="78">
        <f t="shared" si="10"/>
        <v>0</v>
      </c>
      <c r="AA72" s="78">
        <f t="shared" si="11"/>
        <v>0</v>
      </c>
      <c r="AB72" s="78">
        <f t="shared" si="12"/>
        <v>0</v>
      </c>
      <c r="AC72" s="78"/>
      <c r="AD72" s="78">
        <v>0</v>
      </c>
      <c r="AE72" s="80">
        <f t="shared" si="7"/>
        <v>0</v>
      </c>
      <c r="AF72" s="82">
        <v>0</v>
      </c>
      <c r="AG72" s="69">
        <v>40210</v>
      </c>
      <c r="AH72" s="84"/>
      <c r="AI72" s="69" t="s">
        <v>1984</v>
      </c>
      <c r="AJ72" s="70" t="s">
        <v>1985</v>
      </c>
      <c r="AK72" s="71"/>
      <c r="AL72" s="212" t="s">
        <v>1257</v>
      </c>
      <c r="AM72" s="284" t="s">
        <v>1982</v>
      </c>
      <c r="AN72" s="3"/>
      <c r="AO72" s="4"/>
      <c r="AP72" s="5"/>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6"/>
      <c r="CQ72" s="7"/>
      <c r="CR72" s="6"/>
      <c r="CS72" s="7"/>
      <c r="CT72" s="6"/>
      <c r="CU72" s="7"/>
      <c r="CV72" s="8">
        <f t="shared" si="13"/>
        <v>0</v>
      </c>
      <c r="CW72" s="9"/>
      <c r="CX72" s="10"/>
      <c r="CY72" s="11"/>
      <c r="CZ72" s="12"/>
      <c r="DA72" s="29"/>
      <c r="DB72" s="12"/>
      <c r="DC72" s="9"/>
      <c r="DD72" s="10"/>
      <c r="DE72" s="71"/>
      <c r="EO72" s="353" t="str">
        <f t="shared" si="14"/>
        <v>BOLIVAR_MAGANGUE</v>
      </c>
      <c r="EP72" s="350"/>
      <c r="EQ72" s="350" t="s">
        <v>3884</v>
      </c>
      <c r="ER72" s="358" t="s">
        <v>3887</v>
      </c>
      <c r="ES72" s="350" t="s">
        <v>4713</v>
      </c>
      <c r="ET72" s="350" t="s">
        <v>5863</v>
      </c>
      <c r="EU72" s="350" t="str">
        <f t="shared" si="8"/>
        <v>Antioquia_Chigorodo</v>
      </c>
    </row>
    <row r="73" spans="1:151" ht="132" x14ac:dyDescent="0.2">
      <c r="A73" s="242">
        <v>40210</v>
      </c>
      <c r="B73" s="107" t="s">
        <v>2017</v>
      </c>
      <c r="C73" s="107" t="s">
        <v>1955</v>
      </c>
      <c r="D73" s="427" t="s">
        <v>1387</v>
      </c>
      <c r="E73" s="107" t="str">
        <f>VLOOKUP(B73&amp;C73,Divipola!$C$2:$F$1138,4,FALSE)</f>
        <v>13433</v>
      </c>
      <c r="F73" s="330"/>
      <c r="G73" s="224"/>
      <c r="H73" s="75"/>
      <c r="I73" s="75"/>
      <c r="J73" s="75"/>
      <c r="K73" s="75"/>
      <c r="L73" s="75"/>
      <c r="M73" s="75"/>
      <c r="N73" s="75"/>
      <c r="O73" s="75"/>
      <c r="P73" s="75"/>
      <c r="Q73" s="75"/>
      <c r="R73" s="75"/>
      <c r="S73" s="75"/>
      <c r="T73" s="75"/>
      <c r="U73" s="75"/>
      <c r="V73" s="76"/>
      <c r="W73" s="205"/>
      <c r="X73" s="1"/>
      <c r="Y73" s="78">
        <f t="shared" si="9"/>
        <v>0</v>
      </c>
      <c r="Z73" s="78">
        <f t="shared" si="10"/>
        <v>0</v>
      </c>
      <c r="AA73" s="78">
        <f t="shared" si="11"/>
        <v>0</v>
      </c>
      <c r="AB73" s="78">
        <f t="shared" si="12"/>
        <v>0</v>
      </c>
      <c r="AC73" s="78"/>
      <c r="AD73" s="78">
        <v>0</v>
      </c>
      <c r="AE73" s="80">
        <f t="shared" ref="AE73:AE136" si="15">Y73+Z73+AA73+AB73+AC73+AD73</f>
        <v>0</v>
      </c>
      <c r="AF73" s="82">
        <v>0</v>
      </c>
      <c r="AG73" s="69">
        <v>40210</v>
      </c>
      <c r="AH73" s="84"/>
      <c r="AI73" s="69" t="s">
        <v>1984</v>
      </c>
      <c r="AJ73" s="70" t="s">
        <v>1985</v>
      </c>
      <c r="AK73" s="71"/>
      <c r="AL73" s="212" t="s">
        <v>1257</v>
      </c>
      <c r="AM73" s="284" t="s">
        <v>1026</v>
      </c>
      <c r="AN73" s="3"/>
      <c r="AO73" s="4"/>
      <c r="AP73" s="5"/>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6"/>
      <c r="CQ73" s="7"/>
      <c r="CR73" s="6"/>
      <c r="CS73" s="7"/>
      <c r="CT73" s="6"/>
      <c r="CU73" s="7"/>
      <c r="CV73" s="8">
        <f t="shared" si="13"/>
        <v>0</v>
      </c>
      <c r="CW73" s="9"/>
      <c r="CX73" s="10"/>
      <c r="CY73" s="11"/>
      <c r="CZ73" s="12"/>
      <c r="DA73" s="29"/>
      <c r="DB73" s="12"/>
      <c r="DC73" s="9"/>
      <c r="DD73" s="10"/>
      <c r="DE73" s="71"/>
      <c r="EO73" s="353" t="str">
        <f t="shared" si="14"/>
        <v>BOLIVAR_MAHATES</v>
      </c>
      <c r="EP73" s="350"/>
      <c r="EQ73" s="350" t="s">
        <v>3884</v>
      </c>
      <c r="ER73" s="358" t="s">
        <v>3887</v>
      </c>
      <c r="ES73" s="350" t="s">
        <v>4714</v>
      </c>
      <c r="ET73" s="350" t="s">
        <v>5864</v>
      </c>
      <c r="EU73" s="350" t="str">
        <f t="shared" si="8"/>
        <v>Antioquia_Cisneros</v>
      </c>
    </row>
    <row r="74" spans="1:151" ht="61.5" x14ac:dyDescent="0.2">
      <c r="A74" s="242">
        <v>40210</v>
      </c>
      <c r="B74" s="107" t="s">
        <v>2017</v>
      </c>
      <c r="C74" s="107" t="s">
        <v>1961</v>
      </c>
      <c r="D74" s="427" t="s">
        <v>1387</v>
      </c>
      <c r="E74" s="107" t="str">
        <f>VLOOKUP(B74&amp;C74,Divipola!$C$2:$F$1138,4,FALSE)</f>
        <v>13442</v>
      </c>
      <c r="F74" s="330"/>
      <c r="G74" s="224"/>
      <c r="H74" s="75"/>
      <c r="I74" s="75"/>
      <c r="J74" s="75"/>
      <c r="K74" s="75"/>
      <c r="L74" s="75"/>
      <c r="M74" s="75"/>
      <c r="N74" s="75"/>
      <c r="O74" s="75"/>
      <c r="P74" s="75"/>
      <c r="Q74" s="75"/>
      <c r="R74" s="75"/>
      <c r="S74" s="75"/>
      <c r="T74" s="75"/>
      <c r="U74" s="75"/>
      <c r="V74" s="76"/>
      <c r="W74" s="205"/>
      <c r="X74" s="1"/>
      <c r="Y74" s="78">
        <f t="shared" si="9"/>
        <v>0</v>
      </c>
      <c r="Z74" s="78">
        <f t="shared" si="10"/>
        <v>0</v>
      </c>
      <c r="AA74" s="78">
        <f t="shared" si="11"/>
        <v>0</v>
      </c>
      <c r="AB74" s="78">
        <f t="shared" si="12"/>
        <v>0</v>
      </c>
      <c r="AC74" s="78"/>
      <c r="AD74" s="78">
        <v>0</v>
      </c>
      <c r="AE74" s="80">
        <f t="shared" si="15"/>
        <v>0</v>
      </c>
      <c r="AF74" s="82">
        <v>0</v>
      </c>
      <c r="AG74" s="69">
        <v>40210</v>
      </c>
      <c r="AH74" s="84"/>
      <c r="AI74" s="69" t="s">
        <v>1984</v>
      </c>
      <c r="AJ74" s="70" t="s">
        <v>1985</v>
      </c>
      <c r="AK74" s="71"/>
      <c r="AL74" s="212" t="s">
        <v>1257</v>
      </c>
      <c r="AM74" s="284" t="s">
        <v>2023</v>
      </c>
      <c r="AN74" s="3"/>
      <c r="AO74" s="4"/>
      <c r="AP74" s="5"/>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6"/>
      <c r="CQ74" s="7"/>
      <c r="CR74" s="6"/>
      <c r="CS74" s="7"/>
      <c r="CT74" s="6"/>
      <c r="CU74" s="7"/>
      <c r="CV74" s="8">
        <f t="shared" si="13"/>
        <v>0</v>
      </c>
      <c r="CW74" s="9"/>
      <c r="CX74" s="10"/>
      <c r="CY74" s="11"/>
      <c r="CZ74" s="12"/>
      <c r="DA74" s="29"/>
      <c r="DB74" s="12"/>
      <c r="DC74" s="9"/>
      <c r="DD74" s="10"/>
      <c r="DE74" s="71"/>
      <c r="EO74" s="353" t="str">
        <f t="shared" si="14"/>
        <v>BOLIVAR_MARIA LA BAJA</v>
      </c>
      <c r="EP74" s="350"/>
      <c r="EQ74" s="350" t="s">
        <v>3884</v>
      </c>
      <c r="ER74" s="358" t="s">
        <v>3887</v>
      </c>
      <c r="ES74" s="350" t="s">
        <v>4715</v>
      </c>
      <c r="ET74" s="350" t="s">
        <v>5865</v>
      </c>
      <c r="EU74" s="350" t="str">
        <f t="shared" si="8"/>
        <v>Antioquia_Cocorna</v>
      </c>
    </row>
    <row r="75" spans="1:151" ht="150.75" x14ac:dyDescent="0.2">
      <c r="A75" s="242">
        <v>40210</v>
      </c>
      <c r="B75" s="107" t="s">
        <v>2017</v>
      </c>
      <c r="C75" s="107" t="s">
        <v>4070</v>
      </c>
      <c r="D75" s="427" t="s">
        <v>1387</v>
      </c>
      <c r="E75" s="107" t="str">
        <f>VLOOKUP(B75&amp;C75,Divipola!$C$2:$F$1138,4,FALSE)</f>
        <v>13468</v>
      </c>
      <c r="F75" s="330"/>
      <c r="G75" s="224"/>
      <c r="H75" s="75"/>
      <c r="I75" s="75"/>
      <c r="J75" s="75"/>
      <c r="K75" s="75"/>
      <c r="L75" s="75"/>
      <c r="M75" s="75"/>
      <c r="N75" s="75"/>
      <c r="O75" s="75"/>
      <c r="P75" s="75"/>
      <c r="Q75" s="75"/>
      <c r="R75" s="75"/>
      <c r="S75" s="75"/>
      <c r="T75" s="75"/>
      <c r="U75" s="75"/>
      <c r="V75" s="76"/>
      <c r="W75" s="205"/>
      <c r="X75" s="1"/>
      <c r="Y75" s="78">
        <f t="shared" si="9"/>
        <v>0</v>
      </c>
      <c r="Z75" s="78">
        <f t="shared" si="10"/>
        <v>0</v>
      </c>
      <c r="AA75" s="78">
        <f t="shared" si="11"/>
        <v>0</v>
      </c>
      <c r="AB75" s="78">
        <f t="shared" si="12"/>
        <v>0</v>
      </c>
      <c r="AC75" s="78"/>
      <c r="AD75" s="78">
        <v>0</v>
      </c>
      <c r="AE75" s="80">
        <f t="shared" si="15"/>
        <v>0</v>
      </c>
      <c r="AF75" s="82">
        <v>0</v>
      </c>
      <c r="AG75" s="69">
        <v>40210</v>
      </c>
      <c r="AH75" s="84"/>
      <c r="AI75" s="69" t="s">
        <v>1984</v>
      </c>
      <c r="AJ75" s="70" t="s">
        <v>1985</v>
      </c>
      <c r="AK75" s="71"/>
      <c r="AL75" s="212" t="s">
        <v>1257</v>
      </c>
      <c r="AM75" s="284" t="s">
        <v>1459</v>
      </c>
      <c r="AN75" s="3"/>
      <c r="AO75" s="4"/>
      <c r="AP75" s="5"/>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6"/>
      <c r="CQ75" s="7"/>
      <c r="CR75" s="6"/>
      <c r="CS75" s="7"/>
      <c r="CT75" s="6"/>
      <c r="CU75" s="7"/>
      <c r="CV75" s="8">
        <f t="shared" si="13"/>
        <v>0</v>
      </c>
      <c r="CW75" s="9"/>
      <c r="CX75" s="10"/>
      <c r="CY75" s="11"/>
      <c r="CZ75" s="12"/>
      <c r="DA75" s="29"/>
      <c r="DB75" s="12"/>
      <c r="DC75" s="9"/>
      <c r="DD75" s="10"/>
      <c r="DE75" s="71"/>
      <c r="EO75" s="353" t="str">
        <f t="shared" si="14"/>
        <v>BOLIVAR_MOMPOS</v>
      </c>
      <c r="EP75" s="350"/>
      <c r="EQ75" s="350" t="s">
        <v>3884</v>
      </c>
      <c r="ER75" s="358" t="s">
        <v>3887</v>
      </c>
      <c r="ES75" s="350" t="s">
        <v>4716</v>
      </c>
      <c r="ET75" s="350" t="s">
        <v>5866</v>
      </c>
      <c r="EU75" s="350" t="str">
        <f t="shared" si="8"/>
        <v>Antioquia_Concepcion</v>
      </c>
    </row>
    <row r="76" spans="1:151" ht="132" x14ac:dyDescent="0.2">
      <c r="A76" s="242">
        <v>40210</v>
      </c>
      <c r="B76" s="107" t="s">
        <v>2017</v>
      </c>
      <c r="C76" s="107" t="s">
        <v>1965</v>
      </c>
      <c r="D76" s="427" t="s">
        <v>1387</v>
      </c>
      <c r="E76" s="107" t="str">
        <f>VLOOKUP(B76&amp;C76,Divipola!$C$2:$F$1138,4,FALSE)</f>
        <v>13490</v>
      </c>
      <c r="F76" s="330"/>
      <c r="G76" s="224"/>
      <c r="H76" s="75"/>
      <c r="I76" s="75"/>
      <c r="J76" s="75"/>
      <c r="K76" s="75"/>
      <c r="L76" s="75"/>
      <c r="M76" s="75"/>
      <c r="N76" s="75"/>
      <c r="O76" s="75"/>
      <c r="P76" s="75"/>
      <c r="Q76" s="75"/>
      <c r="R76" s="75"/>
      <c r="S76" s="75"/>
      <c r="T76" s="75"/>
      <c r="U76" s="75"/>
      <c r="V76" s="76"/>
      <c r="W76" s="205"/>
      <c r="X76" s="1"/>
      <c r="Y76" s="78">
        <f t="shared" si="9"/>
        <v>0</v>
      </c>
      <c r="Z76" s="78">
        <f t="shared" si="10"/>
        <v>0</v>
      </c>
      <c r="AA76" s="78">
        <f t="shared" si="11"/>
        <v>0</v>
      </c>
      <c r="AB76" s="78">
        <f t="shared" si="12"/>
        <v>0</v>
      </c>
      <c r="AC76" s="78"/>
      <c r="AD76" s="78">
        <v>0</v>
      </c>
      <c r="AE76" s="80">
        <f t="shared" si="15"/>
        <v>0</v>
      </c>
      <c r="AF76" s="82">
        <v>0</v>
      </c>
      <c r="AG76" s="69">
        <v>40210</v>
      </c>
      <c r="AH76" s="84"/>
      <c r="AI76" s="69" t="s">
        <v>1984</v>
      </c>
      <c r="AJ76" s="70" t="s">
        <v>1985</v>
      </c>
      <c r="AK76" s="71"/>
      <c r="AL76" s="212" t="s">
        <v>1257</v>
      </c>
      <c r="AM76" s="284" t="s">
        <v>989</v>
      </c>
      <c r="AN76" s="3"/>
      <c r="AO76" s="4"/>
      <c r="AP76" s="5"/>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6"/>
      <c r="CQ76" s="7"/>
      <c r="CR76" s="6"/>
      <c r="CS76" s="7"/>
      <c r="CT76" s="6"/>
      <c r="CU76" s="7"/>
      <c r="CV76" s="8">
        <f t="shared" si="13"/>
        <v>0</v>
      </c>
      <c r="CW76" s="9"/>
      <c r="CX76" s="10"/>
      <c r="CY76" s="11"/>
      <c r="CZ76" s="12"/>
      <c r="DA76" s="29"/>
      <c r="DB76" s="12"/>
      <c r="DC76" s="9"/>
      <c r="DD76" s="10"/>
      <c r="DE76" s="71"/>
      <c r="EO76" s="353" t="str">
        <f t="shared" si="14"/>
        <v>BOLIVAR_NOROSI</v>
      </c>
      <c r="EP76" s="350"/>
      <c r="EQ76" s="350" t="s">
        <v>3884</v>
      </c>
      <c r="ER76" s="358" t="s">
        <v>3887</v>
      </c>
      <c r="ES76" s="350" t="s">
        <v>4717</v>
      </c>
      <c r="ET76" s="350" t="s">
        <v>5867</v>
      </c>
      <c r="EU76" s="350" t="str">
        <f t="shared" si="8"/>
        <v>Antioquia_Concordia</v>
      </c>
    </row>
    <row r="77" spans="1:151" ht="150.75" x14ac:dyDescent="0.2">
      <c r="A77" s="242">
        <v>40210</v>
      </c>
      <c r="B77" s="107" t="s">
        <v>2017</v>
      </c>
      <c r="C77" s="107" t="s">
        <v>1960</v>
      </c>
      <c r="D77" s="427" t="s">
        <v>1387</v>
      </c>
      <c r="E77" s="107" t="str">
        <f>VLOOKUP(B77&amp;C77,Divipola!$C$2:$F$1138,4,FALSE)</f>
        <v>13647</v>
      </c>
      <c r="F77" s="330"/>
      <c r="G77" s="224"/>
      <c r="H77" s="75"/>
      <c r="I77" s="75"/>
      <c r="J77" s="75"/>
      <c r="K77" s="75"/>
      <c r="L77" s="75"/>
      <c r="M77" s="75"/>
      <c r="N77" s="75"/>
      <c r="O77" s="75"/>
      <c r="P77" s="75"/>
      <c r="Q77" s="75"/>
      <c r="R77" s="75"/>
      <c r="S77" s="75"/>
      <c r="T77" s="75"/>
      <c r="U77" s="75"/>
      <c r="V77" s="76"/>
      <c r="W77" s="205"/>
      <c r="X77" s="1"/>
      <c r="Y77" s="78">
        <f t="shared" si="9"/>
        <v>0</v>
      </c>
      <c r="Z77" s="78">
        <f t="shared" si="10"/>
        <v>0</v>
      </c>
      <c r="AA77" s="78">
        <f t="shared" si="11"/>
        <v>0</v>
      </c>
      <c r="AB77" s="78">
        <f t="shared" si="12"/>
        <v>0</v>
      </c>
      <c r="AC77" s="78"/>
      <c r="AD77" s="78">
        <v>0</v>
      </c>
      <c r="AE77" s="80">
        <f t="shared" si="15"/>
        <v>0</v>
      </c>
      <c r="AF77" s="82">
        <v>0</v>
      </c>
      <c r="AG77" s="69">
        <v>40210</v>
      </c>
      <c r="AH77" s="84"/>
      <c r="AI77" s="69" t="s">
        <v>1984</v>
      </c>
      <c r="AJ77" s="70" t="s">
        <v>1985</v>
      </c>
      <c r="AK77" s="71"/>
      <c r="AL77" s="212" t="s">
        <v>1257</v>
      </c>
      <c r="AM77" s="284" t="s">
        <v>1027</v>
      </c>
      <c r="AN77" s="3"/>
      <c r="AO77" s="4"/>
      <c r="AP77" s="5"/>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6"/>
      <c r="CQ77" s="7"/>
      <c r="CR77" s="6"/>
      <c r="CS77" s="7"/>
      <c r="CT77" s="6"/>
      <c r="CU77" s="7"/>
      <c r="CV77" s="8">
        <f t="shared" si="13"/>
        <v>0</v>
      </c>
      <c r="CW77" s="9"/>
      <c r="CX77" s="10"/>
      <c r="CY77" s="11"/>
      <c r="CZ77" s="12"/>
      <c r="DA77" s="29"/>
      <c r="DB77" s="12"/>
      <c r="DC77" s="9"/>
      <c r="DD77" s="10"/>
      <c r="DE77" s="71"/>
      <c r="EO77" s="353" t="str">
        <f t="shared" si="14"/>
        <v>BOLIVAR_SAN ESTANISLAO</v>
      </c>
      <c r="EP77" s="350"/>
      <c r="EQ77" s="350" t="s">
        <v>3884</v>
      </c>
      <c r="ER77" s="358" t="s">
        <v>3887</v>
      </c>
      <c r="ES77" s="350" t="s">
        <v>4718</v>
      </c>
      <c r="ET77" s="350" t="s">
        <v>5868</v>
      </c>
      <c r="EU77" s="350" t="str">
        <f t="shared" si="8"/>
        <v>Antioquia_Copacabana</v>
      </c>
    </row>
    <row r="78" spans="1:151" ht="184.5" x14ac:dyDescent="0.2">
      <c r="A78" s="242">
        <v>40210</v>
      </c>
      <c r="B78" s="107" t="s">
        <v>2017</v>
      </c>
      <c r="C78" s="107" t="s">
        <v>1826</v>
      </c>
      <c r="D78" s="427" t="s">
        <v>1387</v>
      </c>
      <c r="E78" s="107" t="str">
        <f>VLOOKUP(B78&amp;C78,Divipola!$C$2:$F$1138,4,FALSE)</f>
        <v>13655</v>
      </c>
      <c r="F78" s="330"/>
      <c r="G78" s="224"/>
      <c r="H78" s="75"/>
      <c r="I78" s="75"/>
      <c r="J78" s="75"/>
      <c r="K78" s="75"/>
      <c r="L78" s="75"/>
      <c r="M78" s="75"/>
      <c r="N78" s="75"/>
      <c r="O78" s="75"/>
      <c r="P78" s="75"/>
      <c r="Q78" s="75"/>
      <c r="R78" s="75"/>
      <c r="S78" s="75"/>
      <c r="T78" s="75"/>
      <c r="U78" s="75"/>
      <c r="V78" s="76"/>
      <c r="W78" s="205"/>
      <c r="X78" s="1"/>
      <c r="Y78" s="78">
        <f t="shared" si="9"/>
        <v>0</v>
      </c>
      <c r="Z78" s="78">
        <f t="shared" si="10"/>
        <v>0</v>
      </c>
      <c r="AA78" s="78">
        <f t="shared" si="11"/>
        <v>0</v>
      </c>
      <c r="AB78" s="78">
        <f t="shared" si="12"/>
        <v>0</v>
      </c>
      <c r="AC78" s="78"/>
      <c r="AD78" s="78">
        <v>0</v>
      </c>
      <c r="AE78" s="80">
        <f t="shared" si="15"/>
        <v>0</v>
      </c>
      <c r="AF78" s="82">
        <v>0</v>
      </c>
      <c r="AG78" s="69">
        <v>40210</v>
      </c>
      <c r="AH78" s="84"/>
      <c r="AI78" s="69" t="s">
        <v>1984</v>
      </c>
      <c r="AJ78" s="70" t="s">
        <v>1985</v>
      </c>
      <c r="AK78" s="71"/>
      <c r="AL78" s="212" t="s">
        <v>1257</v>
      </c>
      <c r="AM78" s="284" t="s">
        <v>1832</v>
      </c>
      <c r="AN78" s="3"/>
      <c r="AO78" s="4"/>
      <c r="AP78" s="5"/>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6"/>
      <c r="CQ78" s="7"/>
      <c r="CR78" s="6"/>
      <c r="CS78" s="7"/>
      <c r="CT78" s="6"/>
      <c r="CU78" s="7"/>
      <c r="CV78" s="8">
        <f t="shared" si="13"/>
        <v>0</v>
      </c>
      <c r="CW78" s="9"/>
      <c r="CX78" s="10"/>
      <c r="CY78" s="11"/>
      <c r="CZ78" s="12"/>
      <c r="DA78" s="29"/>
      <c r="DB78" s="12"/>
      <c r="DC78" s="9"/>
      <c r="DD78" s="10"/>
      <c r="DE78" s="71"/>
      <c r="EO78" s="353" t="str">
        <f t="shared" si="14"/>
        <v>BOLIVAR_SAN JACINTO DEL CAUCA</v>
      </c>
      <c r="EP78" s="350"/>
      <c r="EQ78" s="350" t="s">
        <v>3884</v>
      </c>
      <c r="ER78" s="358" t="s">
        <v>3887</v>
      </c>
      <c r="ES78" s="350" t="s">
        <v>4719</v>
      </c>
      <c r="ET78" s="350" t="s">
        <v>5869</v>
      </c>
      <c r="EU78" s="350" t="str">
        <f t="shared" si="8"/>
        <v>Antioquia_Dabeiba</v>
      </c>
    </row>
    <row r="79" spans="1:151" ht="150.75" x14ac:dyDescent="0.2">
      <c r="A79" s="242">
        <v>40210</v>
      </c>
      <c r="B79" s="107" t="s">
        <v>2017</v>
      </c>
      <c r="C79" s="107" t="s">
        <v>1622</v>
      </c>
      <c r="D79" s="427" t="s">
        <v>1387</v>
      </c>
      <c r="E79" s="107" t="str">
        <f>VLOOKUP(B79&amp;C79,Divipola!$C$2:$F$1138,4,FALSE)</f>
        <v>13657</v>
      </c>
      <c r="F79" s="330"/>
      <c r="G79" s="224"/>
      <c r="H79" s="75"/>
      <c r="I79" s="75"/>
      <c r="J79" s="75"/>
      <c r="K79" s="75"/>
      <c r="L79" s="75"/>
      <c r="M79" s="75"/>
      <c r="N79" s="75"/>
      <c r="O79" s="75"/>
      <c r="P79" s="75"/>
      <c r="Q79" s="75"/>
      <c r="R79" s="75"/>
      <c r="S79" s="75"/>
      <c r="T79" s="75"/>
      <c r="U79" s="75"/>
      <c r="V79" s="76"/>
      <c r="W79" s="205"/>
      <c r="X79" s="1"/>
      <c r="Y79" s="78">
        <f t="shared" si="9"/>
        <v>0</v>
      </c>
      <c r="Z79" s="78">
        <f t="shared" si="10"/>
        <v>0</v>
      </c>
      <c r="AA79" s="78">
        <f t="shared" si="11"/>
        <v>0</v>
      </c>
      <c r="AB79" s="78">
        <f t="shared" si="12"/>
        <v>0</v>
      </c>
      <c r="AC79" s="78"/>
      <c r="AD79" s="78">
        <v>0</v>
      </c>
      <c r="AE79" s="80">
        <f t="shared" si="15"/>
        <v>0</v>
      </c>
      <c r="AF79" s="82">
        <v>0</v>
      </c>
      <c r="AG79" s="69">
        <v>40210</v>
      </c>
      <c r="AH79" s="84"/>
      <c r="AI79" s="69" t="s">
        <v>1984</v>
      </c>
      <c r="AJ79" s="70" t="s">
        <v>1985</v>
      </c>
      <c r="AK79" s="71"/>
      <c r="AL79" s="212" t="s">
        <v>1257</v>
      </c>
      <c r="AM79" s="284" t="s">
        <v>501</v>
      </c>
      <c r="AN79" s="3"/>
      <c r="AO79" s="4"/>
      <c r="AP79" s="5"/>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6"/>
      <c r="CQ79" s="7"/>
      <c r="CR79" s="6"/>
      <c r="CS79" s="7"/>
      <c r="CT79" s="6"/>
      <c r="CU79" s="7"/>
      <c r="CV79" s="8">
        <f t="shared" si="13"/>
        <v>0</v>
      </c>
      <c r="CW79" s="9"/>
      <c r="CX79" s="10"/>
      <c r="CY79" s="11"/>
      <c r="CZ79" s="12"/>
      <c r="DA79" s="29"/>
      <c r="DB79" s="12"/>
      <c r="DC79" s="9"/>
      <c r="DD79" s="10"/>
      <c r="DE79" s="71"/>
      <c r="EO79" s="353" t="str">
        <f t="shared" si="14"/>
        <v>BOLIVAR_SAN JUAN NEPOMUCENO</v>
      </c>
      <c r="EP79" s="350"/>
      <c r="EQ79" s="350" t="s">
        <v>3884</v>
      </c>
      <c r="ER79" s="358" t="s">
        <v>3887</v>
      </c>
      <c r="ES79" s="350" t="s">
        <v>4720</v>
      </c>
      <c r="ET79" s="350" t="s">
        <v>5870</v>
      </c>
      <c r="EU79" s="350" t="str">
        <f t="shared" si="8"/>
        <v>Antioquia_Don Matias</v>
      </c>
    </row>
    <row r="80" spans="1:151" ht="74.25" x14ac:dyDescent="0.2">
      <c r="A80" s="242">
        <v>40210</v>
      </c>
      <c r="B80" s="107" t="s">
        <v>2017</v>
      </c>
      <c r="C80" s="107" t="s">
        <v>1954</v>
      </c>
      <c r="D80" s="427" t="s">
        <v>1387</v>
      </c>
      <c r="E80" s="107" t="str">
        <f>VLOOKUP(B80&amp;C80,Divipola!$C$2:$F$1138,4,FALSE)</f>
        <v>13673</v>
      </c>
      <c r="F80" s="330"/>
      <c r="G80" s="224"/>
      <c r="H80" s="75"/>
      <c r="I80" s="75"/>
      <c r="J80" s="75"/>
      <c r="K80" s="75"/>
      <c r="L80" s="75"/>
      <c r="M80" s="75"/>
      <c r="N80" s="75"/>
      <c r="O80" s="75"/>
      <c r="P80" s="75"/>
      <c r="Q80" s="75"/>
      <c r="R80" s="75"/>
      <c r="S80" s="75"/>
      <c r="T80" s="75"/>
      <c r="U80" s="75"/>
      <c r="V80" s="76"/>
      <c r="W80" s="205"/>
      <c r="X80" s="1"/>
      <c r="Y80" s="78">
        <f t="shared" si="9"/>
        <v>0</v>
      </c>
      <c r="Z80" s="78">
        <f t="shared" si="10"/>
        <v>0</v>
      </c>
      <c r="AA80" s="78">
        <f t="shared" si="11"/>
        <v>0</v>
      </c>
      <c r="AB80" s="78">
        <f t="shared" si="12"/>
        <v>0</v>
      </c>
      <c r="AC80" s="78"/>
      <c r="AD80" s="78">
        <v>0</v>
      </c>
      <c r="AE80" s="80">
        <f t="shared" si="15"/>
        <v>0</v>
      </c>
      <c r="AF80" s="82">
        <v>0</v>
      </c>
      <c r="AG80" s="69">
        <v>40210</v>
      </c>
      <c r="AH80" s="84"/>
      <c r="AI80" s="69" t="s">
        <v>1984</v>
      </c>
      <c r="AJ80" s="70" t="s">
        <v>1985</v>
      </c>
      <c r="AK80" s="71"/>
      <c r="AL80" s="212" t="s">
        <v>1257</v>
      </c>
      <c r="AM80" s="284" t="s">
        <v>2297</v>
      </c>
      <c r="AN80" s="3"/>
      <c r="AO80" s="4"/>
      <c r="AP80" s="5"/>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6"/>
      <c r="CQ80" s="7"/>
      <c r="CR80" s="6"/>
      <c r="CS80" s="7"/>
      <c r="CT80" s="6"/>
      <c r="CU80" s="7"/>
      <c r="CV80" s="8">
        <f t="shared" si="13"/>
        <v>0</v>
      </c>
      <c r="CW80" s="9"/>
      <c r="CX80" s="10"/>
      <c r="CY80" s="11"/>
      <c r="CZ80" s="12"/>
      <c r="DA80" s="29"/>
      <c r="DB80" s="12"/>
      <c r="DC80" s="9"/>
      <c r="DD80" s="10"/>
      <c r="DE80" s="71"/>
      <c r="EO80" s="353" t="str">
        <f t="shared" si="14"/>
        <v>BOLIVAR_SANTA CATALINA</v>
      </c>
      <c r="EP80" s="350"/>
      <c r="EQ80" s="350" t="s">
        <v>3884</v>
      </c>
      <c r="ER80" s="358" t="s">
        <v>3887</v>
      </c>
      <c r="ES80" s="350" t="s">
        <v>4721</v>
      </c>
      <c r="ET80" s="350" t="s">
        <v>5871</v>
      </c>
      <c r="EU80" s="350" t="str">
        <f t="shared" si="8"/>
        <v>Antioquia_Ebejico</v>
      </c>
    </row>
    <row r="81" spans="1:151" ht="111.75" x14ac:dyDescent="0.2">
      <c r="A81" s="242">
        <v>40210</v>
      </c>
      <c r="B81" s="107" t="s">
        <v>2017</v>
      </c>
      <c r="C81" s="107" t="s">
        <v>654</v>
      </c>
      <c r="D81" s="427" t="s">
        <v>1387</v>
      </c>
      <c r="E81" s="107" t="str">
        <f>VLOOKUP(B81&amp;C81,Divipola!$C$2:$F$1138,4,FALSE)</f>
        <v>13683</v>
      </c>
      <c r="F81" s="330"/>
      <c r="G81" s="224"/>
      <c r="H81" s="75"/>
      <c r="I81" s="75"/>
      <c r="J81" s="75"/>
      <c r="K81" s="75"/>
      <c r="L81" s="75"/>
      <c r="M81" s="75"/>
      <c r="N81" s="75"/>
      <c r="O81" s="75"/>
      <c r="P81" s="75"/>
      <c r="Q81" s="75"/>
      <c r="R81" s="75"/>
      <c r="S81" s="75"/>
      <c r="T81" s="75"/>
      <c r="U81" s="75"/>
      <c r="V81" s="76"/>
      <c r="W81" s="205"/>
      <c r="X81" s="1"/>
      <c r="Y81" s="78">
        <f t="shared" si="9"/>
        <v>0</v>
      </c>
      <c r="Z81" s="78">
        <f t="shared" si="10"/>
        <v>0</v>
      </c>
      <c r="AA81" s="78">
        <f t="shared" si="11"/>
        <v>0</v>
      </c>
      <c r="AB81" s="78">
        <f t="shared" si="12"/>
        <v>0</v>
      </c>
      <c r="AC81" s="78"/>
      <c r="AD81" s="78">
        <v>0</v>
      </c>
      <c r="AE81" s="80">
        <f t="shared" si="15"/>
        <v>0</v>
      </c>
      <c r="AF81" s="82">
        <v>0</v>
      </c>
      <c r="AG81" s="69">
        <v>40210</v>
      </c>
      <c r="AH81" s="84"/>
      <c r="AI81" s="69" t="s">
        <v>1984</v>
      </c>
      <c r="AJ81" s="70" t="s">
        <v>1985</v>
      </c>
      <c r="AK81" s="71"/>
      <c r="AL81" s="212" t="s">
        <v>1257</v>
      </c>
      <c r="AM81" s="284" t="s">
        <v>1028</v>
      </c>
      <c r="AN81" s="3"/>
      <c r="AO81" s="4"/>
      <c r="AP81" s="5"/>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6"/>
      <c r="CQ81" s="7"/>
      <c r="CR81" s="6"/>
      <c r="CS81" s="7"/>
      <c r="CT81" s="6"/>
      <c r="CU81" s="7"/>
      <c r="CV81" s="8">
        <f t="shared" si="13"/>
        <v>0</v>
      </c>
      <c r="CW81" s="9"/>
      <c r="CX81" s="10"/>
      <c r="CY81" s="11"/>
      <c r="CZ81" s="12"/>
      <c r="DA81" s="29"/>
      <c r="DB81" s="12"/>
      <c r="DC81" s="9"/>
      <c r="DD81" s="10"/>
      <c r="DE81" s="71"/>
      <c r="EO81" s="353" t="str">
        <f t="shared" si="14"/>
        <v>BOLIVAR_SANTA ROSA</v>
      </c>
      <c r="EP81" s="350"/>
      <c r="EQ81" s="350" t="s">
        <v>3884</v>
      </c>
      <c r="ER81" s="358" t="s">
        <v>3887</v>
      </c>
      <c r="ES81" s="350" t="s">
        <v>4722</v>
      </c>
      <c r="ET81" s="350" t="s">
        <v>5872</v>
      </c>
      <c r="EU81" s="350" t="str">
        <f t="shared" si="8"/>
        <v>Antioquia_El Bagre</v>
      </c>
    </row>
    <row r="82" spans="1:151" ht="150.75" x14ac:dyDescent="0.2">
      <c r="A82" s="242">
        <v>40210</v>
      </c>
      <c r="B82" s="107" t="s">
        <v>2017</v>
      </c>
      <c r="C82" s="107" t="s">
        <v>1956</v>
      </c>
      <c r="D82" s="427" t="s">
        <v>1387</v>
      </c>
      <c r="E82" s="107" t="str">
        <f>VLOOKUP(B82&amp;C82,Divipola!$C$2:$F$1138,4,FALSE)</f>
        <v>13836</v>
      </c>
      <c r="F82" s="330"/>
      <c r="G82" s="224"/>
      <c r="H82" s="75"/>
      <c r="I82" s="75"/>
      <c r="J82" s="75"/>
      <c r="K82" s="75"/>
      <c r="L82" s="75"/>
      <c r="M82" s="75"/>
      <c r="N82" s="75"/>
      <c r="O82" s="75"/>
      <c r="P82" s="75"/>
      <c r="Q82" s="75"/>
      <c r="R82" s="75"/>
      <c r="S82" s="75"/>
      <c r="T82" s="75"/>
      <c r="U82" s="75"/>
      <c r="V82" s="76"/>
      <c r="W82" s="205"/>
      <c r="X82" s="1"/>
      <c r="Y82" s="78">
        <f t="shared" si="9"/>
        <v>0</v>
      </c>
      <c r="Z82" s="78">
        <f t="shared" si="10"/>
        <v>0</v>
      </c>
      <c r="AA82" s="78">
        <f t="shared" si="11"/>
        <v>0</v>
      </c>
      <c r="AB82" s="78">
        <f t="shared" si="12"/>
        <v>0</v>
      </c>
      <c r="AC82" s="78"/>
      <c r="AD82" s="78">
        <v>0</v>
      </c>
      <c r="AE82" s="80">
        <f t="shared" si="15"/>
        <v>0</v>
      </c>
      <c r="AF82" s="82">
        <v>0</v>
      </c>
      <c r="AG82" s="69">
        <v>40210</v>
      </c>
      <c r="AH82" s="84"/>
      <c r="AI82" s="69" t="s">
        <v>1984</v>
      </c>
      <c r="AJ82" s="70" t="s">
        <v>1985</v>
      </c>
      <c r="AK82" s="71"/>
      <c r="AL82" s="212" t="s">
        <v>1257</v>
      </c>
      <c r="AM82" s="284" t="s">
        <v>1459</v>
      </c>
      <c r="AN82" s="3"/>
      <c r="AO82" s="4"/>
      <c r="AP82" s="5"/>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6"/>
      <c r="CQ82" s="7"/>
      <c r="CR82" s="6"/>
      <c r="CS82" s="7"/>
      <c r="CT82" s="6"/>
      <c r="CU82" s="7"/>
      <c r="CV82" s="8">
        <f t="shared" si="13"/>
        <v>0</v>
      </c>
      <c r="CW82" s="9"/>
      <c r="CX82" s="10"/>
      <c r="CY82" s="11"/>
      <c r="CZ82" s="12"/>
      <c r="DA82" s="29"/>
      <c r="DB82" s="12"/>
      <c r="DC82" s="9"/>
      <c r="DD82" s="10"/>
      <c r="DE82" s="71"/>
      <c r="EO82" s="353" t="str">
        <f t="shared" si="14"/>
        <v>BOLIVAR_TURBACO</v>
      </c>
      <c r="EP82" s="350"/>
      <c r="EQ82" s="350" t="s">
        <v>3884</v>
      </c>
      <c r="ER82" s="358" t="s">
        <v>3887</v>
      </c>
      <c r="ES82" s="350" t="s">
        <v>4723</v>
      </c>
      <c r="ET82" s="350" t="s">
        <v>5873</v>
      </c>
      <c r="EU82" s="350" t="str">
        <f t="shared" si="8"/>
        <v>Antioquia_Entrerrios</v>
      </c>
    </row>
    <row r="83" spans="1:151" ht="150.75" x14ac:dyDescent="0.2">
      <c r="A83" s="242">
        <v>40210</v>
      </c>
      <c r="B83" s="107" t="s">
        <v>2017</v>
      </c>
      <c r="C83" s="107" t="s">
        <v>1957</v>
      </c>
      <c r="D83" s="427" t="s">
        <v>1387</v>
      </c>
      <c r="E83" s="107" t="str">
        <f>VLOOKUP(B83&amp;C83,Divipola!$C$2:$F$1138,4,FALSE)</f>
        <v>13838</v>
      </c>
      <c r="F83" s="330"/>
      <c r="G83" s="224"/>
      <c r="H83" s="75"/>
      <c r="I83" s="75"/>
      <c r="J83" s="75"/>
      <c r="K83" s="75"/>
      <c r="L83" s="75"/>
      <c r="M83" s="75"/>
      <c r="N83" s="75"/>
      <c r="O83" s="75"/>
      <c r="P83" s="75"/>
      <c r="Q83" s="75"/>
      <c r="R83" s="75"/>
      <c r="S83" s="75"/>
      <c r="T83" s="75"/>
      <c r="U83" s="75"/>
      <c r="V83" s="76"/>
      <c r="W83" s="205"/>
      <c r="X83" s="1"/>
      <c r="Y83" s="78">
        <f t="shared" si="9"/>
        <v>0</v>
      </c>
      <c r="Z83" s="78">
        <f t="shared" si="10"/>
        <v>0</v>
      </c>
      <c r="AA83" s="78">
        <f t="shared" si="11"/>
        <v>0</v>
      </c>
      <c r="AB83" s="78">
        <f t="shared" si="12"/>
        <v>0</v>
      </c>
      <c r="AC83" s="78"/>
      <c r="AD83" s="78">
        <v>0</v>
      </c>
      <c r="AE83" s="80">
        <f t="shared" si="15"/>
        <v>0</v>
      </c>
      <c r="AF83" s="82">
        <v>0</v>
      </c>
      <c r="AG83" s="69">
        <v>40210</v>
      </c>
      <c r="AH83" s="84"/>
      <c r="AI83" s="69" t="s">
        <v>1984</v>
      </c>
      <c r="AJ83" s="70" t="s">
        <v>1985</v>
      </c>
      <c r="AK83" s="71"/>
      <c r="AL83" s="212" t="s">
        <v>1257</v>
      </c>
      <c r="AM83" s="284" t="s">
        <v>1459</v>
      </c>
      <c r="AN83" s="3"/>
      <c r="AO83" s="4"/>
      <c r="AP83" s="5"/>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6"/>
      <c r="CQ83" s="7"/>
      <c r="CR83" s="6"/>
      <c r="CS83" s="7"/>
      <c r="CT83" s="6"/>
      <c r="CU83" s="7"/>
      <c r="CV83" s="8">
        <f t="shared" si="13"/>
        <v>0</v>
      </c>
      <c r="CW83" s="9"/>
      <c r="CX83" s="10"/>
      <c r="CY83" s="11"/>
      <c r="CZ83" s="12"/>
      <c r="DA83" s="29"/>
      <c r="DB83" s="12"/>
      <c r="DC83" s="9"/>
      <c r="DD83" s="10"/>
      <c r="DE83" s="71"/>
      <c r="EO83" s="353" t="str">
        <f t="shared" si="14"/>
        <v>BOLIVAR_TURBANA</v>
      </c>
      <c r="EP83" s="350"/>
      <c r="EQ83" s="350" t="s">
        <v>3884</v>
      </c>
      <c r="ER83" s="358" t="s">
        <v>3887</v>
      </c>
      <c r="ES83" s="350" t="s">
        <v>4724</v>
      </c>
      <c r="ET83" s="350" t="s">
        <v>5874</v>
      </c>
      <c r="EU83" s="350" t="str">
        <f t="shared" si="8"/>
        <v>Antioquia_Envigado</v>
      </c>
    </row>
    <row r="84" spans="1:151" ht="74.25" x14ac:dyDescent="0.2">
      <c r="A84" s="242">
        <v>40210</v>
      </c>
      <c r="B84" s="107" t="s">
        <v>2017</v>
      </c>
      <c r="C84" s="107" t="s">
        <v>1953</v>
      </c>
      <c r="D84" s="427" t="s">
        <v>1387</v>
      </c>
      <c r="E84" s="107" t="str">
        <f>VLOOKUP(B84&amp;C84,Divipola!$C$2:$F$1138,4,FALSE)</f>
        <v>13873</v>
      </c>
      <c r="F84" s="330"/>
      <c r="G84" s="224"/>
      <c r="H84" s="75"/>
      <c r="I84" s="75"/>
      <c r="J84" s="75"/>
      <c r="K84" s="75"/>
      <c r="L84" s="75"/>
      <c r="M84" s="75"/>
      <c r="N84" s="75"/>
      <c r="O84" s="75"/>
      <c r="P84" s="75"/>
      <c r="Q84" s="75"/>
      <c r="R84" s="75"/>
      <c r="S84" s="75"/>
      <c r="T84" s="75"/>
      <c r="U84" s="75"/>
      <c r="V84" s="76"/>
      <c r="W84" s="205"/>
      <c r="X84" s="1"/>
      <c r="Y84" s="78">
        <f t="shared" si="9"/>
        <v>0</v>
      </c>
      <c r="Z84" s="78">
        <f t="shared" si="10"/>
        <v>0</v>
      </c>
      <c r="AA84" s="78">
        <f t="shared" si="11"/>
        <v>0</v>
      </c>
      <c r="AB84" s="78">
        <f t="shared" si="12"/>
        <v>0</v>
      </c>
      <c r="AC84" s="78"/>
      <c r="AD84" s="78">
        <v>0</v>
      </c>
      <c r="AE84" s="80">
        <f t="shared" si="15"/>
        <v>0</v>
      </c>
      <c r="AF84" s="82">
        <v>0</v>
      </c>
      <c r="AG84" s="69">
        <v>40210</v>
      </c>
      <c r="AH84" s="84"/>
      <c r="AI84" s="69" t="s">
        <v>1984</v>
      </c>
      <c r="AJ84" s="70" t="s">
        <v>1985</v>
      </c>
      <c r="AK84" s="71"/>
      <c r="AL84" s="212" t="s">
        <v>1257</v>
      </c>
      <c r="AM84" s="284" t="s">
        <v>2297</v>
      </c>
      <c r="AN84" s="3"/>
      <c r="AO84" s="4"/>
      <c r="AP84" s="5"/>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6"/>
      <c r="CQ84" s="7"/>
      <c r="CR84" s="6"/>
      <c r="CS84" s="7"/>
      <c r="CT84" s="6"/>
      <c r="CU84" s="7"/>
      <c r="CV84" s="8">
        <f t="shared" si="13"/>
        <v>0</v>
      </c>
      <c r="CW84" s="9"/>
      <c r="CX84" s="10"/>
      <c r="CY84" s="11"/>
      <c r="CZ84" s="12"/>
      <c r="DA84" s="29"/>
      <c r="DB84" s="12"/>
      <c r="DC84" s="9"/>
      <c r="DD84" s="10"/>
      <c r="DE84" s="71"/>
      <c r="EO84" s="353" t="str">
        <f t="shared" si="14"/>
        <v>BOLIVAR_VILLANUEVA</v>
      </c>
      <c r="EP84" s="350"/>
      <c r="EQ84" s="350" t="s">
        <v>3884</v>
      </c>
      <c r="ER84" s="358" t="s">
        <v>3887</v>
      </c>
      <c r="ES84" s="350" t="s">
        <v>4725</v>
      </c>
      <c r="ET84" s="350" t="s">
        <v>5875</v>
      </c>
      <c r="EU84" s="350" t="str">
        <f t="shared" si="8"/>
        <v>Antioquia_Fredonia</v>
      </c>
    </row>
    <row r="85" spans="1:151" ht="192" x14ac:dyDescent="0.2">
      <c r="A85" s="242">
        <v>40210</v>
      </c>
      <c r="B85" s="107" t="s">
        <v>828</v>
      </c>
      <c r="C85" s="107" t="s">
        <v>2340</v>
      </c>
      <c r="D85" s="427" t="s">
        <v>1387</v>
      </c>
      <c r="E85" s="107" t="str">
        <f>VLOOKUP(B85&amp;C85,Divipola!$C$2:$F$1138,4,FALSE)</f>
        <v>15047</v>
      </c>
      <c r="F85" s="330"/>
      <c r="G85" s="224"/>
      <c r="H85" s="75"/>
      <c r="I85" s="75"/>
      <c r="J85" s="75"/>
      <c r="K85" s="75"/>
      <c r="L85" s="75"/>
      <c r="M85" s="75"/>
      <c r="N85" s="75"/>
      <c r="O85" s="75"/>
      <c r="P85" s="75"/>
      <c r="Q85" s="75"/>
      <c r="R85" s="75"/>
      <c r="S85" s="75"/>
      <c r="T85" s="75"/>
      <c r="U85" s="75"/>
      <c r="V85" s="76"/>
      <c r="W85" s="205"/>
      <c r="X85" s="1"/>
      <c r="Y85" s="78">
        <f t="shared" si="9"/>
        <v>0</v>
      </c>
      <c r="Z85" s="78">
        <f t="shared" si="10"/>
        <v>0</v>
      </c>
      <c r="AA85" s="78">
        <f t="shared" si="11"/>
        <v>0</v>
      </c>
      <c r="AB85" s="78">
        <f t="shared" si="12"/>
        <v>0</v>
      </c>
      <c r="AC85" s="78"/>
      <c r="AD85" s="78">
        <v>0</v>
      </c>
      <c r="AE85" s="80">
        <f t="shared" si="15"/>
        <v>0</v>
      </c>
      <c r="AF85" s="82">
        <v>0</v>
      </c>
      <c r="AG85" s="69">
        <v>40210</v>
      </c>
      <c r="AH85" s="84"/>
      <c r="AI85" s="69" t="s">
        <v>1984</v>
      </c>
      <c r="AJ85" s="70" t="s">
        <v>1985</v>
      </c>
      <c r="AK85" s="71"/>
      <c r="AL85" s="212" t="s">
        <v>1257</v>
      </c>
      <c r="AM85" s="284" t="s">
        <v>901</v>
      </c>
      <c r="AN85" s="3"/>
      <c r="AO85" s="4"/>
      <c r="AP85" s="5"/>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6"/>
      <c r="CQ85" s="7"/>
      <c r="CR85" s="6"/>
      <c r="CS85" s="7"/>
      <c r="CT85" s="6"/>
      <c r="CU85" s="7"/>
      <c r="CV85" s="8">
        <f t="shared" si="13"/>
        <v>0</v>
      </c>
      <c r="CW85" s="9"/>
      <c r="CX85" s="10"/>
      <c r="CY85" s="11"/>
      <c r="CZ85" s="12"/>
      <c r="DA85" s="29"/>
      <c r="DB85" s="12"/>
      <c r="DC85" s="9"/>
      <c r="DD85" s="10"/>
      <c r="DE85" s="71"/>
      <c r="EO85" s="353" t="str">
        <f t="shared" si="14"/>
        <v>BOYACA_AQUITANIA</v>
      </c>
      <c r="EP85" s="350"/>
      <c r="EQ85" s="350" t="s">
        <v>3884</v>
      </c>
      <c r="ER85" s="358" t="s">
        <v>3887</v>
      </c>
      <c r="ES85" s="350" t="s">
        <v>4726</v>
      </c>
      <c r="ET85" s="350" t="s">
        <v>5876</v>
      </c>
      <c r="EU85" s="350" t="str">
        <f t="shared" si="8"/>
        <v>Antioquia_Frontino</v>
      </c>
    </row>
    <row r="86" spans="1:151" ht="108" x14ac:dyDescent="0.2">
      <c r="A86" s="242">
        <v>40210</v>
      </c>
      <c r="B86" s="107" t="s">
        <v>828</v>
      </c>
      <c r="C86" s="107" t="s">
        <v>2342</v>
      </c>
      <c r="D86" s="427" t="s">
        <v>1387</v>
      </c>
      <c r="E86" s="107" t="str">
        <f>VLOOKUP(B86&amp;C86,Divipola!$C$2:$F$1138,4,FALSE)</f>
        <v>15176</v>
      </c>
      <c r="F86" s="330"/>
      <c r="G86" s="224"/>
      <c r="H86" s="75"/>
      <c r="I86" s="75"/>
      <c r="J86" s="75"/>
      <c r="K86" s="75"/>
      <c r="L86" s="75"/>
      <c r="M86" s="75"/>
      <c r="N86" s="75"/>
      <c r="O86" s="75"/>
      <c r="P86" s="75"/>
      <c r="Q86" s="75"/>
      <c r="R86" s="75"/>
      <c r="S86" s="75"/>
      <c r="T86" s="75"/>
      <c r="U86" s="75"/>
      <c r="V86" s="76"/>
      <c r="W86" s="205"/>
      <c r="X86" s="1"/>
      <c r="Y86" s="78">
        <f t="shared" si="9"/>
        <v>0</v>
      </c>
      <c r="Z86" s="78">
        <f t="shared" si="10"/>
        <v>0</v>
      </c>
      <c r="AA86" s="78">
        <f t="shared" si="11"/>
        <v>0</v>
      </c>
      <c r="AB86" s="78">
        <f t="shared" si="12"/>
        <v>0</v>
      </c>
      <c r="AC86" s="78"/>
      <c r="AD86" s="78">
        <v>0</v>
      </c>
      <c r="AE86" s="80">
        <f t="shared" si="15"/>
        <v>0</v>
      </c>
      <c r="AF86" s="82">
        <v>0</v>
      </c>
      <c r="AG86" s="69">
        <v>40210</v>
      </c>
      <c r="AH86" s="84"/>
      <c r="AI86" s="69" t="s">
        <v>1984</v>
      </c>
      <c r="AJ86" s="70" t="s">
        <v>1985</v>
      </c>
      <c r="AK86" s="71"/>
      <c r="AL86" s="212" t="s">
        <v>1257</v>
      </c>
      <c r="AM86" s="284" t="s">
        <v>2334</v>
      </c>
      <c r="AN86" s="3"/>
      <c r="AO86" s="4"/>
      <c r="AP86" s="5"/>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6"/>
      <c r="CQ86" s="7"/>
      <c r="CR86" s="6"/>
      <c r="CS86" s="7"/>
      <c r="CT86" s="6"/>
      <c r="CU86" s="7"/>
      <c r="CV86" s="8">
        <f t="shared" si="13"/>
        <v>0</v>
      </c>
      <c r="CW86" s="9"/>
      <c r="CX86" s="10"/>
      <c r="CY86" s="11"/>
      <c r="CZ86" s="12"/>
      <c r="DA86" s="29"/>
      <c r="DB86" s="12"/>
      <c r="DC86" s="9"/>
      <c r="DD86" s="10"/>
      <c r="DE86" s="71"/>
      <c r="EO86" s="353" t="str">
        <f t="shared" si="14"/>
        <v>BOYACA_CHIQUINQUIRA</v>
      </c>
      <c r="EP86" s="350"/>
      <c r="EQ86" s="350" t="s">
        <v>3884</v>
      </c>
      <c r="ER86" s="358" t="s">
        <v>3887</v>
      </c>
      <c r="ES86" s="350" t="s">
        <v>4727</v>
      </c>
      <c r="ET86" s="350" t="s">
        <v>5877</v>
      </c>
      <c r="EU86" s="350" t="str">
        <f t="shared" si="8"/>
        <v>Antioquia_Giraldo</v>
      </c>
    </row>
    <row r="87" spans="1:151" ht="84" x14ac:dyDescent="0.2">
      <c r="A87" s="242">
        <v>40210</v>
      </c>
      <c r="B87" s="107" t="s">
        <v>828</v>
      </c>
      <c r="C87" s="107" t="s">
        <v>2343</v>
      </c>
      <c r="D87" s="427" t="s">
        <v>1387</v>
      </c>
      <c r="E87" s="107" t="str">
        <f>VLOOKUP(B87&amp;C87,Divipola!$C$2:$F$1138,4,FALSE)</f>
        <v>15180</v>
      </c>
      <c r="F87" s="330"/>
      <c r="G87" s="224"/>
      <c r="H87" s="75"/>
      <c r="I87" s="75"/>
      <c r="J87" s="75"/>
      <c r="K87" s="75"/>
      <c r="L87" s="75"/>
      <c r="M87" s="75"/>
      <c r="N87" s="75"/>
      <c r="O87" s="75"/>
      <c r="P87" s="75"/>
      <c r="Q87" s="75"/>
      <c r="R87" s="75"/>
      <c r="S87" s="75"/>
      <c r="T87" s="75"/>
      <c r="U87" s="75"/>
      <c r="V87" s="76"/>
      <c r="W87" s="205"/>
      <c r="X87" s="1"/>
      <c r="Y87" s="78">
        <f t="shared" si="9"/>
        <v>0</v>
      </c>
      <c r="Z87" s="78">
        <f t="shared" si="10"/>
        <v>0</v>
      </c>
      <c r="AA87" s="78">
        <f t="shared" si="11"/>
        <v>0</v>
      </c>
      <c r="AB87" s="78">
        <f t="shared" si="12"/>
        <v>0</v>
      </c>
      <c r="AC87" s="78"/>
      <c r="AD87" s="78">
        <v>0</v>
      </c>
      <c r="AE87" s="80">
        <f t="shared" si="15"/>
        <v>0</v>
      </c>
      <c r="AF87" s="82">
        <v>0</v>
      </c>
      <c r="AG87" s="69">
        <v>40210</v>
      </c>
      <c r="AH87" s="84"/>
      <c r="AI87" s="69" t="s">
        <v>1984</v>
      </c>
      <c r="AJ87" s="70" t="s">
        <v>1985</v>
      </c>
      <c r="AK87" s="71"/>
      <c r="AL87" s="212" t="s">
        <v>1257</v>
      </c>
      <c r="AM87" s="284" t="s">
        <v>2335</v>
      </c>
      <c r="AN87" s="3"/>
      <c r="AO87" s="4"/>
      <c r="AP87" s="5"/>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6"/>
      <c r="CQ87" s="7"/>
      <c r="CR87" s="6"/>
      <c r="CS87" s="7"/>
      <c r="CT87" s="6"/>
      <c r="CU87" s="7"/>
      <c r="CV87" s="8">
        <f t="shared" si="13"/>
        <v>0</v>
      </c>
      <c r="CW87" s="9"/>
      <c r="CX87" s="10"/>
      <c r="CY87" s="11"/>
      <c r="CZ87" s="12"/>
      <c r="DA87" s="29"/>
      <c r="DB87" s="12"/>
      <c r="DC87" s="9"/>
      <c r="DD87" s="10"/>
      <c r="DE87" s="71"/>
      <c r="EO87" s="353" t="str">
        <f t="shared" si="14"/>
        <v>BOYACA_CHISCAS</v>
      </c>
      <c r="EP87" s="350"/>
      <c r="EQ87" s="350" t="s">
        <v>3884</v>
      </c>
      <c r="ER87" s="358" t="s">
        <v>3887</v>
      </c>
      <c r="ES87" s="350" t="s">
        <v>4728</v>
      </c>
      <c r="ET87" s="350" t="s">
        <v>5878</v>
      </c>
      <c r="EU87" s="350" t="str">
        <f t="shared" si="8"/>
        <v>Antioquia_Girardota</v>
      </c>
    </row>
    <row r="88" spans="1:151" ht="276" x14ac:dyDescent="0.2">
      <c r="A88" s="242">
        <v>40210</v>
      </c>
      <c r="B88" s="107" t="s">
        <v>828</v>
      </c>
      <c r="C88" s="107" t="s">
        <v>2344</v>
      </c>
      <c r="D88" s="427" t="s">
        <v>1387</v>
      </c>
      <c r="E88" s="107" t="str">
        <f>VLOOKUP(B88&amp;C88,Divipola!$C$2:$F$1138,4,FALSE)</f>
        <v>15204</v>
      </c>
      <c r="F88" s="330"/>
      <c r="G88" s="224"/>
      <c r="H88" s="75"/>
      <c r="I88" s="75"/>
      <c r="J88" s="75">
        <v>10400</v>
      </c>
      <c r="K88" s="75">
        <v>2080</v>
      </c>
      <c r="L88" s="75"/>
      <c r="M88" s="75"/>
      <c r="N88" s="75"/>
      <c r="O88" s="75"/>
      <c r="P88" s="75"/>
      <c r="Q88" s="75"/>
      <c r="R88" s="75"/>
      <c r="S88" s="75"/>
      <c r="T88" s="75"/>
      <c r="U88" s="75">
        <v>1</v>
      </c>
      <c r="V88" s="76"/>
      <c r="W88" s="205"/>
      <c r="X88" s="1">
        <v>40280</v>
      </c>
      <c r="Y88" s="78">
        <f t="shared" si="9"/>
        <v>0</v>
      </c>
      <c r="Z88" s="78">
        <f t="shared" si="10"/>
        <v>0</v>
      </c>
      <c r="AA88" s="78">
        <f t="shared" si="11"/>
        <v>0</v>
      </c>
      <c r="AB88" s="78">
        <f t="shared" si="12"/>
        <v>0</v>
      </c>
      <c r="AC88" s="78">
        <f>510*11503.72</f>
        <v>5866897.1999999993</v>
      </c>
      <c r="AD88" s="78">
        <v>0</v>
      </c>
      <c r="AE88" s="80">
        <f t="shared" si="15"/>
        <v>5866897.1999999993</v>
      </c>
      <c r="AF88" s="82">
        <v>0</v>
      </c>
      <c r="AG88" s="69">
        <v>40210</v>
      </c>
      <c r="AH88" s="84">
        <v>95507</v>
      </c>
      <c r="AI88" s="69" t="s">
        <v>2009</v>
      </c>
      <c r="AJ88" s="70" t="s">
        <v>2010</v>
      </c>
      <c r="AK88" s="71">
        <v>67</v>
      </c>
      <c r="AL88" s="212" t="s">
        <v>1739</v>
      </c>
      <c r="AM88" s="284" t="s">
        <v>2672</v>
      </c>
      <c r="AN88" s="3"/>
      <c r="AO88" s="4"/>
      <c r="AP88" s="5"/>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6"/>
      <c r="CQ88" s="7"/>
      <c r="CR88" s="6"/>
      <c r="CS88" s="7"/>
      <c r="CT88" s="6"/>
      <c r="CU88" s="7"/>
      <c r="CV88" s="8">
        <f t="shared" si="13"/>
        <v>0</v>
      </c>
      <c r="CW88" s="9"/>
      <c r="CX88" s="10"/>
      <c r="CY88" s="11"/>
      <c r="CZ88" s="12"/>
      <c r="DA88" s="29"/>
      <c r="DB88" s="12"/>
      <c r="DC88" s="9"/>
      <c r="DD88" s="10"/>
      <c r="DE88" s="71"/>
      <c r="EO88" s="353" t="str">
        <f t="shared" si="14"/>
        <v>BOYACA_COMBITA</v>
      </c>
      <c r="EP88" s="350"/>
      <c r="EQ88" s="350" t="s">
        <v>3884</v>
      </c>
      <c r="ER88" s="358" t="s">
        <v>3887</v>
      </c>
      <c r="ES88" s="350" t="s">
        <v>4729</v>
      </c>
      <c r="ET88" s="350" t="s">
        <v>5879</v>
      </c>
      <c r="EU88" s="350" t="str">
        <f t="shared" si="8"/>
        <v>Antioquia_Gomez Plata</v>
      </c>
    </row>
    <row r="89" spans="1:151" ht="84" x14ac:dyDescent="0.2">
      <c r="A89" s="242">
        <v>40210</v>
      </c>
      <c r="B89" s="107" t="s">
        <v>828</v>
      </c>
      <c r="C89" s="107" t="s">
        <v>396</v>
      </c>
      <c r="D89" s="427" t="s">
        <v>1387</v>
      </c>
      <c r="E89" s="107" t="str">
        <f>VLOOKUP(B89&amp;C89,Divipola!$C$2:$F$1138,4,FALSE)</f>
        <v>15212</v>
      </c>
      <c r="F89" s="330"/>
      <c r="G89" s="224"/>
      <c r="H89" s="75"/>
      <c r="I89" s="75"/>
      <c r="J89" s="75"/>
      <c r="K89" s="75"/>
      <c r="L89" s="75"/>
      <c r="M89" s="75"/>
      <c r="N89" s="75"/>
      <c r="O89" s="75"/>
      <c r="P89" s="75"/>
      <c r="Q89" s="75"/>
      <c r="R89" s="75"/>
      <c r="S89" s="75"/>
      <c r="T89" s="75"/>
      <c r="U89" s="75"/>
      <c r="V89" s="76"/>
      <c r="W89" s="205"/>
      <c r="X89" s="1"/>
      <c r="Y89" s="78">
        <f t="shared" si="9"/>
        <v>0</v>
      </c>
      <c r="Z89" s="78">
        <f t="shared" si="10"/>
        <v>0</v>
      </c>
      <c r="AA89" s="78">
        <f t="shared" si="11"/>
        <v>0</v>
      </c>
      <c r="AB89" s="78">
        <f t="shared" si="12"/>
        <v>0</v>
      </c>
      <c r="AC89" s="78"/>
      <c r="AD89" s="78">
        <v>0</v>
      </c>
      <c r="AE89" s="80">
        <f t="shared" si="15"/>
        <v>0</v>
      </c>
      <c r="AF89" s="82">
        <v>0</v>
      </c>
      <c r="AG89" s="69">
        <v>40210</v>
      </c>
      <c r="AH89" s="84"/>
      <c r="AI89" s="69" t="s">
        <v>1984</v>
      </c>
      <c r="AJ89" s="70" t="s">
        <v>1985</v>
      </c>
      <c r="AK89" s="71"/>
      <c r="AL89" s="212" t="s">
        <v>1257</v>
      </c>
      <c r="AM89" s="284" t="s">
        <v>1534</v>
      </c>
      <c r="AN89" s="3"/>
      <c r="AO89" s="4"/>
      <c r="AP89" s="5"/>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6"/>
      <c r="CQ89" s="7"/>
      <c r="CR89" s="6"/>
      <c r="CS89" s="7"/>
      <c r="CT89" s="6"/>
      <c r="CU89" s="7"/>
      <c r="CV89" s="8">
        <f t="shared" si="13"/>
        <v>0</v>
      </c>
      <c r="CW89" s="9"/>
      <c r="CX89" s="10"/>
      <c r="CY89" s="11"/>
      <c r="CZ89" s="12"/>
      <c r="DA89" s="29"/>
      <c r="DB89" s="12"/>
      <c r="DC89" s="9"/>
      <c r="DD89" s="10"/>
      <c r="DE89" s="71"/>
      <c r="EO89" s="353" t="str">
        <f t="shared" si="14"/>
        <v>BOYACA_COPER</v>
      </c>
      <c r="EP89" s="350"/>
      <c r="EQ89" s="350" t="s">
        <v>3884</v>
      </c>
      <c r="ER89" s="358" t="s">
        <v>3887</v>
      </c>
      <c r="ES89" s="350" t="s">
        <v>4730</v>
      </c>
      <c r="ET89" s="350" t="s">
        <v>5880</v>
      </c>
      <c r="EU89" s="350" t="str">
        <f t="shared" si="8"/>
        <v>Antioquia_Granada</v>
      </c>
    </row>
    <row r="90" spans="1:151" ht="72" x14ac:dyDescent="0.2">
      <c r="A90" s="242">
        <v>40210</v>
      </c>
      <c r="B90" s="107" t="s">
        <v>828</v>
      </c>
      <c r="C90" s="107" t="s">
        <v>2345</v>
      </c>
      <c r="D90" s="427" t="s">
        <v>1387</v>
      </c>
      <c r="E90" s="107" t="str">
        <f>VLOOKUP(B90&amp;C90,Divipola!$C$2:$F$1138,4,FALSE)</f>
        <v>15215</v>
      </c>
      <c r="F90" s="330"/>
      <c r="G90" s="224"/>
      <c r="H90" s="75"/>
      <c r="I90" s="75"/>
      <c r="J90" s="75"/>
      <c r="K90" s="75"/>
      <c r="L90" s="75"/>
      <c r="M90" s="75"/>
      <c r="N90" s="75"/>
      <c r="O90" s="75"/>
      <c r="P90" s="75"/>
      <c r="Q90" s="75"/>
      <c r="R90" s="75"/>
      <c r="S90" s="75"/>
      <c r="T90" s="75"/>
      <c r="U90" s="75"/>
      <c r="V90" s="76"/>
      <c r="W90" s="205"/>
      <c r="X90" s="1"/>
      <c r="Y90" s="78">
        <f t="shared" si="9"/>
        <v>0</v>
      </c>
      <c r="Z90" s="78">
        <f t="shared" si="10"/>
        <v>0</v>
      </c>
      <c r="AA90" s="78">
        <f t="shared" si="11"/>
        <v>0</v>
      </c>
      <c r="AB90" s="78">
        <f t="shared" si="12"/>
        <v>0</v>
      </c>
      <c r="AC90" s="78"/>
      <c r="AD90" s="78">
        <v>0</v>
      </c>
      <c r="AE90" s="80">
        <f t="shared" si="15"/>
        <v>0</v>
      </c>
      <c r="AF90" s="82">
        <v>0</v>
      </c>
      <c r="AG90" s="69">
        <v>40210</v>
      </c>
      <c r="AH90" s="84"/>
      <c r="AI90" s="69" t="s">
        <v>1984</v>
      </c>
      <c r="AJ90" s="70" t="s">
        <v>1985</v>
      </c>
      <c r="AK90" s="71"/>
      <c r="AL90" s="212" t="s">
        <v>1257</v>
      </c>
      <c r="AM90" s="284" t="s">
        <v>1537</v>
      </c>
      <c r="AN90" s="3"/>
      <c r="AO90" s="4"/>
      <c r="AP90" s="5"/>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6"/>
      <c r="CQ90" s="7"/>
      <c r="CR90" s="6"/>
      <c r="CS90" s="7"/>
      <c r="CT90" s="6"/>
      <c r="CU90" s="7"/>
      <c r="CV90" s="8">
        <f t="shared" si="13"/>
        <v>0</v>
      </c>
      <c r="CW90" s="9"/>
      <c r="CX90" s="10"/>
      <c r="CY90" s="11"/>
      <c r="CZ90" s="12"/>
      <c r="DA90" s="29"/>
      <c r="DB90" s="12"/>
      <c r="DC90" s="9"/>
      <c r="DD90" s="10"/>
      <c r="DE90" s="71"/>
      <c r="EO90" s="353" t="str">
        <f t="shared" si="14"/>
        <v>BOYACA_CORRALES</v>
      </c>
      <c r="EP90" s="350"/>
      <c r="EQ90" s="350" t="s">
        <v>3884</v>
      </c>
      <c r="ER90" s="358" t="s">
        <v>3887</v>
      </c>
      <c r="ES90" s="350" t="s">
        <v>4731</v>
      </c>
      <c r="ET90" s="350" t="s">
        <v>5881</v>
      </c>
      <c r="EU90" s="350" t="str">
        <f t="shared" si="8"/>
        <v>Antioquia_Guadalupe</v>
      </c>
    </row>
    <row r="91" spans="1:151" ht="138" x14ac:dyDescent="0.2">
      <c r="A91" s="242">
        <v>40210</v>
      </c>
      <c r="B91" s="107" t="s">
        <v>828</v>
      </c>
      <c r="C91" s="107" t="s">
        <v>2346</v>
      </c>
      <c r="D91" s="427" t="s">
        <v>1387</v>
      </c>
      <c r="E91" s="107" t="str">
        <f>VLOOKUP(B91&amp;C91,Divipola!$C$2:$F$1138,4,FALSE)</f>
        <v>15224</v>
      </c>
      <c r="F91" s="330"/>
      <c r="G91" s="224"/>
      <c r="H91" s="75"/>
      <c r="I91" s="75"/>
      <c r="J91" s="75">
        <v>4700</v>
      </c>
      <c r="K91" s="75">
        <v>940</v>
      </c>
      <c r="L91" s="75"/>
      <c r="M91" s="75"/>
      <c r="N91" s="75"/>
      <c r="O91" s="75"/>
      <c r="P91" s="75"/>
      <c r="Q91" s="75"/>
      <c r="R91" s="75"/>
      <c r="S91" s="75"/>
      <c r="T91" s="75"/>
      <c r="U91" s="75"/>
      <c r="V91" s="76"/>
      <c r="W91" s="205"/>
      <c r="X91" s="1"/>
      <c r="Y91" s="78">
        <f t="shared" si="9"/>
        <v>0</v>
      </c>
      <c r="Z91" s="78">
        <f t="shared" si="10"/>
        <v>0</v>
      </c>
      <c r="AA91" s="78">
        <f t="shared" si="11"/>
        <v>0</v>
      </c>
      <c r="AB91" s="78">
        <f t="shared" si="12"/>
        <v>0</v>
      </c>
      <c r="AC91" s="78"/>
      <c r="AD91" s="78">
        <v>0</v>
      </c>
      <c r="AE91" s="80">
        <f t="shared" si="15"/>
        <v>0</v>
      </c>
      <c r="AF91" s="82">
        <v>0</v>
      </c>
      <c r="AG91" s="69">
        <v>40210</v>
      </c>
      <c r="AH91" s="84"/>
      <c r="AI91" s="69" t="s">
        <v>1984</v>
      </c>
      <c r="AJ91" s="70" t="s">
        <v>1985</v>
      </c>
      <c r="AK91" s="71"/>
      <c r="AL91" s="212" t="s">
        <v>1257</v>
      </c>
      <c r="AM91" s="284" t="s">
        <v>2224</v>
      </c>
      <c r="AN91" s="3"/>
      <c r="AO91" s="4"/>
      <c r="AP91" s="5"/>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6"/>
      <c r="CQ91" s="7"/>
      <c r="CR91" s="6"/>
      <c r="CS91" s="7"/>
      <c r="CT91" s="6"/>
      <c r="CU91" s="7"/>
      <c r="CV91" s="8">
        <f t="shared" si="13"/>
        <v>0</v>
      </c>
      <c r="CW91" s="9"/>
      <c r="CX91" s="10"/>
      <c r="CY91" s="11"/>
      <c r="CZ91" s="12"/>
      <c r="DA91" s="29"/>
      <c r="DB91" s="12"/>
      <c r="DC91" s="9"/>
      <c r="DD91" s="10"/>
      <c r="DE91" s="71"/>
      <c r="EO91" s="353" t="str">
        <f t="shared" si="14"/>
        <v>BOYACA_CUCAITA</v>
      </c>
      <c r="EP91" s="350"/>
      <c r="EQ91" s="350" t="s">
        <v>3884</v>
      </c>
      <c r="ER91" s="358" t="s">
        <v>3887</v>
      </c>
      <c r="ES91" s="350" t="s">
        <v>4732</v>
      </c>
      <c r="ET91" s="350" t="s">
        <v>5882</v>
      </c>
      <c r="EU91" s="350" t="str">
        <f t="shared" si="8"/>
        <v>Antioquia_Guarne</v>
      </c>
    </row>
    <row r="92" spans="1:151" ht="226.5" x14ac:dyDescent="0.2">
      <c r="A92" s="242">
        <v>40210</v>
      </c>
      <c r="B92" s="107" t="s">
        <v>828</v>
      </c>
      <c r="C92" s="107" t="s">
        <v>1966</v>
      </c>
      <c r="D92" s="427" t="s">
        <v>1387</v>
      </c>
      <c r="E92" s="107" t="str">
        <f>VLOOKUP(B92&amp;C92,Divipola!$C$2:$F$1138,4,FALSE)</f>
        <v>15226</v>
      </c>
      <c r="F92" s="330"/>
      <c r="G92" s="224"/>
      <c r="H92" s="75"/>
      <c r="I92" s="75"/>
      <c r="J92" s="75"/>
      <c r="K92" s="75"/>
      <c r="L92" s="75"/>
      <c r="M92" s="75"/>
      <c r="N92" s="75"/>
      <c r="O92" s="75"/>
      <c r="P92" s="75"/>
      <c r="Q92" s="75"/>
      <c r="R92" s="75"/>
      <c r="S92" s="75"/>
      <c r="T92" s="75"/>
      <c r="U92" s="75"/>
      <c r="V92" s="76"/>
      <c r="W92" s="205"/>
      <c r="X92" s="1"/>
      <c r="Y92" s="78">
        <f t="shared" si="9"/>
        <v>0</v>
      </c>
      <c r="Z92" s="78">
        <f t="shared" si="10"/>
        <v>0</v>
      </c>
      <c r="AA92" s="78">
        <f t="shared" si="11"/>
        <v>0</v>
      </c>
      <c r="AB92" s="78">
        <f t="shared" si="12"/>
        <v>0</v>
      </c>
      <c r="AC92" s="78"/>
      <c r="AD92" s="78">
        <v>0</v>
      </c>
      <c r="AE92" s="80">
        <f t="shared" si="15"/>
        <v>0</v>
      </c>
      <c r="AF92" s="82">
        <v>0</v>
      </c>
      <c r="AG92" s="69">
        <v>40210</v>
      </c>
      <c r="AH92" s="84"/>
      <c r="AI92" s="69" t="s">
        <v>1984</v>
      </c>
      <c r="AJ92" s="70" t="s">
        <v>1985</v>
      </c>
      <c r="AK92" s="71"/>
      <c r="AL92" s="212" t="s">
        <v>1257</v>
      </c>
      <c r="AM92" s="284" t="s">
        <v>3137</v>
      </c>
      <c r="AN92" s="3"/>
      <c r="AO92" s="4"/>
      <c r="AP92" s="5"/>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6"/>
      <c r="CQ92" s="7"/>
      <c r="CR92" s="6"/>
      <c r="CS92" s="7"/>
      <c r="CT92" s="6"/>
      <c r="CU92" s="7"/>
      <c r="CV92" s="8">
        <f t="shared" si="13"/>
        <v>0</v>
      </c>
      <c r="CW92" s="9"/>
      <c r="CX92" s="10"/>
      <c r="CY92" s="11"/>
      <c r="CZ92" s="12"/>
      <c r="DA92" s="29"/>
      <c r="DB92" s="12"/>
      <c r="DC92" s="9"/>
      <c r="DD92" s="10"/>
      <c r="DE92" s="71"/>
      <c r="EO92" s="353" t="str">
        <f t="shared" si="14"/>
        <v>BOYACA_CUITIVA</v>
      </c>
      <c r="EP92" s="350"/>
      <c r="EQ92" s="350" t="s">
        <v>3884</v>
      </c>
      <c r="ER92" s="358" t="s">
        <v>3887</v>
      </c>
      <c r="ES92" s="350" t="s">
        <v>4733</v>
      </c>
      <c r="ET92" s="350" t="s">
        <v>5883</v>
      </c>
      <c r="EU92" s="350" t="str">
        <f t="shared" si="8"/>
        <v>Antioquia_Guatape</v>
      </c>
    </row>
    <row r="93" spans="1:151" ht="360" x14ac:dyDescent="0.2">
      <c r="A93" s="242">
        <v>40210</v>
      </c>
      <c r="B93" s="107" t="s">
        <v>828</v>
      </c>
      <c r="C93" s="107" t="s">
        <v>2347</v>
      </c>
      <c r="D93" s="427" t="s">
        <v>1387</v>
      </c>
      <c r="E93" s="107" t="str">
        <f>VLOOKUP(B93&amp;C93,Divipola!$C$2:$F$1138,4,FALSE)</f>
        <v>15238</v>
      </c>
      <c r="F93" s="330"/>
      <c r="G93" s="224"/>
      <c r="H93" s="75"/>
      <c r="I93" s="75"/>
      <c r="J93" s="75"/>
      <c r="K93" s="75"/>
      <c r="L93" s="75"/>
      <c r="M93" s="75"/>
      <c r="N93" s="75"/>
      <c r="O93" s="75"/>
      <c r="P93" s="75"/>
      <c r="Q93" s="75"/>
      <c r="R93" s="75"/>
      <c r="S93" s="75"/>
      <c r="T93" s="75"/>
      <c r="U93" s="75"/>
      <c r="V93" s="76"/>
      <c r="W93" s="205"/>
      <c r="X93" s="1"/>
      <c r="Y93" s="78">
        <f t="shared" si="9"/>
        <v>0</v>
      </c>
      <c r="Z93" s="78">
        <f t="shared" si="10"/>
        <v>0</v>
      </c>
      <c r="AA93" s="78">
        <f t="shared" si="11"/>
        <v>0</v>
      </c>
      <c r="AB93" s="78">
        <f t="shared" si="12"/>
        <v>0</v>
      </c>
      <c r="AC93" s="78"/>
      <c r="AD93" s="78">
        <v>0</v>
      </c>
      <c r="AE93" s="80">
        <f t="shared" si="15"/>
        <v>0</v>
      </c>
      <c r="AF93" s="82">
        <v>0</v>
      </c>
      <c r="AG93" s="69">
        <v>40210</v>
      </c>
      <c r="AH93" s="84"/>
      <c r="AI93" s="69" t="s">
        <v>1984</v>
      </c>
      <c r="AJ93" s="70" t="s">
        <v>1985</v>
      </c>
      <c r="AK93" s="71"/>
      <c r="AL93" s="212" t="s">
        <v>1257</v>
      </c>
      <c r="AM93" s="284" t="s">
        <v>1465</v>
      </c>
      <c r="AN93" s="3"/>
      <c r="AO93" s="4"/>
      <c r="AP93" s="5"/>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6"/>
      <c r="CQ93" s="7"/>
      <c r="CR93" s="6"/>
      <c r="CS93" s="7"/>
      <c r="CT93" s="6"/>
      <c r="CU93" s="7"/>
      <c r="CV93" s="8">
        <f t="shared" si="13"/>
        <v>0</v>
      </c>
      <c r="CW93" s="9"/>
      <c r="CX93" s="10"/>
      <c r="CY93" s="11"/>
      <c r="CZ93" s="12"/>
      <c r="DA93" s="29"/>
      <c r="DB93" s="12"/>
      <c r="DC93" s="9"/>
      <c r="DD93" s="10"/>
      <c r="DE93" s="71"/>
      <c r="EO93" s="353" t="str">
        <f t="shared" si="14"/>
        <v>BOYACA_DUITAMA</v>
      </c>
      <c r="EP93" s="350"/>
      <c r="EQ93" s="350" t="s">
        <v>3884</v>
      </c>
      <c r="ER93" s="358" t="s">
        <v>3887</v>
      </c>
      <c r="ES93" s="350" t="s">
        <v>4734</v>
      </c>
      <c r="ET93" s="350" t="s">
        <v>5884</v>
      </c>
      <c r="EU93" s="350" t="str">
        <f t="shared" si="8"/>
        <v>Antioquia_Heliconia</v>
      </c>
    </row>
    <row r="94" spans="1:151" ht="84" x14ac:dyDescent="0.2">
      <c r="A94" s="242">
        <v>40210</v>
      </c>
      <c r="B94" s="107" t="s">
        <v>828</v>
      </c>
      <c r="C94" s="107" t="s">
        <v>2348</v>
      </c>
      <c r="D94" s="427" t="s">
        <v>1387</v>
      </c>
      <c r="E94" s="107" t="str">
        <f>VLOOKUP(B94&amp;C94,Divipola!$C$2:$F$1138,4,FALSE)</f>
        <v>15272</v>
      </c>
      <c r="F94" s="330"/>
      <c r="G94" s="224"/>
      <c r="H94" s="75"/>
      <c r="I94" s="75"/>
      <c r="J94" s="75"/>
      <c r="K94" s="75"/>
      <c r="L94" s="75"/>
      <c r="M94" s="75"/>
      <c r="N94" s="75"/>
      <c r="O94" s="75"/>
      <c r="P94" s="75"/>
      <c r="Q94" s="75"/>
      <c r="R94" s="75"/>
      <c r="S94" s="75"/>
      <c r="T94" s="75"/>
      <c r="U94" s="75"/>
      <c r="V94" s="76"/>
      <c r="W94" s="205"/>
      <c r="X94" s="1"/>
      <c r="Y94" s="78">
        <f t="shared" si="9"/>
        <v>0</v>
      </c>
      <c r="Z94" s="78">
        <f t="shared" si="10"/>
        <v>0</v>
      </c>
      <c r="AA94" s="78">
        <f t="shared" si="11"/>
        <v>0</v>
      </c>
      <c r="AB94" s="78">
        <f t="shared" si="12"/>
        <v>0</v>
      </c>
      <c r="AC94" s="78"/>
      <c r="AD94" s="78">
        <v>0</v>
      </c>
      <c r="AE94" s="80">
        <f t="shared" si="15"/>
        <v>0</v>
      </c>
      <c r="AF94" s="82">
        <v>0</v>
      </c>
      <c r="AG94" s="69">
        <v>40210</v>
      </c>
      <c r="AH94" s="84"/>
      <c r="AI94" s="69" t="s">
        <v>1984</v>
      </c>
      <c r="AJ94" s="70" t="s">
        <v>1985</v>
      </c>
      <c r="AK94" s="71"/>
      <c r="AL94" s="212" t="s">
        <v>1257</v>
      </c>
      <c r="AM94" s="284" t="s">
        <v>1534</v>
      </c>
      <c r="AN94" s="3"/>
      <c r="AO94" s="4"/>
      <c r="AP94" s="5"/>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6"/>
      <c r="CQ94" s="7"/>
      <c r="CR94" s="6"/>
      <c r="CS94" s="7"/>
      <c r="CT94" s="6"/>
      <c r="CU94" s="7"/>
      <c r="CV94" s="8">
        <f t="shared" si="13"/>
        <v>0</v>
      </c>
      <c r="CW94" s="9"/>
      <c r="CX94" s="10"/>
      <c r="CY94" s="11"/>
      <c r="CZ94" s="12"/>
      <c r="DA94" s="29"/>
      <c r="DB94" s="12"/>
      <c r="DC94" s="9"/>
      <c r="DD94" s="10"/>
      <c r="DE94" s="71"/>
      <c r="EO94" s="353" t="str">
        <f t="shared" si="14"/>
        <v>BOYACA_FIRAVITOBA</v>
      </c>
      <c r="EP94" s="350"/>
      <c r="EQ94" s="350" t="s">
        <v>3884</v>
      </c>
      <c r="ER94" s="358" t="s">
        <v>3887</v>
      </c>
      <c r="ES94" s="350" t="s">
        <v>4735</v>
      </c>
      <c r="ET94" s="350" t="s">
        <v>5885</v>
      </c>
      <c r="EU94" s="350" t="str">
        <f t="shared" si="8"/>
        <v>Antioquia_Hispania</v>
      </c>
    </row>
    <row r="95" spans="1:151" ht="72" x14ac:dyDescent="0.2">
      <c r="A95" s="242">
        <v>40210</v>
      </c>
      <c r="B95" s="107" t="s">
        <v>828</v>
      </c>
      <c r="C95" s="107" t="s">
        <v>101</v>
      </c>
      <c r="D95" s="427" t="s">
        <v>1387</v>
      </c>
      <c r="E95" s="107" t="str">
        <f>VLOOKUP(B95&amp;C95,Divipola!$C$2:$F$1138,4,FALSE)</f>
        <v>15276</v>
      </c>
      <c r="F95" s="330"/>
      <c r="G95" s="224"/>
      <c r="H95" s="75"/>
      <c r="I95" s="75"/>
      <c r="J95" s="75"/>
      <c r="K95" s="75"/>
      <c r="L95" s="75"/>
      <c r="M95" s="75"/>
      <c r="N95" s="75"/>
      <c r="O95" s="75"/>
      <c r="P95" s="75"/>
      <c r="Q95" s="75"/>
      <c r="R95" s="75"/>
      <c r="S95" s="75"/>
      <c r="T95" s="75"/>
      <c r="U95" s="75"/>
      <c r="V95" s="76"/>
      <c r="W95" s="205"/>
      <c r="X95" s="1"/>
      <c r="Y95" s="78">
        <f t="shared" si="9"/>
        <v>0</v>
      </c>
      <c r="Z95" s="78">
        <f t="shared" si="10"/>
        <v>0</v>
      </c>
      <c r="AA95" s="78">
        <f t="shared" si="11"/>
        <v>0</v>
      </c>
      <c r="AB95" s="78">
        <f t="shared" si="12"/>
        <v>0</v>
      </c>
      <c r="AC95" s="78"/>
      <c r="AD95" s="78">
        <v>0</v>
      </c>
      <c r="AE95" s="80">
        <f t="shared" si="15"/>
        <v>0</v>
      </c>
      <c r="AF95" s="82">
        <v>0</v>
      </c>
      <c r="AG95" s="69">
        <v>40210</v>
      </c>
      <c r="AH95" s="84"/>
      <c r="AI95" s="69" t="s">
        <v>1984</v>
      </c>
      <c r="AJ95" s="70" t="s">
        <v>1985</v>
      </c>
      <c r="AK95" s="71"/>
      <c r="AL95" s="212" t="s">
        <v>1257</v>
      </c>
      <c r="AM95" s="284" t="s">
        <v>100</v>
      </c>
      <c r="AN95" s="3"/>
      <c r="AO95" s="4"/>
      <c r="AP95" s="5"/>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6"/>
      <c r="CQ95" s="7"/>
      <c r="CR95" s="6"/>
      <c r="CS95" s="7"/>
      <c r="CT95" s="6"/>
      <c r="CU95" s="7"/>
      <c r="CV95" s="8">
        <f t="shared" si="13"/>
        <v>0</v>
      </c>
      <c r="CW95" s="9"/>
      <c r="CX95" s="10"/>
      <c r="CY95" s="11"/>
      <c r="CZ95" s="12"/>
      <c r="DA95" s="29"/>
      <c r="DB95" s="12"/>
      <c r="DC95" s="9"/>
      <c r="DD95" s="10"/>
      <c r="DE95" s="71"/>
      <c r="EO95" s="353" t="str">
        <f t="shared" si="14"/>
        <v>BOYACA_FLORESTA</v>
      </c>
      <c r="EP95" s="350"/>
      <c r="EQ95" s="350" t="s">
        <v>3884</v>
      </c>
      <c r="ER95" s="358" t="s">
        <v>3887</v>
      </c>
      <c r="ES95" s="350" t="s">
        <v>4736</v>
      </c>
      <c r="ET95" s="350" t="s">
        <v>5886</v>
      </c>
      <c r="EU95" s="350" t="str">
        <f t="shared" si="8"/>
        <v>Antioquia_Itagui</v>
      </c>
    </row>
    <row r="96" spans="1:151" s="91" customFormat="1" ht="84" x14ac:dyDescent="0.2">
      <c r="A96" s="242">
        <v>40210</v>
      </c>
      <c r="B96" s="107" t="s">
        <v>828</v>
      </c>
      <c r="C96" s="107" t="s">
        <v>2349</v>
      </c>
      <c r="D96" s="427" t="s">
        <v>1387</v>
      </c>
      <c r="E96" s="107" t="str">
        <f>VLOOKUP(B96&amp;C96,Divipola!$C$2:$F$1138,4,FALSE)</f>
        <v>15293</v>
      </c>
      <c r="F96" s="330"/>
      <c r="G96" s="224"/>
      <c r="H96" s="75"/>
      <c r="I96" s="75"/>
      <c r="J96" s="75"/>
      <c r="K96" s="75"/>
      <c r="L96" s="75"/>
      <c r="M96" s="75"/>
      <c r="N96" s="75"/>
      <c r="O96" s="75"/>
      <c r="P96" s="75"/>
      <c r="Q96" s="75"/>
      <c r="R96" s="75"/>
      <c r="S96" s="75"/>
      <c r="T96" s="75"/>
      <c r="U96" s="75"/>
      <c r="V96" s="76"/>
      <c r="W96" s="205"/>
      <c r="X96" s="1"/>
      <c r="Y96" s="78">
        <f t="shared" si="9"/>
        <v>0</v>
      </c>
      <c r="Z96" s="78">
        <f t="shared" si="10"/>
        <v>0</v>
      </c>
      <c r="AA96" s="78">
        <f t="shared" si="11"/>
        <v>0</v>
      </c>
      <c r="AB96" s="78">
        <f t="shared" si="12"/>
        <v>0</v>
      </c>
      <c r="AC96" s="78"/>
      <c r="AD96" s="78">
        <v>0</v>
      </c>
      <c r="AE96" s="80">
        <f t="shared" si="15"/>
        <v>0</v>
      </c>
      <c r="AF96" s="82">
        <v>0</v>
      </c>
      <c r="AG96" s="69">
        <v>40210</v>
      </c>
      <c r="AH96" s="84"/>
      <c r="AI96" s="69" t="s">
        <v>1984</v>
      </c>
      <c r="AJ96" s="70" t="s">
        <v>1985</v>
      </c>
      <c r="AK96" s="71"/>
      <c r="AL96" s="212" t="s">
        <v>1257</v>
      </c>
      <c r="AM96" s="284" t="s">
        <v>1534</v>
      </c>
      <c r="AN96" s="3"/>
      <c r="AO96" s="4"/>
      <c r="AP96" s="5"/>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6"/>
      <c r="CQ96" s="7"/>
      <c r="CR96" s="6"/>
      <c r="CS96" s="7"/>
      <c r="CT96" s="6"/>
      <c r="CU96" s="7"/>
      <c r="CV96" s="8">
        <f t="shared" si="13"/>
        <v>0</v>
      </c>
      <c r="CW96" s="9"/>
      <c r="CX96" s="10"/>
      <c r="CY96" s="11"/>
      <c r="CZ96" s="12"/>
      <c r="DA96" s="29"/>
      <c r="DB96" s="12"/>
      <c r="DC96" s="9"/>
      <c r="DD96" s="10"/>
      <c r="DE96" s="71"/>
      <c r="DF96" s="23"/>
      <c r="EO96" s="353" t="str">
        <f t="shared" si="14"/>
        <v>BOYACA_GACHANTIVA</v>
      </c>
      <c r="EP96" s="350"/>
      <c r="EQ96" s="350" t="s">
        <v>3884</v>
      </c>
      <c r="ER96" s="358" t="s">
        <v>3887</v>
      </c>
      <c r="ES96" s="350" t="s">
        <v>4737</v>
      </c>
      <c r="ET96" s="350" t="s">
        <v>5887</v>
      </c>
      <c r="EU96" s="350" t="str">
        <f t="shared" si="8"/>
        <v>Antioquia_Ituango</v>
      </c>
    </row>
    <row r="97" spans="1:151" ht="156" x14ac:dyDescent="0.2">
      <c r="A97" s="242">
        <v>40210</v>
      </c>
      <c r="B97" s="107" t="s">
        <v>828</v>
      </c>
      <c r="C97" s="107" t="s">
        <v>2350</v>
      </c>
      <c r="D97" s="427" t="s">
        <v>1387</v>
      </c>
      <c r="E97" s="107" t="str">
        <f>VLOOKUP(B97&amp;C97,Divipola!$C$2:$F$1138,4,FALSE)</f>
        <v>15299</v>
      </c>
      <c r="F97" s="330"/>
      <c r="G97" s="224"/>
      <c r="H97" s="75"/>
      <c r="I97" s="75"/>
      <c r="J97" s="75">
        <f>3072*5</f>
        <v>15360</v>
      </c>
      <c r="K97" s="75">
        <v>3072</v>
      </c>
      <c r="L97" s="75"/>
      <c r="M97" s="75"/>
      <c r="N97" s="75"/>
      <c r="O97" s="75"/>
      <c r="P97" s="75"/>
      <c r="Q97" s="75"/>
      <c r="R97" s="75"/>
      <c r="S97" s="75"/>
      <c r="T97" s="75"/>
      <c r="U97" s="75"/>
      <c r="V97" s="76"/>
      <c r="W97" s="205"/>
      <c r="X97" s="1"/>
      <c r="Y97" s="78">
        <f t="shared" si="9"/>
        <v>0</v>
      </c>
      <c r="Z97" s="78">
        <f t="shared" si="10"/>
        <v>0</v>
      </c>
      <c r="AA97" s="78">
        <f t="shared" si="11"/>
        <v>0</v>
      </c>
      <c r="AB97" s="78">
        <f t="shared" si="12"/>
        <v>0</v>
      </c>
      <c r="AC97" s="78"/>
      <c r="AD97" s="78">
        <v>0</v>
      </c>
      <c r="AE97" s="80">
        <f t="shared" si="15"/>
        <v>0</v>
      </c>
      <c r="AF97" s="82">
        <v>0</v>
      </c>
      <c r="AG97" s="69">
        <v>40210</v>
      </c>
      <c r="AH97" s="84"/>
      <c r="AI97" s="69" t="s">
        <v>1984</v>
      </c>
      <c r="AJ97" s="70" t="s">
        <v>1985</v>
      </c>
      <c r="AK97" s="71"/>
      <c r="AL97" s="212" t="s">
        <v>1257</v>
      </c>
      <c r="AM97" s="284" t="s">
        <v>209</v>
      </c>
      <c r="AN97" s="3"/>
      <c r="AO97" s="4"/>
      <c r="AP97" s="5"/>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6"/>
      <c r="CQ97" s="7"/>
      <c r="CR97" s="6"/>
      <c r="CS97" s="7"/>
      <c r="CT97" s="6"/>
      <c r="CU97" s="7"/>
      <c r="CV97" s="8">
        <f t="shared" si="13"/>
        <v>0</v>
      </c>
      <c r="CW97" s="9"/>
      <c r="CX97" s="10"/>
      <c r="CY97" s="11"/>
      <c r="CZ97" s="12"/>
      <c r="DA97" s="29"/>
      <c r="DB97" s="12"/>
      <c r="DC97" s="9"/>
      <c r="DD97" s="10"/>
      <c r="DE97" s="71"/>
      <c r="EO97" s="353" t="str">
        <f t="shared" si="14"/>
        <v>BOYACA_GARAGOA</v>
      </c>
      <c r="EP97" s="350"/>
      <c r="EQ97" s="350" t="s">
        <v>3884</v>
      </c>
      <c r="ER97" s="358" t="s">
        <v>3887</v>
      </c>
      <c r="ES97" s="350" t="s">
        <v>4738</v>
      </c>
      <c r="ET97" s="350" t="s">
        <v>5888</v>
      </c>
      <c r="EU97" s="350" t="str">
        <f t="shared" si="8"/>
        <v>Antioquia_Jardin</v>
      </c>
    </row>
    <row r="98" spans="1:151" ht="72" x14ac:dyDescent="0.2">
      <c r="A98" s="242">
        <v>40210</v>
      </c>
      <c r="B98" s="107" t="s">
        <v>828</v>
      </c>
      <c r="C98" s="107" t="s">
        <v>2351</v>
      </c>
      <c r="D98" s="427" t="s">
        <v>1387</v>
      </c>
      <c r="E98" s="107" t="str">
        <f>VLOOKUP(B98&amp;C98,Divipola!$C$2:$F$1138,4,FALSE)</f>
        <v>15317</v>
      </c>
      <c r="F98" s="330"/>
      <c r="G98" s="224"/>
      <c r="H98" s="75"/>
      <c r="I98" s="75"/>
      <c r="J98" s="75"/>
      <c r="K98" s="75"/>
      <c r="L98" s="75"/>
      <c r="M98" s="75"/>
      <c r="N98" s="75"/>
      <c r="O98" s="75"/>
      <c r="P98" s="75"/>
      <c r="Q98" s="75"/>
      <c r="R98" s="75"/>
      <c r="S98" s="75"/>
      <c r="T98" s="75"/>
      <c r="U98" s="75"/>
      <c r="V98" s="76"/>
      <c r="W98" s="205"/>
      <c r="X98" s="1"/>
      <c r="Y98" s="78">
        <f t="shared" si="9"/>
        <v>0</v>
      </c>
      <c r="Z98" s="78">
        <f t="shared" si="10"/>
        <v>0</v>
      </c>
      <c r="AA98" s="78">
        <f t="shared" si="11"/>
        <v>0</v>
      </c>
      <c r="AB98" s="78">
        <f t="shared" si="12"/>
        <v>0</v>
      </c>
      <c r="AC98" s="78"/>
      <c r="AD98" s="78">
        <v>0</v>
      </c>
      <c r="AE98" s="80">
        <f t="shared" si="15"/>
        <v>0</v>
      </c>
      <c r="AF98" s="82">
        <v>0</v>
      </c>
      <c r="AG98" s="69">
        <v>40210</v>
      </c>
      <c r="AH98" s="84"/>
      <c r="AI98" s="69" t="s">
        <v>1984</v>
      </c>
      <c r="AJ98" s="70" t="s">
        <v>1985</v>
      </c>
      <c r="AK98" s="71"/>
      <c r="AL98" s="212" t="s">
        <v>1257</v>
      </c>
      <c r="AM98" s="284" t="s">
        <v>100</v>
      </c>
      <c r="AN98" s="3"/>
      <c r="AO98" s="4"/>
      <c r="AP98" s="5"/>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6"/>
      <c r="CQ98" s="7"/>
      <c r="CR98" s="6"/>
      <c r="CS98" s="7"/>
      <c r="CT98" s="6"/>
      <c r="CU98" s="7"/>
      <c r="CV98" s="8">
        <f t="shared" si="13"/>
        <v>0</v>
      </c>
      <c r="CW98" s="9"/>
      <c r="CX98" s="10"/>
      <c r="CY98" s="11"/>
      <c r="CZ98" s="12"/>
      <c r="DA98" s="29"/>
      <c r="DB98" s="12"/>
      <c r="DC98" s="9"/>
      <c r="DD98" s="10"/>
      <c r="DE98" s="71"/>
      <c r="EO98" s="353" t="str">
        <f t="shared" si="14"/>
        <v>BOYACA_GUACAMAYAS</v>
      </c>
      <c r="EP98" s="350"/>
      <c r="EQ98" s="350" t="s">
        <v>3884</v>
      </c>
      <c r="ER98" s="358" t="s">
        <v>3887</v>
      </c>
      <c r="ES98" s="350" t="s">
        <v>4739</v>
      </c>
      <c r="ET98" s="350" t="s">
        <v>5889</v>
      </c>
      <c r="EU98" s="350" t="str">
        <f t="shared" si="8"/>
        <v>Antioquia_Jerico</v>
      </c>
    </row>
    <row r="99" spans="1:151" ht="48" x14ac:dyDescent="0.2">
      <c r="A99" s="242">
        <v>40210</v>
      </c>
      <c r="B99" s="107" t="s">
        <v>828</v>
      </c>
      <c r="C99" s="107" t="s">
        <v>2354</v>
      </c>
      <c r="D99" s="427" t="s">
        <v>1387</v>
      </c>
      <c r="E99" s="107" t="str">
        <f>VLOOKUP(B99&amp;C99,Divipola!$C$2:$F$1138,4,FALSE)</f>
        <v>15322</v>
      </c>
      <c r="F99" s="330"/>
      <c r="G99" s="224"/>
      <c r="H99" s="75"/>
      <c r="I99" s="75"/>
      <c r="J99" s="75"/>
      <c r="K99" s="75"/>
      <c r="L99" s="75"/>
      <c r="M99" s="75"/>
      <c r="N99" s="75"/>
      <c r="O99" s="75"/>
      <c r="P99" s="75"/>
      <c r="Q99" s="75"/>
      <c r="R99" s="75"/>
      <c r="S99" s="75"/>
      <c r="T99" s="75"/>
      <c r="U99" s="75"/>
      <c r="V99" s="76"/>
      <c r="W99" s="205"/>
      <c r="X99" s="1"/>
      <c r="Y99" s="78">
        <f t="shared" si="9"/>
        <v>0</v>
      </c>
      <c r="Z99" s="78">
        <f t="shared" si="10"/>
        <v>0</v>
      </c>
      <c r="AA99" s="78">
        <f t="shared" si="11"/>
        <v>0</v>
      </c>
      <c r="AB99" s="78">
        <f t="shared" si="12"/>
        <v>0</v>
      </c>
      <c r="AC99" s="78"/>
      <c r="AD99" s="78">
        <v>0</v>
      </c>
      <c r="AE99" s="80">
        <f t="shared" si="15"/>
        <v>0</v>
      </c>
      <c r="AF99" s="82">
        <v>0</v>
      </c>
      <c r="AG99" s="69">
        <v>40210</v>
      </c>
      <c r="AH99" s="84"/>
      <c r="AI99" s="69" t="s">
        <v>1984</v>
      </c>
      <c r="AJ99" s="70" t="s">
        <v>1985</v>
      </c>
      <c r="AK99" s="71"/>
      <c r="AL99" s="212" t="s">
        <v>1257</v>
      </c>
      <c r="AM99" s="284" t="s">
        <v>2179</v>
      </c>
      <c r="AN99" s="3"/>
      <c r="AO99" s="4"/>
      <c r="AP99" s="5"/>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6"/>
      <c r="CQ99" s="7"/>
      <c r="CR99" s="6"/>
      <c r="CS99" s="7"/>
      <c r="CT99" s="6"/>
      <c r="CU99" s="7"/>
      <c r="CV99" s="8">
        <f t="shared" si="13"/>
        <v>0</v>
      </c>
      <c r="CW99" s="9"/>
      <c r="CX99" s="10"/>
      <c r="CY99" s="11"/>
      <c r="CZ99" s="12"/>
      <c r="DA99" s="29"/>
      <c r="DB99" s="12"/>
      <c r="DC99" s="9"/>
      <c r="DD99" s="10"/>
      <c r="DE99" s="71"/>
      <c r="EO99" s="353" t="str">
        <f t="shared" si="14"/>
        <v>BOYACA_GUATEQUE</v>
      </c>
      <c r="EP99" s="350"/>
      <c r="EQ99" s="350" t="s">
        <v>3884</v>
      </c>
      <c r="ER99" s="358" t="s">
        <v>3887</v>
      </c>
      <c r="ES99" s="350" t="s">
        <v>4740</v>
      </c>
      <c r="ET99" s="350" t="s">
        <v>5890</v>
      </c>
      <c r="EU99" s="350" t="str">
        <f t="shared" si="8"/>
        <v>Antioquia_La Ceja</v>
      </c>
    </row>
    <row r="100" spans="1:151" ht="144" x14ac:dyDescent="0.2">
      <c r="A100" s="242">
        <v>40210</v>
      </c>
      <c r="B100" s="107" t="s">
        <v>828</v>
      </c>
      <c r="C100" s="107" t="s">
        <v>2356</v>
      </c>
      <c r="D100" s="427" t="s">
        <v>1387</v>
      </c>
      <c r="E100" s="107" t="str">
        <f>VLOOKUP(B100&amp;C100,Divipola!$C$2:$F$1138,4,FALSE)</f>
        <v>15368</v>
      </c>
      <c r="F100" s="330"/>
      <c r="G100" s="224"/>
      <c r="H100" s="75"/>
      <c r="I100" s="75"/>
      <c r="J100" s="75">
        <f>258*5</f>
        <v>1290</v>
      </c>
      <c r="K100" s="75">
        <v>258</v>
      </c>
      <c r="L100" s="75"/>
      <c r="M100" s="75"/>
      <c r="N100" s="75"/>
      <c r="O100" s="75"/>
      <c r="P100" s="75"/>
      <c r="Q100" s="75"/>
      <c r="R100" s="75"/>
      <c r="S100" s="75"/>
      <c r="T100" s="75"/>
      <c r="U100" s="75"/>
      <c r="V100" s="76"/>
      <c r="W100" s="205"/>
      <c r="X100" s="1"/>
      <c r="Y100" s="78">
        <f t="shared" si="9"/>
        <v>0</v>
      </c>
      <c r="Z100" s="78">
        <f t="shared" si="10"/>
        <v>0</v>
      </c>
      <c r="AA100" s="78">
        <f t="shared" si="11"/>
        <v>0</v>
      </c>
      <c r="AB100" s="78">
        <f t="shared" si="12"/>
        <v>0</v>
      </c>
      <c r="AC100" s="78"/>
      <c r="AD100" s="78">
        <v>0</v>
      </c>
      <c r="AE100" s="80">
        <f t="shared" si="15"/>
        <v>0</v>
      </c>
      <c r="AF100" s="82">
        <v>0</v>
      </c>
      <c r="AG100" s="69">
        <v>40210</v>
      </c>
      <c r="AH100" s="84"/>
      <c r="AI100" s="69" t="s">
        <v>1984</v>
      </c>
      <c r="AJ100" s="70" t="s">
        <v>1985</v>
      </c>
      <c r="AK100" s="71"/>
      <c r="AL100" s="212" t="s">
        <v>1257</v>
      </c>
      <c r="AM100" s="284" t="s">
        <v>2196</v>
      </c>
      <c r="AN100" s="3"/>
      <c r="AO100" s="4"/>
      <c r="AP100" s="5"/>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6"/>
      <c r="CQ100" s="7"/>
      <c r="CR100" s="6"/>
      <c r="CS100" s="7"/>
      <c r="CT100" s="6"/>
      <c r="CU100" s="7"/>
      <c r="CV100" s="8">
        <f t="shared" si="13"/>
        <v>0</v>
      </c>
      <c r="CW100" s="9"/>
      <c r="CX100" s="10"/>
      <c r="CY100" s="11"/>
      <c r="CZ100" s="12"/>
      <c r="DA100" s="29"/>
      <c r="DB100" s="12"/>
      <c r="DC100" s="9"/>
      <c r="DD100" s="10"/>
      <c r="DE100" s="71"/>
      <c r="EO100" s="353" t="str">
        <f t="shared" si="14"/>
        <v>BOYACA_JERICO</v>
      </c>
      <c r="EP100" s="350"/>
      <c r="EQ100" s="350" t="s">
        <v>3884</v>
      </c>
      <c r="ER100" s="358" t="s">
        <v>3887</v>
      </c>
      <c r="ES100" s="350" t="s">
        <v>4741</v>
      </c>
      <c r="ET100" s="350" t="s">
        <v>5891</v>
      </c>
      <c r="EU100" s="350" t="str">
        <f t="shared" si="8"/>
        <v>Antioquia_La Estrella</v>
      </c>
    </row>
    <row r="101" spans="1:151" ht="48" x14ac:dyDescent="0.2">
      <c r="A101" s="242">
        <v>40210</v>
      </c>
      <c r="B101" s="107" t="s">
        <v>828</v>
      </c>
      <c r="C101" s="107" t="s">
        <v>2355</v>
      </c>
      <c r="D101" s="427" t="s">
        <v>1387</v>
      </c>
      <c r="E101" s="107" t="str">
        <f>VLOOKUP(B101&amp;C101,Divipola!$C$2:$F$1138,4,FALSE)</f>
        <v>15380</v>
      </c>
      <c r="F101" s="330"/>
      <c r="G101" s="224"/>
      <c r="H101" s="75"/>
      <c r="I101" s="75"/>
      <c r="J101" s="75"/>
      <c r="K101" s="75"/>
      <c r="L101" s="75"/>
      <c r="M101" s="75"/>
      <c r="N101" s="75"/>
      <c r="O101" s="75"/>
      <c r="P101" s="75"/>
      <c r="Q101" s="75"/>
      <c r="R101" s="75"/>
      <c r="S101" s="75"/>
      <c r="T101" s="75"/>
      <c r="U101" s="75"/>
      <c r="V101" s="76"/>
      <c r="W101" s="205"/>
      <c r="X101" s="1"/>
      <c r="Y101" s="78">
        <f t="shared" si="9"/>
        <v>0</v>
      </c>
      <c r="Z101" s="78">
        <f t="shared" si="10"/>
        <v>0</v>
      </c>
      <c r="AA101" s="78">
        <f t="shared" si="11"/>
        <v>0</v>
      </c>
      <c r="AB101" s="78">
        <f t="shared" si="12"/>
        <v>0</v>
      </c>
      <c r="AC101" s="78"/>
      <c r="AD101" s="78">
        <v>0</v>
      </c>
      <c r="AE101" s="80">
        <f t="shared" si="15"/>
        <v>0</v>
      </c>
      <c r="AF101" s="82">
        <v>0</v>
      </c>
      <c r="AG101" s="69">
        <v>40210</v>
      </c>
      <c r="AH101" s="84"/>
      <c r="AI101" s="69" t="s">
        <v>1984</v>
      </c>
      <c r="AJ101" s="70" t="s">
        <v>1985</v>
      </c>
      <c r="AK101" s="71"/>
      <c r="AL101" s="212" t="s">
        <v>1257</v>
      </c>
      <c r="AM101" s="284" t="s">
        <v>2179</v>
      </c>
      <c r="AN101" s="3"/>
      <c r="AO101" s="4"/>
      <c r="AP101" s="5"/>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6"/>
      <c r="CQ101" s="7"/>
      <c r="CR101" s="6"/>
      <c r="CS101" s="7"/>
      <c r="CT101" s="6"/>
      <c r="CU101" s="7"/>
      <c r="CV101" s="8">
        <f t="shared" si="13"/>
        <v>0</v>
      </c>
      <c r="CW101" s="9"/>
      <c r="CX101" s="10"/>
      <c r="CY101" s="11"/>
      <c r="CZ101" s="12"/>
      <c r="DA101" s="29"/>
      <c r="DB101" s="12"/>
      <c r="DC101" s="9"/>
      <c r="DD101" s="10"/>
      <c r="DE101" s="71"/>
      <c r="EO101" s="353" t="str">
        <f t="shared" si="14"/>
        <v>BOYACA_LA CAPILLA</v>
      </c>
      <c r="EP101" s="350"/>
      <c r="EQ101" s="350" t="s">
        <v>3884</v>
      </c>
      <c r="ER101" s="358" t="s">
        <v>3887</v>
      </c>
      <c r="ES101" s="350" t="s">
        <v>4742</v>
      </c>
      <c r="ET101" s="350" t="s">
        <v>5892</v>
      </c>
      <c r="EU101" s="350" t="str">
        <f t="shared" ref="EU101:EU164" si="16">ER101&amp;"_"&amp;ET101</f>
        <v>Antioquia_La Pintada</v>
      </c>
    </row>
    <row r="102" spans="1:151" ht="168" x14ac:dyDescent="0.2">
      <c r="A102" s="242">
        <v>40210</v>
      </c>
      <c r="B102" s="107" t="s">
        <v>828</v>
      </c>
      <c r="C102" s="107" t="s">
        <v>2359</v>
      </c>
      <c r="D102" s="427" t="s">
        <v>1387</v>
      </c>
      <c r="E102" s="107" t="str">
        <f>VLOOKUP(B102&amp;C102,Divipola!$C$2:$F$1138,4,FALSE)</f>
        <v>15401</v>
      </c>
      <c r="F102" s="330"/>
      <c r="G102" s="224"/>
      <c r="H102" s="75"/>
      <c r="I102" s="75"/>
      <c r="J102" s="75">
        <v>1700</v>
      </c>
      <c r="K102" s="75">
        <v>340</v>
      </c>
      <c r="L102" s="75"/>
      <c r="M102" s="75"/>
      <c r="N102" s="75"/>
      <c r="O102" s="75"/>
      <c r="P102" s="75"/>
      <c r="Q102" s="75"/>
      <c r="R102" s="75"/>
      <c r="S102" s="75"/>
      <c r="T102" s="75"/>
      <c r="U102" s="75"/>
      <c r="V102" s="76"/>
      <c r="W102" s="205"/>
      <c r="X102" s="1"/>
      <c r="Y102" s="78">
        <f t="shared" si="9"/>
        <v>0</v>
      </c>
      <c r="Z102" s="78">
        <f t="shared" si="10"/>
        <v>0</v>
      </c>
      <c r="AA102" s="78">
        <f t="shared" si="11"/>
        <v>0</v>
      </c>
      <c r="AB102" s="78">
        <f t="shared" si="12"/>
        <v>0</v>
      </c>
      <c r="AC102" s="78"/>
      <c r="AD102" s="78">
        <v>0</v>
      </c>
      <c r="AE102" s="80">
        <f t="shared" si="15"/>
        <v>0</v>
      </c>
      <c r="AF102" s="82">
        <v>0</v>
      </c>
      <c r="AG102" s="69">
        <v>40210</v>
      </c>
      <c r="AH102" s="84"/>
      <c r="AI102" s="69" t="s">
        <v>1984</v>
      </c>
      <c r="AJ102" s="70" t="s">
        <v>1985</v>
      </c>
      <c r="AK102" s="71"/>
      <c r="AL102" s="212" t="s">
        <v>1257</v>
      </c>
      <c r="AM102" s="284" t="s">
        <v>2250</v>
      </c>
      <c r="AN102" s="3"/>
      <c r="AO102" s="4"/>
      <c r="AP102" s="5"/>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6"/>
      <c r="CQ102" s="7"/>
      <c r="CR102" s="6"/>
      <c r="CS102" s="7"/>
      <c r="CT102" s="6"/>
      <c r="CU102" s="7"/>
      <c r="CV102" s="8">
        <f t="shared" si="13"/>
        <v>0</v>
      </c>
      <c r="CW102" s="9"/>
      <c r="CX102" s="10"/>
      <c r="CY102" s="11"/>
      <c r="CZ102" s="12"/>
      <c r="DA102" s="29"/>
      <c r="DB102" s="12"/>
      <c r="DC102" s="9"/>
      <c r="DD102" s="10"/>
      <c r="DE102" s="71"/>
      <c r="EO102" s="353" t="str">
        <f t="shared" si="14"/>
        <v>BOYACA_LA VICTORIA</v>
      </c>
      <c r="EP102" s="350"/>
      <c r="EQ102" s="350" t="s">
        <v>3884</v>
      </c>
      <c r="ER102" s="358" t="s">
        <v>3887</v>
      </c>
      <c r="ES102" s="350" t="s">
        <v>4743</v>
      </c>
      <c r="ET102" s="350" t="s">
        <v>5893</v>
      </c>
      <c r="EU102" s="350" t="str">
        <f t="shared" si="16"/>
        <v>Antioquia_La Union</v>
      </c>
    </row>
    <row r="103" spans="1:151" ht="72" x14ac:dyDescent="0.2">
      <c r="A103" s="242">
        <v>40210</v>
      </c>
      <c r="B103" s="107" t="s">
        <v>828</v>
      </c>
      <c r="C103" s="107" t="s">
        <v>2358</v>
      </c>
      <c r="D103" s="427" t="s">
        <v>1387</v>
      </c>
      <c r="E103" s="107" t="str">
        <f>VLOOKUP(B103&amp;C103,Divipola!$C$2:$F$1138,4,FALSE)</f>
        <v>15455</v>
      </c>
      <c r="F103" s="330"/>
      <c r="G103" s="224"/>
      <c r="H103" s="75"/>
      <c r="I103" s="75"/>
      <c r="J103" s="75"/>
      <c r="K103" s="75"/>
      <c r="L103" s="75"/>
      <c r="M103" s="75"/>
      <c r="N103" s="75"/>
      <c r="O103" s="75"/>
      <c r="P103" s="75"/>
      <c r="Q103" s="75"/>
      <c r="R103" s="75"/>
      <c r="S103" s="75"/>
      <c r="T103" s="75"/>
      <c r="U103" s="75"/>
      <c r="V103" s="76"/>
      <c r="W103" s="205"/>
      <c r="X103" s="1"/>
      <c r="Y103" s="78">
        <f t="shared" si="9"/>
        <v>0</v>
      </c>
      <c r="Z103" s="78">
        <f t="shared" si="10"/>
        <v>0</v>
      </c>
      <c r="AA103" s="78">
        <f t="shared" si="11"/>
        <v>0</v>
      </c>
      <c r="AB103" s="78">
        <f t="shared" si="12"/>
        <v>0</v>
      </c>
      <c r="AC103" s="78"/>
      <c r="AD103" s="78">
        <v>0</v>
      </c>
      <c r="AE103" s="80">
        <f t="shared" si="15"/>
        <v>0</v>
      </c>
      <c r="AF103" s="82">
        <v>0</v>
      </c>
      <c r="AG103" s="69">
        <v>40210</v>
      </c>
      <c r="AH103" s="84"/>
      <c r="AI103" s="69" t="s">
        <v>1984</v>
      </c>
      <c r="AJ103" s="70" t="s">
        <v>1985</v>
      </c>
      <c r="AK103" s="71"/>
      <c r="AL103" s="212" t="s">
        <v>1257</v>
      </c>
      <c r="AM103" s="284" t="s">
        <v>2316</v>
      </c>
      <c r="AN103" s="3"/>
      <c r="AO103" s="4"/>
      <c r="AP103" s="5"/>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6"/>
      <c r="CQ103" s="7"/>
      <c r="CR103" s="6"/>
      <c r="CS103" s="7"/>
      <c r="CT103" s="6"/>
      <c r="CU103" s="7"/>
      <c r="CV103" s="8">
        <f t="shared" si="13"/>
        <v>0</v>
      </c>
      <c r="CW103" s="9"/>
      <c r="CX103" s="10"/>
      <c r="CY103" s="11"/>
      <c r="CZ103" s="12"/>
      <c r="DA103" s="29"/>
      <c r="DB103" s="12"/>
      <c r="DC103" s="9"/>
      <c r="DD103" s="10"/>
      <c r="DE103" s="71"/>
      <c r="EO103" s="353" t="str">
        <f t="shared" si="14"/>
        <v>BOYACA_MIRAFLORES</v>
      </c>
      <c r="EP103" s="350"/>
      <c r="EQ103" s="350" t="s">
        <v>3884</v>
      </c>
      <c r="ER103" s="358" t="s">
        <v>3887</v>
      </c>
      <c r="ES103" s="350" t="s">
        <v>4744</v>
      </c>
      <c r="ET103" s="350" t="s">
        <v>5894</v>
      </c>
      <c r="EU103" s="350" t="str">
        <f t="shared" si="16"/>
        <v>Antioquia_Liborina</v>
      </c>
    </row>
    <row r="104" spans="1:151" s="106" customFormat="1" ht="108" x14ac:dyDescent="0.2">
      <c r="A104" s="242">
        <v>40210</v>
      </c>
      <c r="B104" s="107" t="s">
        <v>828</v>
      </c>
      <c r="C104" s="107" t="s">
        <v>2357</v>
      </c>
      <c r="D104" s="427" t="s">
        <v>1387</v>
      </c>
      <c r="E104" s="107" t="str">
        <f>VLOOKUP(B104&amp;C104,Divipola!$C$2:$F$1138,4,FALSE)</f>
        <v>15466</v>
      </c>
      <c r="F104" s="330"/>
      <c r="G104" s="224"/>
      <c r="H104" s="75"/>
      <c r="I104" s="75"/>
      <c r="J104" s="75">
        <f>840*5</f>
        <v>4200</v>
      </c>
      <c r="K104" s="75">
        <v>840</v>
      </c>
      <c r="L104" s="75"/>
      <c r="M104" s="75"/>
      <c r="N104" s="75"/>
      <c r="O104" s="75"/>
      <c r="P104" s="75"/>
      <c r="Q104" s="75"/>
      <c r="R104" s="75"/>
      <c r="S104" s="75"/>
      <c r="T104" s="75"/>
      <c r="U104" s="75"/>
      <c r="V104" s="76"/>
      <c r="W104" s="205"/>
      <c r="X104" s="1"/>
      <c r="Y104" s="78">
        <f t="shared" si="9"/>
        <v>0</v>
      </c>
      <c r="Z104" s="78">
        <f t="shared" si="10"/>
        <v>0</v>
      </c>
      <c r="AA104" s="78">
        <f t="shared" si="11"/>
        <v>0</v>
      </c>
      <c r="AB104" s="78">
        <f t="shared" si="12"/>
        <v>0</v>
      </c>
      <c r="AC104" s="78"/>
      <c r="AD104" s="78">
        <v>0</v>
      </c>
      <c r="AE104" s="80">
        <f t="shared" si="15"/>
        <v>0</v>
      </c>
      <c r="AF104" s="82">
        <v>0</v>
      </c>
      <c r="AG104" s="69">
        <v>40210</v>
      </c>
      <c r="AH104" s="84"/>
      <c r="AI104" s="69" t="s">
        <v>1984</v>
      </c>
      <c r="AJ104" s="70" t="s">
        <v>1985</v>
      </c>
      <c r="AK104" s="71"/>
      <c r="AL104" s="212" t="s">
        <v>1257</v>
      </c>
      <c r="AM104" s="284" t="s">
        <v>979</v>
      </c>
      <c r="AN104" s="3"/>
      <c r="AO104" s="4"/>
      <c r="AP104" s="5"/>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6"/>
      <c r="CQ104" s="7"/>
      <c r="CR104" s="6"/>
      <c r="CS104" s="7"/>
      <c r="CT104" s="6"/>
      <c r="CU104" s="7"/>
      <c r="CV104" s="8">
        <f t="shared" si="13"/>
        <v>0</v>
      </c>
      <c r="CW104" s="9"/>
      <c r="CX104" s="10"/>
      <c r="CY104" s="11"/>
      <c r="CZ104" s="12"/>
      <c r="DA104" s="29"/>
      <c r="DB104" s="12"/>
      <c r="DC104" s="9"/>
      <c r="DD104" s="10"/>
      <c r="DE104" s="71"/>
      <c r="DF104" s="23"/>
      <c r="EO104" s="353" t="str">
        <f t="shared" si="14"/>
        <v>BOYACA_MONGUI</v>
      </c>
      <c r="EP104" s="350"/>
      <c r="EQ104" s="350" t="s">
        <v>3884</v>
      </c>
      <c r="ER104" s="358" t="s">
        <v>3887</v>
      </c>
      <c r="ES104" s="350" t="s">
        <v>4745</v>
      </c>
      <c r="ET104" s="350" t="s">
        <v>5895</v>
      </c>
      <c r="EU104" s="350" t="str">
        <f t="shared" si="16"/>
        <v>Antioquia_Maceo</v>
      </c>
    </row>
    <row r="105" spans="1:151" ht="192" x14ac:dyDescent="0.2">
      <c r="A105" s="242">
        <v>40210</v>
      </c>
      <c r="B105" s="107" t="s">
        <v>828</v>
      </c>
      <c r="C105" s="107" t="s">
        <v>2360</v>
      </c>
      <c r="D105" s="427" t="s">
        <v>1387</v>
      </c>
      <c r="E105" s="107" t="str">
        <f>VLOOKUP(B105&amp;C105,Divipola!$C$2:$F$1138,4,FALSE)</f>
        <v>15476</v>
      </c>
      <c r="F105" s="330"/>
      <c r="G105" s="224"/>
      <c r="H105" s="75"/>
      <c r="I105" s="75"/>
      <c r="J105" s="75">
        <v>7200</v>
      </c>
      <c r="K105" s="75">
        <v>1440</v>
      </c>
      <c r="L105" s="75"/>
      <c r="M105" s="75"/>
      <c r="N105" s="75"/>
      <c r="O105" s="75"/>
      <c r="P105" s="75"/>
      <c r="Q105" s="75"/>
      <c r="R105" s="75"/>
      <c r="S105" s="75"/>
      <c r="T105" s="75"/>
      <c r="U105" s="75"/>
      <c r="V105" s="76"/>
      <c r="W105" s="205"/>
      <c r="X105" s="1"/>
      <c r="Y105" s="78">
        <f t="shared" si="9"/>
        <v>0</v>
      </c>
      <c r="Z105" s="78">
        <f t="shared" si="10"/>
        <v>0</v>
      </c>
      <c r="AA105" s="78">
        <f t="shared" si="11"/>
        <v>0</v>
      </c>
      <c r="AB105" s="78">
        <f t="shared" si="12"/>
        <v>0</v>
      </c>
      <c r="AC105" s="78"/>
      <c r="AD105" s="78">
        <v>0</v>
      </c>
      <c r="AE105" s="80">
        <f t="shared" si="15"/>
        <v>0</v>
      </c>
      <c r="AF105" s="82">
        <v>0</v>
      </c>
      <c r="AG105" s="69">
        <v>40210</v>
      </c>
      <c r="AH105" s="84"/>
      <c r="AI105" s="69" t="s">
        <v>1984</v>
      </c>
      <c r="AJ105" s="70" t="s">
        <v>1985</v>
      </c>
      <c r="AK105" s="71"/>
      <c r="AL105" s="212" t="s">
        <v>1257</v>
      </c>
      <c r="AM105" s="284" t="s">
        <v>1745</v>
      </c>
      <c r="AN105" s="3"/>
      <c r="AO105" s="4"/>
      <c r="AP105" s="5"/>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6"/>
      <c r="CQ105" s="7"/>
      <c r="CR105" s="6"/>
      <c r="CS105" s="7"/>
      <c r="CT105" s="6"/>
      <c r="CU105" s="7"/>
      <c r="CV105" s="8">
        <f t="shared" si="13"/>
        <v>0</v>
      </c>
      <c r="CW105" s="9"/>
      <c r="CX105" s="10"/>
      <c r="CY105" s="11"/>
      <c r="CZ105" s="12"/>
      <c r="DA105" s="29"/>
      <c r="DB105" s="12"/>
      <c r="DC105" s="9"/>
      <c r="DD105" s="10"/>
      <c r="DE105" s="71"/>
      <c r="EO105" s="353" t="str">
        <f t="shared" si="14"/>
        <v>BOYACA_MOTAVITA</v>
      </c>
      <c r="EP105" s="350"/>
      <c r="EQ105" s="350" t="s">
        <v>3884</v>
      </c>
      <c r="ER105" s="358" t="s">
        <v>3887</v>
      </c>
      <c r="ES105" s="350" t="s">
        <v>4746</v>
      </c>
      <c r="ET105" s="350" t="s">
        <v>5896</v>
      </c>
      <c r="EU105" s="350" t="str">
        <f t="shared" si="16"/>
        <v>Antioquia_Marinilla</v>
      </c>
    </row>
    <row r="106" spans="1:151" ht="156" x14ac:dyDescent="0.2">
      <c r="A106" s="242">
        <v>40210</v>
      </c>
      <c r="B106" s="107" t="s">
        <v>828</v>
      </c>
      <c r="C106" s="107" t="s">
        <v>2361</v>
      </c>
      <c r="D106" s="427" t="s">
        <v>1387</v>
      </c>
      <c r="E106" s="107" t="str">
        <f>VLOOKUP(B106&amp;C106,Divipola!$C$2:$F$1138,4,FALSE)</f>
        <v>15491</v>
      </c>
      <c r="F106" s="330"/>
      <c r="G106" s="224"/>
      <c r="H106" s="75"/>
      <c r="I106" s="75"/>
      <c r="J106" s="75">
        <v>3871</v>
      </c>
      <c r="K106" s="75">
        <v>774.2</v>
      </c>
      <c r="L106" s="75"/>
      <c r="M106" s="75"/>
      <c r="N106" s="75"/>
      <c r="O106" s="75"/>
      <c r="P106" s="75"/>
      <c r="Q106" s="75"/>
      <c r="R106" s="75"/>
      <c r="S106" s="75"/>
      <c r="T106" s="75"/>
      <c r="U106" s="75"/>
      <c r="V106" s="76"/>
      <c r="W106" s="205"/>
      <c r="X106" s="1"/>
      <c r="Y106" s="78">
        <f t="shared" si="9"/>
        <v>0</v>
      </c>
      <c r="Z106" s="78">
        <f t="shared" si="10"/>
        <v>0</v>
      </c>
      <c r="AA106" s="78">
        <f t="shared" si="11"/>
        <v>0</v>
      </c>
      <c r="AB106" s="78">
        <f t="shared" si="12"/>
        <v>0</v>
      </c>
      <c r="AC106" s="78"/>
      <c r="AD106" s="78">
        <v>0</v>
      </c>
      <c r="AE106" s="80">
        <f t="shared" si="15"/>
        <v>0</v>
      </c>
      <c r="AF106" s="82">
        <v>0</v>
      </c>
      <c r="AG106" s="69">
        <v>40210</v>
      </c>
      <c r="AH106" s="84"/>
      <c r="AI106" s="69" t="s">
        <v>1984</v>
      </c>
      <c r="AJ106" s="70" t="s">
        <v>1985</v>
      </c>
      <c r="AK106" s="71"/>
      <c r="AL106" s="212" t="s">
        <v>1257</v>
      </c>
      <c r="AM106" s="284" t="s">
        <v>3122</v>
      </c>
      <c r="AN106" s="3"/>
      <c r="AO106" s="4"/>
      <c r="AP106" s="5"/>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6"/>
      <c r="CQ106" s="7"/>
      <c r="CR106" s="6"/>
      <c r="CS106" s="7"/>
      <c r="CT106" s="6"/>
      <c r="CU106" s="7"/>
      <c r="CV106" s="8">
        <f t="shared" si="13"/>
        <v>0</v>
      </c>
      <c r="CW106" s="9"/>
      <c r="CX106" s="10"/>
      <c r="CY106" s="11"/>
      <c r="CZ106" s="12"/>
      <c r="DA106" s="29"/>
      <c r="DB106" s="12"/>
      <c r="DC106" s="9"/>
      <c r="DD106" s="10"/>
      <c r="DE106" s="71"/>
      <c r="EO106" s="353" t="str">
        <f t="shared" si="14"/>
        <v>BOYACA_NOBSA</v>
      </c>
      <c r="EP106" s="350"/>
      <c r="EQ106" s="350" t="s">
        <v>3884</v>
      </c>
      <c r="ER106" s="358" t="s">
        <v>3887</v>
      </c>
      <c r="ES106" s="350" t="s">
        <v>4747</v>
      </c>
      <c r="ET106" s="350" t="s">
        <v>5897</v>
      </c>
      <c r="EU106" s="350" t="str">
        <f t="shared" si="16"/>
        <v>Antioquia_Montebello</v>
      </c>
    </row>
    <row r="107" spans="1:151" ht="120" x14ac:dyDescent="0.2">
      <c r="A107" s="242">
        <v>40210</v>
      </c>
      <c r="B107" s="107" t="s">
        <v>828</v>
      </c>
      <c r="C107" s="107" t="s">
        <v>2362</v>
      </c>
      <c r="D107" s="427" t="s">
        <v>1387</v>
      </c>
      <c r="E107" s="107" t="str">
        <f>VLOOKUP(B107&amp;C107,Divipola!$C$2:$F$1138,4,FALSE)</f>
        <v>15500</v>
      </c>
      <c r="F107" s="330"/>
      <c r="G107" s="224"/>
      <c r="H107" s="75"/>
      <c r="I107" s="75"/>
      <c r="J107" s="75">
        <v>300</v>
      </c>
      <c r="K107" s="75">
        <v>60</v>
      </c>
      <c r="L107" s="75"/>
      <c r="M107" s="75"/>
      <c r="N107" s="75"/>
      <c r="O107" s="75"/>
      <c r="P107" s="75"/>
      <c r="Q107" s="75"/>
      <c r="R107" s="75"/>
      <c r="S107" s="75"/>
      <c r="T107" s="75"/>
      <c r="U107" s="75"/>
      <c r="V107" s="76"/>
      <c r="W107" s="205"/>
      <c r="X107" s="1"/>
      <c r="Y107" s="78">
        <f t="shared" si="9"/>
        <v>0</v>
      </c>
      <c r="Z107" s="78">
        <f t="shared" si="10"/>
        <v>0</v>
      </c>
      <c r="AA107" s="78">
        <f t="shared" si="11"/>
        <v>0</v>
      </c>
      <c r="AB107" s="78">
        <f t="shared" si="12"/>
        <v>0</v>
      </c>
      <c r="AC107" s="78"/>
      <c r="AD107" s="78">
        <v>0</v>
      </c>
      <c r="AE107" s="80">
        <f t="shared" si="15"/>
        <v>0</v>
      </c>
      <c r="AF107" s="82">
        <v>0</v>
      </c>
      <c r="AG107" s="69">
        <v>40210</v>
      </c>
      <c r="AH107" s="84"/>
      <c r="AI107" s="69" t="s">
        <v>1984</v>
      </c>
      <c r="AJ107" s="70" t="s">
        <v>1985</v>
      </c>
      <c r="AK107" s="71"/>
      <c r="AL107" s="212" t="s">
        <v>1257</v>
      </c>
      <c r="AM107" s="284" t="s">
        <v>1394</v>
      </c>
      <c r="AN107" s="3"/>
      <c r="AO107" s="4"/>
      <c r="AP107" s="5"/>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6"/>
      <c r="CQ107" s="7"/>
      <c r="CR107" s="6"/>
      <c r="CS107" s="7"/>
      <c r="CT107" s="6"/>
      <c r="CU107" s="7"/>
      <c r="CV107" s="8">
        <f t="shared" si="13"/>
        <v>0</v>
      </c>
      <c r="CW107" s="9"/>
      <c r="CX107" s="10"/>
      <c r="CY107" s="11"/>
      <c r="CZ107" s="12"/>
      <c r="DA107" s="29"/>
      <c r="DB107" s="12"/>
      <c r="DC107" s="9"/>
      <c r="DD107" s="10"/>
      <c r="DE107" s="71"/>
      <c r="EO107" s="353" t="str">
        <f t="shared" si="14"/>
        <v>BOYACA_OICATA</v>
      </c>
      <c r="EP107" s="350"/>
      <c r="EQ107" s="350" t="s">
        <v>3884</v>
      </c>
      <c r="ER107" s="358" t="s">
        <v>3887</v>
      </c>
      <c r="ES107" s="350" t="s">
        <v>4748</v>
      </c>
      <c r="ET107" s="350" t="s">
        <v>5898</v>
      </c>
      <c r="EU107" s="350" t="str">
        <f t="shared" si="16"/>
        <v>Antioquia_Murindo</v>
      </c>
    </row>
    <row r="108" spans="1:151" ht="48" x14ac:dyDescent="0.2">
      <c r="A108" s="242">
        <v>40210</v>
      </c>
      <c r="B108" s="107" t="s">
        <v>828</v>
      </c>
      <c r="C108" s="107" t="s">
        <v>2002</v>
      </c>
      <c r="D108" s="427" t="s">
        <v>1387</v>
      </c>
      <c r="E108" s="107" t="str">
        <f>VLOOKUP(B108&amp;C108,Divipola!$C$2:$F$1138,4,FALSE)</f>
        <v>15514</v>
      </c>
      <c r="F108" s="330"/>
      <c r="G108" s="224"/>
      <c r="H108" s="75"/>
      <c r="I108" s="75"/>
      <c r="J108" s="75"/>
      <c r="K108" s="75"/>
      <c r="L108" s="75"/>
      <c r="M108" s="75"/>
      <c r="N108" s="75"/>
      <c r="O108" s="75"/>
      <c r="P108" s="75"/>
      <c r="Q108" s="75"/>
      <c r="R108" s="75"/>
      <c r="S108" s="75"/>
      <c r="T108" s="75"/>
      <c r="U108" s="75"/>
      <c r="V108" s="76"/>
      <c r="W108" s="205"/>
      <c r="X108" s="1"/>
      <c r="Y108" s="78">
        <f t="shared" si="9"/>
        <v>0</v>
      </c>
      <c r="Z108" s="78">
        <f t="shared" si="10"/>
        <v>0</v>
      </c>
      <c r="AA108" s="78">
        <f t="shared" si="11"/>
        <v>0</v>
      </c>
      <c r="AB108" s="78">
        <f t="shared" si="12"/>
        <v>0</v>
      </c>
      <c r="AC108" s="78"/>
      <c r="AD108" s="78">
        <v>0</v>
      </c>
      <c r="AE108" s="80">
        <f t="shared" si="15"/>
        <v>0</v>
      </c>
      <c r="AF108" s="82">
        <v>0</v>
      </c>
      <c r="AG108" s="69">
        <v>40210</v>
      </c>
      <c r="AH108" s="84"/>
      <c r="AI108" s="69" t="s">
        <v>1984</v>
      </c>
      <c r="AJ108" s="70" t="s">
        <v>1985</v>
      </c>
      <c r="AK108" s="71"/>
      <c r="AL108" s="212" t="s">
        <v>1257</v>
      </c>
      <c r="AM108" s="284" t="s">
        <v>1396</v>
      </c>
      <c r="AN108" s="3"/>
      <c r="AO108" s="4"/>
      <c r="AP108" s="5"/>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6"/>
      <c r="CQ108" s="7"/>
      <c r="CR108" s="6"/>
      <c r="CS108" s="7"/>
      <c r="CT108" s="6"/>
      <c r="CU108" s="7"/>
      <c r="CV108" s="8">
        <f t="shared" si="13"/>
        <v>0</v>
      </c>
      <c r="CW108" s="9"/>
      <c r="CX108" s="10"/>
      <c r="CY108" s="11"/>
      <c r="CZ108" s="12"/>
      <c r="DA108" s="29"/>
      <c r="DB108" s="12"/>
      <c r="DC108" s="9"/>
      <c r="DD108" s="10"/>
      <c r="DE108" s="71"/>
      <c r="EO108" s="353" t="str">
        <f t="shared" si="14"/>
        <v>BOYACA_PAEZ</v>
      </c>
      <c r="EP108" s="350"/>
      <c r="EQ108" s="350" t="s">
        <v>3884</v>
      </c>
      <c r="ER108" s="358" t="s">
        <v>3887</v>
      </c>
      <c r="ES108" s="350" t="s">
        <v>4749</v>
      </c>
      <c r="ET108" s="350" t="s">
        <v>5899</v>
      </c>
      <c r="EU108" s="350" t="str">
        <f t="shared" si="16"/>
        <v>Antioquia_Mutata</v>
      </c>
    </row>
    <row r="109" spans="1:151" ht="96" x14ac:dyDescent="0.2">
      <c r="A109" s="242">
        <v>40210</v>
      </c>
      <c r="B109" s="107" t="s">
        <v>828</v>
      </c>
      <c r="C109" s="107" t="s">
        <v>2363</v>
      </c>
      <c r="D109" s="427" t="s">
        <v>1387</v>
      </c>
      <c r="E109" s="107" t="str">
        <f>VLOOKUP(B109&amp;C109,Divipola!$C$2:$F$1138,4,FALSE)</f>
        <v>15516</v>
      </c>
      <c r="F109" s="330"/>
      <c r="G109" s="224"/>
      <c r="H109" s="75"/>
      <c r="I109" s="75"/>
      <c r="J109" s="75"/>
      <c r="K109" s="75"/>
      <c r="L109" s="75"/>
      <c r="M109" s="75"/>
      <c r="N109" s="75"/>
      <c r="O109" s="75"/>
      <c r="P109" s="75"/>
      <c r="Q109" s="75"/>
      <c r="R109" s="75"/>
      <c r="S109" s="75"/>
      <c r="T109" s="75"/>
      <c r="U109" s="75"/>
      <c r="V109" s="76"/>
      <c r="W109" s="205"/>
      <c r="X109" s="1"/>
      <c r="Y109" s="78">
        <f t="shared" si="9"/>
        <v>0</v>
      </c>
      <c r="Z109" s="78">
        <f t="shared" si="10"/>
        <v>0</v>
      </c>
      <c r="AA109" s="78">
        <f t="shared" si="11"/>
        <v>0</v>
      </c>
      <c r="AB109" s="78">
        <f t="shared" si="12"/>
        <v>0</v>
      </c>
      <c r="AC109" s="78"/>
      <c r="AD109" s="78">
        <v>0</v>
      </c>
      <c r="AE109" s="80">
        <f t="shared" si="15"/>
        <v>0</v>
      </c>
      <c r="AF109" s="82">
        <v>0</v>
      </c>
      <c r="AG109" s="69">
        <v>40210</v>
      </c>
      <c r="AH109" s="84"/>
      <c r="AI109" s="69" t="s">
        <v>1984</v>
      </c>
      <c r="AJ109" s="70" t="s">
        <v>1985</v>
      </c>
      <c r="AK109" s="71"/>
      <c r="AL109" s="212" t="s">
        <v>1257</v>
      </c>
      <c r="AM109" s="284" t="s">
        <v>1395</v>
      </c>
      <c r="AN109" s="3"/>
      <c r="AO109" s="4"/>
      <c r="AP109" s="5"/>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6"/>
      <c r="CQ109" s="7"/>
      <c r="CR109" s="6"/>
      <c r="CS109" s="7"/>
      <c r="CT109" s="6"/>
      <c r="CU109" s="7"/>
      <c r="CV109" s="8">
        <f t="shared" si="13"/>
        <v>0</v>
      </c>
      <c r="CW109" s="9"/>
      <c r="CX109" s="10"/>
      <c r="CY109" s="11"/>
      <c r="CZ109" s="12"/>
      <c r="DA109" s="29"/>
      <c r="DB109" s="12"/>
      <c r="DC109" s="9"/>
      <c r="DD109" s="10"/>
      <c r="DE109" s="71"/>
      <c r="EO109" s="353" t="str">
        <f t="shared" si="14"/>
        <v>BOYACA_PAIPA</v>
      </c>
      <c r="EP109" s="350"/>
      <c r="EQ109" s="350" t="s">
        <v>3884</v>
      </c>
      <c r="ER109" s="358" t="s">
        <v>3887</v>
      </c>
      <c r="ES109" s="350" t="s">
        <v>4750</v>
      </c>
      <c r="ET109" s="350" t="s">
        <v>4486</v>
      </c>
      <c r="EU109" s="350" t="str">
        <f t="shared" si="16"/>
        <v>Antioquia_Nariño</v>
      </c>
    </row>
    <row r="110" spans="1:151" ht="72" x14ac:dyDescent="0.2">
      <c r="A110" s="242">
        <v>40210</v>
      </c>
      <c r="B110" s="107" t="s">
        <v>828</v>
      </c>
      <c r="C110" s="107" t="s">
        <v>4169</v>
      </c>
      <c r="D110" s="427" t="s">
        <v>1387</v>
      </c>
      <c r="E110" s="107" t="str">
        <f>VLOOKUP(B110&amp;C110,Divipola!$C$2:$F$1138,4,FALSE)</f>
        <v>15542</v>
      </c>
      <c r="F110" s="330"/>
      <c r="G110" s="224"/>
      <c r="H110" s="75"/>
      <c r="I110" s="75"/>
      <c r="J110" s="75"/>
      <c r="K110" s="75"/>
      <c r="L110" s="75"/>
      <c r="M110" s="75"/>
      <c r="N110" s="75"/>
      <c r="O110" s="75"/>
      <c r="P110" s="75"/>
      <c r="Q110" s="75"/>
      <c r="R110" s="75"/>
      <c r="S110" s="75"/>
      <c r="T110" s="75"/>
      <c r="U110" s="75"/>
      <c r="V110" s="76"/>
      <c r="W110" s="205"/>
      <c r="X110" s="1"/>
      <c r="Y110" s="78">
        <f t="shared" si="9"/>
        <v>0</v>
      </c>
      <c r="Z110" s="78">
        <f t="shared" si="10"/>
        <v>0</v>
      </c>
      <c r="AA110" s="78">
        <f t="shared" si="11"/>
        <v>0</v>
      </c>
      <c r="AB110" s="78">
        <f t="shared" si="12"/>
        <v>0</v>
      </c>
      <c r="AC110" s="78"/>
      <c r="AD110" s="78">
        <v>0</v>
      </c>
      <c r="AE110" s="80">
        <f t="shared" si="15"/>
        <v>0</v>
      </c>
      <c r="AF110" s="82">
        <v>0</v>
      </c>
      <c r="AG110" s="69">
        <v>40210</v>
      </c>
      <c r="AH110" s="84"/>
      <c r="AI110" s="69" t="s">
        <v>1984</v>
      </c>
      <c r="AJ110" s="70" t="s">
        <v>1985</v>
      </c>
      <c r="AK110" s="71"/>
      <c r="AL110" s="212" t="s">
        <v>1257</v>
      </c>
      <c r="AM110" s="284" t="s">
        <v>100</v>
      </c>
      <c r="AN110" s="3"/>
      <c r="AO110" s="4"/>
      <c r="AP110" s="5"/>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6"/>
      <c r="CQ110" s="7"/>
      <c r="CR110" s="6"/>
      <c r="CS110" s="7"/>
      <c r="CT110" s="6"/>
      <c r="CU110" s="7"/>
      <c r="CV110" s="8">
        <f t="shared" si="13"/>
        <v>0</v>
      </c>
      <c r="CW110" s="9"/>
      <c r="CX110" s="10"/>
      <c r="CY110" s="11"/>
      <c r="CZ110" s="12"/>
      <c r="DA110" s="29"/>
      <c r="DB110" s="12"/>
      <c r="DC110" s="9"/>
      <c r="DD110" s="10"/>
      <c r="DE110" s="71"/>
      <c r="EO110" s="353" t="str">
        <f t="shared" si="14"/>
        <v>BOYACA_PESCA</v>
      </c>
      <c r="EP110" s="350"/>
      <c r="EQ110" s="350" t="s">
        <v>3884</v>
      </c>
      <c r="ER110" s="358" t="s">
        <v>3887</v>
      </c>
      <c r="ES110" s="350" t="s">
        <v>4751</v>
      </c>
      <c r="ET110" s="350" t="s">
        <v>5900</v>
      </c>
      <c r="EU110" s="350" t="str">
        <f t="shared" si="16"/>
        <v>Antioquia_Necocli</v>
      </c>
    </row>
    <row r="111" spans="1:151" ht="144" x14ac:dyDescent="0.2">
      <c r="A111" s="242">
        <v>40210</v>
      </c>
      <c r="B111" s="107" t="s">
        <v>828</v>
      </c>
      <c r="C111" s="107" t="s">
        <v>2364</v>
      </c>
      <c r="D111" s="427" t="s">
        <v>1387</v>
      </c>
      <c r="E111" s="107" t="str">
        <f>VLOOKUP(B111&amp;C111,Divipola!$C$2:$F$1138,4,FALSE)</f>
        <v>15572</v>
      </c>
      <c r="F111" s="330"/>
      <c r="G111" s="224"/>
      <c r="H111" s="75"/>
      <c r="I111" s="75"/>
      <c r="J111" s="75">
        <v>34000</v>
      </c>
      <c r="K111" s="75">
        <f>34000/5</f>
        <v>6800</v>
      </c>
      <c r="L111" s="75"/>
      <c r="M111" s="75"/>
      <c r="N111" s="75"/>
      <c r="O111" s="75"/>
      <c r="P111" s="75"/>
      <c r="Q111" s="75"/>
      <c r="R111" s="75"/>
      <c r="S111" s="75"/>
      <c r="T111" s="75"/>
      <c r="U111" s="75"/>
      <c r="V111" s="76"/>
      <c r="W111" s="205"/>
      <c r="X111" s="1"/>
      <c r="Y111" s="78">
        <f t="shared" si="9"/>
        <v>0</v>
      </c>
      <c r="Z111" s="78">
        <f t="shared" si="10"/>
        <v>0</v>
      </c>
      <c r="AA111" s="78">
        <f t="shared" si="11"/>
        <v>0</v>
      </c>
      <c r="AB111" s="78">
        <f t="shared" si="12"/>
        <v>0</v>
      </c>
      <c r="AC111" s="78"/>
      <c r="AD111" s="78">
        <v>0</v>
      </c>
      <c r="AE111" s="80">
        <f t="shared" si="15"/>
        <v>0</v>
      </c>
      <c r="AF111" s="82">
        <v>0</v>
      </c>
      <c r="AG111" s="69">
        <v>40210</v>
      </c>
      <c r="AH111" s="84"/>
      <c r="AI111" s="69" t="s">
        <v>1984</v>
      </c>
      <c r="AJ111" s="70" t="s">
        <v>1985</v>
      </c>
      <c r="AK111" s="71"/>
      <c r="AL111" s="212" t="s">
        <v>1257</v>
      </c>
      <c r="AM111" s="284" t="s">
        <v>1397</v>
      </c>
      <c r="AN111" s="3"/>
      <c r="AO111" s="4"/>
      <c r="AP111" s="5"/>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6"/>
      <c r="CQ111" s="7"/>
      <c r="CR111" s="6"/>
      <c r="CS111" s="7"/>
      <c r="CT111" s="6"/>
      <c r="CU111" s="7"/>
      <c r="CV111" s="8">
        <f t="shared" si="13"/>
        <v>0</v>
      </c>
      <c r="CW111" s="9"/>
      <c r="CX111" s="10"/>
      <c r="CY111" s="11"/>
      <c r="CZ111" s="12"/>
      <c r="DA111" s="29"/>
      <c r="DB111" s="12"/>
      <c r="DC111" s="9"/>
      <c r="DD111" s="10"/>
      <c r="DE111" s="71"/>
      <c r="EO111" s="353" t="str">
        <f t="shared" si="14"/>
        <v>BOYACA_PUERTO BOYACA</v>
      </c>
      <c r="EP111" s="350"/>
      <c r="EQ111" s="350" t="s">
        <v>3884</v>
      </c>
      <c r="ER111" s="358" t="s">
        <v>3887</v>
      </c>
      <c r="ES111" s="350" t="s">
        <v>4752</v>
      </c>
      <c r="ET111" s="350" t="s">
        <v>5901</v>
      </c>
      <c r="EU111" s="350" t="str">
        <f t="shared" si="16"/>
        <v>Antioquia_Nechi</v>
      </c>
    </row>
    <row r="112" spans="1:151" ht="168" x14ac:dyDescent="0.2">
      <c r="A112" s="242">
        <v>40210</v>
      </c>
      <c r="B112" s="107" t="s">
        <v>828</v>
      </c>
      <c r="C112" s="107" t="s">
        <v>2365</v>
      </c>
      <c r="D112" s="427" t="s">
        <v>1387</v>
      </c>
      <c r="E112" s="107" t="str">
        <f>VLOOKUP(B112&amp;C112,Divipola!$C$2:$F$1138,4,FALSE)</f>
        <v>15580</v>
      </c>
      <c r="F112" s="330"/>
      <c r="G112" s="224"/>
      <c r="H112" s="75"/>
      <c r="I112" s="75"/>
      <c r="J112" s="75">
        <f>500*5</f>
        <v>2500</v>
      </c>
      <c r="K112" s="75">
        <v>500</v>
      </c>
      <c r="L112" s="75"/>
      <c r="M112" s="75"/>
      <c r="N112" s="75"/>
      <c r="O112" s="75"/>
      <c r="P112" s="75"/>
      <c r="Q112" s="75"/>
      <c r="R112" s="75"/>
      <c r="S112" s="75"/>
      <c r="T112" s="75"/>
      <c r="U112" s="75"/>
      <c r="V112" s="76"/>
      <c r="W112" s="205"/>
      <c r="X112" s="1"/>
      <c r="Y112" s="78">
        <f t="shared" si="9"/>
        <v>0</v>
      </c>
      <c r="Z112" s="78">
        <f t="shared" si="10"/>
        <v>0</v>
      </c>
      <c r="AA112" s="78">
        <f t="shared" si="11"/>
        <v>0</v>
      </c>
      <c r="AB112" s="78">
        <f t="shared" si="12"/>
        <v>0</v>
      </c>
      <c r="AC112" s="78"/>
      <c r="AD112" s="78">
        <v>0</v>
      </c>
      <c r="AE112" s="80">
        <f t="shared" si="15"/>
        <v>0</v>
      </c>
      <c r="AF112" s="82">
        <v>0</v>
      </c>
      <c r="AG112" s="69">
        <v>40210</v>
      </c>
      <c r="AH112" s="84"/>
      <c r="AI112" s="69" t="s">
        <v>1984</v>
      </c>
      <c r="AJ112" s="70" t="s">
        <v>1985</v>
      </c>
      <c r="AK112" s="71"/>
      <c r="AL112" s="212" t="s">
        <v>1257</v>
      </c>
      <c r="AM112" s="284" t="s">
        <v>502</v>
      </c>
      <c r="AN112" s="3"/>
      <c r="AO112" s="4"/>
      <c r="AP112" s="5"/>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6"/>
      <c r="CQ112" s="7"/>
      <c r="CR112" s="6"/>
      <c r="CS112" s="7"/>
      <c r="CT112" s="6"/>
      <c r="CU112" s="7"/>
      <c r="CV112" s="8">
        <f t="shared" si="13"/>
        <v>0</v>
      </c>
      <c r="CW112" s="9"/>
      <c r="CX112" s="10"/>
      <c r="CY112" s="11"/>
      <c r="CZ112" s="12"/>
      <c r="DA112" s="29"/>
      <c r="DB112" s="12"/>
      <c r="DC112" s="9"/>
      <c r="DD112" s="10"/>
      <c r="DE112" s="71"/>
      <c r="EO112" s="353" t="str">
        <f t="shared" si="14"/>
        <v>BOYACA_QUIPAMA</v>
      </c>
      <c r="EP112" s="350"/>
      <c r="EQ112" s="350" t="s">
        <v>3884</v>
      </c>
      <c r="ER112" s="358" t="s">
        <v>3887</v>
      </c>
      <c r="ES112" s="350" t="s">
        <v>4753</v>
      </c>
      <c r="ET112" s="350" t="s">
        <v>5902</v>
      </c>
      <c r="EU112" s="350" t="str">
        <f t="shared" si="16"/>
        <v>Antioquia_Olaya</v>
      </c>
    </row>
    <row r="113" spans="1:151" ht="144" x14ac:dyDescent="0.2">
      <c r="A113" s="242">
        <v>40210</v>
      </c>
      <c r="B113" s="107" t="s">
        <v>828</v>
      </c>
      <c r="C113" s="107" t="s">
        <v>2366</v>
      </c>
      <c r="D113" s="427" t="s">
        <v>1387</v>
      </c>
      <c r="E113" s="107" t="str">
        <f>VLOOKUP(B113&amp;C113,Divipola!$C$2:$F$1138,4,FALSE)</f>
        <v>15632</v>
      </c>
      <c r="F113" s="330"/>
      <c r="G113" s="224"/>
      <c r="H113" s="75"/>
      <c r="I113" s="75"/>
      <c r="J113" s="75">
        <v>13000</v>
      </c>
      <c r="K113" s="75">
        <v>2600</v>
      </c>
      <c r="L113" s="75"/>
      <c r="M113" s="75"/>
      <c r="N113" s="75"/>
      <c r="O113" s="75"/>
      <c r="P113" s="75"/>
      <c r="Q113" s="75"/>
      <c r="R113" s="75"/>
      <c r="S113" s="75"/>
      <c r="T113" s="75"/>
      <c r="U113" s="75"/>
      <c r="V113" s="76"/>
      <c r="W113" s="205"/>
      <c r="X113" s="1"/>
      <c r="Y113" s="78">
        <f t="shared" si="9"/>
        <v>0</v>
      </c>
      <c r="Z113" s="78">
        <f t="shared" si="10"/>
        <v>0</v>
      </c>
      <c r="AA113" s="78">
        <f t="shared" si="11"/>
        <v>0</v>
      </c>
      <c r="AB113" s="78">
        <f t="shared" si="12"/>
        <v>0</v>
      </c>
      <c r="AC113" s="78"/>
      <c r="AD113" s="78">
        <v>0</v>
      </c>
      <c r="AE113" s="80">
        <f t="shared" si="15"/>
        <v>0</v>
      </c>
      <c r="AF113" s="82">
        <v>0</v>
      </c>
      <c r="AG113" s="69">
        <v>40210</v>
      </c>
      <c r="AH113" s="84"/>
      <c r="AI113" s="69" t="s">
        <v>1984</v>
      </c>
      <c r="AJ113" s="70" t="s">
        <v>1985</v>
      </c>
      <c r="AK113" s="71"/>
      <c r="AL113" s="212" t="s">
        <v>1257</v>
      </c>
      <c r="AM113" s="284" t="s">
        <v>2024</v>
      </c>
      <c r="AN113" s="3"/>
      <c r="AO113" s="4"/>
      <c r="AP113" s="5"/>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6"/>
      <c r="CQ113" s="7"/>
      <c r="CR113" s="6"/>
      <c r="CS113" s="7"/>
      <c r="CT113" s="6"/>
      <c r="CU113" s="7"/>
      <c r="CV113" s="8">
        <f t="shared" si="13"/>
        <v>0</v>
      </c>
      <c r="CW113" s="9"/>
      <c r="CX113" s="10"/>
      <c r="CY113" s="11"/>
      <c r="CZ113" s="12"/>
      <c r="DA113" s="29"/>
      <c r="DB113" s="12"/>
      <c r="DC113" s="9"/>
      <c r="DD113" s="10"/>
      <c r="DE113" s="71"/>
      <c r="EO113" s="353" t="str">
        <f t="shared" si="14"/>
        <v>BOYACA_SABOYA</v>
      </c>
      <c r="EP113" s="350"/>
      <c r="EQ113" s="350" t="s">
        <v>3884</v>
      </c>
      <c r="ER113" s="358" t="s">
        <v>3887</v>
      </c>
      <c r="ES113" s="350" t="s">
        <v>4754</v>
      </c>
      <c r="ET113" s="350" t="s">
        <v>5903</v>
      </c>
      <c r="EU113" s="350" t="str">
        <f t="shared" si="16"/>
        <v>Antioquia_Peñol</v>
      </c>
    </row>
    <row r="114" spans="1:151" ht="192" x14ac:dyDescent="0.2">
      <c r="A114" s="242">
        <v>40210</v>
      </c>
      <c r="B114" s="107" t="s">
        <v>828</v>
      </c>
      <c r="C114" s="107" t="s">
        <v>2367</v>
      </c>
      <c r="D114" s="427" t="s">
        <v>1387</v>
      </c>
      <c r="E114" s="107" t="str">
        <f>VLOOKUP(B114&amp;C114,Divipola!$C$2:$F$1138,4,FALSE)</f>
        <v>15676</v>
      </c>
      <c r="F114" s="330"/>
      <c r="G114" s="224"/>
      <c r="H114" s="75"/>
      <c r="I114" s="75"/>
      <c r="J114" s="75">
        <f>1900*5</f>
        <v>9500</v>
      </c>
      <c r="K114" s="75">
        <v>1900</v>
      </c>
      <c r="L114" s="75"/>
      <c r="M114" s="75"/>
      <c r="N114" s="75"/>
      <c r="O114" s="75"/>
      <c r="P114" s="75"/>
      <c r="Q114" s="75"/>
      <c r="R114" s="75"/>
      <c r="S114" s="75"/>
      <c r="T114" s="75"/>
      <c r="U114" s="75"/>
      <c r="V114" s="76"/>
      <c r="W114" s="205"/>
      <c r="X114" s="1"/>
      <c r="Y114" s="78">
        <f t="shared" si="9"/>
        <v>0</v>
      </c>
      <c r="Z114" s="78">
        <f t="shared" si="10"/>
        <v>0</v>
      </c>
      <c r="AA114" s="78">
        <f t="shared" si="11"/>
        <v>0</v>
      </c>
      <c r="AB114" s="78">
        <f t="shared" si="12"/>
        <v>0</v>
      </c>
      <c r="AC114" s="78"/>
      <c r="AD114" s="78">
        <v>0</v>
      </c>
      <c r="AE114" s="80">
        <f t="shared" si="15"/>
        <v>0</v>
      </c>
      <c r="AF114" s="82">
        <v>0</v>
      </c>
      <c r="AG114" s="69">
        <v>40210</v>
      </c>
      <c r="AH114" s="84"/>
      <c r="AI114" s="69" t="s">
        <v>1984</v>
      </c>
      <c r="AJ114" s="70" t="s">
        <v>1985</v>
      </c>
      <c r="AK114" s="71"/>
      <c r="AL114" s="212" t="s">
        <v>1257</v>
      </c>
      <c r="AM114" s="87" t="s">
        <v>1787</v>
      </c>
      <c r="AN114" s="3"/>
      <c r="AO114" s="4"/>
      <c r="AP114" s="5"/>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98"/>
      <c r="CQ114" s="99"/>
      <c r="CR114" s="98"/>
      <c r="CS114" s="99"/>
      <c r="CT114" s="98"/>
      <c r="CU114" s="99"/>
      <c r="CV114" s="8">
        <f t="shared" si="13"/>
        <v>0</v>
      </c>
      <c r="CW114" s="100"/>
      <c r="CX114" s="101"/>
      <c r="CY114" s="102"/>
      <c r="CZ114" s="103"/>
      <c r="DA114" s="104"/>
      <c r="DB114" s="103"/>
      <c r="DC114" s="100"/>
      <c r="DD114" s="101"/>
      <c r="DE114" s="71"/>
      <c r="DF114" s="105"/>
      <c r="EO114" s="353" t="str">
        <f t="shared" si="14"/>
        <v>BOYACA_SAN MIGUEL DE SEMA</v>
      </c>
      <c r="EP114" s="350"/>
      <c r="EQ114" s="350" t="s">
        <v>3884</v>
      </c>
      <c r="ER114" s="358" t="s">
        <v>3887</v>
      </c>
      <c r="ES114" s="350" t="s">
        <v>4755</v>
      </c>
      <c r="ET114" s="350" t="s">
        <v>5904</v>
      </c>
      <c r="EU114" s="350" t="str">
        <f t="shared" si="16"/>
        <v>Antioquia_Peque</v>
      </c>
    </row>
    <row r="115" spans="1:151" ht="72" x14ac:dyDescent="0.2">
      <c r="A115" s="242">
        <v>40210</v>
      </c>
      <c r="B115" s="107" t="s">
        <v>828</v>
      </c>
      <c r="C115" s="107" t="s">
        <v>1740</v>
      </c>
      <c r="D115" s="427" t="s">
        <v>1387</v>
      </c>
      <c r="E115" s="107" t="str">
        <f>VLOOKUP(B115&amp;C115,Divipola!$C$2:$F$1138,4,FALSE)</f>
        <v>15764</v>
      </c>
      <c r="F115" s="330"/>
      <c r="G115" s="224"/>
      <c r="H115" s="75"/>
      <c r="I115" s="75"/>
      <c r="J115" s="75"/>
      <c r="K115" s="75"/>
      <c r="L115" s="75"/>
      <c r="M115" s="75"/>
      <c r="N115" s="75"/>
      <c r="O115" s="75"/>
      <c r="P115" s="75"/>
      <c r="Q115" s="75"/>
      <c r="R115" s="75"/>
      <c r="S115" s="75"/>
      <c r="T115" s="75"/>
      <c r="U115" s="75"/>
      <c r="V115" s="76"/>
      <c r="W115" s="205"/>
      <c r="X115" s="1"/>
      <c r="Y115" s="78">
        <f t="shared" si="9"/>
        <v>0</v>
      </c>
      <c r="Z115" s="78">
        <f t="shared" si="10"/>
        <v>0</v>
      </c>
      <c r="AA115" s="78">
        <f t="shared" si="11"/>
        <v>0</v>
      </c>
      <c r="AB115" s="78">
        <f t="shared" si="12"/>
        <v>0</v>
      </c>
      <c r="AC115" s="78"/>
      <c r="AD115" s="78">
        <v>0</v>
      </c>
      <c r="AE115" s="80">
        <f t="shared" si="15"/>
        <v>0</v>
      </c>
      <c r="AF115" s="82">
        <v>0</v>
      </c>
      <c r="AG115" s="69">
        <v>40210</v>
      </c>
      <c r="AH115" s="84"/>
      <c r="AI115" s="69" t="s">
        <v>1984</v>
      </c>
      <c r="AJ115" s="70" t="s">
        <v>1985</v>
      </c>
      <c r="AK115" s="71"/>
      <c r="AL115" s="212" t="s">
        <v>1257</v>
      </c>
      <c r="AM115" s="284" t="s">
        <v>100</v>
      </c>
      <c r="AN115" s="3"/>
      <c r="AO115" s="4"/>
      <c r="AP115" s="5"/>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6"/>
      <c r="CQ115" s="7"/>
      <c r="CR115" s="6"/>
      <c r="CS115" s="7"/>
      <c r="CT115" s="6"/>
      <c r="CU115" s="7"/>
      <c r="CV115" s="8">
        <f t="shared" si="13"/>
        <v>0</v>
      </c>
      <c r="CW115" s="9"/>
      <c r="CX115" s="10"/>
      <c r="CY115" s="11"/>
      <c r="CZ115" s="12"/>
      <c r="DA115" s="29"/>
      <c r="DB115" s="12"/>
      <c r="DC115" s="9"/>
      <c r="DD115" s="10"/>
      <c r="DE115" s="71"/>
      <c r="EO115" s="353" t="str">
        <f t="shared" si="14"/>
        <v>BOYACA_SORACA</v>
      </c>
      <c r="EP115" s="350"/>
      <c r="EQ115" s="350" t="s">
        <v>3884</v>
      </c>
      <c r="ER115" s="358" t="s">
        <v>3887</v>
      </c>
      <c r="ES115" s="350" t="s">
        <v>4756</v>
      </c>
      <c r="ET115" s="350" t="s">
        <v>5905</v>
      </c>
      <c r="EU115" s="350" t="str">
        <f t="shared" si="16"/>
        <v>Antioquia_Pueblorrico</v>
      </c>
    </row>
    <row r="116" spans="1:151" ht="246" x14ac:dyDescent="0.2">
      <c r="A116" s="242">
        <v>40210</v>
      </c>
      <c r="B116" s="107" t="s">
        <v>828</v>
      </c>
      <c r="C116" s="107" t="s">
        <v>2368</v>
      </c>
      <c r="D116" s="427" t="s">
        <v>1387</v>
      </c>
      <c r="E116" s="107" t="str">
        <f>VLOOKUP(B116&amp;C116,Divipola!$C$2:$F$1138,4,FALSE)</f>
        <v>15778</v>
      </c>
      <c r="F116" s="330"/>
      <c r="G116" s="224"/>
      <c r="H116" s="75"/>
      <c r="I116" s="75"/>
      <c r="J116" s="75"/>
      <c r="K116" s="75"/>
      <c r="L116" s="75"/>
      <c r="M116" s="75"/>
      <c r="N116" s="75"/>
      <c r="O116" s="75"/>
      <c r="P116" s="75"/>
      <c r="Q116" s="75"/>
      <c r="R116" s="75"/>
      <c r="S116" s="75"/>
      <c r="T116" s="75"/>
      <c r="U116" s="75"/>
      <c r="V116" s="76"/>
      <c r="W116" s="205"/>
      <c r="X116" s="1"/>
      <c r="Y116" s="78">
        <f t="shared" si="9"/>
        <v>0</v>
      </c>
      <c r="Z116" s="78">
        <f t="shared" si="10"/>
        <v>0</v>
      </c>
      <c r="AA116" s="78">
        <f t="shared" si="11"/>
        <v>0</v>
      </c>
      <c r="AB116" s="78">
        <f t="shared" si="12"/>
        <v>0</v>
      </c>
      <c r="AC116" s="78"/>
      <c r="AD116" s="78">
        <v>0</v>
      </c>
      <c r="AE116" s="80">
        <f t="shared" si="15"/>
        <v>0</v>
      </c>
      <c r="AF116" s="82">
        <v>0</v>
      </c>
      <c r="AG116" s="69">
        <v>40210</v>
      </c>
      <c r="AH116" s="84"/>
      <c r="AI116" s="69" t="s">
        <v>1984</v>
      </c>
      <c r="AJ116" s="70" t="s">
        <v>1985</v>
      </c>
      <c r="AK116" s="71"/>
      <c r="AL116" s="212" t="s">
        <v>1257</v>
      </c>
      <c r="AM116" s="284" t="s">
        <v>1760</v>
      </c>
      <c r="AN116" s="3"/>
      <c r="AO116" s="4"/>
      <c r="AP116" s="5"/>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6"/>
      <c r="CQ116" s="7"/>
      <c r="CR116" s="6"/>
      <c r="CS116" s="7"/>
      <c r="CT116" s="6"/>
      <c r="CU116" s="7"/>
      <c r="CV116" s="8">
        <f t="shared" si="13"/>
        <v>0</v>
      </c>
      <c r="CW116" s="9"/>
      <c r="CX116" s="10"/>
      <c r="CY116" s="11"/>
      <c r="CZ116" s="12"/>
      <c r="DA116" s="29"/>
      <c r="DB116" s="12"/>
      <c r="DC116" s="9"/>
      <c r="DD116" s="10"/>
      <c r="DE116" s="71"/>
      <c r="EO116" s="353" t="str">
        <f t="shared" si="14"/>
        <v>BOYACA_SUTATENZA</v>
      </c>
      <c r="EP116" s="350"/>
      <c r="EQ116" s="350" t="s">
        <v>3884</v>
      </c>
      <c r="ER116" s="358" t="s">
        <v>3887</v>
      </c>
      <c r="ES116" s="350" t="s">
        <v>4757</v>
      </c>
      <c r="ET116" s="350" t="s">
        <v>5906</v>
      </c>
      <c r="EU116" s="350" t="str">
        <f t="shared" si="16"/>
        <v>Antioquia_Puerto Berrio</v>
      </c>
    </row>
    <row r="117" spans="1:151" ht="228" x14ac:dyDescent="0.2">
      <c r="A117" s="242">
        <v>40210</v>
      </c>
      <c r="B117" s="107" t="s">
        <v>828</v>
      </c>
      <c r="C117" s="107" t="s">
        <v>1741</v>
      </c>
      <c r="D117" s="427" t="s">
        <v>1387</v>
      </c>
      <c r="E117" s="107" t="str">
        <f>VLOOKUP(B117&amp;C117,Divipola!$C$2:$F$1138,4,FALSE)</f>
        <v>15798</v>
      </c>
      <c r="F117" s="330"/>
      <c r="G117" s="224"/>
      <c r="H117" s="75"/>
      <c r="I117" s="75"/>
      <c r="J117" s="75">
        <f>4800*5</f>
        <v>24000</v>
      </c>
      <c r="K117" s="75">
        <v>4800</v>
      </c>
      <c r="L117" s="75"/>
      <c r="M117" s="75"/>
      <c r="N117" s="75"/>
      <c r="O117" s="75"/>
      <c r="P117" s="75"/>
      <c r="Q117" s="75"/>
      <c r="R117" s="75"/>
      <c r="S117" s="75"/>
      <c r="T117" s="75"/>
      <c r="U117" s="75"/>
      <c r="V117" s="76"/>
      <c r="W117" s="205"/>
      <c r="X117" s="1"/>
      <c r="Y117" s="78">
        <f t="shared" si="9"/>
        <v>0</v>
      </c>
      <c r="Z117" s="78">
        <f t="shared" si="10"/>
        <v>0</v>
      </c>
      <c r="AA117" s="78">
        <f t="shared" si="11"/>
        <v>0</v>
      </c>
      <c r="AB117" s="78">
        <f t="shared" si="12"/>
        <v>0</v>
      </c>
      <c r="AC117" s="78"/>
      <c r="AD117" s="78">
        <v>0</v>
      </c>
      <c r="AE117" s="80">
        <f t="shared" si="15"/>
        <v>0</v>
      </c>
      <c r="AF117" s="82">
        <v>0</v>
      </c>
      <c r="AG117" s="69">
        <v>40210</v>
      </c>
      <c r="AH117" s="84"/>
      <c r="AI117" s="69" t="s">
        <v>1984</v>
      </c>
      <c r="AJ117" s="70" t="s">
        <v>1985</v>
      </c>
      <c r="AK117" s="71"/>
      <c r="AL117" s="212" t="s">
        <v>1257</v>
      </c>
      <c r="AM117" s="284" t="s">
        <v>3149</v>
      </c>
      <c r="AN117" s="3"/>
      <c r="AO117" s="4"/>
      <c r="AP117" s="5"/>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6"/>
      <c r="CQ117" s="7"/>
      <c r="CR117" s="6"/>
      <c r="CS117" s="7"/>
      <c r="CT117" s="6"/>
      <c r="CU117" s="7"/>
      <c r="CV117" s="8">
        <f t="shared" si="13"/>
        <v>0</v>
      </c>
      <c r="CW117" s="9"/>
      <c r="CX117" s="10"/>
      <c r="CY117" s="11"/>
      <c r="CZ117" s="12"/>
      <c r="DA117" s="29"/>
      <c r="DB117" s="12"/>
      <c r="DC117" s="9"/>
      <c r="DD117" s="10"/>
      <c r="DE117" s="71"/>
      <c r="EO117" s="353" t="str">
        <f t="shared" si="14"/>
        <v>BOYACA_TENZA</v>
      </c>
      <c r="EP117" s="350"/>
      <c r="EQ117" s="350" t="s">
        <v>3884</v>
      </c>
      <c r="ER117" s="358" t="s">
        <v>3887</v>
      </c>
      <c r="ES117" s="350" t="s">
        <v>4758</v>
      </c>
      <c r="ET117" s="350" t="s">
        <v>5907</v>
      </c>
      <c r="EU117" s="350" t="str">
        <f t="shared" si="16"/>
        <v>Antioquia_Puerto Nare</v>
      </c>
    </row>
    <row r="118" spans="1:151" ht="84" x14ac:dyDescent="0.2">
      <c r="A118" s="242">
        <v>40210</v>
      </c>
      <c r="B118" s="107" t="s">
        <v>828</v>
      </c>
      <c r="C118" s="107" t="s">
        <v>2369</v>
      </c>
      <c r="D118" s="427" t="s">
        <v>1387</v>
      </c>
      <c r="E118" s="107" t="str">
        <f>VLOOKUP(B118&amp;C118,Divipola!$C$2:$F$1138,4,FALSE)</f>
        <v>15810</v>
      </c>
      <c r="F118" s="330"/>
      <c r="G118" s="224"/>
      <c r="H118" s="75"/>
      <c r="I118" s="75"/>
      <c r="J118" s="75"/>
      <c r="K118" s="75"/>
      <c r="L118" s="75"/>
      <c r="M118" s="75"/>
      <c r="N118" s="75"/>
      <c r="O118" s="75"/>
      <c r="P118" s="75"/>
      <c r="Q118" s="75"/>
      <c r="R118" s="75"/>
      <c r="S118" s="75"/>
      <c r="T118" s="75"/>
      <c r="U118" s="75"/>
      <c r="V118" s="76"/>
      <c r="W118" s="205"/>
      <c r="X118" s="1"/>
      <c r="Y118" s="78">
        <f t="shared" si="9"/>
        <v>0</v>
      </c>
      <c r="Z118" s="78">
        <f t="shared" si="10"/>
        <v>0</v>
      </c>
      <c r="AA118" s="78">
        <f t="shared" si="11"/>
        <v>0</v>
      </c>
      <c r="AB118" s="78">
        <f t="shared" si="12"/>
        <v>0</v>
      </c>
      <c r="AC118" s="78"/>
      <c r="AD118" s="78">
        <v>0</v>
      </c>
      <c r="AE118" s="80">
        <f t="shared" si="15"/>
        <v>0</v>
      </c>
      <c r="AF118" s="82">
        <v>0</v>
      </c>
      <c r="AG118" s="69">
        <v>40210</v>
      </c>
      <c r="AH118" s="84"/>
      <c r="AI118" s="69" t="s">
        <v>1984</v>
      </c>
      <c r="AJ118" s="25" t="s">
        <v>1985</v>
      </c>
      <c r="AK118" s="65"/>
      <c r="AL118" s="212" t="s">
        <v>1257</v>
      </c>
      <c r="AM118" s="284" t="s">
        <v>1926</v>
      </c>
      <c r="AN118" s="3"/>
      <c r="AO118" s="4"/>
      <c r="AP118" s="5"/>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6"/>
      <c r="CQ118" s="7"/>
      <c r="CR118" s="6"/>
      <c r="CS118" s="7"/>
      <c r="CT118" s="6"/>
      <c r="CU118" s="7"/>
      <c r="CV118" s="8">
        <f t="shared" si="13"/>
        <v>0</v>
      </c>
      <c r="CW118" s="9"/>
      <c r="CX118" s="10"/>
      <c r="CY118" s="11"/>
      <c r="CZ118" s="12"/>
      <c r="DA118" s="29"/>
      <c r="DB118" s="12"/>
      <c r="DC118" s="9"/>
      <c r="DD118" s="10"/>
      <c r="DE118" s="71"/>
      <c r="EO118" s="353" t="str">
        <f t="shared" si="14"/>
        <v>BOYACA_TIPACOQUE</v>
      </c>
      <c r="EP118" s="350"/>
      <c r="EQ118" s="350" t="s">
        <v>3884</v>
      </c>
      <c r="ER118" s="358" t="s">
        <v>3887</v>
      </c>
      <c r="ES118" s="350" t="s">
        <v>4759</v>
      </c>
      <c r="ET118" s="350" t="s">
        <v>5908</v>
      </c>
      <c r="EU118" s="350" t="str">
        <f t="shared" si="16"/>
        <v>Antioquia_Puerto Triunfo</v>
      </c>
    </row>
    <row r="119" spans="1:151" ht="96" x14ac:dyDescent="0.2">
      <c r="A119" s="242">
        <v>40210</v>
      </c>
      <c r="B119" s="107" t="s">
        <v>828</v>
      </c>
      <c r="C119" s="107" t="s">
        <v>2370</v>
      </c>
      <c r="D119" s="427" t="s">
        <v>1387</v>
      </c>
      <c r="E119" s="107" t="str">
        <f>VLOOKUP(B119&amp;C119,Divipola!$C$2:$F$1138,4,FALSE)</f>
        <v>15814</v>
      </c>
      <c r="F119" s="330"/>
      <c r="G119" s="224"/>
      <c r="H119" s="75"/>
      <c r="I119" s="75"/>
      <c r="J119" s="75">
        <v>12000</v>
      </c>
      <c r="K119" s="75">
        <v>2400</v>
      </c>
      <c r="L119" s="75"/>
      <c r="M119" s="75"/>
      <c r="N119" s="75"/>
      <c r="O119" s="75"/>
      <c r="P119" s="75"/>
      <c r="Q119" s="75"/>
      <c r="R119" s="75"/>
      <c r="S119" s="75"/>
      <c r="T119" s="75"/>
      <c r="U119" s="75"/>
      <c r="V119" s="76"/>
      <c r="W119" s="205"/>
      <c r="X119" s="1"/>
      <c r="Y119" s="78">
        <f t="shared" si="9"/>
        <v>0</v>
      </c>
      <c r="Z119" s="78">
        <f t="shared" si="10"/>
        <v>0</v>
      </c>
      <c r="AA119" s="78">
        <f t="shared" si="11"/>
        <v>0</v>
      </c>
      <c r="AB119" s="78">
        <f t="shared" si="12"/>
        <v>0</v>
      </c>
      <c r="AC119" s="78"/>
      <c r="AD119" s="78">
        <v>0</v>
      </c>
      <c r="AE119" s="80">
        <f t="shared" si="15"/>
        <v>0</v>
      </c>
      <c r="AF119" s="82">
        <v>0</v>
      </c>
      <c r="AG119" s="69">
        <v>40210</v>
      </c>
      <c r="AH119" s="84"/>
      <c r="AI119" s="69" t="s">
        <v>1984</v>
      </c>
      <c r="AJ119" s="25" t="s">
        <v>1985</v>
      </c>
      <c r="AK119" s="65"/>
      <c r="AL119" s="212" t="s">
        <v>1257</v>
      </c>
      <c r="AM119" s="284" t="s">
        <v>1927</v>
      </c>
      <c r="AN119" s="3"/>
      <c r="AO119" s="4"/>
      <c r="AP119" s="5"/>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6"/>
      <c r="CQ119" s="7"/>
      <c r="CR119" s="6"/>
      <c r="CS119" s="7"/>
      <c r="CT119" s="6"/>
      <c r="CU119" s="7"/>
      <c r="CV119" s="8">
        <f t="shared" si="13"/>
        <v>0</v>
      </c>
      <c r="CW119" s="9"/>
      <c r="CX119" s="10"/>
      <c r="CY119" s="11"/>
      <c r="CZ119" s="12"/>
      <c r="DA119" s="29"/>
      <c r="DB119" s="12"/>
      <c r="DC119" s="9"/>
      <c r="DD119" s="10"/>
      <c r="DE119" s="71"/>
      <c r="EO119" s="353" t="str">
        <f t="shared" si="14"/>
        <v>BOYACA_TOCA</v>
      </c>
      <c r="EP119" s="350"/>
      <c r="EQ119" s="350" t="s">
        <v>3884</v>
      </c>
      <c r="ER119" s="358" t="s">
        <v>3887</v>
      </c>
      <c r="ES119" s="350" t="s">
        <v>4760</v>
      </c>
      <c r="ET119" s="350" t="s">
        <v>5909</v>
      </c>
      <c r="EU119" s="350" t="str">
        <f t="shared" si="16"/>
        <v>Antioquia_Remedios</v>
      </c>
    </row>
    <row r="120" spans="1:151" ht="192" x14ac:dyDescent="0.2">
      <c r="A120" s="242">
        <v>40210</v>
      </c>
      <c r="B120" s="107" t="s">
        <v>828</v>
      </c>
      <c r="C120" s="107" t="s">
        <v>2341</v>
      </c>
      <c r="D120" s="427" t="s">
        <v>1387</v>
      </c>
      <c r="E120" s="107" t="str">
        <f>VLOOKUP(B120&amp;C120,Divipola!$C$2:$F$1138,4,FALSE)</f>
        <v>15822</v>
      </c>
      <c r="F120" s="330"/>
      <c r="G120" s="224"/>
      <c r="H120" s="75"/>
      <c r="I120" s="75"/>
      <c r="J120" s="75"/>
      <c r="K120" s="75"/>
      <c r="L120" s="75"/>
      <c r="M120" s="75"/>
      <c r="N120" s="75"/>
      <c r="O120" s="75"/>
      <c r="P120" s="75"/>
      <c r="Q120" s="75"/>
      <c r="R120" s="75"/>
      <c r="S120" s="75"/>
      <c r="T120" s="75"/>
      <c r="U120" s="75"/>
      <c r="V120" s="76"/>
      <c r="W120" s="205"/>
      <c r="X120" s="1"/>
      <c r="Y120" s="78">
        <f t="shared" si="9"/>
        <v>0</v>
      </c>
      <c r="Z120" s="78">
        <f t="shared" si="10"/>
        <v>0</v>
      </c>
      <c r="AA120" s="78">
        <f t="shared" si="11"/>
        <v>0</v>
      </c>
      <c r="AB120" s="78">
        <f t="shared" si="12"/>
        <v>0</v>
      </c>
      <c r="AC120" s="78"/>
      <c r="AD120" s="78">
        <v>0</v>
      </c>
      <c r="AE120" s="80">
        <f t="shared" si="15"/>
        <v>0</v>
      </c>
      <c r="AF120" s="82">
        <v>0</v>
      </c>
      <c r="AG120" s="69">
        <v>40210</v>
      </c>
      <c r="AH120" s="84"/>
      <c r="AI120" s="69" t="s">
        <v>1984</v>
      </c>
      <c r="AJ120" s="70" t="s">
        <v>1985</v>
      </c>
      <c r="AK120" s="71"/>
      <c r="AL120" s="212" t="s">
        <v>1257</v>
      </c>
      <c r="AM120" s="284" t="s">
        <v>912</v>
      </c>
      <c r="AN120" s="3"/>
      <c r="AO120" s="4"/>
      <c r="AP120" s="5"/>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6"/>
      <c r="CQ120" s="7"/>
      <c r="CR120" s="6"/>
      <c r="CS120" s="7"/>
      <c r="CT120" s="6"/>
      <c r="CU120" s="7"/>
      <c r="CV120" s="8">
        <f t="shared" si="13"/>
        <v>0</v>
      </c>
      <c r="CW120" s="9"/>
      <c r="CX120" s="10"/>
      <c r="CY120" s="11"/>
      <c r="CZ120" s="12"/>
      <c r="DA120" s="29"/>
      <c r="DB120" s="12"/>
      <c r="DC120" s="9"/>
      <c r="DD120" s="10"/>
      <c r="DE120" s="71"/>
      <c r="EO120" s="353" t="str">
        <f t="shared" si="14"/>
        <v>BOYACA_TOTA</v>
      </c>
      <c r="EP120" s="350"/>
      <c r="EQ120" s="350" t="s">
        <v>3884</v>
      </c>
      <c r="ER120" s="358" t="s">
        <v>3887</v>
      </c>
      <c r="ES120" s="350" t="s">
        <v>4761</v>
      </c>
      <c r="ET120" s="350" t="s">
        <v>5910</v>
      </c>
      <c r="EU120" s="350" t="str">
        <f t="shared" si="16"/>
        <v>Antioquia_Retiro</v>
      </c>
    </row>
    <row r="121" spans="1:151" ht="132" x14ac:dyDescent="0.2">
      <c r="A121" s="242">
        <v>40210</v>
      </c>
      <c r="B121" s="107" t="s">
        <v>2007</v>
      </c>
      <c r="C121" s="107" t="s">
        <v>2375</v>
      </c>
      <c r="D121" s="427" t="s">
        <v>1387</v>
      </c>
      <c r="E121" s="107" t="str">
        <f>VLOOKUP(B121&amp;C121,Divipola!$C$2:$F$1138,4,FALSE)</f>
        <v>25035</v>
      </c>
      <c r="F121" s="330"/>
      <c r="G121" s="224"/>
      <c r="H121" s="75"/>
      <c r="I121" s="75"/>
      <c r="J121" s="75"/>
      <c r="K121" s="75"/>
      <c r="L121" s="75"/>
      <c r="M121" s="75"/>
      <c r="N121" s="75"/>
      <c r="O121" s="75"/>
      <c r="P121" s="75"/>
      <c r="Q121" s="75"/>
      <c r="R121" s="75"/>
      <c r="S121" s="75"/>
      <c r="T121" s="75"/>
      <c r="U121" s="75"/>
      <c r="V121" s="76"/>
      <c r="W121" s="205"/>
      <c r="X121" s="1"/>
      <c r="Y121" s="78">
        <f t="shared" si="9"/>
        <v>0</v>
      </c>
      <c r="Z121" s="78">
        <f t="shared" si="10"/>
        <v>0</v>
      </c>
      <c r="AA121" s="78">
        <f t="shared" si="11"/>
        <v>0</v>
      </c>
      <c r="AB121" s="78">
        <f t="shared" si="12"/>
        <v>0</v>
      </c>
      <c r="AC121" s="78"/>
      <c r="AD121" s="78">
        <v>0</v>
      </c>
      <c r="AE121" s="80">
        <f t="shared" si="15"/>
        <v>0</v>
      </c>
      <c r="AF121" s="82">
        <v>0</v>
      </c>
      <c r="AG121" s="69">
        <v>40210</v>
      </c>
      <c r="AH121" s="84"/>
      <c r="AI121" s="69" t="s">
        <v>1984</v>
      </c>
      <c r="AJ121" s="70" t="s">
        <v>1985</v>
      </c>
      <c r="AK121" s="71"/>
      <c r="AL121" s="212" t="s">
        <v>1257</v>
      </c>
      <c r="AM121" s="284" t="s">
        <v>1940</v>
      </c>
      <c r="AN121" s="3"/>
      <c r="AO121" s="4"/>
      <c r="AP121" s="5"/>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6"/>
      <c r="CQ121" s="7"/>
      <c r="CR121" s="6"/>
      <c r="CS121" s="7"/>
      <c r="CT121" s="6"/>
      <c r="CU121" s="7"/>
      <c r="CV121" s="8">
        <f t="shared" si="13"/>
        <v>0</v>
      </c>
      <c r="CW121" s="9"/>
      <c r="CX121" s="10"/>
      <c r="CY121" s="11"/>
      <c r="CZ121" s="12"/>
      <c r="DA121" s="29"/>
      <c r="DB121" s="12"/>
      <c r="DC121" s="9"/>
      <c r="DD121" s="10"/>
      <c r="DE121" s="71"/>
      <c r="EO121" s="353" t="str">
        <f t="shared" si="14"/>
        <v>CUNDINAMARCA_ANAPOIMA</v>
      </c>
      <c r="EP121" s="350"/>
      <c r="EQ121" s="350" t="s">
        <v>3884</v>
      </c>
      <c r="ER121" s="358" t="s">
        <v>3887</v>
      </c>
      <c r="ES121" s="350" t="s">
        <v>4762</v>
      </c>
      <c r="ET121" s="350" t="s">
        <v>5911</v>
      </c>
      <c r="EU121" s="350" t="str">
        <f t="shared" si="16"/>
        <v>Antioquia_Rionegro</v>
      </c>
    </row>
    <row r="122" spans="1:151" ht="72" x14ac:dyDescent="0.2">
      <c r="A122" s="242">
        <v>40210</v>
      </c>
      <c r="B122" s="107" t="s">
        <v>2007</v>
      </c>
      <c r="C122" s="107" t="s">
        <v>2376</v>
      </c>
      <c r="D122" s="427" t="s">
        <v>1387</v>
      </c>
      <c r="E122" s="107" t="str">
        <f>VLOOKUP(B122&amp;C122,Divipola!$C$2:$F$1138,4,FALSE)</f>
        <v>25095</v>
      </c>
      <c r="F122" s="330"/>
      <c r="G122" s="224"/>
      <c r="H122" s="75"/>
      <c r="I122" s="75"/>
      <c r="J122" s="75"/>
      <c r="K122" s="75"/>
      <c r="L122" s="75"/>
      <c r="M122" s="75"/>
      <c r="N122" s="75"/>
      <c r="O122" s="75"/>
      <c r="P122" s="75"/>
      <c r="Q122" s="75"/>
      <c r="R122" s="75"/>
      <c r="S122" s="75"/>
      <c r="T122" s="75"/>
      <c r="U122" s="75"/>
      <c r="V122" s="76"/>
      <c r="W122" s="205"/>
      <c r="X122" s="1"/>
      <c r="Y122" s="78">
        <f t="shared" si="9"/>
        <v>0</v>
      </c>
      <c r="Z122" s="78">
        <f t="shared" si="10"/>
        <v>0</v>
      </c>
      <c r="AA122" s="78">
        <f t="shared" si="11"/>
        <v>0</v>
      </c>
      <c r="AB122" s="78">
        <f t="shared" si="12"/>
        <v>0</v>
      </c>
      <c r="AC122" s="78"/>
      <c r="AD122" s="78">
        <v>0</v>
      </c>
      <c r="AE122" s="80">
        <f t="shared" si="15"/>
        <v>0</v>
      </c>
      <c r="AF122" s="82">
        <v>0</v>
      </c>
      <c r="AG122" s="69">
        <v>40210</v>
      </c>
      <c r="AH122" s="84"/>
      <c r="AI122" s="69" t="s">
        <v>1984</v>
      </c>
      <c r="AJ122" s="70" t="s">
        <v>1985</v>
      </c>
      <c r="AK122" s="71"/>
      <c r="AL122" s="212" t="s">
        <v>1257</v>
      </c>
      <c r="AM122" s="284" t="s">
        <v>623</v>
      </c>
      <c r="AN122" s="3"/>
      <c r="AO122" s="4"/>
      <c r="AP122" s="5"/>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6"/>
      <c r="CQ122" s="7"/>
      <c r="CR122" s="6"/>
      <c r="CS122" s="7"/>
      <c r="CT122" s="6"/>
      <c r="CU122" s="7"/>
      <c r="CV122" s="8">
        <f t="shared" si="13"/>
        <v>0</v>
      </c>
      <c r="CW122" s="9"/>
      <c r="CX122" s="10"/>
      <c r="CY122" s="11"/>
      <c r="CZ122" s="12"/>
      <c r="DA122" s="29"/>
      <c r="DB122" s="12"/>
      <c r="DC122" s="9"/>
      <c r="DD122" s="10"/>
      <c r="DE122" s="71"/>
      <c r="EO122" s="353" t="str">
        <f t="shared" si="14"/>
        <v>CUNDINAMARCA_BITUIMA</v>
      </c>
      <c r="EP122" s="350"/>
      <c r="EQ122" s="350" t="s">
        <v>3884</v>
      </c>
      <c r="ER122" s="358" t="s">
        <v>3887</v>
      </c>
      <c r="ES122" s="350" t="s">
        <v>4763</v>
      </c>
      <c r="ET122" s="350" t="s">
        <v>5912</v>
      </c>
      <c r="EU122" s="350" t="str">
        <f t="shared" si="16"/>
        <v>Antioquia_Sabanalarga</v>
      </c>
    </row>
    <row r="123" spans="1:151" ht="84" x14ac:dyDescent="0.2">
      <c r="A123" s="242">
        <v>40210</v>
      </c>
      <c r="B123" s="107" t="s">
        <v>2007</v>
      </c>
      <c r="C123" s="107" t="s">
        <v>2377</v>
      </c>
      <c r="D123" s="427" t="s">
        <v>1387</v>
      </c>
      <c r="E123" s="107" t="str">
        <f>VLOOKUP(B123&amp;C123,Divipola!$C$2:$F$1138,4,FALSE)</f>
        <v>25200</v>
      </c>
      <c r="F123" s="330"/>
      <c r="G123" s="224"/>
      <c r="H123" s="75"/>
      <c r="I123" s="75"/>
      <c r="J123" s="75"/>
      <c r="K123" s="75"/>
      <c r="L123" s="75"/>
      <c r="M123" s="75"/>
      <c r="N123" s="75"/>
      <c r="O123" s="75"/>
      <c r="P123" s="75"/>
      <c r="Q123" s="75"/>
      <c r="R123" s="75"/>
      <c r="S123" s="75"/>
      <c r="T123" s="75"/>
      <c r="U123" s="75"/>
      <c r="V123" s="76"/>
      <c r="W123" s="205"/>
      <c r="X123" s="1"/>
      <c r="Y123" s="78">
        <f t="shared" si="9"/>
        <v>0</v>
      </c>
      <c r="Z123" s="78">
        <f t="shared" si="10"/>
        <v>0</v>
      </c>
      <c r="AA123" s="78">
        <f t="shared" si="11"/>
        <v>0</v>
      </c>
      <c r="AB123" s="78">
        <f t="shared" si="12"/>
        <v>0</v>
      </c>
      <c r="AC123" s="78"/>
      <c r="AD123" s="78">
        <v>0</v>
      </c>
      <c r="AE123" s="80">
        <f t="shared" si="15"/>
        <v>0</v>
      </c>
      <c r="AF123" s="82">
        <v>0</v>
      </c>
      <c r="AG123" s="69">
        <v>40210</v>
      </c>
      <c r="AH123" s="84"/>
      <c r="AI123" s="69" t="s">
        <v>1984</v>
      </c>
      <c r="AJ123" s="70" t="s">
        <v>1985</v>
      </c>
      <c r="AK123" s="71"/>
      <c r="AL123" s="212" t="s">
        <v>1257</v>
      </c>
      <c r="AM123" s="284" t="s">
        <v>937</v>
      </c>
      <c r="AN123" s="3"/>
      <c r="AO123" s="4"/>
      <c r="AP123" s="5"/>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6"/>
      <c r="CQ123" s="7"/>
      <c r="CR123" s="6"/>
      <c r="CS123" s="7"/>
      <c r="CT123" s="6"/>
      <c r="CU123" s="7"/>
      <c r="CV123" s="8">
        <f t="shared" si="13"/>
        <v>0</v>
      </c>
      <c r="CW123" s="9"/>
      <c r="CX123" s="10"/>
      <c r="CY123" s="11"/>
      <c r="CZ123" s="12"/>
      <c r="DA123" s="29"/>
      <c r="DB123" s="12"/>
      <c r="DC123" s="9"/>
      <c r="DD123" s="10"/>
      <c r="DE123" s="71"/>
      <c r="EO123" s="353" t="str">
        <f t="shared" si="14"/>
        <v>CUNDINAMARCA_COGUA</v>
      </c>
      <c r="EP123" s="350"/>
      <c r="EQ123" s="350" t="s">
        <v>3884</v>
      </c>
      <c r="ER123" s="358" t="s">
        <v>3887</v>
      </c>
      <c r="ES123" s="350" t="s">
        <v>4764</v>
      </c>
      <c r="ET123" s="350" t="s">
        <v>5913</v>
      </c>
      <c r="EU123" s="350" t="str">
        <f t="shared" si="16"/>
        <v>Antioquia_Sabaneta</v>
      </c>
    </row>
    <row r="124" spans="1:151" ht="72" x14ac:dyDescent="0.2">
      <c r="A124" s="242">
        <v>40210</v>
      </c>
      <c r="B124" s="107" t="s">
        <v>2007</v>
      </c>
      <c r="C124" s="107" t="s">
        <v>2378</v>
      </c>
      <c r="D124" s="427" t="s">
        <v>1387</v>
      </c>
      <c r="E124" s="107" t="str">
        <f>VLOOKUP(B124&amp;C124,Divipola!$C$2:$F$1138,4,FALSE)</f>
        <v>25214</v>
      </c>
      <c r="F124" s="330"/>
      <c r="G124" s="224"/>
      <c r="H124" s="75"/>
      <c r="I124" s="75"/>
      <c r="J124" s="75"/>
      <c r="K124" s="75"/>
      <c r="L124" s="75"/>
      <c r="M124" s="75"/>
      <c r="N124" s="75"/>
      <c r="O124" s="75"/>
      <c r="P124" s="75"/>
      <c r="Q124" s="75"/>
      <c r="R124" s="75"/>
      <c r="S124" s="75"/>
      <c r="T124" s="75"/>
      <c r="U124" s="75"/>
      <c r="V124" s="76"/>
      <c r="W124" s="205"/>
      <c r="X124" s="1"/>
      <c r="Y124" s="78">
        <f t="shared" si="9"/>
        <v>0</v>
      </c>
      <c r="Z124" s="78">
        <f t="shared" si="10"/>
        <v>0</v>
      </c>
      <c r="AA124" s="78">
        <f t="shared" si="11"/>
        <v>0</v>
      </c>
      <c r="AB124" s="78">
        <f t="shared" si="12"/>
        <v>0</v>
      </c>
      <c r="AC124" s="78"/>
      <c r="AD124" s="78">
        <v>0</v>
      </c>
      <c r="AE124" s="80">
        <f t="shared" si="15"/>
        <v>0</v>
      </c>
      <c r="AF124" s="82">
        <v>0</v>
      </c>
      <c r="AG124" s="69">
        <v>40210</v>
      </c>
      <c r="AH124" s="84"/>
      <c r="AI124" s="69" t="s">
        <v>1984</v>
      </c>
      <c r="AJ124" s="70" t="s">
        <v>1985</v>
      </c>
      <c r="AK124" s="71"/>
      <c r="AL124" s="212" t="s">
        <v>1257</v>
      </c>
      <c r="AM124" s="284" t="s">
        <v>938</v>
      </c>
      <c r="AN124" s="3"/>
      <c r="AO124" s="4"/>
      <c r="AP124" s="5"/>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6"/>
      <c r="CQ124" s="7"/>
      <c r="CR124" s="6"/>
      <c r="CS124" s="7"/>
      <c r="CT124" s="6"/>
      <c r="CU124" s="7"/>
      <c r="CV124" s="8">
        <f t="shared" si="13"/>
        <v>0</v>
      </c>
      <c r="CW124" s="9"/>
      <c r="CX124" s="10"/>
      <c r="CY124" s="11"/>
      <c r="CZ124" s="12"/>
      <c r="DA124" s="29"/>
      <c r="DB124" s="12"/>
      <c r="DC124" s="9"/>
      <c r="DD124" s="10"/>
      <c r="DE124" s="71"/>
      <c r="EO124" s="353" t="str">
        <f t="shared" si="14"/>
        <v>CUNDINAMARCA_COTA</v>
      </c>
      <c r="EP124" s="350"/>
      <c r="EQ124" s="350" t="s">
        <v>3884</v>
      </c>
      <c r="ER124" s="358" t="s">
        <v>3887</v>
      </c>
      <c r="ES124" s="350" t="s">
        <v>4765</v>
      </c>
      <c r="ET124" s="350" t="s">
        <v>5914</v>
      </c>
      <c r="EU124" s="350" t="str">
        <f t="shared" si="16"/>
        <v>Antioquia_Salgar</v>
      </c>
    </row>
    <row r="125" spans="1:151" ht="96" x14ac:dyDescent="0.2">
      <c r="A125" s="242">
        <v>40210</v>
      </c>
      <c r="B125" s="107" t="s">
        <v>2007</v>
      </c>
      <c r="C125" s="107" t="s">
        <v>2379</v>
      </c>
      <c r="D125" s="427" t="s">
        <v>1387</v>
      </c>
      <c r="E125" s="107" t="str">
        <f>VLOOKUP(B125&amp;C125,Divipola!$C$2:$F$1138,4,FALSE)</f>
        <v>25245</v>
      </c>
      <c r="F125" s="330"/>
      <c r="G125" s="224"/>
      <c r="H125" s="75"/>
      <c r="I125" s="75"/>
      <c r="J125" s="75"/>
      <c r="K125" s="75"/>
      <c r="L125" s="75"/>
      <c r="M125" s="75"/>
      <c r="N125" s="75"/>
      <c r="O125" s="75"/>
      <c r="P125" s="75"/>
      <c r="Q125" s="75"/>
      <c r="R125" s="75"/>
      <c r="S125" s="75"/>
      <c r="T125" s="75"/>
      <c r="U125" s="75"/>
      <c r="V125" s="76"/>
      <c r="W125" s="205"/>
      <c r="X125" s="1"/>
      <c r="Y125" s="78">
        <f t="shared" si="9"/>
        <v>0</v>
      </c>
      <c r="Z125" s="78">
        <f t="shared" si="10"/>
        <v>0</v>
      </c>
      <c r="AA125" s="78">
        <f t="shared" si="11"/>
        <v>0</v>
      </c>
      <c r="AB125" s="78">
        <f t="shared" si="12"/>
        <v>0</v>
      </c>
      <c r="AC125" s="78"/>
      <c r="AD125" s="78">
        <v>0</v>
      </c>
      <c r="AE125" s="80">
        <f t="shared" si="15"/>
        <v>0</v>
      </c>
      <c r="AF125" s="82">
        <v>0</v>
      </c>
      <c r="AG125" s="69">
        <v>40210</v>
      </c>
      <c r="AH125" s="84"/>
      <c r="AI125" s="69" t="s">
        <v>1984</v>
      </c>
      <c r="AJ125" s="70" t="s">
        <v>1985</v>
      </c>
      <c r="AK125" s="71"/>
      <c r="AL125" s="212" t="s">
        <v>1257</v>
      </c>
      <c r="AM125" s="284" t="s">
        <v>913</v>
      </c>
      <c r="AN125" s="3"/>
      <c r="AO125" s="4"/>
      <c r="AP125" s="5"/>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6"/>
      <c r="CQ125" s="7"/>
      <c r="CR125" s="6"/>
      <c r="CS125" s="7"/>
      <c r="CT125" s="6"/>
      <c r="CU125" s="7"/>
      <c r="CV125" s="8">
        <f t="shared" si="13"/>
        <v>0</v>
      </c>
      <c r="CW125" s="9"/>
      <c r="CX125" s="10"/>
      <c r="CY125" s="11"/>
      <c r="CZ125" s="12"/>
      <c r="DA125" s="29"/>
      <c r="DB125" s="12"/>
      <c r="DC125" s="9"/>
      <c r="DD125" s="10"/>
      <c r="DE125" s="71"/>
      <c r="EO125" s="353" t="str">
        <f t="shared" si="14"/>
        <v>CUNDINAMARCA_EL COLEGIO</v>
      </c>
      <c r="EP125" s="350"/>
      <c r="EQ125" s="350" t="s">
        <v>3884</v>
      </c>
      <c r="ER125" s="358" t="s">
        <v>3887</v>
      </c>
      <c r="ES125" s="350" t="s">
        <v>4766</v>
      </c>
      <c r="ET125" s="350" t="s">
        <v>5915</v>
      </c>
      <c r="EU125" s="350" t="str">
        <f t="shared" si="16"/>
        <v>Antioquia_San Andres de Cuerquia</v>
      </c>
    </row>
    <row r="126" spans="1:151" ht="48" x14ac:dyDescent="0.2">
      <c r="A126" s="242">
        <v>40210</v>
      </c>
      <c r="B126" s="107" t="s">
        <v>2007</v>
      </c>
      <c r="C126" s="107" t="s">
        <v>2380</v>
      </c>
      <c r="D126" s="427" t="s">
        <v>1387</v>
      </c>
      <c r="E126" s="107" t="str">
        <f>VLOOKUP(B126&amp;C126,Divipola!$C$2:$F$1138,4,FALSE)</f>
        <v>25288</v>
      </c>
      <c r="F126" s="330"/>
      <c r="G126" s="224"/>
      <c r="H126" s="75"/>
      <c r="I126" s="75"/>
      <c r="J126" s="75"/>
      <c r="K126" s="75"/>
      <c r="L126" s="75"/>
      <c r="M126" s="75"/>
      <c r="N126" s="75"/>
      <c r="O126" s="75"/>
      <c r="P126" s="75"/>
      <c r="Q126" s="75"/>
      <c r="R126" s="75"/>
      <c r="S126" s="75"/>
      <c r="T126" s="75"/>
      <c r="U126" s="75"/>
      <c r="V126" s="76"/>
      <c r="W126" s="205"/>
      <c r="X126" s="1"/>
      <c r="Y126" s="78">
        <f t="shared" si="9"/>
        <v>0</v>
      </c>
      <c r="Z126" s="78">
        <f t="shared" si="10"/>
        <v>0</v>
      </c>
      <c r="AA126" s="78">
        <f t="shared" si="11"/>
        <v>0</v>
      </c>
      <c r="AB126" s="78">
        <f t="shared" si="12"/>
        <v>0</v>
      </c>
      <c r="AC126" s="78"/>
      <c r="AD126" s="78">
        <v>0</v>
      </c>
      <c r="AE126" s="80">
        <f t="shared" si="15"/>
        <v>0</v>
      </c>
      <c r="AF126" s="82">
        <v>0</v>
      </c>
      <c r="AG126" s="69">
        <v>40210</v>
      </c>
      <c r="AH126" s="84"/>
      <c r="AI126" s="69" t="s">
        <v>1984</v>
      </c>
      <c r="AJ126" s="70" t="s">
        <v>1985</v>
      </c>
      <c r="AK126" s="71"/>
      <c r="AL126" s="212" t="s">
        <v>1257</v>
      </c>
      <c r="AM126" s="284" t="s">
        <v>2179</v>
      </c>
      <c r="AN126" s="3"/>
      <c r="AO126" s="4"/>
      <c r="AP126" s="5"/>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6"/>
      <c r="CQ126" s="7"/>
      <c r="CR126" s="6"/>
      <c r="CS126" s="7"/>
      <c r="CT126" s="6"/>
      <c r="CU126" s="7"/>
      <c r="CV126" s="8">
        <f t="shared" si="13"/>
        <v>0</v>
      </c>
      <c r="CW126" s="9"/>
      <c r="CX126" s="10"/>
      <c r="CY126" s="11"/>
      <c r="CZ126" s="12"/>
      <c r="DA126" s="29"/>
      <c r="DB126" s="12"/>
      <c r="DC126" s="9"/>
      <c r="DD126" s="10"/>
      <c r="DE126" s="71"/>
      <c r="EO126" s="353" t="str">
        <f t="shared" si="14"/>
        <v>CUNDINAMARCA_FUQUENE</v>
      </c>
      <c r="EP126" s="350"/>
      <c r="EQ126" s="350" t="s">
        <v>3884</v>
      </c>
      <c r="ER126" s="358" t="s">
        <v>3887</v>
      </c>
      <c r="ES126" s="350" t="s">
        <v>4767</v>
      </c>
      <c r="ET126" s="350" t="s">
        <v>5916</v>
      </c>
      <c r="EU126" s="350" t="str">
        <f t="shared" si="16"/>
        <v>Antioquia_San Carlos</v>
      </c>
    </row>
    <row r="127" spans="1:151" ht="72" x14ac:dyDescent="0.2">
      <c r="A127" s="242">
        <v>40210</v>
      </c>
      <c r="B127" s="107" t="s">
        <v>2007</v>
      </c>
      <c r="C127" s="107" t="s">
        <v>2382</v>
      </c>
      <c r="D127" s="427" t="s">
        <v>1387</v>
      </c>
      <c r="E127" s="107" t="str">
        <f>VLOOKUP(B127&amp;C127,Divipola!$C$2:$F$1138,4,FALSE)</f>
        <v>25293</v>
      </c>
      <c r="F127" s="330"/>
      <c r="G127" s="224"/>
      <c r="H127" s="75"/>
      <c r="I127" s="75"/>
      <c r="J127" s="75"/>
      <c r="K127" s="75"/>
      <c r="L127" s="75"/>
      <c r="M127" s="75"/>
      <c r="N127" s="75"/>
      <c r="O127" s="75"/>
      <c r="P127" s="75"/>
      <c r="Q127" s="75"/>
      <c r="R127" s="75"/>
      <c r="S127" s="75"/>
      <c r="T127" s="75"/>
      <c r="U127" s="75"/>
      <c r="V127" s="76"/>
      <c r="W127" s="205"/>
      <c r="X127" s="1"/>
      <c r="Y127" s="78">
        <f t="shared" si="9"/>
        <v>0</v>
      </c>
      <c r="Z127" s="78">
        <f t="shared" si="10"/>
        <v>0</v>
      </c>
      <c r="AA127" s="78">
        <f t="shared" si="11"/>
        <v>0</v>
      </c>
      <c r="AB127" s="78">
        <f t="shared" si="12"/>
        <v>0</v>
      </c>
      <c r="AC127" s="78"/>
      <c r="AD127" s="78">
        <v>0</v>
      </c>
      <c r="AE127" s="80">
        <f t="shared" si="15"/>
        <v>0</v>
      </c>
      <c r="AF127" s="82">
        <v>0</v>
      </c>
      <c r="AG127" s="69">
        <v>40210</v>
      </c>
      <c r="AH127" s="84"/>
      <c r="AI127" s="69" t="s">
        <v>1984</v>
      </c>
      <c r="AJ127" s="70" t="s">
        <v>1985</v>
      </c>
      <c r="AK127" s="71"/>
      <c r="AL127" s="212" t="s">
        <v>1257</v>
      </c>
      <c r="AM127" s="284" t="s">
        <v>940</v>
      </c>
      <c r="AN127" s="3"/>
      <c r="AO127" s="4"/>
      <c r="AP127" s="5"/>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6"/>
      <c r="CQ127" s="7"/>
      <c r="CR127" s="6"/>
      <c r="CS127" s="7"/>
      <c r="CT127" s="6"/>
      <c r="CU127" s="7"/>
      <c r="CV127" s="8">
        <f t="shared" si="13"/>
        <v>0</v>
      </c>
      <c r="CW127" s="9"/>
      <c r="CX127" s="10"/>
      <c r="CY127" s="11"/>
      <c r="CZ127" s="12"/>
      <c r="DA127" s="29"/>
      <c r="DB127" s="12"/>
      <c r="DC127" s="9"/>
      <c r="DD127" s="10"/>
      <c r="DE127" s="71"/>
      <c r="EO127" s="353" t="str">
        <f t="shared" si="14"/>
        <v>CUNDINAMARCA_GACHALA</v>
      </c>
      <c r="EP127" s="350"/>
      <c r="EQ127" s="350" t="s">
        <v>3884</v>
      </c>
      <c r="ER127" s="358" t="s">
        <v>3887</v>
      </c>
      <c r="ES127" s="350" t="s">
        <v>4768</v>
      </c>
      <c r="ET127" s="350" t="s">
        <v>5917</v>
      </c>
      <c r="EU127" s="350" t="str">
        <f t="shared" si="16"/>
        <v>Antioquia_San Francisco</v>
      </c>
    </row>
    <row r="128" spans="1:151" ht="84" x14ac:dyDescent="0.2">
      <c r="A128" s="242">
        <v>40210</v>
      </c>
      <c r="B128" s="107" t="s">
        <v>2007</v>
      </c>
      <c r="C128" s="107" t="s">
        <v>2381</v>
      </c>
      <c r="D128" s="427" t="s">
        <v>1387</v>
      </c>
      <c r="E128" s="107" t="str">
        <f>VLOOKUP(B128&amp;C128,Divipola!$C$2:$F$1138,4,FALSE)</f>
        <v>25312</v>
      </c>
      <c r="F128" s="330"/>
      <c r="G128" s="224"/>
      <c r="H128" s="75"/>
      <c r="I128" s="75"/>
      <c r="J128" s="75"/>
      <c r="K128" s="75"/>
      <c r="L128" s="75"/>
      <c r="M128" s="75"/>
      <c r="N128" s="75"/>
      <c r="O128" s="75"/>
      <c r="P128" s="75"/>
      <c r="Q128" s="75"/>
      <c r="R128" s="75"/>
      <c r="S128" s="75"/>
      <c r="T128" s="75"/>
      <c r="U128" s="75"/>
      <c r="V128" s="76"/>
      <c r="W128" s="205"/>
      <c r="X128" s="1"/>
      <c r="Y128" s="78">
        <f t="shared" si="9"/>
        <v>0</v>
      </c>
      <c r="Z128" s="78">
        <f t="shared" si="10"/>
        <v>0</v>
      </c>
      <c r="AA128" s="78">
        <f t="shared" si="11"/>
        <v>0</v>
      </c>
      <c r="AB128" s="78">
        <f t="shared" si="12"/>
        <v>0</v>
      </c>
      <c r="AC128" s="78"/>
      <c r="AD128" s="78">
        <v>0</v>
      </c>
      <c r="AE128" s="80">
        <f t="shared" si="15"/>
        <v>0</v>
      </c>
      <c r="AF128" s="82">
        <v>0</v>
      </c>
      <c r="AG128" s="69">
        <v>40210</v>
      </c>
      <c r="AH128" s="84"/>
      <c r="AI128" s="69" t="s">
        <v>1984</v>
      </c>
      <c r="AJ128" s="70" t="s">
        <v>1985</v>
      </c>
      <c r="AK128" s="71"/>
      <c r="AL128" s="212" t="s">
        <v>1257</v>
      </c>
      <c r="AM128" s="284" t="s">
        <v>939</v>
      </c>
      <c r="AN128" s="3"/>
      <c r="AO128" s="4"/>
      <c r="AP128" s="5"/>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6"/>
      <c r="CQ128" s="7"/>
      <c r="CR128" s="6"/>
      <c r="CS128" s="7"/>
      <c r="CT128" s="6"/>
      <c r="CU128" s="7"/>
      <c r="CV128" s="8">
        <f t="shared" si="13"/>
        <v>0</v>
      </c>
      <c r="CW128" s="9"/>
      <c r="CX128" s="10"/>
      <c r="CY128" s="11"/>
      <c r="CZ128" s="12"/>
      <c r="DA128" s="29"/>
      <c r="DB128" s="12"/>
      <c r="DC128" s="9"/>
      <c r="DD128" s="10"/>
      <c r="DE128" s="71"/>
      <c r="EO128" s="353" t="str">
        <f t="shared" si="14"/>
        <v>CUNDINAMARCA_GRANADA</v>
      </c>
      <c r="EP128" s="350"/>
      <c r="EQ128" s="350" t="s">
        <v>3884</v>
      </c>
      <c r="ER128" s="358" t="s">
        <v>3887</v>
      </c>
      <c r="ES128" s="350" t="s">
        <v>4769</v>
      </c>
      <c r="ET128" s="350" t="s">
        <v>5918</v>
      </c>
      <c r="EU128" s="350" t="str">
        <f t="shared" si="16"/>
        <v>Antioquia_San Jeronimo</v>
      </c>
    </row>
    <row r="129" spans="1:151" ht="60" x14ac:dyDescent="0.2">
      <c r="A129" s="242">
        <v>40210</v>
      </c>
      <c r="B129" s="107" t="s">
        <v>2007</v>
      </c>
      <c r="C129" s="107" t="s">
        <v>2383</v>
      </c>
      <c r="D129" s="427" t="s">
        <v>1387</v>
      </c>
      <c r="E129" s="107" t="str">
        <f>VLOOKUP(B129&amp;C129,Divipola!$C$2:$F$1138,4,FALSE)</f>
        <v>25317</v>
      </c>
      <c r="F129" s="330"/>
      <c r="G129" s="224"/>
      <c r="H129" s="75"/>
      <c r="I129" s="75"/>
      <c r="J129" s="75"/>
      <c r="K129" s="75"/>
      <c r="L129" s="75"/>
      <c r="M129" s="75"/>
      <c r="N129" s="75"/>
      <c r="O129" s="75"/>
      <c r="P129" s="75"/>
      <c r="Q129" s="75"/>
      <c r="R129" s="75"/>
      <c r="S129" s="75"/>
      <c r="T129" s="75"/>
      <c r="U129" s="75"/>
      <c r="V129" s="76"/>
      <c r="W129" s="205"/>
      <c r="X129" s="1"/>
      <c r="Y129" s="78">
        <f t="shared" si="9"/>
        <v>0</v>
      </c>
      <c r="Z129" s="78">
        <f t="shared" si="10"/>
        <v>0</v>
      </c>
      <c r="AA129" s="78">
        <f t="shared" si="11"/>
        <v>0</v>
      </c>
      <c r="AB129" s="78">
        <f t="shared" si="12"/>
        <v>0</v>
      </c>
      <c r="AC129" s="78"/>
      <c r="AD129" s="78">
        <v>0</v>
      </c>
      <c r="AE129" s="80">
        <f t="shared" si="15"/>
        <v>0</v>
      </c>
      <c r="AF129" s="82">
        <v>0</v>
      </c>
      <c r="AG129" s="69">
        <v>40210</v>
      </c>
      <c r="AH129" s="84"/>
      <c r="AI129" s="69" t="s">
        <v>1984</v>
      </c>
      <c r="AJ129" s="70" t="s">
        <v>1985</v>
      </c>
      <c r="AK129" s="71"/>
      <c r="AL129" s="212" t="s">
        <v>1257</v>
      </c>
      <c r="AM129" s="284" t="s">
        <v>984</v>
      </c>
      <c r="AN129" s="3"/>
      <c r="AO129" s="4"/>
      <c r="AP129" s="5"/>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6"/>
      <c r="CQ129" s="7"/>
      <c r="CR129" s="6"/>
      <c r="CS129" s="7"/>
      <c r="CT129" s="6"/>
      <c r="CU129" s="7"/>
      <c r="CV129" s="8">
        <f t="shared" si="13"/>
        <v>0</v>
      </c>
      <c r="CW129" s="9"/>
      <c r="CX129" s="10"/>
      <c r="CY129" s="11"/>
      <c r="CZ129" s="12"/>
      <c r="DA129" s="29"/>
      <c r="DB129" s="12"/>
      <c r="DC129" s="9"/>
      <c r="DD129" s="10"/>
      <c r="DE129" s="71"/>
      <c r="EO129" s="353" t="str">
        <f t="shared" si="14"/>
        <v>CUNDINAMARCA_GUACHETA</v>
      </c>
      <c r="EP129" s="350"/>
      <c r="EQ129" s="350" t="s">
        <v>3884</v>
      </c>
      <c r="ER129" s="358" t="s">
        <v>3887</v>
      </c>
      <c r="ES129" s="350" t="s">
        <v>4770</v>
      </c>
      <c r="ET129" s="350" t="s">
        <v>5919</v>
      </c>
      <c r="EU129" s="350" t="str">
        <f t="shared" si="16"/>
        <v>Antioquia_San Jose de La Montaña</v>
      </c>
    </row>
    <row r="130" spans="1:151" ht="48" x14ac:dyDescent="0.2">
      <c r="A130" s="242">
        <v>40210</v>
      </c>
      <c r="B130" s="107" t="s">
        <v>2007</v>
      </c>
      <c r="C130" s="107" t="s">
        <v>2384</v>
      </c>
      <c r="D130" s="427" t="s">
        <v>1387</v>
      </c>
      <c r="E130" s="107" t="str">
        <f>VLOOKUP(B130&amp;C130,Divipola!$C$2:$F$1138,4,FALSE)</f>
        <v>25322</v>
      </c>
      <c r="F130" s="330"/>
      <c r="G130" s="224"/>
      <c r="H130" s="75"/>
      <c r="I130" s="75"/>
      <c r="J130" s="75"/>
      <c r="K130" s="75"/>
      <c r="L130" s="75"/>
      <c r="M130" s="75"/>
      <c r="N130" s="75"/>
      <c r="O130" s="75"/>
      <c r="P130" s="75"/>
      <c r="Q130" s="75"/>
      <c r="R130" s="75"/>
      <c r="S130" s="75"/>
      <c r="T130" s="75"/>
      <c r="U130" s="75"/>
      <c r="V130" s="76"/>
      <c r="W130" s="205"/>
      <c r="X130" s="1"/>
      <c r="Y130" s="78">
        <f t="shared" si="9"/>
        <v>0</v>
      </c>
      <c r="Z130" s="78">
        <f t="shared" si="10"/>
        <v>0</v>
      </c>
      <c r="AA130" s="78">
        <f t="shared" si="11"/>
        <v>0</v>
      </c>
      <c r="AB130" s="78">
        <f t="shared" si="12"/>
        <v>0</v>
      </c>
      <c r="AC130" s="78"/>
      <c r="AD130" s="78">
        <v>0</v>
      </c>
      <c r="AE130" s="80">
        <f t="shared" si="15"/>
        <v>0</v>
      </c>
      <c r="AF130" s="82">
        <v>0</v>
      </c>
      <c r="AG130" s="69">
        <v>40210</v>
      </c>
      <c r="AH130" s="84"/>
      <c r="AI130" s="69" t="s">
        <v>1984</v>
      </c>
      <c r="AJ130" s="70" t="s">
        <v>1985</v>
      </c>
      <c r="AK130" s="71"/>
      <c r="AL130" s="212" t="s">
        <v>1257</v>
      </c>
      <c r="AM130" s="284" t="s">
        <v>2179</v>
      </c>
      <c r="AN130" s="3"/>
      <c r="AO130" s="4"/>
      <c r="AP130" s="5"/>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6"/>
      <c r="CQ130" s="7"/>
      <c r="CR130" s="6"/>
      <c r="CS130" s="7"/>
      <c r="CT130" s="6"/>
      <c r="CU130" s="7"/>
      <c r="CV130" s="8">
        <f t="shared" si="13"/>
        <v>0</v>
      </c>
      <c r="CW130" s="9"/>
      <c r="CX130" s="10"/>
      <c r="CY130" s="11"/>
      <c r="CZ130" s="12"/>
      <c r="DA130" s="29"/>
      <c r="DB130" s="12"/>
      <c r="DC130" s="9"/>
      <c r="DD130" s="10"/>
      <c r="DE130" s="71"/>
      <c r="EO130" s="353" t="str">
        <f t="shared" si="14"/>
        <v>CUNDINAMARCA_GUASCA</v>
      </c>
      <c r="EP130" s="350"/>
      <c r="EQ130" s="350" t="s">
        <v>3884</v>
      </c>
      <c r="ER130" s="358" t="s">
        <v>3887</v>
      </c>
      <c r="ES130" s="350" t="s">
        <v>4771</v>
      </c>
      <c r="ET130" s="350" t="s">
        <v>5920</v>
      </c>
      <c r="EU130" s="350" t="str">
        <f t="shared" si="16"/>
        <v>Antioquia_San Juan de Uraba</v>
      </c>
    </row>
    <row r="131" spans="1:151" ht="84" x14ac:dyDescent="0.2">
      <c r="A131" s="242">
        <v>40210</v>
      </c>
      <c r="B131" s="107" t="s">
        <v>2007</v>
      </c>
      <c r="C131" s="107" t="s">
        <v>2385</v>
      </c>
      <c r="D131" s="427" t="s">
        <v>1387</v>
      </c>
      <c r="E131" s="107" t="str">
        <f>VLOOKUP(B131&amp;C131,Divipola!$C$2:$F$1138,4,FALSE)</f>
        <v>25326</v>
      </c>
      <c r="F131" s="330"/>
      <c r="G131" s="224"/>
      <c r="H131" s="75"/>
      <c r="I131" s="75"/>
      <c r="J131" s="75"/>
      <c r="K131" s="75"/>
      <c r="L131" s="75"/>
      <c r="M131" s="75"/>
      <c r="N131" s="75"/>
      <c r="O131" s="75"/>
      <c r="P131" s="75"/>
      <c r="Q131" s="75"/>
      <c r="R131" s="75"/>
      <c r="S131" s="75"/>
      <c r="T131" s="75"/>
      <c r="U131" s="75"/>
      <c r="V131" s="76"/>
      <c r="W131" s="205"/>
      <c r="X131" s="1"/>
      <c r="Y131" s="78">
        <f t="shared" ref="Y131:Y194" si="17">CV131</f>
        <v>0</v>
      </c>
      <c r="Z131" s="78">
        <f t="shared" ref="Z131:Z194" si="18">CZ131</f>
        <v>0</v>
      </c>
      <c r="AA131" s="78">
        <f t="shared" ref="AA131:AA194" si="19">DB131+DD131</f>
        <v>0</v>
      </c>
      <c r="AB131" s="78">
        <f t="shared" ref="AB131:AB194" si="20">CX131</f>
        <v>0</v>
      </c>
      <c r="AC131" s="78"/>
      <c r="AD131" s="78">
        <v>0</v>
      </c>
      <c r="AE131" s="80">
        <f t="shared" si="15"/>
        <v>0</v>
      </c>
      <c r="AF131" s="82">
        <v>0</v>
      </c>
      <c r="AG131" s="69">
        <v>40210</v>
      </c>
      <c r="AH131" s="84"/>
      <c r="AI131" s="69" t="s">
        <v>1984</v>
      </c>
      <c r="AJ131" s="70" t="s">
        <v>1985</v>
      </c>
      <c r="AK131" s="71"/>
      <c r="AL131" s="212" t="s">
        <v>1257</v>
      </c>
      <c r="AM131" s="284" t="s">
        <v>1838</v>
      </c>
      <c r="AN131" s="3"/>
      <c r="AO131" s="4"/>
      <c r="AP131" s="5"/>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6"/>
      <c r="CQ131" s="7"/>
      <c r="CR131" s="6"/>
      <c r="CS131" s="7"/>
      <c r="CT131" s="6"/>
      <c r="CU131" s="7"/>
      <c r="CV131" s="8">
        <f t="shared" ref="CV131:CV194" si="21">AO131+AQ131+AS131+AU131+AW131+AY131+BA131+BC131+BE131+BG131+BI131+BK131+BM131+BO131+BQ131+BS131+BU131+BW131+BY131+CA131+CC131+CE131+CG131+CI131+CK131+CM131+CO131+CQ131+CS131+CU131</f>
        <v>0</v>
      </c>
      <c r="CW131" s="9"/>
      <c r="CX131" s="10"/>
      <c r="CY131" s="11"/>
      <c r="CZ131" s="12"/>
      <c r="DA131" s="29"/>
      <c r="DB131" s="12"/>
      <c r="DC131" s="9"/>
      <c r="DD131" s="10"/>
      <c r="DE131" s="71"/>
      <c r="EO131" s="353" t="str">
        <f t="shared" ref="EO131:EO194" si="22">B131&amp;"_"&amp;C131</f>
        <v>CUNDINAMARCA_GUATAVITA</v>
      </c>
      <c r="EP131" s="350"/>
      <c r="EQ131" s="350" t="s">
        <v>3884</v>
      </c>
      <c r="ER131" s="358" t="s">
        <v>3887</v>
      </c>
      <c r="ES131" s="350" t="s">
        <v>4772</v>
      </c>
      <c r="ET131" s="350" t="s">
        <v>5921</v>
      </c>
      <c r="EU131" s="350" t="str">
        <f t="shared" si="16"/>
        <v>Antioquia_San Luis</v>
      </c>
    </row>
    <row r="132" spans="1:151" ht="168" x14ac:dyDescent="0.2">
      <c r="A132" s="242">
        <v>40210</v>
      </c>
      <c r="B132" s="107" t="s">
        <v>2007</v>
      </c>
      <c r="C132" s="107" t="s">
        <v>2386</v>
      </c>
      <c r="D132" s="427" t="s">
        <v>1387</v>
      </c>
      <c r="E132" s="107" t="str">
        <f>VLOOKUP(B132&amp;C132,Divipola!$C$2:$F$1138,4,FALSE)</f>
        <v>25386</v>
      </c>
      <c r="F132" s="330"/>
      <c r="G132" s="224"/>
      <c r="H132" s="75"/>
      <c r="I132" s="75"/>
      <c r="J132" s="75"/>
      <c r="K132" s="75"/>
      <c r="L132" s="75"/>
      <c r="M132" s="75"/>
      <c r="N132" s="75"/>
      <c r="O132" s="75"/>
      <c r="P132" s="75"/>
      <c r="Q132" s="75"/>
      <c r="R132" s="75"/>
      <c r="S132" s="75"/>
      <c r="T132" s="75"/>
      <c r="U132" s="75"/>
      <c r="V132" s="76"/>
      <c r="W132" s="205"/>
      <c r="X132" s="1"/>
      <c r="Y132" s="78">
        <f t="shared" si="17"/>
        <v>0</v>
      </c>
      <c r="Z132" s="78">
        <f t="shared" si="18"/>
        <v>0</v>
      </c>
      <c r="AA132" s="78">
        <f t="shared" si="19"/>
        <v>0</v>
      </c>
      <c r="AB132" s="78">
        <f t="shared" si="20"/>
        <v>0</v>
      </c>
      <c r="AC132" s="78"/>
      <c r="AD132" s="78">
        <v>0</v>
      </c>
      <c r="AE132" s="80">
        <f t="shared" si="15"/>
        <v>0</v>
      </c>
      <c r="AF132" s="82">
        <v>0</v>
      </c>
      <c r="AG132" s="69">
        <v>40210</v>
      </c>
      <c r="AH132" s="84"/>
      <c r="AI132" s="69" t="s">
        <v>1984</v>
      </c>
      <c r="AJ132" s="70" t="s">
        <v>1985</v>
      </c>
      <c r="AK132" s="71"/>
      <c r="AL132" s="212" t="s">
        <v>1257</v>
      </c>
      <c r="AM132" s="284" t="s">
        <v>2032</v>
      </c>
      <c r="AN132" s="3"/>
      <c r="AO132" s="4"/>
      <c r="AP132" s="5"/>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6"/>
      <c r="CQ132" s="7"/>
      <c r="CR132" s="6"/>
      <c r="CS132" s="7"/>
      <c r="CT132" s="6"/>
      <c r="CU132" s="7"/>
      <c r="CV132" s="8">
        <f t="shared" si="21"/>
        <v>0</v>
      </c>
      <c r="CW132" s="9"/>
      <c r="CX132" s="10"/>
      <c r="CY132" s="11"/>
      <c r="CZ132" s="12"/>
      <c r="DA132" s="29"/>
      <c r="DB132" s="12"/>
      <c r="DC132" s="9"/>
      <c r="DD132" s="10"/>
      <c r="DE132" s="71"/>
      <c r="EO132" s="353" t="str">
        <f t="shared" si="22"/>
        <v>CUNDINAMARCA_LA MESA</v>
      </c>
      <c r="EP132" s="350"/>
      <c r="EQ132" s="350" t="s">
        <v>3884</v>
      </c>
      <c r="ER132" s="358" t="s">
        <v>3887</v>
      </c>
      <c r="ES132" s="350" t="s">
        <v>4773</v>
      </c>
      <c r="ET132" s="350" t="s">
        <v>5922</v>
      </c>
      <c r="EU132" s="350" t="str">
        <f t="shared" si="16"/>
        <v>Antioquia_San Pedro</v>
      </c>
    </row>
    <row r="133" spans="1:151" ht="144" x14ac:dyDescent="0.2">
      <c r="A133" s="242">
        <v>40210</v>
      </c>
      <c r="B133" s="107" t="s">
        <v>2007</v>
      </c>
      <c r="C133" s="107" t="s">
        <v>2387</v>
      </c>
      <c r="D133" s="427" t="s">
        <v>1387</v>
      </c>
      <c r="E133" s="107" t="str">
        <f>VLOOKUP(B133&amp;C133,Divipola!$C$2:$F$1138,4,FALSE)</f>
        <v>25394</v>
      </c>
      <c r="F133" s="330"/>
      <c r="G133" s="224"/>
      <c r="H133" s="75"/>
      <c r="I133" s="75"/>
      <c r="J133" s="75"/>
      <c r="K133" s="75"/>
      <c r="L133" s="75"/>
      <c r="M133" s="75"/>
      <c r="N133" s="75"/>
      <c r="O133" s="75"/>
      <c r="P133" s="75"/>
      <c r="Q133" s="75"/>
      <c r="R133" s="75"/>
      <c r="S133" s="75"/>
      <c r="T133" s="75"/>
      <c r="U133" s="75"/>
      <c r="V133" s="76"/>
      <c r="W133" s="205"/>
      <c r="X133" s="1"/>
      <c r="Y133" s="78">
        <f t="shared" si="17"/>
        <v>0</v>
      </c>
      <c r="Z133" s="78">
        <f t="shared" si="18"/>
        <v>0</v>
      </c>
      <c r="AA133" s="78">
        <f t="shared" si="19"/>
        <v>0</v>
      </c>
      <c r="AB133" s="78">
        <f t="shared" si="20"/>
        <v>0</v>
      </c>
      <c r="AC133" s="78"/>
      <c r="AD133" s="78">
        <v>0</v>
      </c>
      <c r="AE133" s="80">
        <f t="shared" si="15"/>
        <v>0</v>
      </c>
      <c r="AF133" s="82">
        <v>0</v>
      </c>
      <c r="AG133" s="69">
        <v>40210</v>
      </c>
      <c r="AH133" s="84"/>
      <c r="AI133" s="69" t="s">
        <v>1984</v>
      </c>
      <c r="AJ133" s="70" t="s">
        <v>1985</v>
      </c>
      <c r="AK133" s="71"/>
      <c r="AL133" s="212" t="s">
        <v>1257</v>
      </c>
      <c r="AM133" s="284" t="s">
        <v>1211</v>
      </c>
      <c r="AN133" s="3"/>
      <c r="AO133" s="4"/>
      <c r="AP133" s="5"/>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6"/>
      <c r="CQ133" s="7"/>
      <c r="CR133" s="6"/>
      <c r="CS133" s="7"/>
      <c r="CT133" s="6"/>
      <c r="CU133" s="7"/>
      <c r="CV133" s="8">
        <f t="shared" si="21"/>
        <v>0</v>
      </c>
      <c r="CW133" s="9"/>
      <c r="CX133" s="10"/>
      <c r="CY133" s="11"/>
      <c r="CZ133" s="12"/>
      <c r="DA133" s="29"/>
      <c r="DB133" s="12"/>
      <c r="DC133" s="9"/>
      <c r="DD133" s="10"/>
      <c r="DE133" s="71"/>
      <c r="EO133" s="353" t="str">
        <f t="shared" si="22"/>
        <v>CUNDINAMARCA_LA PALMA</v>
      </c>
      <c r="EP133" s="350"/>
      <c r="EQ133" s="350" t="s">
        <v>3884</v>
      </c>
      <c r="ER133" s="358" t="s">
        <v>3887</v>
      </c>
      <c r="ES133" s="350" t="s">
        <v>4774</v>
      </c>
      <c r="ET133" s="350" t="s">
        <v>5923</v>
      </c>
      <c r="EU133" s="350" t="str">
        <f t="shared" si="16"/>
        <v>Antioquia_San Pedro de Uraba</v>
      </c>
    </row>
    <row r="134" spans="1:151" ht="132" x14ac:dyDescent="0.2">
      <c r="A134" s="242">
        <v>40210</v>
      </c>
      <c r="B134" s="107" t="s">
        <v>2007</v>
      </c>
      <c r="C134" s="107" t="s">
        <v>2388</v>
      </c>
      <c r="D134" s="427" t="s">
        <v>1387</v>
      </c>
      <c r="E134" s="107" t="str">
        <f>VLOOKUP(B134&amp;C134,Divipola!$C$2:$F$1138,4,FALSE)</f>
        <v>25398</v>
      </c>
      <c r="F134" s="330"/>
      <c r="G134" s="224"/>
      <c r="H134" s="75"/>
      <c r="I134" s="75"/>
      <c r="J134" s="75"/>
      <c r="K134" s="75"/>
      <c r="L134" s="75"/>
      <c r="M134" s="75"/>
      <c r="N134" s="75"/>
      <c r="O134" s="75"/>
      <c r="P134" s="75"/>
      <c r="Q134" s="75"/>
      <c r="R134" s="75"/>
      <c r="S134" s="75"/>
      <c r="T134" s="75"/>
      <c r="U134" s="75"/>
      <c r="V134" s="76"/>
      <c r="W134" s="205"/>
      <c r="X134" s="1"/>
      <c r="Y134" s="78">
        <f t="shared" si="17"/>
        <v>0</v>
      </c>
      <c r="Z134" s="78">
        <f t="shared" si="18"/>
        <v>0</v>
      </c>
      <c r="AA134" s="78">
        <f t="shared" si="19"/>
        <v>0</v>
      </c>
      <c r="AB134" s="78">
        <f t="shared" si="20"/>
        <v>0</v>
      </c>
      <c r="AC134" s="78"/>
      <c r="AD134" s="78">
        <v>0</v>
      </c>
      <c r="AE134" s="80">
        <f t="shared" si="15"/>
        <v>0</v>
      </c>
      <c r="AF134" s="82">
        <v>0</v>
      </c>
      <c r="AG134" s="69">
        <v>40210</v>
      </c>
      <c r="AH134" s="84"/>
      <c r="AI134" s="69" t="s">
        <v>1984</v>
      </c>
      <c r="AJ134" s="70" t="s">
        <v>1985</v>
      </c>
      <c r="AK134" s="71"/>
      <c r="AL134" s="212" t="s">
        <v>1257</v>
      </c>
      <c r="AM134" s="284" t="s">
        <v>601</v>
      </c>
      <c r="AN134" s="3"/>
      <c r="AO134" s="4"/>
      <c r="AP134" s="5"/>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6"/>
      <c r="CQ134" s="7"/>
      <c r="CR134" s="6"/>
      <c r="CS134" s="7"/>
      <c r="CT134" s="6"/>
      <c r="CU134" s="7"/>
      <c r="CV134" s="8">
        <f t="shared" si="21"/>
        <v>0</v>
      </c>
      <c r="CW134" s="9"/>
      <c r="CX134" s="10"/>
      <c r="CY134" s="11"/>
      <c r="CZ134" s="12"/>
      <c r="DA134" s="29"/>
      <c r="DB134" s="12"/>
      <c r="DC134" s="9"/>
      <c r="DD134" s="10"/>
      <c r="DE134" s="71"/>
      <c r="EO134" s="353" t="str">
        <f t="shared" si="22"/>
        <v>CUNDINAMARCA_LA PEÑA</v>
      </c>
      <c r="EP134" s="350"/>
      <c r="EQ134" s="350" t="s">
        <v>3884</v>
      </c>
      <c r="ER134" s="358" t="s">
        <v>3887</v>
      </c>
      <c r="ES134" s="350" t="s">
        <v>4775</v>
      </c>
      <c r="ET134" s="350" t="s">
        <v>5924</v>
      </c>
      <c r="EU134" s="350" t="str">
        <f t="shared" si="16"/>
        <v>Antioquia_San Rafael</v>
      </c>
    </row>
    <row r="135" spans="1:151" ht="96" x14ac:dyDescent="0.2">
      <c r="A135" s="242">
        <v>40210</v>
      </c>
      <c r="B135" s="107" t="s">
        <v>2007</v>
      </c>
      <c r="C135" s="107" t="s">
        <v>2389</v>
      </c>
      <c r="D135" s="427" t="s">
        <v>1387</v>
      </c>
      <c r="E135" s="107" t="str">
        <f>VLOOKUP(B135&amp;C135,Divipola!$C$2:$F$1138,4,FALSE)</f>
        <v>25407</v>
      </c>
      <c r="F135" s="330"/>
      <c r="G135" s="224"/>
      <c r="H135" s="75"/>
      <c r="I135" s="75"/>
      <c r="J135" s="75"/>
      <c r="K135" s="75"/>
      <c r="L135" s="75"/>
      <c r="M135" s="75"/>
      <c r="N135" s="75"/>
      <c r="O135" s="75"/>
      <c r="P135" s="75"/>
      <c r="Q135" s="75"/>
      <c r="R135" s="75"/>
      <c r="S135" s="75"/>
      <c r="T135" s="75"/>
      <c r="U135" s="75"/>
      <c r="V135" s="76"/>
      <c r="W135" s="205"/>
      <c r="X135" s="1"/>
      <c r="Y135" s="78">
        <f t="shared" si="17"/>
        <v>0</v>
      </c>
      <c r="Z135" s="78">
        <f t="shared" si="18"/>
        <v>0</v>
      </c>
      <c r="AA135" s="78">
        <f t="shared" si="19"/>
        <v>0</v>
      </c>
      <c r="AB135" s="78">
        <f t="shared" si="20"/>
        <v>0</v>
      </c>
      <c r="AC135" s="78"/>
      <c r="AD135" s="78">
        <v>0</v>
      </c>
      <c r="AE135" s="80">
        <f t="shared" si="15"/>
        <v>0</v>
      </c>
      <c r="AF135" s="82">
        <v>0</v>
      </c>
      <c r="AG135" s="69">
        <v>40210</v>
      </c>
      <c r="AH135" s="84"/>
      <c r="AI135" s="69" t="s">
        <v>1984</v>
      </c>
      <c r="AJ135" s="70" t="s">
        <v>1985</v>
      </c>
      <c r="AK135" s="71"/>
      <c r="AL135" s="212" t="s">
        <v>1257</v>
      </c>
      <c r="AM135" s="284" t="s">
        <v>602</v>
      </c>
      <c r="AN135" s="3"/>
      <c r="AO135" s="4"/>
      <c r="AP135" s="5"/>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6"/>
      <c r="CQ135" s="7"/>
      <c r="CR135" s="6"/>
      <c r="CS135" s="7"/>
      <c r="CT135" s="6"/>
      <c r="CU135" s="7"/>
      <c r="CV135" s="8">
        <f t="shared" si="21"/>
        <v>0</v>
      </c>
      <c r="CW135" s="9"/>
      <c r="CX135" s="10"/>
      <c r="CY135" s="11"/>
      <c r="CZ135" s="12"/>
      <c r="DA135" s="29"/>
      <c r="DB135" s="12"/>
      <c r="DC135" s="9"/>
      <c r="DD135" s="10"/>
      <c r="DE135" s="71"/>
      <c r="EO135" s="353" t="str">
        <f t="shared" si="22"/>
        <v>CUNDINAMARCA_LENGUAZAQUE</v>
      </c>
      <c r="EP135" s="350"/>
      <c r="EQ135" s="350" t="s">
        <v>3884</v>
      </c>
      <c r="ER135" s="358" t="s">
        <v>3887</v>
      </c>
      <c r="ES135" s="350" t="s">
        <v>4776</v>
      </c>
      <c r="ET135" s="350" t="s">
        <v>5925</v>
      </c>
      <c r="EU135" s="350" t="str">
        <f t="shared" si="16"/>
        <v>Antioquia_San Roque</v>
      </c>
    </row>
    <row r="136" spans="1:151" ht="108" x14ac:dyDescent="0.2">
      <c r="A136" s="242">
        <v>40210</v>
      </c>
      <c r="B136" s="107" t="s">
        <v>2007</v>
      </c>
      <c r="C136" s="107" t="s">
        <v>1320</v>
      </c>
      <c r="D136" s="427" t="s">
        <v>1387</v>
      </c>
      <c r="E136" s="107" t="str">
        <f>VLOOKUP(B136&amp;C136,Divipola!$C$2:$F$1138,4,FALSE)</f>
        <v>25524</v>
      </c>
      <c r="F136" s="330"/>
      <c r="G136" s="224"/>
      <c r="H136" s="75"/>
      <c r="I136" s="75"/>
      <c r="J136" s="75"/>
      <c r="K136" s="75"/>
      <c r="L136" s="75"/>
      <c r="M136" s="75"/>
      <c r="N136" s="75"/>
      <c r="O136" s="75"/>
      <c r="P136" s="75"/>
      <c r="Q136" s="75"/>
      <c r="R136" s="75"/>
      <c r="S136" s="75"/>
      <c r="T136" s="75"/>
      <c r="U136" s="75"/>
      <c r="V136" s="76"/>
      <c r="W136" s="205"/>
      <c r="X136" s="1"/>
      <c r="Y136" s="78">
        <f t="shared" si="17"/>
        <v>0</v>
      </c>
      <c r="Z136" s="78">
        <f t="shared" si="18"/>
        <v>0</v>
      </c>
      <c r="AA136" s="78">
        <f t="shared" si="19"/>
        <v>0</v>
      </c>
      <c r="AB136" s="78">
        <f t="shared" si="20"/>
        <v>0</v>
      </c>
      <c r="AC136" s="78"/>
      <c r="AD136" s="78">
        <v>0</v>
      </c>
      <c r="AE136" s="80">
        <f t="shared" si="15"/>
        <v>0</v>
      </c>
      <c r="AF136" s="82">
        <v>0</v>
      </c>
      <c r="AG136" s="69">
        <v>40210</v>
      </c>
      <c r="AH136" s="84"/>
      <c r="AI136" s="69" t="s">
        <v>1984</v>
      </c>
      <c r="AJ136" s="70" t="s">
        <v>1985</v>
      </c>
      <c r="AK136" s="71"/>
      <c r="AL136" s="212" t="s">
        <v>1257</v>
      </c>
      <c r="AM136" s="284" t="s">
        <v>604</v>
      </c>
      <c r="AN136" s="3"/>
      <c r="AO136" s="4"/>
      <c r="AP136" s="5"/>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6"/>
      <c r="CQ136" s="7"/>
      <c r="CR136" s="6"/>
      <c r="CS136" s="7"/>
      <c r="CT136" s="6"/>
      <c r="CU136" s="7"/>
      <c r="CV136" s="8">
        <f t="shared" si="21"/>
        <v>0</v>
      </c>
      <c r="CW136" s="9"/>
      <c r="CX136" s="10"/>
      <c r="CY136" s="11"/>
      <c r="CZ136" s="12"/>
      <c r="DA136" s="29"/>
      <c r="DB136" s="12"/>
      <c r="DC136" s="9"/>
      <c r="DD136" s="10"/>
      <c r="DE136" s="71"/>
      <c r="EO136" s="353" t="str">
        <f t="shared" si="22"/>
        <v>CUNDINAMARCA_PANDI</v>
      </c>
      <c r="EP136" s="350"/>
      <c r="EQ136" s="350" t="s">
        <v>3884</v>
      </c>
      <c r="ER136" s="358" t="s">
        <v>3887</v>
      </c>
      <c r="ES136" s="350" t="s">
        <v>4777</v>
      </c>
      <c r="ET136" s="350" t="s">
        <v>5926</v>
      </c>
      <c r="EU136" s="350" t="str">
        <f t="shared" si="16"/>
        <v>Antioquia_San Vicente</v>
      </c>
    </row>
    <row r="137" spans="1:151" ht="72" x14ac:dyDescent="0.2">
      <c r="A137" s="242">
        <v>40210</v>
      </c>
      <c r="B137" s="107" t="s">
        <v>2007</v>
      </c>
      <c r="C137" s="107" t="s">
        <v>1321</v>
      </c>
      <c r="D137" s="427" t="s">
        <v>1387</v>
      </c>
      <c r="E137" s="107" t="str">
        <f>VLOOKUP(B137&amp;C137,Divipola!$C$2:$F$1138,4,FALSE)</f>
        <v>25530</v>
      </c>
      <c r="F137" s="330"/>
      <c r="G137" s="224"/>
      <c r="H137" s="75"/>
      <c r="I137" s="75"/>
      <c r="J137" s="75"/>
      <c r="K137" s="75"/>
      <c r="L137" s="75"/>
      <c r="M137" s="75"/>
      <c r="N137" s="75"/>
      <c r="O137" s="75"/>
      <c r="P137" s="75"/>
      <c r="Q137" s="75"/>
      <c r="R137" s="75"/>
      <c r="S137" s="75"/>
      <c r="T137" s="75"/>
      <c r="U137" s="75"/>
      <c r="V137" s="76"/>
      <c r="W137" s="205"/>
      <c r="X137" s="1"/>
      <c r="Y137" s="78">
        <f t="shared" si="17"/>
        <v>0</v>
      </c>
      <c r="Z137" s="78">
        <f t="shared" si="18"/>
        <v>0</v>
      </c>
      <c r="AA137" s="78">
        <f t="shared" si="19"/>
        <v>0</v>
      </c>
      <c r="AB137" s="78">
        <f t="shared" si="20"/>
        <v>0</v>
      </c>
      <c r="AC137" s="78"/>
      <c r="AD137" s="78">
        <v>0</v>
      </c>
      <c r="AE137" s="80">
        <f t="shared" ref="AE137:AE200" si="23">Y137+Z137+AA137+AB137+AC137+AD137</f>
        <v>0</v>
      </c>
      <c r="AF137" s="82">
        <v>0</v>
      </c>
      <c r="AG137" s="69">
        <v>40210</v>
      </c>
      <c r="AH137" s="84"/>
      <c r="AI137" s="69" t="s">
        <v>1984</v>
      </c>
      <c r="AJ137" s="70" t="s">
        <v>1985</v>
      </c>
      <c r="AK137" s="71"/>
      <c r="AL137" s="212" t="s">
        <v>1257</v>
      </c>
      <c r="AM137" s="284" t="s">
        <v>2319</v>
      </c>
      <c r="AN137" s="3"/>
      <c r="AO137" s="4"/>
      <c r="AP137" s="5"/>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6"/>
      <c r="CQ137" s="7"/>
      <c r="CR137" s="6"/>
      <c r="CS137" s="7"/>
      <c r="CT137" s="6"/>
      <c r="CU137" s="7"/>
      <c r="CV137" s="8">
        <f t="shared" si="21"/>
        <v>0</v>
      </c>
      <c r="CW137" s="9"/>
      <c r="CX137" s="10"/>
      <c r="CY137" s="11"/>
      <c r="CZ137" s="12"/>
      <c r="DA137" s="29"/>
      <c r="DB137" s="12"/>
      <c r="DC137" s="9"/>
      <c r="DD137" s="10"/>
      <c r="DE137" s="71"/>
      <c r="EO137" s="353" t="str">
        <f t="shared" si="22"/>
        <v>CUNDINAMARCA_PARATEBUENO</v>
      </c>
      <c r="EP137" s="350"/>
      <c r="EQ137" s="350" t="s">
        <v>3884</v>
      </c>
      <c r="ER137" s="358" t="s">
        <v>3887</v>
      </c>
      <c r="ES137" s="350" t="s">
        <v>4778</v>
      </c>
      <c r="ET137" s="350" t="s">
        <v>5927</v>
      </c>
      <c r="EU137" s="350" t="str">
        <f t="shared" si="16"/>
        <v>Antioquia_Santa Barbara</v>
      </c>
    </row>
    <row r="138" spans="1:151" ht="51" x14ac:dyDescent="0.2">
      <c r="A138" s="242">
        <v>40210</v>
      </c>
      <c r="B138" s="107" t="s">
        <v>2007</v>
      </c>
      <c r="C138" s="107" t="s">
        <v>1322</v>
      </c>
      <c r="D138" s="427" t="s">
        <v>1387</v>
      </c>
      <c r="E138" s="107" t="str">
        <f>VLOOKUP(B138&amp;C138,Divipola!$C$2:$F$1138,4,FALSE)</f>
        <v>25572</v>
      </c>
      <c r="F138" s="330"/>
      <c r="G138" s="224"/>
      <c r="H138" s="75"/>
      <c r="I138" s="75"/>
      <c r="J138" s="75"/>
      <c r="K138" s="75"/>
      <c r="L138" s="75"/>
      <c r="M138" s="75"/>
      <c r="N138" s="75"/>
      <c r="O138" s="75"/>
      <c r="P138" s="75"/>
      <c r="Q138" s="75"/>
      <c r="R138" s="75"/>
      <c r="S138" s="75"/>
      <c r="T138" s="75"/>
      <c r="U138" s="75"/>
      <c r="V138" s="76"/>
      <c r="W138" s="205"/>
      <c r="X138" s="1"/>
      <c r="Y138" s="78">
        <f t="shared" si="17"/>
        <v>0</v>
      </c>
      <c r="Z138" s="78">
        <f t="shared" si="18"/>
        <v>0</v>
      </c>
      <c r="AA138" s="78">
        <f t="shared" si="19"/>
        <v>0</v>
      </c>
      <c r="AB138" s="78">
        <f t="shared" si="20"/>
        <v>0</v>
      </c>
      <c r="AC138" s="78"/>
      <c r="AD138" s="78">
        <v>0</v>
      </c>
      <c r="AE138" s="80">
        <f t="shared" si="23"/>
        <v>0</v>
      </c>
      <c r="AF138" s="82">
        <v>0</v>
      </c>
      <c r="AG138" s="69">
        <v>40210</v>
      </c>
      <c r="AH138" s="84"/>
      <c r="AI138" s="69" t="s">
        <v>1984</v>
      </c>
      <c r="AJ138" s="70" t="s">
        <v>1985</v>
      </c>
      <c r="AK138" s="71"/>
      <c r="AL138" s="212" t="s">
        <v>1257</v>
      </c>
      <c r="AM138" s="284" t="s">
        <v>2179</v>
      </c>
      <c r="AN138" s="3"/>
      <c r="AO138" s="4"/>
      <c r="AP138" s="5"/>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6"/>
      <c r="CQ138" s="7"/>
      <c r="CR138" s="6"/>
      <c r="CS138" s="7"/>
      <c r="CT138" s="6"/>
      <c r="CU138" s="7"/>
      <c r="CV138" s="8">
        <f t="shared" si="21"/>
        <v>0</v>
      </c>
      <c r="CW138" s="9"/>
      <c r="CX138" s="10"/>
      <c r="CY138" s="11"/>
      <c r="CZ138" s="12"/>
      <c r="DA138" s="29"/>
      <c r="DB138" s="12"/>
      <c r="DC138" s="9"/>
      <c r="DD138" s="10"/>
      <c r="DE138" s="71"/>
      <c r="EO138" s="353" t="str">
        <f t="shared" si="22"/>
        <v>CUNDINAMARCA_PUERTO SALGAR</v>
      </c>
      <c r="EP138" s="350"/>
      <c r="EQ138" s="350" t="s">
        <v>3884</v>
      </c>
      <c r="ER138" s="358" t="s">
        <v>3887</v>
      </c>
      <c r="ES138" s="350" t="s">
        <v>4779</v>
      </c>
      <c r="ET138" s="350" t="s">
        <v>5928</v>
      </c>
      <c r="EU138" s="350" t="str">
        <f t="shared" si="16"/>
        <v>Antioquia_Santa Rosa de Osos</v>
      </c>
    </row>
    <row r="139" spans="1:151" ht="120" x14ac:dyDescent="0.2">
      <c r="A139" s="242">
        <v>40210</v>
      </c>
      <c r="B139" s="107" t="s">
        <v>2007</v>
      </c>
      <c r="C139" s="107" t="s">
        <v>1323</v>
      </c>
      <c r="D139" s="427" t="s">
        <v>1387</v>
      </c>
      <c r="E139" s="107" t="str">
        <f>VLOOKUP(B139&amp;C139,Divipola!$C$2:$F$1138,4,FALSE)</f>
        <v>25580</v>
      </c>
      <c r="F139" s="330"/>
      <c r="G139" s="224"/>
      <c r="H139" s="75"/>
      <c r="I139" s="75"/>
      <c r="J139" s="75"/>
      <c r="K139" s="75"/>
      <c r="L139" s="75"/>
      <c r="M139" s="75"/>
      <c r="N139" s="75"/>
      <c r="O139" s="75"/>
      <c r="P139" s="75"/>
      <c r="Q139" s="75"/>
      <c r="R139" s="75"/>
      <c r="S139" s="75"/>
      <c r="T139" s="75"/>
      <c r="U139" s="75"/>
      <c r="V139" s="76"/>
      <c r="W139" s="205"/>
      <c r="X139" s="1"/>
      <c r="Y139" s="78">
        <f t="shared" si="17"/>
        <v>0</v>
      </c>
      <c r="Z139" s="78">
        <f t="shared" si="18"/>
        <v>0</v>
      </c>
      <c r="AA139" s="78">
        <f t="shared" si="19"/>
        <v>0</v>
      </c>
      <c r="AB139" s="78">
        <f t="shared" si="20"/>
        <v>0</v>
      </c>
      <c r="AC139" s="78"/>
      <c r="AD139" s="78">
        <v>0</v>
      </c>
      <c r="AE139" s="80">
        <f t="shared" si="23"/>
        <v>0</v>
      </c>
      <c r="AF139" s="82">
        <v>0</v>
      </c>
      <c r="AG139" s="69">
        <v>40210</v>
      </c>
      <c r="AH139" s="84"/>
      <c r="AI139" s="69" t="s">
        <v>1984</v>
      </c>
      <c r="AJ139" s="70" t="s">
        <v>1985</v>
      </c>
      <c r="AK139" s="71"/>
      <c r="AL139" s="212" t="s">
        <v>1257</v>
      </c>
      <c r="AM139" s="284" t="s">
        <v>2114</v>
      </c>
      <c r="AN139" s="3"/>
      <c r="AO139" s="4"/>
      <c r="AP139" s="5"/>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6"/>
      <c r="CQ139" s="7"/>
      <c r="CR139" s="6"/>
      <c r="CS139" s="7"/>
      <c r="CT139" s="6"/>
      <c r="CU139" s="7"/>
      <c r="CV139" s="8">
        <f t="shared" si="21"/>
        <v>0</v>
      </c>
      <c r="CW139" s="9"/>
      <c r="CX139" s="10"/>
      <c r="CY139" s="11"/>
      <c r="CZ139" s="12"/>
      <c r="DA139" s="29"/>
      <c r="DB139" s="12"/>
      <c r="DC139" s="9"/>
      <c r="DD139" s="10"/>
      <c r="DE139" s="71"/>
      <c r="EO139" s="353" t="str">
        <f t="shared" si="22"/>
        <v>CUNDINAMARCA_PULI</v>
      </c>
      <c r="EP139" s="350"/>
      <c r="EQ139" s="350" t="s">
        <v>3884</v>
      </c>
      <c r="ER139" s="363" t="s">
        <v>3887</v>
      </c>
      <c r="ES139" s="350" t="s">
        <v>4780</v>
      </c>
      <c r="ET139" s="350" t="s">
        <v>5929</v>
      </c>
      <c r="EU139" s="350" t="str">
        <f t="shared" si="16"/>
        <v>Antioquia_Santo Domingo</v>
      </c>
    </row>
    <row r="140" spans="1:151" ht="96" x14ac:dyDescent="0.2">
      <c r="A140" s="242">
        <v>40210</v>
      </c>
      <c r="B140" s="107" t="s">
        <v>2007</v>
      </c>
      <c r="C140" s="107" t="s">
        <v>1324</v>
      </c>
      <c r="D140" s="427" t="s">
        <v>1387</v>
      </c>
      <c r="E140" s="107" t="str">
        <f>VLOOKUP(B140&amp;C140,Divipola!$C$2:$F$1138,4,FALSE)</f>
        <v>25594</v>
      </c>
      <c r="F140" s="330"/>
      <c r="G140" s="224"/>
      <c r="H140" s="75"/>
      <c r="I140" s="75"/>
      <c r="J140" s="75"/>
      <c r="K140" s="75"/>
      <c r="L140" s="75"/>
      <c r="M140" s="75"/>
      <c r="N140" s="75"/>
      <c r="O140" s="75"/>
      <c r="P140" s="75"/>
      <c r="Q140" s="75"/>
      <c r="R140" s="75"/>
      <c r="S140" s="75"/>
      <c r="T140" s="75"/>
      <c r="U140" s="75"/>
      <c r="V140" s="76"/>
      <c r="W140" s="205"/>
      <c r="X140" s="1"/>
      <c r="Y140" s="78">
        <f t="shared" si="17"/>
        <v>0</v>
      </c>
      <c r="Z140" s="78">
        <f t="shared" si="18"/>
        <v>0</v>
      </c>
      <c r="AA140" s="78">
        <f t="shared" si="19"/>
        <v>0</v>
      </c>
      <c r="AB140" s="78">
        <f t="shared" si="20"/>
        <v>0</v>
      </c>
      <c r="AC140" s="78"/>
      <c r="AD140" s="78">
        <v>0</v>
      </c>
      <c r="AE140" s="80">
        <f t="shared" si="23"/>
        <v>0</v>
      </c>
      <c r="AF140" s="82">
        <v>0</v>
      </c>
      <c r="AG140" s="69">
        <v>40210</v>
      </c>
      <c r="AH140" s="84"/>
      <c r="AI140" s="69" t="s">
        <v>1984</v>
      </c>
      <c r="AJ140" s="70" t="s">
        <v>1985</v>
      </c>
      <c r="AK140" s="71"/>
      <c r="AL140" s="212" t="s">
        <v>1257</v>
      </c>
      <c r="AM140" s="284" t="s">
        <v>2115</v>
      </c>
      <c r="AN140" s="3"/>
      <c r="AO140" s="4"/>
      <c r="AP140" s="5"/>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6"/>
      <c r="CQ140" s="7"/>
      <c r="CR140" s="6"/>
      <c r="CS140" s="7"/>
      <c r="CT140" s="6"/>
      <c r="CU140" s="7"/>
      <c r="CV140" s="8">
        <f t="shared" si="21"/>
        <v>0</v>
      </c>
      <c r="CW140" s="9"/>
      <c r="CX140" s="10"/>
      <c r="CY140" s="11"/>
      <c r="CZ140" s="12"/>
      <c r="DA140" s="29"/>
      <c r="DB140" s="12"/>
      <c r="DC140" s="9"/>
      <c r="DD140" s="10"/>
      <c r="DE140" s="71"/>
      <c r="EO140" s="353" t="str">
        <f t="shared" si="22"/>
        <v>CUNDINAMARCA_QUETAME</v>
      </c>
      <c r="EP140" s="350"/>
      <c r="EQ140" s="350" t="s">
        <v>3884</v>
      </c>
      <c r="ER140" s="358" t="s">
        <v>3887</v>
      </c>
      <c r="ES140" s="350" t="s">
        <v>4781</v>
      </c>
      <c r="ET140" s="350" t="s">
        <v>5930</v>
      </c>
      <c r="EU140" s="350" t="str">
        <f t="shared" si="16"/>
        <v>Antioquia_El Santuario</v>
      </c>
    </row>
    <row r="141" spans="1:151" ht="51" x14ac:dyDescent="0.2">
      <c r="A141" s="242">
        <v>40210</v>
      </c>
      <c r="B141" s="107" t="s">
        <v>2007</v>
      </c>
      <c r="C141" s="107" t="s">
        <v>1325</v>
      </c>
      <c r="D141" s="427" t="s">
        <v>1387</v>
      </c>
      <c r="E141" s="107" t="str">
        <f>VLOOKUP(B141&amp;C141,Divipola!$C$2:$F$1138,4,FALSE)</f>
        <v>25649</v>
      </c>
      <c r="F141" s="330"/>
      <c r="G141" s="224"/>
      <c r="H141" s="75"/>
      <c r="I141" s="75"/>
      <c r="J141" s="75"/>
      <c r="K141" s="75"/>
      <c r="L141" s="75"/>
      <c r="M141" s="75"/>
      <c r="N141" s="75"/>
      <c r="O141" s="75"/>
      <c r="P141" s="75"/>
      <c r="Q141" s="75"/>
      <c r="R141" s="75"/>
      <c r="S141" s="75"/>
      <c r="T141" s="75"/>
      <c r="U141" s="75"/>
      <c r="V141" s="76"/>
      <c r="W141" s="205"/>
      <c r="X141" s="1"/>
      <c r="Y141" s="78">
        <f t="shared" si="17"/>
        <v>0</v>
      </c>
      <c r="Z141" s="78">
        <f t="shared" si="18"/>
        <v>0</v>
      </c>
      <c r="AA141" s="78">
        <f t="shared" si="19"/>
        <v>0</v>
      </c>
      <c r="AB141" s="78">
        <f t="shared" si="20"/>
        <v>0</v>
      </c>
      <c r="AC141" s="78"/>
      <c r="AD141" s="78">
        <v>0</v>
      </c>
      <c r="AE141" s="80">
        <f t="shared" si="23"/>
        <v>0</v>
      </c>
      <c r="AF141" s="82">
        <v>0</v>
      </c>
      <c r="AG141" s="69">
        <v>40210</v>
      </c>
      <c r="AH141" s="84"/>
      <c r="AI141" s="69" t="s">
        <v>1984</v>
      </c>
      <c r="AJ141" s="70" t="s">
        <v>1985</v>
      </c>
      <c r="AK141" s="71"/>
      <c r="AL141" s="212" t="s">
        <v>1257</v>
      </c>
      <c r="AM141" s="284" t="s">
        <v>2179</v>
      </c>
      <c r="AN141" s="3"/>
      <c r="AO141" s="4"/>
      <c r="AP141" s="5"/>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6"/>
      <c r="CQ141" s="7"/>
      <c r="CR141" s="6"/>
      <c r="CS141" s="7"/>
      <c r="CT141" s="6"/>
      <c r="CU141" s="7"/>
      <c r="CV141" s="8">
        <f t="shared" si="21"/>
        <v>0</v>
      </c>
      <c r="CW141" s="9"/>
      <c r="CX141" s="10"/>
      <c r="CY141" s="11"/>
      <c r="CZ141" s="12"/>
      <c r="DA141" s="29"/>
      <c r="DB141" s="12"/>
      <c r="DC141" s="9"/>
      <c r="DD141" s="10"/>
      <c r="DE141" s="71"/>
      <c r="EO141" s="353" t="str">
        <f t="shared" si="22"/>
        <v>CUNDINAMARCA_SAN BERNARDO</v>
      </c>
      <c r="EP141" s="350"/>
      <c r="EQ141" s="350" t="s">
        <v>3884</v>
      </c>
      <c r="ER141" s="358" t="s">
        <v>3887</v>
      </c>
      <c r="ES141" s="350" t="s">
        <v>4782</v>
      </c>
      <c r="ET141" s="350" t="s">
        <v>5931</v>
      </c>
      <c r="EU141" s="350" t="str">
        <f t="shared" si="16"/>
        <v>Antioquia_Segovia</v>
      </c>
    </row>
    <row r="142" spans="1:151" ht="84" x14ac:dyDescent="0.2">
      <c r="A142" s="242">
        <v>40210</v>
      </c>
      <c r="B142" s="107" t="s">
        <v>2007</v>
      </c>
      <c r="C142" s="107" t="s">
        <v>4374</v>
      </c>
      <c r="D142" s="427" t="s">
        <v>1387</v>
      </c>
      <c r="E142" s="107" t="str">
        <f>VLOOKUP(B142&amp;C142,Divipola!$C$2:$F$1138,4,FALSE)</f>
        <v>25662</v>
      </c>
      <c r="F142" s="330"/>
      <c r="G142" s="224"/>
      <c r="H142" s="75"/>
      <c r="I142" s="75"/>
      <c r="J142" s="75"/>
      <c r="K142" s="75"/>
      <c r="L142" s="75"/>
      <c r="M142" s="75"/>
      <c r="N142" s="75"/>
      <c r="O142" s="75"/>
      <c r="P142" s="75"/>
      <c r="Q142" s="75"/>
      <c r="R142" s="75"/>
      <c r="S142" s="75"/>
      <c r="T142" s="75"/>
      <c r="U142" s="75"/>
      <c r="V142" s="76"/>
      <c r="W142" s="205"/>
      <c r="X142" s="1"/>
      <c r="Y142" s="78">
        <f t="shared" si="17"/>
        <v>0</v>
      </c>
      <c r="Z142" s="78">
        <f t="shared" si="18"/>
        <v>0</v>
      </c>
      <c r="AA142" s="78">
        <f t="shared" si="19"/>
        <v>0</v>
      </c>
      <c r="AB142" s="78">
        <f t="shared" si="20"/>
        <v>0</v>
      </c>
      <c r="AC142" s="78"/>
      <c r="AD142" s="78">
        <v>0</v>
      </c>
      <c r="AE142" s="80">
        <f t="shared" si="23"/>
        <v>0</v>
      </c>
      <c r="AF142" s="82">
        <v>0</v>
      </c>
      <c r="AG142" s="69">
        <v>40210</v>
      </c>
      <c r="AH142" s="84"/>
      <c r="AI142" s="69" t="s">
        <v>1984</v>
      </c>
      <c r="AJ142" s="70" t="s">
        <v>1985</v>
      </c>
      <c r="AK142" s="71"/>
      <c r="AL142" s="212" t="s">
        <v>1257</v>
      </c>
      <c r="AM142" s="284" t="s">
        <v>3144</v>
      </c>
      <c r="AN142" s="3"/>
      <c r="AO142" s="4"/>
      <c r="AP142" s="5"/>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6"/>
      <c r="CQ142" s="7"/>
      <c r="CR142" s="6"/>
      <c r="CS142" s="7"/>
      <c r="CT142" s="6"/>
      <c r="CU142" s="7"/>
      <c r="CV142" s="8">
        <f t="shared" si="21"/>
        <v>0</v>
      </c>
      <c r="CW142" s="9"/>
      <c r="CX142" s="10"/>
      <c r="CY142" s="11"/>
      <c r="CZ142" s="12"/>
      <c r="DA142" s="29"/>
      <c r="DB142" s="12"/>
      <c r="DC142" s="9"/>
      <c r="DD142" s="10"/>
      <c r="DE142" s="71"/>
      <c r="EO142" s="353" t="str">
        <f t="shared" si="22"/>
        <v>CUNDINAMARCA_SAN JUAN DE RIO SECO</v>
      </c>
      <c r="EP142" s="350"/>
      <c r="EQ142" s="350" t="s">
        <v>3884</v>
      </c>
      <c r="ER142" s="358" t="s">
        <v>3887</v>
      </c>
      <c r="ES142" s="350" t="s">
        <v>4783</v>
      </c>
      <c r="ET142" s="350" t="s">
        <v>5932</v>
      </c>
      <c r="EU142" s="350" t="str">
        <f t="shared" si="16"/>
        <v>Antioquia_Sonson</v>
      </c>
    </row>
    <row r="143" spans="1:151" ht="96" x14ac:dyDescent="0.2">
      <c r="A143" s="242">
        <v>40210</v>
      </c>
      <c r="B143" s="107" t="s">
        <v>2007</v>
      </c>
      <c r="C143" s="107" t="s">
        <v>2979</v>
      </c>
      <c r="D143" s="427" t="s">
        <v>1387</v>
      </c>
      <c r="E143" s="107" t="str">
        <f>VLOOKUP(B143&amp;C143,Divipola!$C$2:$F$1138,4,FALSE)</f>
        <v>25805</v>
      </c>
      <c r="F143" s="330"/>
      <c r="G143" s="224"/>
      <c r="H143" s="75"/>
      <c r="I143" s="75"/>
      <c r="J143" s="75"/>
      <c r="K143" s="75"/>
      <c r="L143" s="75"/>
      <c r="M143" s="75"/>
      <c r="N143" s="75"/>
      <c r="O143" s="75"/>
      <c r="P143" s="75"/>
      <c r="Q143" s="75"/>
      <c r="R143" s="75"/>
      <c r="S143" s="75"/>
      <c r="T143" s="75"/>
      <c r="U143" s="75"/>
      <c r="V143" s="76"/>
      <c r="W143" s="205"/>
      <c r="X143" s="1"/>
      <c r="Y143" s="78">
        <f t="shared" si="17"/>
        <v>0</v>
      </c>
      <c r="Z143" s="78">
        <f t="shared" si="18"/>
        <v>0</v>
      </c>
      <c r="AA143" s="78">
        <f t="shared" si="19"/>
        <v>0</v>
      </c>
      <c r="AB143" s="78">
        <f t="shared" si="20"/>
        <v>0</v>
      </c>
      <c r="AC143" s="78"/>
      <c r="AD143" s="78">
        <v>0</v>
      </c>
      <c r="AE143" s="80">
        <f t="shared" si="23"/>
        <v>0</v>
      </c>
      <c r="AF143" s="82">
        <v>0</v>
      </c>
      <c r="AG143" s="69">
        <v>40210</v>
      </c>
      <c r="AH143" s="84"/>
      <c r="AI143" s="69" t="s">
        <v>1984</v>
      </c>
      <c r="AJ143" s="70" t="s">
        <v>1985</v>
      </c>
      <c r="AK143" s="71"/>
      <c r="AL143" s="212" t="s">
        <v>1257</v>
      </c>
      <c r="AM143" s="284" t="s">
        <v>2804</v>
      </c>
      <c r="AN143" s="3"/>
      <c r="AO143" s="4"/>
      <c r="AP143" s="5"/>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6"/>
      <c r="CQ143" s="7"/>
      <c r="CR143" s="6"/>
      <c r="CS143" s="7"/>
      <c r="CT143" s="6"/>
      <c r="CU143" s="7"/>
      <c r="CV143" s="8">
        <f t="shared" si="21"/>
        <v>0</v>
      </c>
      <c r="CW143" s="9"/>
      <c r="CX143" s="10"/>
      <c r="CY143" s="11"/>
      <c r="CZ143" s="12"/>
      <c r="DA143" s="29"/>
      <c r="DB143" s="12"/>
      <c r="DC143" s="9"/>
      <c r="DD143" s="10"/>
      <c r="DE143" s="71"/>
      <c r="EO143" s="353" t="str">
        <f t="shared" si="22"/>
        <v>CUNDINAMARCA_TIBACUY</v>
      </c>
      <c r="EP143" s="350"/>
      <c r="EQ143" s="350" t="s">
        <v>3884</v>
      </c>
      <c r="ER143" s="358" t="s">
        <v>3887</v>
      </c>
      <c r="ES143" s="350" t="s">
        <v>4784</v>
      </c>
      <c r="ET143" s="350" t="s">
        <v>5933</v>
      </c>
      <c r="EU143" s="350" t="str">
        <f t="shared" si="16"/>
        <v>Antioquia_Sopetran</v>
      </c>
    </row>
    <row r="144" spans="1:151" ht="72" x14ac:dyDescent="0.2">
      <c r="A144" s="242">
        <v>40210</v>
      </c>
      <c r="B144" s="107" t="s">
        <v>2007</v>
      </c>
      <c r="C144" s="107" t="s">
        <v>1326</v>
      </c>
      <c r="D144" s="427" t="s">
        <v>1387</v>
      </c>
      <c r="E144" s="107" t="str">
        <f>VLOOKUP(B144&amp;C144,Divipola!$C$2:$F$1138,4,FALSE)</f>
        <v>25862</v>
      </c>
      <c r="F144" s="330"/>
      <c r="G144" s="224"/>
      <c r="H144" s="75"/>
      <c r="I144" s="75"/>
      <c r="J144" s="75"/>
      <c r="K144" s="75"/>
      <c r="L144" s="75"/>
      <c r="M144" s="75"/>
      <c r="N144" s="75"/>
      <c r="O144" s="75"/>
      <c r="P144" s="75"/>
      <c r="Q144" s="75"/>
      <c r="R144" s="75"/>
      <c r="S144" s="75"/>
      <c r="T144" s="75"/>
      <c r="U144" s="75"/>
      <c r="V144" s="76"/>
      <c r="W144" s="205"/>
      <c r="X144" s="1"/>
      <c r="Y144" s="78">
        <f t="shared" si="17"/>
        <v>0</v>
      </c>
      <c r="Z144" s="78">
        <f t="shared" si="18"/>
        <v>0</v>
      </c>
      <c r="AA144" s="78">
        <f t="shared" si="19"/>
        <v>0</v>
      </c>
      <c r="AB144" s="78">
        <f t="shared" si="20"/>
        <v>0</v>
      </c>
      <c r="AC144" s="78"/>
      <c r="AD144" s="78">
        <v>0</v>
      </c>
      <c r="AE144" s="80">
        <f t="shared" si="23"/>
        <v>0</v>
      </c>
      <c r="AF144" s="82">
        <v>0</v>
      </c>
      <c r="AG144" s="69">
        <v>40210</v>
      </c>
      <c r="AH144" s="84"/>
      <c r="AI144" s="69" t="s">
        <v>1984</v>
      </c>
      <c r="AJ144" s="70" t="s">
        <v>1985</v>
      </c>
      <c r="AK144" s="71"/>
      <c r="AL144" s="212" t="s">
        <v>1257</v>
      </c>
      <c r="AM144" s="284" t="s">
        <v>2758</v>
      </c>
      <c r="AN144" s="3"/>
      <c r="AO144" s="4"/>
      <c r="AP144" s="5"/>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6"/>
      <c r="CQ144" s="7"/>
      <c r="CR144" s="6"/>
      <c r="CS144" s="7"/>
      <c r="CT144" s="6"/>
      <c r="CU144" s="7"/>
      <c r="CV144" s="8">
        <f t="shared" si="21"/>
        <v>0</v>
      </c>
      <c r="CW144" s="9"/>
      <c r="CX144" s="10"/>
      <c r="CY144" s="11"/>
      <c r="CZ144" s="12"/>
      <c r="DA144" s="29"/>
      <c r="DB144" s="12"/>
      <c r="DC144" s="9"/>
      <c r="DD144" s="10"/>
      <c r="DE144" s="71"/>
      <c r="EO144" s="364" t="str">
        <f t="shared" si="22"/>
        <v>CUNDINAMARCA_VERGARA</v>
      </c>
      <c r="EP144" s="365"/>
      <c r="EQ144" s="350" t="s">
        <v>3884</v>
      </c>
      <c r="ER144" s="358" t="s">
        <v>3887</v>
      </c>
      <c r="ES144" s="350" t="s">
        <v>4785</v>
      </c>
      <c r="ET144" s="350" t="s">
        <v>5934</v>
      </c>
      <c r="EU144" s="350" t="str">
        <f t="shared" si="16"/>
        <v>Antioquia_Tamesis</v>
      </c>
    </row>
    <row r="145" spans="1:151" ht="48" x14ac:dyDescent="0.2">
      <c r="A145" s="242">
        <v>40210</v>
      </c>
      <c r="B145" s="107" t="s">
        <v>2007</v>
      </c>
      <c r="C145" s="107" t="s">
        <v>1327</v>
      </c>
      <c r="D145" s="427" t="s">
        <v>1387</v>
      </c>
      <c r="E145" s="107" t="str">
        <f>VLOOKUP(B145&amp;C145,Divipola!$C$2:$F$1138,4,FALSE)</f>
        <v>25875</v>
      </c>
      <c r="F145" s="330"/>
      <c r="G145" s="224"/>
      <c r="H145" s="75"/>
      <c r="I145" s="75"/>
      <c r="J145" s="75"/>
      <c r="K145" s="75"/>
      <c r="L145" s="75"/>
      <c r="M145" s="75"/>
      <c r="N145" s="75"/>
      <c r="O145" s="75"/>
      <c r="P145" s="75"/>
      <c r="Q145" s="75"/>
      <c r="R145" s="75"/>
      <c r="S145" s="75"/>
      <c r="T145" s="75"/>
      <c r="U145" s="75"/>
      <c r="V145" s="76"/>
      <c r="W145" s="205"/>
      <c r="X145" s="1"/>
      <c r="Y145" s="78">
        <f t="shared" si="17"/>
        <v>0</v>
      </c>
      <c r="Z145" s="78">
        <f t="shared" si="18"/>
        <v>0</v>
      </c>
      <c r="AA145" s="78">
        <f t="shared" si="19"/>
        <v>0</v>
      </c>
      <c r="AB145" s="78">
        <f t="shared" si="20"/>
        <v>0</v>
      </c>
      <c r="AC145" s="78"/>
      <c r="AD145" s="78">
        <v>0</v>
      </c>
      <c r="AE145" s="80">
        <f t="shared" si="23"/>
        <v>0</v>
      </c>
      <c r="AF145" s="82">
        <v>0</v>
      </c>
      <c r="AG145" s="69">
        <v>40210</v>
      </c>
      <c r="AH145" s="84"/>
      <c r="AI145" s="69" t="s">
        <v>1984</v>
      </c>
      <c r="AJ145" s="70" t="s">
        <v>1985</v>
      </c>
      <c r="AK145" s="71"/>
      <c r="AL145" s="212" t="s">
        <v>1257</v>
      </c>
      <c r="AM145" s="284" t="s">
        <v>2179</v>
      </c>
      <c r="AN145" s="3"/>
      <c r="AO145" s="4"/>
      <c r="AP145" s="5"/>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6"/>
      <c r="CQ145" s="7"/>
      <c r="CR145" s="6"/>
      <c r="CS145" s="7"/>
      <c r="CT145" s="6"/>
      <c r="CU145" s="7"/>
      <c r="CV145" s="8">
        <f t="shared" si="21"/>
        <v>0</v>
      </c>
      <c r="CW145" s="9"/>
      <c r="CX145" s="10"/>
      <c r="CY145" s="11"/>
      <c r="CZ145" s="12"/>
      <c r="DA145" s="29"/>
      <c r="DB145" s="12"/>
      <c r="DC145" s="9"/>
      <c r="DD145" s="10"/>
      <c r="DE145" s="71"/>
      <c r="EO145" s="353" t="str">
        <f t="shared" si="22"/>
        <v>CUNDINAMARCA_VILLETA</v>
      </c>
      <c r="EP145" s="350"/>
      <c r="EQ145" s="350" t="s">
        <v>3884</v>
      </c>
      <c r="ER145" s="358" t="s">
        <v>3887</v>
      </c>
      <c r="ES145" s="350" t="s">
        <v>4786</v>
      </c>
      <c r="ET145" s="350" t="s">
        <v>5935</v>
      </c>
      <c r="EU145" s="350" t="str">
        <f t="shared" si="16"/>
        <v>Antioquia_Taraza</v>
      </c>
    </row>
    <row r="146" spans="1:151" ht="72" x14ac:dyDescent="0.2">
      <c r="A146" s="242">
        <v>40210</v>
      </c>
      <c r="B146" s="107" t="s">
        <v>2007</v>
      </c>
      <c r="C146" s="107" t="s">
        <v>1328</v>
      </c>
      <c r="D146" s="427" t="s">
        <v>1387</v>
      </c>
      <c r="E146" s="107" t="str">
        <f>VLOOKUP(B146&amp;C146,Divipola!$C$2:$F$1138,4,FALSE)</f>
        <v>25878</v>
      </c>
      <c r="F146" s="330"/>
      <c r="G146" s="224"/>
      <c r="H146" s="75"/>
      <c r="I146" s="75"/>
      <c r="J146" s="75"/>
      <c r="K146" s="75"/>
      <c r="L146" s="75"/>
      <c r="M146" s="75"/>
      <c r="N146" s="75"/>
      <c r="O146" s="75"/>
      <c r="P146" s="75"/>
      <c r="Q146" s="75"/>
      <c r="R146" s="75"/>
      <c r="S146" s="75"/>
      <c r="T146" s="75"/>
      <c r="U146" s="75"/>
      <c r="V146" s="76"/>
      <c r="W146" s="205"/>
      <c r="X146" s="1"/>
      <c r="Y146" s="78">
        <f t="shared" si="17"/>
        <v>0</v>
      </c>
      <c r="Z146" s="78">
        <f t="shared" si="18"/>
        <v>0</v>
      </c>
      <c r="AA146" s="78">
        <f t="shared" si="19"/>
        <v>0</v>
      </c>
      <c r="AB146" s="78">
        <f t="shared" si="20"/>
        <v>0</v>
      </c>
      <c r="AC146" s="78"/>
      <c r="AD146" s="78">
        <v>0</v>
      </c>
      <c r="AE146" s="80">
        <f t="shared" si="23"/>
        <v>0</v>
      </c>
      <c r="AF146" s="82">
        <v>0</v>
      </c>
      <c r="AG146" s="69">
        <v>40210</v>
      </c>
      <c r="AH146" s="84"/>
      <c r="AI146" s="69" t="s">
        <v>1984</v>
      </c>
      <c r="AJ146" s="70" t="s">
        <v>1985</v>
      </c>
      <c r="AK146" s="71"/>
      <c r="AL146" s="212" t="s">
        <v>1257</v>
      </c>
      <c r="AM146" s="284" t="s">
        <v>623</v>
      </c>
      <c r="AN146" s="3"/>
      <c r="AO146" s="4"/>
      <c r="AP146" s="5"/>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6"/>
      <c r="CQ146" s="7"/>
      <c r="CR146" s="6"/>
      <c r="CS146" s="7"/>
      <c r="CT146" s="6"/>
      <c r="CU146" s="7"/>
      <c r="CV146" s="8">
        <f t="shared" si="21"/>
        <v>0</v>
      </c>
      <c r="CW146" s="9"/>
      <c r="CX146" s="10"/>
      <c r="CY146" s="11"/>
      <c r="CZ146" s="12"/>
      <c r="DA146" s="29"/>
      <c r="DB146" s="12"/>
      <c r="DC146" s="9"/>
      <c r="DD146" s="10"/>
      <c r="DE146" s="71"/>
      <c r="EO146" s="353" t="str">
        <f t="shared" si="22"/>
        <v>CUNDINAMARCA_VIOTA</v>
      </c>
      <c r="EP146" s="350"/>
      <c r="EQ146" s="350" t="s">
        <v>3884</v>
      </c>
      <c r="ER146" s="358" t="s">
        <v>3887</v>
      </c>
      <c r="ES146" s="350" t="s">
        <v>4787</v>
      </c>
      <c r="ET146" s="350" t="s">
        <v>5936</v>
      </c>
      <c r="EU146" s="350" t="str">
        <f t="shared" si="16"/>
        <v>Antioquia_Tarso</v>
      </c>
    </row>
    <row r="147" spans="1:151" ht="72" x14ac:dyDescent="0.2">
      <c r="A147" s="242">
        <v>40210</v>
      </c>
      <c r="B147" s="107" t="s">
        <v>2007</v>
      </c>
      <c r="C147" s="107" t="s">
        <v>1329</v>
      </c>
      <c r="D147" s="427" t="s">
        <v>1387</v>
      </c>
      <c r="E147" s="107" t="str">
        <f>VLOOKUP(B147&amp;C147,Divipola!$C$2:$F$1138,4,FALSE)</f>
        <v>25885</v>
      </c>
      <c r="F147" s="330"/>
      <c r="G147" s="224"/>
      <c r="H147" s="75"/>
      <c r="I147" s="75"/>
      <c r="J147" s="75"/>
      <c r="K147" s="75"/>
      <c r="L147" s="75"/>
      <c r="M147" s="75"/>
      <c r="N147" s="75"/>
      <c r="O147" s="75"/>
      <c r="P147" s="75"/>
      <c r="Q147" s="75"/>
      <c r="R147" s="75"/>
      <c r="S147" s="75"/>
      <c r="T147" s="75"/>
      <c r="U147" s="75"/>
      <c r="V147" s="76"/>
      <c r="W147" s="205"/>
      <c r="X147" s="1"/>
      <c r="Y147" s="78">
        <f t="shared" si="17"/>
        <v>0</v>
      </c>
      <c r="Z147" s="78">
        <f t="shared" si="18"/>
        <v>0</v>
      </c>
      <c r="AA147" s="78">
        <f t="shared" si="19"/>
        <v>0</v>
      </c>
      <c r="AB147" s="78">
        <f t="shared" si="20"/>
        <v>0</v>
      </c>
      <c r="AC147" s="78"/>
      <c r="AD147" s="78">
        <v>0</v>
      </c>
      <c r="AE147" s="80">
        <f t="shared" si="23"/>
        <v>0</v>
      </c>
      <c r="AF147" s="82">
        <v>0</v>
      </c>
      <c r="AG147" s="69">
        <v>40210</v>
      </c>
      <c r="AH147" s="84"/>
      <c r="AI147" s="69" t="s">
        <v>1984</v>
      </c>
      <c r="AJ147" s="70" t="s">
        <v>1985</v>
      </c>
      <c r="AK147" s="71"/>
      <c r="AL147" s="212" t="s">
        <v>1257</v>
      </c>
      <c r="AM147" s="284" t="s">
        <v>2759</v>
      </c>
      <c r="AN147" s="3"/>
      <c r="AO147" s="4"/>
      <c r="AP147" s="5"/>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6"/>
      <c r="CQ147" s="7"/>
      <c r="CR147" s="6"/>
      <c r="CS147" s="7"/>
      <c r="CT147" s="6"/>
      <c r="CU147" s="7"/>
      <c r="CV147" s="8">
        <f t="shared" si="21"/>
        <v>0</v>
      </c>
      <c r="CW147" s="9"/>
      <c r="CX147" s="10"/>
      <c r="CY147" s="11"/>
      <c r="CZ147" s="12"/>
      <c r="DA147" s="29"/>
      <c r="DB147" s="12"/>
      <c r="DC147" s="9"/>
      <c r="DD147" s="10"/>
      <c r="DE147" s="71"/>
      <c r="EO147" s="353" t="str">
        <f t="shared" si="22"/>
        <v>CUNDINAMARCA_YACOPI</v>
      </c>
      <c r="EP147" s="350"/>
      <c r="EQ147" s="350" t="s">
        <v>3884</v>
      </c>
      <c r="ER147" s="358" t="s">
        <v>3887</v>
      </c>
      <c r="ES147" s="350" t="s">
        <v>4788</v>
      </c>
      <c r="ET147" s="350" t="s">
        <v>5937</v>
      </c>
      <c r="EU147" s="350" t="str">
        <f t="shared" si="16"/>
        <v>Antioquia_Titiribi</v>
      </c>
    </row>
    <row r="148" spans="1:151" ht="84" x14ac:dyDescent="0.2">
      <c r="A148" s="242">
        <v>40210</v>
      </c>
      <c r="B148" s="107" t="s">
        <v>2007</v>
      </c>
      <c r="C148" s="107" t="s">
        <v>1330</v>
      </c>
      <c r="D148" s="427" t="s">
        <v>1387</v>
      </c>
      <c r="E148" s="107" t="str">
        <f>VLOOKUP(B148&amp;C148,Divipola!$C$2:$F$1138,4,FALSE)</f>
        <v>25898</v>
      </c>
      <c r="F148" s="330"/>
      <c r="G148" s="224"/>
      <c r="H148" s="75"/>
      <c r="I148" s="75"/>
      <c r="J148" s="75"/>
      <c r="K148" s="75"/>
      <c r="L148" s="75"/>
      <c r="M148" s="75"/>
      <c r="N148" s="75"/>
      <c r="O148" s="75"/>
      <c r="P148" s="75"/>
      <c r="Q148" s="75"/>
      <c r="R148" s="75"/>
      <c r="S148" s="75"/>
      <c r="T148" s="75"/>
      <c r="U148" s="75"/>
      <c r="V148" s="76"/>
      <c r="W148" s="205"/>
      <c r="X148" s="1"/>
      <c r="Y148" s="78">
        <f t="shared" si="17"/>
        <v>0</v>
      </c>
      <c r="Z148" s="78">
        <f t="shared" si="18"/>
        <v>0</v>
      </c>
      <c r="AA148" s="78">
        <f t="shared" si="19"/>
        <v>0</v>
      </c>
      <c r="AB148" s="78">
        <f t="shared" si="20"/>
        <v>0</v>
      </c>
      <c r="AC148" s="78"/>
      <c r="AD148" s="78">
        <v>0</v>
      </c>
      <c r="AE148" s="80">
        <f t="shared" si="23"/>
        <v>0</v>
      </c>
      <c r="AF148" s="82">
        <v>0</v>
      </c>
      <c r="AG148" s="69">
        <v>40210</v>
      </c>
      <c r="AH148" s="84"/>
      <c r="AI148" s="69" t="s">
        <v>1984</v>
      </c>
      <c r="AJ148" s="70" t="s">
        <v>1985</v>
      </c>
      <c r="AK148" s="71"/>
      <c r="AL148" s="212" t="s">
        <v>1257</v>
      </c>
      <c r="AM148" s="284" t="s">
        <v>1566</v>
      </c>
      <c r="AN148" s="3"/>
      <c r="AO148" s="4"/>
      <c r="AP148" s="5"/>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6"/>
      <c r="CQ148" s="7"/>
      <c r="CR148" s="6"/>
      <c r="CS148" s="7"/>
      <c r="CT148" s="6"/>
      <c r="CU148" s="7"/>
      <c r="CV148" s="8">
        <f t="shared" si="21"/>
        <v>0</v>
      </c>
      <c r="CW148" s="9"/>
      <c r="CX148" s="10"/>
      <c r="CY148" s="11"/>
      <c r="CZ148" s="12"/>
      <c r="DA148" s="29"/>
      <c r="DB148" s="12"/>
      <c r="DC148" s="9"/>
      <c r="DD148" s="10"/>
      <c r="DE148" s="71"/>
      <c r="EO148" s="353" t="str">
        <f t="shared" si="22"/>
        <v>CUNDINAMARCA_ZIPACON</v>
      </c>
      <c r="EP148" s="350"/>
      <c r="EQ148" s="365" t="s">
        <v>3884</v>
      </c>
      <c r="ER148" s="358" t="s">
        <v>3887</v>
      </c>
      <c r="ES148" s="365" t="s">
        <v>4789</v>
      </c>
      <c r="ET148" s="365" t="s">
        <v>5938</v>
      </c>
      <c r="EU148" s="365" t="str">
        <f t="shared" si="16"/>
        <v>Antioquia_Toledo</v>
      </c>
    </row>
    <row r="149" spans="1:151" ht="108" x14ac:dyDescent="0.2">
      <c r="A149" s="242">
        <v>40210</v>
      </c>
      <c r="B149" s="107" t="s">
        <v>2007</v>
      </c>
      <c r="C149" s="107" t="s">
        <v>1331</v>
      </c>
      <c r="D149" s="427" t="s">
        <v>1387</v>
      </c>
      <c r="E149" s="107" t="str">
        <f>VLOOKUP(B149&amp;C149,Divipola!$C$2:$F$1138,4,FALSE)</f>
        <v>25899</v>
      </c>
      <c r="F149" s="330"/>
      <c r="G149" s="224"/>
      <c r="H149" s="75"/>
      <c r="I149" s="75"/>
      <c r="J149" s="75"/>
      <c r="K149" s="75"/>
      <c r="L149" s="75"/>
      <c r="M149" s="75"/>
      <c r="N149" s="75"/>
      <c r="O149" s="75"/>
      <c r="P149" s="75"/>
      <c r="Q149" s="75"/>
      <c r="R149" s="75"/>
      <c r="S149" s="75"/>
      <c r="T149" s="75"/>
      <c r="U149" s="75"/>
      <c r="V149" s="76"/>
      <c r="W149" s="205"/>
      <c r="X149" s="1"/>
      <c r="Y149" s="78">
        <f t="shared" si="17"/>
        <v>0</v>
      </c>
      <c r="Z149" s="78">
        <f t="shared" si="18"/>
        <v>0</v>
      </c>
      <c r="AA149" s="78">
        <f t="shared" si="19"/>
        <v>0</v>
      </c>
      <c r="AB149" s="78">
        <f t="shared" si="20"/>
        <v>0</v>
      </c>
      <c r="AC149" s="78"/>
      <c r="AD149" s="78">
        <v>0</v>
      </c>
      <c r="AE149" s="80">
        <f t="shared" si="23"/>
        <v>0</v>
      </c>
      <c r="AF149" s="82">
        <v>0</v>
      </c>
      <c r="AG149" s="69">
        <v>40210</v>
      </c>
      <c r="AH149" s="84"/>
      <c r="AI149" s="69" t="s">
        <v>1984</v>
      </c>
      <c r="AJ149" s="70" t="s">
        <v>1985</v>
      </c>
      <c r="AK149" s="71"/>
      <c r="AL149" s="212" t="s">
        <v>1257</v>
      </c>
      <c r="AM149" s="284" t="s">
        <v>1567</v>
      </c>
      <c r="AN149" s="3"/>
      <c r="AO149" s="4"/>
      <c r="AP149" s="5"/>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6"/>
      <c r="CQ149" s="7"/>
      <c r="CR149" s="6"/>
      <c r="CS149" s="7"/>
      <c r="CT149" s="6"/>
      <c r="CU149" s="7"/>
      <c r="CV149" s="8">
        <f t="shared" si="21"/>
        <v>0</v>
      </c>
      <c r="CW149" s="9"/>
      <c r="CX149" s="10"/>
      <c r="CY149" s="11"/>
      <c r="CZ149" s="12"/>
      <c r="DA149" s="29"/>
      <c r="DB149" s="12"/>
      <c r="DC149" s="9"/>
      <c r="DD149" s="10"/>
      <c r="DE149" s="71"/>
      <c r="EO149" s="353" t="str">
        <f t="shared" si="22"/>
        <v>CUNDINAMARCA_ZIPAQUIRA</v>
      </c>
      <c r="EP149" s="350"/>
      <c r="EQ149" s="350" t="s">
        <v>3884</v>
      </c>
      <c r="ER149" s="358" t="s">
        <v>3887</v>
      </c>
      <c r="ES149" s="350" t="s">
        <v>4790</v>
      </c>
      <c r="ET149" s="350" t="s">
        <v>5939</v>
      </c>
      <c r="EU149" s="350" t="str">
        <f t="shared" si="16"/>
        <v>Antioquia_Turbo</v>
      </c>
    </row>
    <row r="150" spans="1:151" ht="48" x14ac:dyDescent="0.2">
      <c r="A150" s="242">
        <v>40210</v>
      </c>
      <c r="B150" s="107" t="s">
        <v>1333</v>
      </c>
      <c r="C150" s="107" t="s">
        <v>4425</v>
      </c>
      <c r="D150" s="427" t="s">
        <v>1387</v>
      </c>
      <c r="E150" s="107" t="str">
        <f>VLOOKUP(B150&amp;C150,Divipola!$C$2:$F$1138,4,FALSE)</f>
        <v>41132</v>
      </c>
      <c r="F150" s="330"/>
      <c r="G150" s="224"/>
      <c r="H150" s="75"/>
      <c r="I150" s="75"/>
      <c r="J150" s="75"/>
      <c r="K150" s="75"/>
      <c r="L150" s="75"/>
      <c r="M150" s="75"/>
      <c r="N150" s="75"/>
      <c r="O150" s="75"/>
      <c r="P150" s="75"/>
      <c r="Q150" s="75"/>
      <c r="R150" s="75"/>
      <c r="S150" s="75"/>
      <c r="T150" s="75"/>
      <c r="U150" s="75"/>
      <c r="V150" s="76"/>
      <c r="W150" s="205"/>
      <c r="X150" s="1"/>
      <c r="Y150" s="78">
        <f t="shared" si="17"/>
        <v>0</v>
      </c>
      <c r="Z150" s="78">
        <f t="shared" si="18"/>
        <v>0</v>
      </c>
      <c r="AA150" s="78">
        <f t="shared" si="19"/>
        <v>0</v>
      </c>
      <c r="AB150" s="78">
        <f t="shared" si="20"/>
        <v>0</v>
      </c>
      <c r="AC150" s="78"/>
      <c r="AD150" s="78">
        <v>0</v>
      </c>
      <c r="AE150" s="80">
        <f t="shared" si="23"/>
        <v>0</v>
      </c>
      <c r="AF150" s="82">
        <v>0</v>
      </c>
      <c r="AG150" s="69">
        <v>40210</v>
      </c>
      <c r="AH150" s="84"/>
      <c r="AI150" s="69" t="s">
        <v>1984</v>
      </c>
      <c r="AJ150" s="70" t="s">
        <v>1985</v>
      </c>
      <c r="AK150" s="71"/>
      <c r="AL150" s="212" t="s">
        <v>1257</v>
      </c>
      <c r="AM150" s="284" t="s">
        <v>2179</v>
      </c>
      <c r="AN150" s="3"/>
      <c r="AO150" s="4"/>
      <c r="AP150" s="5"/>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6"/>
      <c r="CQ150" s="7"/>
      <c r="CR150" s="6"/>
      <c r="CS150" s="7"/>
      <c r="CT150" s="6"/>
      <c r="CU150" s="7"/>
      <c r="CV150" s="8">
        <f t="shared" si="21"/>
        <v>0</v>
      </c>
      <c r="CW150" s="9"/>
      <c r="CX150" s="10"/>
      <c r="CY150" s="11"/>
      <c r="CZ150" s="12"/>
      <c r="DA150" s="29"/>
      <c r="DB150" s="12"/>
      <c r="DC150" s="9"/>
      <c r="DD150" s="10"/>
      <c r="DE150" s="71"/>
      <c r="EO150" s="353" t="str">
        <f t="shared" si="22"/>
        <v>HUILA_CAMPOALEGRE</v>
      </c>
      <c r="EP150" s="350"/>
      <c r="EQ150" s="350" t="s">
        <v>3884</v>
      </c>
      <c r="ER150" s="358" t="s">
        <v>3887</v>
      </c>
      <c r="ES150" s="350" t="s">
        <v>4791</v>
      </c>
      <c r="ET150" s="350" t="s">
        <v>5940</v>
      </c>
      <c r="EU150" s="350" t="str">
        <f t="shared" si="16"/>
        <v>Antioquia_Uramita</v>
      </c>
    </row>
    <row r="151" spans="1:151" ht="48" x14ac:dyDescent="0.2">
      <c r="A151" s="242">
        <v>40210</v>
      </c>
      <c r="B151" s="107" t="s">
        <v>1333</v>
      </c>
      <c r="C151" s="107" t="s">
        <v>1334</v>
      </c>
      <c r="D151" s="427" t="s">
        <v>1387</v>
      </c>
      <c r="E151" s="107" t="str">
        <f>VLOOKUP(B151&amp;C151,Divipola!$C$2:$F$1138,4,FALSE)</f>
        <v>41483</v>
      </c>
      <c r="F151" s="330"/>
      <c r="G151" s="224"/>
      <c r="H151" s="75"/>
      <c r="I151" s="75"/>
      <c r="J151" s="75"/>
      <c r="K151" s="75"/>
      <c r="L151" s="75"/>
      <c r="M151" s="75"/>
      <c r="N151" s="75"/>
      <c r="O151" s="75"/>
      <c r="P151" s="75"/>
      <c r="Q151" s="75"/>
      <c r="R151" s="75"/>
      <c r="S151" s="75"/>
      <c r="T151" s="75"/>
      <c r="U151" s="75"/>
      <c r="V151" s="76"/>
      <c r="W151" s="205"/>
      <c r="X151" s="1"/>
      <c r="Y151" s="78">
        <f t="shared" si="17"/>
        <v>0</v>
      </c>
      <c r="Z151" s="78">
        <f t="shared" si="18"/>
        <v>0</v>
      </c>
      <c r="AA151" s="78">
        <f t="shared" si="19"/>
        <v>0</v>
      </c>
      <c r="AB151" s="78">
        <f t="shared" si="20"/>
        <v>0</v>
      </c>
      <c r="AC151" s="78"/>
      <c r="AD151" s="78">
        <v>0</v>
      </c>
      <c r="AE151" s="80">
        <f t="shared" si="23"/>
        <v>0</v>
      </c>
      <c r="AF151" s="82">
        <v>0</v>
      </c>
      <c r="AG151" s="69">
        <v>40210</v>
      </c>
      <c r="AH151" s="84"/>
      <c r="AI151" s="69" t="s">
        <v>1984</v>
      </c>
      <c r="AJ151" s="70" t="s">
        <v>1985</v>
      </c>
      <c r="AK151" s="71"/>
      <c r="AL151" s="212" t="s">
        <v>1257</v>
      </c>
      <c r="AM151" s="284" t="s">
        <v>2179</v>
      </c>
      <c r="AN151" s="3"/>
      <c r="AO151" s="4"/>
      <c r="AP151" s="5"/>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6"/>
      <c r="CQ151" s="7"/>
      <c r="CR151" s="6"/>
      <c r="CS151" s="7"/>
      <c r="CT151" s="6"/>
      <c r="CU151" s="7"/>
      <c r="CV151" s="8">
        <f t="shared" si="21"/>
        <v>0</v>
      </c>
      <c r="CW151" s="9"/>
      <c r="CX151" s="10"/>
      <c r="CY151" s="11"/>
      <c r="CZ151" s="12"/>
      <c r="DA151" s="29"/>
      <c r="DB151" s="12"/>
      <c r="DC151" s="9"/>
      <c r="DD151" s="10"/>
      <c r="DE151" s="71"/>
      <c r="EO151" s="353" t="str">
        <f t="shared" si="22"/>
        <v>HUILA_NATAGA</v>
      </c>
      <c r="EP151" s="350"/>
      <c r="EQ151" s="350" t="s">
        <v>3884</v>
      </c>
      <c r="ER151" s="358" t="s">
        <v>3887</v>
      </c>
      <c r="ES151" s="350" t="s">
        <v>4792</v>
      </c>
      <c r="ET151" s="350" t="s">
        <v>5941</v>
      </c>
      <c r="EU151" s="350" t="str">
        <f t="shared" si="16"/>
        <v>Antioquia_Urrao</v>
      </c>
    </row>
    <row r="152" spans="1:151" ht="48" x14ac:dyDescent="0.2">
      <c r="A152" s="242">
        <v>40210</v>
      </c>
      <c r="B152" s="107" t="s">
        <v>1333</v>
      </c>
      <c r="C152" s="107" t="s">
        <v>1335</v>
      </c>
      <c r="D152" s="427" t="s">
        <v>1387</v>
      </c>
      <c r="E152" s="107" t="str">
        <f>VLOOKUP(B152&amp;C152,Divipola!$C$2:$F$1138,4,FALSE)</f>
        <v>41668</v>
      </c>
      <c r="F152" s="330"/>
      <c r="G152" s="224"/>
      <c r="H152" s="75"/>
      <c r="I152" s="75"/>
      <c r="J152" s="75"/>
      <c r="K152" s="75"/>
      <c r="L152" s="75"/>
      <c r="M152" s="75"/>
      <c r="N152" s="75"/>
      <c r="O152" s="75"/>
      <c r="P152" s="75"/>
      <c r="Q152" s="75"/>
      <c r="R152" s="75"/>
      <c r="S152" s="75"/>
      <c r="T152" s="75"/>
      <c r="U152" s="75"/>
      <c r="V152" s="76"/>
      <c r="W152" s="205"/>
      <c r="X152" s="1"/>
      <c r="Y152" s="78">
        <f t="shared" si="17"/>
        <v>0</v>
      </c>
      <c r="Z152" s="78">
        <f t="shared" si="18"/>
        <v>0</v>
      </c>
      <c r="AA152" s="78">
        <f t="shared" si="19"/>
        <v>0</v>
      </c>
      <c r="AB152" s="78">
        <f t="shared" si="20"/>
        <v>0</v>
      </c>
      <c r="AC152" s="78"/>
      <c r="AD152" s="78">
        <v>0</v>
      </c>
      <c r="AE152" s="80">
        <f t="shared" si="23"/>
        <v>0</v>
      </c>
      <c r="AF152" s="82">
        <v>0</v>
      </c>
      <c r="AG152" s="69">
        <v>40210</v>
      </c>
      <c r="AH152" s="84"/>
      <c r="AI152" s="69" t="s">
        <v>1984</v>
      </c>
      <c r="AJ152" s="70" t="s">
        <v>1985</v>
      </c>
      <c r="AK152" s="71"/>
      <c r="AL152" s="212" t="s">
        <v>1257</v>
      </c>
      <c r="AM152" s="284" t="s">
        <v>2179</v>
      </c>
      <c r="AN152" s="3"/>
      <c r="AO152" s="4"/>
      <c r="AP152" s="5"/>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6"/>
      <c r="CQ152" s="7"/>
      <c r="CR152" s="6"/>
      <c r="CS152" s="7"/>
      <c r="CT152" s="6"/>
      <c r="CU152" s="7"/>
      <c r="CV152" s="8">
        <f t="shared" si="21"/>
        <v>0</v>
      </c>
      <c r="CW152" s="9"/>
      <c r="CX152" s="10"/>
      <c r="CY152" s="11"/>
      <c r="CZ152" s="12"/>
      <c r="DA152" s="29"/>
      <c r="DB152" s="12"/>
      <c r="DC152" s="9"/>
      <c r="DD152" s="10"/>
      <c r="DE152" s="71"/>
      <c r="EO152" s="366" t="str">
        <f t="shared" si="22"/>
        <v>HUILA_SAN AGUSTIN</v>
      </c>
      <c r="EP152" s="357"/>
      <c r="EQ152" s="350" t="s">
        <v>3884</v>
      </c>
      <c r="ER152" s="358" t="s">
        <v>3887</v>
      </c>
      <c r="ES152" s="350" t="s">
        <v>4793</v>
      </c>
      <c r="ET152" s="350" t="s">
        <v>5942</v>
      </c>
      <c r="EU152" s="350" t="str">
        <f t="shared" si="16"/>
        <v>Antioquia_Valdivia</v>
      </c>
    </row>
    <row r="153" spans="1:151" ht="132" x14ac:dyDescent="0.2">
      <c r="A153" s="242">
        <v>40210</v>
      </c>
      <c r="B153" s="107" t="s">
        <v>5778</v>
      </c>
      <c r="C153" s="107" t="s">
        <v>2424</v>
      </c>
      <c r="D153" s="427" t="s">
        <v>1387</v>
      </c>
      <c r="E153" s="107" t="str">
        <f>VLOOKUP(B153&amp;C153,Divipola!$C$2:$F$1138,4,FALSE)</f>
        <v>44560</v>
      </c>
      <c r="F153" s="330"/>
      <c r="G153" s="224"/>
      <c r="H153" s="75"/>
      <c r="I153" s="75"/>
      <c r="J153" s="75"/>
      <c r="K153" s="75"/>
      <c r="L153" s="75"/>
      <c r="M153" s="75"/>
      <c r="N153" s="75"/>
      <c r="O153" s="75"/>
      <c r="P153" s="75"/>
      <c r="Q153" s="75"/>
      <c r="R153" s="75"/>
      <c r="S153" s="75"/>
      <c r="T153" s="75"/>
      <c r="U153" s="75"/>
      <c r="V153" s="76"/>
      <c r="W153" s="205"/>
      <c r="X153" s="1"/>
      <c r="Y153" s="78">
        <f t="shared" si="17"/>
        <v>0</v>
      </c>
      <c r="Z153" s="78">
        <f t="shared" si="18"/>
        <v>0</v>
      </c>
      <c r="AA153" s="78">
        <f t="shared" si="19"/>
        <v>0</v>
      </c>
      <c r="AB153" s="78">
        <f t="shared" si="20"/>
        <v>0</v>
      </c>
      <c r="AC153" s="78"/>
      <c r="AD153" s="78">
        <v>0</v>
      </c>
      <c r="AE153" s="80">
        <f t="shared" si="23"/>
        <v>0</v>
      </c>
      <c r="AF153" s="82">
        <v>0</v>
      </c>
      <c r="AG153" s="69">
        <v>40210</v>
      </c>
      <c r="AH153" s="84"/>
      <c r="AI153" s="69" t="s">
        <v>1984</v>
      </c>
      <c r="AJ153" s="25" t="s">
        <v>1985</v>
      </c>
      <c r="AK153" s="65"/>
      <c r="AL153" s="185" t="s">
        <v>1257</v>
      </c>
      <c r="AM153" s="86" t="s">
        <v>99</v>
      </c>
      <c r="AN153" s="3"/>
      <c r="AO153" s="4"/>
      <c r="AP153" s="5"/>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6"/>
      <c r="CQ153" s="7"/>
      <c r="CR153" s="6"/>
      <c r="CS153" s="7"/>
      <c r="CT153" s="6"/>
      <c r="CU153" s="7"/>
      <c r="CV153" s="8">
        <f t="shared" si="21"/>
        <v>0</v>
      </c>
      <c r="CW153" s="9"/>
      <c r="CX153" s="10"/>
      <c r="CY153" s="11"/>
      <c r="CZ153" s="12"/>
      <c r="DA153" s="29"/>
      <c r="DB153" s="12"/>
      <c r="DC153" s="9"/>
      <c r="DD153" s="10"/>
      <c r="DE153" s="71"/>
      <c r="EO153" s="353" t="str">
        <f t="shared" si="22"/>
        <v>LA GUAJIRA_MANAURE</v>
      </c>
      <c r="EP153" s="350"/>
      <c r="EQ153" s="350" t="s">
        <v>3884</v>
      </c>
      <c r="ER153" s="358" t="s">
        <v>3887</v>
      </c>
      <c r="ES153" s="350" t="s">
        <v>4794</v>
      </c>
      <c r="ET153" s="350" t="s">
        <v>5943</v>
      </c>
      <c r="EU153" s="350" t="str">
        <f t="shared" si="16"/>
        <v>Antioquia_Valparaiso</v>
      </c>
    </row>
    <row r="154" spans="1:151" ht="132" x14ac:dyDescent="0.2">
      <c r="A154" s="242">
        <v>40210</v>
      </c>
      <c r="B154" s="107" t="s">
        <v>5778</v>
      </c>
      <c r="C154" s="107" t="s">
        <v>1332</v>
      </c>
      <c r="D154" s="427" t="s">
        <v>1387</v>
      </c>
      <c r="E154" s="107" t="str">
        <f>VLOOKUP(B154&amp;C154,Divipola!$C$2:$F$1138,4,FALSE)</f>
        <v>44847</v>
      </c>
      <c r="F154" s="330"/>
      <c r="G154" s="224"/>
      <c r="H154" s="75"/>
      <c r="I154" s="75"/>
      <c r="J154" s="75"/>
      <c r="K154" s="75"/>
      <c r="L154" s="75"/>
      <c r="M154" s="75"/>
      <c r="N154" s="75"/>
      <c r="O154" s="75"/>
      <c r="P154" s="75"/>
      <c r="Q154" s="75"/>
      <c r="R154" s="75"/>
      <c r="S154" s="75"/>
      <c r="T154" s="75"/>
      <c r="U154" s="75"/>
      <c r="V154" s="76"/>
      <c r="W154" s="205"/>
      <c r="X154" s="1"/>
      <c r="Y154" s="78">
        <f t="shared" si="17"/>
        <v>0</v>
      </c>
      <c r="Z154" s="78">
        <f t="shared" si="18"/>
        <v>0</v>
      </c>
      <c r="AA154" s="78">
        <f t="shared" si="19"/>
        <v>0</v>
      </c>
      <c r="AB154" s="78">
        <f t="shared" si="20"/>
        <v>0</v>
      </c>
      <c r="AC154" s="78"/>
      <c r="AD154" s="78">
        <v>0</v>
      </c>
      <c r="AE154" s="80">
        <f t="shared" si="23"/>
        <v>0</v>
      </c>
      <c r="AF154" s="82">
        <v>0</v>
      </c>
      <c r="AG154" s="69">
        <v>40210</v>
      </c>
      <c r="AH154" s="84"/>
      <c r="AI154" s="69" t="s">
        <v>1984</v>
      </c>
      <c r="AJ154" s="25" t="s">
        <v>1985</v>
      </c>
      <c r="AK154" s="65"/>
      <c r="AL154" s="185" t="s">
        <v>1257</v>
      </c>
      <c r="AM154" s="86" t="s">
        <v>99</v>
      </c>
      <c r="AN154" s="3"/>
      <c r="AO154" s="4"/>
      <c r="AP154" s="5"/>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6"/>
      <c r="CQ154" s="7"/>
      <c r="CR154" s="6"/>
      <c r="CS154" s="7"/>
      <c r="CT154" s="6"/>
      <c r="CU154" s="7"/>
      <c r="CV154" s="8">
        <f t="shared" si="21"/>
        <v>0</v>
      </c>
      <c r="CW154" s="9"/>
      <c r="CX154" s="10"/>
      <c r="CY154" s="11"/>
      <c r="CZ154" s="12"/>
      <c r="DA154" s="29"/>
      <c r="DB154" s="12"/>
      <c r="DC154" s="9"/>
      <c r="DD154" s="10"/>
      <c r="DE154" s="71"/>
      <c r="EO154" s="353" t="str">
        <f t="shared" si="22"/>
        <v>LA GUAJIRA_URIBIA</v>
      </c>
      <c r="EP154" s="350"/>
      <c r="EQ154" s="350" t="s">
        <v>3884</v>
      </c>
      <c r="ER154" s="358" t="s">
        <v>3887</v>
      </c>
      <c r="ES154" s="350" t="s">
        <v>4795</v>
      </c>
      <c r="ET154" s="350" t="s">
        <v>5944</v>
      </c>
      <c r="EU154" s="350" t="str">
        <f t="shared" si="16"/>
        <v>Antioquia_Vegachi</v>
      </c>
    </row>
    <row r="155" spans="1:151" ht="36" x14ac:dyDescent="0.2">
      <c r="A155" s="242">
        <v>40210</v>
      </c>
      <c r="B155" s="107" t="s">
        <v>2245</v>
      </c>
      <c r="C155" s="232" t="s">
        <v>2296</v>
      </c>
      <c r="D155" s="427" t="s">
        <v>1546</v>
      </c>
      <c r="E155" s="107" t="str">
        <f>VLOOKUP(B155&amp;C155,Divipola!$C$2:$F$1138,4,FALSE)</f>
        <v>52250</v>
      </c>
      <c r="F155" s="330"/>
      <c r="G155" s="224"/>
      <c r="H155" s="75"/>
      <c r="I155" s="75"/>
      <c r="J155" s="75">
        <v>20</v>
      </c>
      <c r="K155" s="75">
        <v>4</v>
      </c>
      <c r="L155" s="75"/>
      <c r="M155" s="75">
        <v>4</v>
      </c>
      <c r="N155" s="75"/>
      <c r="O155" s="75"/>
      <c r="P155" s="75"/>
      <c r="Q155" s="75"/>
      <c r="R155" s="75"/>
      <c r="S155" s="75"/>
      <c r="T155" s="75"/>
      <c r="U155" s="75"/>
      <c r="V155" s="76"/>
      <c r="W155" s="205"/>
      <c r="X155" s="1"/>
      <c r="Y155" s="78">
        <f t="shared" si="17"/>
        <v>0</v>
      </c>
      <c r="Z155" s="78">
        <f t="shared" si="18"/>
        <v>0</v>
      </c>
      <c r="AA155" s="78">
        <f t="shared" si="19"/>
        <v>0</v>
      </c>
      <c r="AB155" s="78">
        <f t="shared" si="20"/>
        <v>0</v>
      </c>
      <c r="AC155" s="78"/>
      <c r="AD155" s="78">
        <v>0</v>
      </c>
      <c r="AE155" s="80">
        <f t="shared" si="23"/>
        <v>0</v>
      </c>
      <c r="AF155" s="82">
        <v>0</v>
      </c>
      <c r="AG155" s="69">
        <v>40210</v>
      </c>
      <c r="AH155" s="84"/>
      <c r="AI155" s="69" t="s">
        <v>1984</v>
      </c>
      <c r="AJ155" s="25" t="s">
        <v>1985</v>
      </c>
      <c r="AK155" s="65"/>
      <c r="AL155" s="185" t="s">
        <v>1257</v>
      </c>
      <c r="AM155" s="85" t="s">
        <v>1254</v>
      </c>
      <c r="AN155" s="3"/>
      <c r="AO155" s="4"/>
      <c r="AP155" s="5"/>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6"/>
      <c r="CQ155" s="7"/>
      <c r="CR155" s="6"/>
      <c r="CS155" s="7"/>
      <c r="CT155" s="6"/>
      <c r="CU155" s="7"/>
      <c r="CV155" s="8">
        <f t="shared" si="21"/>
        <v>0</v>
      </c>
      <c r="CW155" s="9"/>
      <c r="CX155" s="10"/>
      <c r="CY155" s="11"/>
      <c r="CZ155" s="12"/>
      <c r="DA155" s="29"/>
      <c r="DB155" s="12"/>
      <c r="DC155" s="9"/>
      <c r="DD155" s="10"/>
      <c r="DE155" s="71"/>
      <c r="EO155" s="353" t="str">
        <f t="shared" si="22"/>
        <v>NARIÑO_EL CHARCO</v>
      </c>
      <c r="EP155" s="350"/>
      <c r="EQ155" s="350" t="s">
        <v>3884</v>
      </c>
      <c r="ER155" s="358" t="s">
        <v>3887</v>
      </c>
      <c r="ES155" s="350" t="s">
        <v>4796</v>
      </c>
      <c r="ET155" s="350" t="s">
        <v>5945</v>
      </c>
      <c r="EU155" s="350" t="str">
        <f t="shared" si="16"/>
        <v>Antioquia_Venecia</v>
      </c>
    </row>
    <row r="156" spans="1:151" ht="84" x14ac:dyDescent="0.2">
      <c r="A156" s="242">
        <v>40210</v>
      </c>
      <c r="B156" s="107" t="s">
        <v>1336</v>
      </c>
      <c r="C156" s="107" t="s">
        <v>1379</v>
      </c>
      <c r="D156" s="427" t="s">
        <v>1387</v>
      </c>
      <c r="E156" s="107" t="str">
        <f>VLOOKUP(B156&amp;C156,Divipola!$C$2:$F$1138,4,FALSE)</f>
        <v>54174</v>
      </c>
      <c r="F156" s="330"/>
      <c r="G156" s="224"/>
      <c r="H156" s="75"/>
      <c r="I156" s="75"/>
      <c r="J156" s="75"/>
      <c r="K156" s="75"/>
      <c r="L156" s="75"/>
      <c r="M156" s="75"/>
      <c r="N156" s="75"/>
      <c r="O156" s="75"/>
      <c r="P156" s="75"/>
      <c r="Q156" s="75"/>
      <c r="R156" s="75"/>
      <c r="S156" s="75"/>
      <c r="T156" s="75"/>
      <c r="U156" s="75"/>
      <c r="V156" s="76"/>
      <c r="W156" s="205"/>
      <c r="X156" s="1"/>
      <c r="Y156" s="78">
        <f t="shared" si="17"/>
        <v>0</v>
      </c>
      <c r="Z156" s="78">
        <f t="shared" si="18"/>
        <v>0</v>
      </c>
      <c r="AA156" s="78">
        <f t="shared" si="19"/>
        <v>0</v>
      </c>
      <c r="AB156" s="78">
        <f t="shared" si="20"/>
        <v>0</v>
      </c>
      <c r="AC156" s="78"/>
      <c r="AD156" s="78">
        <v>0</v>
      </c>
      <c r="AE156" s="80">
        <f t="shared" si="23"/>
        <v>0</v>
      </c>
      <c r="AF156" s="82">
        <v>0</v>
      </c>
      <c r="AG156" s="69">
        <v>40210</v>
      </c>
      <c r="AH156" s="84"/>
      <c r="AI156" s="69" t="s">
        <v>1984</v>
      </c>
      <c r="AJ156" s="25" t="s">
        <v>1985</v>
      </c>
      <c r="AK156" s="65"/>
      <c r="AL156" s="185" t="s">
        <v>1257</v>
      </c>
      <c r="AM156" s="86" t="s">
        <v>682</v>
      </c>
      <c r="AN156" s="3"/>
      <c r="AO156" s="4"/>
      <c r="AP156" s="5"/>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6"/>
      <c r="CQ156" s="7"/>
      <c r="CR156" s="6"/>
      <c r="CS156" s="7"/>
      <c r="CT156" s="6"/>
      <c r="CU156" s="7"/>
      <c r="CV156" s="8">
        <f t="shared" si="21"/>
        <v>0</v>
      </c>
      <c r="CW156" s="9"/>
      <c r="CX156" s="10"/>
      <c r="CY156" s="11"/>
      <c r="CZ156" s="12"/>
      <c r="DA156" s="29"/>
      <c r="DB156" s="12"/>
      <c r="DC156" s="9"/>
      <c r="DD156" s="10"/>
      <c r="DE156" s="71"/>
      <c r="EO156" s="353" t="str">
        <f t="shared" si="22"/>
        <v>NORTE DE SANTANDER_CHITAGA</v>
      </c>
      <c r="EP156" s="350"/>
      <c r="EQ156" s="357" t="s">
        <v>3884</v>
      </c>
      <c r="ER156" s="358" t="s">
        <v>3887</v>
      </c>
      <c r="ES156" s="357" t="s">
        <v>4797</v>
      </c>
      <c r="ET156" s="357" t="s">
        <v>5946</v>
      </c>
      <c r="EU156" s="357" t="str">
        <f t="shared" si="16"/>
        <v>Antioquia_Vigia del Fuerte</v>
      </c>
    </row>
    <row r="157" spans="1:151" ht="48" x14ac:dyDescent="0.2">
      <c r="A157" s="242">
        <v>40210</v>
      </c>
      <c r="B157" s="107" t="s">
        <v>1336</v>
      </c>
      <c r="C157" s="107" t="s">
        <v>1732</v>
      </c>
      <c r="D157" s="427" t="s">
        <v>1387</v>
      </c>
      <c r="E157" s="107" t="str">
        <f>VLOOKUP(B157&amp;C157,Divipola!$C$2:$F$1138,4,FALSE)</f>
        <v>54001</v>
      </c>
      <c r="F157" s="330"/>
      <c r="G157" s="224"/>
      <c r="H157" s="75"/>
      <c r="I157" s="75"/>
      <c r="J157" s="75"/>
      <c r="K157" s="75"/>
      <c r="L157" s="75"/>
      <c r="M157" s="75"/>
      <c r="N157" s="75"/>
      <c r="O157" s="75"/>
      <c r="P157" s="75"/>
      <c r="Q157" s="75"/>
      <c r="R157" s="75"/>
      <c r="S157" s="75"/>
      <c r="T157" s="75"/>
      <c r="U157" s="75"/>
      <c r="V157" s="76"/>
      <c r="W157" s="205"/>
      <c r="X157" s="1"/>
      <c r="Y157" s="78">
        <f t="shared" si="17"/>
        <v>0</v>
      </c>
      <c r="Z157" s="78">
        <f t="shared" si="18"/>
        <v>0</v>
      </c>
      <c r="AA157" s="78">
        <f t="shared" si="19"/>
        <v>0</v>
      </c>
      <c r="AB157" s="78">
        <f t="shared" si="20"/>
        <v>0</v>
      </c>
      <c r="AC157" s="78"/>
      <c r="AD157" s="78">
        <v>0</v>
      </c>
      <c r="AE157" s="80">
        <f t="shared" si="23"/>
        <v>0</v>
      </c>
      <c r="AF157" s="82">
        <v>0</v>
      </c>
      <c r="AG157" s="69">
        <v>40210</v>
      </c>
      <c r="AH157" s="84"/>
      <c r="AI157" s="69" t="s">
        <v>1984</v>
      </c>
      <c r="AJ157" s="25" t="s">
        <v>1985</v>
      </c>
      <c r="AK157" s="65"/>
      <c r="AL157" s="212" t="s">
        <v>1257</v>
      </c>
      <c r="AM157" s="86" t="s">
        <v>2179</v>
      </c>
      <c r="AN157" s="3"/>
      <c r="AO157" s="4"/>
      <c r="AP157" s="5"/>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6"/>
      <c r="CQ157" s="7"/>
      <c r="CR157" s="6"/>
      <c r="CS157" s="7"/>
      <c r="CT157" s="6"/>
      <c r="CU157" s="7"/>
      <c r="CV157" s="8">
        <f t="shared" si="21"/>
        <v>0</v>
      </c>
      <c r="CW157" s="9"/>
      <c r="CX157" s="10"/>
      <c r="CY157" s="11"/>
      <c r="CZ157" s="12"/>
      <c r="DA157" s="29"/>
      <c r="DB157" s="12"/>
      <c r="DC157" s="9"/>
      <c r="DD157" s="10"/>
      <c r="DE157" s="71"/>
      <c r="EO157" s="353" t="str">
        <f t="shared" si="22"/>
        <v>NORTE DE SANTANDER_CUCUTA</v>
      </c>
      <c r="EP157" s="350"/>
      <c r="EQ157" s="350" t="s">
        <v>3884</v>
      </c>
      <c r="ER157" s="358" t="s">
        <v>3887</v>
      </c>
      <c r="ES157" s="350" t="s">
        <v>4798</v>
      </c>
      <c r="ET157" s="350" t="s">
        <v>5947</v>
      </c>
      <c r="EU157" s="350" t="str">
        <f t="shared" si="16"/>
        <v>Antioquia_Yali</v>
      </c>
    </row>
    <row r="158" spans="1:151" ht="84" x14ac:dyDescent="0.2">
      <c r="A158" s="242">
        <v>40210</v>
      </c>
      <c r="B158" s="107" t="s">
        <v>1336</v>
      </c>
      <c r="C158" s="107" t="s">
        <v>1075</v>
      </c>
      <c r="D158" s="427" t="s">
        <v>1387</v>
      </c>
      <c r="E158" s="107" t="str">
        <f>VLOOKUP(B158&amp;C158,Divipola!$C$2:$F$1138,4,FALSE)</f>
        <v>54398</v>
      </c>
      <c r="F158" s="330"/>
      <c r="G158" s="224"/>
      <c r="H158" s="75"/>
      <c r="I158" s="75"/>
      <c r="J158" s="75"/>
      <c r="K158" s="75"/>
      <c r="L158" s="75"/>
      <c r="M158" s="75"/>
      <c r="N158" s="75"/>
      <c r="O158" s="75"/>
      <c r="P158" s="75"/>
      <c r="Q158" s="75"/>
      <c r="R158" s="75"/>
      <c r="S158" s="75"/>
      <c r="T158" s="75"/>
      <c r="U158" s="75"/>
      <c r="V158" s="76"/>
      <c r="W158" s="205"/>
      <c r="X158" s="1"/>
      <c r="Y158" s="78">
        <f t="shared" si="17"/>
        <v>0</v>
      </c>
      <c r="Z158" s="78">
        <f t="shared" si="18"/>
        <v>0</v>
      </c>
      <c r="AA158" s="78">
        <f t="shared" si="19"/>
        <v>0</v>
      </c>
      <c r="AB158" s="78">
        <f t="shared" si="20"/>
        <v>0</v>
      </c>
      <c r="AC158" s="78"/>
      <c r="AD158" s="78">
        <v>0</v>
      </c>
      <c r="AE158" s="80">
        <f t="shared" si="23"/>
        <v>0</v>
      </c>
      <c r="AF158" s="82">
        <v>0</v>
      </c>
      <c r="AG158" s="69">
        <v>40210</v>
      </c>
      <c r="AH158" s="84"/>
      <c r="AI158" s="69" t="s">
        <v>1984</v>
      </c>
      <c r="AJ158" s="25" t="s">
        <v>1985</v>
      </c>
      <c r="AK158" s="65"/>
      <c r="AL158" s="185" t="s">
        <v>1257</v>
      </c>
      <c r="AM158" s="86" t="s">
        <v>682</v>
      </c>
      <c r="AN158" s="3"/>
      <c r="AO158" s="4"/>
      <c r="AP158" s="5"/>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6"/>
      <c r="CQ158" s="7"/>
      <c r="CR158" s="6"/>
      <c r="CS158" s="7"/>
      <c r="CT158" s="6"/>
      <c r="CU158" s="7"/>
      <c r="CV158" s="8">
        <f t="shared" si="21"/>
        <v>0</v>
      </c>
      <c r="CW158" s="9"/>
      <c r="CX158" s="10"/>
      <c r="CY158" s="11"/>
      <c r="CZ158" s="12"/>
      <c r="DA158" s="29"/>
      <c r="DB158" s="12"/>
      <c r="DC158" s="9"/>
      <c r="DD158" s="10"/>
      <c r="DE158" s="71"/>
      <c r="EO158" s="353" t="str">
        <f t="shared" si="22"/>
        <v>NORTE DE SANTANDER_LA PLAYA</v>
      </c>
      <c r="EP158" s="350"/>
      <c r="EQ158" s="350" t="s">
        <v>3884</v>
      </c>
      <c r="ER158" s="358" t="s">
        <v>3887</v>
      </c>
      <c r="ES158" s="350" t="s">
        <v>4799</v>
      </c>
      <c r="ET158" s="350" t="s">
        <v>5948</v>
      </c>
      <c r="EU158" s="350" t="str">
        <f t="shared" si="16"/>
        <v>Antioquia_Yarumal</v>
      </c>
    </row>
    <row r="159" spans="1:151" ht="51" x14ac:dyDescent="0.2">
      <c r="A159" s="242">
        <v>40210</v>
      </c>
      <c r="B159" s="107" t="s">
        <v>1336</v>
      </c>
      <c r="C159" s="107" t="s">
        <v>1734</v>
      </c>
      <c r="D159" s="427" t="s">
        <v>1387</v>
      </c>
      <c r="E159" s="107" t="str">
        <f>VLOOKUP(B159&amp;C159,Divipola!$C$2:$F$1138,4,FALSE)</f>
        <v>54405</v>
      </c>
      <c r="F159" s="330"/>
      <c r="G159" s="224"/>
      <c r="H159" s="75"/>
      <c r="I159" s="75"/>
      <c r="J159" s="75"/>
      <c r="K159" s="75"/>
      <c r="L159" s="75"/>
      <c r="M159" s="75"/>
      <c r="N159" s="75"/>
      <c r="O159" s="75"/>
      <c r="P159" s="75"/>
      <c r="Q159" s="75"/>
      <c r="R159" s="75"/>
      <c r="S159" s="75"/>
      <c r="T159" s="75"/>
      <c r="U159" s="75"/>
      <c r="V159" s="76"/>
      <c r="W159" s="205"/>
      <c r="X159" s="1"/>
      <c r="Y159" s="78">
        <f t="shared" si="17"/>
        <v>0</v>
      </c>
      <c r="Z159" s="78">
        <f t="shared" si="18"/>
        <v>0</v>
      </c>
      <c r="AA159" s="78">
        <f t="shared" si="19"/>
        <v>0</v>
      </c>
      <c r="AB159" s="78">
        <f t="shared" si="20"/>
        <v>0</v>
      </c>
      <c r="AC159" s="78"/>
      <c r="AD159" s="78">
        <v>0</v>
      </c>
      <c r="AE159" s="80">
        <f t="shared" si="23"/>
        <v>0</v>
      </c>
      <c r="AF159" s="82">
        <v>0</v>
      </c>
      <c r="AG159" s="69">
        <v>40210</v>
      </c>
      <c r="AH159" s="84"/>
      <c r="AI159" s="69" t="s">
        <v>1984</v>
      </c>
      <c r="AJ159" s="25" t="s">
        <v>1985</v>
      </c>
      <c r="AK159" s="65"/>
      <c r="AL159" s="185" t="s">
        <v>1257</v>
      </c>
      <c r="AM159" s="86" t="s">
        <v>2179</v>
      </c>
      <c r="AN159" s="3"/>
      <c r="AO159" s="4"/>
      <c r="AP159" s="5"/>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6"/>
      <c r="CQ159" s="7"/>
      <c r="CR159" s="6"/>
      <c r="CS159" s="7"/>
      <c r="CT159" s="6"/>
      <c r="CU159" s="7"/>
      <c r="CV159" s="8">
        <f t="shared" si="21"/>
        <v>0</v>
      </c>
      <c r="CW159" s="9"/>
      <c r="CX159" s="10"/>
      <c r="CY159" s="11"/>
      <c r="CZ159" s="12"/>
      <c r="DA159" s="29"/>
      <c r="DB159" s="12"/>
      <c r="DC159" s="9"/>
      <c r="DD159" s="10"/>
      <c r="DE159" s="71"/>
      <c r="EO159" s="353" t="str">
        <f t="shared" si="22"/>
        <v>NORTE DE SANTANDER_LOS PATIOS</v>
      </c>
      <c r="EP159" s="350"/>
      <c r="EQ159" s="350" t="s">
        <v>3884</v>
      </c>
      <c r="ER159" s="358" t="s">
        <v>3887</v>
      </c>
      <c r="ES159" s="350" t="s">
        <v>4800</v>
      </c>
      <c r="ET159" s="350" t="s">
        <v>5949</v>
      </c>
      <c r="EU159" s="350" t="str">
        <f t="shared" si="16"/>
        <v>Antioquia_Yolombo</v>
      </c>
    </row>
    <row r="160" spans="1:151" ht="51" x14ac:dyDescent="0.2">
      <c r="A160" s="242">
        <v>40210</v>
      </c>
      <c r="B160" s="107" t="s">
        <v>1336</v>
      </c>
      <c r="C160" s="107" t="s">
        <v>1380</v>
      </c>
      <c r="D160" s="427" t="s">
        <v>1387</v>
      </c>
      <c r="E160" s="107" t="str">
        <f>VLOOKUP(B160&amp;C160,Divipola!$C$2:$F$1138,4,FALSE)</f>
        <v>54480</v>
      </c>
      <c r="F160" s="330"/>
      <c r="G160" s="224"/>
      <c r="H160" s="75"/>
      <c r="I160" s="75"/>
      <c r="J160" s="75"/>
      <c r="K160" s="75"/>
      <c r="L160" s="75"/>
      <c r="M160" s="75"/>
      <c r="N160" s="75"/>
      <c r="O160" s="75"/>
      <c r="P160" s="75"/>
      <c r="Q160" s="75"/>
      <c r="R160" s="75"/>
      <c r="S160" s="75"/>
      <c r="T160" s="75"/>
      <c r="U160" s="75"/>
      <c r="V160" s="76"/>
      <c r="W160" s="205"/>
      <c r="X160" s="1"/>
      <c r="Y160" s="78">
        <f t="shared" si="17"/>
        <v>0</v>
      </c>
      <c r="Z160" s="78">
        <f t="shared" si="18"/>
        <v>0</v>
      </c>
      <c r="AA160" s="78">
        <f t="shared" si="19"/>
        <v>0</v>
      </c>
      <c r="AB160" s="78">
        <f t="shared" si="20"/>
        <v>0</v>
      </c>
      <c r="AC160" s="78"/>
      <c r="AD160" s="78">
        <v>0</v>
      </c>
      <c r="AE160" s="80">
        <f t="shared" si="23"/>
        <v>0</v>
      </c>
      <c r="AF160" s="82">
        <v>0</v>
      </c>
      <c r="AG160" s="69">
        <v>40210</v>
      </c>
      <c r="AH160" s="84"/>
      <c r="AI160" s="69" t="s">
        <v>1984</v>
      </c>
      <c r="AJ160" s="25" t="s">
        <v>1985</v>
      </c>
      <c r="AK160" s="65"/>
      <c r="AL160" s="185" t="s">
        <v>1257</v>
      </c>
      <c r="AM160" s="86" t="s">
        <v>2179</v>
      </c>
      <c r="AN160" s="3"/>
      <c r="AO160" s="4"/>
      <c r="AP160" s="5"/>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6"/>
      <c r="CQ160" s="7"/>
      <c r="CR160" s="6"/>
      <c r="CS160" s="7"/>
      <c r="CT160" s="6"/>
      <c r="CU160" s="7"/>
      <c r="CV160" s="8">
        <f t="shared" si="21"/>
        <v>0</v>
      </c>
      <c r="CW160" s="9"/>
      <c r="CX160" s="10"/>
      <c r="CY160" s="11"/>
      <c r="CZ160" s="12"/>
      <c r="DA160" s="29"/>
      <c r="DB160" s="12"/>
      <c r="DC160" s="9"/>
      <c r="DD160" s="10"/>
      <c r="DE160" s="71"/>
      <c r="EO160" s="353" t="str">
        <f t="shared" si="22"/>
        <v>NORTE DE SANTANDER_MUTISCUA</v>
      </c>
      <c r="EP160" s="350"/>
      <c r="EQ160" s="350" t="s">
        <v>3884</v>
      </c>
      <c r="ER160" s="358" t="s">
        <v>3887</v>
      </c>
      <c r="ES160" s="350" t="s">
        <v>4801</v>
      </c>
      <c r="ET160" s="350" t="s">
        <v>5950</v>
      </c>
      <c r="EU160" s="350" t="str">
        <f t="shared" si="16"/>
        <v>Antioquia_Yondo</v>
      </c>
    </row>
    <row r="161" spans="1:151" ht="48" x14ac:dyDescent="0.2">
      <c r="A161" s="242">
        <v>40210</v>
      </c>
      <c r="B161" s="107" t="s">
        <v>1336</v>
      </c>
      <c r="C161" s="107" t="s">
        <v>1378</v>
      </c>
      <c r="D161" s="427" t="s">
        <v>1387</v>
      </c>
      <c r="E161" s="107" t="str">
        <f>VLOOKUP(B161&amp;C161,Divipola!$C$2:$F$1138,4,FALSE)</f>
        <v>54498</v>
      </c>
      <c r="F161" s="330"/>
      <c r="G161" s="224"/>
      <c r="H161" s="75"/>
      <c r="I161" s="75"/>
      <c r="J161" s="75"/>
      <c r="K161" s="75"/>
      <c r="L161" s="75"/>
      <c r="M161" s="75"/>
      <c r="N161" s="75"/>
      <c r="O161" s="75"/>
      <c r="P161" s="75"/>
      <c r="Q161" s="75"/>
      <c r="R161" s="75"/>
      <c r="S161" s="75"/>
      <c r="T161" s="75"/>
      <c r="U161" s="75"/>
      <c r="V161" s="76"/>
      <c r="W161" s="205"/>
      <c r="X161" s="1"/>
      <c r="Y161" s="78">
        <f t="shared" si="17"/>
        <v>0</v>
      </c>
      <c r="Z161" s="78">
        <f t="shared" si="18"/>
        <v>0</v>
      </c>
      <c r="AA161" s="78">
        <f t="shared" si="19"/>
        <v>0</v>
      </c>
      <c r="AB161" s="78">
        <f t="shared" si="20"/>
        <v>0</v>
      </c>
      <c r="AC161" s="78"/>
      <c r="AD161" s="78">
        <v>0</v>
      </c>
      <c r="AE161" s="80">
        <f t="shared" si="23"/>
        <v>0</v>
      </c>
      <c r="AF161" s="82">
        <v>0</v>
      </c>
      <c r="AG161" s="69">
        <v>40210</v>
      </c>
      <c r="AH161" s="84"/>
      <c r="AI161" s="69" t="s">
        <v>1984</v>
      </c>
      <c r="AJ161" s="25" t="s">
        <v>1985</v>
      </c>
      <c r="AK161" s="65"/>
      <c r="AL161" s="185" t="s">
        <v>1257</v>
      </c>
      <c r="AM161" s="86" t="s">
        <v>2179</v>
      </c>
      <c r="AN161" s="3"/>
      <c r="AO161" s="4"/>
      <c r="AP161" s="5"/>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6"/>
      <c r="CQ161" s="7"/>
      <c r="CR161" s="6"/>
      <c r="CS161" s="7"/>
      <c r="CT161" s="6"/>
      <c r="CU161" s="7"/>
      <c r="CV161" s="8">
        <f t="shared" si="21"/>
        <v>0</v>
      </c>
      <c r="CW161" s="9"/>
      <c r="CX161" s="10"/>
      <c r="CY161" s="11"/>
      <c r="CZ161" s="12"/>
      <c r="DA161" s="29"/>
      <c r="DB161" s="12"/>
      <c r="DC161" s="9"/>
      <c r="DD161" s="10"/>
      <c r="DE161" s="71"/>
      <c r="EO161" s="353" t="str">
        <f t="shared" si="22"/>
        <v>NORTE DE SANTANDER_OCAÑA</v>
      </c>
      <c r="EP161" s="350"/>
      <c r="EQ161" s="350" t="s">
        <v>3884</v>
      </c>
      <c r="ER161" s="358" t="s">
        <v>3887</v>
      </c>
      <c r="ES161" s="350" t="s">
        <v>4802</v>
      </c>
      <c r="ET161" s="350" t="s">
        <v>5951</v>
      </c>
      <c r="EU161" s="350" t="str">
        <f t="shared" si="16"/>
        <v>Antioquia_Zaragoza</v>
      </c>
    </row>
    <row r="162" spans="1:151" ht="72" x14ac:dyDescent="0.2">
      <c r="A162" s="242">
        <v>40210</v>
      </c>
      <c r="B162" s="107" t="s">
        <v>1336</v>
      </c>
      <c r="C162" s="107" t="s">
        <v>1381</v>
      </c>
      <c r="D162" s="427" t="s">
        <v>1387</v>
      </c>
      <c r="E162" s="107" t="str">
        <f>VLOOKUP(B162&amp;C162,Divipola!$C$2:$F$1138,4,FALSE)</f>
        <v>54670</v>
      </c>
      <c r="F162" s="330"/>
      <c r="G162" s="224"/>
      <c r="H162" s="75"/>
      <c r="I162" s="75"/>
      <c r="J162" s="75"/>
      <c r="K162" s="75"/>
      <c r="L162" s="75"/>
      <c r="M162" s="75"/>
      <c r="N162" s="75"/>
      <c r="O162" s="75"/>
      <c r="P162" s="75"/>
      <c r="Q162" s="75"/>
      <c r="R162" s="75"/>
      <c r="S162" s="75"/>
      <c r="T162" s="75"/>
      <c r="U162" s="75"/>
      <c r="V162" s="76"/>
      <c r="W162" s="205"/>
      <c r="X162" s="1"/>
      <c r="Y162" s="78">
        <f t="shared" si="17"/>
        <v>0</v>
      </c>
      <c r="Z162" s="78">
        <f t="shared" si="18"/>
        <v>0</v>
      </c>
      <c r="AA162" s="78">
        <f t="shared" si="19"/>
        <v>0</v>
      </c>
      <c r="AB162" s="78">
        <f t="shared" si="20"/>
        <v>0</v>
      </c>
      <c r="AC162" s="78"/>
      <c r="AD162" s="78">
        <v>0</v>
      </c>
      <c r="AE162" s="80">
        <f t="shared" si="23"/>
        <v>0</v>
      </c>
      <c r="AF162" s="82">
        <v>0</v>
      </c>
      <c r="AG162" s="69">
        <v>40210</v>
      </c>
      <c r="AH162" s="84"/>
      <c r="AI162" s="69" t="s">
        <v>1984</v>
      </c>
      <c r="AJ162" s="25" t="s">
        <v>1985</v>
      </c>
      <c r="AK162" s="65"/>
      <c r="AL162" s="185" t="s">
        <v>1257</v>
      </c>
      <c r="AM162" s="86" t="s">
        <v>1439</v>
      </c>
      <c r="AN162" s="3"/>
      <c r="AO162" s="4"/>
      <c r="AP162" s="5"/>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6"/>
      <c r="CQ162" s="7"/>
      <c r="CR162" s="6"/>
      <c r="CS162" s="7"/>
      <c r="CT162" s="6"/>
      <c r="CU162" s="7"/>
      <c r="CV162" s="8">
        <f t="shared" si="21"/>
        <v>0</v>
      </c>
      <c r="CW162" s="9"/>
      <c r="CX162" s="10"/>
      <c r="CY162" s="11"/>
      <c r="CZ162" s="12"/>
      <c r="DA162" s="29"/>
      <c r="DB162" s="12"/>
      <c r="DC162" s="9"/>
      <c r="DD162" s="10"/>
      <c r="DE162" s="71"/>
      <c r="EO162" s="353" t="str">
        <f t="shared" si="22"/>
        <v>NORTE DE SANTANDER_SAN CALIXTO</v>
      </c>
      <c r="EP162" s="350"/>
      <c r="EQ162" s="350" t="s">
        <v>4025</v>
      </c>
      <c r="ER162" s="358" t="s">
        <v>4026</v>
      </c>
      <c r="ES162" s="350" t="s">
        <v>4803</v>
      </c>
      <c r="ET162" s="350" t="s">
        <v>5952</v>
      </c>
      <c r="EU162" s="350" t="str">
        <f t="shared" si="16"/>
        <v>Atlantico_Barranquilla</v>
      </c>
    </row>
    <row r="163" spans="1:151" ht="63.75" x14ac:dyDescent="0.2">
      <c r="A163" s="242">
        <v>40210</v>
      </c>
      <c r="B163" s="107" t="s">
        <v>1336</v>
      </c>
      <c r="C163" s="107" t="s">
        <v>1733</v>
      </c>
      <c r="D163" s="427" t="s">
        <v>1387</v>
      </c>
      <c r="E163" s="107" t="str">
        <f>VLOOKUP(B163&amp;C163,Divipola!$C$2:$F$1138,4,FALSE)</f>
        <v>54874</v>
      </c>
      <c r="F163" s="330"/>
      <c r="G163" s="224"/>
      <c r="H163" s="75"/>
      <c r="I163" s="75"/>
      <c r="J163" s="75"/>
      <c r="K163" s="75"/>
      <c r="L163" s="75"/>
      <c r="M163" s="75"/>
      <c r="N163" s="75"/>
      <c r="O163" s="75"/>
      <c r="P163" s="75"/>
      <c r="Q163" s="75">
        <v>1</v>
      </c>
      <c r="R163" s="75">
        <v>1</v>
      </c>
      <c r="S163" s="75"/>
      <c r="T163" s="75"/>
      <c r="U163" s="75"/>
      <c r="V163" s="76"/>
      <c r="W163" s="205"/>
      <c r="X163" s="1"/>
      <c r="Y163" s="78">
        <f t="shared" si="17"/>
        <v>0</v>
      </c>
      <c r="Z163" s="78">
        <f t="shared" si="18"/>
        <v>0</v>
      </c>
      <c r="AA163" s="78">
        <f t="shared" si="19"/>
        <v>0</v>
      </c>
      <c r="AB163" s="78">
        <f t="shared" si="20"/>
        <v>0</v>
      </c>
      <c r="AC163" s="78"/>
      <c r="AD163" s="78">
        <v>0</v>
      </c>
      <c r="AE163" s="80">
        <f t="shared" si="23"/>
        <v>0</v>
      </c>
      <c r="AF163" s="82">
        <v>0</v>
      </c>
      <c r="AG163" s="69">
        <v>40210</v>
      </c>
      <c r="AH163" s="84"/>
      <c r="AI163" s="69" t="s">
        <v>1984</v>
      </c>
      <c r="AJ163" s="25" t="s">
        <v>1985</v>
      </c>
      <c r="AK163" s="65"/>
      <c r="AL163" s="185" t="s">
        <v>1257</v>
      </c>
      <c r="AM163" s="86" t="s">
        <v>2179</v>
      </c>
      <c r="AN163" s="3"/>
      <c r="AO163" s="4"/>
      <c r="AP163" s="5"/>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6"/>
      <c r="CQ163" s="7"/>
      <c r="CR163" s="6"/>
      <c r="CS163" s="7"/>
      <c r="CT163" s="6"/>
      <c r="CU163" s="7"/>
      <c r="CV163" s="8">
        <f t="shared" si="21"/>
        <v>0</v>
      </c>
      <c r="CW163" s="9"/>
      <c r="CX163" s="10"/>
      <c r="CY163" s="11"/>
      <c r="CZ163" s="12"/>
      <c r="DA163" s="29"/>
      <c r="DB163" s="12"/>
      <c r="DC163" s="9"/>
      <c r="DD163" s="10"/>
      <c r="DE163" s="71"/>
      <c r="EO163" s="353" t="str">
        <f t="shared" si="22"/>
        <v>NORTE DE SANTANDER_VILLA DEL ROSARIO</v>
      </c>
      <c r="EP163" s="350"/>
      <c r="EQ163" s="350" t="s">
        <v>4025</v>
      </c>
      <c r="ER163" s="358" t="s">
        <v>4026</v>
      </c>
      <c r="ES163" s="350" t="s">
        <v>4804</v>
      </c>
      <c r="ET163" s="350" t="s">
        <v>5953</v>
      </c>
      <c r="EU163" s="350" t="str">
        <f t="shared" si="16"/>
        <v>Atlantico_Baranoa</v>
      </c>
    </row>
    <row r="164" spans="1:151" ht="96" x14ac:dyDescent="0.2">
      <c r="A164" s="242">
        <v>40210</v>
      </c>
      <c r="B164" s="107" t="s">
        <v>2427</v>
      </c>
      <c r="C164" s="107" t="s">
        <v>988</v>
      </c>
      <c r="D164" s="427" t="s">
        <v>1387</v>
      </c>
      <c r="E164" s="107" t="str">
        <f>VLOOKUP(B164&amp;C164,Divipola!$C$2:$F$1138,4,FALSE)</f>
        <v>68051</v>
      </c>
      <c r="F164" s="330"/>
      <c r="G164" s="224"/>
      <c r="H164" s="75"/>
      <c r="I164" s="75"/>
      <c r="J164" s="75"/>
      <c r="K164" s="75"/>
      <c r="L164" s="75"/>
      <c r="M164" s="75"/>
      <c r="N164" s="75"/>
      <c r="O164" s="75"/>
      <c r="P164" s="75"/>
      <c r="Q164" s="75"/>
      <c r="R164" s="75"/>
      <c r="S164" s="75"/>
      <c r="T164" s="75"/>
      <c r="U164" s="75"/>
      <c r="V164" s="76"/>
      <c r="W164" s="205"/>
      <c r="X164" s="1">
        <v>40302</v>
      </c>
      <c r="Y164" s="78">
        <f t="shared" si="17"/>
        <v>0</v>
      </c>
      <c r="Z164" s="78">
        <f t="shared" si="18"/>
        <v>0</v>
      </c>
      <c r="AA164" s="78">
        <f t="shared" si="19"/>
        <v>0</v>
      </c>
      <c r="AB164" s="78">
        <f t="shared" si="20"/>
        <v>0</v>
      </c>
      <c r="AC164" s="78"/>
      <c r="AD164" s="78">
        <v>28000000</v>
      </c>
      <c r="AE164" s="80">
        <f t="shared" si="23"/>
        <v>28000000</v>
      </c>
      <c r="AF164" s="82">
        <v>0</v>
      </c>
      <c r="AG164" s="69">
        <v>40298</v>
      </c>
      <c r="AH164" s="84">
        <v>97127</v>
      </c>
      <c r="AI164" s="69" t="s">
        <v>2009</v>
      </c>
      <c r="AJ164" s="25" t="s">
        <v>2010</v>
      </c>
      <c r="AK164" s="65">
        <v>233</v>
      </c>
      <c r="AL164" s="185" t="s">
        <v>2182</v>
      </c>
      <c r="AM164" s="97" t="s">
        <v>1761</v>
      </c>
      <c r="AN164" s="3"/>
      <c r="AO164" s="4"/>
      <c r="AP164" s="5"/>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6"/>
      <c r="CQ164" s="7"/>
      <c r="CR164" s="6"/>
      <c r="CS164" s="7"/>
      <c r="CT164" s="6"/>
      <c r="CU164" s="7"/>
      <c r="CV164" s="8">
        <f t="shared" si="21"/>
        <v>0</v>
      </c>
      <c r="CW164" s="9"/>
      <c r="CX164" s="10"/>
      <c r="CY164" s="11"/>
      <c r="CZ164" s="12"/>
      <c r="DA164" s="29"/>
      <c r="DB164" s="12"/>
      <c r="DC164" s="9"/>
      <c r="DD164" s="10"/>
      <c r="DE164" s="71">
        <v>2</v>
      </c>
      <c r="EO164" s="353" t="str">
        <f t="shared" si="22"/>
        <v>SANTANDER_ARATOCA</v>
      </c>
      <c r="EP164" s="350"/>
      <c r="EQ164" s="350" t="s">
        <v>4025</v>
      </c>
      <c r="ER164" s="358" t="s">
        <v>4026</v>
      </c>
      <c r="ES164" s="350" t="s">
        <v>4805</v>
      </c>
      <c r="ET164" s="350" t="s">
        <v>5954</v>
      </c>
      <c r="EU164" s="350" t="str">
        <f t="shared" si="16"/>
        <v>Atlantico_Campo de La Cruz</v>
      </c>
    </row>
    <row r="165" spans="1:151" ht="303" x14ac:dyDescent="0.2">
      <c r="A165" s="242">
        <v>40210</v>
      </c>
      <c r="B165" s="107" t="s">
        <v>2427</v>
      </c>
      <c r="C165" s="107" t="s">
        <v>1382</v>
      </c>
      <c r="D165" s="427" t="s">
        <v>1387</v>
      </c>
      <c r="E165" s="107" t="str">
        <f>VLOOKUP(B165&amp;C165,Divipola!$C$2:$F$1138,4,FALSE)</f>
        <v>68079</v>
      </c>
      <c r="F165" s="330"/>
      <c r="G165" s="224"/>
      <c r="H165" s="75"/>
      <c r="I165" s="75"/>
      <c r="J165" s="75"/>
      <c r="K165" s="75"/>
      <c r="L165" s="75"/>
      <c r="M165" s="75"/>
      <c r="N165" s="75"/>
      <c r="O165" s="75"/>
      <c r="P165" s="75"/>
      <c r="Q165" s="75"/>
      <c r="R165" s="75"/>
      <c r="S165" s="75"/>
      <c r="T165" s="75"/>
      <c r="U165" s="75"/>
      <c r="V165" s="76"/>
      <c r="W165" s="205"/>
      <c r="X165" s="1">
        <v>40239</v>
      </c>
      <c r="Y165" s="78">
        <f t="shared" si="17"/>
        <v>0</v>
      </c>
      <c r="Z165" s="78">
        <f t="shared" si="18"/>
        <v>0</v>
      </c>
      <c r="AA165" s="78">
        <f t="shared" si="19"/>
        <v>0</v>
      </c>
      <c r="AB165" s="78">
        <f t="shared" si="20"/>
        <v>0</v>
      </c>
      <c r="AC165" s="78"/>
      <c r="AD165" s="78">
        <f>33600000+33600000+191187981.25</f>
        <v>258387981.25</v>
      </c>
      <c r="AE165" s="80">
        <f t="shared" si="23"/>
        <v>258387981.25</v>
      </c>
      <c r="AF165" s="82">
        <v>0</v>
      </c>
      <c r="AG165" s="69">
        <v>40210</v>
      </c>
      <c r="AH165" s="84">
        <v>95527</v>
      </c>
      <c r="AI165" s="69" t="s">
        <v>2009</v>
      </c>
      <c r="AJ165" s="25" t="s">
        <v>2010</v>
      </c>
      <c r="AK165" s="88" t="s">
        <v>1402</v>
      </c>
      <c r="AL165" s="185" t="s">
        <v>506</v>
      </c>
      <c r="AM165" s="86" t="s">
        <v>1403</v>
      </c>
      <c r="AN165" s="3"/>
      <c r="AO165" s="4"/>
      <c r="AP165" s="5"/>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6"/>
      <c r="CQ165" s="7"/>
      <c r="CR165" s="6"/>
      <c r="CS165" s="7"/>
      <c r="CT165" s="6"/>
      <c r="CU165" s="7"/>
      <c r="CV165" s="8">
        <f t="shared" si="21"/>
        <v>0</v>
      </c>
      <c r="CW165" s="9"/>
      <c r="CX165" s="10"/>
      <c r="CY165" s="11"/>
      <c r="CZ165" s="12"/>
      <c r="DA165" s="29"/>
      <c r="DB165" s="12"/>
      <c r="DC165" s="9"/>
      <c r="DD165" s="10"/>
      <c r="DE165" s="89" t="s">
        <v>1404</v>
      </c>
      <c r="EO165" s="353" t="str">
        <f t="shared" si="22"/>
        <v>SANTANDER_BARICHARA</v>
      </c>
      <c r="EP165" s="350"/>
      <c r="EQ165" s="350" t="s">
        <v>4025</v>
      </c>
      <c r="ER165" s="358" t="s">
        <v>4026</v>
      </c>
      <c r="ES165" s="350" t="s">
        <v>4806</v>
      </c>
      <c r="ET165" s="350" t="s">
        <v>5955</v>
      </c>
      <c r="EU165" s="350" t="str">
        <f t="shared" ref="EU165:EU228" si="24">ER165&amp;"_"&amp;ET165</f>
        <v>Atlantico_Candelaria</v>
      </c>
    </row>
    <row r="166" spans="1:151" ht="72" x14ac:dyDescent="0.2">
      <c r="A166" s="242">
        <v>40210</v>
      </c>
      <c r="B166" s="107" t="s">
        <v>2427</v>
      </c>
      <c r="C166" s="107" t="s">
        <v>1543</v>
      </c>
      <c r="D166" s="427" t="s">
        <v>1387</v>
      </c>
      <c r="E166" s="107" t="str">
        <f>VLOOKUP(B166&amp;C166,Divipola!$C$2:$F$1138,4,FALSE)</f>
        <v>68092</v>
      </c>
      <c r="F166" s="330"/>
      <c r="G166" s="224"/>
      <c r="H166" s="75"/>
      <c r="I166" s="75"/>
      <c r="J166" s="75"/>
      <c r="K166" s="75"/>
      <c r="L166" s="75"/>
      <c r="M166" s="75"/>
      <c r="N166" s="75"/>
      <c r="O166" s="75"/>
      <c r="P166" s="75"/>
      <c r="Q166" s="75"/>
      <c r="R166" s="75"/>
      <c r="S166" s="75"/>
      <c r="T166" s="75"/>
      <c r="U166" s="75"/>
      <c r="V166" s="76"/>
      <c r="W166" s="205"/>
      <c r="X166" s="1">
        <v>40308</v>
      </c>
      <c r="Y166" s="78">
        <f t="shared" si="17"/>
        <v>0</v>
      </c>
      <c r="Z166" s="78">
        <f t="shared" si="18"/>
        <v>0</v>
      </c>
      <c r="AA166" s="78">
        <f t="shared" si="19"/>
        <v>0</v>
      </c>
      <c r="AB166" s="78">
        <f t="shared" si="20"/>
        <v>0</v>
      </c>
      <c r="AC166" s="78"/>
      <c r="AD166" s="78">
        <v>36000000</v>
      </c>
      <c r="AE166" s="80">
        <f t="shared" si="23"/>
        <v>36000000</v>
      </c>
      <c r="AF166" s="82">
        <v>0</v>
      </c>
      <c r="AG166" s="69">
        <v>40304</v>
      </c>
      <c r="AH166" s="84">
        <v>97274</v>
      </c>
      <c r="AI166" s="69" t="s">
        <v>2009</v>
      </c>
      <c r="AJ166" s="25" t="s">
        <v>2010</v>
      </c>
      <c r="AK166" s="65">
        <v>239</v>
      </c>
      <c r="AL166" s="185" t="s">
        <v>2182</v>
      </c>
      <c r="AM166" s="97" t="s">
        <v>629</v>
      </c>
      <c r="AN166" s="3"/>
      <c r="AO166" s="4"/>
      <c r="AP166" s="5"/>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6"/>
      <c r="CQ166" s="7"/>
      <c r="CR166" s="6"/>
      <c r="CS166" s="7"/>
      <c r="CT166" s="6"/>
      <c r="CU166" s="7"/>
      <c r="CV166" s="8">
        <f t="shared" si="21"/>
        <v>0</v>
      </c>
      <c r="CW166" s="9"/>
      <c r="CX166" s="10"/>
      <c r="CY166" s="11"/>
      <c r="CZ166" s="12"/>
      <c r="DA166" s="29"/>
      <c r="DB166" s="12"/>
      <c r="DC166" s="9"/>
      <c r="DD166" s="10"/>
      <c r="DE166" s="71">
        <v>2</v>
      </c>
      <c r="EO166" s="353" t="str">
        <f t="shared" si="22"/>
        <v>SANTANDER_BETULIA</v>
      </c>
      <c r="EP166" s="350"/>
      <c r="EQ166" s="350" t="s">
        <v>4025</v>
      </c>
      <c r="ER166" s="358" t="s">
        <v>4026</v>
      </c>
      <c r="ES166" s="350" t="s">
        <v>4807</v>
      </c>
      <c r="ET166" s="350" t="s">
        <v>5956</v>
      </c>
      <c r="EU166" s="350" t="str">
        <f t="shared" si="24"/>
        <v>Atlantico_Galapa</v>
      </c>
    </row>
    <row r="167" spans="1:151" ht="132" x14ac:dyDescent="0.2">
      <c r="A167" s="242">
        <v>40210</v>
      </c>
      <c r="B167" s="107" t="s">
        <v>2427</v>
      </c>
      <c r="C167" s="107" t="s">
        <v>1383</v>
      </c>
      <c r="D167" s="427" t="s">
        <v>1387</v>
      </c>
      <c r="E167" s="107" t="str">
        <f>VLOOKUP(B167&amp;C167,Divipola!$C$2:$F$1138,4,FALSE)</f>
        <v>68121</v>
      </c>
      <c r="F167" s="330"/>
      <c r="G167" s="224"/>
      <c r="H167" s="75"/>
      <c r="I167" s="75"/>
      <c r="J167" s="75"/>
      <c r="K167" s="75"/>
      <c r="L167" s="75"/>
      <c r="M167" s="75"/>
      <c r="N167" s="75"/>
      <c r="O167" s="75"/>
      <c r="P167" s="75"/>
      <c r="Q167" s="75"/>
      <c r="R167" s="75"/>
      <c r="S167" s="75"/>
      <c r="T167" s="75"/>
      <c r="U167" s="75"/>
      <c r="V167" s="76"/>
      <c r="W167" s="205"/>
      <c r="X167" s="1">
        <v>40304</v>
      </c>
      <c r="Y167" s="78">
        <f t="shared" si="17"/>
        <v>0</v>
      </c>
      <c r="Z167" s="78">
        <f t="shared" si="18"/>
        <v>0</v>
      </c>
      <c r="AA167" s="78">
        <f t="shared" si="19"/>
        <v>0</v>
      </c>
      <c r="AB167" s="78">
        <f t="shared" si="20"/>
        <v>0</v>
      </c>
      <c r="AC167" s="78"/>
      <c r="AD167" s="78">
        <v>27900000</v>
      </c>
      <c r="AE167" s="80">
        <f t="shared" si="23"/>
        <v>27900000</v>
      </c>
      <c r="AF167" s="82">
        <v>0</v>
      </c>
      <c r="AG167" s="69">
        <v>40298</v>
      </c>
      <c r="AH167" s="84">
        <v>97125</v>
      </c>
      <c r="AI167" s="69" t="s">
        <v>2009</v>
      </c>
      <c r="AJ167" s="25" t="s">
        <v>2010</v>
      </c>
      <c r="AK167" s="65">
        <v>234</v>
      </c>
      <c r="AL167" s="185" t="s">
        <v>1831</v>
      </c>
      <c r="AM167" s="86" t="s">
        <v>1226</v>
      </c>
      <c r="AN167" s="3"/>
      <c r="AO167" s="4"/>
      <c r="AP167" s="5"/>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6"/>
      <c r="CQ167" s="7"/>
      <c r="CR167" s="6"/>
      <c r="CS167" s="7"/>
      <c r="CT167" s="6"/>
      <c r="CU167" s="7"/>
      <c r="CV167" s="8">
        <f t="shared" si="21"/>
        <v>0</v>
      </c>
      <c r="CW167" s="9"/>
      <c r="CX167" s="10"/>
      <c r="CY167" s="11"/>
      <c r="CZ167" s="12"/>
      <c r="DA167" s="29"/>
      <c r="DB167" s="12"/>
      <c r="DC167" s="9"/>
      <c r="DD167" s="10"/>
      <c r="DE167" s="71">
        <v>2</v>
      </c>
      <c r="EO167" s="353" t="str">
        <f t="shared" si="22"/>
        <v>SANTANDER_CABRERA</v>
      </c>
      <c r="EP167" s="350"/>
      <c r="EQ167" s="350" t="s">
        <v>4025</v>
      </c>
      <c r="ER167" s="358" t="s">
        <v>4026</v>
      </c>
      <c r="ES167" s="350" t="s">
        <v>4808</v>
      </c>
      <c r="ET167" s="350" t="s">
        <v>5957</v>
      </c>
      <c r="EU167" s="350" t="str">
        <f t="shared" si="24"/>
        <v>Atlantico_Juan de Acosta</v>
      </c>
    </row>
    <row r="168" spans="1:151" ht="108" x14ac:dyDescent="0.2">
      <c r="A168" s="242">
        <v>40210</v>
      </c>
      <c r="B168" s="107" t="s">
        <v>2427</v>
      </c>
      <c r="C168" s="107" t="s">
        <v>2428</v>
      </c>
      <c r="D168" s="427" t="s">
        <v>1387</v>
      </c>
      <c r="E168" s="107" t="str">
        <f>VLOOKUP(B168&amp;C168,Divipola!$C$2:$F$1138,4,FALSE)</f>
        <v>68418</v>
      </c>
      <c r="F168" s="330"/>
      <c r="G168" s="224"/>
      <c r="H168" s="75"/>
      <c r="I168" s="75"/>
      <c r="J168" s="75"/>
      <c r="K168" s="75"/>
      <c r="L168" s="75"/>
      <c r="M168" s="75"/>
      <c r="N168" s="75"/>
      <c r="O168" s="75"/>
      <c r="P168" s="75"/>
      <c r="Q168" s="75"/>
      <c r="R168" s="75"/>
      <c r="S168" s="75"/>
      <c r="T168" s="75"/>
      <c r="U168" s="75"/>
      <c r="V168" s="76"/>
      <c r="W168" s="205"/>
      <c r="X168" s="1">
        <v>40303</v>
      </c>
      <c r="Y168" s="78">
        <f t="shared" si="17"/>
        <v>0</v>
      </c>
      <c r="Z168" s="78">
        <f t="shared" si="18"/>
        <v>0</v>
      </c>
      <c r="AA168" s="78">
        <f t="shared" si="19"/>
        <v>0</v>
      </c>
      <c r="AB168" s="78">
        <f t="shared" si="20"/>
        <v>0</v>
      </c>
      <c r="AC168" s="78"/>
      <c r="AD168" s="78">
        <v>45000000</v>
      </c>
      <c r="AE168" s="80">
        <f t="shared" si="23"/>
        <v>45000000</v>
      </c>
      <c r="AF168" s="82">
        <v>0</v>
      </c>
      <c r="AG168" s="69">
        <v>40298</v>
      </c>
      <c r="AH168" s="84">
        <v>97126</v>
      </c>
      <c r="AI168" s="69" t="s">
        <v>2009</v>
      </c>
      <c r="AJ168" s="25" t="s">
        <v>2010</v>
      </c>
      <c r="AK168" s="65">
        <v>232</v>
      </c>
      <c r="AL168" s="185" t="s">
        <v>506</v>
      </c>
      <c r="AM168" s="86" t="s">
        <v>1289</v>
      </c>
      <c r="AN168" s="3"/>
      <c r="AO168" s="4"/>
      <c r="AP168" s="5"/>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6"/>
      <c r="CQ168" s="7"/>
      <c r="CR168" s="6"/>
      <c r="CS168" s="7"/>
      <c r="CT168" s="6"/>
      <c r="CU168" s="7"/>
      <c r="CV168" s="8">
        <f t="shared" si="21"/>
        <v>0</v>
      </c>
      <c r="CW168" s="9"/>
      <c r="CX168" s="10"/>
      <c r="CY168" s="11"/>
      <c r="CZ168" s="12"/>
      <c r="DA168" s="29"/>
      <c r="DB168" s="12"/>
      <c r="DC168" s="9"/>
      <c r="DD168" s="10"/>
      <c r="DE168" s="71">
        <v>2</v>
      </c>
      <c r="EO168" s="353" t="str">
        <f t="shared" si="22"/>
        <v>SANTANDER_LOS SANTOS</v>
      </c>
      <c r="EP168" s="350"/>
      <c r="EQ168" s="350" t="s">
        <v>4025</v>
      </c>
      <c r="ER168" s="358" t="s">
        <v>4026</v>
      </c>
      <c r="ES168" s="350" t="s">
        <v>4809</v>
      </c>
      <c r="ET168" s="350" t="s">
        <v>5958</v>
      </c>
      <c r="EU168" s="350" t="str">
        <f t="shared" si="24"/>
        <v>Atlantico_Luruaco</v>
      </c>
    </row>
    <row r="169" spans="1:151" ht="156" x14ac:dyDescent="0.2">
      <c r="A169" s="242">
        <v>40210</v>
      </c>
      <c r="B169" s="107" t="s">
        <v>2427</v>
      </c>
      <c r="C169" s="107" t="s">
        <v>1384</v>
      </c>
      <c r="D169" s="427" t="s">
        <v>1387</v>
      </c>
      <c r="E169" s="107" t="str">
        <f>VLOOKUP(B169&amp;C169,Divipola!$C$2:$F$1138,4,FALSE)</f>
        <v>68432</v>
      </c>
      <c r="F169" s="330"/>
      <c r="G169" s="224"/>
      <c r="H169" s="75"/>
      <c r="I169" s="75"/>
      <c r="J169" s="75"/>
      <c r="K169" s="75"/>
      <c r="L169" s="75"/>
      <c r="M169" s="75"/>
      <c r="N169" s="75"/>
      <c r="O169" s="75"/>
      <c r="P169" s="75"/>
      <c r="Q169" s="75"/>
      <c r="R169" s="75"/>
      <c r="S169" s="75"/>
      <c r="T169" s="75"/>
      <c r="U169" s="75"/>
      <c r="V169" s="76"/>
      <c r="W169" s="205"/>
      <c r="X169" s="1"/>
      <c r="Y169" s="78">
        <f t="shared" si="17"/>
        <v>0</v>
      </c>
      <c r="Z169" s="78">
        <f t="shared" si="18"/>
        <v>0</v>
      </c>
      <c r="AA169" s="78">
        <f t="shared" si="19"/>
        <v>0</v>
      </c>
      <c r="AB169" s="78">
        <f t="shared" si="20"/>
        <v>0</v>
      </c>
      <c r="AC169" s="78"/>
      <c r="AD169" s="78">
        <v>0</v>
      </c>
      <c r="AE169" s="80">
        <f t="shared" si="23"/>
        <v>0</v>
      </c>
      <c r="AF169" s="82">
        <v>0</v>
      </c>
      <c r="AG169" s="69">
        <v>40210</v>
      </c>
      <c r="AH169" s="84"/>
      <c r="AI169" s="69" t="s">
        <v>1984</v>
      </c>
      <c r="AJ169" s="25" t="s">
        <v>1985</v>
      </c>
      <c r="AK169" s="65"/>
      <c r="AL169" s="185" t="s">
        <v>1257</v>
      </c>
      <c r="AM169" s="86" t="s">
        <v>1834</v>
      </c>
      <c r="AN169" s="3"/>
      <c r="AO169" s="4"/>
      <c r="AP169" s="5"/>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6"/>
      <c r="CQ169" s="7"/>
      <c r="CR169" s="6"/>
      <c r="CS169" s="7"/>
      <c r="CT169" s="6"/>
      <c r="CU169" s="7"/>
      <c r="CV169" s="8">
        <f t="shared" si="21"/>
        <v>0</v>
      </c>
      <c r="CW169" s="9"/>
      <c r="CX169" s="10"/>
      <c r="CY169" s="11"/>
      <c r="CZ169" s="12"/>
      <c r="DA169" s="29"/>
      <c r="DB169" s="12"/>
      <c r="DC169" s="9"/>
      <c r="DD169" s="10"/>
      <c r="DE169" s="71"/>
      <c r="EO169" s="353" t="str">
        <f t="shared" si="22"/>
        <v>SANTANDER_MALAGA</v>
      </c>
      <c r="EP169" s="350"/>
      <c r="EQ169" s="350" t="s">
        <v>4025</v>
      </c>
      <c r="ER169" s="358" t="s">
        <v>4026</v>
      </c>
      <c r="ES169" s="350" t="s">
        <v>4810</v>
      </c>
      <c r="ET169" s="350" t="s">
        <v>5959</v>
      </c>
      <c r="EU169" s="350" t="str">
        <f t="shared" si="24"/>
        <v>Atlantico_Malambo</v>
      </c>
    </row>
    <row r="170" spans="1:151" ht="84" x14ac:dyDescent="0.2">
      <c r="A170" s="242">
        <v>40210</v>
      </c>
      <c r="B170" s="107" t="s">
        <v>2427</v>
      </c>
      <c r="C170" s="107" t="s">
        <v>2192</v>
      </c>
      <c r="D170" s="427" t="s">
        <v>1387</v>
      </c>
      <c r="E170" s="107" t="str">
        <f>VLOOKUP(B170&amp;C170,Divipola!$C$2:$F$1138,4,FALSE)</f>
        <v>68498</v>
      </c>
      <c r="F170" s="330"/>
      <c r="G170" s="224"/>
      <c r="H170" s="75"/>
      <c r="I170" s="75"/>
      <c r="J170" s="75">
        <v>620</v>
      </c>
      <c r="K170" s="75">
        <v>136</v>
      </c>
      <c r="L170" s="75"/>
      <c r="M170" s="75"/>
      <c r="N170" s="75"/>
      <c r="O170" s="75"/>
      <c r="P170" s="75"/>
      <c r="Q170" s="75"/>
      <c r="R170" s="75"/>
      <c r="S170" s="75"/>
      <c r="T170" s="75"/>
      <c r="U170" s="75"/>
      <c r="V170" s="76"/>
      <c r="W170" s="205"/>
      <c r="X170" s="1">
        <v>40310</v>
      </c>
      <c r="Y170" s="78">
        <f t="shared" si="17"/>
        <v>0</v>
      </c>
      <c r="Z170" s="78">
        <f t="shared" si="18"/>
        <v>0</v>
      </c>
      <c r="AA170" s="78">
        <f t="shared" si="19"/>
        <v>0</v>
      </c>
      <c r="AB170" s="78">
        <f t="shared" si="20"/>
        <v>0</v>
      </c>
      <c r="AC170" s="78"/>
      <c r="AD170" s="78">
        <v>30090000</v>
      </c>
      <c r="AE170" s="80">
        <f t="shared" si="23"/>
        <v>30090000</v>
      </c>
      <c r="AF170" s="82">
        <v>0</v>
      </c>
      <c r="AG170" s="69">
        <v>40304</v>
      </c>
      <c r="AH170" s="84">
        <v>97425</v>
      </c>
      <c r="AI170" s="69" t="s">
        <v>2009</v>
      </c>
      <c r="AJ170" s="25" t="s">
        <v>2010</v>
      </c>
      <c r="AK170" s="65">
        <v>246</v>
      </c>
      <c r="AL170" s="109" t="s">
        <v>1577</v>
      </c>
      <c r="AM170" s="85" t="s">
        <v>1578</v>
      </c>
      <c r="AN170" s="3"/>
      <c r="AO170" s="4"/>
      <c r="AP170" s="5"/>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6"/>
      <c r="CQ170" s="7"/>
      <c r="CR170" s="6"/>
      <c r="CS170" s="7"/>
      <c r="CT170" s="6"/>
      <c r="CU170" s="7"/>
      <c r="CV170" s="8">
        <f t="shared" si="21"/>
        <v>0</v>
      </c>
      <c r="CW170" s="9"/>
      <c r="CX170" s="10"/>
      <c r="CY170" s="11"/>
      <c r="CZ170" s="12"/>
      <c r="DA170" s="29"/>
      <c r="DB170" s="12"/>
      <c r="DC170" s="9"/>
      <c r="DD170" s="10"/>
      <c r="DE170" s="71">
        <v>2</v>
      </c>
      <c r="DF170" s="23">
        <v>1035</v>
      </c>
      <c r="EO170" s="353" t="str">
        <f t="shared" si="22"/>
        <v>SANTANDER_OCAMONTE</v>
      </c>
      <c r="EP170" s="350"/>
      <c r="EQ170" s="350" t="s">
        <v>4025</v>
      </c>
      <c r="ER170" s="358" t="s">
        <v>4026</v>
      </c>
      <c r="ES170" s="350" t="s">
        <v>4811</v>
      </c>
      <c r="ET170" s="350" t="s">
        <v>5960</v>
      </c>
      <c r="EU170" s="350" t="str">
        <f t="shared" si="24"/>
        <v>Atlantico_Manati</v>
      </c>
    </row>
    <row r="171" spans="1:151" ht="156" x14ac:dyDescent="0.2">
      <c r="A171" s="242">
        <v>40210</v>
      </c>
      <c r="B171" s="107" t="s">
        <v>2427</v>
      </c>
      <c r="C171" s="107" t="s">
        <v>1953</v>
      </c>
      <c r="D171" s="427" t="s">
        <v>1387</v>
      </c>
      <c r="E171" s="107" t="str">
        <f>VLOOKUP(B171&amp;C171,Divipola!$C$2:$F$1138,4,FALSE)</f>
        <v>68872</v>
      </c>
      <c r="F171" s="330"/>
      <c r="G171" s="224"/>
      <c r="H171" s="75"/>
      <c r="I171" s="75"/>
      <c r="J171" s="75"/>
      <c r="K171" s="75"/>
      <c r="L171" s="75"/>
      <c r="M171" s="75"/>
      <c r="N171" s="75"/>
      <c r="O171" s="75"/>
      <c r="P171" s="75"/>
      <c r="Q171" s="75"/>
      <c r="R171" s="75"/>
      <c r="S171" s="75"/>
      <c r="T171" s="75"/>
      <c r="U171" s="75"/>
      <c r="V171" s="76"/>
      <c r="W171" s="205"/>
      <c r="X171" s="1"/>
      <c r="Y171" s="78">
        <f t="shared" si="17"/>
        <v>0</v>
      </c>
      <c r="Z171" s="78">
        <f t="shared" si="18"/>
        <v>0</v>
      </c>
      <c r="AA171" s="78">
        <f t="shared" si="19"/>
        <v>0</v>
      </c>
      <c r="AB171" s="78">
        <f t="shared" si="20"/>
        <v>0</v>
      </c>
      <c r="AC171" s="78"/>
      <c r="AD171" s="78">
        <v>51449400</v>
      </c>
      <c r="AE171" s="80">
        <f t="shared" si="23"/>
        <v>51449400</v>
      </c>
      <c r="AF171" s="82">
        <v>0</v>
      </c>
      <c r="AG171" s="69">
        <v>40301</v>
      </c>
      <c r="AH171" s="94" t="s">
        <v>2107</v>
      </c>
      <c r="AI171" s="69" t="s">
        <v>2009</v>
      </c>
      <c r="AJ171" s="25" t="s">
        <v>2010</v>
      </c>
      <c r="AK171" s="65">
        <v>236</v>
      </c>
      <c r="AL171" s="185" t="s">
        <v>2108</v>
      </c>
      <c r="AM171" s="86" t="s">
        <v>2109</v>
      </c>
      <c r="AN171" s="3"/>
      <c r="AO171" s="4"/>
      <c r="AP171" s="5"/>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6"/>
      <c r="CQ171" s="7"/>
      <c r="CR171" s="6"/>
      <c r="CS171" s="7"/>
      <c r="CT171" s="6"/>
      <c r="CU171" s="7"/>
      <c r="CV171" s="8">
        <f t="shared" si="21"/>
        <v>0</v>
      </c>
      <c r="CW171" s="9"/>
      <c r="CX171" s="10"/>
      <c r="CY171" s="11"/>
      <c r="CZ171" s="12"/>
      <c r="DA171" s="29"/>
      <c r="DB171" s="12"/>
      <c r="DC171" s="9"/>
      <c r="DD171" s="10"/>
      <c r="DE171" s="71">
        <v>2</v>
      </c>
      <c r="EO171" s="353" t="str">
        <f t="shared" si="22"/>
        <v>SANTANDER_VILLANUEVA</v>
      </c>
      <c r="EP171" s="350"/>
      <c r="EQ171" s="350" t="s">
        <v>4025</v>
      </c>
      <c r="ER171" s="358" t="s">
        <v>4026</v>
      </c>
      <c r="ES171" s="350" t="s">
        <v>4812</v>
      </c>
      <c r="ET171" s="350" t="s">
        <v>5961</v>
      </c>
      <c r="EU171" s="350" t="str">
        <f t="shared" si="24"/>
        <v>Atlantico_Palmar de Varela</v>
      </c>
    </row>
    <row r="172" spans="1:151" ht="48" x14ac:dyDescent="0.2">
      <c r="A172" s="242">
        <v>40210</v>
      </c>
      <c r="B172" s="107" t="s">
        <v>2372</v>
      </c>
      <c r="C172" s="107" t="s">
        <v>2371</v>
      </c>
      <c r="D172" s="427" t="s">
        <v>1387</v>
      </c>
      <c r="E172" s="107" t="str">
        <f>VLOOKUP(B172&amp;C172,Divipola!$C$2:$F$1138,4,FALSE)</f>
        <v>70110</v>
      </c>
      <c r="F172" s="330"/>
      <c r="G172" s="224"/>
      <c r="H172" s="75"/>
      <c r="I172" s="75"/>
      <c r="J172" s="75"/>
      <c r="K172" s="75"/>
      <c r="L172" s="75"/>
      <c r="M172" s="75"/>
      <c r="N172" s="75"/>
      <c r="O172" s="75"/>
      <c r="P172" s="75"/>
      <c r="Q172" s="75"/>
      <c r="R172" s="75"/>
      <c r="S172" s="75"/>
      <c r="T172" s="75"/>
      <c r="U172" s="75"/>
      <c r="V172" s="76"/>
      <c r="W172" s="205"/>
      <c r="X172" s="1"/>
      <c r="Y172" s="78">
        <f t="shared" si="17"/>
        <v>0</v>
      </c>
      <c r="Z172" s="78">
        <f t="shared" si="18"/>
        <v>0</v>
      </c>
      <c r="AA172" s="78">
        <f t="shared" si="19"/>
        <v>0</v>
      </c>
      <c r="AB172" s="78">
        <f t="shared" si="20"/>
        <v>0</v>
      </c>
      <c r="AC172" s="78"/>
      <c r="AD172" s="78">
        <v>0</v>
      </c>
      <c r="AE172" s="80">
        <f t="shared" si="23"/>
        <v>0</v>
      </c>
      <c r="AF172" s="82">
        <v>0</v>
      </c>
      <c r="AG172" s="69">
        <v>40210</v>
      </c>
      <c r="AH172" s="84"/>
      <c r="AI172" s="69" t="s">
        <v>1984</v>
      </c>
      <c r="AJ172" s="25" t="s">
        <v>1985</v>
      </c>
      <c r="AK172" s="65"/>
      <c r="AL172" s="185" t="s">
        <v>1257</v>
      </c>
      <c r="AM172" s="86" t="s">
        <v>2179</v>
      </c>
      <c r="AN172" s="3"/>
      <c r="AO172" s="4"/>
      <c r="AP172" s="5"/>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6"/>
      <c r="CQ172" s="7"/>
      <c r="CR172" s="6"/>
      <c r="CS172" s="7"/>
      <c r="CT172" s="6"/>
      <c r="CU172" s="7"/>
      <c r="CV172" s="8">
        <f t="shared" si="21"/>
        <v>0</v>
      </c>
      <c r="CW172" s="9"/>
      <c r="CX172" s="10"/>
      <c r="CY172" s="11"/>
      <c r="CZ172" s="12"/>
      <c r="DA172" s="29"/>
      <c r="DB172" s="12"/>
      <c r="DC172" s="9"/>
      <c r="DD172" s="10"/>
      <c r="DE172" s="71"/>
      <c r="EO172" s="353" t="str">
        <f t="shared" si="22"/>
        <v>SUCRE_BUENAVISTA</v>
      </c>
      <c r="EP172" s="350"/>
      <c r="EQ172" s="350" t="s">
        <v>4025</v>
      </c>
      <c r="ER172" s="358" t="s">
        <v>4026</v>
      </c>
      <c r="ES172" s="350" t="s">
        <v>4813</v>
      </c>
      <c r="ET172" s="350" t="s">
        <v>5962</v>
      </c>
      <c r="EU172" s="350" t="str">
        <f t="shared" si="24"/>
        <v>Atlantico_Piojo</v>
      </c>
    </row>
    <row r="173" spans="1:151" ht="84" x14ac:dyDescent="0.2">
      <c r="A173" s="242">
        <v>40210</v>
      </c>
      <c r="B173" s="107" t="s">
        <v>2372</v>
      </c>
      <c r="C173" s="107" t="s">
        <v>2373</v>
      </c>
      <c r="D173" s="427" t="s">
        <v>1387</v>
      </c>
      <c r="E173" s="107" t="str">
        <f>VLOOKUP(B173&amp;C173,Divipola!$C$2:$F$1138,4,FALSE)</f>
        <v>70670</v>
      </c>
      <c r="F173" s="330"/>
      <c r="G173" s="224"/>
      <c r="H173" s="75"/>
      <c r="I173" s="75"/>
      <c r="J173" s="75">
        <v>7000</v>
      </c>
      <c r="K173" s="75">
        <v>1500</v>
      </c>
      <c r="L173" s="75"/>
      <c r="M173" s="75"/>
      <c r="N173" s="75"/>
      <c r="O173" s="75"/>
      <c r="P173" s="75"/>
      <c r="Q173" s="75"/>
      <c r="R173" s="75"/>
      <c r="S173" s="75"/>
      <c r="T173" s="75"/>
      <c r="U173" s="75"/>
      <c r="V173" s="76"/>
      <c r="W173" s="205"/>
      <c r="X173" s="1"/>
      <c r="Y173" s="78">
        <f t="shared" si="17"/>
        <v>0</v>
      </c>
      <c r="Z173" s="78">
        <f t="shared" si="18"/>
        <v>0</v>
      </c>
      <c r="AA173" s="78">
        <f t="shared" si="19"/>
        <v>0</v>
      </c>
      <c r="AB173" s="78">
        <f t="shared" si="20"/>
        <v>0</v>
      </c>
      <c r="AC173" s="78"/>
      <c r="AD173" s="78">
        <v>0</v>
      </c>
      <c r="AE173" s="80">
        <f t="shared" si="23"/>
        <v>0</v>
      </c>
      <c r="AF173" s="82">
        <v>0</v>
      </c>
      <c r="AG173" s="69">
        <v>40210</v>
      </c>
      <c r="AH173" s="84"/>
      <c r="AI173" s="69" t="s">
        <v>1984</v>
      </c>
      <c r="AJ173" s="25" t="s">
        <v>1985</v>
      </c>
      <c r="AK173" s="65"/>
      <c r="AL173" s="185" t="s">
        <v>1257</v>
      </c>
      <c r="AM173" s="86" t="s">
        <v>2683</v>
      </c>
      <c r="AN173" s="3"/>
      <c r="AO173" s="4"/>
      <c r="AP173" s="5"/>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6"/>
      <c r="CQ173" s="7"/>
      <c r="CR173" s="6"/>
      <c r="CS173" s="7"/>
      <c r="CT173" s="6"/>
      <c r="CU173" s="7"/>
      <c r="CV173" s="8">
        <f t="shared" si="21"/>
        <v>0</v>
      </c>
      <c r="CW173" s="9"/>
      <c r="CX173" s="10"/>
      <c r="CY173" s="11"/>
      <c r="CZ173" s="12"/>
      <c r="DA173" s="29"/>
      <c r="DB173" s="12"/>
      <c r="DC173" s="9"/>
      <c r="DD173" s="10"/>
      <c r="DE173" s="71"/>
      <c r="EO173" s="353" t="str">
        <f t="shared" si="22"/>
        <v>SUCRE_SAMPUES</v>
      </c>
      <c r="EP173" s="350"/>
      <c r="EQ173" s="350" t="s">
        <v>4025</v>
      </c>
      <c r="ER173" s="358" t="s">
        <v>4026</v>
      </c>
      <c r="ES173" s="350" t="s">
        <v>4814</v>
      </c>
      <c r="ET173" s="350" t="s">
        <v>5963</v>
      </c>
      <c r="EU173" s="350" t="str">
        <f t="shared" si="24"/>
        <v>Atlantico_Polonuevo</v>
      </c>
    </row>
    <row r="174" spans="1:151" ht="96" x14ac:dyDescent="0.2">
      <c r="A174" s="242">
        <v>40210</v>
      </c>
      <c r="B174" s="107" t="s">
        <v>1462</v>
      </c>
      <c r="C174" s="107" t="s">
        <v>1385</v>
      </c>
      <c r="D174" s="427" t="s">
        <v>1387</v>
      </c>
      <c r="E174" s="107" t="str">
        <f>VLOOKUP(B174&amp;C174,Divipola!$C$2:$F$1138,4,FALSE)</f>
        <v>76845</v>
      </c>
      <c r="F174" s="330"/>
      <c r="G174" s="224"/>
      <c r="H174" s="75"/>
      <c r="I174" s="75"/>
      <c r="J174" s="75"/>
      <c r="K174" s="75"/>
      <c r="L174" s="75"/>
      <c r="M174" s="75"/>
      <c r="N174" s="75"/>
      <c r="O174" s="75"/>
      <c r="P174" s="75"/>
      <c r="Q174" s="75"/>
      <c r="R174" s="75"/>
      <c r="S174" s="75"/>
      <c r="T174" s="75"/>
      <c r="U174" s="75"/>
      <c r="V174" s="76"/>
      <c r="W174" s="205"/>
      <c r="X174" s="1"/>
      <c r="Y174" s="78">
        <f t="shared" si="17"/>
        <v>0</v>
      </c>
      <c r="Z174" s="78">
        <f t="shared" si="18"/>
        <v>0</v>
      </c>
      <c r="AA174" s="78">
        <f t="shared" si="19"/>
        <v>0</v>
      </c>
      <c r="AB174" s="78">
        <f t="shared" si="20"/>
        <v>0</v>
      </c>
      <c r="AC174" s="78"/>
      <c r="AD174" s="78">
        <v>0</v>
      </c>
      <c r="AE174" s="80">
        <f t="shared" si="23"/>
        <v>0</v>
      </c>
      <c r="AF174" s="82">
        <v>0</v>
      </c>
      <c r="AG174" s="69">
        <v>40210</v>
      </c>
      <c r="AH174" s="84"/>
      <c r="AI174" s="69" t="s">
        <v>1984</v>
      </c>
      <c r="AJ174" s="25" t="s">
        <v>1985</v>
      </c>
      <c r="AK174" s="65"/>
      <c r="AL174" s="185" t="s">
        <v>1257</v>
      </c>
      <c r="AM174" s="86" t="s">
        <v>1440</v>
      </c>
      <c r="AN174" s="3"/>
      <c r="AO174" s="4"/>
      <c r="AP174" s="5"/>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6"/>
      <c r="CQ174" s="7"/>
      <c r="CR174" s="6"/>
      <c r="CS174" s="7"/>
      <c r="CT174" s="6"/>
      <c r="CU174" s="7"/>
      <c r="CV174" s="8">
        <f t="shared" si="21"/>
        <v>0</v>
      </c>
      <c r="CW174" s="9"/>
      <c r="CX174" s="10"/>
      <c r="CY174" s="11"/>
      <c r="CZ174" s="12"/>
      <c r="DA174" s="29"/>
      <c r="DB174" s="12"/>
      <c r="DC174" s="9"/>
      <c r="DD174" s="10"/>
      <c r="DE174" s="71"/>
      <c r="EO174" s="353" t="str">
        <f t="shared" si="22"/>
        <v>VALLE DEL CAUCA_ULLOA</v>
      </c>
      <c r="EP174" s="350"/>
      <c r="EQ174" s="350" t="s">
        <v>4025</v>
      </c>
      <c r="ER174" s="358" t="s">
        <v>4026</v>
      </c>
      <c r="ES174" s="350" t="s">
        <v>4815</v>
      </c>
      <c r="ET174" s="350" t="s">
        <v>5964</v>
      </c>
      <c r="EU174" s="350" t="str">
        <f t="shared" si="24"/>
        <v>Atlantico_Ponedera</v>
      </c>
    </row>
    <row r="175" spans="1:151" ht="51" x14ac:dyDescent="0.2">
      <c r="A175" s="242">
        <v>40210</v>
      </c>
      <c r="B175" s="107" t="s">
        <v>1462</v>
      </c>
      <c r="C175" s="107" t="s">
        <v>1386</v>
      </c>
      <c r="D175" s="427" t="s">
        <v>1387</v>
      </c>
      <c r="E175" s="107" t="str">
        <f>VLOOKUP(B175&amp;C175,Divipola!$C$2:$F$1138,4,FALSE)</f>
        <v>76895</v>
      </c>
      <c r="F175" s="330"/>
      <c r="G175" s="224"/>
      <c r="H175" s="75"/>
      <c r="I175" s="75"/>
      <c r="J175" s="75"/>
      <c r="K175" s="75"/>
      <c r="L175" s="75"/>
      <c r="M175" s="75"/>
      <c r="N175" s="75"/>
      <c r="O175" s="75"/>
      <c r="P175" s="75"/>
      <c r="Q175" s="75"/>
      <c r="R175" s="75"/>
      <c r="S175" s="75"/>
      <c r="T175" s="75"/>
      <c r="U175" s="75"/>
      <c r="V175" s="76"/>
      <c r="W175" s="205"/>
      <c r="X175" s="1"/>
      <c r="Y175" s="78">
        <f t="shared" si="17"/>
        <v>0</v>
      </c>
      <c r="Z175" s="78">
        <f t="shared" si="18"/>
        <v>0</v>
      </c>
      <c r="AA175" s="78">
        <f t="shared" si="19"/>
        <v>0</v>
      </c>
      <c r="AB175" s="78">
        <f t="shared" si="20"/>
        <v>0</v>
      </c>
      <c r="AC175" s="78"/>
      <c r="AD175" s="78">
        <v>0</v>
      </c>
      <c r="AE175" s="80">
        <f t="shared" si="23"/>
        <v>0</v>
      </c>
      <c r="AF175" s="82">
        <v>0</v>
      </c>
      <c r="AG175" s="69">
        <v>40210</v>
      </c>
      <c r="AH175" s="84"/>
      <c r="AI175" s="69" t="s">
        <v>1984</v>
      </c>
      <c r="AJ175" s="25" t="s">
        <v>1985</v>
      </c>
      <c r="AK175" s="65"/>
      <c r="AL175" s="185" t="s">
        <v>1257</v>
      </c>
      <c r="AM175" s="86" t="s">
        <v>2179</v>
      </c>
      <c r="AN175" s="3"/>
      <c r="AO175" s="4"/>
      <c r="AP175" s="5"/>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6"/>
      <c r="CQ175" s="7"/>
      <c r="CR175" s="6"/>
      <c r="CS175" s="7"/>
      <c r="CT175" s="6"/>
      <c r="CU175" s="7"/>
      <c r="CV175" s="8">
        <f t="shared" si="21"/>
        <v>0</v>
      </c>
      <c r="CW175" s="9"/>
      <c r="CX175" s="10"/>
      <c r="CY175" s="11"/>
      <c r="CZ175" s="12"/>
      <c r="DA175" s="29"/>
      <c r="DB175" s="12"/>
      <c r="DC175" s="9"/>
      <c r="DD175" s="10"/>
      <c r="DE175" s="71"/>
      <c r="EO175" s="353" t="str">
        <f t="shared" si="22"/>
        <v>VALLE DEL CAUCA_ZARZAL</v>
      </c>
      <c r="EP175" s="350"/>
      <c r="EQ175" s="350" t="s">
        <v>4025</v>
      </c>
      <c r="ER175" s="358" t="s">
        <v>4026</v>
      </c>
      <c r="ES175" s="350" t="s">
        <v>4816</v>
      </c>
      <c r="ET175" s="350" t="s">
        <v>5965</v>
      </c>
      <c r="EU175" s="350" t="str">
        <f t="shared" si="24"/>
        <v>Atlantico_Puerto Colombia</v>
      </c>
    </row>
    <row r="176" spans="1:151" ht="132" x14ac:dyDescent="0.2">
      <c r="A176" s="242">
        <v>40211</v>
      </c>
      <c r="B176" s="107" t="s">
        <v>2013</v>
      </c>
      <c r="C176" s="107" t="s">
        <v>2013</v>
      </c>
      <c r="D176" s="427" t="s">
        <v>2779</v>
      </c>
      <c r="E176" s="107" t="str">
        <f>VLOOKUP(B176&amp;C176,Divipola!$C$2:$F$1138,4,FALSE)</f>
        <v>00000</v>
      </c>
      <c r="F176" s="330"/>
      <c r="G176" s="224"/>
      <c r="H176" s="75"/>
      <c r="I176" s="75"/>
      <c r="J176" s="75"/>
      <c r="K176" s="75"/>
      <c r="L176" s="75"/>
      <c r="M176" s="75"/>
      <c r="N176" s="75"/>
      <c r="O176" s="75"/>
      <c r="P176" s="75"/>
      <c r="Q176" s="75"/>
      <c r="R176" s="75"/>
      <c r="S176" s="75"/>
      <c r="T176" s="75"/>
      <c r="U176" s="75"/>
      <c r="V176" s="76"/>
      <c r="W176" s="205"/>
      <c r="X176" s="1"/>
      <c r="Y176" s="78">
        <f t="shared" si="17"/>
        <v>0</v>
      </c>
      <c r="Z176" s="78">
        <f t="shared" si="18"/>
        <v>0</v>
      </c>
      <c r="AA176" s="78">
        <f t="shared" si="19"/>
        <v>0</v>
      </c>
      <c r="AB176" s="78">
        <f t="shared" si="20"/>
        <v>0</v>
      </c>
      <c r="AC176" s="78">
        <f>128069420+328333580+243587000</f>
        <v>699990000</v>
      </c>
      <c r="AD176" s="78">
        <v>0</v>
      </c>
      <c r="AE176" s="80">
        <f t="shared" si="23"/>
        <v>699990000</v>
      </c>
      <c r="AF176" s="82">
        <v>0</v>
      </c>
      <c r="AG176" s="69">
        <v>40233</v>
      </c>
      <c r="AH176" s="84">
        <v>95500</v>
      </c>
      <c r="AI176" s="69" t="s">
        <v>2009</v>
      </c>
      <c r="AJ176" s="25" t="s">
        <v>2010</v>
      </c>
      <c r="AK176" s="88" t="s">
        <v>2674</v>
      </c>
      <c r="AL176" s="185" t="s">
        <v>2197</v>
      </c>
      <c r="AM176" s="85" t="s">
        <v>2673</v>
      </c>
      <c r="AN176" s="3"/>
      <c r="AO176" s="4"/>
      <c r="AP176" s="5"/>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6"/>
      <c r="CQ176" s="7"/>
      <c r="CR176" s="6"/>
      <c r="CS176" s="7"/>
      <c r="CT176" s="6"/>
      <c r="CU176" s="7"/>
      <c r="CV176" s="8">
        <f t="shared" si="21"/>
        <v>0</v>
      </c>
      <c r="CW176" s="9"/>
      <c r="CX176" s="10"/>
      <c r="CY176" s="11"/>
      <c r="CZ176" s="12"/>
      <c r="DA176" s="29"/>
      <c r="DB176" s="12"/>
      <c r="DC176" s="9"/>
      <c r="DD176" s="10"/>
      <c r="DE176" s="89"/>
      <c r="EO176" s="353" t="str">
        <f t="shared" si="22"/>
        <v>NACION_NACION</v>
      </c>
      <c r="EP176" s="350"/>
      <c r="EQ176" s="350" t="s">
        <v>4025</v>
      </c>
      <c r="ER176" s="358" t="s">
        <v>4026</v>
      </c>
      <c r="ES176" s="350" t="s">
        <v>4817</v>
      </c>
      <c r="ET176" s="350" t="s">
        <v>5966</v>
      </c>
      <c r="EU176" s="350" t="str">
        <f t="shared" si="24"/>
        <v>Atlantico_Repelon</v>
      </c>
    </row>
    <row r="177" spans="1:151" ht="45" x14ac:dyDescent="0.2">
      <c r="A177" s="242">
        <v>40212</v>
      </c>
      <c r="B177" s="107" t="s">
        <v>2013</v>
      </c>
      <c r="C177" s="232" t="s">
        <v>2013</v>
      </c>
      <c r="D177" s="427" t="s">
        <v>2779</v>
      </c>
      <c r="E177" s="107" t="str">
        <f>VLOOKUP(B177&amp;C177,Divipola!$C$2:$F$1138,4,FALSE)</f>
        <v>00000</v>
      </c>
      <c r="F177" s="330"/>
      <c r="G177" s="224"/>
      <c r="H177" s="75"/>
      <c r="I177" s="75"/>
      <c r="J177" s="75"/>
      <c r="K177" s="75"/>
      <c r="L177" s="75"/>
      <c r="M177" s="75"/>
      <c r="N177" s="75"/>
      <c r="O177" s="75"/>
      <c r="P177" s="75"/>
      <c r="Q177" s="75"/>
      <c r="R177" s="75"/>
      <c r="S177" s="75"/>
      <c r="T177" s="75"/>
      <c r="U177" s="75"/>
      <c r="V177" s="76"/>
      <c r="W177" s="205"/>
      <c r="X177" s="1">
        <v>40224</v>
      </c>
      <c r="Y177" s="78">
        <f t="shared" si="17"/>
        <v>0</v>
      </c>
      <c r="Z177" s="78">
        <f t="shared" si="18"/>
        <v>0</v>
      </c>
      <c r="AA177" s="78">
        <f t="shared" si="19"/>
        <v>0</v>
      </c>
      <c r="AB177" s="78">
        <f t="shared" si="20"/>
        <v>0</v>
      </c>
      <c r="AC177" s="78">
        <f>1000*22000</f>
        <v>22000000</v>
      </c>
      <c r="AD177" s="78">
        <v>0</v>
      </c>
      <c r="AE177" s="80">
        <f t="shared" si="23"/>
        <v>22000000</v>
      </c>
      <c r="AF177" s="82">
        <v>0</v>
      </c>
      <c r="AG177" s="69">
        <v>40212</v>
      </c>
      <c r="AH177" s="84">
        <v>94899</v>
      </c>
      <c r="AI177" s="69" t="s">
        <v>2009</v>
      </c>
      <c r="AJ177" s="25" t="s">
        <v>2010</v>
      </c>
      <c r="AK177" s="65">
        <v>17</v>
      </c>
      <c r="AL177" s="185" t="s">
        <v>2011</v>
      </c>
      <c r="AM177" s="85" t="s">
        <v>1544</v>
      </c>
      <c r="AN177" s="3"/>
      <c r="AO177" s="4"/>
      <c r="AP177" s="5"/>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6"/>
      <c r="CQ177" s="7"/>
      <c r="CR177" s="6"/>
      <c r="CS177" s="7"/>
      <c r="CT177" s="6"/>
      <c r="CU177" s="7"/>
      <c r="CV177" s="8">
        <f t="shared" si="21"/>
        <v>0</v>
      </c>
      <c r="CW177" s="9"/>
      <c r="CX177" s="10"/>
      <c r="CY177" s="11"/>
      <c r="CZ177" s="12"/>
      <c r="DA177" s="29"/>
      <c r="DB177" s="12"/>
      <c r="DC177" s="9"/>
      <c r="DD177" s="10"/>
      <c r="DE177" s="71"/>
      <c r="EO177" s="353" t="str">
        <f t="shared" si="22"/>
        <v>NACION_NACION</v>
      </c>
      <c r="EP177" s="350"/>
      <c r="EQ177" s="350" t="s">
        <v>4025</v>
      </c>
      <c r="ER177" s="358" t="s">
        <v>4026</v>
      </c>
      <c r="ES177" s="350" t="s">
        <v>4818</v>
      </c>
      <c r="ET177" s="350" t="s">
        <v>5967</v>
      </c>
      <c r="EU177" s="350" t="str">
        <f t="shared" si="24"/>
        <v>Atlantico_Sabanagrande</v>
      </c>
    </row>
    <row r="178" spans="1:151" ht="41.25" x14ac:dyDescent="0.2">
      <c r="A178" s="242">
        <v>40213</v>
      </c>
      <c r="B178" s="107" t="s">
        <v>828</v>
      </c>
      <c r="C178" s="107" t="s">
        <v>2368</v>
      </c>
      <c r="D178" s="427" t="s">
        <v>2779</v>
      </c>
      <c r="E178" s="107" t="str">
        <f>VLOOKUP(B178&amp;C178,Divipola!$C$2:$F$1138,4,FALSE)</f>
        <v>15778</v>
      </c>
      <c r="F178" s="330"/>
      <c r="G178" s="224"/>
      <c r="H178" s="75"/>
      <c r="I178" s="75"/>
      <c r="J178" s="75"/>
      <c r="K178" s="75"/>
      <c r="L178" s="75"/>
      <c r="M178" s="75"/>
      <c r="N178" s="75"/>
      <c r="O178" s="75"/>
      <c r="P178" s="75"/>
      <c r="Q178" s="75"/>
      <c r="R178" s="75"/>
      <c r="S178" s="75"/>
      <c r="T178" s="75"/>
      <c r="U178" s="75"/>
      <c r="V178" s="76"/>
      <c r="W178" s="205" t="s">
        <v>1222</v>
      </c>
      <c r="X178" s="1"/>
      <c r="Y178" s="78">
        <f t="shared" si="17"/>
        <v>0</v>
      </c>
      <c r="Z178" s="78">
        <f t="shared" si="18"/>
        <v>0</v>
      </c>
      <c r="AA178" s="78">
        <f t="shared" si="19"/>
        <v>0</v>
      </c>
      <c r="AB178" s="78">
        <f t="shared" si="20"/>
        <v>0</v>
      </c>
      <c r="AC178" s="78"/>
      <c r="AD178" s="78">
        <v>0</v>
      </c>
      <c r="AE178" s="80">
        <f t="shared" si="23"/>
        <v>0</v>
      </c>
      <c r="AF178" s="82">
        <v>0</v>
      </c>
      <c r="AG178" s="69">
        <v>40228</v>
      </c>
      <c r="AH178" s="84">
        <v>95407</v>
      </c>
      <c r="AI178" s="69" t="s">
        <v>2009</v>
      </c>
      <c r="AJ178" s="25" t="s">
        <v>1985</v>
      </c>
      <c r="AK178" s="65"/>
      <c r="AL178" s="185" t="s">
        <v>2221</v>
      </c>
      <c r="AM178" s="85" t="s">
        <v>944</v>
      </c>
      <c r="AN178" s="3"/>
      <c r="AO178" s="4"/>
      <c r="AP178" s="5"/>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6"/>
      <c r="CQ178" s="7"/>
      <c r="CR178" s="6"/>
      <c r="CS178" s="7"/>
      <c r="CT178" s="6"/>
      <c r="CU178" s="7"/>
      <c r="CV178" s="8">
        <f t="shared" si="21"/>
        <v>0</v>
      </c>
      <c r="CW178" s="9"/>
      <c r="CX178" s="10"/>
      <c r="CY178" s="11"/>
      <c r="CZ178" s="12"/>
      <c r="DA178" s="29"/>
      <c r="DB178" s="12"/>
      <c r="DC178" s="9"/>
      <c r="DD178" s="10"/>
      <c r="DE178" s="71"/>
      <c r="EO178" s="353" t="str">
        <f t="shared" si="22"/>
        <v>BOYACA_SUTATENZA</v>
      </c>
      <c r="EP178" s="350"/>
      <c r="EQ178" s="350" t="s">
        <v>4025</v>
      </c>
      <c r="ER178" s="358" t="s">
        <v>4026</v>
      </c>
      <c r="ES178" s="350" t="s">
        <v>4819</v>
      </c>
      <c r="ET178" s="350" t="s">
        <v>5912</v>
      </c>
      <c r="EU178" s="350" t="str">
        <f t="shared" si="24"/>
        <v>Atlantico_Sabanalarga</v>
      </c>
    </row>
    <row r="179" spans="1:151" ht="56.25" x14ac:dyDescent="0.2">
      <c r="A179" s="242">
        <v>40214</v>
      </c>
      <c r="B179" s="107" t="s">
        <v>1719</v>
      </c>
      <c r="C179" s="107" t="s">
        <v>282</v>
      </c>
      <c r="D179" s="427" t="s">
        <v>2209</v>
      </c>
      <c r="E179" s="107" t="str">
        <f>VLOOKUP(B179&amp;C179,Divipola!$C$2:$F$1138,4,FALSE)</f>
        <v>19137</v>
      </c>
      <c r="F179" s="330"/>
      <c r="G179" s="224"/>
      <c r="H179" s="75"/>
      <c r="I179" s="75"/>
      <c r="J179" s="75">
        <f>19*5</f>
        <v>95</v>
      </c>
      <c r="K179" s="75">
        <v>19</v>
      </c>
      <c r="L179" s="75"/>
      <c r="M179" s="75">
        <v>19</v>
      </c>
      <c r="N179" s="75"/>
      <c r="O179" s="75"/>
      <c r="P179" s="75"/>
      <c r="Q179" s="75"/>
      <c r="R179" s="75"/>
      <c r="S179" s="75"/>
      <c r="T179" s="75">
        <v>2</v>
      </c>
      <c r="U179" s="75"/>
      <c r="V179" s="76"/>
      <c r="W179" s="205"/>
      <c r="X179" s="1">
        <v>40288</v>
      </c>
      <c r="Y179" s="78">
        <f t="shared" si="17"/>
        <v>0</v>
      </c>
      <c r="Z179" s="78">
        <f t="shared" si="18"/>
        <v>0</v>
      </c>
      <c r="AA179" s="78">
        <f t="shared" si="19"/>
        <v>7191975.6399999997</v>
      </c>
      <c r="AB179" s="78">
        <f t="shared" si="20"/>
        <v>0</v>
      </c>
      <c r="AC179" s="78"/>
      <c r="AD179" s="78">
        <v>0</v>
      </c>
      <c r="AE179" s="80">
        <f t="shared" si="23"/>
        <v>7191975.6399999997</v>
      </c>
      <c r="AF179" s="82">
        <v>0</v>
      </c>
      <c r="AG179" s="69">
        <v>40228</v>
      </c>
      <c r="AH179" s="84">
        <v>95584</v>
      </c>
      <c r="AI179" s="69" t="s">
        <v>2009</v>
      </c>
      <c r="AJ179" s="25" t="s">
        <v>2010</v>
      </c>
      <c r="AK179" s="65">
        <v>80</v>
      </c>
      <c r="AL179" s="185" t="s">
        <v>1376</v>
      </c>
      <c r="AM179" s="85" t="s">
        <v>283</v>
      </c>
      <c r="AN179" s="3"/>
      <c r="AO179" s="4"/>
      <c r="AP179" s="5"/>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6"/>
      <c r="CQ179" s="7"/>
      <c r="CR179" s="6"/>
      <c r="CS179" s="7"/>
      <c r="CT179" s="6"/>
      <c r="CU179" s="7"/>
      <c r="CV179" s="8">
        <f t="shared" si="21"/>
        <v>0</v>
      </c>
      <c r="CW179" s="9"/>
      <c r="CX179" s="10"/>
      <c r="CY179" s="11"/>
      <c r="CZ179" s="12"/>
      <c r="DA179" s="29">
        <v>15</v>
      </c>
      <c r="DB179" s="12">
        <f>15*24940</f>
        <v>374100</v>
      </c>
      <c r="DC179" s="9">
        <f>139+124+11</f>
        <v>274</v>
      </c>
      <c r="DD179" s="10">
        <f>139*18792+124*31768.92+11*24221.96</f>
        <v>6817875.6399999997</v>
      </c>
      <c r="DE179" s="71"/>
      <c r="EO179" s="353" t="str">
        <f t="shared" si="22"/>
        <v>CAUCA_CALDONO</v>
      </c>
      <c r="EP179" s="350"/>
      <c r="EQ179" s="350" t="s">
        <v>4025</v>
      </c>
      <c r="ER179" s="358" t="s">
        <v>4026</v>
      </c>
      <c r="ES179" s="350" t="s">
        <v>4820</v>
      </c>
      <c r="ET179" s="350" t="s">
        <v>5968</v>
      </c>
      <c r="EU179" s="350" t="str">
        <f t="shared" si="24"/>
        <v>Atlantico_Santa Lucia</v>
      </c>
    </row>
    <row r="180" spans="1:151" ht="63.75" x14ac:dyDescent="0.2">
      <c r="A180" s="242">
        <v>40214</v>
      </c>
      <c r="B180" s="107" t="s">
        <v>2245</v>
      </c>
      <c r="C180" s="107" t="s">
        <v>4514</v>
      </c>
      <c r="D180" s="427" t="s">
        <v>1721</v>
      </c>
      <c r="E180" s="107" t="str">
        <f>VLOOKUP(B180&amp;C180,Divipola!$C$2:$F$1138,4,FALSE)</f>
        <v>52835</v>
      </c>
      <c r="F180" s="330"/>
      <c r="G180" s="224"/>
      <c r="H180" s="75"/>
      <c r="I180" s="75"/>
      <c r="J180" s="75">
        <v>12</v>
      </c>
      <c r="K180" s="75">
        <v>3</v>
      </c>
      <c r="L180" s="75">
        <v>3</v>
      </c>
      <c r="M180" s="75"/>
      <c r="N180" s="75"/>
      <c r="O180" s="75"/>
      <c r="P180" s="75"/>
      <c r="Q180" s="75"/>
      <c r="R180" s="75"/>
      <c r="S180" s="75"/>
      <c r="T180" s="75"/>
      <c r="U180" s="75"/>
      <c r="V180" s="76"/>
      <c r="W180" s="205"/>
      <c r="X180" s="1"/>
      <c r="Y180" s="78">
        <f t="shared" si="17"/>
        <v>0</v>
      </c>
      <c r="Z180" s="78">
        <f t="shared" si="18"/>
        <v>0</v>
      </c>
      <c r="AA180" s="78">
        <f t="shared" si="19"/>
        <v>0</v>
      </c>
      <c r="AB180" s="78">
        <f t="shared" si="20"/>
        <v>0</v>
      </c>
      <c r="AC180" s="78"/>
      <c r="AD180" s="78">
        <v>0</v>
      </c>
      <c r="AE180" s="80">
        <f t="shared" si="23"/>
        <v>0</v>
      </c>
      <c r="AF180" s="82">
        <v>0</v>
      </c>
      <c r="AG180" s="69">
        <v>40255</v>
      </c>
      <c r="AH180" s="84">
        <v>96095</v>
      </c>
      <c r="AI180" s="69" t="s">
        <v>1984</v>
      </c>
      <c r="AJ180" s="25" t="s">
        <v>1985</v>
      </c>
      <c r="AK180" s="65"/>
      <c r="AL180" s="211" t="s">
        <v>1257</v>
      </c>
      <c r="AM180" s="85" t="s">
        <v>2232</v>
      </c>
      <c r="AN180" s="3"/>
      <c r="AO180" s="4"/>
      <c r="AP180" s="5"/>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6"/>
      <c r="CQ180" s="7"/>
      <c r="CR180" s="6"/>
      <c r="CS180" s="7"/>
      <c r="CT180" s="6"/>
      <c r="CU180" s="7"/>
      <c r="CV180" s="8">
        <f t="shared" si="21"/>
        <v>0</v>
      </c>
      <c r="CW180" s="9"/>
      <c r="CX180" s="10"/>
      <c r="CY180" s="11"/>
      <c r="CZ180" s="12"/>
      <c r="DA180" s="29"/>
      <c r="DB180" s="12"/>
      <c r="DC180" s="9"/>
      <c r="DD180" s="10"/>
      <c r="DE180" s="71"/>
      <c r="EO180" s="353" t="str">
        <f t="shared" si="22"/>
        <v>NARIÑO_SAN ANDRES DE TUMACO</v>
      </c>
      <c r="EP180" s="350"/>
      <c r="EQ180" s="350" t="s">
        <v>4025</v>
      </c>
      <c r="ER180" s="358" t="s">
        <v>4026</v>
      </c>
      <c r="ES180" s="350" t="s">
        <v>4821</v>
      </c>
      <c r="ET180" s="350" t="s">
        <v>5969</v>
      </c>
      <c r="EU180" s="350" t="str">
        <f t="shared" si="24"/>
        <v>Atlantico_Santo Tomas</v>
      </c>
    </row>
    <row r="181" spans="1:151" ht="60" x14ac:dyDescent="0.2">
      <c r="A181" s="242">
        <v>40217</v>
      </c>
      <c r="B181" s="107" t="s">
        <v>2372</v>
      </c>
      <c r="C181" s="107" t="s">
        <v>2372</v>
      </c>
      <c r="D181" s="427" t="s">
        <v>2209</v>
      </c>
      <c r="E181" s="107" t="str">
        <f>VLOOKUP(B181&amp;C181,Divipola!$C$2:$F$1138,4,FALSE)</f>
        <v>70771</v>
      </c>
      <c r="F181" s="330"/>
      <c r="G181" s="224"/>
      <c r="H181" s="75"/>
      <c r="I181" s="75"/>
      <c r="J181" s="75">
        <f>180*5</f>
        <v>900</v>
      </c>
      <c r="K181" s="75">
        <v>180</v>
      </c>
      <c r="L181" s="75"/>
      <c r="M181" s="75">
        <v>180</v>
      </c>
      <c r="N181" s="75"/>
      <c r="O181" s="75"/>
      <c r="P181" s="75"/>
      <c r="Q181" s="75"/>
      <c r="R181" s="75"/>
      <c r="S181" s="75"/>
      <c r="T181" s="75"/>
      <c r="U181" s="75"/>
      <c r="V181" s="76"/>
      <c r="W181" s="205"/>
      <c r="X181" s="1">
        <v>40261</v>
      </c>
      <c r="Y181" s="78">
        <f t="shared" si="17"/>
        <v>0</v>
      </c>
      <c r="Z181" s="78">
        <f t="shared" si="18"/>
        <v>0</v>
      </c>
      <c r="AA181" s="78">
        <f t="shared" si="19"/>
        <v>18792000</v>
      </c>
      <c r="AB181" s="78">
        <f t="shared" si="20"/>
        <v>0</v>
      </c>
      <c r="AC181" s="78"/>
      <c r="AD181" s="78">
        <v>0</v>
      </c>
      <c r="AE181" s="80">
        <f t="shared" si="23"/>
        <v>18792000</v>
      </c>
      <c r="AF181" s="82">
        <v>0</v>
      </c>
      <c r="AG181" s="69">
        <v>40221</v>
      </c>
      <c r="AH181" s="84">
        <v>95170</v>
      </c>
      <c r="AI181" s="69" t="s">
        <v>2009</v>
      </c>
      <c r="AJ181" s="25" t="s">
        <v>2010</v>
      </c>
      <c r="AK181" s="65">
        <v>50</v>
      </c>
      <c r="AL181" s="185" t="s">
        <v>2327</v>
      </c>
      <c r="AM181" s="85" t="s">
        <v>1784</v>
      </c>
      <c r="AN181" s="3"/>
      <c r="AO181" s="4"/>
      <c r="AP181" s="5"/>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6"/>
      <c r="CQ181" s="7"/>
      <c r="CR181" s="6"/>
      <c r="CS181" s="7"/>
      <c r="CT181" s="6"/>
      <c r="CU181" s="7"/>
      <c r="CV181" s="8">
        <f t="shared" si="21"/>
        <v>0</v>
      </c>
      <c r="CW181" s="9"/>
      <c r="CX181" s="10"/>
      <c r="CY181" s="11"/>
      <c r="CZ181" s="12"/>
      <c r="DA181" s="29"/>
      <c r="DB181" s="12"/>
      <c r="DC181" s="9">
        <v>1000</v>
      </c>
      <c r="DD181" s="10">
        <f>1000*18792</f>
        <v>18792000</v>
      </c>
      <c r="DE181" s="71"/>
      <c r="EO181" s="353" t="str">
        <f t="shared" si="22"/>
        <v>SUCRE_SUCRE</v>
      </c>
      <c r="EP181" s="350"/>
      <c r="EQ181" s="350" t="s">
        <v>4025</v>
      </c>
      <c r="ER181" s="358" t="s">
        <v>4026</v>
      </c>
      <c r="ES181" s="350" t="s">
        <v>4822</v>
      </c>
      <c r="ET181" s="350" t="s">
        <v>5970</v>
      </c>
      <c r="EU181" s="350" t="str">
        <f t="shared" si="24"/>
        <v>Atlantico_Soledad</v>
      </c>
    </row>
    <row r="182" spans="1:151" ht="60" x14ac:dyDescent="0.2">
      <c r="A182" s="242">
        <v>40218</v>
      </c>
      <c r="B182" s="107" t="s">
        <v>2242</v>
      </c>
      <c r="C182" s="107" t="s">
        <v>191</v>
      </c>
      <c r="D182" s="427" t="s">
        <v>1387</v>
      </c>
      <c r="E182" s="107" t="str">
        <f>VLOOKUP(B182&amp;C182,Divipola!$C$2:$F$1138,4,FALSE)</f>
        <v>20614</v>
      </c>
      <c r="F182" s="330"/>
      <c r="G182" s="224"/>
      <c r="H182" s="75"/>
      <c r="I182" s="75"/>
      <c r="J182" s="75"/>
      <c r="K182" s="75"/>
      <c r="L182" s="75"/>
      <c r="M182" s="75"/>
      <c r="N182" s="75"/>
      <c r="O182" s="75"/>
      <c r="P182" s="75"/>
      <c r="Q182" s="75"/>
      <c r="R182" s="75"/>
      <c r="S182" s="75"/>
      <c r="T182" s="75"/>
      <c r="U182" s="75"/>
      <c r="V182" s="76"/>
      <c r="W182" s="205"/>
      <c r="X182" s="1"/>
      <c r="Y182" s="78">
        <f t="shared" si="17"/>
        <v>0</v>
      </c>
      <c r="Z182" s="78">
        <f t="shared" si="18"/>
        <v>0</v>
      </c>
      <c r="AA182" s="78">
        <f t="shared" si="19"/>
        <v>0</v>
      </c>
      <c r="AB182" s="78">
        <f t="shared" si="20"/>
        <v>0</v>
      </c>
      <c r="AC182" s="78"/>
      <c r="AD182" s="78">
        <v>0</v>
      </c>
      <c r="AE182" s="80">
        <f t="shared" si="23"/>
        <v>0</v>
      </c>
      <c r="AF182" s="82">
        <v>0</v>
      </c>
      <c r="AG182" s="69">
        <v>40245</v>
      </c>
      <c r="AH182" s="84">
        <v>95821</v>
      </c>
      <c r="AI182" s="69" t="s">
        <v>1984</v>
      </c>
      <c r="AJ182" s="25" t="s">
        <v>1985</v>
      </c>
      <c r="AK182" s="65"/>
      <c r="AL182" s="185" t="s">
        <v>1257</v>
      </c>
      <c r="AM182" s="85" t="s">
        <v>1217</v>
      </c>
      <c r="AN182" s="3"/>
      <c r="AO182" s="4"/>
      <c r="AP182" s="5"/>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6"/>
      <c r="CQ182" s="7"/>
      <c r="CR182" s="6"/>
      <c r="CS182" s="7"/>
      <c r="CT182" s="6"/>
      <c r="CU182" s="7"/>
      <c r="CV182" s="8">
        <f t="shared" si="21"/>
        <v>0</v>
      </c>
      <c r="CW182" s="9"/>
      <c r="CX182" s="10"/>
      <c r="CY182" s="11"/>
      <c r="CZ182" s="12"/>
      <c r="DA182" s="29"/>
      <c r="DB182" s="12"/>
      <c r="DC182" s="9"/>
      <c r="DD182" s="10"/>
      <c r="DE182" s="71"/>
      <c r="EO182" s="353" t="str">
        <f t="shared" si="22"/>
        <v>CESAR_RIO DE ORO</v>
      </c>
      <c r="EP182" s="350"/>
      <c r="EQ182" s="350" t="s">
        <v>4025</v>
      </c>
      <c r="ER182" s="358" t="s">
        <v>4026</v>
      </c>
      <c r="ES182" s="350" t="s">
        <v>4823</v>
      </c>
      <c r="ET182" s="350" t="s">
        <v>5971</v>
      </c>
      <c r="EU182" s="350" t="str">
        <f t="shared" si="24"/>
        <v>Atlantico_Suan</v>
      </c>
    </row>
    <row r="183" spans="1:151" ht="60" x14ac:dyDescent="0.2">
      <c r="A183" s="242">
        <v>40218</v>
      </c>
      <c r="B183" s="107" t="s">
        <v>2014</v>
      </c>
      <c r="C183" s="107" t="s">
        <v>2008</v>
      </c>
      <c r="D183" s="427" t="s">
        <v>2779</v>
      </c>
      <c r="E183" s="107">
        <f>VLOOKUP(B183&amp;C183,Divipola!$C$2:$F$1138,4,FALSE)</f>
        <v>63</v>
      </c>
      <c r="F183" s="330"/>
      <c r="G183" s="224"/>
      <c r="H183" s="75"/>
      <c r="I183" s="75"/>
      <c r="J183" s="75"/>
      <c r="K183" s="75"/>
      <c r="L183" s="75"/>
      <c r="M183" s="75"/>
      <c r="N183" s="75"/>
      <c r="O183" s="75"/>
      <c r="P183" s="75"/>
      <c r="Q183" s="75"/>
      <c r="R183" s="75"/>
      <c r="S183" s="75"/>
      <c r="T183" s="75"/>
      <c r="U183" s="75"/>
      <c r="V183" s="76"/>
      <c r="W183" s="205"/>
      <c r="X183" s="1">
        <v>40239</v>
      </c>
      <c r="Y183" s="78">
        <f t="shared" si="17"/>
        <v>0</v>
      </c>
      <c r="Z183" s="78">
        <f t="shared" si="18"/>
        <v>0</v>
      </c>
      <c r="AA183" s="78">
        <f t="shared" si="19"/>
        <v>0</v>
      </c>
      <c r="AB183" s="78">
        <f t="shared" si="20"/>
        <v>0</v>
      </c>
      <c r="AC183" s="78">
        <f>500*22000+1000*1400+300*106465.52*1.16+300*65000*1.16+300*26897*1.16</f>
        <v>81430156.960000008</v>
      </c>
      <c r="AD183" s="78">
        <v>0</v>
      </c>
      <c r="AE183" s="80">
        <f t="shared" si="23"/>
        <v>81430156.960000008</v>
      </c>
      <c r="AF183" s="82">
        <v>0</v>
      </c>
      <c r="AG183" s="69">
        <v>40221</v>
      </c>
      <c r="AH183" s="84">
        <v>95188</v>
      </c>
      <c r="AI183" s="69" t="s">
        <v>2009</v>
      </c>
      <c r="AJ183" s="25" t="s">
        <v>2010</v>
      </c>
      <c r="AK183" s="88" t="s">
        <v>2405</v>
      </c>
      <c r="AL183" s="185" t="s">
        <v>291</v>
      </c>
      <c r="AM183" s="85" t="s">
        <v>111</v>
      </c>
      <c r="AN183" s="3"/>
      <c r="AO183" s="4"/>
      <c r="AP183" s="5"/>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6"/>
      <c r="CQ183" s="7"/>
      <c r="CR183" s="6"/>
      <c r="CS183" s="7"/>
      <c r="CT183" s="6"/>
      <c r="CU183" s="7"/>
      <c r="CV183" s="8">
        <f t="shared" si="21"/>
        <v>0</v>
      </c>
      <c r="CW183" s="9"/>
      <c r="CX183" s="10"/>
      <c r="CY183" s="11"/>
      <c r="CZ183" s="12"/>
      <c r="DA183" s="29"/>
      <c r="DB183" s="12"/>
      <c r="DC183" s="9"/>
      <c r="DD183" s="10"/>
      <c r="DE183" s="89"/>
      <c r="EO183" s="353" t="str">
        <f t="shared" si="22"/>
        <v>QUINDIO_DEPARTAMENTO</v>
      </c>
      <c r="EP183" s="350"/>
      <c r="EQ183" s="350" t="s">
        <v>4025</v>
      </c>
      <c r="ER183" s="358" t="s">
        <v>4026</v>
      </c>
      <c r="ES183" s="350" t="s">
        <v>4824</v>
      </c>
      <c r="ET183" s="350" t="s">
        <v>5972</v>
      </c>
      <c r="EU183" s="350" t="str">
        <f t="shared" si="24"/>
        <v>Atlantico_Tubara</v>
      </c>
    </row>
    <row r="184" spans="1:151" ht="25.5" x14ac:dyDescent="0.2">
      <c r="A184" s="242">
        <v>40219</v>
      </c>
      <c r="B184" s="107" t="s">
        <v>2756</v>
      </c>
      <c r="C184" s="107" t="s">
        <v>1942</v>
      </c>
      <c r="D184" s="427" t="s">
        <v>1721</v>
      </c>
      <c r="E184" s="107" t="str">
        <f>VLOOKUP(B184&amp;C184,Divipola!$C$2:$F$1138,4,FALSE)</f>
        <v>81736</v>
      </c>
      <c r="F184" s="330"/>
      <c r="G184" s="224"/>
      <c r="H184" s="75"/>
      <c r="I184" s="75"/>
      <c r="J184" s="75">
        <v>25</v>
      </c>
      <c r="K184" s="75">
        <v>5</v>
      </c>
      <c r="L184" s="75"/>
      <c r="M184" s="75">
        <v>5</v>
      </c>
      <c r="N184" s="75"/>
      <c r="O184" s="75"/>
      <c r="P184" s="75"/>
      <c r="Q184" s="75"/>
      <c r="R184" s="75"/>
      <c r="S184" s="75"/>
      <c r="T184" s="75"/>
      <c r="U184" s="75"/>
      <c r="V184" s="76"/>
      <c r="W184" s="205"/>
      <c r="X184" s="1"/>
      <c r="Y184" s="78">
        <f t="shared" si="17"/>
        <v>0</v>
      </c>
      <c r="Z184" s="78">
        <f t="shared" si="18"/>
        <v>0</v>
      </c>
      <c r="AA184" s="78">
        <f t="shared" si="19"/>
        <v>0</v>
      </c>
      <c r="AB184" s="78">
        <f t="shared" si="20"/>
        <v>0</v>
      </c>
      <c r="AC184" s="78"/>
      <c r="AD184" s="78">
        <v>0</v>
      </c>
      <c r="AE184" s="80">
        <f t="shared" si="23"/>
        <v>0</v>
      </c>
      <c r="AF184" s="82">
        <v>0</v>
      </c>
      <c r="AG184" s="69">
        <v>40219</v>
      </c>
      <c r="AH184" s="84"/>
      <c r="AI184" s="69" t="s">
        <v>1984</v>
      </c>
      <c r="AJ184" s="25" t="s">
        <v>1985</v>
      </c>
      <c r="AK184" s="65"/>
      <c r="AL184" s="185" t="s">
        <v>1257</v>
      </c>
      <c r="AM184" s="85" t="s">
        <v>1943</v>
      </c>
      <c r="AN184" s="3"/>
      <c r="AO184" s="4"/>
      <c r="AP184" s="5"/>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6"/>
      <c r="CQ184" s="7"/>
      <c r="CR184" s="6"/>
      <c r="CS184" s="7"/>
      <c r="CT184" s="6"/>
      <c r="CU184" s="7"/>
      <c r="CV184" s="8">
        <f t="shared" si="21"/>
        <v>0</v>
      </c>
      <c r="CW184" s="9"/>
      <c r="CX184" s="10"/>
      <c r="CY184" s="11"/>
      <c r="CZ184" s="12"/>
      <c r="DA184" s="29"/>
      <c r="DB184" s="12"/>
      <c r="DC184" s="9"/>
      <c r="DD184" s="10"/>
      <c r="DE184" s="71"/>
      <c r="EO184" s="353" t="str">
        <f t="shared" si="22"/>
        <v>ARAUCA_SARAVENA</v>
      </c>
      <c r="EP184" s="350"/>
      <c r="EQ184" s="350" t="s">
        <v>4025</v>
      </c>
      <c r="ER184" s="358" t="s">
        <v>4026</v>
      </c>
      <c r="ES184" s="350" t="s">
        <v>4825</v>
      </c>
      <c r="ET184" s="350" t="s">
        <v>5973</v>
      </c>
      <c r="EU184" s="350" t="str">
        <f t="shared" si="24"/>
        <v>Atlantico_Usiacuri</v>
      </c>
    </row>
    <row r="185" spans="1:151" ht="38.25" x14ac:dyDescent="0.2">
      <c r="A185" s="242">
        <v>40219</v>
      </c>
      <c r="B185" s="107" t="s">
        <v>6305</v>
      </c>
      <c r="C185" s="107" t="s">
        <v>6305</v>
      </c>
      <c r="D185" s="427" t="s">
        <v>2352</v>
      </c>
      <c r="E185" s="107" t="str">
        <f>VLOOKUP(B185&amp;C185,Divipola!$C$2:$F$1138,4,FALSE)</f>
        <v>11001</v>
      </c>
      <c r="F185" s="330"/>
      <c r="G185" s="224"/>
      <c r="H185" s="75"/>
      <c r="I185" s="75"/>
      <c r="J185" s="75">
        <v>2</v>
      </c>
      <c r="K185" s="75">
        <v>1</v>
      </c>
      <c r="L185" s="75">
        <v>1</v>
      </c>
      <c r="M185" s="75"/>
      <c r="N185" s="75"/>
      <c r="O185" s="75"/>
      <c r="P185" s="75"/>
      <c r="Q185" s="75"/>
      <c r="R185" s="75"/>
      <c r="S185" s="75"/>
      <c r="T185" s="75"/>
      <c r="U185" s="75"/>
      <c r="V185" s="76"/>
      <c r="W185" s="205"/>
      <c r="X185" s="1"/>
      <c r="Y185" s="78">
        <f t="shared" si="17"/>
        <v>0</v>
      </c>
      <c r="Z185" s="78">
        <f t="shared" si="18"/>
        <v>0</v>
      </c>
      <c r="AA185" s="78">
        <f t="shared" si="19"/>
        <v>0</v>
      </c>
      <c r="AB185" s="78">
        <f t="shared" si="20"/>
        <v>0</v>
      </c>
      <c r="AC185" s="78"/>
      <c r="AD185" s="78">
        <v>0</v>
      </c>
      <c r="AE185" s="80">
        <f t="shared" si="23"/>
        <v>0</v>
      </c>
      <c r="AF185" s="82">
        <v>0</v>
      </c>
      <c r="AG185" s="69">
        <v>40219</v>
      </c>
      <c r="AH185" s="84"/>
      <c r="AI185" s="69" t="s">
        <v>1984</v>
      </c>
      <c r="AJ185" s="25" t="s">
        <v>1985</v>
      </c>
      <c r="AK185" s="65"/>
      <c r="AL185" s="185" t="s">
        <v>1257</v>
      </c>
      <c r="AM185" s="85" t="s">
        <v>1565</v>
      </c>
      <c r="AN185" s="3"/>
      <c r="AO185" s="4"/>
      <c r="AP185" s="5"/>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6"/>
      <c r="CQ185" s="7"/>
      <c r="CR185" s="6"/>
      <c r="CS185" s="7"/>
      <c r="CT185" s="6"/>
      <c r="CU185" s="7"/>
      <c r="CV185" s="8">
        <f t="shared" si="21"/>
        <v>0</v>
      </c>
      <c r="CW185" s="9"/>
      <c r="CX185" s="10"/>
      <c r="CY185" s="11"/>
      <c r="CZ185" s="12"/>
      <c r="DA185" s="29"/>
      <c r="DB185" s="12"/>
      <c r="DC185" s="9"/>
      <c r="DD185" s="10"/>
      <c r="DE185" s="71"/>
      <c r="EO185" s="353" t="str">
        <f t="shared" si="22"/>
        <v>BOGOTA, D.C._BOGOTA, D.C.</v>
      </c>
      <c r="EP185" s="350"/>
      <c r="EQ185" s="350" t="s">
        <v>4050</v>
      </c>
      <c r="ER185" s="358" t="s">
        <v>5974</v>
      </c>
      <c r="ES185" s="350" t="s">
        <v>4826</v>
      </c>
      <c r="ET185" s="350" t="s">
        <v>5975</v>
      </c>
      <c r="EU185" s="350" t="str">
        <f t="shared" si="24"/>
        <v>Bogota D.C._Bogota</v>
      </c>
    </row>
    <row r="186" spans="1:151" ht="38.25" x14ac:dyDescent="0.2">
      <c r="A186" s="242">
        <v>40219</v>
      </c>
      <c r="B186" s="107" t="s">
        <v>6305</v>
      </c>
      <c r="C186" s="107" t="s">
        <v>6305</v>
      </c>
      <c r="D186" s="427" t="s">
        <v>1721</v>
      </c>
      <c r="E186" s="107" t="str">
        <f>VLOOKUP(B186&amp;C186,Divipola!$C$2:$F$1138,4,FALSE)</f>
        <v>11001</v>
      </c>
      <c r="F186" s="330"/>
      <c r="G186" s="224"/>
      <c r="H186" s="75"/>
      <c r="I186" s="75"/>
      <c r="J186" s="75">
        <v>5</v>
      </c>
      <c r="K186" s="75">
        <v>1</v>
      </c>
      <c r="L186" s="75">
        <v>1</v>
      </c>
      <c r="M186" s="75"/>
      <c r="N186" s="75"/>
      <c r="O186" s="75"/>
      <c r="P186" s="75"/>
      <c r="Q186" s="75"/>
      <c r="R186" s="75"/>
      <c r="S186" s="75"/>
      <c r="T186" s="75"/>
      <c r="U186" s="75"/>
      <c r="V186" s="76"/>
      <c r="W186" s="205"/>
      <c r="X186" s="1"/>
      <c r="Y186" s="78">
        <f t="shared" si="17"/>
        <v>0</v>
      </c>
      <c r="Z186" s="78">
        <f t="shared" si="18"/>
        <v>0</v>
      </c>
      <c r="AA186" s="78">
        <f t="shared" si="19"/>
        <v>0</v>
      </c>
      <c r="AB186" s="78">
        <f t="shared" si="20"/>
        <v>0</v>
      </c>
      <c r="AC186" s="78"/>
      <c r="AD186" s="78">
        <v>0</v>
      </c>
      <c r="AE186" s="80">
        <f t="shared" si="23"/>
        <v>0</v>
      </c>
      <c r="AF186" s="82">
        <v>0</v>
      </c>
      <c r="AG186" s="69">
        <v>40219</v>
      </c>
      <c r="AH186" s="84"/>
      <c r="AI186" s="69" t="s">
        <v>1984</v>
      </c>
      <c r="AJ186" s="25" t="s">
        <v>1985</v>
      </c>
      <c r="AK186" s="65"/>
      <c r="AL186" s="185" t="s">
        <v>1257</v>
      </c>
      <c r="AM186" s="85" t="s">
        <v>1941</v>
      </c>
      <c r="AN186" s="3"/>
      <c r="AO186" s="4"/>
      <c r="AP186" s="5"/>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6"/>
      <c r="CQ186" s="7"/>
      <c r="CR186" s="6"/>
      <c r="CS186" s="7"/>
      <c r="CT186" s="6"/>
      <c r="CU186" s="7"/>
      <c r="CV186" s="8">
        <f t="shared" si="21"/>
        <v>0</v>
      </c>
      <c r="CW186" s="9"/>
      <c r="CX186" s="10"/>
      <c r="CY186" s="11"/>
      <c r="CZ186" s="12"/>
      <c r="DA186" s="29"/>
      <c r="DB186" s="12"/>
      <c r="DC186" s="9"/>
      <c r="DD186" s="10"/>
      <c r="DE186" s="71"/>
      <c r="EO186" s="353" t="str">
        <f t="shared" si="22"/>
        <v>BOGOTA, D.C._BOGOTA, D.C.</v>
      </c>
      <c r="EP186" s="350"/>
      <c r="EQ186" s="350" t="s">
        <v>4051</v>
      </c>
      <c r="ER186" s="358" t="s">
        <v>4052</v>
      </c>
      <c r="ES186" s="350" t="s">
        <v>4827</v>
      </c>
      <c r="ET186" s="350" t="s">
        <v>5976</v>
      </c>
      <c r="EU186" s="350" t="str">
        <f t="shared" si="24"/>
        <v>Bolivar_Cartagena</v>
      </c>
    </row>
    <row r="187" spans="1:151" ht="48" x14ac:dyDescent="0.2">
      <c r="A187" s="242">
        <v>40219</v>
      </c>
      <c r="B187" s="107" t="s">
        <v>289</v>
      </c>
      <c r="C187" s="107" t="s">
        <v>2008</v>
      </c>
      <c r="D187" s="427" t="s">
        <v>2779</v>
      </c>
      <c r="E187" s="107">
        <f>VLOOKUP(B187&amp;C187,Divipola!$C$2:$F$1138,4,FALSE)</f>
        <v>17</v>
      </c>
      <c r="F187" s="330"/>
      <c r="G187" s="224"/>
      <c r="H187" s="75"/>
      <c r="I187" s="75"/>
      <c r="J187" s="75"/>
      <c r="K187" s="75"/>
      <c r="L187" s="75"/>
      <c r="M187" s="75"/>
      <c r="N187" s="75"/>
      <c r="O187" s="75"/>
      <c r="P187" s="75"/>
      <c r="Q187" s="75"/>
      <c r="R187" s="75"/>
      <c r="S187" s="75"/>
      <c r="T187" s="75"/>
      <c r="U187" s="75"/>
      <c r="V187" s="76"/>
      <c r="W187" s="205"/>
      <c r="X187" s="1"/>
      <c r="Y187" s="78">
        <f t="shared" si="17"/>
        <v>0</v>
      </c>
      <c r="Z187" s="78">
        <f t="shared" si="18"/>
        <v>0</v>
      </c>
      <c r="AA187" s="78">
        <f t="shared" si="19"/>
        <v>0</v>
      </c>
      <c r="AB187" s="78">
        <f t="shared" si="20"/>
        <v>0</v>
      </c>
      <c r="AC187" s="78">
        <v>104934627.58</v>
      </c>
      <c r="AD187" s="78">
        <v>0</v>
      </c>
      <c r="AE187" s="80">
        <f t="shared" si="23"/>
        <v>104934627.58</v>
      </c>
      <c r="AF187" s="82">
        <v>0</v>
      </c>
      <c r="AG187" s="69">
        <v>40221</v>
      </c>
      <c r="AH187" s="84">
        <v>95200</v>
      </c>
      <c r="AI187" s="69" t="s">
        <v>2009</v>
      </c>
      <c r="AJ187" s="25" t="s">
        <v>2010</v>
      </c>
      <c r="AK187" s="65">
        <v>33</v>
      </c>
      <c r="AL187" s="185" t="s">
        <v>290</v>
      </c>
      <c r="AM187" s="85" t="s">
        <v>2404</v>
      </c>
      <c r="AN187" s="3"/>
      <c r="AO187" s="4"/>
      <c r="AP187" s="5"/>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6"/>
      <c r="CQ187" s="7"/>
      <c r="CR187" s="6"/>
      <c r="CS187" s="7"/>
      <c r="CT187" s="6"/>
      <c r="CU187" s="7"/>
      <c r="CV187" s="8">
        <f t="shared" si="21"/>
        <v>0</v>
      </c>
      <c r="CW187" s="9"/>
      <c r="CX187" s="10"/>
      <c r="CY187" s="11"/>
      <c r="CZ187" s="12"/>
      <c r="DA187" s="29"/>
      <c r="DB187" s="12"/>
      <c r="DC187" s="9"/>
      <c r="DD187" s="10"/>
      <c r="DE187" s="71"/>
      <c r="EO187" s="353" t="str">
        <f t="shared" si="22"/>
        <v>CALDAS_DEPARTAMENTO</v>
      </c>
      <c r="EP187" s="350"/>
      <c r="EQ187" s="350" t="s">
        <v>4051</v>
      </c>
      <c r="ER187" s="358" t="s">
        <v>4052</v>
      </c>
      <c r="ES187" s="350" t="s">
        <v>4828</v>
      </c>
      <c r="ET187" s="350" t="s">
        <v>5977</v>
      </c>
      <c r="EU187" s="350" t="str">
        <f t="shared" si="24"/>
        <v>Bolivar_Achi</v>
      </c>
    </row>
    <row r="188" spans="1:151" ht="38.25" x14ac:dyDescent="0.2">
      <c r="A188" s="242">
        <v>40219</v>
      </c>
      <c r="B188" s="107" t="s">
        <v>2372</v>
      </c>
      <c r="C188" s="107" t="s">
        <v>706</v>
      </c>
      <c r="D188" s="427" t="s">
        <v>1387</v>
      </c>
      <c r="E188" s="107" t="str">
        <f>VLOOKUP(B188&amp;C188,Divipola!$C$2:$F$1138,4,FALSE)</f>
        <v>70215</v>
      </c>
      <c r="F188" s="330"/>
      <c r="G188" s="224"/>
      <c r="H188" s="75"/>
      <c r="I188" s="75"/>
      <c r="J188" s="75">
        <v>25000</v>
      </c>
      <c r="K188" s="75">
        <v>5000</v>
      </c>
      <c r="L188" s="75"/>
      <c r="M188" s="75"/>
      <c r="N188" s="75"/>
      <c r="O188" s="75"/>
      <c r="P188" s="75"/>
      <c r="Q188" s="75"/>
      <c r="R188" s="75"/>
      <c r="S188" s="75"/>
      <c r="T188" s="75"/>
      <c r="U188" s="75"/>
      <c r="V188" s="76"/>
      <c r="W188" s="205"/>
      <c r="X188" s="1"/>
      <c r="Y188" s="78">
        <f t="shared" si="17"/>
        <v>0</v>
      </c>
      <c r="Z188" s="78">
        <f t="shared" si="18"/>
        <v>0</v>
      </c>
      <c r="AA188" s="78">
        <f t="shared" si="19"/>
        <v>0</v>
      </c>
      <c r="AB188" s="78">
        <f t="shared" si="20"/>
        <v>0</v>
      </c>
      <c r="AC188" s="78"/>
      <c r="AD188" s="78">
        <v>0</v>
      </c>
      <c r="AE188" s="80">
        <f t="shared" si="23"/>
        <v>0</v>
      </c>
      <c r="AF188" s="82">
        <v>0</v>
      </c>
      <c r="AG188" s="69">
        <v>40228</v>
      </c>
      <c r="AH188" s="84"/>
      <c r="AI188" s="69" t="s">
        <v>1984</v>
      </c>
      <c r="AJ188" s="25" t="s">
        <v>1985</v>
      </c>
      <c r="AK188" s="65"/>
      <c r="AL188" s="185" t="s">
        <v>1257</v>
      </c>
      <c r="AM188" s="85" t="s">
        <v>707</v>
      </c>
      <c r="AN188" s="3"/>
      <c r="AO188" s="4"/>
      <c r="AP188" s="5"/>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6"/>
      <c r="CQ188" s="7"/>
      <c r="CR188" s="6"/>
      <c r="CS188" s="7"/>
      <c r="CT188" s="6"/>
      <c r="CU188" s="7"/>
      <c r="CV188" s="8">
        <f t="shared" si="21"/>
        <v>0</v>
      </c>
      <c r="CW188" s="9"/>
      <c r="CX188" s="10"/>
      <c r="CY188" s="11"/>
      <c r="CZ188" s="12"/>
      <c r="DA188" s="29"/>
      <c r="DB188" s="12"/>
      <c r="DC188" s="9"/>
      <c r="DD188" s="10"/>
      <c r="DE188" s="71"/>
      <c r="EO188" s="353" t="str">
        <f t="shared" si="22"/>
        <v>SUCRE_COROZAL</v>
      </c>
      <c r="EP188" s="350"/>
      <c r="EQ188" s="350" t="s">
        <v>4051</v>
      </c>
      <c r="ER188" s="358" t="s">
        <v>4052</v>
      </c>
      <c r="ES188" s="350" t="s">
        <v>4829</v>
      </c>
      <c r="ET188" s="350" t="s">
        <v>5978</v>
      </c>
      <c r="EU188" s="350" t="str">
        <f t="shared" si="24"/>
        <v>Bolivar_Altos del Rosario</v>
      </c>
    </row>
    <row r="189" spans="1:151" ht="120" x14ac:dyDescent="0.2">
      <c r="A189" s="242">
        <v>40220</v>
      </c>
      <c r="B189" s="107" t="s">
        <v>2756</v>
      </c>
      <c r="C189" s="232" t="s">
        <v>619</v>
      </c>
      <c r="D189" s="427" t="s">
        <v>2779</v>
      </c>
      <c r="E189" s="107" t="str">
        <f>VLOOKUP(B189&amp;C189,Divipola!$C$2:$F$1138,4,FALSE)</f>
        <v>81794</v>
      </c>
      <c r="F189" s="330"/>
      <c r="G189" s="224"/>
      <c r="H189" s="75"/>
      <c r="I189" s="75"/>
      <c r="J189" s="75"/>
      <c r="K189" s="75"/>
      <c r="L189" s="75"/>
      <c r="M189" s="75"/>
      <c r="N189" s="75"/>
      <c r="O189" s="75"/>
      <c r="P189" s="75"/>
      <c r="Q189" s="75"/>
      <c r="R189" s="75"/>
      <c r="S189" s="75"/>
      <c r="T189" s="75"/>
      <c r="U189" s="75"/>
      <c r="V189" s="76"/>
      <c r="W189" s="205"/>
      <c r="X189" s="1">
        <v>40239</v>
      </c>
      <c r="Y189" s="78">
        <f t="shared" si="17"/>
        <v>0</v>
      </c>
      <c r="Z189" s="78">
        <f t="shared" si="18"/>
        <v>0</v>
      </c>
      <c r="AA189" s="78">
        <f t="shared" si="19"/>
        <v>0</v>
      </c>
      <c r="AB189" s="78">
        <f t="shared" si="20"/>
        <v>0</v>
      </c>
      <c r="AC189" s="78">
        <f>500*22000+1000*1400+20*796293.1*1.16+30*106465.52*1.16+50*65000*1.16+50*26897*1.16+50*9310*1.16+20*12046.55+20*6100*1.16+50*17198.28*1.16+50*123500*1.16+20*30603+30*27155+50*3621*1.16+30*41595*1.16+3*1316810*1.16</f>
        <v>56658690.055999994</v>
      </c>
      <c r="AD189" s="78">
        <v>0</v>
      </c>
      <c r="AE189" s="80">
        <f t="shared" si="23"/>
        <v>56658690.055999994</v>
      </c>
      <c r="AF189" s="82">
        <v>0</v>
      </c>
      <c r="AG189" s="69">
        <v>40227</v>
      </c>
      <c r="AH189" s="84">
        <v>98331</v>
      </c>
      <c r="AI189" s="69" t="s">
        <v>2009</v>
      </c>
      <c r="AJ189" s="25" t="s">
        <v>2010</v>
      </c>
      <c r="AK189" s="88" t="s">
        <v>2003</v>
      </c>
      <c r="AL189" s="185" t="s">
        <v>2011</v>
      </c>
      <c r="AM189" s="85" t="s">
        <v>2406</v>
      </c>
      <c r="AN189" s="3"/>
      <c r="AO189" s="4"/>
      <c r="AP189" s="5"/>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6"/>
      <c r="CQ189" s="7"/>
      <c r="CR189" s="6"/>
      <c r="CS189" s="7"/>
      <c r="CT189" s="6"/>
      <c r="CU189" s="7"/>
      <c r="CV189" s="8">
        <f t="shared" si="21"/>
        <v>0</v>
      </c>
      <c r="CW189" s="9"/>
      <c r="CX189" s="10"/>
      <c r="CY189" s="11"/>
      <c r="CZ189" s="12"/>
      <c r="DA189" s="29"/>
      <c r="DB189" s="12"/>
      <c r="DC189" s="9"/>
      <c r="DD189" s="10"/>
      <c r="DE189" s="89"/>
      <c r="EO189" s="353" t="str">
        <f t="shared" si="22"/>
        <v>ARAUCA_TAME</v>
      </c>
      <c r="EP189" s="350"/>
      <c r="EQ189" s="350" t="s">
        <v>4051</v>
      </c>
      <c r="ER189" s="358" t="s">
        <v>4052</v>
      </c>
      <c r="ES189" s="350" t="s">
        <v>4830</v>
      </c>
      <c r="ET189" s="350" t="s">
        <v>5979</v>
      </c>
      <c r="EU189" s="350" t="str">
        <f t="shared" si="24"/>
        <v>Bolivar_Arenal</v>
      </c>
    </row>
    <row r="190" spans="1:151" ht="25.5" x14ac:dyDescent="0.2">
      <c r="A190" s="242">
        <v>40220</v>
      </c>
      <c r="B190" s="107" t="s">
        <v>2791</v>
      </c>
      <c r="C190" s="107" t="s">
        <v>1945</v>
      </c>
      <c r="D190" s="427" t="s">
        <v>2209</v>
      </c>
      <c r="E190" s="107" t="str">
        <f>VLOOKUP(B190&amp;C190,Divipola!$C$2:$F$1138,4,FALSE)</f>
        <v>73001</v>
      </c>
      <c r="F190" s="330"/>
      <c r="G190" s="224"/>
      <c r="H190" s="75"/>
      <c r="I190" s="75"/>
      <c r="J190" s="75">
        <v>5</v>
      </c>
      <c r="K190" s="75">
        <v>1</v>
      </c>
      <c r="L190" s="75"/>
      <c r="M190" s="75">
        <v>1</v>
      </c>
      <c r="N190" s="75"/>
      <c r="O190" s="75"/>
      <c r="P190" s="75"/>
      <c r="Q190" s="75"/>
      <c r="R190" s="75"/>
      <c r="S190" s="75"/>
      <c r="T190" s="75"/>
      <c r="U190" s="75"/>
      <c r="V190" s="76"/>
      <c r="W190" s="205"/>
      <c r="X190" s="1"/>
      <c r="Y190" s="78">
        <f t="shared" si="17"/>
        <v>0</v>
      </c>
      <c r="Z190" s="78">
        <f t="shared" si="18"/>
        <v>0</v>
      </c>
      <c r="AA190" s="78">
        <f t="shared" si="19"/>
        <v>0</v>
      </c>
      <c r="AB190" s="78">
        <f t="shared" si="20"/>
        <v>0</v>
      </c>
      <c r="AC190" s="78"/>
      <c r="AD190" s="78">
        <v>0</v>
      </c>
      <c r="AE190" s="80">
        <f t="shared" si="23"/>
        <v>0</v>
      </c>
      <c r="AF190" s="82">
        <v>0</v>
      </c>
      <c r="AG190" s="69">
        <v>40221</v>
      </c>
      <c r="AH190" s="84"/>
      <c r="AI190" s="69" t="s">
        <v>1984</v>
      </c>
      <c r="AJ190" s="25" t="s">
        <v>1985</v>
      </c>
      <c r="AK190" s="65"/>
      <c r="AL190" s="185" t="s">
        <v>1257</v>
      </c>
      <c r="AM190" s="85" t="s">
        <v>1946</v>
      </c>
      <c r="AN190" s="3"/>
      <c r="AO190" s="4"/>
      <c r="AP190" s="5"/>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6"/>
      <c r="CQ190" s="7"/>
      <c r="CR190" s="6"/>
      <c r="CS190" s="7"/>
      <c r="CT190" s="6"/>
      <c r="CU190" s="7"/>
      <c r="CV190" s="8">
        <f t="shared" si="21"/>
        <v>0</v>
      </c>
      <c r="CW190" s="9"/>
      <c r="CX190" s="10"/>
      <c r="CY190" s="11"/>
      <c r="CZ190" s="12"/>
      <c r="DA190" s="29"/>
      <c r="DB190" s="12"/>
      <c r="DC190" s="9"/>
      <c r="DD190" s="10"/>
      <c r="DE190" s="71"/>
      <c r="EO190" s="353" t="str">
        <f t="shared" si="22"/>
        <v>TOLIMA_IBAGUE</v>
      </c>
      <c r="EP190" s="350"/>
      <c r="EQ190" s="350" t="s">
        <v>4051</v>
      </c>
      <c r="ER190" s="358" t="s">
        <v>4052</v>
      </c>
      <c r="ES190" s="350" t="s">
        <v>4831</v>
      </c>
      <c r="ET190" s="350" t="s">
        <v>5980</v>
      </c>
      <c r="EU190" s="350" t="str">
        <f t="shared" si="24"/>
        <v>Bolivar_Arjona</v>
      </c>
    </row>
    <row r="191" spans="1:151" ht="63.75" x14ac:dyDescent="0.2">
      <c r="A191" s="242">
        <v>40220</v>
      </c>
      <c r="B191" s="107" t="s">
        <v>1462</v>
      </c>
      <c r="C191" s="107" t="s">
        <v>1944</v>
      </c>
      <c r="D191" s="427" t="s">
        <v>2307</v>
      </c>
      <c r="E191" s="107" t="str">
        <f>VLOOKUP(B191&amp;C191,Divipola!$C$2:$F$1138,4,FALSE)</f>
        <v>76109</v>
      </c>
      <c r="F191" s="330"/>
      <c r="G191" s="224"/>
      <c r="H191" s="75">
        <v>1</v>
      </c>
      <c r="I191" s="75"/>
      <c r="J191" s="75">
        <v>5</v>
      </c>
      <c r="K191" s="75">
        <v>1</v>
      </c>
      <c r="L191" s="75">
        <v>1</v>
      </c>
      <c r="M191" s="75"/>
      <c r="N191" s="75">
        <v>1</v>
      </c>
      <c r="O191" s="75"/>
      <c r="P191" s="75"/>
      <c r="Q191" s="75"/>
      <c r="R191" s="75"/>
      <c r="S191" s="75"/>
      <c r="T191" s="75"/>
      <c r="U191" s="75"/>
      <c r="V191" s="76"/>
      <c r="W191" s="205" t="s">
        <v>2790</v>
      </c>
      <c r="X191" s="1"/>
      <c r="Y191" s="78">
        <f t="shared" si="17"/>
        <v>0</v>
      </c>
      <c r="Z191" s="78">
        <f t="shared" si="18"/>
        <v>0</v>
      </c>
      <c r="AA191" s="78">
        <f t="shared" si="19"/>
        <v>0</v>
      </c>
      <c r="AB191" s="78">
        <f t="shared" si="20"/>
        <v>0</v>
      </c>
      <c r="AC191" s="78"/>
      <c r="AD191" s="78">
        <v>0</v>
      </c>
      <c r="AE191" s="80">
        <f t="shared" si="23"/>
        <v>0</v>
      </c>
      <c r="AF191" s="82">
        <v>0</v>
      </c>
      <c r="AG191" s="69">
        <v>40221</v>
      </c>
      <c r="AH191" s="84"/>
      <c r="AI191" s="69" t="s">
        <v>1984</v>
      </c>
      <c r="AJ191" s="25" t="s">
        <v>1985</v>
      </c>
      <c r="AK191" s="65"/>
      <c r="AL191" s="185" t="s">
        <v>1257</v>
      </c>
      <c r="AM191" s="85" t="s">
        <v>2789</v>
      </c>
      <c r="AN191" s="3"/>
      <c r="AO191" s="4"/>
      <c r="AP191" s="5"/>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6"/>
      <c r="CQ191" s="7"/>
      <c r="CR191" s="6"/>
      <c r="CS191" s="7"/>
      <c r="CT191" s="6"/>
      <c r="CU191" s="7"/>
      <c r="CV191" s="8">
        <f t="shared" si="21"/>
        <v>0</v>
      </c>
      <c r="CW191" s="9"/>
      <c r="CX191" s="10"/>
      <c r="CY191" s="11"/>
      <c r="CZ191" s="12"/>
      <c r="DA191" s="29"/>
      <c r="DB191" s="12"/>
      <c r="DC191" s="9"/>
      <c r="DD191" s="10"/>
      <c r="DE191" s="71"/>
      <c r="EO191" s="353" t="str">
        <f t="shared" si="22"/>
        <v>VALLE DEL CAUCA_BUENAVENTURA</v>
      </c>
      <c r="EP191" s="350"/>
      <c r="EQ191" s="350" t="s">
        <v>4051</v>
      </c>
      <c r="ER191" s="358" t="s">
        <v>4052</v>
      </c>
      <c r="ES191" s="350" t="s">
        <v>4832</v>
      </c>
      <c r="ET191" s="350" t="s">
        <v>5981</v>
      </c>
      <c r="EU191" s="350" t="str">
        <f t="shared" si="24"/>
        <v>Bolivar_Arroyohondo</v>
      </c>
    </row>
    <row r="192" spans="1:151" ht="78.75" x14ac:dyDescent="0.2">
      <c r="A192" s="242">
        <v>40221</v>
      </c>
      <c r="B192" s="107" t="s">
        <v>3112</v>
      </c>
      <c r="C192" s="107" t="s">
        <v>3113</v>
      </c>
      <c r="D192" s="427" t="s">
        <v>1387</v>
      </c>
      <c r="E192" s="107" t="str">
        <f>VLOOKUP(B192&amp;C192,Divipola!$C$2:$F$1138,4,FALSE)</f>
        <v>18205</v>
      </c>
      <c r="F192" s="330"/>
      <c r="G192" s="224"/>
      <c r="H192" s="75"/>
      <c r="I192" s="75"/>
      <c r="J192" s="75">
        <f>9500+800+950</f>
        <v>11250</v>
      </c>
      <c r="K192" s="75">
        <v>2250</v>
      </c>
      <c r="L192" s="75"/>
      <c r="M192" s="75"/>
      <c r="N192" s="75"/>
      <c r="O192" s="75"/>
      <c r="P192" s="75"/>
      <c r="Q192" s="75"/>
      <c r="R192" s="75"/>
      <c r="S192" s="75"/>
      <c r="T192" s="75"/>
      <c r="U192" s="75"/>
      <c r="V192" s="76"/>
      <c r="W192" s="205"/>
      <c r="X192" s="1"/>
      <c r="Y192" s="78">
        <f t="shared" si="17"/>
        <v>0</v>
      </c>
      <c r="Z192" s="78">
        <f t="shared" si="18"/>
        <v>0</v>
      </c>
      <c r="AA192" s="78">
        <f t="shared" si="19"/>
        <v>0</v>
      </c>
      <c r="AB192" s="78">
        <f t="shared" si="20"/>
        <v>0</v>
      </c>
      <c r="AC192" s="78"/>
      <c r="AD192" s="78">
        <v>0</v>
      </c>
      <c r="AE192" s="80">
        <f t="shared" si="23"/>
        <v>0</v>
      </c>
      <c r="AF192" s="82">
        <v>0</v>
      </c>
      <c r="AG192" s="69">
        <v>40221</v>
      </c>
      <c r="AH192" s="84">
        <v>95174</v>
      </c>
      <c r="AI192" s="69" t="s">
        <v>1984</v>
      </c>
      <c r="AJ192" s="25" t="s">
        <v>1985</v>
      </c>
      <c r="AK192" s="65"/>
      <c r="AL192" s="185" t="s">
        <v>887</v>
      </c>
      <c r="AM192" s="85" t="s">
        <v>703</v>
      </c>
      <c r="AN192" s="3"/>
      <c r="AO192" s="4"/>
      <c r="AP192" s="5"/>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6"/>
      <c r="CQ192" s="7"/>
      <c r="CR192" s="6"/>
      <c r="CS192" s="7"/>
      <c r="CT192" s="6"/>
      <c r="CU192" s="7"/>
      <c r="CV192" s="8">
        <f t="shared" si="21"/>
        <v>0</v>
      </c>
      <c r="CW192" s="9"/>
      <c r="CX192" s="10"/>
      <c r="CY192" s="11"/>
      <c r="CZ192" s="12"/>
      <c r="DA192" s="29"/>
      <c r="DB192" s="12"/>
      <c r="DC192" s="9"/>
      <c r="DD192" s="10"/>
      <c r="DE192" s="71"/>
      <c r="EO192" s="353" t="str">
        <f t="shared" si="22"/>
        <v>CAQUETA_CURILLO</v>
      </c>
      <c r="EP192" s="350"/>
      <c r="EQ192" s="350" t="s">
        <v>4051</v>
      </c>
      <c r="ER192" s="358" t="s">
        <v>4052</v>
      </c>
      <c r="ES192" s="350" t="s">
        <v>4833</v>
      </c>
      <c r="ET192" s="350" t="s">
        <v>5982</v>
      </c>
      <c r="EU192" s="350" t="str">
        <f t="shared" si="24"/>
        <v>Bolivar_Barranco de Loba</v>
      </c>
    </row>
    <row r="193" spans="1:151" ht="84" x14ac:dyDescent="0.2">
      <c r="A193" s="242">
        <v>40221</v>
      </c>
      <c r="B193" s="107" t="s">
        <v>3112</v>
      </c>
      <c r="C193" s="107" t="s">
        <v>4247</v>
      </c>
      <c r="D193" s="427" t="s">
        <v>1387</v>
      </c>
      <c r="E193" s="107" t="str">
        <f>VLOOKUP(B193&amp;C193,Divipola!$C$2:$F$1138,4,FALSE)</f>
        <v>18256</v>
      </c>
      <c r="F193" s="330"/>
      <c r="G193" s="224"/>
      <c r="H193" s="75"/>
      <c r="I193" s="75"/>
      <c r="J193" s="75">
        <f>8800+104+152+315+462+385+226+187+110</f>
        <v>10741</v>
      </c>
      <c r="K193" s="75">
        <v>2148.1999999999998</v>
      </c>
      <c r="L193" s="75"/>
      <c r="M193" s="75"/>
      <c r="N193" s="75"/>
      <c r="O193" s="75"/>
      <c r="P193" s="75"/>
      <c r="Q193" s="75"/>
      <c r="R193" s="75"/>
      <c r="S193" s="75"/>
      <c r="T193" s="75"/>
      <c r="U193" s="75"/>
      <c r="V193" s="76"/>
      <c r="W193" s="205"/>
      <c r="X193" s="1"/>
      <c r="Y193" s="78">
        <f t="shared" si="17"/>
        <v>0</v>
      </c>
      <c r="Z193" s="78">
        <f t="shared" si="18"/>
        <v>0</v>
      </c>
      <c r="AA193" s="78">
        <f t="shared" si="19"/>
        <v>0</v>
      </c>
      <c r="AB193" s="78">
        <f t="shared" si="20"/>
        <v>0</v>
      </c>
      <c r="AC193" s="78"/>
      <c r="AD193" s="78">
        <v>0</v>
      </c>
      <c r="AE193" s="80">
        <f t="shared" si="23"/>
        <v>0</v>
      </c>
      <c r="AF193" s="82">
        <v>0</v>
      </c>
      <c r="AG193" s="69">
        <v>40221</v>
      </c>
      <c r="AH193" s="84">
        <v>95174</v>
      </c>
      <c r="AI193" s="69" t="s">
        <v>1984</v>
      </c>
      <c r="AJ193" s="25" t="s">
        <v>1985</v>
      </c>
      <c r="AK193" s="65"/>
      <c r="AL193" s="185" t="s">
        <v>887</v>
      </c>
      <c r="AM193" s="85" t="s">
        <v>1014</v>
      </c>
      <c r="AN193" s="3"/>
      <c r="AO193" s="4"/>
      <c r="AP193" s="5"/>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6"/>
      <c r="CQ193" s="7"/>
      <c r="CR193" s="6"/>
      <c r="CS193" s="7"/>
      <c r="CT193" s="6"/>
      <c r="CU193" s="7"/>
      <c r="CV193" s="8">
        <f t="shared" si="21"/>
        <v>0</v>
      </c>
      <c r="CW193" s="9"/>
      <c r="CX193" s="10"/>
      <c r="CY193" s="11"/>
      <c r="CZ193" s="12"/>
      <c r="DA193" s="29"/>
      <c r="DB193" s="12"/>
      <c r="DC193" s="9"/>
      <c r="DD193" s="10"/>
      <c r="DE193" s="71"/>
      <c r="EO193" s="353" t="str">
        <f t="shared" si="22"/>
        <v>CAQUETA_EL PAUJIL</v>
      </c>
      <c r="EP193" s="350"/>
      <c r="EQ193" s="350" t="s">
        <v>4051</v>
      </c>
      <c r="ER193" s="358" t="s">
        <v>4052</v>
      </c>
      <c r="ES193" s="350" t="s">
        <v>4834</v>
      </c>
      <c r="ET193" s="350" t="s">
        <v>5983</v>
      </c>
      <c r="EU193" s="350" t="str">
        <f t="shared" si="24"/>
        <v>Bolivar_Calamar</v>
      </c>
    </row>
    <row r="194" spans="1:151" s="133" customFormat="1" ht="78.75" x14ac:dyDescent="0.2">
      <c r="A194" s="242">
        <v>40221</v>
      </c>
      <c r="B194" s="107" t="s">
        <v>3112</v>
      </c>
      <c r="C194" s="107" t="s">
        <v>2764</v>
      </c>
      <c r="D194" s="427" t="s">
        <v>1387</v>
      </c>
      <c r="E194" s="107" t="str">
        <f>VLOOKUP(B194&amp;C194,Divipola!$C$2:$F$1138,4,FALSE)</f>
        <v>18410</v>
      </c>
      <c r="F194" s="330"/>
      <c r="G194" s="224"/>
      <c r="H194" s="75"/>
      <c r="I194" s="75"/>
      <c r="J194" s="75">
        <f>197*5</f>
        <v>985</v>
      </c>
      <c r="K194" s="75">
        <f>92+105</f>
        <v>197</v>
      </c>
      <c r="L194" s="75"/>
      <c r="M194" s="75"/>
      <c r="N194" s="75"/>
      <c r="O194" s="75"/>
      <c r="P194" s="75"/>
      <c r="Q194" s="75"/>
      <c r="R194" s="75"/>
      <c r="S194" s="75"/>
      <c r="T194" s="75"/>
      <c r="U194" s="75"/>
      <c r="V194" s="76"/>
      <c r="W194" s="205"/>
      <c r="X194" s="1"/>
      <c r="Y194" s="78">
        <f t="shared" si="17"/>
        <v>0</v>
      </c>
      <c r="Z194" s="78">
        <f t="shared" si="18"/>
        <v>0</v>
      </c>
      <c r="AA194" s="78">
        <f t="shared" si="19"/>
        <v>0</v>
      </c>
      <c r="AB194" s="78">
        <f t="shared" si="20"/>
        <v>0</v>
      </c>
      <c r="AC194" s="78"/>
      <c r="AD194" s="78">
        <v>0</v>
      </c>
      <c r="AE194" s="80">
        <f t="shared" si="23"/>
        <v>0</v>
      </c>
      <c r="AF194" s="82">
        <v>0</v>
      </c>
      <c r="AG194" s="69">
        <v>40221</v>
      </c>
      <c r="AH194" s="84">
        <v>95174</v>
      </c>
      <c r="AI194" s="69" t="s">
        <v>1984</v>
      </c>
      <c r="AJ194" s="25" t="s">
        <v>1985</v>
      </c>
      <c r="AK194" s="65"/>
      <c r="AL194" s="185" t="s">
        <v>887</v>
      </c>
      <c r="AM194" s="85" t="s">
        <v>2679</v>
      </c>
      <c r="AN194" s="3"/>
      <c r="AO194" s="4"/>
      <c r="AP194" s="5"/>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6"/>
      <c r="CQ194" s="7"/>
      <c r="CR194" s="6"/>
      <c r="CS194" s="7"/>
      <c r="CT194" s="6"/>
      <c r="CU194" s="7"/>
      <c r="CV194" s="8">
        <f t="shared" si="21"/>
        <v>0</v>
      </c>
      <c r="CW194" s="9"/>
      <c r="CX194" s="10"/>
      <c r="CY194" s="11"/>
      <c r="CZ194" s="12"/>
      <c r="DA194" s="29"/>
      <c r="DB194" s="12"/>
      <c r="DC194" s="9"/>
      <c r="DD194" s="10"/>
      <c r="DE194" s="71"/>
      <c r="DF194" s="23"/>
      <c r="EO194" s="353" t="str">
        <f t="shared" si="22"/>
        <v>CAQUETA_LA MONTAÑITA</v>
      </c>
      <c r="EP194" s="350"/>
      <c r="EQ194" s="350" t="s">
        <v>4051</v>
      </c>
      <c r="ER194" s="358" t="s">
        <v>4052</v>
      </c>
      <c r="ES194" s="350" t="s">
        <v>4835</v>
      </c>
      <c r="ET194" s="350" t="s">
        <v>5984</v>
      </c>
      <c r="EU194" s="350" t="str">
        <f t="shared" si="24"/>
        <v>Bolivar_Cantagallo</v>
      </c>
    </row>
    <row r="195" spans="1:151" s="90" customFormat="1" ht="25.5" x14ac:dyDescent="0.2">
      <c r="A195" s="242">
        <v>40221</v>
      </c>
      <c r="B195" s="107" t="s">
        <v>1719</v>
      </c>
      <c r="C195" s="107" t="s">
        <v>985</v>
      </c>
      <c r="D195" s="427" t="s">
        <v>2209</v>
      </c>
      <c r="E195" s="107" t="str">
        <f>VLOOKUP(B195&amp;C195,Divipola!$C$2:$F$1138,4,FALSE)</f>
        <v>19473</v>
      </c>
      <c r="F195" s="330"/>
      <c r="G195" s="224"/>
      <c r="H195" s="75"/>
      <c r="I195" s="75"/>
      <c r="J195" s="75">
        <v>100</v>
      </c>
      <c r="K195" s="75">
        <v>20</v>
      </c>
      <c r="L195" s="75"/>
      <c r="M195" s="75">
        <v>20</v>
      </c>
      <c r="N195" s="75"/>
      <c r="O195" s="75"/>
      <c r="P195" s="75"/>
      <c r="Q195" s="75"/>
      <c r="R195" s="75"/>
      <c r="S195" s="75"/>
      <c r="T195" s="75"/>
      <c r="U195" s="75"/>
      <c r="V195" s="76"/>
      <c r="W195" s="205"/>
      <c r="X195" s="1"/>
      <c r="Y195" s="78">
        <f t="shared" ref="Y195:Y258" si="25">CV195</f>
        <v>0</v>
      </c>
      <c r="Z195" s="78">
        <f t="shared" ref="Z195:Z258" si="26">CZ195</f>
        <v>0</v>
      </c>
      <c r="AA195" s="78">
        <f t="shared" ref="AA195:AA258" si="27">DB195+DD195</f>
        <v>0</v>
      </c>
      <c r="AB195" s="78">
        <f t="shared" ref="AB195:AB258" si="28">CX195</f>
        <v>0</v>
      </c>
      <c r="AC195" s="78"/>
      <c r="AD195" s="78">
        <v>0</v>
      </c>
      <c r="AE195" s="80">
        <f t="shared" si="23"/>
        <v>0</v>
      </c>
      <c r="AF195" s="82">
        <v>0</v>
      </c>
      <c r="AG195" s="69">
        <v>40228</v>
      </c>
      <c r="AH195" s="84"/>
      <c r="AI195" s="69" t="s">
        <v>1984</v>
      </c>
      <c r="AJ195" s="25" t="s">
        <v>1985</v>
      </c>
      <c r="AK195" s="65"/>
      <c r="AL195" s="185" t="s">
        <v>1257</v>
      </c>
      <c r="AM195" s="85" t="s">
        <v>986</v>
      </c>
      <c r="AN195" s="3"/>
      <c r="AO195" s="4"/>
      <c r="AP195" s="5"/>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6"/>
      <c r="CQ195" s="7"/>
      <c r="CR195" s="6"/>
      <c r="CS195" s="7"/>
      <c r="CT195" s="6"/>
      <c r="CU195" s="7"/>
      <c r="CV195" s="8">
        <f t="shared" ref="CV195:CV258" si="29">AO195+AQ195+AS195+AU195+AW195+AY195+BA195+BC195+BE195+BG195+BI195+BK195+BM195+BO195+BQ195+BS195+BU195+BW195+BY195+CA195+CC195+CE195+CG195+CI195+CK195+CM195+CO195+CQ195+CS195+CU195</f>
        <v>0</v>
      </c>
      <c r="CW195" s="9"/>
      <c r="CX195" s="10"/>
      <c r="CY195" s="11"/>
      <c r="CZ195" s="12"/>
      <c r="DA195" s="29"/>
      <c r="DB195" s="12"/>
      <c r="DC195" s="9"/>
      <c r="DD195" s="10"/>
      <c r="DE195" s="71"/>
      <c r="DF195" s="23"/>
      <c r="EO195" s="353" t="str">
        <f t="shared" ref="EO195:EO258" si="30">B195&amp;"_"&amp;C195</f>
        <v>CAUCA_MORALES</v>
      </c>
      <c r="EP195" s="350"/>
      <c r="EQ195" s="350" t="s">
        <v>4051</v>
      </c>
      <c r="ER195" s="358" t="s">
        <v>4052</v>
      </c>
      <c r="ES195" s="350" t="s">
        <v>4836</v>
      </c>
      <c r="ET195" s="350" t="s">
        <v>5985</v>
      </c>
      <c r="EU195" s="350" t="str">
        <f t="shared" si="24"/>
        <v>Bolivar_Cicuco</v>
      </c>
    </row>
    <row r="196" spans="1:151" ht="60" x14ac:dyDescent="0.2">
      <c r="A196" s="242">
        <v>40221</v>
      </c>
      <c r="B196" s="107" t="s">
        <v>2013</v>
      </c>
      <c r="C196" s="232" t="s">
        <v>2013</v>
      </c>
      <c r="D196" s="427" t="s">
        <v>2779</v>
      </c>
      <c r="E196" s="107" t="str">
        <f>VLOOKUP(B196&amp;C196,Divipola!$C$2:$F$1138,4,FALSE)</f>
        <v>00000</v>
      </c>
      <c r="F196" s="330"/>
      <c r="G196" s="224"/>
      <c r="H196" s="75"/>
      <c r="I196" s="75"/>
      <c r="J196" s="75"/>
      <c r="K196" s="75"/>
      <c r="L196" s="75"/>
      <c r="M196" s="75"/>
      <c r="N196" s="75"/>
      <c r="O196" s="75"/>
      <c r="P196" s="75"/>
      <c r="Q196" s="75"/>
      <c r="R196" s="75"/>
      <c r="S196" s="75"/>
      <c r="T196" s="75"/>
      <c r="U196" s="75"/>
      <c r="V196" s="76"/>
      <c r="W196" s="205"/>
      <c r="X196" s="1">
        <v>40239</v>
      </c>
      <c r="Y196" s="78">
        <f t="shared" si="25"/>
        <v>0</v>
      </c>
      <c r="Z196" s="78">
        <f t="shared" si="26"/>
        <v>0</v>
      </c>
      <c r="AA196" s="78">
        <f t="shared" si="27"/>
        <v>0</v>
      </c>
      <c r="AB196" s="78">
        <f t="shared" si="28"/>
        <v>0</v>
      </c>
      <c r="AC196" s="78">
        <f>500*22000+1000*1400</f>
        <v>12400000</v>
      </c>
      <c r="AD196" s="78">
        <v>0</v>
      </c>
      <c r="AE196" s="80">
        <f t="shared" si="23"/>
        <v>12400000</v>
      </c>
      <c r="AF196" s="82">
        <v>0</v>
      </c>
      <c r="AG196" s="69">
        <v>40221</v>
      </c>
      <c r="AH196" s="84">
        <v>95199</v>
      </c>
      <c r="AI196" s="69" t="s">
        <v>2009</v>
      </c>
      <c r="AJ196" s="25" t="s">
        <v>2010</v>
      </c>
      <c r="AK196" s="65">
        <v>30</v>
      </c>
      <c r="AL196" s="185" t="s">
        <v>2011</v>
      </c>
      <c r="AM196" s="85" t="s">
        <v>1698</v>
      </c>
      <c r="AN196" s="3"/>
      <c r="AO196" s="4"/>
      <c r="AP196" s="5"/>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6"/>
      <c r="CQ196" s="7"/>
      <c r="CR196" s="6"/>
      <c r="CS196" s="7"/>
      <c r="CT196" s="6"/>
      <c r="CU196" s="7"/>
      <c r="CV196" s="8">
        <f t="shared" si="29"/>
        <v>0</v>
      </c>
      <c r="CW196" s="9"/>
      <c r="CX196" s="10"/>
      <c r="CY196" s="11"/>
      <c r="CZ196" s="12"/>
      <c r="DA196" s="29"/>
      <c r="DB196" s="12"/>
      <c r="DC196" s="9"/>
      <c r="DD196" s="10"/>
      <c r="DE196" s="71"/>
      <c r="EO196" s="353" t="str">
        <f t="shared" si="30"/>
        <v>NACION_NACION</v>
      </c>
      <c r="EP196" s="350"/>
      <c r="EQ196" s="350" t="s">
        <v>4051</v>
      </c>
      <c r="ER196" s="358" t="s">
        <v>4052</v>
      </c>
      <c r="ES196" s="350" t="s">
        <v>4837</v>
      </c>
      <c r="ET196" s="350" t="s">
        <v>4296</v>
      </c>
      <c r="EU196" s="350" t="str">
        <f t="shared" si="24"/>
        <v>Bolivar_Cordoba</v>
      </c>
    </row>
    <row r="197" spans="1:151" ht="45" x14ac:dyDescent="0.2">
      <c r="A197" s="242">
        <v>40221</v>
      </c>
      <c r="B197" s="107" t="s">
        <v>2013</v>
      </c>
      <c r="C197" s="232" t="s">
        <v>2013</v>
      </c>
      <c r="D197" s="427" t="s">
        <v>2779</v>
      </c>
      <c r="E197" s="107" t="str">
        <f>VLOOKUP(B197&amp;C197,Divipola!$C$2:$F$1138,4,FALSE)</f>
        <v>00000</v>
      </c>
      <c r="F197" s="330"/>
      <c r="G197" s="224"/>
      <c r="H197" s="75"/>
      <c r="I197" s="75"/>
      <c r="J197" s="75"/>
      <c r="K197" s="75"/>
      <c r="L197" s="75"/>
      <c r="M197" s="75"/>
      <c r="N197" s="75"/>
      <c r="O197" s="75"/>
      <c r="P197" s="75"/>
      <c r="Q197" s="75"/>
      <c r="R197" s="75"/>
      <c r="S197" s="75"/>
      <c r="T197" s="75"/>
      <c r="U197" s="75"/>
      <c r="V197" s="76"/>
      <c r="W197" s="205"/>
      <c r="X197" s="1"/>
      <c r="Y197" s="78">
        <f t="shared" si="25"/>
        <v>0</v>
      </c>
      <c r="Z197" s="78">
        <f t="shared" si="26"/>
        <v>0</v>
      </c>
      <c r="AA197" s="78">
        <f t="shared" si="27"/>
        <v>0</v>
      </c>
      <c r="AB197" s="78">
        <f t="shared" si="28"/>
        <v>0</v>
      </c>
      <c r="AC197" s="78"/>
      <c r="AD197" s="78">
        <v>0</v>
      </c>
      <c r="AE197" s="80">
        <f t="shared" si="23"/>
        <v>0</v>
      </c>
      <c r="AF197" s="82">
        <v>0</v>
      </c>
      <c r="AG197" s="69">
        <v>40224</v>
      </c>
      <c r="AH197" s="84">
        <v>95221</v>
      </c>
      <c r="AI197" s="69" t="s">
        <v>2009</v>
      </c>
      <c r="AJ197" s="25" t="s">
        <v>2010</v>
      </c>
      <c r="AK197" s="65"/>
      <c r="AL197" s="185" t="s">
        <v>2011</v>
      </c>
      <c r="AM197" s="85" t="s">
        <v>3111</v>
      </c>
      <c r="AN197" s="3"/>
      <c r="AO197" s="4"/>
      <c r="AP197" s="5"/>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6"/>
      <c r="CQ197" s="7"/>
      <c r="CR197" s="6"/>
      <c r="CS197" s="7"/>
      <c r="CT197" s="6"/>
      <c r="CU197" s="7"/>
      <c r="CV197" s="8">
        <f t="shared" si="29"/>
        <v>0</v>
      </c>
      <c r="CW197" s="9"/>
      <c r="CX197" s="10"/>
      <c r="CY197" s="11"/>
      <c r="CZ197" s="12"/>
      <c r="DA197" s="29"/>
      <c r="DB197" s="12"/>
      <c r="DC197" s="9"/>
      <c r="DD197" s="10"/>
      <c r="DE197" s="71"/>
      <c r="EO197" s="353" t="str">
        <f t="shared" si="30"/>
        <v>NACION_NACION</v>
      </c>
      <c r="EP197" s="350"/>
      <c r="EQ197" s="350" t="s">
        <v>4051</v>
      </c>
      <c r="ER197" s="358" t="s">
        <v>4052</v>
      </c>
      <c r="ES197" s="350" t="s">
        <v>4838</v>
      </c>
      <c r="ET197" s="350" t="s">
        <v>5986</v>
      </c>
      <c r="EU197" s="350" t="str">
        <f t="shared" si="24"/>
        <v>Bolivar_Clemencia</v>
      </c>
    </row>
    <row r="198" spans="1:151" ht="48" x14ac:dyDescent="0.2">
      <c r="A198" s="243">
        <v>40221</v>
      </c>
      <c r="B198" s="234" t="s">
        <v>2372</v>
      </c>
      <c r="C198" s="234" t="s">
        <v>2325</v>
      </c>
      <c r="D198" s="429" t="s">
        <v>1387</v>
      </c>
      <c r="E198" s="107" t="str">
        <f>VLOOKUP(B198&amp;C198,Divipola!$C$2:$F$1138,4,FALSE)</f>
        <v>70708</v>
      </c>
      <c r="F198" s="332"/>
      <c r="G198" s="225"/>
      <c r="H198" s="112"/>
      <c r="I198" s="112"/>
      <c r="J198" s="112"/>
      <c r="K198" s="112"/>
      <c r="L198" s="112"/>
      <c r="M198" s="112"/>
      <c r="N198" s="112"/>
      <c r="O198" s="112"/>
      <c r="P198" s="112"/>
      <c r="Q198" s="112"/>
      <c r="R198" s="112"/>
      <c r="S198" s="112"/>
      <c r="T198" s="112"/>
      <c r="U198" s="112"/>
      <c r="V198" s="113"/>
      <c r="W198" s="206"/>
      <c r="X198" s="95">
        <v>40263</v>
      </c>
      <c r="Y198" s="114">
        <f t="shared" si="25"/>
        <v>0</v>
      </c>
      <c r="Z198" s="114">
        <f t="shared" si="26"/>
        <v>85000000</v>
      </c>
      <c r="AA198" s="114">
        <f t="shared" si="27"/>
        <v>0</v>
      </c>
      <c r="AB198" s="114">
        <f t="shared" si="28"/>
        <v>0</v>
      </c>
      <c r="AC198" s="114"/>
      <c r="AD198" s="114">
        <v>0</v>
      </c>
      <c r="AE198" s="115">
        <f t="shared" si="23"/>
        <v>85000000</v>
      </c>
      <c r="AF198" s="116">
        <v>0</v>
      </c>
      <c r="AG198" s="117">
        <v>40234</v>
      </c>
      <c r="AH198" s="118">
        <v>95561</v>
      </c>
      <c r="AI198" s="117" t="s">
        <v>2009</v>
      </c>
      <c r="AJ198" s="119" t="s">
        <v>2010</v>
      </c>
      <c r="AK198" s="120">
        <v>56</v>
      </c>
      <c r="AL198" s="213" t="s">
        <v>2326</v>
      </c>
      <c r="AM198" s="121" t="s">
        <v>1783</v>
      </c>
      <c r="AN198" s="122"/>
      <c r="AO198" s="123"/>
      <c r="AP198" s="124"/>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3"/>
      <c r="BR198" s="123"/>
      <c r="BS198" s="123"/>
      <c r="BT198" s="123"/>
      <c r="BU198" s="123"/>
      <c r="BV198" s="123"/>
      <c r="BW198" s="123"/>
      <c r="BX198" s="123"/>
      <c r="BY198" s="123"/>
      <c r="BZ198" s="123"/>
      <c r="CA198" s="123"/>
      <c r="CB198" s="123"/>
      <c r="CC198" s="123"/>
      <c r="CD198" s="123"/>
      <c r="CE198" s="123"/>
      <c r="CF198" s="123"/>
      <c r="CG198" s="123"/>
      <c r="CH198" s="123"/>
      <c r="CI198" s="123"/>
      <c r="CJ198" s="123"/>
      <c r="CK198" s="123"/>
      <c r="CL198" s="123"/>
      <c r="CM198" s="123"/>
      <c r="CN198" s="123"/>
      <c r="CO198" s="123"/>
      <c r="CP198" s="125"/>
      <c r="CQ198" s="126"/>
      <c r="CR198" s="125"/>
      <c r="CS198" s="126"/>
      <c r="CT198" s="125"/>
      <c r="CU198" s="126"/>
      <c r="CV198" s="134">
        <f t="shared" si="29"/>
        <v>0</v>
      </c>
      <c r="CW198" s="127"/>
      <c r="CX198" s="128"/>
      <c r="CY198" s="129">
        <v>1000</v>
      </c>
      <c r="CZ198" s="130">
        <f>1000*85000</f>
        <v>85000000</v>
      </c>
      <c r="DA198" s="131"/>
      <c r="DB198" s="130"/>
      <c r="DC198" s="127"/>
      <c r="DD198" s="128"/>
      <c r="DE198" s="138"/>
      <c r="DF198" s="132"/>
      <c r="EO198" s="353" t="str">
        <f t="shared" si="30"/>
        <v>SUCRE_SAN MARCOS</v>
      </c>
      <c r="EP198" s="350"/>
      <c r="EQ198" s="350" t="s">
        <v>4051</v>
      </c>
      <c r="ER198" s="358" t="s">
        <v>4052</v>
      </c>
      <c r="ES198" s="350" t="s">
        <v>4839</v>
      </c>
      <c r="ET198" s="350" t="s">
        <v>5987</v>
      </c>
      <c r="EU198" s="350" t="str">
        <f t="shared" si="24"/>
        <v>Bolivar_El Carmen de Bolivar</v>
      </c>
    </row>
    <row r="199" spans="1:151" ht="25.5" x14ac:dyDescent="0.2">
      <c r="A199" s="242">
        <v>40222</v>
      </c>
      <c r="B199" s="107" t="s">
        <v>1719</v>
      </c>
      <c r="C199" s="107" t="s">
        <v>1720</v>
      </c>
      <c r="D199" s="427" t="s">
        <v>248</v>
      </c>
      <c r="E199" s="107" t="str">
        <f>VLOOKUP(B199&amp;C199,Divipola!$C$2:$F$1138,4,FALSE)</f>
        <v>19001</v>
      </c>
      <c r="F199" s="330"/>
      <c r="G199" s="224"/>
      <c r="H199" s="75"/>
      <c r="I199" s="75"/>
      <c r="J199" s="75"/>
      <c r="K199" s="75"/>
      <c r="L199" s="75"/>
      <c r="M199" s="75"/>
      <c r="N199" s="75"/>
      <c r="O199" s="75"/>
      <c r="P199" s="75"/>
      <c r="Q199" s="75"/>
      <c r="R199" s="75"/>
      <c r="S199" s="75"/>
      <c r="T199" s="75"/>
      <c r="U199" s="75"/>
      <c r="V199" s="76"/>
      <c r="W199" s="205" t="s">
        <v>987</v>
      </c>
      <c r="X199" s="1"/>
      <c r="Y199" s="78">
        <f t="shared" si="25"/>
        <v>0</v>
      </c>
      <c r="Z199" s="78">
        <f t="shared" si="26"/>
        <v>0</v>
      </c>
      <c r="AA199" s="78">
        <f t="shared" si="27"/>
        <v>0</v>
      </c>
      <c r="AB199" s="78">
        <f t="shared" si="28"/>
        <v>0</v>
      </c>
      <c r="AC199" s="78"/>
      <c r="AD199" s="78">
        <v>0</v>
      </c>
      <c r="AE199" s="80">
        <f t="shared" si="23"/>
        <v>0</v>
      </c>
      <c r="AF199" s="82">
        <v>0</v>
      </c>
      <c r="AG199" s="69">
        <v>40228</v>
      </c>
      <c r="AH199" s="84"/>
      <c r="AI199" s="69" t="s">
        <v>1984</v>
      </c>
      <c r="AJ199" s="25" t="s">
        <v>1985</v>
      </c>
      <c r="AK199" s="65"/>
      <c r="AL199" s="185" t="s">
        <v>1257</v>
      </c>
      <c r="AM199" s="85" t="s">
        <v>281</v>
      </c>
      <c r="AN199" s="3"/>
      <c r="AO199" s="4"/>
      <c r="AP199" s="5"/>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6"/>
      <c r="CQ199" s="7"/>
      <c r="CR199" s="6"/>
      <c r="CS199" s="7"/>
      <c r="CT199" s="6"/>
      <c r="CU199" s="7"/>
      <c r="CV199" s="8">
        <f t="shared" si="29"/>
        <v>0</v>
      </c>
      <c r="CW199" s="9"/>
      <c r="CX199" s="10"/>
      <c r="CY199" s="11"/>
      <c r="CZ199" s="12"/>
      <c r="DA199" s="29"/>
      <c r="DB199" s="12"/>
      <c r="DC199" s="9"/>
      <c r="DD199" s="10"/>
      <c r="DE199" s="71"/>
      <c r="EO199" s="353" t="str">
        <f t="shared" si="30"/>
        <v>CAUCA_POPAYAN</v>
      </c>
      <c r="EP199" s="350"/>
      <c r="EQ199" s="350" t="s">
        <v>4051</v>
      </c>
      <c r="ER199" s="358" t="s">
        <v>4052</v>
      </c>
      <c r="ES199" s="350" t="s">
        <v>4840</v>
      </c>
      <c r="ET199" s="350" t="s">
        <v>5988</v>
      </c>
      <c r="EU199" s="350" t="str">
        <f t="shared" si="24"/>
        <v>Bolivar_El Guamo</v>
      </c>
    </row>
    <row r="200" spans="1:151" ht="38.25" x14ac:dyDescent="0.2">
      <c r="A200" s="242">
        <v>40223</v>
      </c>
      <c r="B200" s="107" t="s">
        <v>1336</v>
      </c>
      <c r="C200" s="107" t="s">
        <v>1624</v>
      </c>
      <c r="D200" s="427" t="s">
        <v>2781</v>
      </c>
      <c r="E200" s="107" t="str">
        <f>VLOOKUP(B200&amp;C200,Divipola!$C$2:$F$1138,4,FALSE)</f>
        <v>54261</v>
      </c>
      <c r="F200" s="330"/>
      <c r="G200" s="224"/>
      <c r="H200" s="75">
        <v>2</v>
      </c>
      <c r="I200" s="75"/>
      <c r="J200" s="75"/>
      <c r="K200" s="75"/>
      <c r="L200" s="75"/>
      <c r="M200" s="75"/>
      <c r="N200" s="75"/>
      <c r="O200" s="75"/>
      <c r="P200" s="75"/>
      <c r="Q200" s="75"/>
      <c r="R200" s="75"/>
      <c r="S200" s="75"/>
      <c r="T200" s="75"/>
      <c r="U200" s="75"/>
      <c r="V200" s="76"/>
      <c r="W200" s="205"/>
      <c r="X200" s="1"/>
      <c r="Y200" s="78">
        <f t="shared" si="25"/>
        <v>0</v>
      </c>
      <c r="Z200" s="78">
        <f t="shared" si="26"/>
        <v>0</v>
      </c>
      <c r="AA200" s="78">
        <f t="shared" si="27"/>
        <v>0</v>
      </c>
      <c r="AB200" s="78">
        <f t="shared" si="28"/>
        <v>0</v>
      </c>
      <c r="AC200" s="78"/>
      <c r="AD200" s="78">
        <v>0</v>
      </c>
      <c r="AE200" s="80">
        <f t="shared" si="23"/>
        <v>0</v>
      </c>
      <c r="AF200" s="82">
        <v>0</v>
      </c>
      <c r="AG200" s="69">
        <v>40227</v>
      </c>
      <c r="AH200" s="84"/>
      <c r="AI200" s="69" t="s">
        <v>1984</v>
      </c>
      <c r="AJ200" s="25" t="s">
        <v>1985</v>
      </c>
      <c r="AK200" s="65"/>
      <c r="AL200" s="185" t="s">
        <v>1257</v>
      </c>
      <c r="AM200" s="85" t="s">
        <v>2760</v>
      </c>
      <c r="AN200" s="3"/>
      <c r="AO200" s="4"/>
      <c r="AP200" s="5"/>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6"/>
      <c r="CQ200" s="7"/>
      <c r="CR200" s="6"/>
      <c r="CS200" s="7"/>
      <c r="CT200" s="6"/>
      <c r="CU200" s="7"/>
      <c r="CV200" s="8">
        <f t="shared" si="29"/>
        <v>0</v>
      </c>
      <c r="CW200" s="9"/>
      <c r="CX200" s="10"/>
      <c r="CY200" s="11"/>
      <c r="CZ200" s="12"/>
      <c r="DA200" s="29"/>
      <c r="DB200" s="12"/>
      <c r="DC200" s="9"/>
      <c r="DD200" s="10"/>
      <c r="DE200" s="71"/>
      <c r="EO200" s="353" t="str">
        <f t="shared" si="30"/>
        <v>NORTE DE SANTANDER_EL ZULIA</v>
      </c>
      <c r="EP200" s="350"/>
      <c r="EQ200" s="350" t="s">
        <v>4051</v>
      </c>
      <c r="ER200" s="358" t="s">
        <v>4052</v>
      </c>
      <c r="ES200" s="350" t="s">
        <v>4841</v>
      </c>
      <c r="ET200" s="350" t="s">
        <v>5989</v>
      </c>
      <c r="EU200" s="350" t="str">
        <f t="shared" si="24"/>
        <v>Bolivar_El Peñon</v>
      </c>
    </row>
    <row r="201" spans="1:151" ht="36" x14ac:dyDescent="0.2">
      <c r="A201" s="242">
        <v>40224</v>
      </c>
      <c r="B201" s="107" t="s">
        <v>828</v>
      </c>
      <c r="C201" s="107" t="s">
        <v>1568</v>
      </c>
      <c r="D201" s="427" t="s">
        <v>2781</v>
      </c>
      <c r="E201" s="107" t="str">
        <f>VLOOKUP(B201&amp;C201,Divipola!$C$2:$F$1138,4,FALSE)</f>
        <v>15673</v>
      </c>
      <c r="F201" s="330"/>
      <c r="G201" s="224">
        <v>3</v>
      </c>
      <c r="H201" s="75"/>
      <c r="I201" s="75"/>
      <c r="J201" s="75"/>
      <c r="K201" s="75"/>
      <c r="L201" s="75"/>
      <c r="M201" s="75"/>
      <c r="N201" s="75"/>
      <c r="O201" s="75"/>
      <c r="P201" s="75"/>
      <c r="Q201" s="75"/>
      <c r="R201" s="75"/>
      <c r="S201" s="75"/>
      <c r="T201" s="75"/>
      <c r="U201" s="75"/>
      <c r="V201" s="76"/>
      <c r="W201" s="205"/>
      <c r="X201" s="1"/>
      <c r="Y201" s="78">
        <f t="shared" si="25"/>
        <v>0</v>
      </c>
      <c r="Z201" s="78">
        <f t="shared" si="26"/>
        <v>0</v>
      </c>
      <c r="AA201" s="78">
        <f t="shared" si="27"/>
        <v>0</v>
      </c>
      <c r="AB201" s="78">
        <f t="shared" si="28"/>
        <v>0</v>
      </c>
      <c r="AC201" s="78"/>
      <c r="AD201" s="78">
        <v>0</v>
      </c>
      <c r="AE201" s="80">
        <f t="shared" ref="AE201:AE264" si="31">Y201+Z201+AA201+AB201+AC201+AD201</f>
        <v>0</v>
      </c>
      <c r="AF201" s="82">
        <v>0</v>
      </c>
      <c r="AG201" s="69">
        <v>40224</v>
      </c>
      <c r="AH201" s="84"/>
      <c r="AI201" s="69" t="s">
        <v>1984</v>
      </c>
      <c r="AJ201" s="25" t="s">
        <v>1985</v>
      </c>
      <c r="AK201" s="65"/>
      <c r="AL201" s="185" t="s">
        <v>1257</v>
      </c>
      <c r="AM201" s="85" t="s">
        <v>97</v>
      </c>
      <c r="AN201" s="3"/>
      <c r="AO201" s="4"/>
      <c r="AP201" s="5"/>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6"/>
      <c r="CQ201" s="7"/>
      <c r="CR201" s="6"/>
      <c r="CS201" s="7"/>
      <c r="CT201" s="6"/>
      <c r="CU201" s="7"/>
      <c r="CV201" s="8">
        <f t="shared" si="29"/>
        <v>0</v>
      </c>
      <c r="CW201" s="9"/>
      <c r="CX201" s="10"/>
      <c r="CY201" s="11"/>
      <c r="CZ201" s="12"/>
      <c r="DA201" s="29"/>
      <c r="DB201" s="12"/>
      <c r="DC201" s="9"/>
      <c r="DD201" s="10"/>
      <c r="DE201" s="71"/>
      <c r="EO201" s="353" t="str">
        <f t="shared" si="30"/>
        <v>BOYACA_SAN MATEO</v>
      </c>
      <c r="EP201" s="350"/>
      <c r="EQ201" s="350" t="s">
        <v>4051</v>
      </c>
      <c r="ER201" s="358" t="s">
        <v>4052</v>
      </c>
      <c r="ES201" s="350" t="s">
        <v>4842</v>
      </c>
      <c r="ET201" s="350" t="s">
        <v>5990</v>
      </c>
      <c r="EU201" s="350" t="str">
        <f t="shared" si="24"/>
        <v>Bolivar_Hatillo de Loba</v>
      </c>
    </row>
    <row r="202" spans="1:151" ht="25.5" x14ac:dyDescent="0.2">
      <c r="A202" s="242">
        <v>40224</v>
      </c>
      <c r="B202" s="107" t="s">
        <v>1719</v>
      </c>
      <c r="C202" s="107" t="s">
        <v>2017</v>
      </c>
      <c r="D202" s="427" t="s">
        <v>837</v>
      </c>
      <c r="E202" s="107" t="str">
        <f>VLOOKUP(B202&amp;C202,Divipola!$C$2:$F$1138,4,FALSE)</f>
        <v>19100</v>
      </c>
      <c r="F202" s="330"/>
      <c r="G202" s="224"/>
      <c r="H202" s="75"/>
      <c r="I202" s="75"/>
      <c r="J202" s="75">
        <v>35</v>
      </c>
      <c r="K202" s="75">
        <v>7</v>
      </c>
      <c r="L202" s="75"/>
      <c r="M202" s="75">
        <v>7</v>
      </c>
      <c r="N202" s="75"/>
      <c r="O202" s="75"/>
      <c r="P202" s="75"/>
      <c r="Q202" s="75"/>
      <c r="R202" s="75"/>
      <c r="S202" s="75"/>
      <c r="T202" s="75"/>
      <c r="U202" s="75"/>
      <c r="V202" s="76"/>
      <c r="W202" s="205"/>
      <c r="X202" s="1"/>
      <c r="Y202" s="78">
        <f t="shared" si="25"/>
        <v>0</v>
      </c>
      <c r="Z202" s="78">
        <f t="shared" si="26"/>
        <v>0</v>
      </c>
      <c r="AA202" s="78">
        <f t="shared" si="27"/>
        <v>0</v>
      </c>
      <c r="AB202" s="78">
        <f t="shared" si="28"/>
        <v>0</v>
      </c>
      <c r="AC202" s="78"/>
      <c r="AD202" s="78">
        <v>0</v>
      </c>
      <c r="AE202" s="80">
        <f t="shared" si="31"/>
        <v>0</v>
      </c>
      <c r="AF202" s="82">
        <v>0</v>
      </c>
      <c r="AG202" s="69">
        <v>40228</v>
      </c>
      <c r="AH202" s="84"/>
      <c r="AI202" s="69" t="s">
        <v>1984</v>
      </c>
      <c r="AJ202" s="25" t="s">
        <v>1985</v>
      </c>
      <c r="AK202" s="65"/>
      <c r="AL202" s="185" t="s">
        <v>1257</v>
      </c>
      <c r="AM202" s="92" t="s">
        <v>283</v>
      </c>
      <c r="AN202" s="3"/>
      <c r="AO202" s="4"/>
      <c r="AP202" s="5"/>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6"/>
      <c r="CQ202" s="7"/>
      <c r="CR202" s="6"/>
      <c r="CS202" s="7"/>
      <c r="CT202" s="6"/>
      <c r="CU202" s="7"/>
      <c r="CV202" s="8">
        <f t="shared" si="29"/>
        <v>0</v>
      </c>
      <c r="CW202" s="9"/>
      <c r="CX202" s="10"/>
      <c r="CY202" s="11"/>
      <c r="CZ202" s="12"/>
      <c r="DA202" s="29"/>
      <c r="DB202" s="12"/>
      <c r="DC202" s="9"/>
      <c r="DD202" s="10"/>
      <c r="DE202" s="71"/>
      <c r="EO202" s="353" t="str">
        <f t="shared" si="30"/>
        <v>CAUCA_BOLIVAR</v>
      </c>
      <c r="EP202" s="350"/>
      <c r="EQ202" s="350" t="s">
        <v>4051</v>
      </c>
      <c r="ER202" s="358" t="s">
        <v>4052</v>
      </c>
      <c r="ES202" s="350" t="s">
        <v>4843</v>
      </c>
      <c r="ET202" s="350" t="s">
        <v>5991</v>
      </c>
      <c r="EU202" s="350" t="str">
        <f t="shared" si="24"/>
        <v>Bolivar_Magangue</v>
      </c>
    </row>
    <row r="203" spans="1:151" ht="56.25" x14ac:dyDescent="0.2">
      <c r="A203" s="242">
        <v>40224</v>
      </c>
      <c r="B203" s="107" t="s">
        <v>1719</v>
      </c>
      <c r="C203" s="107" t="s">
        <v>985</v>
      </c>
      <c r="D203" s="427" t="s">
        <v>2209</v>
      </c>
      <c r="E203" s="107" t="str">
        <f>VLOOKUP(B203&amp;C203,Divipola!$C$2:$F$1138,4,FALSE)</f>
        <v>19473</v>
      </c>
      <c r="F203" s="330"/>
      <c r="G203" s="224"/>
      <c r="H203" s="75"/>
      <c r="I203" s="75"/>
      <c r="J203" s="75">
        <f>17*5</f>
        <v>85</v>
      </c>
      <c r="K203" s="75">
        <v>17</v>
      </c>
      <c r="L203" s="75"/>
      <c r="M203" s="75">
        <v>17</v>
      </c>
      <c r="N203" s="75"/>
      <c r="O203" s="75"/>
      <c r="P203" s="75"/>
      <c r="Q203" s="75"/>
      <c r="R203" s="75"/>
      <c r="S203" s="75"/>
      <c r="T203" s="75"/>
      <c r="U203" s="75"/>
      <c r="V203" s="76"/>
      <c r="W203" s="205"/>
      <c r="X203" s="1">
        <v>40288</v>
      </c>
      <c r="Y203" s="78">
        <f t="shared" si="25"/>
        <v>0</v>
      </c>
      <c r="Z203" s="78">
        <f t="shared" si="26"/>
        <v>0</v>
      </c>
      <c r="AA203" s="78">
        <f t="shared" si="27"/>
        <v>5567362</v>
      </c>
      <c r="AB203" s="78">
        <f t="shared" si="28"/>
        <v>0</v>
      </c>
      <c r="AC203" s="78"/>
      <c r="AD203" s="78">
        <v>0</v>
      </c>
      <c r="AE203" s="80">
        <f t="shared" si="31"/>
        <v>5567362</v>
      </c>
      <c r="AF203" s="82">
        <v>0</v>
      </c>
      <c r="AG203" s="69">
        <v>40228</v>
      </c>
      <c r="AH203" s="84">
        <v>95589</v>
      </c>
      <c r="AI203" s="69" t="s">
        <v>2009</v>
      </c>
      <c r="AJ203" s="25" t="s">
        <v>2010</v>
      </c>
      <c r="AK203" s="65">
        <v>80</v>
      </c>
      <c r="AL203" s="185" t="s">
        <v>1376</v>
      </c>
      <c r="AM203" s="85" t="s">
        <v>2739</v>
      </c>
      <c r="AN203" s="3"/>
      <c r="AO203" s="4"/>
      <c r="AP203" s="5"/>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6"/>
      <c r="CQ203" s="7"/>
      <c r="CR203" s="6"/>
      <c r="CS203" s="7"/>
      <c r="CT203" s="6"/>
      <c r="CU203" s="7"/>
      <c r="CV203" s="8">
        <f t="shared" si="29"/>
        <v>0</v>
      </c>
      <c r="CW203" s="9"/>
      <c r="CX203" s="10"/>
      <c r="CY203" s="11"/>
      <c r="CZ203" s="12"/>
      <c r="DA203" s="29">
        <v>40</v>
      </c>
      <c r="DB203" s="12">
        <f>40*24940</f>
        <v>997600</v>
      </c>
      <c r="DC203" s="9">
        <f>180+30</f>
        <v>210</v>
      </c>
      <c r="DD203" s="10">
        <f>180*18792+30*39573.4</f>
        <v>4569762</v>
      </c>
      <c r="DE203" s="71"/>
      <c r="EO203" s="353" t="str">
        <f t="shared" si="30"/>
        <v>CAUCA_MORALES</v>
      </c>
      <c r="EP203" s="350"/>
      <c r="EQ203" s="350" t="s">
        <v>4051</v>
      </c>
      <c r="ER203" s="358" t="s">
        <v>4052</v>
      </c>
      <c r="ES203" s="350" t="s">
        <v>4844</v>
      </c>
      <c r="ET203" s="350" t="s">
        <v>5992</v>
      </c>
      <c r="EU203" s="350" t="str">
        <f t="shared" si="24"/>
        <v>Bolivar_Mahates</v>
      </c>
    </row>
    <row r="204" spans="1:151" ht="25.5" x14ac:dyDescent="0.2">
      <c r="A204" s="242">
        <v>40224</v>
      </c>
      <c r="B204" s="107" t="s">
        <v>2012</v>
      </c>
      <c r="C204" s="107" t="s">
        <v>2433</v>
      </c>
      <c r="D204" s="427" t="s">
        <v>1721</v>
      </c>
      <c r="E204" s="107" t="str">
        <f>VLOOKUP(B204&amp;C204,Divipola!$C$2:$F$1138,4,FALSE)</f>
        <v>66001</v>
      </c>
      <c r="F204" s="330"/>
      <c r="G204" s="224"/>
      <c r="H204" s="75"/>
      <c r="I204" s="75"/>
      <c r="J204" s="75">
        <v>75</v>
      </c>
      <c r="K204" s="75">
        <v>15</v>
      </c>
      <c r="L204" s="75">
        <v>14</v>
      </c>
      <c r="M204" s="75"/>
      <c r="N204" s="75"/>
      <c r="O204" s="75"/>
      <c r="P204" s="75"/>
      <c r="Q204" s="75"/>
      <c r="R204" s="75"/>
      <c r="S204" s="75"/>
      <c r="T204" s="75"/>
      <c r="U204" s="75"/>
      <c r="V204" s="76"/>
      <c r="W204" s="205"/>
      <c r="X204" s="1"/>
      <c r="Y204" s="78">
        <f t="shared" si="25"/>
        <v>0</v>
      </c>
      <c r="Z204" s="78">
        <f t="shared" si="26"/>
        <v>0</v>
      </c>
      <c r="AA204" s="78">
        <f t="shared" si="27"/>
        <v>0</v>
      </c>
      <c r="AB204" s="78">
        <f t="shared" si="28"/>
        <v>0</v>
      </c>
      <c r="AC204" s="78"/>
      <c r="AD204" s="78">
        <v>0</v>
      </c>
      <c r="AE204" s="80">
        <f t="shared" si="31"/>
        <v>0</v>
      </c>
      <c r="AF204" s="82">
        <v>0</v>
      </c>
      <c r="AG204" s="69">
        <v>40224</v>
      </c>
      <c r="AH204" s="84"/>
      <c r="AI204" s="69" t="s">
        <v>1984</v>
      </c>
      <c r="AJ204" s="25" t="s">
        <v>1985</v>
      </c>
      <c r="AK204" s="65"/>
      <c r="AL204" s="185" t="s">
        <v>1257</v>
      </c>
      <c r="AM204" s="85" t="s">
        <v>98</v>
      </c>
      <c r="AN204" s="3"/>
      <c r="AO204" s="4"/>
      <c r="AP204" s="5"/>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6"/>
      <c r="CQ204" s="7"/>
      <c r="CR204" s="6"/>
      <c r="CS204" s="7"/>
      <c r="CT204" s="6"/>
      <c r="CU204" s="7"/>
      <c r="CV204" s="8">
        <f t="shared" si="29"/>
        <v>0</v>
      </c>
      <c r="CW204" s="9"/>
      <c r="CX204" s="10"/>
      <c r="CY204" s="11"/>
      <c r="CZ204" s="12"/>
      <c r="DA204" s="29"/>
      <c r="DB204" s="12"/>
      <c r="DC204" s="9"/>
      <c r="DD204" s="10"/>
      <c r="DE204" s="71"/>
      <c r="EO204" s="353" t="str">
        <f t="shared" si="30"/>
        <v>RISARALDA_PEREIRA</v>
      </c>
      <c r="EP204" s="350"/>
      <c r="EQ204" s="350" t="s">
        <v>4051</v>
      </c>
      <c r="ER204" s="358" t="s">
        <v>4052</v>
      </c>
      <c r="ES204" s="350" t="s">
        <v>4845</v>
      </c>
      <c r="ET204" s="350" t="s">
        <v>5993</v>
      </c>
      <c r="EU204" s="350" t="str">
        <f t="shared" si="24"/>
        <v>Bolivar_Margarita</v>
      </c>
    </row>
    <row r="205" spans="1:151" ht="84" x14ac:dyDescent="0.2">
      <c r="A205" s="242">
        <v>40225</v>
      </c>
      <c r="B205" s="107" t="s">
        <v>2401</v>
      </c>
      <c r="C205" s="107" t="s">
        <v>2015</v>
      </c>
      <c r="D205" s="427" t="s">
        <v>2209</v>
      </c>
      <c r="E205" s="107" t="str">
        <f>VLOOKUP(B205&amp;C205,Divipola!$C$2:$F$1138,4,FALSE)</f>
        <v>05059</v>
      </c>
      <c r="F205" s="330"/>
      <c r="G205" s="224"/>
      <c r="H205" s="75"/>
      <c r="I205" s="75"/>
      <c r="J205" s="75">
        <f>50*5</f>
        <v>250</v>
      </c>
      <c r="K205" s="75">
        <v>50</v>
      </c>
      <c r="L205" s="75"/>
      <c r="M205" s="75">
        <v>50</v>
      </c>
      <c r="N205" s="75"/>
      <c r="O205" s="75"/>
      <c r="P205" s="75"/>
      <c r="Q205" s="75"/>
      <c r="R205" s="75"/>
      <c r="S205" s="75"/>
      <c r="T205" s="75"/>
      <c r="U205" s="75"/>
      <c r="V205" s="76"/>
      <c r="W205" s="205"/>
      <c r="X205" s="1">
        <v>40246</v>
      </c>
      <c r="Y205" s="78">
        <f t="shared" si="25"/>
        <v>0</v>
      </c>
      <c r="Z205" s="78">
        <f t="shared" si="26"/>
        <v>0</v>
      </c>
      <c r="AA205" s="78">
        <f t="shared" si="27"/>
        <v>0</v>
      </c>
      <c r="AB205" s="78">
        <f t="shared" si="28"/>
        <v>0</v>
      </c>
      <c r="AC205" s="78"/>
      <c r="AD205" s="78">
        <v>59291000</v>
      </c>
      <c r="AE205" s="80">
        <f t="shared" si="31"/>
        <v>59291000</v>
      </c>
      <c r="AF205" s="82">
        <v>0</v>
      </c>
      <c r="AG205" s="69">
        <v>40225</v>
      </c>
      <c r="AH205" s="84">
        <v>95779</v>
      </c>
      <c r="AI205" s="69" t="s">
        <v>2009</v>
      </c>
      <c r="AJ205" s="25" t="s">
        <v>2010</v>
      </c>
      <c r="AK205" s="65">
        <v>136</v>
      </c>
      <c r="AL205" s="185" t="s">
        <v>700</v>
      </c>
      <c r="AM205" s="85" t="s">
        <v>329</v>
      </c>
      <c r="AN205" s="3"/>
      <c r="AO205" s="4"/>
      <c r="AP205" s="5"/>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6"/>
      <c r="CQ205" s="7"/>
      <c r="CR205" s="6"/>
      <c r="CS205" s="7"/>
      <c r="CT205" s="6"/>
      <c r="CU205" s="7"/>
      <c r="CV205" s="8">
        <f t="shared" si="29"/>
        <v>0</v>
      </c>
      <c r="CW205" s="9"/>
      <c r="CX205" s="10"/>
      <c r="CY205" s="11"/>
      <c r="CZ205" s="12"/>
      <c r="DA205" s="29"/>
      <c r="DB205" s="12"/>
      <c r="DC205" s="9"/>
      <c r="DD205" s="10"/>
      <c r="DE205" s="71">
        <v>2</v>
      </c>
      <c r="EO205" s="353" t="str">
        <f t="shared" si="30"/>
        <v>ANTIOQUIA_ARMENIA</v>
      </c>
      <c r="EP205" s="350"/>
      <c r="EQ205" s="350" t="s">
        <v>4051</v>
      </c>
      <c r="ER205" s="358" t="s">
        <v>4052</v>
      </c>
      <c r="ES205" s="350" t="s">
        <v>4846</v>
      </c>
      <c r="ET205" s="350" t="s">
        <v>5994</v>
      </c>
      <c r="EU205" s="350" t="str">
        <f t="shared" si="24"/>
        <v>Bolivar_Maria La Baja</v>
      </c>
    </row>
    <row r="206" spans="1:151" ht="96" x14ac:dyDescent="0.2">
      <c r="A206" s="244">
        <v>40225</v>
      </c>
      <c r="B206" s="235" t="s">
        <v>1336</v>
      </c>
      <c r="C206" s="235" t="s">
        <v>3123</v>
      </c>
      <c r="D206" s="427" t="s">
        <v>2779</v>
      </c>
      <c r="E206" s="107" t="str">
        <f>VLOOKUP(B206&amp;C206,Divipola!$C$2:$F$1138,4,FALSE)</f>
        <v>54820</v>
      </c>
      <c r="F206" s="330"/>
      <c r="G206" s="224"/>
      <c r="H206" s="75"/>
      <c r="I206" s="75"/>
      <c r="J206" s="75">
        <f>31*5</f>
        <v>155</v>
      </c>
      <c r="K206" s="75">
        <v>31</v>
      </c>
      <c r="L206" s="75"/>
      <c r="M206" s="75"/>
      <c r="N206" s="75"/>
      <c r="O206" s="75"/>
      <c r="P206" s="75"/>
      <c r="Q206" s="75">
        <v>1</v>
      </c>
      <c r="R206" s="75"/>
      <c r="S206" s="75"/>
      <c r="T206" s="75"/>
      <c r="U206" s="75"/>
      <c r="V206" s="76"/>
      <c r="W206" s="205"/>
      <c r="X206" s="1"/>
      <c r="Y206" s="78">
        <f t="shared" si="25"/>
        <v>0</v>
      </c>
      <c r="Z206" s="78">
        <f t="shared" si="26"/>
        <v>0</v>
      </c>
      <c r="AA206" s="78">
        <f t="shared" si="27"/>
        <v>0</v>
      </c>
      <c r="AB206" s="78">
        <f t="shared" si="28"/>
        <v>0</v>
      </c>
      <c r="AC206" s="78">
        <f>900*9917*1.16+900*20580*1.16</f>
        <v>31838868</v>
      </c>
      <c r="AD206" s="78">
        <v>0</v>
      </c>
      <c r="AE206" s="80">
        <f t="shared" si="31"/>
        <v>31838868</v>
      </c>
      <c r="AF206" s="82">
        <v>0</v>
      </c>
      <c r="AG206" s="69">
        <v>40253</v>
      </c>
      <c r="AH206" s="84">
        <v>96008</v>
      </c>
      <c r="AI206" s="69" t="s">
        <v>2009</v>
      </c>
      <c r="AJ206" s="25" t="s">
        <v>2010</v>
      </c>
      <c r="AK206" s="65">
        <v>67</v>
      </c>
      <c r="AL206" s="185" t="s">
        <v>3124</v>
      </c>
      <c r="AM206" s="85" t="s">
        <v>1313</v>
      </c>
      <c r="AN206" s="3"/>
      <c r="AO206" s="4"/>
      <c r="AP206" s="5"/>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6"/>
      <c r="CQ206" s="7"/>
      <c r="CR206" s="6"/>
      <c r="CS206" s="7"/>
      <c r="CT206" s="6"/>
      <c r="CU206" s="7"/>
      <c r="CV206" s="8">
        <f t="shared" si="29"/>
        <v>0</v>
      </c>
      <c r="CW206" s="9"/>
      <c r="CX206" s="10"/>
      <c r="CY206" s="11"/>
      <c r="CZ206" s="12"/>
      <c r="DA206" s="29"/>
      <c r="DB206" s="12"/>
      <c r="DC206" s="9"/>
      <c r="DD206" s="10"/>
      <c r="DE206" s="71"/>
      <c r="EO206" s="353" t="str">
        <f t="shared" si="30"/>
        <v>NORTE DE SANTANDER_TOLEDO</v>
      </c>
      <c r="EP206" s="350"/>
      <c r="EQ206" s="350" t="s">
        <v>4051</v>
      </c>
      <c r="ER206" s="358" t="s">
        <v>4052</v>
      </c>
      <c r="ES206" s="350" t="s">
        <v>4847</v>
      </c>
      <c r="ET206" s="350" t="s">
        <v>5995</v>
      </c>
      <c r="EU206" s="350" t="str">
        <f t="shared" si="24"/>
        <v>Bolivar_Montecristo</v>
      </c>
    </row>
    <row r="207" spans="1:151" ht="36" x14ac:dyDescent="0.2">
      <c r="A207" s="242">
        <v>40225</v>
      </c>
      <c r="B207" s="107" t="s">
        <v>2372</v>
      </c>
      <c r="C207" s="107" t="s">
        <v>113</v>
      </c>
      <c r="D207" s="427" t="s">
        <v>2209</v>
      </c>
      <c r="E207" s="107" t="str">
        <f>VLOOKUP(B207&amp;C207,Divipola!$C$2:$F$1138,4,FALSE)</f>
        <v>70400</v>
      </c>
      <c r="F207" s="330"/>
      <c r="G207" s="224"/>
      <c r="H207" s="75"/>
      <c r="I207" s="75"/>
      <c r="J207" s="75">
        <f>298*5</f>
        <v>1490</v>
      </c>
      <c r="K207" s="75">
        <f>58+56+25+50+55+54</f>
        <v>298</v>
      </c>
      <c r="L207" s="75"/>
      <c r="M207" s="75">
        <v>298</v>
      </c>
      <c r="N207" s="75"/>
      <c r="O207" s="75"/>
      <c r="P207" s="75"/>
      <c r="Q207" s="75"/>
      <c r="R207" s="75"/>
      <c r="S207" s="75"/>
      <c r="T207" s="75"/>
      <c r="U207" s="75"/>
      <c r="V207" s="76"/>
      <c r="W207" s="205"/>
      <c r="X207" s="1">
        <v>40280</v>
      </c>
      <c r="Y207" s="78">
        <f t="shared" si="25"/>
        <v>22400000</v>
      </c>
      <c r="Z207" s="78">
        <f t="shared" si="26"/>
        <v>25500000</v>
      </c>
      <c r="AA207" s="78">
        <f t="shared" si="27"/>
        <v>8800000</v>
      </c>
      <c r="AB207" s="78">
        <f t="shared" si="28"/>
        <v>0</v>
      </c>
      <c r="AC207" s="78"/>
      <c r="AD207" s="78">
        <v>0</v>
      </c>
      <c r="AE207" s="80">
        <f t="shared" si="31"/>
        <v>56700000</v>
      </c>
      <c r="AF207" s="82">
        <v>0</v>
      </c>
      <c r="AG207" s="69">
        <v>40242</v>
      </c>
      <c r="AH207" s="84">
        <v>95761</v>
      </c>
      <c r="AI207" s="69" t="s">
        <v>2009</v>
      </c>
      <c r="AJ207" s="25" t="s">
        <v>2010</v>
      </c>
      <c r="AK207" s="65"/>
      <c r="AL207" s="185" t="s">
        <v>2027</v>
      </c>
      <c r="AM207" s="85" t="s">
        <v>1572</v>
      </c>
      <c r="AN207" s="3"/>
      <c r="AO207" s="4"/>
      <c r="AP207" s="5"/>
      <c r="AQ207" s="4"/>
      <c r="AR207" s="4"/>
      <c r="AS207" s="4"/>
      <c r="AT207" s="4"/>
      <c r="AU207" s="4"/>
      <c r="AV207" s="4"/>
      <c r="AW207" s="4"/>
      <c r="AX207" s="4"/>
      <c r="AY207" s="4"/>
      <c r="AZ207" s="4">
        <v>400</v>
      </c>
      <c r="BA207" s="4">
        <f>400*56000</f>
        <v>22400000</v>
      </c>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6"/>
      <c r="CQ207" s="7"/>
      <c r="CR207" s="6"/>
      <c r="CS207" s="7"/>
      <c r="CT207" s="6"/>
      <c r="CU207" s="7"/>
      <c r="CV207" s="8">
        <f t="shared" si="29"/>
        <v>22400000</v>
      </c>
      <c r="CW207" s="9"/>
      <c r="CX207" s="10"/>
      <c r="CY207" s="11">
        <v>300</v>
      </c>
      <c r="CZ207" s="12">
        <f>300*85000</f>
        <v>25500000</v>
      </c>
      <c r="DA207" s="29"/>
      <c r="DB207" s="12"/>
      <c r="DC207" s="9">
        <v>400</v>
      </c>
      <c r="DD207" s="10">
        <f>400*22000</f>
        <v>8800000</v>
      </c>
      <c r="DE207" s="71"/>
      <c r="EO207" s="353" t="str">
        <f t="shared" si="30"/>
        <v>SUCRE_LA UNION</v>
      </c>
      <c r="EP207" s="350"/>
      <c r="EQ207" s="350" t="s">
        <v>4051</v>
      </c>
      <c r="ER207" s="358" t="s">
        <v>4052</v>
      </c>
      <c r="ES207" s="350" t="s">
        <v>4848</v>
      </c>
      <c r="ET207" s="350" t="s">
        <v>5996</v>
      </c>
      <c r="EU207" s="350" t="str">
        <f t="shared" si="24"/>
        <v>Bolivar_Mompos</v>
      </c>
    </row>
    <row r="208" spans="1:151" ht="72" x14ac:dyDescent="0.2">
      <c r="A208" s="242">
        <v>40227</v>
      </c>
      <c r="B208" s="107" t="s">
        <v>828</v>
      </c>
      <c r="C208" s="107" t="s">
        <v>2008</v>
      </c>
      <c r="D208" s="427" t="s">
        <v>2779</v>
      </c>
      <c r="E208" s="107">
        <f>VLOOKUP(B208&amp;C208,Divipola!$C$2:$F$1138,4,FALSE)</f>
        <v>15</v>
      </c>
      <c r="F208" s="330"/>
      <c r="G208" s="224"/>
      <c r="H208" s="75"/>
      <c r="I208" s="75"/>
      <c r="J208" s="75"/>
      <c r="K208" s="75"/>
      <c r="L208" s="75"/>
      <c r="M208" s="75"/>
      <c r="N208" s="75"/>
      <c r="O208" s="75"/>
      <c r="P208" s="75"/>
      <c r="Q208" s="75"/>
      <c r="R208" s="75"/>
      <c r="S208" s="75"/>
      <c r="T208" s="75"/>
      <c r="U208" s="75"/>
      <c r="V208" s="76"/>
      <c r="W208" s="205"/>
      <c r="X208" s="1">
        <v>40239</v>
      </c>
      <c r="Y208" s="78">
        <f t="shared" si="25"/>
        <v>0</v>
      </c>
      <c r="Z208" s="78">
        <f t="shared" si="26"/>
        <v>0</v>
      </c>
      <c r="AA208" s="78">
        <f t="shared" si="27"/>
        <v>0</v>
      </c>
      <c r="AB208" s="78">
        <f t="shared" si="28"/>
        <v>0</v>
      </c>
      <c r="AC208" s="78">
        <f>300*22000+600*1400+50*796293.1*1.16+80*123500*1.16+80*130000*1.16+80*106465.52*1.16+80*12046.55+80*6100*1.16+80*30603+80*27155</f>
        <v>93180244.055999994</v>
      </c>
      <c r="AD208" s="78">
        <v>0</v>
      </c>
      <c r="AE208" s="80">
        <f t="shared" si="31"/>
        <v>93180244.055999994</v>
      </c>
      <c r="AF208" s="82">
        <v>0</v>
      </c>
      <c r="AG208" s="69">
        <v>40227</v>
      </c>
      <c r="AH208" s="84">
        <v>95335</v>
      </c>
      <c r="AI208" s="69" t="s">
        <v>2009</v>
      </c>
      <c r="AJ208" s="25" t="s">
        <v>2010</v>
      </c>
      <c r="AK208" s="88" t="s">
        <v>2405</v>
      </c>
      <c r="AL208" s="185" t="s">
        <v>2011</v>
      </c>
      <c r="AM208" s="85" t="s">
        <v>2407</v>
      </c>
      <c r="AN208" s="3"/>
      <c r="AO208" s="4"/>
      <c r="AP208" s="5"/>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6"/>
      <c r="CQ208" s="7"/>
      <c r="CR208" s="6"/>
      <c r="CS208" s="7"/>
      <c r="CT208" s="6"/>
      <c r="CU208" s="7"/>
      <c r="CV208" s="8">
        <f t="shared" si="29"/>
        <v>0</v>
      </c>
      <c r="CW208" s="9"/>
      <c r="CX208" s="10"/>
      <c r="CY208" s="11"/>
      <c r="CZ208" s="12"/>
      <c r="DA208" s="29"/>
      <c r="DB208" s="12"/>
      <c r="DC208" s="9"/>
      <c r="DD208" s="10"/>
      <c r="DE208" s="89"/>
      <c r="EO208" s="353" t="str">
        <f t="shared" si="30"/>
        <v>BOYACA_DEPARTAMENTO</v>
      </c>
      <c r="EP208" s="350"/>
      <c r="EQ208" s="350" t="s">
        <v>4051</v>
      </c>
      <c r="ER208" s="358" t="s">
        <v>4052</v>
      </c>
      <c r="ES208" s="350" t="s">
        <v>4849</v>
      </c>
      <c r="ET208" s="350" t="s">
        <v>5997</v>
      </c>
      <c r="EU208" s="350" t="str">
        <f t="shared" si="24"/>
        <v>Bolivar_Morales</v>
      </c>
    </row>
    <row r="209" spans="1:151" ht="25.5" x14ac:dyDescent="0.2">
      <c r="A209" s="242">
        <v>40227</v>
      </c>
      <c r="B209" s="107" t="s">
        <v>2014</v>
      </c>
      <c r="C209" s="107" t="s">
        <v>2015</v>
      </c>
      <c r="D209" s="427" t="s">
        <v>1721</v>
      </c>
      <c r="E209" s="107" t="str">
        <f>VLOOKUP(B209&amp;C209,Divipola!$C$2:$F$1138,4,FALSE)</f>
        <v>63001</v>
      </c>
      <c r="F209" s="330"/>
      <c r="G209" s="224"/>
      <c r="H209" s="75"/>
      <c r="I209" s="75"/>
      <c r="J209" s="75">
        <v>10</v>
      </c>
      <c r="K209" s="75">
        <v>2</v>
      </c>
      <c r="L209" s="75">
        <v>1</v>
      </c>
      <c r="M209" s="75">
        <v>1</v>
      </c>
      <c r="N209" s="75"/>
      <c r="O209" s="75"/>
      <c r="P209" s="75"/>
      <c r="Q209" s="75"/>
      <c r="R209" s="75"/>
      <c r="S209" s="75"/>
      <c r="T209" s="75"/>
      <c r="U209" s="75"/>
      <c r="V209" s="76"/>
      <c r="W209" s="205"/>
      <c r="X209" s="1"/>
      <c r="Y209" s="78">
        <f t="shared" si="25"/>
        <v>0</v>
      </c>
      <c r="Z209" s="78">
        <f t="shared" si="26"/>
        <v>0</v>
      </c>
      <c r="AA209" s="78">
        <f t="shared" si="27"/>
        <v>0</v>
      </c>
      <c r="AB209" s="78">
        <f t="shared" si="28"/>
        <v>0</v>
      </c>
      <c r="AC209" s="78"/>
      <c r="AD209" s="78">
        <v>0</v>
      </c>
      <c r="AE209" s="80">
        <f t="shared" si="31"/>
        <v>0</v>
      </c>
      <c r="AF209" s="82">
        <v>0</v>
      </c>
      <c r="AG209" s="69">
        <v>40228</v>
      </c>
      <c r="AH209" s="84"/>
      <c r="AI209" s="69" t="s">
        <v>1984</v>
      </c>
      <c r="AJ209" s="25" t="s">
        <v>1985</v>
      </c>
      <c r="AK209" s="65"/>
      <c r="AL209" s="185" t="s">
        <v>1257</v>
      </c>
      <c r="AM209" s="85"/>
      <c r="AN209" s="3"/>
      <c r="AO209" s="4"/>
      <c r="AP209" s="5"/>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6"/>
      <c r="CQ209" s="7"/>
      <c r="CR209" s="6"/>
      <c r="CS209" s="7"/>
      <c r="CT209" s="6"/>
      <c r="CU209" s="7"/>
      <c r="CV209" s="8">
        <f t="shared" si="29"/>
        <v>0</v>
      </c>
      <c r="CW209" s="9"/>
      <c r="CX209" s="10"/>
      <c r="CY209" s="11"/>
      <c r="CZ209" s="12"/>
      <c r="DA209" s="29"/>
      <c r="DB209" s="12"/>
      <c r="DC209" s="9"/>
      <c r="DD209" s="10"/>
      <c r="DE209" s="71"/>
      <c r="EO209" s="353" t="str">
        <f t="shared" si="30"/>
        <v>QUINDIO_ARMENIA</v>
      </c>
      <c r="EP209" s="350"/>
      <c r="EQ209" s="350" t="s">
        <v>4051</v>
      </c>
      <c r="ER209" s="358" t="s">
        <v>4052</v>
      </c>
      <c r="ES209" s="350" t="s">
        <v>5781</v>
      </c>
      <c r="ET209" s="350" t="s">
        <v>5998</v>
      </c>
      <c r="EU209" s="350" t="str">
        <f t="shared" si="24"/>
        <v>Bolivar_Norosi</v>
      </c>
    </row>
    <row r="210" spans="1:151" ht="36" x14ac:dyDescent="0.2">
      <c r="A210" s="242">
        <v>40227</v>
      </c>
      <c r="B210" s="107" t="s">
        <v>2012</v>
      </c>
      <c r="C210" s="107" t="s">
        <v>2761</v>
      </c>
      <c r="D210" s="427" t="s">
        <v>1387</v>
      </c>
      <c r="E210" s="107" t="str">
        <f>VLOOKUP(B210&amp;C210,Divipola!$C$2:$F$1138,4,FALSE)</f>
        <v>66045</v>
      </c>
      <c r="F210" s="330"/>
      <c r="G210" s="224"/>
      <c r="H210" s="75"/>
      <c r="I210" s="75"/>
      <c r="J210" s="75"/>
      <c r="K210" s="75"/>
      <c r="L210" s="75"/>
      <c r="M210" s="75"/>
      <c r="N210" s="75"/>
      <c r="O210" s="75"/>
      <c r="P210" s="75"/>
      <c r="Q210" s="75"/>
      <c r="R210" s="75"/>
      <c r="S210" s="75"/>
      <c r="T210" s="75"/>
      <c r="U210" s="75"/>
      <c r="V210" s="76"/>
      <c r="W210" s="205"/>
      <c r="X210" s="1"/>
      <c r="Y210" s="78">
        <f t="shared" si="25"/>
        <v>0</v>
      </c>
      <c r="Z210" s="78">
        <f t="shared" si="26"/>
        <v>0</v>
      </c>
      <c r="AA210" s="78">
        <f t="shared" si="27"/>
        <v>0</v>
      </c>
      <c r="AB210" s="78">
        <f t="shared" si="28"/>
        <v>0</v>
      </c>
      <c r="AC210" s="78"/>
      <c r="AD210" s="78">
        <v>0</v>
      </c>
      <c r="AE210" s="80">
        <f t="shared" si="31"/>
        <v>0</v>
      </c>
      <c r="AF210" s="82">
        <v>0</v>
      </c>
      <c r="AG210" s="69">
        <v>40228</v>
      </c>
      <c r="AH210" s="84"/>
      <c r="AI210" s="69" t="s">
        <v>1984</v>
      </c>
      <c r="AJ210" s="25" t="s">
        <v>1985</v>
      </c>
      <c r="AK210" s="65"/>
      <c r="AL210" s="185" t="s">
        <v>1257</v>
      </c>
      <c r="AM210" s="85" t="s">
        <v>2763</v>
      </c>
      <c r="AN210" s="3"/>
      <c r="AO210" s="4"/>
      <c r="AP210" s="5"/>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6"/>
      <c r="CQ210" s="7"/>
      <c r="CR210" s="6"/>
      <c r="CS210" s="7"/>
      <c r="CT210" s="6"/>
      <c r="CU210" s="7"/>
      <c r="CV210" s="8">
        <f t="shared" si="29"/>
        <v>0</v>
      </c>
      <c r="CW210" s="9"/>
      <c r="CX210" s="10"/>
      <c r="CY210" s="11"/>
      <c r="CZ210" s="12"/>
      <c r="DA210" s="29"/>
      <c r="DB210" s="12"/>
      <c r="DC210" s="9"/>
      <c r="DD210" s="10"/>
      <c r="DE210" s="71"/>
      <c r="EO210" s="353" t="str">
        <f t="shared" si="30"/>
        <v>RISARALDA_APIA</v>
      </c>
      <c r="EP210" s="350"/>
      <c r="EQ210" s="350" t="s">
        <v>4051</v>
      </c>
      <c r="ER210" s="358" t="s">
        <v>4052</v>
      </c>
      <c r="ES210" s="350" t="s">
        <v>4850</v>
      </c>
      <c r="ET210" s="350" t="s">
        <v>5999</v>
      </c>
      <c r="EU210" s="350" t="str">
        <f t="shared" si="24"/>
        <v>Bolivar_Pinillos</v>
      </c>
    </row>
    <row r="211" spans="1:151" ht="36" x14ac:dyDescent="0.2">
      <c r="A211" s="242">
        <v>40227</v>
      </c>
      <c r="B211" s="107" t="s">
        <v>2012</v>
      </c>
      <c r="C211" s="107" t="s">
        <v>2762</v>
      </c>
      <c r="D211" s="427" t="s">
        <v>1387</v>
      </c>
      <c r="E211" s="107" t="str">
        <f>VLOOKUP(B211&amp;C211,Divipola!$C$2:$F$1138,4,FALSE)</f>
        <v>66456</v>
      </c>
      <c r="F211" s="330"/>
      <c r="G211" s="224"/>
      <c r="H211" s="75"/>
      <c r="I211" s="75"/>
      <c r="J211" s="75"/>
      <c r="K211" s="75"/>
      <c r="L211" s="75"/>
      <c r="M211" s="75"/>
      <c r="N211" s="75"/>
      <c r="O211" s="75"/>
      <c r="P211" s="75"/>
      <c r="Q211" s="75"/>
      <c r="R211" s="75"/>
      <c r="S211" s="75"/>
      <c r="T211" s="75"/>
      <c r="U211" s="75"/>
      <c r="V211" s="76"/>
      <c r="W211" s="205"/>
      <c r="X211" s="1"/>
      <c r="Y211" s="78">
        <f t="shared" si="25"/>
        <v>0</v>
      </c>
      <c r="Z211" s="78">
        <f t="shared" si="26"/>
        <v>0</v>
      </c>
      <c r="AA211" s="78">
        <f t="shared" si="27"/>
        <v>0</v>
      </c>
      <c r="AB211" s="78">
        <f t="shared" si="28"/>
        <v>0</v>
      </c>
      <c r="AC211" s="78"/>
      <c r="AD211" s="78">
        <v>0</v>
      </c>
      <c r="AE211" s="80">
        <f t="shared" si="31"/>
        <v>0</v>
      </c>
      <c r="AF211" s="82">
        <v>0</v>
      </c>
      <c r="AG211" s="69">
        <v>40228</v>
      </c>
      <c r="AH211" s="84"/>
      <c r="AI211" s="69" t="s">
        <v>1984</v>
      </c>
      <c r="AJ211" s="25" t="s">
        <v>1985</v>
      </c>
      <c r="AK211" s="65"/>
      <c r="AL211" s="185" t="s">
        <v>1257</v>
      </c>
      <c r="AM211" s="85" t="s">
        <v>2763</v>
      </c>
      <c r="AN211" s="3"/>
      <c r="AO211" s="4"/>
      <c r="AP211" s="5"/>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6"/>
      <c r="CQ211" s="7"/>
      <c r="CR211" s="6"/>
      <c r="CS211" s="7"/>
      <c r="CT211" s="6"/>
      <c r="CU211" s="7"/>
      <c r="CV211" s="8">
        <f t="shared" si="29"/>
        <v>0</v>
      </c>
      <c r="CW211" s="9"/>
      <c r="CX211" s="10"/>
      <c r="CY211" s="11"/>
      <c r="CZ211" s="12"/>
      <c r="DA211" s="29"/>
      <c r="DB211" s="12"/>
      <c r="DC211" s="9"/>
      <c r="DD211" s="10"/>
      <c r="DE211" s="71"/>
      <c r="EO211" s="353" t="str">
        <f t="shared" si="30"/>
        <v>RISARALDA_MISTRATO</v>
      </c>
      <c r="EP211" s="350"/>
      <c r="EQ211" s="350" t="s">
        <v>4051</v>
      </c>
      <c r="ER211" s="358" t="s">
        <v>4052</v>
      </c>
      <c r="ES211" s="350" t="s">
        <v>4851</v>
      </c>
      <c r="ET211" s="350" t="s">
        <v>6000</v>
      </c>
      <c r="EU211" s="350" t="str">
        <f t="shared" si="24"/>
        <v>Bolivar_Regidor</v>
      </c>
    </row>
    <row r="212" spans="1:151" ht="36" x14ac:dyDescent="0.2">
      <c r="A212" s="242">
        <v>40228</v>
      </c>
      <c r="B212" s="107" t="s">
        <v>1719</v>
      </c>
      <c r="C212" s="107" t="s">
        <v>985</v>
      </c>
      <c r="D212" s="427" t="s">
        <v>2209</v>
      </c>
      <c r="E212" s="107" t="str">
        <f>VLOOKUP(B212&amp;C212,Divipola!$C$2:$F$1138,4,FALSE)</f>
        <v>19473</v>
      </c>
      <c r="F212" s="330"/>
      <c r="G212" s="224"/>
      <c r="H212" s="75"/>
      <c r="I212" s="75"/>
      <c r="J212" s="75">
        <f>50*5</f>
        <v>250</v>
      </c>
      <c r="K212" s="75">
        <v>50</v>
      </c>
      <c r="L212" s="75"/>
      <c r="M212" s="75">
        <v>50</v>
      </c>
      <c r="N212" s="75"/>
      <c r="O212" s="75"/>
      <c r="P212" s="75"/>
      <c r="Q212" s="75"/>
      <c r="R212" s="75"/>
      <c r="S212" s="75"/>
      <c r="T212" s="75"/>
      <c r="U212" s="75"/>
      <c r="V212" s="76"/>
      <c r="W212" s="205"/>
      <c r="X212" s="1"/>
      <c r="Y212" s="78">
        <f t="shared" si="25"/>
        <v>0</v>
      </c>
      <c r="Z212" s="78">
        <f t="shared" si="26"/>
        <v>0</v>
      </c>
      <c r="AA212" s="78">
        <f t="shared" si="27"/>
        <v>0</v>
      </c>
      <c r="AB212" s="78">
        <f t="shared" si="28"/>
        <v>0</v>
      </c>
      <c r="AC212" s="78"/>
      <c r="AD212" s="78">
        <v>0</v>
      </c>
      <c r="AE212" s="80">
        <f t="shared" si="31"/>
        <v>0</v>
      </c>
      <c r="AF212" s="82">
        <v>0</v>
      </c>
      <c r="AG212" s="69">
        <v>40273</v>
      </c>
      <c r="AH212" s="84">
        <v>96318</v>
      </c>
      <c r="AI212" s="69" t="s">
        <v>1984</v>
      </c>
      <c r="AJ212" s="25" t="s">
        <v>1985</v>
      </c>
      <c r="AK212" s="65"/>
      <c r="AL212" s="185" t="s">
        <v>1257</v>
      </c>
      <c r="AM212" s="85" t="s">
        <v>1003</v>
      </c>
      <c r="AN212" s="3"/>
      <c r="AO212" s="4"/>
      <c r="AP212" s="5"/>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6"/>
      <c r="CQ212" s="7"/>
      <c r="CR212" s="6"/>
      <c r="CS212" s="7"/>
      <c r="CT212" s="6"/>
      <c r="CU212" s="7"/>
      <c r="CV212" s="8">
        <f t="shared" si="29"/>
        <v>0</v>
      </c>
      <c r="CW212" s="9"/>
      <c r="CX212" s="10"/>
      <c r="CY212" s="11"/>
      <c r="CZ212" s="12"/>
      <c r="DA212" s="29"/>
      <c r="DB212" s="12"/>
      <c r="DC212" s="9"/>
      <c r="DD212" s="10"/>
      <c r="DE212" s="71"/>
      <c r="EO212" s="353" t="str">
        <f t="shared" si="30"/>
        <v>CAUCA_MORALES</v>
      </c>
      <c r="EP212" s="350"/>
      <c r="EQ212" s="350" t="s">
        <v>4051</v>
      </c>
      <c r="ER212" s="358" t="s">
        <v>4052</v>
      </c>
      <c r="ES212" s="350" t="s">
        <v>4852</v>
      </c>
      <c r="ET212" s="350" t="s">
        <v>6001</v>
      </c>
      <c r="EU212" s="350" t="str">
        <f t="shared" si="24"/>
        <v>Bolivar_Rio Viejo</v>
      </c>
    </row>
    <row r="213" spans="1:151" ht="48" x14ac:dyDescent="0.2">
      <c r="A213" s="242">
        <v>40229</v>
      </c>
      <c r="B213" s="107" t="s">
        <v>2791</v>
      </c>
      <c r="C213" s="107" t="s">
        <v>1945</v>
      </c>
      <c r="D213" s="427" t="s">
        <v>2781</v>
      </c>
      <c r="E213" s="107" t="str">
        <f>VLOOKUP(B213&amp;C213,Divipola!$C$2:$F$1138,4,FALSE)</f>
        <v>73001</v>
      </c>
      <c r="F213" s="330"/>
      <c r="G213" s="224"/>
      <c r="H213" s="75"/>
      <c r="I213" s="75"/>
      <c r="J213" s="75"/>
      <c r="K213" s="75"/>
      <c r="L213" s="75"/>
      <c r="M213" s="75"/>
      <c r="N213" s="75"/>
      <c r="O213" s="75"/>
      <c r="P213" s="75"/>
      <c r="Q213" s="75"/>
      <c r="R213" s="75"/>
      <c r="S213" s="75">
        <v>1</v>
      </c>
      <c r="T213" s="75"/>
      <c r="U213" s="75"/>
      <c r="V213" s="76"/>
      <c r="W213" s="205"/>
      <c r="X213" s="1"/>
      <c r="Y213" s="78">
        <f t="shared" si="25"/>
        <v>0</v>
      </c>
      <c r="Z213" s="78">
        <f t="shared" si="26"/>
        <v>0</v>
      </c>
      <c r="AA213" s="78">
        <f t="shared" si="27"/>
        <v>0</v>
      </c>
      <c r="AB213" s="78">
        <f t="shared" si="28"/>
        <v>0</v>
      </c>
      <c r="AC213" s="78"/>
      <c r="AD213" s="78">
        <v>0</v>
      </c>
      <c r="AE213" s="80">
        <f t="shared" si="31"/>
        <v>0</v>
      </c>
      <c r="AF213" s="82">
        <v>0</v>
      </c>
      <c r="AG213" s="69">
        <v>40231</v>
      </c>
      <c r="AH213" s="84"/>
      <c r="AI213" s="69" t="s">
        <v>1984</v>
      </c>
      <c r="AJ213" s="25" t="s">
        <v>1985</v>
      </c>
      <c r="AK213" s="65"/>
      <c r="AL213" s="185" t="s">
        <v>1257</v>
      </c>
      <c r="AM213" s="85" t="s">
        <v>1742</v>
      </c>
      <c r="AN213" s="3"/>
      <c r="AO213" s="4"/>
      <c r="AP213" s="5"/>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6"/>
      <c r="CQ213" s="7"/>
      <c r="CR213" s="6"/>
      <c r="CS213" s="7"/>
      <c r="CT213" s="6"/>
      <c r="CU213" s="7"/>
      <c r="CV213" s="8">
        <f t="shared" si="29"/>
        <v>0</v>
      </c>
      <c r="CW213" s="9"/>
      <c r="CX213" s="10"/>
      <c r="CY213" s="11"/>
      <c r="CZ213" s="12"/>
      <c r="DA213" s="29"/>
      <c r="DB213" s="12"/>
      <c r="DC213" s="9"/>
      <c r="DD213" s="10"/>
      <c r="DE213" s="71"/>
      <c r="EO213" s="353" t="str">
        <f t="shared" si="30"/>
        <v>TOLIMA_IBAGUE</v>
      </c>
      <c r="EP213" s="350"/>
      <c r="EQ213" s="350" t="s">
        <v>4051</v>
      </c>
      <c r="ER213" s="358" t="s">
        <v>4052</v>
      </c>
      <c r="ES213" s="350" t="s">
        <v>4853</v>
      </c>
      <c r="ET213" s="350" t="s">
        <v>6002</v>
      </c>
      <c r="EU213" s="350" t="str">
        <f t="shared" si="24"/>
        <v>Bolivar_San Cristobal</v>
      </c>
    </row>
    <row r="214" spans="1:151" ht="144" x14ac:dyDescent="0.2">
      <c r="A214" s="242">
        <v>40231</v>
      </c>
      <c r="B214" s="107" t="s">
        <v>2425</v>
      </c>
      <c r="C214" s="107" t="s">
        <v>1455</v>
      </c>
      <c r="D214" s="427" t="s">
        <v>2331</v>
      </c>
      <c r="E214" s="107" t="str">
        <f>VLOOKUP(B214&amp;C214,Divipola!$C$2:$F$1138,4,FALSE)</f>
        <v>27660</v>
      </c>
      <c r="F214" s="330"/>
      <c r="G214" s="224"/>
      <c r="H214" s="75"/>
      <c r="I214" s="75"/>
      <c r="J214" s="75"/>
      <c r="K214" s="75"/>
      <c r="L214" s="75"/>
      <c r="M214" s="75"/>
      <c r="N214" s="75">
        <v>1</v>
      </c>
      <c r="O214" s="75"/>
      <c r="P214" s="75"/>
      <c r="Q214" s="75"/>
      <c r="R214" s="75"/>
      <c r="S214" s="75"/>
      <c r="T214" s="75"/>
      <c r="U214" s="75"/>
      <c r="V214" s="76"/>
      <c r="W214" s="205"/>
      <c r="X214" s="1">
        <v>40262</v>
      </c>
      <c r="Y214" s="78">
        <f t="shared" si="25"/>
        <v>0</v>
      </c>
      <c r="Z214" s="78">
        <f t="shared" si="26"/>
        <v>0</v>
      </c>
      <c r="AA214" s="78">
        <f t="shared" si="27"/>
        <v>0</v>
      </c>
      <c r="AB214" s="78">
        <f t="shared" si="28"/>
        <v>0</v>
      </c>
      <c r="AC214" s="78"/>
      <c r="AD214" s="78">
        <f>70000000+20006640</f>
        <v>90006640</v>
      </c>
      <c r="AE214" s="80">
        <f t="shared" si="31"/>
        <v>90006640</v>
      </c>
      <c r="AF214" s="82">
        <v>0</v>
      </c>
      <c r="AG214" s="69">
        <v>40233</v>
      </c>
      <c r="AH214" s="84">
        <v>95520</v>
      </c>
      <c r="AI214" s="69" t="s">
        <v>2009</v>
      </c>
      <c r="AJ214" s="25" t="s">
        <v>2010</v>
      </c>
      <c r="AK214" s="88" t="s">
        <v>1540</v>
      </c>
      <c r="AL214" s="185" t="s">
        <v>2807</v>
      </c>
      <c r="AM214" s="273" t="s">
        <v>330</v>
      </c>
      <c r="AN214" s="3"/>
      <c r="AO214" s="4"/>
      <c r="AP214" s="5"/>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6"/>
      <c r="CQ214" s="7"/>
      <c r="CR214" s="6"/>
      <c r="CS214" s="7"/>
      <c r="CT214" s="6"/>
      <c r="CU214" s="7"/>
      <c r="CV214" s="8">
        <f t="shared" si="29"/>
        <v>0</v>
      </c>
      <c r="CW214" s="9"/>
      <c r="CX214" s="10"/>
      <c r="CY214" s="11"/>
      <c r="CZ214" s="12"/>
      <c r="DA214" s="29"/>
      <c r="DB214" s="12"/>
      <c r="DC214" s="9"/>
      <c r="DD214" s="10"/>
      <c r="DE214" s="89" t="s">
        <v>1541</v>
      </c>
      <c r="EO214" s="353" t="str">
        <f t="shared" si="30"/>
        <v>CHOCO_SAN JOSE DEL PALMAR</v>
      </c>
      <c r="EP214" s="350"/>
      <c r="EQ214" s="350" t="s">
        <v>4051</v>
      </c>
      <c r="ER214" s="358" t="s">
        <v>4052</v>
      </c>
      <c r="ES214" s="350" t="s">
        <v>4854</v>
      </c>
      <c r="ET214" s="350" t="s">
        <v>6003</v>
      </c>
      <c r="EU214" s="350" t="str">
        <f t="shared" si="24"/>
        <v>Bolivar_San Estanislao</v>
      </c>
    </row>
    <row r="215" spans="1:151" ht="25.5" x14ac:dyDescent="0.2">
      <c r="A215" s="242">
        <v>40232</v>
      </c>
      <c r="B215" s="107" t="s">
        <v>708</v>
      </c>
      <c r="C215" s="107" t="s">
        <v>2328</v>
      </c>
      <c r="D215" s="427" t="s">
        <v>2209</v>
      </c>
      <c r="E215" s="107" t="str">
        <f>VLOOKUP(B215&amp;C215,Divipola!$C$2:$F$1138,4,FALSE)</f>
        <v>50001</v>
      </c>
      <c r="F215" s="330"/>
      <c r="G215" s="224"/>
      <c r="H215" s="75"/>
      <c r="I215" s="75"/>
      <c r="J215" s="75">
        <v>40</v>
      </c>
      <c r="K215" s="75">
        <v>8</v>
      </c>
      <c r="L215" s="75"/>
      <c r="M215" s="75">
        <v>8</v>
      </c>
      <c r="N215" s="75"/>
      <c r="O215" s="75"/>
      <c r="P215" s="75"/>
      <c r="Q215" s="75"/>
      <c r="R215" s="75"/>
      <c r="S215" s="75"/>
      <c r="T215" s="75"/>
      <c r="U215" s="75"/>
      <c r="V215" s="76"/>
      <c r="W215" s="205"/>
      <c r="X215" s="1"/>
      <c r="Y215" s="78">
        <f t="shared" si="25"/>
        <v>0</v>
      </c>
      <c r="Z215" s="78">
        <f t="shared" si="26"/>
        <v>0</v>
      </c>
      <c r="AA215" s="78">
        <f t="shared" si="27"/>
        <v>0</v>
      </c>
      <c r="AB215" s="78">
        <f t="shared" si="28"/>
        <v>0</v>
      </c>
      <c r="AC215" s="78"/>
      <c r="AD215" s="78">
        <v>0</v>
      </c>
      <c r="AE215" s="80">
        <f t="shared" si="31"/>
        <v>0</v>
      </c>
      <c r="AF215" s="82">
        <v>0</v>
      </c>
      <c r="AG215" s="69">
        <v>40233</v>
      </c>
      <c r="AH215" s="84"/>
      <c r="AI215" s="69" t="s">
        <v>1984</v>
      </c>
      <c r="AJ215" s="25" t="s">
        <v>1985</v>
      </c>
      <c r="AK215" s="65"/>
      <c r="AL215" s="185" t="s">
        <v>1257</v>
      </c>
      <c r="AM215" s="85" t="s">
        <v>2329</v>
      </c>
      <c r="AN215" s="3"/>
      <c r="AO215" s="4"/>
      <c r="AP215" s="5"/>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6"/>
      <c r="CQ215" s="7"/>
      <c r="CR215" s="6"/>
      <c r="CS215" s="7"/>
      <c r="CT215" s="6"/>
      <c r="CU215" s="7"/>
      <c r="CV215" s="8">
        <f t="shared" si="29"/>
        <v>0</v>
      </c>
      <c r="CW215" s="9"/>
      <c r="CX215" s="10"/>
      <c r="CY215" s="11"/>
      <c r="CZ215" s="12"/>
      <c r="DA215" s="29"/>
      <c r="DB215" s="12"/>
      <c r="DC215" s="9"/>
      <c r="DD215" s="10"/>
      <c r="DE215" s="71"/>
      <c r="EO215" s="353" t="str">
        <f t="shared" si="30"/>
        <v>META_VILLAVICENCIO</v>
      </c>
      <c r="EP215" s="350"/>
      <c r="EQ215" s="350" t="s">
        <v>4051</v>
      </c>
      <c r="ER215" s="358" t="s">
        <v>4052</v>
      </c>
      <c r="ES215" s="350" t="s">
        <v>4855</v>
      </c>
      <c r="ET215" s="350" t="s">
        <v>6004</v>
      </c>
      <c r="EU215" s="350" t="str">
        <f t="shared" si="24"/>
        <v>Bolivar_San Fernando</v>
      </c>
    </row>
    <row r="216" spans="1:151" ht="90" x14ac:dyDescent="0.2">
      <c r="A216" s="242">
        <v>40232</v>
      </c>
      <c r="B216" s="107" t="s">
        <v>2791</v>
      </c>
      <c r="C216" s="107" t="s">
        <v>264</v>
      </c>
      <c r="D216" s="427" t="s">
        <v>2209</v>
      </c>
      <c r="E216" s="107" t="str">
        <f>VLOOKUP(B216&amp;C216,Divipola!$C$2:$F$1138,4,FALSE)</f>
        <v>73319</v>
      </c>
      <c r="F216" s="330"/>
      <c r="G216" s="224"/>
      <c r="H216" s="75"/>
      <c r="I216" s="75"/>
      <c r="J216" s="75">
        <f>180*5</f>
        <v>900</v>
      </c>
      <c r="K216" s="75">
        <v>180</v>
      </c>
      <c r="L216" s="75"/>
      <c r="M216" s="75">
        <v>78</v>
      </c>
      <c r="N216" s="75"/>
      <c r="O216" s="75"/>
      <c r="P216" s="75"/>
      <c r="Q216" s="75"/>
      <c r="R216" s="75"/>
      <c r="S216" s="75"/>
      <c r="T216" s="75">
        <v>4</v>
      </c>
      <c r="U216" s="75"/>
      <c r="V216" s="76"/>
      <c r="W216" s="205" t="s">
        <v>265</v>
      </c>
      <c r="X216" s="1">
        <v>40252</v>
      </c>
      <c r="Y216" s="78">
        <f t="shared" si="25"/>
        <v>13410000</v>
      </c>
      <c r="Z216" s="78">
        <f t="shared" si="26"/>
        <v>15300000</v>
      </c>
      <c r="AA216" s="78">
        <f t="shared" si="27"/>
        <v>5637600</v>
      </c>
      <c r="AB216" s="78">
        <f t="shared" si="28"/>
        <v>0</v>
      </c>
      <c r="AC216" s="78"/>
      <c r="AD216" s="78">
        <v>0</v>
      </c>
      <c r="AE216" s="80">
        <f t="shared" si="31"/>
        <v>34347600</v>
      </c>
      <c r="AF216" s="82">
        <v>0</v>
      </c>
      <c r="AG216" s="69">
        <v>40233</v>
      </c>
      <c r="AH216" s="84">
        <v>95632</v>
      </c>
      <c r="AI216" s="69" t="s">
        <v>2009</v>
      </c>
      <c r="AJ216" s="25" t="s">
        <v>2010</v>
      </c>
      <c r="AK216" s="88" t="s">
        <v>3127</v>
      </c>
      <c r="AL216" s="185" t="s">
        <v>263</v>
      </c>
      <c r="AM216" s="85" t="s">
        <v>2110</v>
      </c>
      <c r="AN216" s="3"/>
      <c r="AO216" s="4"/>
      <c r="AP216" s="5"/>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6">
        <v>180</v>
      </c>
      <c r="CQ216" s="7">
        <f>180*38500</f>
        <v>6930000</v>
      </c>
      <c r="CR216" s="6">
        <v>180</v>
      </c>
      <c r="CS216" s="7">
        <f>180*36000</f>
        <v>6480000</v>
      </c>
      <c r="CT216" s="6"/>
      <c r="CU216" s="7"/>
      <c r="CV216" s="8">
        <f t="shared" si="29"/>
        <v>13410000</v>
      </c>
      <c r="CW216" s="9"/>
      <c r="CX216" s="10"/>
      <c r="CY216" s="11">
        <v>180</v>
      </c>
      <c r="CZ216" s="12">
        <f>180*85000</f>
        <v>15300000</v>
      </c>
      <c r="DA216" s="29"/>
      <c r="DB216" s="12"/>
      <c r="DC216" s="9">
        <v>300</v>
      </c>
      <c r="DD216" s="10">
        <f>300*18792</f>
        <v>5637600</v>
      </c>
      <c r="DE216" s="89"/>
      <c r="EO216" s="353" t="str">
        <f t="shared" si="30"/>
        <v>TOLIMA_GUAMO</v>
      </c>
      <c r="EP216" s="350"/>
      <c r="EQ216" s="350" t="s">
        <v>4051</v>
      </c>
      <c r="ER216" s="358" t="s">
        <v>4052</v>
      </c>
      <c r="ES216" s="350" t="s">
        <v>4856</v>
      </c>
      <c r="ET216" s="350" t="s">
        <v>6005</v>
      </c>
      <c r="EU216" s="350" t="str">
        <f t="shared" si="24"/>
        <v>Bolivar_San Jacinto</v>
      </c>
    </row>
    <row r="217" spans="1:151" ht="96" x14ac:dyDescent="0.2">
      <c r="A217" s="242">
        <v>40232</v>
      </c>
      <c r="B217" s="107" t="s">
        <v>2791</v>
      </c>
      <c r="C217" s="107" t="s">
        <v>870</v>
      </c>
      <c r="D217" s="427" t="s">
        <v>2209</v>
      </c>
      <c r="E217" s="107" t="str">
        <f>VLOOKUP(B217&amp;C217,Divipola!$C$2:$F$1138,4,FALSE)</f>
        <v>73854</v>
      </c>
      <c r="F217" s="330"/>
      <c r="G217" s="224"/>
      <c r="H217" s="75"/>
      <c r="I217" s="75"/>
      <c r="J217" s="75">
        <f>200*5</f>
        <v>1000</v>
      </c>
      <c r="K217" s="75">
        <v>200</v>
      </c>
      <c r="L217" s="75"/>
      <c r="M217" s="75">
        <v>200</v>
      </c>
      <c r="N217" s="75"/>
      <c r="O217" s="75"/>
      <c r="P217" s="75"/>
      <c r="Q217" s="75"/>
      <c r="R217" s="75"/>
      <c r="S217" s="75"/>
      <c r="T217" s="75">
        <v>2</v>
      </c>
      <c r="U217" s="75"/>
      <c r="V217" s="76"/>
      <c r="W217" s="205" t="s">
        <v>265</v>
      </c>
      <c r="X217" s="1">
        <v>40252</v>
      </c>
      <c r="Y217" s="78">
        <f t="shared" si="25"/>
        <v>14900000</v>
      </c>
      <c r="Z217" s="78">
        <f t="shared" si="26"/>
        <v>17000000</v>
      </c>
      <c r="AA217" s="78">
        <f t="shared" si="27"/>
        <v>15033600</v>
      </c>
      <c r="AB217" s="78">
        <f t="shared" si="28"/>
        <v>0</v>
      </c>
      <c r="AC217" s="78"/>
      <c r="AD217" s="78">
        <v>0</v>
      </c>
      <c r="AE217" s="80">
        <f t="shared" si="31"/>
        <v>46933600</v>
      </c>
      <c r="AF217" s="82">
        <v>0</v>
      </c>
      <c r="AG217" s="69">
        <v>40233</v>
      </c>
      <c r="AH217" s="84">
        <v>95632</v>
      </c>
      <c r="AI217" s="69" t="s">
        <v>2009</v>
      </c>
      <c r="AJ217" s="25" t="s">
        <v>2010</v>
      </c>
      <c r="AK217" s="88" t="s">
        <v>3127</v>
      </c>
      <c r="AL217" s="185" t="s">
        <v>263</v>
      </c>
      <c r="AM217" s="85" t="s">
        <v>1377</v>
      </c>
      <c r="AN217" s="3"/>
      <c r="AO217" s="4"/>
      <c r="AP217" s="5"/>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6">
        <v>200</v>
      </c>
      <c r="CQ217" s="7">
        <f>200*38500</f>
        <v>7700000</v>
      </c>
      <c r="CR217" s="6">
        <v>200</v>
      </c>
      <c r="CS217" s="7">
        <f>200*36000</f>
        <v>7200000</v>
      </c>
      <c r="CT217" s="6"/>
      <c r="CU217" s="7"/>
      <c r="CV217" s="8">
        <f t="shared" si="29"/>
        <v>14900000</v>
      </c>
      <c r="CW217" s="9"/>
      <c r="CX217" s="10"/>
      <c r="CY217" s="11">
        <v>200</v>
      </c>
      <c r="CZ217" s="12">
        <f>200*85000</f>
        <v>17000000</v>
      </c>
      <c r="DA217" s="29"/>
      <c r="DB217" s="12"/>
      <c r="DC217" s="9">
        <v>800</v>
      </c>
      <c r="DD217" s="10">
        <f>800*18792</f>
        <v>15033600</v>
      </c>
      <c r="DE217" s="89"/>
      <c r="EO217" s="353" t="str">
        <f t="shared" si="30"/>
        <v>TOLIMA_VALLE DE SAN JUAN</v>
      </c>
      <c r="EP217" s="350"/>
      <c r="EQ217" s="350" t="s">
        <v>4051</v>
      </c>
      <c r="ER217" s="358" t="s">
        <v>4052</v>
      </c>
      <c r="ES217" s="350" t="s">
        <v>4857</v>
      </c>
      <c r="ET217" s="350" t="s">
        <v>6006</v>
      </c>
      <c r="EU217" s="350" t="str">
        <f t="shared" si="24"/>
        <v>Bolivar_San Jacinto del Cauca</v>
      </c>
    </row>
    <row r="218" spans="1:151" ht="90" x14ac:dyDescent="0.2">
      <c r="A218" s="242">
        <v>40232</v>
      </c>
      <c r="B218" s="107" t="s">
        <v>2791</v>
      </c>
      <c r="C218" s="107" t="s">
        <v>320</v>
      </c>
      <c r="D218" s="427" t="s">
        <v>2209</v>
      </c>
      <c r="E218" s="107" t="str">
        <f>VLOOKUP(B218&amp;C218,Divipola!$C$2:$F$1138,4,FALSE)</f>
        <v>73870</v>
      </c>
      <c r="F218" s="330"/>
      <c r="G218" s="224"/>
      <c r="H218" s="75"/>
      <c r="I218" s="75"/>
      <c r="J218" s="75">
        <f>40*5</f>
        <v>200</v>
      </c>
      <c r="K218" s="75">
        <v>40</v>
      </c>
      <c r="L218" s="75"/>
      <c r="M218" s="75">
        <v>40</v>
      </c>
      <c r="N218" s="75"/>
      <c r="O218" s="75"/>
      <c r="P218" s="75"/>
      <c r="Q218" s="75"/>
      <c r="R218" s="75"/>
      <c r="S218" s="75"/>
      <c r="T218" s="75">
        <v>1</v>
      </c>
      <c r="U218" s="75"/>
      <c r="V218" s="76"/>
      <c r="W218" s="205"/>
      <c r="X218" s="1">
        <v>40252</v>
      </c>
      <c r="Y218" s="78">
        <f t="shared" si="25"/>
        <v>2980000</v>
      </c>
      <c r="Z218" s="78">
        <f t="shared" si="26"/>
        <v>3400000</v>
      </c>
      <c r="AA218" s="78">
        <f t="shared" si="27"/>
        <v>3758400</v>
      </c>
      <c r="AB218" s="78">
        <f t="shared" si="28"/>
        <v>0</v>
      </c>
      <c r="AC218" s="78"/>
      <c r="AD218" s="78">
        <v>0</v>
      </c>
      <c r="AE218" s="80">
        <f t="shared" si="31"/>
        <v>10138400</v>
      </c>
      <c r="AF218" s="82">
        <v>0</v>
      </c>
      <c r="AG218" s="69">
        <v>40233</v>
      </c>
      <c r="AH218" s="84">
        <v>95632</v>
      </c>
      <c r="AI218" s="69" t="s">
        <v>2009</v>
      </c>
      <c r="AJ218" s="25" t="s">
        <v>2010</v>
      </c>
      <c r="AK218" s="88" t="s">
        <v>3127</v>
      </c>
      <c r="AL218" s="185" t="s">
        <v>263</v>
      </c>
      <c r="AM218" s="85" t="s">
        <v>2478</v>
      </c>
      <c r="AN218" s="3"/>
      <c r="AO218" s="4"/>
      <c r="AP218" s="5"/>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6">
        <v>40</v>
      </c>
      <c r="CQ218" s="7">
        <f>40*38500</f>
        <v>1540000</v>
      </c>
      <c r="CR218" s="6">
        <v>40</v>
      </c>
      <c r="CS218" s="7">
        <f>40*36000</f>
        <v>1440000</v>
      </c>
      <c r="CT218" s="6"/>
      <c r="CU218" s="7"/>
      <c r="CV218" s="8">
        <f t="shared" si="29"/>
        <v>2980000</v>
      </c>
      <c r="CW218" s="9"/>
      <c r="CX218" s="10"/>
      <c r="CY218" s="11">
        <v>40</v>
      </c>
      <c r="CZ218" s="12">
        <f>40*85000</f>
        <v>3400000</v>
      </c>
      <c r="DA218" s="29"/>
      <c r="DB218" s="12"/>
      <c r="DC218" s="9">
        <v>200</v>
      </c>
      <c r="DD218" s="10">
        <f>200*18792</f>
        <v>3758400</v>
      </c>
      <c r="DE218" s="89"/>
      <c r="EO218" s="353" t="str">
        <f t="shared" si="30"/>
        <v>TOLIMA_VILLAHERMOSA</v>
      </c>
      <c r="EP218" s="350"/>
      <c r="EQ218" s="350" t="s">
        <v>4051</v>
      </c>
      <c r="ER218" s="358" t="s">
        <v>4052</v>
      </c>
      <c r="ES218" s="350" t="s">
        <v>4858</v>
      </c>
      <c r="ET218" s="350" t="s">
        <v>6007</v>
      </c>
      <c r="EU218" s="350" t="str">
        <f t="shared" si="24"/>
        <v>Bolivar_San Juan Nepomuceno</v>
      </c>
    </row>
    <row r="219" spans="1:151" ht="72" x14ac:dyDescent="0.2">
      <c r="A219" s="242">
        <v>40233</v>
      </c>
      <c r="B219" s="107" t="s">
        <v>828</v>
      </c>
      <c r="C219" s="107" t="s">
        <v>4118</v>
      </c>
      <c r="D219" s="427" t="s">
        <v>1387</v>
      </c>
      <c r="E219" s="107" t="str">
        <f>VLOOKUP(B219&amp;C219,Divipola!$C$2:$F$1138,4,FALSE)</f>
        <v>15189</v>
      </c>
      <c r="F219" s="330"/>
      <c r="G219" s="224"/>
      <c r="H219" s="75"/>
      <c r="I219" s="75"/>
      <c r="J219" s="75"/>
      <c r="K219" s="75"/>
      <c r="L219" s="75"/>
      <c r="M219" s="75"/>
      <c r="N219" s="75"/>
      <c r="O219" s="75"/>
      <c r="P219" s="75"/>
      <c r="Q219" s="75"/>
      <c r="R219" s="75"/>
      <c r="S219" s="75"/>
      <c r="T219" s="75"/>
      <c r="U219" s="75"/>
      <c r="V219" s="76"/>
      <c r="W219" s="205"/>
      <c r="X219" s="1"/>
      <c r="Y219" s="78">
        <f t="shared" si="25"/>
        <v>0</v>
      </c>
      <c r="Z219" s="78">
        <f t="shared" si="26"/>
        <v>0</v>
      </c>
      <c r="AA219" s="78">
        <f t="shared" si="27"/>
        <v>0</v>
      </c>
      <c r="AB219" s="78">
        <f t="shared" si="28"/>
        <v>0</v>
      </c>
      <c r="AC219" s="78"/>
      <c r="AD219" s="78">
        <v>0</v>
      </c>
      <c r="AE219" s="80">
        <f t="shared" si="31"/>
        <v>0</v>
      </c>
      <c r="AF219" s="82">
        <v>0</v>
      </c>
      <c r="AG219" s="69">
        <v>40233</v>
      </c>
      <c r="AH219" s="84"/>
      <c r="AI219" s="69" t="s">
        <v>1984</v>
      </c>
      <c r="AJ219" s="25" t="s">
        <v>1985</v>
      </c>
      <c r="AK219" s="65"/>
      <c r="AL219" s="185" t="s">
        <v>1257</v>
      </c>
      <c r="AM219" s="85" t="s">
        <v>2190</v>
      </c>
      <c r="AN219" s="3"/>
      <c r="AO219" s="4"/>
      <c r="AP219" s="5"/>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6"/>
      <c r="CQ219" s="7"/>
      <c r="CR219" s="6"/>
      <c r="CS219" s="7"/>
      <c r="CT219" s="6"/>
      <c r="CU219" s="7"/>
      <c r="CV219" s="8">
        <f t="shared" si="29"/>
        <v>0</v>
      </c>
      <c r="CW219" s="9"/>
      <c r="CX219" s="10"/>
      <c r="CY219" s="11"/>
      <c r="CZ219" s="12"/>
      <c r="DA219" s="29"/>
      <c r="DB219" s="12"/>
      <c r="DC219" s="9"/>
      <c r="DD219" s="10"/>
      <c r="DE219" s="71"/>
      <c r="EO219" s="353" t="str">
        <f t="shared" si="30"/>
        <v>BOYACA_CIENEGA</v>
      </c>
      <c r="EP219" s="350"/>
      <c r="EQ219" s="350" t="s">
        <v>4051</v>
      </c>
      <c r="ER219" s="358" t="s">
        <v>4052</v>
      </c>
      <c r="ES219" s="350" t="s">
        <v>4859</v>
      </c>
      <c r="ET219" s="350" t="s">
        <v>6008</v>
      </c>
      <c r="EU219" s="350" t="str">
        <f t="shared" si="24"/>
        <v>Bolivar_San Martin de Loba</v>
      </c>
    </row>
    <row r="220" spans="1:151" ht="51" x14ac:dyDescent="0.2">
      <c r="A220" s="242">
        <v>40233</v>
      </c>
      <c r="B220" s="107" t="s">
        <v>828</v>
      </c>
      <c r="C220" s="107" t="s">
        <v>876</v>
      </c>
      <c r="D220" s="427" t="s">
        <v>1387</v>
      </c>
      <c r="E220" s="107" t="str">
        <f>VLOOKUP(B220&amp;C220,Divipola!$C$2:$F$1138,4,FALSE)</f>
        <v>15693</v>
      </c>
      <c r="F220" s="330"/>
      <c r="G220" s="224"/>
      <c r="H220" s="75"/>
      <c r="I220" s="75"/>
      <c r="J220" s="75"/>
      <c r="K220" s="75"/>
      <c r="L220" s="75"/>
      <c r="M220" s="75"/>
      <c r="N220" s="75"/>
      <c r="O220" s="75"/>
      <c r="P220" s="75"/>
      <c r="Q220" s="75"/>
      <c r="R220" s="75"/>
      <c r="S220" s="75"/>
      <c r="T220" s="75"/>
      <c r="U220" s="75"/>
      <c r="V220" s="76"/>
      <c r="W220" s="205"/>
      <c r="X220" s="1"/>
      <c r="Y220" s="78">
        <f t="shared" si="25"/>
        <v>0</v>
      </c>
      <c r="Z220" s="78">
        <f t="shared" si="26"/>
        <v>0</v>
      </c>
      <c r="AA220" s="78">
        <f t="shared" si="27"/>
        <v>0</v>
      </c>
      <c r="AB220" s="78">
        <f t="shared" si="28"/>
        <v>0</v>
      </c>
      <c r="AC220" s="78"/>
      <c r="AD220" s="78">
        <v>0</v>
      </c>
      <c r="AE220" s="80">
        <f t="shared" si="31"/>
        <v>0</v>
      </c>
      <c r="AF220" s="82">
        <v>0</v>
      </c>
      <c r="AG220" s="69">
        <v>40233</v>
      </c>
      <c r="AH220" s="84"/>
      <c r="AI220" s="69" t="s">
        <v>1984</v>
      </c>
      <c r="AJ220" s="25" t="s">
        <v>1985</v>
      </c>
      <c r="AK220" s="65"/>
      <c r="AL220" s="185" t="s">
        <v>1257</v>
      </c>
      <c r="AM220" s="85" t="s">
        <v>877</v>
      </c>
      <c r="AN220" s="3"/>
      <c r="AO220" s="4"/>
      <c r="AP220" s="5"/>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6"/>
      <c r="CQ220" s="7"/>
      <c r="CR220" s="6"/>
      <c r="CS220" s="7"/>
      <c r="CT220" s="6"/>
      <c r="CU220" s="7"/>
      <c r="CV220" s="8">
        <f t="shared" si="29"/>
        <v>0</v>
      </c>
      <c r="CW220" s="9"/>
      <c r="CX220" s="10"/>
      <c r="CY220" s="11"/>
      <c r="CZ220" s="12"/>
      <c r="DA220" s="29"/>
      <c r="DB220" s="12"/>
      <c r="DC220" s="9"/>
      <c r="DD220" s="10"/>
      <c r="DE220" s="71"/>
      <c r="EO220" s="353" t="str">
        <f t="shared" si="30"/>
        <v>BOYACA_SANTA ROSA DE VITERBO</v>
      </c>
      <c r="EP220" s="350"/>
      <c r="EQ220" s="350" t="s">
        <v>4051</v>
      </c>
      <c r="ER220" s="358" t="s">
        <v>4052</v>
      </c>
      <c r="ES220" s="350" t="s">
        <v>4860</v>
      </c>
      <c r="ET220" s="350" t="s">
        <v>6009</v>
      </c>
      <c r="EU220" s="350" t="str">
        <f t="shared" si="24"/>
        <v>Bolivar_San Pablo</v>
      </c>
    </row>
    <row r="221" spans="1:151" ht="36" x14ac:dyDescent="0.2">
      <c r="A221" s="242">
        <v>40233</v>
      </c>
      <c r="B221" s="107" t="s">
        <v>828</v>
      </c>
      <c r="C221" s="107" t="s">
        <v>871</v>
      </c>
      <c r="D221" s="427" t="s">
        <v>1387</v>
      </c>
      <c r="E221" s="107" t="str">
        <f>VLOOKUP(B221&amp;C221,Divipola!$C$2:$F$1138,4,FALSE)</f>
        <v>15762</v>
      </c>
      <c r="F221" s="330"/>
      <c r="G221" s="224"/>
      <c r="H221" s="75"/>
      <c r="I221" s="75"/>
      <c r="J221" s="75"/>
      <c r="K221" s="75"/>
      <c r="L221" s="75"/>
      <c r="M221" s="75"/>
      <c r="N221" s="75"/>
      <c r="O221" s="75"/>
      <c r="P221" s="75"/>
      <c r="Q221" s="75"/>
      <c r="R221" s="75"/>
      <c r="S221" s="75"/>
      <c r="T221" s="75"/>
      <c r="U221" s="75"/>
      <c r="V221" s="76"/>
      <c r="W221" s="205"/>
      <c r="X221" s="1"/>
      <c r="Y221" s="78">
        <f t="shared" si="25"/>
        <v>0</v>
      </c>
      <c r="Z221" s="78">
        <f t="shared" si="26"/>
        <v>0</v>
      </c>
      <c r="AA221" s="78">
        <f t="shared" si="27"/>
        <v>0</v>
      </c>
      <c r="AB221" s="78">
        <f t="shared" si="28"/>
        <v>0</v>
      </c>
      <c r="AC221" s="78"/>
      <c r="AD221" s="78">
        <v>0</v>
      </c>
      <c r="AE221" s="80">
        <f t="shared" si="31"/>
        <v>0</v>
      </c>
      <c r="AF221" s="82">
        <v>0</v>
      </c>
      <c r="AG221" s="69">
        <v>40233</v>
      </c>
      <c r="AH221" s="84"/>
      <c r="AI221" s="69" t="s">
        <v>1984</v>
      </c>
      <c r="AJ221" s="25" t="s">
        <v>1985</v>
      </c>
      <c r="AK221" s="65"/>
      <c r="AL221" s="185" t="s">
        <v>1257</v>
      </c>
      <c r="AM221" s="85" t="s">
        <v>875</v>
      </c>
      <c r="AN221" s="3"/>
      <c r="AO221" s="4"/>
      <c r="AP221" s="5"/>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6"/>
      <c r="CQ221" s="7"/>
      <c r="CR221" s="6"/>
      <c r="CS221" s="7"/>
      <c r="CT221" s="6"/>
      <c r="CU221" s="7"/>
      <c r="CV221" s="8">
        <f t="shared" si="29"/>
        <v>0</v>
      </c>
      <c r="CW221" s="9"/>
      <c r="CX221" s="10"/>
      <c r="CY221" s="11"/>
      <c r="CZ221" s="12"/>
      <c r="DA221" s="29"/>
      <c r="DB221" s="12"/>
      <c r="DC221" s="9"/>
      <c r="DD221" s="10"/>
      <c r="DE221" s="71"/>
      <c r="EO221" s="353" t="str">
        <f t="shared" si="30"/>
        <v>BOYACA_SORA</v>
      </c>
      <c r="EP221" s="350"/>
      <c r="EQ221" s="350" t="s">
        <v>4051</v>
      </c>
      <c r="ER221" s="358" t="s">
        <v>4052</v>
      </c>
      <c r="ES221" s="350" t="s">
        <v>4861</v>
      </c>
      <c r="ET221" s="350" t="s">
        <v>6010</v>
      </c>
      <c r="EU221" s="350" t="str">
        <f t="shared" si="24"/>
        <v>Bolivar_Santa Catalina</v>
      </c>
    </row>
    <row r="222" spans="1:151" ht="25.5" x14ac:dyDescent="0.2">
      <c r="A222" s="242">
        <v>40233</v>
      </c>
      <c r="B222" s="107" t="s">
        <v>1719</v>
      </c>
      <c r="C222" s="107" t="s">
        <v>872</v>
      </c>
      <c r="D222" s="427" t="s">
        <v>1387</v>
      </c>
      <c r="E222" s="107" t="str">
        <f>VLOOKUP(B222&amp;C222,Divipola!$C$2:$F$1138,4,FALSE)</f>
        <v>19585</v>
      </c>
      <c r="F222" s="330"/>
      <c r="G222" s="224"/>
      <c r="H222" s="75"/>
      <c r="I222" s="75"/>
      <c r="J222" s="75"/>
      <c r="K222" s="75"/>
      <c r="L222" s="75"/>
      <c r="M222" s="75"/>
      <c r="N222" s="75"/>
      <c r="O222" s="75"/>
      <c r="P222" s="75"/>
      <c r="Q222" s="75"/>
      <c r="R222" s="75"/>
      <c r="S222" s="75"/>
      <c r="T222" s="75"/>
      <c r="U222" s="75"/>
      <c r="V222" s="76"/>
      <c r="W222" s="205"/>
      <c r="X222" s="1"/>
      <c r="Y222" s="78">
        <f t="shared" si="25"/>
        <v>0</v>
      </c>
      <c r="Z222" s="78">
        <f t="shared" si="26"/>
        <v>0</v>
      </c>
      <c r="AA222" s="78">
        <f t="shared" si="27"/>
        <v>0</v>
      </c>
      <c r="AB222" s="78">
        <f t="shared" si="28"/>
        <v>0</v>
      </c>
      <c r="AC222" s="78"/>
      <c r="AD222" s="78">
        <v>0</v>
      </c>
      <c r="AE222" s="80">
        <f t="shared" si="31"/>
        <v>0</v>
      </c>
      <c r="AF222" s="82">
        <v>0</v>
      </c>
      <c r="AG222" s="69">
        <v>40233</v>
      </c>
      <c r="AH222" s="84"/>
      <c r="AI222" s="69" t="s">
        <v>1984</v>
      </c>
      <c r="AJ222" s="25" t="s">
        <v>1985</v>
      </c>
      <c r="AK222" s="65"/>
      <c r="AL222" s="185" t="s">
        <v>1257</v>
      </c>
      <c r="AM222" s="85" t="s">
        <v>878</v>
      </c>
      <c r="AN222" s="3"/>
      <c r="AO222" s="4"/>
      <c r="AP222" s="5"/>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6"/>
      <c r="CQ222" s="7"/>
      <c r="CR222" s="6"/>
      <c r="CS222" s="7"/>
      <c r="CT222" s="6"/>
      <c r="CU222" s="7"/>
      <c r="CV222" s="8">
        <f t="shared" si="29"/>
        <v>0</v>
      </c>
      <c r="CW222" s="9"/>
      <c r="CX222" s="10"/>
      <c r="CY222" s="11"/>
      <c r="CZ222" s="12"/>
      <c r="DA222" s="29"/>
      <c r="DB222" s="12"/>
      <c r="DC222" s="9"/>
      <c r="DD222" s="10"/>
      <c r="DE222" s="71"/>
      <c r="EO222" s="353" t="str">
        <f t="shared" si="30"/>
        <v>CAUCA_PURACE</v>
      </c>
      <c r="EP222" s="350"/>
      <c r="EQ222" s="350" t="s">
        <v>4051</v>
      </c>
      <c r="ER222" s="358" t="s">
        <v>4052</v>
      </c>
      <c r="ES222" s="350" t="s">
        <v>4862</v>
      </c>
      <c r="ET222" s="350" t="s">
        <v>6011</v>
      </c>
      <c r="EU222" s="350" t="str">
        <f t="shared" si="24"/>
        <v>Bolivar_Santa Rosa</v>
      </c>
    </row>
    <row r="223" spans="1:151" ht="132" x14ac:dyDescent="0.2">
      <c r="A223" s="242">
        <v>40233</v>
      </c>
      <c r="B223" s="107" t="s">
        <v>2425</v>
      </c>
      <c r="C223" s="107" t="s">
        <v>2330</v>
      </c>
      <c r="D223" s="427" t="s">
        <v>837</v>
      </c>
      <c r="E223" s="107" t="str">
        <f>VLOOKUP(B223&amp;C223,Divipola!$C$2:$F$1138,4,FALSE)</f>
        <v>27425</v>
      </c>
      <c r="F223" s="330"/>
      <c r="G223" s="224"/>
      <c r="H223" s="75">
        <v>1</v>
      </c>
      <c r="I223" s="75"/>
      <c r="J223" s="75">
        <v>2293</v>
      </c>
      <c r="K223" s="75">
        <v>461</v>
      </c>
      <c r="L223" s="75">
        <v>3</v>
      </c>
      <c r="M223" s="75"/>
      <c r="N223" s="75"/>
      <c r="O223" s="75"/>
      <c r="P223" s="75"/>
      <c r="Q223" s="75"/>
      <c r="R223" s="75"/>
      <c r="S223" s="75"/>
      <c r="T223" s="75"/>
      <c r="U223" s="75"/>
      <c r="V223" s="76"/>
      <c r="W223" s="205" t="s">
        <v>1453</v>
      </c>
      <c r="X223" s="1">
        <v>40275</v>
      </c>
      <c r="Y223" s="78">
        <f t="shared" si="25"/>
        <v>37650000</v>
      </c>
      <c r="Z223" s="78">
        <f t="shared" si="26"/>
        <v>43500000</v>
      </c>
      <c r="AA223" s="78">
        <f t="shared" si="27"/>
        <v>0</v>
      </c>
      <c r="AB223" s="78">
        <f t="shared" si="28"/>
        <v>0</v>
      </c>
      <c r="AC223" s="78"/>
      <c r="AD223" s="78">
        <v>50000000</v>
      </c>
      <c r="AE223" s="80">
        <f t="shared" si="31"/>
        <v>131150000</v>
      </c>
      <c r="AF223" s="82">
        <v>0</v>
      </c>
      <c r="AG223" s="69">
        <v>40234</v>
      </c>
      <c r="AH223" s="84">
        <v>95577</v>
      </c>
      <c r="AI223" s="69" t="s">
        <v>2009</v>
      </c>
      <c r="AJ223" s="25" t="s">
        <v>2010</v>
      </c>
      <c r="AK223" s="88" t="s">
        <v>2685</v>
      </c>
      <c r="AL223" s="185" t="s">
        <v>1454</v>
      </c>
      <c r="AM223" s="85" t="s">
        <v>946</v>
      </c>
      <c r="AN223" s="3"/>
      <c r="AO223" s="4"/>
      <c r="AP223" s="5"/>
      <c r="AQ223" s="4"/>
      <c r="AR223" s="4"/>
      <c r="AS223" s="4"/>
      <c r="AT223" s="4"/>
      <c r="AU223" s="4"/>
      <c r="AV223" s="4"/>
      <c r="AW223" s="4"/>
      <c r="AX223" s="4"/>
      <c r="AY223" s="4"/>
      <c r="AZ223" s="4">
        <v>300</v>
      </c>
      <c r="BA223" s="4">
        <f>300*58000</f>
        <v>17400000</v>
      </c>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6">
        <v>500</v>
      </c>
      <c r="CQ223" s="7">
        <f>500*40500</f>
        <v>20250000</v>
      </c>
      <c r="CR223" s="6"/>
      <c r="CS223" s="7"/>
      <c r="CT223" s="6"/>
      <c r="CU223" s="7"/>
      <c r="CV223" s="8">
        <f t="shared" si="29"/>
        <v>37650000</v>
      </c>
      <c r="CW223" s="9"/>
      <c r="CX223" s="10"/>
      <c r="CY223" s="11">
        <v>500</v>
      </c>
      <c r="CZ223" s="12">
        <f>500*87000</f>
        <v>43500000</v>
      </c>
      <c r="DA223" s="29"/>
      <c r="DB223" s="12"/>
      <c r="DC223" s="9"/>
      <c r="DD223" s="10"/>
      <c r="DE223" s="89">
        <v>2</v>
      </c>
      <c r="EO223" s="353" t="str">
        <f t="shared" si="30"/>
        <v>CHOCO_MEDIO ATRATO</v>
      </c>
      <c r="EP223" s="350"/>
      <c r="EQ223" s="350" t="s">
        <v>4051</v>
      </c>
      <c r="ER223" s="358" t="s">
        <v>4052</v>
      </c>
      <c r="ES223" s="350" t="s">
        <v>4863</v>
      </c>
      <c r="ET223" s="350" t="s">
        <v>6012</v>
      </c>
      <c r="EU223" s="350" t="str">
        <f t="shared" si="24"/>
        <v>Bolivar_Santa Rosa del Sur</v>
      </c>
    </row>
    <row r="224" spans="1:151" ht="78.75" x14ac:dyDescent="0.2">
      <c r="A224" s="242">
        <v>40233</v>
      </c>
      <c r="B224" s="107" t="s">
        <v>2007</v>
      </c>
      <c r="C224" s="107" t="s">
        <v>262</v>
      </c>
      <c r="D224" s="427" t="s">
        <v>2209</v>
      </c>
      <c r="E224" s="107" t="str">
        <f>VLOOKUP(B224&amp;C224,Divipola!$C$2:$F$1138,4,FALSE)</f>
        <v>25148</v>
      </c>
      <c r="F224" s="330"/>
      <c r="G224" s="224"/>
      <c r="H224" s="75"/>
      <c r="I224" s="75"/>
      <c r="J224" s="75">
        <v>100</v>
      </c>
      <c r="K224" s="75">
        <v>12</v>
      </c>
      <c r="L224" s="75">
        <v>2</v>
      </c>
      <c r="M224" s="75">
        <v>10</v>
      </c>
      <c r="N224" s="75"/>
      <c r="O224" s="75"/>
      <c r="P224" s="75"/>
      <c r="Q224" s="75"/>
      <c r="R224" s="75"/>
      <c r="S224" s="75"/>
      <c r="T224" s="75"/>
      <c r="U224" s="75"/>
      <c r="V224" s="76"/>
      <c r="W224" s="205"/>
      <c r="X224" s="1">
        <v>40261</v>
      </c>
      <c r="Y224" s="78">
        <f t="shared" si="25"/>
        <v>0</v>
      </c>
      <c r="Z224" s="78">
        <f t="shared" si="26"/>
        <v>0</v>
      </c>
      <c r="AA224" s="78">
        <f t="shared" si="27"/>
        <v>1879200</v>
      </c>
      <c r="AB224" s="78">
        <f t="shared" si="28"/>
        <v>0</v>
      </c>
      <c r="AC224" s="78"/>
      <c r="AD224" s="78">
        <v>0</v>
      </c>
      <c r="AE224" s="80">
        <f t="shared" si="31"/>
        <v>1879200</v>
      </c>
      <c r="AF224" s="82">
        <v>0</v>
      </c>
      <c r="AG224" s="69">
        <v>40240</v>
      </c>
      <c r="AH224" s="84">
        <v>95675</v>
      </c>
      <c r="AI224" s="69" t="s">
        <v>2009</v>
      </c>
      <c r="AJ224" s="25" t="s">
        <v>2010</v>
      </c>
      <c r="AK224" s="65">
        <v>50</v>
      </c>
      <c r="AL224" s="212" t="s">
        <v>261</v>
      </c>
      <c r="AM224" s="85" t="s">
        <v>142</v>
      </c>
      <c r="AN224" s="3"/>
      <c r="AO224" s="4"/>
      <c r="AP224" s="5"/>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6"/>
      <c r="CQ224" s="7"/>
      <c r="CR224" s="6"/>
      <c r="CS224" s="7"/>
      <c r="CT224" s="6"/>
      <c r="CU224" s="7"/>
      <c r="CV224" s="8">
        <f t="shared" si="29"/>
        <v>0</v>
      </c>
      <c r="CW224" s="9"/>
      <c r="CX224" s="10"/>
      <c r="CY224" s="11"/>
      <c r="CZ224" s="12"/>
      <c r="DA224" s="29"/>
      <c r="DB224" s="12"/>
      <c r="DC224" s="9">
        <v>100</v>
      </c>
      <c r="DD224" s="10">
        <f>100*18792</f>
        <v>1879200</v>
      </c>
      <c r="DE224" s="71"/>
      <c r="EO224" s="353" t="str">
        <f t="shared" si="30"/>
        <v>CUNDINAMARCA_CAPARRAPI</v>
      </c>
      <c r="EP224" s="350"/>
      <c r="EQ224" s="350" t="s">
        <v>4051</v>
      </c>
      <c r="ER224" s="358" t="s">
        <v>4052</v>
      </c>
      <c r="ES224" s="350" t="s">
        <v>4864</v>
      </c>
      <c r="ET224" s="350" t="s">
        <v>6013</v>
      </c>
      <c r="EU224" s="350" t="str">
        <f t="shared" si="24"/>
        <v>Bolivar_Simiti</v>
      </c>
    </row>
    <row r="225" spans="1:151" ht="78.75" x14ac:dyDescent="0.2">
      <c r="A225" s="242">
        <v>40233</v>
      </c>
      <c r="B225" s="107" t="s">
        <v>2007</v>
      </c>
      <c r="C225" s="107" t="s">
        <v>1100</v>
      </c>
      <c r="D225" s="427" t="s">
        <v>2209</v>
      </c>
      <c r="E225" s="107" t="str">
        <f>VLOOKUP(B225&amp;C225,Divipola!$C$2:$F$1138,4,FALSE)</f>
        <v>25320</v>
      </c>
      <c r="F225" s="330"/>
      <c r="G225" s="224"/>
      <c r="H225" s="75"/>
      <c r="I225" s="75"/>
      <c r="J225" s="75">
        <f>11*5</f>
        <v>55</v>
      </c>
      <c r="K225" s="75">
        <v>11</v>
      </c>
      <c r="L225" s="75"/>
      <c r="M225" s="75">
        <v>11</v>
      </c>
      <c r="N225" s="75"/>
      <c r="O225" s="75"/>
      <c r="P225" s="75"/>
      <c r="Q225" s="75"/>
      <c r="R225" s="75"/>
      <c r="S225" s="75"/>
      <c r="T225" s="75">
        <v>3</v>
      </c>
      <c r="U225" s="75"/>
      <c r="V225" s="76"/>
      <c r="W225" s="205"/>
      <c r="X225" s="1">
        <v>40261</v>
      </c>
      <c r="Y225" s="78">
        <f t="shared" si="25"/>
        <v>0</v>
      </c>
      <c r="Z225" s="78">
        <f t="shared" si="26"/>
        <v>0</v>
      </c>
      <c r="AA225" s="78">
        <f t="shared" si="27"/>
        <v>1879200</v>
      </c>
      <c r="AB225" s="78">
        <f t="shared" si="28"/>
        <v>0</v>
      </c>
      <c r="AC225" s="78"/>
      <c r="AD225" s="78">
        <v>0</v>
      </c>
      <c r="AE225" s="80">
        <f t="shared" si="31"/>
        <v>1879200</v>
      </c>
      <c r="AF225" s="82">
        <v>0</v>
      </c>
      <c r="AG225" s="69">
        <v>40240</v>
      </c>
      <c r="AH225" s="84">
        <v>95675</v>
      </c>
      <c r="AI225" s="69" t="s">
        <v>2009</v>
      </c>
      <c r="AJ225" s="25" t="s">
        <v>2010</v>
      </c>
      <c r="AK225" s="65">
        <v>50</v>
      </c>
      <c r="AL225" s="185" t="s">
        <v>261</v>
      </c>
      <c r="AM225" s="85" t="s">
        <v>141</v>
      </c>
      <c r="AN225" s="3"/>
      <c r="AO225" s="4"/>
      <c r="AP225" s="5"/>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6"/>
      <c r="CQ225" s="7"/>
      <c r="CR225" s="6"/>
      <c r="CS225" s="7"/>
      <c r="CT225" s="6"/>
      <c r="CU225" s="7"/>
      <c r="CV225" s="8">
        <f t="shared" si="29"/>
        <v>0</v>
      </c>
      <c r="CW225" s="9"/>
      <c r="CX225" s="10"/>
      <c r="CY225" s="11"/>
      <c r="CZ225" s="12"/>
      <c r="DA225" s="29"/>
      <c r="DB225" s="12"/>
      <c r="DC225" s="9">
        <v>100</v>
      </c>
      <c r="DD225" s="10">
        <f>100*18792</f>
        <v>1879200</v>
      </c>
      <c r="DE225" s="71"/>
      <c r="EO225" s="353" t="str">
        <f t="shared" si="30"/>
        <v>CUNDINAMARCA_GUADUAS</v>
      </c>
      <c r="EP225" s="350"/>
      <c r="EQ225" s="350" t="s">
        <v>4051</v>
      </c>
      <c r="ER225" s="358" t="s">
        <v>4052</v>
      </c>
      <c r="ES225" s="350" t="s">
        <v>4865</v>
      </c>
      <c r="ET225" s="350" t="s">
        <v>6014</v>
      </c>
      <c r="EU225" s="350" t="str">
        <f t="shared" si="24"/>
        <v>Bolivar_Soplaviento</v>
      </c>
    </row>
    <row r="226" spans="1:151" s="90" customFormat="1" ht="48" x14ac:dyDescent="0.2">
      <c r="A226" s="242">
        <v>40233</v>
      </c>
      <c r="B226" s="107" t="s">
        <v>2007</v>
      </c>
      <c r="C226" s="107" t="s">
        <v>873</v>
      </c>
      <c r="D226" s="427" t="s">
        <v>1387</v>
      </c>
      <c r="E226" s="107" t="str">
        <f>VLOOKUP(B226&amp;C226,Divipola!$C$2:$F$1138,4,FALSE)</f>
        <v>25745</v>
      </c>
      <c r="F226" s="330"/>
      <c r="G226" s="224"/>
      <c r="H226" s="75"/>
      <c r="I226" s="75"/>
      <c r="J226" s="75"/>
      <c r="K226" s="75"/>
      <c r="L226" s="75"/>
      <c r="M226" s="75"/>
      <c r="N226" s="75"/>
      <c r="O226" s="75"/>
      <c r="P226" s="75"/>
      <c r="Q226" s="75"/>
      <c r="R226" s="75"/>
      <c r="S226" s="75"/>
      <c r="T226" s="75"/>
      <c r="U226" s="75"/>
      <c r="V226" s="76"/>
      <c r="W226" s="205"/>
      <c r="X226" s="1"/>
      <c r="Y226" s="78">
        <f t="shared" si="25"/>
        <v>0</v>
      </c>
      <c r="Z226" s="78">
        <f t="shared" si="26"/>
        <v>0</v>
      </c>
      <c r="AA226" s="78">
        <f t="shared" si="27"/>
        <v>0</v>
      </c>
      <c r="AB226" s="78">
        <f t="shared" si="28"/>
        <v>0</v>
      </c>
      <c r="AC226" s="78"/>
      <c r="AD226" s="78">
        <v>0</v>
      </c>
      <c r="AE226" s="80">
        <f t="shared" si="31"/>
        <v>0</v>
      </c>
      <c r="AF226" s="82">
        <v>0</v>
      </c>
      <c r="AG226" s="69">
        <v>40233</v>
      </c>
      <c r="AH226" s="84"/>
      <c r="AI226" s="69" t="s">
        <v>1984</v>
      </c>
      <c r="AJ226" s="25" t="s">
        <v>1985</v>
      </c>
      <c r="AK226" s="65"/>
      <c r="AL226" s="185" t="s">
        <v>1257</v>
      </c>
      <c r="AM226" s="85" t="s">
        <v>879</v>
      </c>
      <c r="AN226" s="3"/>
      <c r="AO226" s="4"/>
      <c r="AP226" s="5"/>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6"/>
      <c r="CQ226" s="7"/>
      <c r="CR226" s="6"/>
      <c r="CS226" s="7"/>
      <c r="CT226" s="6"/>
      <c r="CU226" s="7"/>
      <c r="CV226" s="8">
        <f t="shared" si="29"/>
        <v>0</v>
      </c>
      <c r="CW226" s="9"/>
      <c r="CX226" s="10"/>
      <c r="CY226" s="11"/>
      <c r="CZ226" s="12"/>
      <c r="DA226" s="29"/>
      <c r="DB226" s="12"/>
      <c r="DC226" s="9"/>
      <c r="DD226" s="10"/>
      <c r="DE226" s="71"/>
      <c r="DF226" s="23"/>
      <c r="EO226" s="353" t="str">
        <f t="shared" si="30"/>
        <v>CUNDINAMARCA_SIMIJACA</v>
      </c>
      <c r="EP226" s="350"/>
      <c r="EQ226" s="350" t="s">
        <v>4051</v>
      </c>
      <c r="ER226" s="358" t="s">
        <v>4052</v>
      </c>
      <c r="ES226" s="350" t="s">
        <v>4866</v>
      </c>
      <c r="ET226" s="350" t="s">
        <v>6015</v>
      </c>
      <c r="EU226" s="350" t="str">
        <f t="shared" si="24"/>
        <v>Bolivar_Talaigua Nuevo</v>
      </c>
    </row>
    <row r="227" spans="1:151" s="90" customFormat="1" ht="72" x14ac:dyDescent="0.2">
      <c r="A227" s="242">
        <v>40233</v>
      </c>
      <c r="B227" s="107" t="s">
        <v>5778</v>
      </c>
      <c r="C227" s="107" t="s">
        <v>874</v>
      </c>
      <c r="D227" s="427" t="s">
        <v>1387</v>
      </c>
      <c r="E227" s="107" t="str">
        <f>VLOOKUP(B227&amp;C227,Divipola!$C$2:$F$1138,4,FALSE)</f>
        <v>44430</v>
      </c>
      <c r="F227" s="330"/>
      <c r="G227" s="224"/>
      <c r="H227" s="75"/>
      <c r="I227" s="75"/>
      <c r="J227" s="75"/>
      <c r="K227" s="75"/>
      <c r="L227" s="75"/>
      <c r="M227" s="75"/>
      <c r="N227" s="75"/>
      <c r="O227" s="75"/>
      <c r="P227" s="75"/>
      <c r="Q227" s="75"/>
      <c r="R227" s="75"/>
      <c r="S227" s="75"/>
      <c r="T227" s="75"/>
      <c r="U227" s="75"/>
      <c r="V227" s="76"/>
      <c r="W227" s="205"/>
      <c r="X227" s="1"/>
      <c r="Y227" s="78">
        <f t="shared" si="25"/>
        <v>0</v>
      </c>
      <c r="Z227" s="78">
        <f t="shared" si="26"/>
        <v>0</v>
      </c>
      <c r="AA227" s="78">
        <f t="shared" si="27"/>
        <v>0</v>
      </c>
      <c r="AB227" s="78">
        <f t="shared" si="28"/>
        <v>0</v>
      </c>
      <c r="AC227" s="78"/>
      <c r="AD227" s="78">
        <v>0</v>
      </c>
      <c r="AE227" s="80">
        <f t="shared" si="31"/>
        <v>0</v>
      </c>
      <c r="AF227" s="82">
        <v>0</v>
      </c>
      <c r="AG227" s="69">
        <v>40233</v>
      </c>
      <c r="AH227" s="84"/>
      <c r="AI227" s="69" t="s">
        <v>1984</v>
      </c>
      <c r="AJ227" s="25" t="s">
        <v>1985</v>
      </c>
      <c r="AK227" s="65"/>
      <c r="AL227" s="185" t="s">
        <v>1257</v>
      </c>
      <c r="AM227" s="85" t="s">
        <v>1704</v>
      </c>
      <c r="AN227" s="3"/>
      <c r="AO227" s="4"/>
      <c r="AP227" s="5"/>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6"/>
      <c r="CQ227" s="7"/>
      <c r="CR227" s="6"/>
      <c r="CS227" s="7"/>
      <c r="CT227" s="6"/>
      <c r="CU227" s="7"/>
      <c r="CV227" s="8">
        <f t="shared" si="29"/>
        <v>0</v>
      </c>
      <c r="CW227" s="9"/>
      <c r="CX227" s="10"/>
      <c r="CY227" s="11"/>
      <c r="CZ227" s="12"/>
      <c r="DA227" s="29"/>
      <c r="DB227" s="12"/>
      <c r="DC227" s="9"/>
      <c r="DD227" s="10"/>
      <c r="DE227" s="71"/>
      <c r="DF227" s="23"/>
      <c r="EO227" s="353" t="str">
        <f t="shared" si="30"/>
        <v>LA GUAJIRA_MAICAO</v>
      </c>
      <c r="EP227" s="350"/>
      <c r="EQ227" s="350" t="s">
        <v>4051</v>
      </c>
      <c r="ER227" s="358" t="s">
        <v>4052</v>
      </c>
      <c r="ES227" s="350" t="s">
        <v>4867</v>
      </c>
      <c r="ET227" s="350" t="s">
        <v>6016</v>
      </c>
      <c r="EU227" s="350" t="str">
        <f t="shared" si="24"/>
        <v>Bolivar_Tiquisio</v>
      </c>
    </row>
    <row r="228" spans="1:151" s="90" customFormat="1" ht="25.5" x14ac:dyDescent="0.2">
      <c r="A228" s="242">
        <v>40233</v>
      </c>
      <c r="B228" s="107" t="s">
        <v>708</v>
      </c>
      <c r="C228" s="107" t="s">
        <v>709</v>
      </c>
      <c r="D228" s="427" t="s">
        <v>2209</v>
      </c>
      <c r="E228" s="107" t="str">
        <f>VLOOKUP(B228&amp;C228,Divipola!$C$2:$F$1138,4,FALSE)</f>
        <v>50251</v>
      </c>
      <c r="F228" s="330"/>
      <c r="G228" s="224"/>
      <c r="H228" s="75"/>
      <c r="I228" s="75"/>
      <c r="J228" s="75">
        <v>119</v>
      </c>
      <c r="K228" s="75">
        <v>29</v>
      </c>
      <c r="L228" s="75"/>
      <c r="M228" s="75">
        <v>29</v>
      </c>
      <c r="N228" s="75"/>
      <c r="O228" s="75"/>
      <c r="P228" s="75"/>
      <c r="Q228" s="75"/>
      <c r="R228" s="75"/>
      <c r="S228" s="75"/>
      <c r="T228" s="75"/>
      <c r="U228" s="75"/>
      <c r="V228" s="76"/>
      <c r="W228" s="205"/>
      <c r="X228" s="1"/>
      <c r="Y228" s="78">
        <f t="shared" si="25"/>
        <v>0</v>
      </c>
      <c r="Z228" s="78">
        <f t="shared" si="26"/>
        <v>0</v>
      </c>
      <c r="AA228" s="78">
        <f t="shared" si="27"/>
        <v>0</v>
      </c>
      <c r="AB228" s="78">
        <f t="shared" si="28"/>
        <v>0</v>
      </c>
      <c r="AC228" s="78"/>
      <c r="AD228" s="78">
        <v>0</v>
      </c>
      <c r="AE228" s="80">
        <f t="shared" si="31"/>
        <v>0</v>
      </c>
      <c r="AF228" s="82">
        <v>0</v>
      </c>
      <c r="AG228" s="69">
        <v>40234</v>
      </c>
      <c r="AH228" s="84"/>
      <c r="AI228" s="69" t="s">
        <v>1984</v>
      </c>
      <c r="AJ228" s="25" t="s">
        <v>1985</v>
      </c>
      <c r="AK228" s="65"/>
      <c r="AL228" s="185" t="s">
        <v>1257</v>
      </c>
      <c r="AM228" s="85" t="s">
        <v>710</v>
      </c>
      <c r="AN228" s="3"/>
      <c r="AO228" s="4"/>
      <c r="AP228" s="5"/>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6"/>
      <c r="CQ228" s="7"/>
      <c r="CR228" s="6"/>
      <c r="CS228" s="7"/>
      <c r="CT228" s="6"/>
      <c r="CU228" s="7"/>
      <c r="CV228" s="8">
        <f t="shared" si="29"/>
        <v>0</v>
      </c>
      <c r="CW228" s="9"/>
      <c r="CX228" s="10"/>
      <c r="CY228" s="11"/>
      <c r="CZ228" s="12"/>
      <c r="DA228" s="29"/>
      <c r="DB228" s="12"/>
      <c r="DC228" s="9"/>
      <c r="DD228" s="10"/>
      <c r="DE228" s="71"/>
      <c r="DF228" s="23"/>
      <c r="EO228" s="353" t="str">
        <f t="shared" si="30"/>
        <v>META_EL CASTILLO</v>
      </c>
      <c r="EP228" s="350"/>
      <c r="EQ228" s="350" t="s">
        <v>4051</v>
      </c>
      <c r="ER228" s="358" t="s">
        <v>4052</v>
      </c>
      <c r="ES228" s="350" t="s">
        <v>4868</v>
      </c>
      <c r="ET228" s="350" t="s">
        <v>6017</v>
      </c>
      <c r="EU228" s="350" t="str">
        <f t="shared" si="24"/>
        <v>Bolivar_Turbaco</v>
      </c>
    </row>
    <row r="229" spans="1:151" ht="36" x14ac:dyDescent="0.2">
      <c r="A229" s="242">
        <v>40233</v>
      </c>
      <c r="B229" s="107" t="s">
        <v>2372</v>
      </c>
      <c r="C229" s="107" t="s">
        <v>2396</v>
      </c>
      <c r="D229" s="427" t="s">
        <v>1387</v>
      </c>
      <c r="E229" s="107" t="str">
        <f>VLOOKUP(B229&amp;C229,Divipola!$C$2:$F$1138,4,FALSE)</f>
        <v>70230</v>
      </c>
      <c r="F229" s="330"/>
      <c r="G229" s="224"/>
      <c r="H229" s="75"/>
      <c r="I229" s="75"/>
      <c r="J229" s="75">
        <f>75*5</f>
        <v>375</v>
      </c>
      <c r="K229" s="75">
        <v>75</v>
      </c>
      <c r="L229" s="75"/>
      <c r="M229" s="75"/>
      <c r="N229" s="75"/>
      <c r="O229" s="75"/>
      <c r="P229" s="75"/>
      <c r="Q229" s="75"/>
      <c r="R229" s="75"/>
      <c r="S229" s="75"/>
      <c r="T229" s="75"/>
      <c r="U229" s="75"/>
      <c r="V229" s="76"/>
      <c r="W229" s="205"/>
      <c r="X229" s="1"/>
      <c r="Y229" s="78">
        <f t="shared" si="25"/>
        <v>0</v>
      </c>
      <c r="Z229" s="78">
        <f t="shared" si="26"/>
        <v>0</v>
      </c>
      <c r="AA229" s="78">
        <f t="shared" si="27"/>
        <v>0</v>
      </c>
      <c r="AB229" s="78">
        <f t="shared" si="28"/>
        <v>0</v>
      </c>
      <c r="AC229" s="78"/>
      <c r="AD229" s="78">
        <v>0</v>
      </c>
      <c r="AE229" s="80">
        <f t="shared" si="31"/>
        <v>0</v>
      </c>
      <c r="AF229" s="82">
        <v>0</v>
      </c>
      <c r="AG229" s="69">
        <v>40351</v>
      </c>
      <c r="AH229" s="84">
        <v>98450</v>
      </c>
      <c r="AI229" s="69" t="s">
        <v>2009</v>
      </c>
      <c r="AJ229" s="25" t="s">
        <v>1985</v>
      </c>
      <c r="AK229" s="65"/>
      <c r="AL229" s="185" t="s">
        <v>105</v>
      </c>
      <c r="AM229" s="85" t="s">
        <v>166</v>
      </c>
      <c r="AN229" s="3"/>
      <c r="AO229" s="4"/>
      <c r="AP229" s="5"/>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6"/>
      <c r="CQ229" s="7"/>
      <c r="CR229" s="6"/>
      <c r="CS229" s="7"/>
      <c r="CT229" s="6"/>
      <c r="CU229" s="7"/>
      <c r="CV229" s="8">
        <f t="shared" si="29"/>
        <v>0</v>
      </c>
      <c r="CW229" s="9"/>
      <c r="CX229" s="10"/>
      <c r="CY229" s="11"/>
      <c r="CZ229" s="12"/>
      <c r="DA229" s="29"/>
      <c r="DB229" s="12"/>
      <c r="DC229" s="9"/>
      <c r="DD229" s="10"/>
      <c r="DE229" s="71"/>
      <c r="EO229" s="353" t="str">
        <f t="shared" si="30"/>
        <v>SUCRE_CHALAN</v>
      </c>
      <c r="EP229" s="350"/>
      <c r="EQ229" s="350" t="s">
        <v>4051</v>
      </c>
      <c r="ER229" s="358" t="s">
        <v>4052</v>
      </c>
      <c r="ES229" s="350" t="s">
        <v>4869</v>
      </c>
      <c r="ET229" s="350" t="s">
        <v>6018</v>
      </c>
      <c r="EU229" s="350" t="str">
        <f t="shared" ref="EU229:EU291" si="32">ER229&amp;"_"&amp;ET229</f>
        <v>Bolivar_Turbana</v>
      </c>
    </row>
    <row r="230" spans="1:151" ht="36" x14ac:dyDescent="0.2">
      <c r="A230" s="242">
        <v>40233</v>
      </c>
      <c r="B230" s="107" t="s">
        <v>2372</v>
      </c>
      <c r="C230" s="107" t="s">
        <v>103</v>
      </c>
      <c r="D230" s="427" t="s">
        <v>1387</v>
      </c>
      <c r="E230" s="107" t="str">
        <f>VLOOKUP(B230&amp;C230,Divipola!$C$2:$F$1138,4,FALSE)</f>
        <v>70717</v>
      </c>
      <c r="F230" s="330"/>
      <c r="G230" s="224"/>
      <c r="H230" s="75"/>
      <c r="I230" s="75"/>
      <c r="J230" s="75">
        <f>75*5</f>
        <v>375</v>
      </c>
      <c r="K230" s="75">
        <v>75</v>
      </c>
      <c r="L230" s="75"/>
      <c r="M230" s="75"/>
      <c r="N230" s="75"/>
      <c r="O230" s="75"/>
      <c r="P230" s="75"/>
      <c r="Q230" s="75"/>
      <c r="R230" s="75"/>
      <c r="S230" s="75"/>
      <c r="T230" s="75"/>
      <c r="U230" s="75"/>
      <c r="V230" s="76"/>
      <c r="W230" s="205"/>
      <c r="X230" s="1"/>
      <c r="Y230" s="78">
        <f t="shared" si="25"/>
        <v>0</v>
      </c>
      <c r="Z230" s="78">
        <f t="shared" si="26"/>
        <v>0</v>
      </c>
      <c r="AA230" s="78">
        <f t="shared" si="27"/>
        <v>0</v>
      </c>
      <c r="AB230" s="78">
        <f t="shared" si="28"/>
        <v>0</v>
      </c>
      <c r="AC230" s="78"/>
      <c r="AD230" s="78">
        <v>0</v>
      </c>
      <c r="AE230" s="80">
        <f t="shared" si="31"/>
        <v>0</v>
      </c>
      <c r="AF230" s="82">
        <v>0</v>
      </c>
      <c r="AG230" s="69">
        <v>40351</v>
      </c>
      <c r="AH230" s="84">
        <v>98450</v>
      </c>
      <c r="AI230" s="69" t="s">
        <v>2009</v>
      </c>
      <c r="AJ230" s="25" t="s">
        <v>1985</v>
      </c>
      <c r="AK230" s="65"/>
      <c r="AL230" s="185" t="s">
        <v>105</v>
      </c>
      <c r="AM230" s="85" t="s">
        <v>165</v>
      </c>
      <c r="AN230" s="3"/>
      <c r="AO230" s="4"/>
      <c r="AP230" s="5"/>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6"/>
      <c r="CQ230" s="7"/>
      <c r="CR230" s="6"/>
      <c r="CS230" s="7"/>
      <c r="CT230" s="6"/>
      <c r="CU230" s="7"/>
      <c r="CV230" s="8">
        <f t="shared" si="29"/>
        <v>0</v>
      </c>
      <c r="CW230" s="9"/>
      <c r="CX230" s="10"/>
      <c r="CY230" s="11"/>
      <c r="CZ230" s="12"/>
      <c r="DA230" s="29"/>
      <c r="DB230" s="12"/>
      <c r="DC230" s="9"/>
      <c r="DD230" s="10"/>
      <c r="DE230" s="71"/>
      <c r="EO230" s="353" t="str">
        <f t="shared" si="30"/>
        <v>SUCRE_SAN PEDRO</v>
      </c>
      <c r="EP230" s="350"/>
      <c r="EQ230" s="350" t="s">
        <v>4051</v>
      </c>
      <c r="ER230" s="358" t="s">
        <v>4052</v>
      </c>
      <c r="ES230" s="350" t="s">
        <v>4870</v>
      </c>
      <c r="ET230" s="350" t="s">
        <v>6019</v>
      </c>
      <c r="EU230" s="350" t="str">
        <f t="shared" si="32"/>
        <v>Bolivar_Villanueva</v>
      </c>
    </row>
    <row r="231" spans="1:151" ht="36" x14ac:dyDescent="0.2">
      <c r="A231" s="242">
        <v>40233</v>
      </c>
      <c r="B231" s="107" t="s">
        <v>2372</v>
      </c>
      <c r="C231" s="107" t="s">
        <v>2372</v>
      </c>
      <c r="D231" s="427" t="s">
        <v>1387</v>
      </c>
      <c r="E231" s="107" t="str">
        <f>VLOOKUP(B231&amp;C231,Divipola!$C$2:$F$1138,4,FALSE)</f>
        <v>70771</v>
      </c>
      <c r="F231" s="330"/>
      <c r="G231" s="224"/>
      <c r="H231" s="75"/>
      <c r="I231" s="75"/>
      <c r="J231" s="75">
        <f>750*5</f>
        <v>3750</v>
      </c>
      <c r="K231" s="75">
        <v>750</v>
      </c>
      <c r="L231" s="75"/>
      <c r="M231" s="75"/>
      <c r="N231" s="75"/>
      <c r="O231" s="75"/>
      <c r="P231" s="75"/>
      <c r="Q231" s="75"/>
      <c r="R231" s="75"/>
      <c r="S231" s="75"/>
      <c r="T231" s="75"/>
      <c r="U231" s="75"/>
      <c r="V231" s="76"/>
      <c r="W231" s="205"/>
      <c r="X231" s="1"/>
      <c r="Y231" s="78">
        <f t="shared" si="25"/>
        <v>0</v>
      </c>
      <c r="Z231" s="78">
        <f t="shared" si="26"/>
        <v>0</v>
      </c>
      <c r="AA231" s="78">
        <f t="shared" si="27"/>
        <v>0</v>
      </c>
      <c r="AB231" s="78">
        <f t="shared" si="28"/>
        <v>0</v>
      </c>
      <c r="AC231" s="78"/>
      <c r="AD231" s="78">
        <v>0</v>
      </c>
      <c r="AE231" s="80">
        <f t="shared" si="31"/>
        <v>0</v>
      </c>
      <c r="AF231" s="82">
        <v>0</v>
      </c>
      <c r="AG231" s="69">
        <v>40351</v>
      </c>
      <c r="AH231" s="84">
        <v>98450</v>
      </c>
      <c r="AI231" s="69" t="s">
        <v>2009</v>
      </c>
      <c r="AJ231" s="25" t="s">
        <v>1985</v>
      </c>
      <c r="AK231" s="65"/>
      <c r="AL231" s="185" t="s">
        <v>105</v>
      </c>
      <c r="AM231" s="85" t="s">
        <v>165</v>
      </c>
      <c r="AN231" s="3"/>
      <c r="AO231" s="4"/>
      <c r="AP231" s="5"/>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6"/>
      <c r="CQ231" s="7"/>
      <c r="CR231" s="6"/>
      <c r="CS231" s="7"/>
      <c r="CT231" s="6"/>
      <c r="CU231" s="7"/>
      <c r="CV231" s="8">
        <f t="shared" si="29"/>
        <v>0</v>
      </c>
      <c r="CW231" s="9"/>
      <c r="CX231" s="10"/>
      <c r="CY231" s="11"/>
      <c r="CZ231" s="12"/>
      <c r="DA231" s="29"/>
      <c r="DB231" s="12"/>
      <c r="DC231" s="9"/>
      <c r="DD231" s="10"/>
      <c r="DE231" s="71"/>
      <c r="EO231" s="353" t="str">
        <f t="shared" si="30"/>
        <v>SUCRE_SUCRE</v>
      </c>
      <c r="EP231" s="350"/>
      <c r="EQ231" s="350" t="s">
        <v>4051</v>
      </c>
      <c r="ER231" s="358" t="s">
        <v>4052</v>
      </c>
      <c r="ES231" s="350" t="s">
        <v>4871</v>
      </c>
      <c r="ET231" s="350" t="s">
        <v>6020</v>
      </c>
      <c r="EU231" s="350" t="str">
        <f t="shared" si="32"/>
        <v>Bolivar_Zambrano</v>
      </c>
    </row>
    <row r="232" spans="1:151" ht="90" x14ac:dyDescent="0.2">
      <c r="A232" s="242">
        <v>40233</v>
      </c>
      <c r="B232" s="107" t="s">
        <v>2791</v>
      </c>
      <c r="C232" s="107" t="s">
        <v>3831</v>
      </c>
      <c r="D232" s="427" t="s">
        <v>2209</v>
      </c>
      <c r="E232" s="107" t="str">
        <f>VLOOKUP(B232&amp;C232,Divipola!$C$2:$F$1138,4,FALSE)</f>
        <v>73347</v>
      </c>
      <c r="F232" s="330"/>
      <c r="G232" s="224"/>
      <c r="H232" s="75"/>
      <c r="I232" s="75"/>
      <c r="J232" s="75">
        <f>70*5</f>
        <v>350</v>
      </c>
      <c r="K232" s="75">
        <v>70</v>
      </c>
      <c r="L232" s="75"/>
      <c r="M232" s="75">
        <v>70</v>
      </c>
      <c r="N232" s="75"/>
      <c r="O232" s="75"/>
      <c r="P232" s="75"/>
      <c r="Q232" s="75"/>
      <c r="R232" s="75"/>
      <c r="S232" s="75"/>
      <c r="T232" s="75"/>
      <c r="U232" s="75"/>
      <c r="V232" s="76"/>
      <c r="W232" s="205"/>
      <c r="X232" s="1">
        <v>40252</v>
      </c>
      <c r="Y232" s="78">
        <f t="shared" si="25"/>
        <v>5215000</v>
      </c>
      <c r="Z232" s="78">
        <f t="shared" si="26"/>
        <v>5950000</v>
      </c>
      <c r="AA232" s="78">
        <f t="shared" si="27"/>
        <v>5637600</v>
      </c>
      <c r="AB232" s="78">
        <f t="shared" si="28"/>
        <v>0</v>
      </c>
      <c r="AC232" s="78"/>
      <c r="AD232" s="78">
        <v>0</v>
      </c>
      <c r="AE232" s="80">
        <f t="shared" si="31"/>
        <v>16802600</v>
      </c>
      <c r="AF232" s="82">
        <v>0</v>
      </c>
      <c r="AG232" s="69">
        <v>40234</v>
      </c>
      <c r="AH232" s="84">
        <v>95623</v>
      </c>
      <c r="AI232" s="69" t="s">
        <v>2009</v>
      </c>
      <c r="AJ232" s="25" t="s">
        <v>2010</v>
      </c>
      <c r="AK232" s="88" t="s">
        <v>3127</v>
      </c>
      <c r="AL232" s="185" t="s">
        <v>263</v>
      </c>
      <c r="AM232" s="85" t="s">
        <v>2258</v>
      </c>
      <c r="AN232" s="3"/>
      <c r="AO232" s="4"/>
      <c r="AP232" s="5"/>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6">
        <v>70</v>
      </c>
      <c r="CQ232" s="7">
        <f>70*38500</f>
        <v>2695000</v>
      </c>
      <c r="CR232" s="6">
        <v>70</v>
      </c>
      <c r="CS232" s="7">
        <f>70*36000</f>
        <v>2520000</v>
      </c>
      <c r="CT232" s="6"/>
      <c r="CU232" s="7"/>
      <c r="CV232" s="8">
        <f t="shared" si="29"/>
        <v>5215000</v>
      </c>
      <c r="CW232" s="9"/>
      <c r="CX232" s="10"/>
      <c r="CY232" s="11">
        <v>70</v>
      </c>
      <c r="CZ232" s="12">
        <f>70*85000</f>
        <v>5950000</v>
      </c>
      <c r="DA232" s="29"/>
      <c r="DB232" s="12"/>
      <c r="DC232" s="9">
        <v>300</v>
      </c>
      <c r="DD232" s="10">
        <f>300*18792</f>
        <v>5637600</v>
      </c>
      <c r="DE232" s="89"/>
      <c r="EO232" s="353" t="str">
        <f t="shared" si="30"/>
        <v>TOLIMA_HERVEO</v>
      </c>
      <c r="EP232" s="350"/>
      <c r="EQ232" s="350" t="s">
        <v>4092</v>
      </c>
      <c r="ER232" s="358" t="s">
        <v>6021</v>
      </c>
      <c r="ES232" s="350" t="s">
        <v>4872</v>
      </c>
      <c r="ET232" s="350" t="s">
        <v>6022</v>
      </c>
      <c r="EU232" s="350" t="str">
        <f t="shared" si="32"/>
        <v>Boyaca_Tunja</v>
      </c>
    </row>
    <row r="233" spans="1:151" s="133" customFormat="1" ht="25.5" x14ac:dyDescent="0.2">
      <c r="A233" s="242">
        <v>40234</v>
      </c>
      <c r="B233" s="107" t="s">
        <v>828</v>
      </c>
      <c r="C233" s="107" t="s">
        <v>953</v>
      </c>
      <c r="D233" s="427" t="s">
        <v>1387</v>
      </c>
      <c r="E233" s="107" t="str">
        <f>VLOOKUP(B233&amp;C233,Divipola!$C$2:$F$1138,4,FALSE)</f>
        <v>15464</v>
      </c>
      <c r="F233" s="330"/>
      <c r="G233" s="224"/>
      <c r="H233" s="75"/>
      <c r="I233" s="75"/>
      <c r="J233" s="75"/>
      <c r="K233" s="75"/>
      <c r="L233" s="75"/>
      <c r="M233" s="75"/>
      <c r="N233" s="75"/>
      <c r="O233" s="75"/>
      <c r="P233" s="75"/>
      <c r="Q233" s="75"/>
      <c r="R233" s="75"/>
      <c r="S233" s="75"/>
      <c r="T233" s="75"/>
      <c r="U233" s="75"/>
      <c r="V233" s="76"/>
      <c r="W233" s="205"/>
      <c r="X233" s="1"/>
      <c r="Y233" s="78">
        <f t="shared" si="25"/>
        <v>0</v>
      </c>
      <c r="Z233" s="78">
        <f t="shared" si="26"/>
        <v>0</v>
      </c>
      <c r="AA233" s="78">
        <f t="shared" si="27"/>
        <v>0</v>
      </c>
      <c r="AB233" s="78">
        <f t="shared" si="28"/>
        <v>0</v>
      </c>
      <c r="AC233" s="78"/>
      <c r="AD233" s="78">
        <v>0</v>
      </c>
      <c r="AE233" s="80">
        <f t="shared" si="31"/>
        <v>0</v>
      </c>
      <c r="AF233" s="82">
        <v>0</v>
      </c>
      <c r="AG233" s="69">
        <v>40235</v>
      </c>
      <c r="AH233" s="84"/>
      <c r="AI233" s="69" t="s">
        <v>1984</v>
      </c>
      <c r="AJ233" s="25" t="s">
        <v>1985</v>
      </c>
      <c r="AK233" s="65"/>
      <c r="AL233" s="185" t="s">
        <v>1257</v>
      </c>
      <c r="AM233" s="85" t="s">
        <v>503</v>
      </c>
      <c r="AN233" s="3"/>
      <c r="AO233" s="4"/>
      <c r="AP233" s="5"/>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6"/>
      <c r="CQ233" s="7"/>
      <c r="CR233" s="6"/>
      <c r="CS233" s="7"/>
      <c r="CT233" s="6"/>
      <c r="CU233" s="7"/>
      <c r="CV233" s="8">
        <f t="shared" si="29"/>
        <v>0</v>
      </c>
      <c r="CW233" s="9"/>
      <c r="CX233" s="10"/>
      <c r="CY233" s="11"/>
      <c r="CZ233" s="12"/>
      <c r="DA233" s="29"/>
      <c r="DB233" s="12"/>
      <c r="DC233" s="9"/>
      <c r="DD233" s="10"/>
      <c r="DE233" s="71"/>
      <c r="DF233" s="23"/>
      <c r="EO233" s="353" t="str">
        <f t="shared" si="30"/>
        <v>BOYACA_MONGUA</v>
      </c>
      <c r="EP233" s="350"/>
      <c r="EQ233" s="350" t="s">
        <v>4092</v>
      </c>
      <c r="ER233" s="358" t="s">
        <v>6021</v>
      </c>
      <c r="ES233" s="350" t="s">
        <v>4873</v>
      </c>
      <c r="ET233" s="350" t="s">
        <v>6023</v>
      </c>
      <c r="EU233" s="350" t="str">
        <f t="shared" si="32"/>
        <v>Boyaca_Almeida</v>
      </c>
    </row>
    <row r="234" spans="1:151" s="133" customFormat="1" ht="25.5" x14ac:dyDescent="0.2">
      <c r="A234" s="242">
        <v>40234</v>
      </c>
      <c r="B234" s="107" t="s">
        <v>289</v>
      </c>
      <c r="C234" s="107" t="s">
        <v>711</v>
      </c>
      <c r="D234" s="427" t="s">
        <v>1721</v>
      </c>
      <c r="E234" s="107" t="str">
        <f>VLOOKUP(B234&amp;C234,Divipola!$C$2:$F$1138,4,FALSE)</f>
        <v>17001</v>
      </c>
      <c r="F234" s="330"/>
      <c r="G234" s="224">
        <v>2</v>
      </c>
      <c r="H234" s="75"/>
      <c r="I234" s="75"/>
      <c r="J234" s="75">
        <v>63</v>
      </c>
      <c r="K234" s="75">
        <v>12</v>
      </c>
      <c r="L234" s="75">
        <v>4</v>
      </c>
      <c r="M234" s="75"/>
      <c r="N234" s="75"/>
      <c r="O234" s="75"/>
      <c r="P234" s="75"/>
      <c r="Q234" s="75"/>
      <c r="R234" s="75"/>
      <c r="S234" s="75"/>
      <c r="T234" s="75"/>
      <c r="U234" s="75"/>
      <c r="V234" s="76"/>
      <c r="W234" s="205"/>
      <c r="X234" s="1"/>
      <c r="Y234" s="78">
        <f t="shared" si="25"/>
        <v>0</v>
      </c>
      <c r="Z234" s="78">
        <f t="shared" si="26"/>
        <v>0</v>
      </c>
      <c r="AA234" s="78">
        <f t="shared" si="27"/>
        <v>0</v>
      </c>
      <c r="AB234" s="78">
        <f t="shared" si="28"/>
        <v>0</v>
      </c>
      <c r="AC234" s="78"/>
      <c r="AD234" s="78">
        <v>0</v>
      </c>
      <c r="AE234" s="80">
        <f t="shared" si="31"/>
        <v>0</v>
      </c>
      <c r="AF234" s="82">
        <v>0</v>
      </c>
      <c r="AG234" s="69">
        <v>40234</v>
      </c>
      <c r="AH234" s="84"/>
      <c r="AI234" s="69" t="s">
        <v>1984</v>
      </c>
      <c r="AJ234" s="25" t="s">
        <v>1985</v>
      </c>
      <c r="AK234" s="65"/>
      <c r="AL234" s="185" t="s">
        <v>1257</v>
      </c>
      <c r="AM234" s="85" t="s">
        <v>712</v>
      </c>
      <c r="AN234" s="3"/>
      <c r="AO234" s="4"/>
      <c r="AP234" s="5"/>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6"/>
      <c r="CQ234" s="7"/>
      <c r="CR234" s="6"/>
      <c r="CS234" s="7"/>
      <c r="CT234" s="6"/>
      <c r="CU234" s="7"/>
      <c r="CV234" s="8">
        <f t="shared" si="29"/>
        <v>0</v>
      </c>
      <c r="CW234" s="9"/>
      <c r="CX234" s="10"/>
      <c r="CY234" s="11"/>
      <c r="CZ234" s="12"/>
      <c r="DA234" s="29"/>
      <c r="DB234" s="12"/>
      <c r="DC234" s="9"/>
      <c r="DD234" s="10"/>
      <c r="DE234" s="71"/>
      <c r="DF234" s="23"/>
      <c r="EO234" s="353" t="str">
        <f t="shared" si="30"/>
        <v>CALDAS_MANIZALES</v>
      </c>
      <c r="EP234" s="350"/>
      <c r="EQ234" s="350" t="s">
        <v>4092</v>
      </c>
      <c r="ER234" s="358" t="s">
        <v>6021</v>
      </c>
      <c r="ES234" s="350" t="s">
        <v>4874</v>
      </c>
      <c r="ET234" s="350" t="s">
        <v>6024</v>
      </c>
      <c r="EU234" s="350" t="str">
        <f t="shared" si="32"/>
        <v>Boyaca_Aquitania</v>
      </c>
    </row>
    <row r="235" spans="1:151" s="133" customFormat="1" ht="108" x14ac:dyDescent="0.2">
      <c r="A235" s="242">
        <v>40234</v>
      </c>
      <c r="B235" s="107" t="s">
        <v>2007</v>
      </c>
      <c r="C235" s="107" t="s">
        <v>504</v>
      </c>
      <c r="D235" s="427" t="s">
        <v>1387</v>
      </c>
      <c r="E235" s="107" t="str">
        <f>VLOOKUP(B235&amp;C235,Divipola!$C$2:$F$1138,4,FALSE)</f>
        <v>25740</v>
      </c>
      <c r="F235" s="330"/>
      <c r="G235" s="224"/>
      <c r="H235" s="75"/>
      <c r="I235" s="75"/>
      <c r="J235" s="75"/>
      <c r="K235" s="75"/>
      <c r="L235" s="75"/>
      <c r="M235" s="75"/>
      <c r="N235" s="75"/>
      <c r="O235" s="75"/>
      <c r="P235" s="75"/>
      <c r="Q235" s="75"/>
      <c r="R235" s="75"/>
      <c r="S235" s="75"/>
      <c r="T235" s="75"/>
      <c r="U235" s="75"/>
      <c r="V235" s="76"/>
      <c r="W235" s="205"/>
      <c r="X235" s="1"/>
      <c r="Y235" s="78">
        <f t="shared" si="25"/>
        <v>0</v>
      </c>
      <c r="Z235" s="78">
        <f t="shared" si="26"/>
        <v>0</v>
      </c>
      <c r="AA235" s="78">
        <f t="shared" si="27"/>
        <v>0</v>
      </c>
      <c r="AB235" s="78">
        <f t="shared" si="28"/>
        <v>0</v>
      </c>
      <c r="AC235" s="78"/>
      <c r="AD235" s="78">
        <v>0</v>
      </c>
      <c r="AE235" s="80">
        <f t="shared" si="31"/>
        <v>0</v>
      </c>
      <c r="AF235" s="82">
        <v>0</v>
      </c>
      <c r="AG235" s="69">
        <v>40235</v>
      </c>
      <c r="AH235" s="84"/>
      <c r="AI235" s="69" t="s">
        <v>1984</v>
      </c>
      <c r="AJ235" s="25" t="s">
        <v>1985</v>
      </c>
      <c r="AK235" s="65"/>
      <c r="AL235" s="185" t="s">
        <v>1257</v>
      </c>
      <c r="AM235" s="85" t="s">
        <v>505</v>
      </c>
      <c r="AN235" s="3"/>
      <c r="AO235" s="4"/>
      <c r="AP235" s="5"/>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6"/>
      <c r="CQ235" s="7"/>
      <c r="CR235" s="6"/>
      <c r="CS235" s="7"/>
      <c r="CT235" s="6"/>
      <c r="CU235" s="7"/>
      <c r="CV235" s="8">
        <f t="shared" si="29"/>
        <v>0</v>
      </c>
      <c r="CW235" s="9"/>
      <c r="CX235" s="10"/>
      <c r="CY235" s="11"/>
      <c r="CZ235" s="12"/>
      <c r="DA235" s="29"/>
      <c r="DB235" s="12"/>
      <c r="DC235" s="9"/>
      <c r="DD235" s="10"/>
      <c r="DE235" s="71"/>
      <c r="DF235" s="23"/>
      <c r="EO235" s="353" t="str">
        <f t="shared" si="30"/>
        <v>CUNDINAMARCA_SIBATE</v>
      </c>
      <c r="EP235" s="350"/>
      <c r="EQ235" s="350" t="s">
        <v>4092</v>
      </c>
      <c r="ER235" s="358" t="s">
        <v>6021</v>
      </c>
      <c r="ES235" s="350" t="s">
        <v>4875</v>
      </c>
      <c r="ET235" s="350" t="s">
        <v>6025</v>
      </c>
      <c r="EU235" s="350" t="str">
        <f t="shared" si="32"/>
        <v>Boyaca_Arcabuco</v>
      </c>
    </row>
    <row r="236" spans="1:151" ht="38.25" x14ac:dyDescent="0.2">
      <c r="A236" s="242">
        <v>40234</v>
      </c>
      <c r="B236" s="107" t="s">
        <v>2007</v>
      </c>
      <c r="C236" s="107" t="s">
        <v>1327</v>
      </c>
      <c r="D236" s="427" t="s">
        <v>2331</v>
      </c>
      <c r="E236" s="107" t="str">
        <f>VLOOKUP(B236&amp;C236,Divipola!$C$2:$F$1138,4,FALSE)</f>
        <v>25875</v>
      </c>
      <c r="F236" s="330"/>
      <c r="G236" s="224">
        <v>3</v>
      </c>
      <c r="H236" s="75"/>
      <c r="I236" s="75"/>
      <c r="J236" s="75"/>
      <c r="K236" s="75"/>
      <c r="L236" s="75"/>
      <c r="M236" s="75"/>
      <c r="N236" s="75"/>
      <c r="O236" s="75"/>
      <c r="P236" s="75"/>
      <c r="Q236" s="75"/>
      <c r="R236" s="75"/>
      <c r="S236" s="75"/>
      <c r="T236" s="75"/>
      <c r="U236" s="75"/>
      <c r="V236" s="76"/>
      <c r="W236" s="205"/>
      <c r="X236" s="1"/>
      <c r="Y236" s="78">
        <f t="shared" si="25"/>
        <v>0</v>
      </c>
      <c r="Z236" s="78">
        <f t="shared" si="26"/>
        <v>0</v>
      </c>
      <c r="AA236" s="78">
        <f t="shared" si="27"/>
        <v>0</v>
      </c>
      <c r="AB236" s="78">
        <f t="shared" si="28"/>
        <v>0</v>
      </c>
      <c r="AC236" s="78"/>
      <c r="AD236" s="78">
        <v>0</v>
      </c>
      <c r="AE236" s="80">
        <f t="shared" si="31"/>
        <v>0</v>
      </c>
      <c r="AF236" s="82">
        <v>0</v>
      </c>
      <c r="AG236" s="69">
        <v>40234</v>
      </c>
      <c r="AH236" s="84"/>
      <c r="AI236" s="69" t="s">
        <v>1984</v>
      </c>
      <c r="AJ236" s="25" t="s">
        <v>1985</v>
      </c>
      <c r="AK236" s="65"/>
      <c r="AL236" s="185" t="s">
        <v>1257</v>
      </c>
      <c r="AM236" s="85" t="s">
        <v>2332</v>
      </c>
      <c r="AN236" s="3"/>
      <c r="AO236" s="4"/>
      <c r="AP236" s="5"/>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6"/>
      <c r="CQ236" s="7"/>
      <c r="CR236" s="6"/>
      <c r="CS236" s="7"/>
      <c r="CT236" s="6"/>
      <c r="CU236" s="7"/>
      <c r="CV236" s="8">
        <f t="shared" si="29"/>
        <v>0</v>
      </c>
      <c r="CW236" s="9"/>
      <c r="CX236" s="10"/>
      <c r="CY236" s="11"/>
      <c r="CZ236" s="12"/>
      <c r="DA236" s="29"/>
      <c r="DB236" s="12"/>
      <c r="DC236" s="9"/>
      <c r="DD236" s="10"/>
      <c r="DE236" s="71"/>
      <c r="EO236" s="353" t="str">
        <f t="shared" si="30"/>
        <v>CUNDINAMARCA_VILLETA</v>
      </c>
      <c r="EP236" s="350"/>
      <c r="EQ236" s="350" t="s">
        <v>4092</v>
      </c>
      <c r="ER236" s="358" t="s">
        <v>6021</v>
      </c>
      <c r="ES236" s="350" t="s">
        <v>4876</v>
      </c>
      <c r="ET236" s="350" t="s">
        <v>6026</v>
      </c>
      <c r="EU236" s="350" t="str">
        <f t="shared" si="32"/>
        <v>Boyaca_Belen</v>
      </c>
    </row>
    <row r="237" spans="1:151" ht="48" x14ac:dyDescent="0.2">
      <c r="A237" s="242">
        <v>40235</v>
      </c>
      <c r="B237" s="107" t="s">
        <v>2017</v>
      </c>
      <c r="C237" s="107" t="s">
        <v>834</v>
      </c>
      <c r="D237" s="427" t="s">
        <v>1387</v>
      </c>
      <c r="E237" s="107" t="str">
        <f>VLOOKUP(B237&amp;C237,Divipola!$C$2:$F$1138,4,FALSE)</f>
        <v>13760</v>
      </c>
      <c r="F237" s="330"/>
      <c r="G237" s="224"/>
      <c r="H237" s="75"/>
      <c r="I237" s="75"/>
      <c r="J237" s="75"/>
      <c r="K237" s="75"/>
      <c r="L237" s="75"/>
      <c r="M237" s="75"/>
      <c r="N237" s="75"/>
      <c r="O237" s="75"/>
      <c r="P237" s="75"/>
      <c r="Q237" s="75"/>
      <c r="R237" s="75"/>
      <c r="S237" s="75"/>
      <c r="T237" s="75"/>
      <c r="U237" s="75"/>
      <c r="V237" s="76"/>
      <c r="W237" s="205"/>
      <c r="X237" s="1"/>
      <c r="Y237" s="78">
        <f t="shared" si="25"/>
        <v>0</v>
      </c>
      <c r="Z237" s="78">
        <f t="shared" si="26"/>
        <v>0</v>
      </c>
      <c r="AA237" s="78">
        <f t="shared" si="27"/>
        <v>0</v>
      </c>
      <c r="AB237" s="78">
        <f t="shared" si="28"/>
        <v>0</v>
      </c>
      <c r="AC237" s="78"/>
      <c r="AD237" s="78">
        <v>0</v>
      </c>
      <c r="AE237" s="80">
        <f t="shared" si="31"/>
        <v>0</v>
      </c>
      <c r="AF237" s="82">
        <v>0</v>
      </c>
      <c r="AG237" s="69">
        <v>40235</v>
      </c>
      <c r="AH237" s="84"/>
      <c r="AI237" s="69" t="s">
        <v>1984</v>
      </c>
      <c r="AJ237" s="25" t="s">
        <v>1985</v>
      </c>
      <c r="AK237" s="65"/>
      <c r="AL237" s="185" t="s">
        <v>1257</v>
      </c>
      <c r="AM237" s="85" t="s">
        <v>835</v>
      </c>
      <c r="AN237" s="3"/>
      <c r="AO237" s="4"/>
      <c r="AP237" s="5"/>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6"/>
      <c r="CQ237" s="7"/>
      <c r="CR237" s="6"/>
      <c r="CS237" s="7"/>
      <c r="CT237" s="6"/>
      <c r="CU237" s="7"/>
      <c r="CV237" s="8">
        <f t="shared" si="29"/>
        <v>0</v>
      </c>
      <c r="CW237" s="9"/>
      <c r="CX237" s="10"/>
      <c r="CY237" s="11"/>
      <c r="CZ237" s="12"/>
      <c r="DA237" s="29"/>
      <c r="DB237" s="12"/>
      <c r="DC237" s="9"/>
      <c r="DD237" s="10"/>
      <c r="DE237" s="71"/>
      <c r="EO237" s="353" t="str">
        <f t="shared" si="30"/>
        <v>BOLIVAR_SOPLAVIENTO</v>
      </c>
      <c r="EP237" s="350"/>
      <c r="EQ237" s="350" t="s">
        <v>4092</v>
      </c>
      <c r="ER237" s="358" t="s">
        <v>6021</v>
      </c>
      <c r="ES237" s="350" t="s">
        <v>4877</v>
      </c>
      <c r="ET237" s="350" t="s">
        <v>6027</v>
      </c>
      <c r="EU237" s="350" t="str">
        <f t="shared" si="32"/>
        <v>Boyaca_Berbeo</v>
      </c>
    </row>
    <row r="238" spans="1:151" ht="51" x14ac:dyDescent="0.2">
      <c r="A238" s="242">
        <v>40235</v>
      </c>
      <c r="B238" s="107" t="s">
        <v>1462</v>
      </c>
      <c r="C238" s="107" t="s">
        <v>1266</v>
      </c>
      <c r="D238" s="427" t="s">
        <v>1721</v>
      </c>
      <c r="E238" s="107" t="str">
        <f>VLOOKUP(B238&amp;C238,Divipola!$C$2:$F$1138,4,FALSE)</f>
        <v>76834</v>
      </c>
      <c r="F238" s="330"/>
      <c r="G238" s="224"/>
      <c r="H238" s="75"/>
      <c r="I238" s="75"/>
      <c r="J238" s="75"/>
      <c r="K238" s="75"/>
      <c r="L238" s="75"/>
      <c r="M238" s="75"/>
      <c r="N238" s="75"/>
      <c r="O238" s="75"/>
      <c r="P238" s="75"/>
      <c r="Q238" s="75"/>
      <c r="R238" s="75"/>
      <c r="S238" s="75"/>
      <c r="T238" s="75"/>
      <c r="U238" s="75"/>
      <c r="V238" s="76"/>
      <c r="W238" s="205" t="s">
        <v>1267</v>
      </c>
      <c r="X238" s="1"/>
      <c r="Y238" s="78">
        <f t="shared" si="25"/>
        <v>0</v>
      </c>
      <c r="Z238" s="78">
        <f t="shared" si="26"/>
        <v>0</v>
      </c>
      <c r="AA238" s="78">
        <f t="shared" si="27"/>
        <v>0</v>
      </c>
      <c r="AB238" s="78">
        <f t="shared" si="28"/>
        <v>0</v>
      </c>
      <c r="AC238" s="78"/>
      <c r="AD238" s="78">
        <v>0</v>
      </c>
      <c r="AE238" s="80">
        <f t="shared" si="31"/>
        <v>0</v>
      </c>
      <c r="AF238" s="82">
        <v>0</v>
      </c>
      <c r="AG238" s="69">
        <v>40238</v>
      </c>
      <c r="AH238" s="84"/>
      <c r="AI238" s="69" t="s">
        <v>1984</v>
      </c>
      <c r="AJ238" s="25" t="s">
        <v>1985</v>
      </c>
      <c r="AK238" s="65"/>
      <c r="AL238" s="185" t="s">
        <v>1257</v>
      </c>
      <c r="AM238" s="85" t="s">
        <v>1268</v>
      </c>
      <c r="AN238" s="3"/>
      <c r="AO238" s="4"/>
      <c r="AP238" s="5"/>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6"/>
      <c r="CQ238" s="7"/>
      <c r="CR238" s="6"/>
      <c r="CS238" s="7"/>
      <c r="CT238" s="6"/>
      <c r="CU238" s="7"/>
      <c r="CV238" s="8">
        <f t="shared" si="29"/>
        <v>0</v>
      </c>
      <c r="CW238" s="9"/>
      <c r="CX238" s="10"/>
      <c r="CY238" s="11"/>
      <c r="CZ238" s="12"/>
      <c r="DA238" s="29"/>
      <c r="DB238" s="12"/>
      <c r="DC238" s="9"/>
      <c r="DD238" s="10"/>
      <c r="DE238" s="71"/>
      <c r="EO238" s="353" t="str">
        <f t="shared" si="30"/>
        <v>VALLE DEL CAUCA_TULUA</v>
      </c>
      <c r="EP238" s="350"/>
      <c r="EQ238" s="350" t="s">
        <v>4092</v>
      </c>
      <c r="ER238" s="358" t="s">
        <v>6021</v>
      </c>
      <c r="ES238" s="350" t="s">
        <v>4878</v>
      </c>
      <c r="ET238" s="350" t="s">
        <v>6028</v>
      </c>
      <c r="EU238" s="350" t="str">
        <f t="shared" si="32"/>
        <v>Boyaca_Beteitiva</v>
      </c>
    </row>
    <row r="239" spans="1:151" ht="25.5" x14ac:dyDescent="0.2">
      <c r="A239" s="242">
        <v>40237</v>
      </c>
      <c r="B239" s="107" t="s">
        <v>289</v>
      </c>
      <c r="C239" s="107" t="s">
        <v>1456</v>
      </c>
      <c r="D239" s="427" t="s">
        <v>1721</v>
      </c>
      <c r="E239" s="107" t="str">
        <f>VLOOKUP(B239&amp;C239,Divipola!$C$2:$F$1138,4,FALSE)</f>
        <v>17873</v>
      </c>
      <c r="F239" s="330"/>
      <c r="G239" s="224"/>
      <c r="H239" s="75"/>
      <c r="I239" s="75"/>
      <c r="J239" s="75">
        <v>64</v>
      </c>
      <c r="K239" s="75">
        <v>13</v>
      </c>
      <c r="L239" s="75">
        <v>13</v>
      </c>
      <c r="M239" s="75"/>
      <c r="N239" s="75"/>
      <c r="O239" s="75"/>
      <c r="P239" s="75"/>
      <c r="Q239" s="75"/>
      <c r="R239" s="75"/>
      <c r="S239" s="75"/>
      <c r="T239" s="75"/>
      <c r="U239" s="75"/>
      <c r="V239" s="76"/>
      <c r="W239" s="205"/>
      <c r="X239" s="1"/>
      <c r="Y239" s="78">
        <f t="shared" si="25"/>
        <v>0</v>
      </c>
      <c r="Z239" s="78">
        <f t="shared" si="26"/>
        <v>0</v>
      </c>
      <c r="AA239" s="78">
        <f t="shared" si="27"/>
        <v>0</v>
      </c>
      <c r="AB239" s="78">
        <f t="shared" si="28"/>
        <v>0</v>
      </c>
      <c r="AC239" s="78"/>
      <c r="AD239" s="78">
        <v>0</v>
      </c>
      <c r="AE239" s="80">
        <f t="shared" si="31"/>
        <v>0</v>
      </c>
      <c r="AF239" s="82">
        <v>0</v>
      </c>
      <c r="AG239" s="69">
        <v>40238</v>
      </c>
      <c r="AH239" s="84"/>
      <c r="AI239" s="69" t="s">
        <v>1984</v>
      </c>
      <c r="AJ239" s="25" t="s">
        <v>1985</v>
      </c>
      <c r="AK239" s="65"/>
      <c r="AL239" s="185" t="s">
        <v>1257</v>
      </c>
      <c r="AM239" s="85" t="s">
        <v>1265</v>
      </c>
      <c r="AN239" s="3"/>
      <c r="AO239" s="4"/>
      <c r="AP239" s="5"/>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6"/>
      <c r="CQ239" s="7"/>
      <c r="CR239" s="6"/>
      <c r="CS239" s="7"/>
      <c r="CT239" s="6"/>
      <c r="CU239" s="7"/>
      <c r="CV239" s="8">
        <f t="shared" si="29"/>
        <v>0</v>
      </c>
      <c r="CW239" s="9"/>
      <c r="CX239" s="10"/>
      <c r="CY239" s="11"/>
      <c r="CZ239" s="12"/>
      <c r="DA239" s="29"/>
      <c r="DB239" s="12"/>
      <c r="DC239" s="9"/>
      <c r="DD239" s="10"/>
      <c r="DE239" s="71"/>
      <c r="EO239" s="353" t="str">
        <f t="shared" si="30"/>
        <v>CALDAS_VILLAMARIA</v>
      </c>
      <c r="EP239" s="350"/>
      <c r="EQ239" s="350" t="s">
        <v>4092</v>
      </c>
      <c r="ER239" s="358" t="s">
        <v>6021</v>
      </c>
      <c r="ES239" s="350" t="s">
        <v>4879</v>
      </c>
      <c r="ET239" s="350" t="s">
        <v>6029</v>
      </c>
      <c r="EU239" s="350" t="str">
        <f t="shared" si="32"/>
        <v>Boyaca_Boavita</v>
      </c>
    </row>
    <row r="240" spans="1:151" ht="25.5" x14ac:dyDescent="0.2">
      <c r="A240" s="242">
        <v>40237</v>
      </c>
      <c r="B240" s="222" t="s">
        <v>1333</v>
      </c>
      <c r="C240" s="222" t="s">
        <v>2504</v>
      </c>
      <c r="D240" s="430" t="s">
        <v>2209</v>
      </c>
      <c r="E240" s="107" t="str">
        <f>VLOOKUP(B240&amp;C240,Divipola!$C$2:$F$1138,4,FALSE)</f>
        <v>41530</v>
      </c>
      <c r="F240" s="333"/>
      <c r="G240" s="221"/>
      <c r="H240" s="157"/>
      <c r="I240" s="157"/>
      <c r="J240" s="157">
        <v>43</v>
      </c>
      <c r="K240" s="157">
        <v>10</v>
      </c>
      <c r="L240" s="157"/>
      <c r="M240" s="157">
        <v>10</v>
      </c>
      <c r="N240" s="157"/>
      <c r="O240" s="157"/>
      <c r="P240" s="157"/>
      <c r="Q240" s="157"/>
      <c r="R240" s="157"/>
      <c r="S240" s="157"/>
      <c r="T240" s="157"/>
      <c r="U240" s="157"/>
      <c r="V240" s="158"/>
      <c r="W240" s="182"/>
      <c r="X240" s="1"/>
      <c r="Y240" s="78">
        <f t="shared" si="25"/>
        <v>0</v>
      </c>
      <c r="Z240" s="78">
        <f t="shared" si="26"/>
        <v>0</v>
      </c>
      <c r="AA240" s="78">
        <f t="shared" si="27"/>
        <v>0</v>
      </c>
      <c r="AB240" s="78">
        <f t="shared" si="28"/>
        <v>0</v>
      </c>
      <c r="AC240" s="78"/>
      <c r="AD240" s="78">
        <v>0</v>
      </c>
      <c r="AE240" s="80">
        <f t="shared" si="31"/>
        <v>0</v>
      </c>
      <c r="AF240" s="82">
        <v>0</v>
      </c>
      <c r="AG240" s="69">
        <v>40581</v>
      </c>
      <c r="AH240" s="84"/>
      <c r="AI240" s="69" t="s">
        <v>1984</v>
      </c>
      <c r="AJ240" s="25" t="s">
        <v>1985</v>
      </c>
      <c r="AK240" s="65"/>
      <c r="AL240" s="176" t="s">
        <v>1257</v>
      </c>
      <c r="AM240" s="173" t="s">
        <v>349</v>
      </c>
      <c r="AN240" s="159"/>
      <c r="AO240" s="160"/>
      <c r="AP240" s="161"/>
      <c r="AQ240" s="160"/>
      <c r="AR240" s="160"/>
      <c r="AS240" s="160"/>
      <c r="AT240" s="160"/>
      <c r="AU240" s="160"/>
      <c r="AV240" s="160"/>
      <c r="AW240" s="160"/>
      <c r="AX240" s="160"/>
      <c r="AY240" s="160"/>
      <c r="AZ240" s="160"/>
      <c r="BA240" s="160"/>
      <c r="BB240" s="160"/>
      <c r="BC240" s="160"/>
      <c r="BD240" s="160"/>
      <c r="BE240" s="160"/>
      <c r="BF240" s="160"/>
      <c r="BG240" s="160"/>
      <c r="BH240" s="160"/>
      <c r="BI240" s="160"/>
      <c r="BJ240" s="160"/>
      <c r="BK240" s="160"/>
      <c r="BL240" s="160"/>
      <c r="BM240" s="160"/>
      <c r="BN240" s="160"/>
      <c r="BO240" s="160"/>
      <c r="BP240" s="160"/>
      <c r="BQ240" s="160"/>
      <c r="BR240" s="160"/>
      <c r="BS240" s="160"/>
      <c r="BT240" s="160"/>
      <c r="BU240" s="160"/>
      <c r="BV240" s="160"/>
      <c r="BW240" s="160"/>
      <c r="BX240" s="160"/>
      <c r="BY240" s="160"/>
      <c r="BZ240" s="160"/>
      <c r="CA240" s="160"/>
      <c r="CB240" s="160"/>
      <c r="CC240" s="160"/>
      <c r="CD240" s="160"/>
      <c r="CE240" s="160"/>
      <c r="CF240" s="160"/>
      <c r="CG240" s="160"/>
      <c r="CH240" s="160"/>
      <c r="CI240" s="160"/>
      <c r="CJ240" s="160"/>
      <c r="CK240" s="160"/>
      <c r="CL240" s="160"/>
      <c r="CM240" s="160"/>
      <c r="CN240" s="160"/>
      <c r="CO240" s="160"/>
      <c r="CP240" s="162"/>
      <c r="CQ240" s="163"/>
      <c r="CR240" s="162"/>
      <c r="CS240" s="163"/>
      <c r="CT240" s="162"/>
      <c r="CU240" s="163"/>
      <c r="CV240" s="164">
        <f t="shared" si="29"/>
        <v>0</v>
      </c>
      <c r="CW240" s="165"/>
      <c r="CX240" s="166"/>
      <c r="CY240" s="167"/>
      <c r="CZ240" s="168"/>
      <c r="DA240" s="169"/>
      <c r="DB240" s="168"/>
      <c r="DC240" s="165"/>
      <c r="DD240" s="166"/>
      <c r="DE240" s="71"/>
      <c r="DF240" s="170"/>
      <c r="EO240" s="353" t="str">
        <f t="shared" si="30"/>
        <v>HUILA_PALESTINA</v>
      </c>
      <c r="EP240" s="350"/>
      <c r="EQ240" s="350" t="s">
        <v>4092</v>
      </c>
      <c r="ER240" s="358" t="s">
        <v>6021</v>
      </c>
      <c r="ES240" s="350" t="s">
        <v>4880</v>
      </c>
      <c r="ET240" s="350" t="s">
        <v>6021</v>
      </c>
      <c r="EU240" s="350" t="str">
        <f t="shared" si="32"/>
        <v>Boyaca_Boyaca</v>
      </c>
    </row>
    <row r="241" spans="1:151" ht="36" x14ac:dyDescent="0.2">
      <c r="A241" s="243">
        <v>40238</v>
      </c>
      <c r="B241" s="234" t="s">
        <v>2245</v>
      </c>
      <c r="C241" s="234" t="s">
        <v>1743</v>
      </c>
      <c r="D241" s="429" t="s">
        <v>1387</v>
      </c>
      <c r="E241" s="107" t="str">
        <f>VLOOKUP(B241&amp;C241,Divipola!$C$2:$F$1138,4,FALSE)</f>
        <v>52540</v>
      </c>
      <c r="F241" s="332"/>
      <c r="G241" s="225"/>
      <c r="H241" s="112"/>
      <c r="I241" s="112"/>
      <c r="J241" s="112">
        <f>368*5</f>
        <v>1840</v>
      </c>
      <c r="K241" s="112">
        <v>368</v>
      </c>
      <c r="L241" s="112"/>
      <c r="M241" s="112"/>
      <c r="N241" s="112"/>
      <c r="O241" s="112"/>
      <c r="P241" s="112"/>
      <c r="Q241" s="112"/>
      <c r="R241" s="112"/>
      <c r="S241" s="112"/>
      <c r="T241" s="112"/>
      <c r="U241" s="112"/>
      <c r="V241" s="113"/>
      <c r="W241" s="206"/>
      <c r="X241" s="95">
        <v>40275</v>
      </c>
      <c r="Y241" s="114">
        <f t="shared" si="25"/>
        <v>13598336</v>
      </c>
      <c r="Z241" s="114">
        <f t="shared" si="26"/>
        <v>31280000</v>
      </c>
      <c r="AA241" s="114">
        <f t="shared" si="27"/>
        <v>0</v>
      </c>
      <c r="AB241" s="114">
        <f t="shared" si="28"/>
        <v>0</v>
      </c>
      <c r="AC241" s="114"/>
      <c r="AD241" s="114">
        <v>0</v>
      </c>
      <c r="AE241" s="115">
        <f t="shared" si="31"/>
        <v>44878336</v>
      </c>
      <c r="AF241" s="116">
        <v>0</v>
      </c>
      <c r="AG241" s="117">
        <v>40249</v>
      </c>
      <c r="AH241" s="118">
        <v>95957</v>
      </c>
      <c r="AI241" s="117" t="s">
        <v>2009</v>
      </c>
      <c r="AJ241" s="119" t="s">
        <v>2010</v>
      </c>
      <c r="AK241" s="135" t="s">
        <v>1314</v>
      </c>
      <c r="AL241" s="213" t="s">
        <v>278</v>
      </c>
      <c r="AM241" s="121" t="s">
        <v>277</v>
      </c>
      <c r="AN241" s="122"/>
      <c r="AO241" s="123"/>
      <c r="AP241" s="124"/>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123"/>
      <c r="BL241" s="123"/>
      <c r="BM241" s="123"/>
      <c r="BN241" s="123"/>
      <c r="BO241" s="123"/>
      <c r="BP241" s="123"/>
      <c r="BQ241" s="123"/>
      <c r="BR241" s="123"/>
      <c r="BS241" s="123"/>
      <c r="BT241" s="123"/>
      <c r="BU241" s="123"/>
      <c r="BV241" s="123"/>
      <c r="BW241" s="123"/>
      <c r="BX241" s="123"/>
      <c r="BY241" s="123"/>
      <c r="BZ241" s="123"/>
      <c r="CA241" s="123"/>
      <c r="CB241" s="123"/>
      <c r="CC241" s="123"/>
      <c r="CD241" s="123"/>
      <c r="CE241" s="123"/>
      <c r="CF241" s="123"/>
      <c r="CG241" s="123"/>
      <c r="CH241" s="123"/>
      <c r="CI241" s="123"/>
      <c r="CJ241" s="123"/>
      <c r="CK241" s="123"/>
      <c r="CL241" s="123"/>
      <c r="CM241" s="123"/>
      <c r="CN241" s="123"/>
      <c r="CO241" s="123"/>
      <c r="CP241" s="125">
        <v>368</v>
      </c>
      <c r="CQ241" s="126">
        <f>368*36952</f>
        <v>13598336</v>
      </c>
      <c r="CR241" s="125"/>
      <c r="CS241" s="126"/>
      <c r="CT241" s="125"/>
      <c r="CU241" s="126"/>
      <c r="CV241" s="134">
        <f t="shared" si="29"/>
        <v>13598336</v>
      </c>
      <c r="CW241" s="127"/>
      <c r="CX241" s="128"/>
      <c r="CY241" s="129">
        <v>368</v>
      </c>
      <c r="CZ241" s="130">
        <f>368*85000</f>
        <v>31280000</v>
      </c>
      <c r="DA241" s="131"/>
      <c r="DB241" s="130"/>
      <c r="DC241" s="127"/>
      <c r="DD241" s="128"/>
      <c r="DE241" s="137"/>
      <c r="DF241" s="132"/>
      <c r="EO241" s="353" t="str">
        <f t="shared" si="30"/>
        <v>NARIÑO_POLICARPA</v>
      </c>
      <c r="EP241" s="350"/>
      <c r="EQ241" s="350" t="s">
        <v>4092</v>
      </c>
      <c r="ER241" s="358" t="s">
        <v>6021</v>
      </c>
      <c r="ES241" s="350" t="s">
        <v>4881</v>
      </c>
      <c r="ET241" s="350" t="s">
        <v>5851</v>
      </c>
      <c r="EU241" s="350" t="str">
        <f t="shared" si="32"/>
        <v>Boyaca_Briceño</v>
      </c>
    </row>
    <row r="242" spans="1:151" ht="38.25" x14ac:dyDescent="0.2">
      <c r="A242" s="243">
        <v>40238</v>
      </c>
      <c r="B242" s="234" t="s">
        <v>2245</v>
      </c>
      <c r="C242" s="234" t="s">
        <v>696</v>
      </c>
      <c r="D242" s="429" t="s">
        <v>1387</v>
      </c>
      <c r="E242" s="107" t="str">
        <f>VLOOKUP(B242&amp;C242,Divipola!$C$2:$F$1138,4,FALSE)</f>
        <v>52687</v>
      </c>
      <c r="F242" s="332"/>
      <c r="G242" s="225"/>
      <c r="H242" s="112"/>
      <c r="I242" s="112"/>
      <c r="J242" s="112">
        <f>293*5</f>
        <v>1465</v>
      </c>
      <c r="K242" s="112">
        <v>293</v>
      </c>
      <c r="L242" s="112"/>
      <c r="M242" s="112"/>
      <c r="N242" s="112"/>
      <c r="O242" s="112"/>
      <c r="P242" s="112"/>
      <c r="Q242" s="112"/>
      <c r="R242" s="112"/>
      <c r="S242" s="112"/>
      <c r="T242" s="112"/>
      <c r="U242" s="112"/>
      <c r="V242" s="113"/>
      <c r="W242" s="206"/>
      <c r="X242" s="95">
        <v>40275</v>
      </c>
      <c r="Y242" s="114">
        <f t="shared" si="25"/>
        <v>10826936</v>
      </c>
      <c r="Z242" s="114">
        <f t="shared" si="26"/>
        <v>24905000</v>
      </c>
      <c r="AA242" s="114">
        <f t="shared" si="27"/>
        <v>0</v>
      </c>
      <c r="AB242" s="114">
        <f t="shared" si="28"/>
        <v>0</v>
      </c>
      <c r="AC242" s="114"/>
      <c r="AD242" s="114">
        <v>0</v>
      </c>
      <c r="AE242" s="115">
        <f t="shared" si="31"/>
        <v>35731936</v>
      </c>
      <c r="AF242" s="116">
        <v>0</v>
      </c>
      <c r="AG242" s="117">
        <v>40249</v>
      </c>
      <c r="AH242" s="118">
        <v>95957</v>
      </c>
      <c r="AI242" s="117" t="s">
        <v>2009</v>
      </c>
      <c r="AJ242" s="119" t="s">
        <v>2010</v>
      </c>
      <c r="AK242" s="135" t="s">
        <v>1314</v>
      </c>
      <c r="AL242" s="213" t="s">
        <v>278</v>
      </c>
      <c r="AM242" s="121" t="s">
        <v>277</v>
      </c>
      <c r="AN242" s="122"/>
      <c r="AO242" s="123"/>
      <c r="AP242" s="124"/>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123"/>
      <c r="BL242" s="123"/>
      <c r="BM242" s="123"/>
      <c r="BN242" s="123"/>
      <c r="BO242" s="123"/>
      <c r="BP242" s="123"/>
      <c r="BQ242" s="123"/>
      <c r="BR242" s="123"/>
      <c r="BS242" s="123"/>
      <c r="BT242" s="123"/>
      <c r="BU242" s="123"/>
      <c r="BV242" s="123"/>
      <c r="BW242" s="123"/>
      <c r="BX242" s="123"/>
      <c r="BY242" s="123"/>
      <c r="BZ242" s="123"/>
      <c r="CA242" s="123"/>
      <c r="CB242" s="123"/>
      <c r="CC242" s="123"/>
      <c r="CD242" s="123"/>
      <c r="CE242" s="123"/>
      <c r="CF242" s="123"/>
      <c r="CG242" s="123"/>
      <c r="CH242" s="123"/>
      <c r="CI242" s="123"/>
      <c r="CJ242" s="123"/>
      <c r="CK242" s="123"/>
      <c r="CL242" s="123"/>
      <c r="CM242" s="123"/>
      <c r="CN242" s="123"/>
      <c r="CO242" s="123"/>
      <c r="CP242" s="125">
        <v>293</v>
      </c>
      <c r="CQ242" s="126">
        <f>293*36952</f>
        <v>10826936</v>
      </c>
      <c r="CR242" s="125"/>
      <c r="CS242" s="126"/>
      <c r="CT242" s="125"/>
      <c r="CU242" s="126"/>
      <c r="CV242" s="134">
        <f t="shared" si="29"/>
        <v>10826936</v>
      </c>
      <c r="CW242" s="127"/>
      <c r="CX242" s="128"/>
      <c r="CY242" s="129">
        <v>293</v>
      </c>
      <c r="CZ242" s="130">
        <f>293*85000</f>
        <v>24905000</v>
      </c>
      <c r="DA242" s="131"/>
      <c r="DB242" s="130"/>
      <c r="DC242" s="127"/>
      <c r="DD242" s="128"/>
      <c r="DE242" s="137"/>
      <c r="DF242" s="132"/>
      <c r="EO242" s="353" t="str">
        <f t="shared" si="30"/>
        <v>NARIÑO_SAN LORENZO</v>
      </c>
      <c r="EP242" s="350"/>
      <c r="EQ242" s="350" t="s">
        <v>4092</v>
      </c>
      <c r="ER242" s="358" t="s">
        <v>6021</v>
      </c>
      <c r="ES242" s="350" t="s">
        <v>4882</v>
      </c>
      <c r="ET242" s="350" t="s">
        <v>6030</v>
      </c>
      <c r="EU242" s="350" t="str">
        <f t="shared" si="32"/>
        <v>Boyaca_Buenavista</v>
      </c>
    </row>
    <row r="243" spans="1:151" ht="36" x14ac:dyDescent="0.2">
      <c r="A243" s="243">
        <v>40238</v>
      </c>
      <c r="B243" s="234" t="s">
        <v>2245</v>
      </c>
      <c r="C243" s="234" t="s">
        <v>1744</v>
      </c>
      <c r="D243" s="429" t="s">
        <v>1387</v>
      </c>
      <c r="E243" s="107" t="str">
        <f>VLOOKUP(B243&amp;C243,Divipola!$C$2:$F$1138,4,FALSE)</f>
        <v>52786</v>
      </c>
      <c r="F243" s="332"/>
      <c r="G243" s="225"/>
      <c r="H243" s="112"/>
      <c r="I243" s="112"/>
      <c r="J243" s="112">
        <f>839*5</f>
        <v>4195</v>
      </c>
      <c r="K243" s="112">
        <v>839</v>
      </c>
      <c r="L243" s="112"/>
      <c r="M243" s="112"/>
      <c r="N243" s="112"/>
      <c r="O243" s="112"/>
      <c r="P243" s="112"/>
      <c r="Q243" s="112"/>
      <c r="R243" s="112"/>
      <c r="S243" s="112"/>
      <c r="T243" s="112"/>
      <c r="U243" s="112"/>
      <c r="V243" s="113"/>
      <c r="W243" s="206"/>
      <c r="X243" s="95">
        <v>40275</v>
      </c>
      <c r="Y243" s="114">
        <f t="shared" si="25"/>
        <v>31002728</v>
      </c>
      <c r="Z243" s="114">
        <f t="shared" si="26"/>
        <v>71315000</v>
      </c>
      <c r="AA243" s="114">
        <f t="shared" si="27"/>
        <v>0</v>
      </c>
      <c r="AB243" s="114">
        <f t="shared" si="28"/>
        <v>0</v>
      </c>
      <c r="AC243" s="114"/>
      <c r="AD243" s="114">
        <v>0</v>
      </c>
      <c r="AE243" s="115">
        <f t="shared" si="31"/>
        <v>102317728</v>
      </c>
      <c r="AF243" s="116">
        <v>0</v>
      </c>
      <c r="AG243" s="117">
        <v>40249</v>
      </c>
      <c r="AH243" s="118">
        <v>95957</v>
      </c>
      <c r="AI243" s="117" t="s">
        <v>2009</v>
      </c>
      <c r="AJ243" s="119" t="s">
        <v>2010</v>
      </c>
      <c r="AK243" s="135" t="s">
        <v>1314</v>
      </c>
      <c r="AL243" s="213" t="s">
        <v>278</v>
      </c>
      <c r="AM243" s="121" t="s">
        <v>277</v>
      </c>
      <c r="AN243" s="122"/>
      <c r="AO243" s="123"/>
      <c r="AP243" s="124"/>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123"/>
      <c r="BL243" s="123"/>
      <c r="BM243" s="123"/>
      <c r="BN243" s="123"/>
      <c r="BO243" s="123"/>
      <c r="BP243" s="123"/>
      <c r="BQ243" s="123"/>
      <c r="BR243" s="123"/>
      <c r="BS243" s="123"/>
      <c r="BT243" s="123"/>
      <c r="BU243" s="123"/>
      <c r="BV243" s="123"/>
      <c r="BW243" s="123"/>
      <c r="BX243" s="123"/>
      <c r="BY243" s="123"/>
      <c r="BZ243" s="123"/>
      <c r="CA243" s="123"/>
      <c r="CB243" s="123"/>
      <c r="CC243" s="123"/>
      <c r="CD243" s="123"/>
      <c r="CE243" s="123"/>
      <c r="CF243" s="123"/>
      <c r="CG243" s="123"/>
      <c r="CH243" s="123"/>
      <c r="CI243" s="123"/>
      <c r="CJ243" s="123"/>
      <c r="CK243" s="123"/>
      <c r="CL243" s="123"/>
      <c r="CM243" s="123"/>
      <c r="CN243" s="123"/>
      <c r="CO243" s="123"/>
      <c r="CP243" s="125">
        <v>839</v>
      </c>
      <c r="CQ243" s="126">
        <f>839*36952</f>
        <v>31002728</v>
      </c>
      <c r="CR243" s="125"/>
      <c r="CS243" s="126"/>
      <c r="CT243" s="125"/>
      <c r="CU243" s="126"/>
      <c r="CV243" s="134">
        <f t="shared" si="29"/>
        <v>31002728</v>
      </c>
      <c r="CW243" s="127"/>
      <c r="CX243" s="128"/>
      <c r="CY243" s="129">
        <v>839</v>
      </c>
      <c r="CZ243" s="130">
        <f>839*85000</f>
        <v>71315000</v>
      </c>
      <c r="DA243" s="131"/>
      <c r="DB243" s="130"/>
      <c r="DC243" s="127"/>
      <c r="DD243" s="128"/>
      <c r="DE243" s="137"/>
      <c r="DF243" s="132"/>
      <c r="EO243" s="353" t="str">
        <f t="shared" si="30"/>
        <v>NARIÑO_TAMINANGO</v>
      </c>
      <c r="EP243" s="350"/>
      <c r="EQ243" s="350" t="s">
        <v>4092</v>
      </c>
      <c r="ER243" s="358" t="s">
        <v>6021</v>
      </c>
      <c r="ES243" s="350" t="s">
        <v>4883</v>
      </c>
      <c r="ET243" s="350" t="s">
        <v>6031</v>
      </c>
      <c r="EU243" s="350" t="str">
        <f t="shared" si="32"/>
        <v>Boyaca_Busbanza</v>
      </c>
    </row>
    <row r="244" spans="1:151" ht="132" x14ac:dyDescent="0.2">
      <c r="A244" s="242">
        <v>40239</v>
      </c>
      <c r="B244" s="107" t="s">
        <v>2401</v>
      </c>
      <c r="C244" s="107" t="s">
        <v>1543</v>
      </c>
      <c r="D244" s="427" t="s">
        <v>2209</v>
      </c>
      <c r="E244" s="107" t="str">
        <f>VLOOKUP(B244&amp;C244,Divipola!$C$2:$F$1138,4,FALSE)</f>
        <v>05093</v>
      </c>
      <c r="F244" s="330"/>
      <c r="G244" s="224"/>
      <c r="H244" s="75"/>
      <c r="I244" s="75"/>
      <c r="J244" s="75">
        <v>2050</v>
      </c>
      <c r="K244" s="75">
        <v>416</v>
      </c>
      <c r="L244" s="75"/>
      <c r="M244" s="75">
        <v>416</v>
      </c>
      <c r="N244" s="75"/>
      <c r="O244" s="75"/>
      <c r="P244" s="75"/>
      <c r="Q244" s="75"/>
      <c r="R244" s="75"/>
      <c r="S244" s="75"/>
      <c r="T244" s="75"/>
      <c r="U244" s="75"/>
      <c r="V244" s="76"/>
      <c r="W244" s="205"/>
      <c r="X244" s="1">
        <v>40255</v>
      </c>
      <c r="Y244" s="78">
        <f t="shared" si="25"/>
        <v>0</v>
      </c>
      <c r="Z244" s="78">
        <f t="shared" si="26"/>
        <v>35360000</v>
      </c>
      <c r="AA244" s="78">
        <f t="shared" si="27"/>
        <v>100226320</v>
      </c>
      <c r="AB244" s="78">
        <f t="shared" si="28"/>
        <v>0</v>
      </c>
      <c r="AC244" s="78"/>
      <c r="AD244" s="78">
        <v>10000000</v>
      </c>
      <c r="AE244" s="80">
        <f t="shared" si="31"/>
        <v>145586320</v>
      </c>
      <c r="AF244" s="82">
        <v>0</v>
      </c>
      <c r="AG244" s="69">
        <v>40240</v>
      </c>
      <c r="AH244" s="94" t="s">
        <v>959</v>
      </c>
      <c r="AI244" s="69" t="s">
        <v>2009</v>
      </c>
      <c r="AJ244" s="25" t="s">
        <v>2010</v>
      </c>
      <c r="AK244" s="88" t="s">
        <v>1220</v>
      </c>
      <c r="AL244" s="185" t="s">
        <v>1006</v>
      </c>
      <c r="AM244" s="85" t="s">
        <v>331</v>
      </c>
      <c r="AN244" s="3"/>
      <c r="AO244" s="4"/>
      <c r="AP244" s="5"/>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6"/>
      <c r="CQ244" s="7"/>
      <c r="CR244" s="6"/>
      <c r="CS244" s="7"/>
      <c r="CT244" s="6"/>
      <c r="CU244" s="7"/>
      <c r="CV244" s="8">
        <f t="shared" si="29"/>
        <v>0</v>
      </c>
      <c r="CW244" s="9"/>
      <c r="CX244" s="10"/>
      <c r="CY244" s="11">
        <v>416</v>
      </c>
      <c r="CZ244" s="12">
        <f>416*85000</f>
        <v>35360000</v>
      </c>
      <c r="DA244" s="29">
        <v>36</v>
      </c>
      <c r="DB244" s="12">
        <f>36*30160</f>
        <v>1085760</v>
      </c>
      <c r="DC244" s="9">
        <f>607+600+507+373+1027</f>
        <v>3114</v>
      </c>
      <c r="DD244" s="10">
        <f>607*43732+600*34220+507*24592+3528*522+2100*174+373*18792+1027*29580</f>
        <v>99140560</v>
      </c>
      <c r="DE244" s="89">
        <v>2</v>
      </c>
      <c r="DF244" s="23" t="s">
        <v>1005</v>
      </c>
      <c r="EO244" s="353" t="str">
        <f t="shared" si="30"/>
        <v>ANTIOQUIA_BETULIA</v>
      </c>
      <c r="EP244" s="350"/>
      <c r="EQ244" s="350" t="s">
        <v>4092</v>
      </c>
      <c r="ER244" s="358" t="s">
        <v>6021</v>
      </c>
      <c r="ES244" s="350" t="s">
        <v>4884</v>
      </c>
      <c r="ET244" s="350" t="s">
        <v>4221</v>
      </c>
      <c r="EU244" s="350" t="str">
        <f t="shared" si="32"/>
        <v>Boyaca_Caldas</v>
      </c>
    </row>
    <row r="245" spans="1:151" s="91" customFormat="1" ht="38.25" x14ac:dyDescent="0.2">
      <c r="A245" s="242">
        <v>40239</v>
      </c>
      <c r="B245" s="107" t="s">
        <v>289</v>
      </c>
      <c r="C245" s="107" t="s">
        <v>2403</v>
      </c>
      <c r="D245" s="427" t="s">
        <v>2209</v>
      </c>
      <c r="E245" s="107" t="str">
        <f>VLOOKUP(B245&amp;C245,Divipola!$C$2:$F$1138,4,FALSE)</f>
        <v>17433</v>
      </c>
      <c r="F245" s="330"/>
      <c r="G245" s="224"/>
      <c r="H245" s="75"/>
      <c r="I245" s="75"/>
      <c r="J245" s="75">
        <f>118*5</f>
        <v>590</v>
      </c>
      <c r="K245" s="75">
        <f>113+5</f>
        <v>118</v>
      </c>
      <c r="L245" s="75">
        <v>5</v>
      </c>
      <c r="M245" s="75">
        <v>113</v>
      </c>
      <c r="N245" s="75"/>
      <c r="O245" s="75"/>
      <c r="P245" s="75"/>
      <c r="Q245" s="75"/>
      <c r="R245" s="75"/>
      <c r="S245" s="75"/>
      <c r="T245" s="75"/>
      <c r="U245" s="75"/>
      <c r="V245" s="76"/>
      <c r="W245" s="205"/>
      <c r="X245" s="1"/>
      <c r="Y245" s="78">
        <f t="shared" si="25"/>
        <v>0</v>
      </c>
      <c r="Z245" s="78">
        <f t="shared" si="26"/>
        <v>0</v>
      </c>
      <c r="AA245" s="78">
        <f t="shared" si="27"/>
        <v>0</v>
      </c>
      <c r="AB245" s="78">
        <f t="shared" si="28"/>
        <v>0</v>
      </c>
      <c r="AC245" s="78"/>
      <c r="AD245" s="78">
        <v>0</v>
      </c>
      <c r="AE245" s="80">
        <f t="shared" si="31"/>
        <v>0</v>
      </c>
      <c r="AF245" s="82">
        <v>0</v>
      </c>
      <c r="AG245" s="69">
        <v>40240</v>
      </c>
      <c r="AH245" s="84"/>
      <c r="AI245" s="69" t="s">
        <v>1984</v>
      </c>
      <c r="AJ245" s="25" t="s">
        <v>1985</v>
      </c>
      <c r="AK245" s="65"/>
      <c r="AL245" s="185" t="s">
        <v>1257</v>
      </c>
      <c r="AM245" s="85" t="s">
        <v>1542</v>
      </c>
      <c r="AN245" s="3"/>
      <c r="AO245" s="4"/>
      <c r="AP245" s="5"/>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6"/>
      <c r="CQ245" s="7"/>
      <c r="CR245" s="6"/>
      <c r="CS245" s="7"/>
      <c r="CT245" s="6"/>
      <c r="CU245" s="7"/>
      <c r="CV245" s="8">
        <f t="shared" si="29"/>
        <v>0</v>
      </c>
      <c r="CW245" s="9"/>
      <c r="CX245" s="10"/>
      <c r="CY245" s="11"/>
      <c r="CZ245" s="12"/>
      <c r="DA245" s="29"/>
      <c r="DB245" s="12"/>
      <c r="DC245" s="9"/>
      <c r="DD245" s="10"/>
      <c r="DE245" s="71"/>
      <c r="DF245" s="23"/>
      <c r="EO245" s="353" t="str">
        <f t="shared" si="30"/>
        <v>CALDAS_MANZANARES</v>
      </c>
      <c r="EP245" s="350"/>
      <c r="EQ245" s="350" t="s">
        <v>4092</v>
      </c>
      <c r="ER245" s="358" t="s">
        <v>6021</v>
      </c>
      <c r="ES245" s="350" t="s">
        <v>4885</v>
      </c>
      <c r="ET245" s="350" t="s">
        <v>6032</v>
      </c>
      <c r="EU245" s="350" t="str">
        <f t="shared" si="32"/>
        <v>Boyaca_Campohermoso</v>
      </c>
    </row>
    <row r="246" spans="1:151" ht="67.5" x14ac:dyDescent="0.2">
      <c r="A246" s="242">
        <v>40239</v>
      </c>
      <c r="B246" s="107" t="s">
        <v>1189</v>
      </c>
      <c r="C246" s="107" t="s">
        <v>1096</v>
      </c>
      <c r="D246" s="427" t="s">
        <v>2209</v>
      </c>
      <c r="E246" s="107" t="str">
        <f>VLOOKUP(B246&amp;C246,Divipola!$C$2:$F$1138,4,FALSE)</f>
        <v>85250</v>
      </c>
      <c r="F246" s="330"/>
      <c r="G246" s="224"/>
      <c r="H246" s="75"/>
      <c r="I246" s="75"/>
      <c r="J246" s="75">
        <v>70</v>
      </c>
      <c r="K246" s="75">
        <v>14</v>
      </c>
      <c r="L246" s="75"/>
      <c r="M246" s="75">
        <v>14</v>
      </c>
      <c r="N246" s="75"/>
      <c r="O246" s="75"/>
      <c r="P246" s="75"/>
      <c r="Q246" s="75"/>
      <c r="R246" s="75"/>
      <c r="S246" s="75"/>
      <c r="T246" s="75"/>
      <c r="U246" s="75"/>
      <c r="V246" s="76"/>
      <c r="W246" s="205"/>
      <c r="X246" s="1">
        <v>40261</v>
      </c>
      <c r="Y246" s="78">
        <f t="shared" si="25"/>
        <v>0</v>
      </c>
      <c r="Z246" s="78">
        <f t="shared" si="26"/>
        <v>0</v>
      </c>
      <c r="AA246" s="78">
        <f t="shared" si="27"/>
        <v>5266400</v>
      </c>
      <c r="AB246" s="78">
        <f t="shared" si="28"/>
        <v>0</v>
      </c>
      <c r="AC246" s="78"/>
      <c r="AD246" s="78">
        <v>0</v>
      </c>
      <c r="AE246" s="80">
        <f t="shared" si="31"/>
        <v>5266400</v>
      </c>
      <c r="AF246" s="82">
        <v>0</v>
      </c>
      <c r="AG246" s="69">
        <v>40240</v>
      </c>
      <c r="AH246" s="84">
        <v>95757</v>
      </c>
      <c r="AI246" s="69" t="s">
        <v>2009</v>
      </c>
      <c r="AJ246" s="25" t="s">
        <v>2010</v>
      </c>
      <c r="AK246" s="65">
        <v>50</v>
      </c>
      <c r="AL246" s="185" t="s">
        <v>941</v>
      </c>
      <c r="AM246" s="85" t="s">
        <v>3151</v>
      </c>
      <c r="AN246" s="3"/>
      <c r="AO246" s="4"/>
      <c r="AP246" s="5"/>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6"/>
      <c r="CQ246" s="7"/>
      <c r="CR246" s="6"/>
      <c r="CS246" s="7"/>
      <c r="CT246" s="6"/>
      <c r="CU246" s="7"/>
      <c r="CV246" s="8">
        <f t="shared" si="29"/>
        <v>0</v>
      </c>
      <c r="CW246" s="9"/>
      <c r="CX246" s="10"/>
      <c r="CY246" s="11"/>
      <c r="CZ246" s="12"/>
      <c r="DA246" s="29">
        <v>50</v>
      </c>
      <c r="DB246" s="12">
        <f>50*30160</f>
        <v>1508000</v>
      </c>
      <c r="DC246" s="9">
        <v>200</v>
      </c>
      <c r="DD246" s="10">
        <f>200*18792</f>
        <v>3758400</v>
      </c>
      <c r="DE246" s="71"/>
      <c r="EO246" s="353" t="str">
        <f t="shared" si="30"/>
        <v>CASANARE_PAZ DE ARIPORO</v>
      </c>
      <c r="EP246" s="350"/>
      <c r="EQ246" s="350" t="s">
        <v>4092</v>
      </c>
      <c r="ER246" s="358" t="s">
        <v>6021</v>
      </c>
      <c r="ES246" s="350" t="s">
        <v>4886</v>
      </c>
      <c r="ET246" s="350" t="s">
        <v>6033</v>
      </c>
      <c r="EU246" s="350" t="str">
        <f t="shared" si="32"/>
        <v>Boyaca_Cerinza</v>
      </c>
    </row>
    <row r="247" spans="1:151" ht="38.25" x14ac:dyDescent="0.2">
      <c r="A247" s="242">
        <v>40239</v>
      </c>
      <c r="B247" s="107" t="s">
        <v>1336</v>
      </c>
      <c r="C247" s="107" t="s">
        <v>151</v>
      </c>
      <c r="D247" s="427" t="s">
        <v>2209</v>
      </c>
      <c r="E247" s="107" t="str">
        <f>VLOOKUP(B247&amp;C247,Divipola!$C$2:$F$1138,4,FALSE)</f>
        <v>54003</v>
      </c>
      <c r="F247" s="330"/>
      <c r="G247" s="224"/>
      <c r="H247" s="75"/>
      <c r="I247" s="75"/>
      <c r="J247" s="75">
        <v>35</v>
      </c>
      <c r="K247" s="75">
        <v>7</v>
      </c>
      <c r="L247" s="75"/>
      <c r="M247" s="75">
        <v>7</v>
      </c>
      <c r="N247" s="75"/>
      <c r="O247" s="75"/>
      <c r="P247" s="75"/>
      <c r="Q247" s="75"/>
      <c r="R247" s="75"/>
      <c r="S247" s="75"/>
      <c r="T247" s="75"/>
      <c r="U247" s="75"/>
      <c r="V247" s="76"/>
      <c r="W247" s="205"/>
      <c r="X247" s="1"/>
      <c r="Y247" s="78">
        <f t="shared" si="25"/>
        <v>0</v>
      </c>
      <c r="Z247" s="78">
        <f t="shared" si="26"/>
        <v>0</v>
      </c>
      <c r="AA247" s="78">
        <f t="shared" si="27"/>
        <v>0</v>
      </c>
      <c r="AB247" s="78">
        <f t="shared" si="28"/>
        <v>0</v>
      </c>
      <c r="AC247" s="78"/>
      <c r="AD247" s="78">
        <v>0</v>
      </c>
      <c r="AE247" s="80">
        <f t="shared" si="31"/>
        <v>0</v>
      </c>
      <c r="AF247" s="82">
        <v>0</v>
      </c>
      <c r="AG247" s="69">
        <v>40240</v>
      </c>
      <c r="AH247" s="84"/>
      <c r="AI247" s="69" t="s">
        <v>1984</v>
      </c>
      <c r="AJ247" s="25" t="s">
        <v>1985</v>
      </c>
      <c r="AK247" s="65"/>
      <c r="AL247" s="185" t="s">
        <v>1257</v>
      </c>
      <c r="AM247" s="87" t="s">
        <v>935</v>
      </c>
      <c r="AN247" s="3"/>
      <c r="AO247" s="4"/>
      <c r="AP247" s="5"/>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6"/>
      <c r="CQ247" s="7"/>
      <c r="CR247" s="6"/>
      <c r="CS247" s="7"/>
      <c r="CT247" s="6"/>
      <c r="CU247" s="7"/>
      <c r="CV247" s="8">
        <f t="shared" si="29"/>
        <v>0</v>
      </c>
      <c r="CW247" s="9"/>
      <c r="CX247" s="10"/>
      <c r="CY247" s="11"/>
      <c r="CZ247" s="12"/>
      <c r="DA247" s="29"/>
      <c r="DB247" s="12"/>
      <c r="DC247" s="9"/>
      <c r="DD247" s="10"/>
      <c r="DE247" s="71"/>
      <c r="EO247" s="353" t="str">
        <f t="shared" si="30"/>
        <v>NORTE DE SANTANDER_ABREGO</v>
      </c>
      <c r="EP247" s="350"/>
      <c r="EQ247" s="350" t="s">
        <v>4092</v>
      </c>
      <c r="ER247" s="358" t="s">
        <v>6021</v>
      </c>
      <c r="ES247" s="350" t="s">
        <v>4887</v>
      </c>
      <c r="ET247" s="350" t="s">
        <v>6034</v>
      </c>
      <c r="EU247" s="350" t="str">
        <f t="shared" si="32"/>
        <v>Boyaca_Chinavita</v>
      </c>
    </row>
    <row r="248" spans="1:151" ht="45" x14ac:dyDescent="0.2">
      <c r="A248" s="242">
        <v>40239</v>
      </c>
      <c r="B248" s="107" t="s">
        <v>2791</v>
      </c>
      <c r="C248" s="107" t="s">
        <v>1097</v>
      </c>
      <c r="D248" s="427" t="s">
        <v>2209</v>
      </c>
      <c r="E248" s="107" t="str">
        <f>VLOOKUP(B248&amp;C248,Divipola!$C$2:$F$1138,4,FALSE)</f>
        <v>73152</v>
      </c>
      <c r="F248" s="330"/>
      <c r="G248" s="224"/>
      <c r="H248" s="75"/>
      <c r="I248" s="75"/>
      <c r="J248" s="75">
        <v>200</v>
      </c>
      <c r="K248" s="75">
        <v>40</v>
      </c>
      <c r="L248" s="75"/>
      <c r="M248" s="75">
        <v>40</v>
      </c>
      <c r="N248" s="75"/>
      <c r="O248" s="75"/>
      <c r="P248" s="75"/>
      <c r="Q248" s="75"/>
      <c r="R248" s="75"/>
      <c r="S248" s="75"/>
      <c r="T248" s="75">
        <v>1</v>
      </c>
      <c r="U248" s="75"/>
      <c r="V248" s="76"/>
      <c r="W248" s="205"/>
      <c r="X248" s="1">
        <v>40252</v>
      </c>
      <c r="Y248" s="78">
        <f t="shared" si="25"/>
        <v>2980000</v>
      </c>
      <c r="Z248" s="78">
        <f t="shared" si="26"/>
        <v>3400000</v>
      </c>
      <c r="AA248" s="78">
        <f t="shared" si="27"/>
        <v>3758400</v>
      </c>
      <c r="AB248" s="78">
        <f t="shared" si="28"/>
        <v>0</v>
      </c>
      <c r="AC248" s="78"/>
      <c r="AD248" s="78">
        <v>0</v>
      </c>
      <c r="AE248" s="80">
        <f t="shared" si="31"/>
        <v>10138400</v>
      </c>
      <c r="AF248" s="82">
        <v>0</v>
      </c>
      <c r="AG248" s="69">
        <v>40241</v>
      </c>
      <c r="AH248" s="84">
        <v>95751</v>
      </c>
      <c r="AI248" s="69" t="s">
        <v>2009</v>
      </c>
      <c r="AJ248" s="25" t="s">
        <v>2010</v>
      </c>
      <c r="AK248" s="88" t="s">
        <v>3127</v>
      </c>
      <c r="AL248" s="185" t="s">
        <v>2182</v>
      </c>
      <c r="AM248" s="85" t="s">
        <v>2112</v>
      </c>
      <c r="AN248" s="3"/>
      <c r="AO248" s="4"/>
      <c r="AP248" s="5"/>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6">
        <v>40</v>
      </c>
      <c r="CQ248" s="7">
        <f>40*38500</f>
        <v>1540000</v>
      </c>
      <c r="CR248" s="6">
        <v>40</v>
      </c>
      <c r="CS248" s="7">
        <f>40*36000</f>
        <v>1440000</v>
      </c>
      <c r="CT248" s="6"/>
      <c r="CU248" s="7"/>
      <c r="CV248" s="8">
        <f t="shared" si="29"/>
        <v>2980000</v>
      </c>
      <c r="CW248" s="9"/>
      <c r="CX248" s="10"/>
      <c r="CY248" s="11">
        <v>40</v>
      </c>
      <c r="CZ248" s="12">
        <f>40*85000</f>
        <v>3400000</v>
      </c>
      <c r="DA248" s="29"/>
      <c r="DB248" s="12"/>
      <c r="DC248" s="9">
        <v>200</v>
      </c>
      <c r="DD248" s="10">
        <f>200*18792</f>
        <v>3758400</v>
      </c>
      <c r="DE248" s="89"/>
      <c r="EO248" s="353" t="str">
        <f t="shared" si="30"/>
        <v>TOLIMA_CASABIANCA</v>
      </c>
      <c r="EP248" s="350"/>
      <c r="EQ248" s="350" t="s">
        <v>4092</v>
      </c>
      <c r="ER248" s="358" t="s">
        <v>6021</v>
      </c>
      <c r="ES248" s="350" t="s">
        <v>4888</v>
      </c>
      <c r="ET248" s="350" t="s">
        <v>6035</v>
      </c>
      <c r="EU248" s="350" t="str">
        <f t="shared" si="32"/>
        <v>Boyaca_Chiquinquira</v>
      </c>
    </row>
    <row r="249" spans="1:151" s="106" customFormat="1" ht="90" x14ac:dyDescent="0.2">
      <c r="A249" s="242">
        <v>40239</v>
      </c>
      <c r="B249" s="107" t="s">
        <v>2791</v>
      </c>
      <c r="C249" s="107" t="s">
        <v>2111</v>
      </c>
      <c r="D249" s="427" t="s">
        <v>2209</v>
      </c>
      <c r="E249" s="107" t="str">
        <f>VLOOKUP(B249&amp;C249,Divipola!$C$2:$F$1138,4,FALSE)</f>
        <v>73200</v>
      </c>
      <c r="F249" s="330"/>
      <c r="G249" s="224"/>
      <c r="H249" s="75"/>
      <c r="I249" s="75"/>
      <c r="J249" s="75">
        <f>15*5</f>
        <v>75</v>
      </c>
      <c r="K249" s="75">
        <v>15</v>
      </c>
      <c r="L249" s="75"/>
      <c r="M249" s="75">
        <v>15</v>
      </c>
      <c r="N249" s="75"/>
      <c r="O249" s="75"/>
      <c r="P249" s="75"/>
      <c r="Q249" s="75"/>
      <c r="R249" s="75"/>
      <c r="S249" s="75"/>
      <c r="T249" s="75"/>
      <c r="U249" s="75"/>
      <c r="V249" s="76"/>
      <c r="W249" s="205"/>
      <c r="X249" s="1">
        <v>40252</v>
      </c>
      <c r="Y249" s="78">
        <f t="shared" si="25"/>
        <v>1117500</v>
      </c>
      <c r="Z249" s="78">
        <f t="shared" si="26"/>
        <v>1275000</v>
      </c>
      <c r="AA249" s="78">
        <f t="shared" si="27"/>
        <v>1879200</v>
      </c>
      <c r="AB249" s="78">
        <f t="shared" si="28"/>
        <v>0</v>
      </c>
      <c r="AC249" s="78"/>
      <c r="AD249" s="78">
        <v>0</v>
      </c>
      <c r="AE249" s="80">
        <f t="shared" si="31"/>
        <v>4271700</v>
      </c>
      <c r="AF249" s="82">
        <v>0</v>
      </c>
      <c r="AG249" s="69">
        <v>40242</v>
      </c>
      <c r="AH249" s="84">
        <v>95751</v>
      </c>
      <c r="AI249" s="69" t="s">
        <v>2009</v>
      </c>
      <c r="AJ249" s="25" t="s">
        <v>2010</v>
      </c>
      <c r="AK249" s="88" t="s">
        <v>3127</v>
      </c>
      <c r="AL249" s="185" t="s">
        <v>263</v>
      </c>
      <c r="AM249" s="85" t="s">
        <v>899</v>
      </c>
      <c r="AN249" s="3"/>
      <c r="AO249" s="4"/>
      <c r="AP249" s="5"/>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6">
        <v>15</v>
      </c>
      <c r="CQ249" s="7">
        <f>15*38500</f>
        <v>577500</v>
      </c>
      <c r="CR249" s="6">
        <v>15</v>
      </c>
      <c r="CS249" s="7">
        <f>15*36000</f>
        <v>540000</v>
      </c>
      <c r="CT249" s="6"/>
      <c r="CU249" s="7"/>
      <c r="CV249" s="8">
        <f t="shared" si="29"/>
        <v>1117500</v>
      </c>
      <c r="CW249" s="9"/>
      <c r="CX249" s="10"/>
      <c r="CY249" s="11">
        <v>15</v>
      </c>
      <c r="CZ249" s="12">
        <f>15*85000</f>
        <v>1275000</v>
      </c>
      <c r="DA249" s="29"/>
      <c r="DB249" s="12"/>
      <c r="DC249" s="9">
        <v>100</v>
      </c>
      <c r="DD249" s="10">
        <f>100*18792</f>
        <v>1879200</v>
      </c>
      <c r="DE249" s="89"/>
      <c r="DF249" s="23"/>
      <c r="EO249" s="353" t="str">
        <f t="shared" si="30"/>
        <v>TOLIMA_COELLO</v>
      </c>
      <c r="EP249" s="350"/>
      <c r="EQ249" s="350" t="s">
        <v>4092</v>
      </c>
      <c r="ER249" s="358" t="s">
        <v>6021</v>
      </c>
      <c r="ES249" s="350" t="s">
        <v>4889</v>
      </c>
      <c r="ET249" s="350" t="s">
        <v>6036</v>
      </c>
      <c r="EU249" s="350" t="str">
        <f t="shared" si="32"/>
        <v>Boyaca_Chiscas</v>
      </c>
    </row>
    <row r="250" spans="1:151" ht="90" x14ac:dyDescent="0.2">
      <c r="A250" s="242">
        <v>40239</v>
      </c>
      <c r="B250" s="107" t="s">
        <v>2791</v>
      </c>
      <c r="C250" s="107" t="s">
        <v>1099</v>
      </c>
      <c r="D250" s="427" t="s">
        <v>2209</v>
      </c>
      <c r="E250" s="107" t="str">
        <f>VLOOKUP(B250&amp;C250,Divipola!$C$2:$F$1138,4,FALSE)</f>
        <v>73283</v>
      </c>
      <c r="F250" s="330"/>
      <c r="G250" s="224"/>
      <c r="H250" s="75"/>
      <c r="I250" s="75"/>
      <c r="J250" s="75">
        <f>80*5</f>
        <v>400</v>
      </c>
      <c r="K250" s="75">
        <v>80</v>
      </c>
      <c r="L250" s="75"/>
      <c r="M250" s="75">
        <v>80</v>
      </c>
      <c r="N250" s="75"/>
      <c r="O250" s="75"/>
      <c r="P250" s="75"/>
      <c r="Q250" s="75"/>
      <c r="R250" s="75"/>
      <c r="S250" s="75"/>
      <c r="T250" s="75"/>
      <c r="U250" s="75"/>
      <c r="V250" s="76"/>
      <c r="W250" s="205"/>
      <c r="X250" s="1">
        <v>40252</v>
      </c>
      <c r="Y250" s="78">
        <f t="shared" si="25"/>
        <v>5960000</v>
      </c>
      <c r="Z250" s="78">
        <f t="shared" si="26"/>
        <v>6800000</v>
      </c>
      <c r="AA250" s="78">
        <f t="shared" si="27"/>
        <v>5637600</v>
      </c>
      <c r="AB250" s="78">
        <f t="shared" si="28"/>
        <v>0</v>
      </c>
      <c r="AC250" s="78"/>
      <c r="AD250" s="78">
        <v>0</v>
      </c>
      <c r="AE250" s="80">
        <f t="shared" si="31"/>
        <v>18397600</v>
      </c>
      <c r="AF250" s="82">
        <v>0</v>
      </c>
      <c r="AG250" s="69">
        <v>40242</v>
      </c>
      <c r="AH250" s="84">
        <v>95751</v>
      </c>
      <c r="AI250" s="69" t="s">
        <v>2009</v>
      </c>
      <c r="AJ250" s="25" t="s">
        <v>2010</v>
      </c>
      <c r="AK250" s="88" t="s">
        <v>3127</v>
      </c>
      <c r="AL250" s="185" t="s">
        <v>263</v>
      </c>
      <c r="AM250" s="85" t="s">
        <v>898</v>
      </c>
      <c r="AN250" s="3"/>
      <c r="AO250" s="4"/>
      <c r="AP250" s="5"/>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6">
        <v>80</v>
      </c>
      <c r="CQ250" s="7">
        <f>80*38500</f>
        <v>3080000</v>
      </c>
      <c r="CR250" s="6">
        <v>80</v>
      </c>
      <c r="CS250" s="7">
        <f>80*36000</f>
        <v>2880000</v>
      </c>
      <c r="CT250" s="6"/>
      <c r="CU250" s="7"/>
      <c r="CV250" s="8">
        <f t="shared" si="29"/>
        <v>5960000</v>
      </c>
      <c r="CW250" s="9"/>
      <c r="CX250" s="10"/>
      <c r="CY250" s="11">
        <v>80</v>
      </c>
      <c r="CZ250" s="12">
        <f>80*85000</f>
        <v>6800000</v>
      </c>
      <c r="DA250" s="29"/>
      <c r="DB250" s="12"/>
      <c r="DC250" s="9">
        <v>300</v>
      </c>
      <c r="DD250" s="10">
        <f>300*18792</f>
        <v>5637600</v>
      </c>
      <c r="DE250" s="89"/>
      <c r="EO250" s="353" t="str">
        <f t="shared" si="30"/>
        <v>TOLIMA_FRESNO</v>
      </c>
      <c r="EP250" s="350"/>
      <c r="EQ250" s="350" t="s">
        <v>4092</v>
      </c>
      <c r="ER250" s="358" t="s">
        <v>6021</v>
      </c>
      <c r="ES250" s="350" t="s">
        <v>4890</v>
      </c>
      <c r="ET250" s="350" t="s">
        <v>6037</v>
      </c>
      <c r="EU250" s="350" t="str">
        <f t="shared" si="32"/>
        <v>Boyaca_Chita</v>
      </c>
    </row>
    <row r="251" spans="1:151" ht="90" x14ac:dyDescent="0.2">
      <c r="A251" s="242">
        <v>40239</v>
      </c>
      <c r="B251" s="107" t="s">
        <v>2791</v>
      </c>
      <c r="C251" s="107" t="s">
        <v>1098</v>
      </c>
      <c r="D251" s="427" t="s">
        <v>2209</v>
      </c>
      <c r="E251" s="107" t="str">
        <f>VLOOKUP(B251&amp;C251,Divipola!$C$2:$F$1138,4,FALSE)</f>
        <v>73443</v>
      </c>
      <c r="F251" s="330"/>
      <c r="G251" s="224"/>
      <c r="H251" s="75"/>
      <c r="I251" s="75"/>
      <c r="J251" s="75">
        <f>20*5</f>
        <v>100</v>
      </c>
      <c r="K251" s="75">
        <v>20</v>
      </c>
      <c r="L251" s="75"/>
      <c r="M251" s="75">
        <v>20</v>
      </c>
      <c r="N251" s="75"/>
      <c r="O251" s="75"/>
      <c r="P251" s="75"/>
      <c r="Q251" s="75"/>
      <c r="R251" s="75"/>
      <c r="S251" s="75"/>
      <c r="T251" s="75"/>
      <c r="U251" s="75"/>
      <c r="V251" s="76"/>
      <c r="W251" s="205"/>
      <c r="X251" s="1">
        <v>40252</v>
      </c>
      <c r="Y251" s="78">
        <f t="shared" si="25"/>
        <v>1490000</v>
      </c>
      <c r="Z251" s="78">
        <f t="shared" si="26"/>
        <v>1700000</v>
      </c>
      <c r="AA251" s="78">
        <f t="shared" si="27"/>
        <v>1879200</v>
      </c>
      <c r="AB251" s="78">
        <f t="shared" si="28"/>
        <v>0</v>
      </c>
      <c r="AC251" s="78"/>
      <c r="AD251" s="78">
        <v>0</v>
      </c>
      <c r="AE251" s="80">
        <f t="shared" si="31"/>
        <v>5069200</v>
      </c>
      <c r="AF251" s="82">
        <v>0</v>
      </c>
      <c r="AG251" s="69">
        <v>40241</v>
      </c>
      <c r="AH251" s="84">
        <v>95751</v>
      </c>
      <c r="AI251" s="69" t="s">
        <v>2009</v>
      </c>
      <c r="AJ251" s="25" t="s">
        <v>2010</v>
      </c>
      <c r="AK251" s="88" t="s">
        <v>3127</v>
      </c>
      <c r="AL251" s="185" t="s">
        <v>263</v>
      </c>
      <c r="AM251" s="85" t="s">
        <v>2113</v>
      </c>
      <c r="AN251" s="3"/>
      <c r="AO251" s="4"/>
      <c r="AP251" s="5"/>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6">
        <v>20</v>
      </c>
      <c r="CQ251" s="7">
        <f>20*38500</f>
        <v>770000</v>
      </c>
      <c r="CR251" s="6">
        <v>20</v>
      </c>
      <c r="CS251" s="7">
        <f>20*36000</f>
        <v>720000</v>
      </c>
      <c r="CT251" s="6"/>
      <c r="CU251" s="7"/>
      <c r="CV251" s="8">
        <f t="shared" si="29"/>
        <v>1490000</v>
      </c>
      <c r="CW251" s="9"/>
      <c r="CX251" s="10"/>
      <c r="CY251" s="11">
        <v>20</v>
      </c>
      <c r="CZ251" s="12">
        <f>20*85000</f>
        <v>1700000</v>
      </c>
      <c r="DA251" s="29"/>
      <c r="DB251" s="12"/>
      <c r="DC251" s="9">
        <v>100</v>
      </c>
      <c r="DD251" s="10">
        <f>100*18792</f>
        <v>1879200</v>
      </c>
      <c r="DE251" s="89"/>
      <c r="EO251" s="353" t="str">
        <f t="shared" si="30"/>
        <v>TOLIMA_MARIQUITA</v>
      </c>
      <c r="EP251" s="350"/>
      <c r="EQ251" s="350" t="s">
        <v>4092</v>
      </c>
      <c r="ER251" s="358" t="s">
        <v>6021</v>
      </c>
      <c r="ES251" s="350" t="s">
        <v>4891</v>
      </c>
      <c r="ET251" s="350" t="s">
        <v>6038</v>
      </c>
      <c r="EU251" s="350" t="str">
        <f t="shared" si="32"/>
        <v>Boyaca_Chitaraque</v>
      </c>
    </row>
    <row r="252" spans="1:151" ht="67.5" x14ac:dyDescent="0.2">
      <c r="A252" s="242">
        <v>40240</v>
      </c>
      <c r="B252" s="107" t="s">
        <v>1189</v>
      </c>
      <c r="C252" s="107" t="s">
        <v>713</v>
      </c>
      <c r="D252" s="427" t="s">
        <v>2209</v>
      </c>
      <c r="E252" s="107" t="str">
        <f>VLOOKUP(B252&amp;C252,Divipola!$C$2:$F$1138,4,FALSE)</f>
        <v>85125</v>
      </c>
      <c r="F252" s="330"/>
      <c r="G252" s="224"/>
      <c r="H252" s="75"/>
      <c r="I252" s="75"/>
      <c r="J252" s="75">
        <v>33</v>
      </c>
      <c r="K252" s="75">
        <v>5</v>
      </c>
      <c r="L252" s="75">
        <v>5</v>
      </c>
      <c r="M252" s="75"/>
      <c r="N252" s="75"/>
      <c r="O252" s="75"/>
      <c r="P252" s="75"/>
      <c r="Q252" s="75"/>
      <c r="R252" s="75"/>
      <c r="S252" s="75"/>
      <c r="T252" s="75"/>
      <c r="U252" s="75"/>
      <c r="V252" s="76"/>
      <c r="W252" s="205"/>
      <c r="X252" s="1">
        <v>40261</v>
      </c>
      <c r="Y252" s="78">
        <f t="shared" si="25"/>
        <v>0</v>
      </c>
      <c r="Z252" s="78">
        <f t="shared" si="26"/>
        <v>0</v>
      </c>
      <c r="AA252" s="78">
        <f t="shared" si="27"/>
        <v>1693600</v>
      </c>
      <c r="AB252" s="78">
        <f t="shared" si="28"/>
        <v>0</v>
      </c>
      <c r="AC252" s="78"/>
      <c r="AD252" s="78">
        <v>0</v>
      </c>
      <c r="AE252" s="80">
        <f t="shared" si="31"/>
        <v>1693600</v>
      </c>
      <c r="AF252" s="82">
        <v>0</v>
      </c>
      <c r="AG252" s="69">
        <v>40240</v>
      </c>
      <c r="AH252" s="84">
        <v>95743</v>
      </c>
      <c r="AI252" s="69" t="s">
        <v>2009</v>
      </c>
      <c r="AJ252" s="25" t="s">
        <v>2010</v>
      </c>
      <c r="AK252" s="65">
        <v>50</v>
      </c>
      <c r="AL252" s="185" t="s">
        <v>941</v>
      </c>
      <c r="AM252" s="85" t="s">
        <v>931</v>
      </c>
      <c r="AN252" s="3"/>
      <c r="AO252" s="4"/>
      <c r="AP252" s="5"/>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6"/>
      <c r="CQ252" s="7"/>
      <c r="CR252" s="6"/>
      <c r="CS252" s="7"/>
      <c r="CT252" s="6"/>
      <c r="CU252" s="7"/>
      <c r="CV252" s="8">
        <f t="shared" si="29"/>
        <v>0</v>
      </c>
      <c r="CW252" s="9"/>
      <c r="CX252" s="10"/>
      <c r="CY252" s="11"/>
      <c r="CZ252" s="12"/>
      <c r="DA252" s="29">
        <v>25</v>
      </c>
      <c r="DB252" s="12">
        <f>25*30160</f>
        <v>754000</v>
      </c>
      <c r="DC252" s="9">
        <v>50</v>
      </c>
      <c r="DD252" s="10">
        <f>50*18792</f>
        <v>939600</v>
      </c>
      <c r="DE252" s="71"/>
      <c r="EO252" s="353" t="str">
        <f t="shared" si="30"/>
        <v>CASANARE_HATO COROZAL</v>
      </c>
      <c r="EP252" s="350"/>
      <c r="EQ252" s="350" t="s">
        <v>4092</v>
      </c>
      <c r="ER252" s="358" t="s">
        <v>6021</v>
      </c>
      <c r="ES252" s="350" t="s">
        <v>4892</v>
      </c>
      <c r="ET252" s="350" t="s">
        <v>6039</v>
      </c>
      <c r="EU252" s="350" t="str">
        <f t="shared" si="32"/>
        <v>Boyaca_Chivata</v>
      </c>
    </row>
    <row r="253" spans="1:151" ht="84" x14ac:dyDescent="0.2">
      <c r="A253" s="242">
        <v>40240</v>
      </c>
      <c r="B253" s="107" t="s">
        <v>2427</v>
      </c>
      <c r="C253" s="107" t="s">
        <v>1008</v>
      </c>
      <c r="D253" s="427" t="s">
        <v>1387</v>
      </c>
      <c r="E253" s="107" t="str">
        <f>VLOOKUP(B253&amp;C253,Divipola!$C$2:$F$1138,4,FALSE)</f>
        <v>68229</v>
      </c>
      <c r="F253" s="330"/>
      <c r="G253" s="224"/>
      <c r="H253" s="75"/>
      <c r="I253" s="75"/>
      <c r="J253" s="75">
        <f>429*5</f>
        <v>2145</v>
      </c>
      <c r="K253" s="75">
        <v>429</v>
      </c>
      <c r="L253" s="75"/>
      <c r="M253" s="75"/>
      <c r="N253" s="75"/>
      <c r="O253" s="75"/>
      <c r="P253" s="75"/>
      <c r="Q253" s="75"/>
      <c r="R253" s="75"/>
      <c r="S253" s="75"/>
      <c r="T253" s="75"/>
      <c r="U253" s="75"/>
      <c r="V253" s="76"/>
      <c r="W253" s="205"/>
      <c r="X253" s="1">
        <v>40318</v>
      </c>
      <c r="Y253" s="78">
        <f t="shared" si="25"/>
        <v>0</v>
      </c>
      <c r="Z253" s="78">
        <f t="shared" si="26"/>
        <v>0</v>
      </c>
      <c r="AA253" s="78">
        <f t="shared" si="27"/>
        <v>0</v>
      </c>
      <c r="AB253" s="78">
        <f t="shared" si="28"/>
        <v>0</v>
      </c>
      <c r="AC253" s="78"/>
      <c r="AD253" s="78">
        <v>50000000</v>
      </c>
      <c r="AE253" s="80">
        <f t="shared" si="31"/>
        <v>50000000</v>
      </c>
      <c r="AF253" s="82">
        <v>0</v>
      </c>
      <c r="AG253" s="69">
        <v>40316</v>
      </c>
      <c r="AH253" s="84">
        <v>97575</v>
      </c>
      <c r="AI253" s="69" t="s">
        <v>2009</v>
      </c>
      <c r="AJ253" s="25" t="s">
        <v>2010</v>
      </c>
      <c r="AK253" s="65">
        <v>260</v>
      </c>
      <c r="AL253" s="185" t="s">
        <v>1025</v>
      </c>
      <c r="AM253" s="85" t="s">
        <v>850</v>
      </c>
      <c r="AN253" s="3"/>
      <c r="AO253" s="4"/>
      <c r="AP253" s="5"/>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6"/>
      <c r="CQ253" s="7"/>
      <c r="CR253" s="6"/>
      <c r="CS253" s="7"/>
      <c r="CT253" s="6"/>
      <c r="CU253" s="7"/>
      <c r="CV253" s="8">
        <f t="shared" si="29"/>
        <v>0</v>
      </c>
      <c r="CW253" s="9"/>
      <c r="CX253" s="10"/>
      <c r="CY253" s="11"/>
      <c r="CZ253" s="12"/>
      <c r="DA253" s="29"/>
      <c r="DB253" s="12"/>
      <c r="DC253" s="9"/>
      <c r="DD253" s="10"/>
      <c r="DE253" s="71">
        <v>2</v>
      </c>
      <c r="EO253" s="353" t="str">
        <f t="shared" si="30"/>
        <v>SANTANDER_CURITI</v>
      </c>
      <c r="EP253" s="350"/>
      <c r="EQ253" s="350" t="s">
        <v>4092</v>
      </c>
      <c r="ER253" s="358" t="s">
        <v>6021</v>
      </c>
      <c r="ES253" s="350" t="s">
        <v>4893</v>
      </c>
      <c r="ET253" s="350" t="s">
        <v>6040</v>
      </c>
      <c r="EU253" s="350" t="str">
        <f t="shared" si="32"/>
        <v>Boyaca_Cienega</v>
      </c>
    </row>
    <row r="254" spans="1:151" ht="36" x14ac:dyDescent="0.2">
      <c r="A254" s="242">
        <v>40240</v>
      </c>
      <c r="B254" s="107" t="s">
        <v>2791</v>
      </c>
      <c r="C254" s="107" t="s">
        <v>1095</v>
      </c>
      <c r="D254" s="427" t="s">
        <v>2209</v>
      </c>
      <c r="E254" s="107" t="str">
        <f>VLOOKUP(B254&amp;C254,Divipola!$C$2:$F$1138,4,FALSE)</f>
        <v>73861</v>
      </c>
      <c r="F254" s="330"/>
      <c r="G254" s="224"/>
      <c r="H254" s="75"/>
      <c r="I254" s="75"/>
      <c r="J254" s="75">
        <v>6</v>
      </c>
      <c r="K254" s="75">
        <v>1</v>
      </c>
      <c r="L254" s="75"/>
      <c r="M254" s="75">
        <v>1</v>
      </c>
      <c r="N254" s="75"/>
      <c r="O254" s="75"/>
      <c r="P254" s="75"/>
      <c r="Q254" s="75"/>
      <c r="R254" s="75"/>
      <c r="S254" s="75"/>
      <c r="T254" s="75"/>
      <c r="U254" s="75"/>
      <c r="V254" s="76"/>
      <c r="W254" s="205"/>
      <c r="X254" s="1"/>
      <c r="Y254" s="78">
        <f t="shared" si="25"/>
        <v>0</v>
      </c>
      <c r="Z254" s="78">
        <f t="shared" si="26"/>
        <v>0</v>
      </c>
      <c r="AA254" s="78">
        <f t="shared" si="27"/>
        <v>0</v>
      </c>
      <c r="AB254" s="78">
        <f t="shared" si="28"/>
        <v>0</v>
      </c>
      <c r="AC254" s="78"/>
      <c r="AD254" s="78">
        <v>0</v>
      </c>
      <c r="AE254" s="80">
        <f t="shared" si="31"/>
        <v>0</v>
      </c>
      <c r="AF254" s="82">
        <v>0</v>
      </c>
      <c r="AG254" s="69">
        <v>40241</v>
      </c>
      <c r="AH254" s="84"/>
      <c r="AI254" s="69" t="s">
        <v>1984</v>
      </c>
      <c r="AJ254" s="25" t="s">
        <v>1985</v>
      </c>
      <c r="AK254" s="65"/>
      <c r="AL254" s="185" t="s">
        <v>1257</v>
      </c>
      <c r="AM254" s="85" t="s">
        <v>900</v>
      </c>
      <c r="AN254" s="3"/>
      <c r="AO254" s="4"/>
      <c r="AP254" s="5"/>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6"/>
      <c r="CQ254" s="7"/>
      <c r="CR254" s="6"/>
      <c r="CS254" s="7"/>
      <c r="CT254" s="6"/>
      <c r="CU254" s="7"/>
      <c r="CV254" s="8">
        <f t="shared" si="29"/>
        <v>0</v>
      </c>
      <c r="CW254" s="9"/>
      <c r="CX254" s="10"/>
      <c r="CY254" s="11"/>
      <c r="CZ254" s="12"/>
      <c r="DA254" s="29"/>
      <c r="DB254" s="12"/>
      <c r="DC254" s="9"/>
      <c r="DD254" s="10"/>
      <c r="DE254" s="71"/>
      <c r="EO254" s="353" t="str">
        <f t="shared" si="30"/>
        <v>TOLIMA_VENADILLO</v>
      </c>
      <c r="EP254" s="350"/>
      <c r="EQ254" s="350" t="s">
        <v>4092</v>
      </c>
      <c r="ER254" s="358" t="s">
        <v>6021</v>
      </c>
      <c r="ES254" s="350" t="s">
        <v>4894</v>
      </c>
      <c r="ET254" s="350" t="s">
        <v>6041</v>
      </c>
      <c r="EU254" s="350" t="str">
        <f t="shared" si="32"/>
        <v>Boyaca_Combita</v>
      </c>
    </row>
    <row r="255" spans="1:151" ht="56.25" x14ac:dyDescent="0.2">
      <c r="A255" s="242">
        <v>40241</v>
      </c>
      <c r="B255" s="107" t="s">
        <v>1719</v>
      </c>
      <c r="C255" s="107" t="s">
        <v>3143</v>
      </c>
      <c r="D255" s="427" t="s">
        <v>248</v>
      </c>
      <c r="E255" s="107" t="str">
        <f>VLOOKUP(B255&amp;C255,Divipola!$C$2:$F$1138,4,FALSE)</f>
        <v>19397</v>
      </c>
      <c r="F255" s="330"/>
      <c r="G255" s="224"/>
      <c r="H255" s="75"/>
      <c r="I255" s="75"/>
      <c r="J255" s="75">
        <f>158*5</f>
        <v>790</v>
      </c>
      <c r="K255" s="75">
        <v>158</v>
      </c>
      <c r="L255" s="75"/>
      <c r="M255" s="75">
        <v>158</v>
      </c>
      <c r="N255" s="75"/>
      <c r="O255" s="75"/>
      <c r="P255" s="75"/>
      <c r="Q255" s="75"/>
      <c r="R255" s="75"/>
      <c r="S255" s="75"/>
      <c r="T255" s="75"/>
      <c r="U255" s="75"/>
      <c r="V255" s="76"/>
      <c r="W255" s="205" t="s">
        <v>2180</v>
      </c>
      <c r="X255" s="1">
        <v>40302</v>
      </c>
      <c r="Y255" s="78">
        <f t="shared" si="25"/>
        <v>11526416</v>
      </c>
      <c r="Z255" s="78">
        <f t="shared" si="26"/>
        <v>26860000</v>
      </c>
      <c r="AA255" s="78">
        <f t="shared" si="27"/>
        <v>24088000</v>
      </c>
      <c r="AB255" s="78">
        <f t="shared" si="28"/>
        <v>0</v>
      </c>
      <c r="AC255" s="78">
        <f>500*1675</f>
        <v>837500</v>
      </c>
      <c r="AD255" s="78">
        <v>0</v>
      </c>
      <c r="AE255" s="80">
        <f t="shared" si="31"/>
        <v>63311916</v>
      </c>
      <c r="AF255" s="82">
        <v>0</v>
      </c>
      <c r="AG255" s="69">
        <v>40283</v>
      </c>
      <c r="AH255" s="84">
        <v>96588</v>
      </c>
      <c r="AI255" s="69" t="s">
        <v>2009</v>
      </c>
      <c r="AJ255" s="25" t="s">
        <v>2010</v>
      </c>
      <c r="AK255" s="65">
        <v>103</v>
      </c>
      <c r="AL255" s="185" t="s">
        <v>2477</v>
      </c>
      <c r="AM255" s="85" t="s">
        <v>1763</v>
      </c>
      <c r="AN255" s="3"/>
      <c r="AO255" s="4"/>
      <c r="AP255" s="5"/>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6">
        <v>158</v>
      </c>
      <c r="CQ255" s="7">
        <f>158*36952</f>
        <v>5838416</v>
      </c>
      <c r="CR255" s="6">
        <v>158</v>
      </c>
      <c r="CS255" s="7">
        <f>158*36000</f>
        <v>5688000</v>
      </c>
      <c r="CT255" s="6"/>
      <c r="CU255" s="7"/>
      <c r="CV255" s="8">
        <f t="shared" si="29"/>
        <v>11526416</v>
      </c>
      <c r="CW255" s="9"/>
      <c r="CX255" s="10"/>
      <c r="CY255" s="11">
        <v>316</v>
      </c>
      <c r="CZ255" s="12">
        <f>316*85000</f>
        <v>26860000</v>
      </c>
      <c r="DA255" s="29"/>
      <c r="DB255" s="12"/>
      <c r="DC255" s="9">
        <v>1000</v>
      </c>
      <c r="DD255" s="10">
        <f>1000*22000+6000*348</f>
        <v>24088000</v>
      </c>
      <c r="DE255" s="71"/>
      <c r="EO255" s="353" t="str">
        <f t="shared" si="30"/>
        <v>CAUCA_LA VEGA</v>
      </c>
      <c r="EP255" s="350"/>
      <c r="EQ255" s="350" t="s">
        <v>4092</v>
      </c>
      <c r="ER255" s="358" t="s">
        <v>6021</v>
      </c>
      <c r="ES255" s="350" t="s">
        <v>4895</v>
      </c>
      <c r="ET255" s="350" t="s">
        <v>6042</v>
      </c>
      <c r="EU255" s="350" t="str">
        <f t="shared" si="32"/>
        <v>Boyaca_Coper</v>
      </c>
    </row>
    <row r="256" spans="1:151" ht="144" x14ac:dyDescent="0.2">
      <c r="A256" s="242">
        <v>40241</v>
      </c>
      <c r="B256" s="107" t="s">
        <v>2425</v>
      </c>
      <c r="C256" s="107" t="s">
        <v>1218</v>
      </c>
      <c r="D256" s="427" t="s">
        <v>2302</v>
      </c>
      <c r="E256" s="107" t="str">
        <f>VLOOKUP(B256&amp;C256,Divipola!$C$2:$F$1138,4,FALSE)</f>
        <v>27025</v>
      </c>
      <c r="F256" s="330"/>
      <c r="G256" s="224"/>
      <c r="H256" s="75"/>
      <c r="I256" s="75"/>
      <c r="J256" s="75"/>
      <c r="K256" s="75"/>
      <c r="L256" s="75"/>
      <c r="M256" s="75"/>
      <c r="N256" s="75"/>
      <c r="O256" s="75"/>
      <c r="P256" s="75"/>
      <c r="Q256" s="75"/>
      <c r="R256" s="75"/>
      <c r="S256" s="75"/>
      <c r="T256" s="75"/>
      <c r="U256" s="75"/>
      <c r="V256" s="76"/>
      <c r="W256" s="205"/>
      <c r="X256" s="1">
        <v>40374</v>
      </c>
      <c r="Y256" s="78">
        <f t="shared" si="25"/>
        <v>0</v>
      </c>
      <c r="Z256" s="78">
        <f t="shared" si="26"/>
        <v>87000000</v>
      </c>
      <c r="AA256" s="78">
        <f t="shared" si="27"/>
        <v>0</v>
      </c>
      <c r="AB256" s="78">
        <f t="shared" si="28"/>
        <v>0</v>
      </c>
      <c r="AC256" s="78"/>
      <c r="AD256" s="78">
        <v>0</v>
      </c>
      <c r="AE256" s="80">
        <f t="shared" si="31"/>
        <v>87000000</v>
      </c>
      <c r="AF256" s="82">
        <v>0</v>
      </c>
      <c r="AG256" s="69">
        <v>40304</v>
      </c>
      <c r="AH256" s="84">
        <v>97285</v>
      </c>
      <c r="AI256" s="69" t="s">
        <v>2009</v>
      </c>
      <c r="AJ256" s="25" t="s">
        <v>2010</v>
      </c>
      <c r="AK256" s="65">
        <v>204</v>
      </c>
      <c r="AL256" s="185" t="s">
        <v>2182</v>
      </c>
      <c r="AM256" s="85" t="s">
        <v>1221</v>
      </c>
      <c r="AN256" s="3"/>
      <c r="AO256" s="4"/>
      <c r="AP256" s="5"/>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6"/>
      <c r="CQ256" s="7"/>
      <c r="CR256" s="6"/>
      <c r="CS256" s="7"/>
      <c r="CT256" s="6"/>
      <c r="CU256" s="7"/>
      <c r="CV256" s="8">
        <f t="shared" si="29"/>
        <v>0</v>
      </c>
      <c r="CW256" s="9"/>
      <c r="CX256" s="10"/>
      <c r="CY256" s="11">
        <v>1000</v>
      </c>
      <c r="CZ256" s="12">
        <f>1000*87000</f>
        <v>87000000</v>
      </c>
      <c r="DA256" s="29"/>
      <c r="DB256" s="12"/>
      <c r="DC256" s="9"/>
      <c r="DD256" s="10"/>
      <c r="DE256" s="71"/>
      <c r="EO256" s="353" t="str">
        <f t="shared" si="30"/>
        <v>CHOCO_ALTO BAUDO</v>
      </c>
      <c r="EP256" s="350"/>
      <c r="EQ256" s="350" t="s">
        <v>4092</v>
      </c>
      <c r="ER256" s="358" t="s">
        <v>6021</v>
      </c>
      <c r="ES256" s="350" t="s">
        <v>4896</v>
      </c>
      <c r="ET256" s="350" t="s">
        <v>6043</v>
      </c>
      <c r="EU256" s="350" t="str">
        <f t="shared" si="32"/>
        <v>Boyaca_Corrales</v>
      </c>
    </row>
    <row r="257" spans="1:151" ht="36" x14ac:dyDescent="0.2">
      <c r="A257" s="242">
        <v>40241</v>
      </c>
      <c r="B257" s="107" t="s">
        <v>2425</v>
      </c>
      <c r="C257" s="107" t="s">
        <v>2374</v>
      </c>
      <c r="D257" s="427" t="s">
        <v>837</v>
      </c>
      <c r="E257" s="107" t="str">
        <f>VLOOKUP(B257&amp;C257,Divipola!$C$2:$F$1138,4,FALSE)</f>
        <v>27001</v>
      </c>
      <c r="F257" s="330"/>
      <c r="G257" s="224"/>
      <c r="H257" s="75"/>
      <c r="I257" s="75"/>
      <c r="J257" s="75">
        <v>170</v>
      </c>
      <c r="K257" s="75">
        <v>32</v>
      </c>
      <c r="L257" s="75"/>
      <c r="M257" s="75">
        <v>32</v>
      </c>
      <c r="N257" s="75"/>
      <c r="O257" s="75"/>
      <c r="P257" s="75"/>
      <c r="Q257" s="75"/>
      <c r="R257" s="75"/>
      <c r="S257" s="75"/>
      <c r="T257" s="75"/>
      <c r="U257" s="75"/>
      <c r="V257" s="76"/>
      <c r="W257" s="205"/>
      <c r="X257" s="1"/>
      <c r="Y257" s="78">
        <f t="shared" si="25"/>
        <v>0</v>
      </c>
      <c r="Z257" s="78">
        <f t="shared" si="26"/>
        <v>0</v>
      </c>
      <c r="AA257" s="78">
        <f t="shared" si="27"/>
        <v>0</v>
      </c>
      <c r="AB257" s="78">
        <f t="shared" si="28"/>
        <v>0</v>
      </c>
      <c r="AC257" s="78"/>
      <c r="AD257" s="78">
        <v>0</v>
      </c>
      <c r="AE257" s="80">
        <f t="shared" si="31"/>
        <v>0</v>
      </c>
      <c r="AF257" s="82">
        <v>0</v>
      </c>
      <c r="AG257" s="69">
        <v>40245</v>
      </c>
      <c r="AH257" s="84"/>
      <c r="AI257" s="69" t="s">
        <v>1984</v>
      </c>
      <c r="AJ257" s="25" t="s">
        <v>1985</v>
      </c>
      <c r="AK257" s="65"/>
      <c r="AL257" s="185" t="s">
        <v>1257</v>
      </c>
      <c r="AM257" s="85" t="s">
        <v>860</v>
      </c>
      <c r="AN257" s="3"/>
      <c r="AO257" s="4"/>
      <c r="AP257" s="5"/>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6"/>
      <c r="CQ257" s="7"/>
      <c r="CR257" s="6"/>
      <c r="CS257" s="7"/>
      <c r="CT257" s="6"/>
      <c r="CU257" s="7"/>
      <c r="CV257" s="8">
        <f t="shared" si="29"/>
        <v>0</v>
      </c>
      <c r="CW257" s="9"/>
      <c r="CX257" s="10"/>
      <c r="CY257" s="11"/>
      <c r="CZ257" s="12"/>
      <c r="DA257" s="29"/>
      <c r="DB257" s="12"/>
      <c r="DC257" s="9"/>
      <c r="DD257" s="10"/>
      <c r="DE257" s="71"/>
      <c r="EO257" s="353" t="str">
        <f t="shared" si="30"/>
        <v>CHOCO_QUIBDO</v>
      </c>
      <c r="EP257" s="350"/>
      <c r="EQ257" s="350" t="s">
        <v>4092</v>
      </c>
      <c r="ER257" s="358" t="s">
        <v>6021</v>
      </c>
      <c r="ES257" s="350" t="s">
        <v>4897</v>
      </c>
      <c r="ET257" s="350" t="s">
        <v>6044</v>
      </c>
      <c r="EU257" s="350" t="str">
        <f t="shared" si="32"/>
        <v>Boyaca_Covarachia</v>
      </c>
    </row>
    <row r="258" spans="1:151" ht="60" x14ac:dyDescent="0.2">
      <c r="A258" s="243">
        <v>40242</v>
      </c>
      <c r="B258" s="233" t="s">
        <v>1336</v>
      </c>
      <c r="C258" s="233" t="s">
        <v>2008</v>
      </c>
      <c r="D258" s="428" t="s">
        <v>2779</v>
      </c>
      <c r="E258" s="107">
        <f>VLOOKUP(B258&amp;C258,Divipola!$C$2:$F$1138,4,FALSE)</f>
        <v>54</v>
      </c>
      <c r="F258" s="331"/>
      <c r="G258" s="224"/>
      <c r="H258" s="75"/>
      <c r="I258" s="75"/>
      <c r="J258" s="75"/>
      <c r="K258" s="75"/>
      <c r="L258" s="75"/>
      <c r="M258" s="75"/>
      <c r="N258" s="75"/>
      <c r="O258" s="75"/>
      <c r="P258" s="75"/>
      <c r="Q258" s="75"/>
      <c r="R258" s="75"/>
      <c r="S258" s="75"/>
      <c r="T258" s="75"/>
      <c r="U258" s="75"/>
      <c r="V258" s="76"/>
      <c r="W258" s="205"/>
      <c r="X258" s="1">
        <v>40262</v>
      </c>
      <c r="Y258" s="78">
        <f t="shared" si="25"/>
        <v>0</v>
      </c>
      <c r="Z258" s="78">
        <f t="shared" si="26"/>
        <v>0</v>
      </c>
      <c r="AA258" s="78">
        <f t="shared" si="27"/>
        <v>0</v>
      </c>
      <c r="AB258" s="78">
        <f t="shared" si="28"/>
        <v>0</v>
      </c>
      <c r="AC258" s="78">
        <f>40*796293.1*1.16+40*123500*1.16+40*130000*1.16+80*106465.52*1.16+120*26897*1.16+40*130000*1.16+4*2630000*1.16</f>
        <v>80569662.495999992</v>
      </c>
      <c r="AD258" s="78">
        <v>0</v>
      </c>
      <c r="AE258" s="80">
        <f t="shared" si="31"/>
        <v>80569662.495999992</v>
      </c>
      <c r="AF258" s="82">
        <v>0</v>
      </c>
      <c r="AG258" s="69">
        <v>40252</v>
      </c>
      <c r="AH258" s="84">
        <v>95982</v>
      </c>
      <c r="AI258" s="69" t="s">
        <v>2009</v>
      </c>
      <c r="AJ258" s="25" t="s">
        <v>2010</v>
      </c>
      <c r="AK258" s="65">
        <v>53</v>
      </c>
      <c r="AL258" s="185" t="s">
        <v>2021</v>
      </c>
      <c r="AM258" s="97" t="s">
        <v>2020</v>
      </c>
      <c r="AN258" s="3"/>
      <c r="AO258" s="4"/>
      <c r="AP258" s="5"/>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6"/>
      <c r="CQ258" s="7"/>
      <c r="CR258" s="6"/>
      <c r="CS258" s="7"/>
      <c r="CT258" s="6"/>
      <c r="CU258" s="7"/>
      <c r="CV258" s="8">
        <f t="shared" si="29"/>
        <v>0</v>
      </c>
      <c r="CW258" s="9"/>
      <c r="CX258" s="10"/>
      <c r="CY258" s="11"/>
      <c r="CZ258" s="12"/>
      <c r="DA258" s="29"/>
      <c r="DB258" s="12"/>
      <c r="DC258" s="9"/>
      <c r="DD258" s="10"/>
      <c r="DE258" s="71"/>
      <c r="EO258" s="353" t="str">
        <f t="shared" si="30"/>
        <v>NORTE DE SANTANDER_DEPARTAMENTO</v>
      </c>
      <c r="EP258" s="350"/>
      <c r="EQ258" s="350" t="s">
        <v>4092</v>
      </c>
      <c r="ER258" s="358" t="s">
        <v>6021</v>
      </c>
      <c r="ES258" s="350" t="s">
        <v>4898</v>
      </c>
      <c r="ET258" s="350" t="s">
        <v>6045</v>
      </c>
      <c r="EU258" s="350" t="str">
        <f t="shared" si="32"/>
        <v>Boyaca_Cubara</v>
      </c>
    </row>
    <row r="259" spans="1:151" ht="38.25" x14ac:dyDescent="0.2">
      <c r="A259" s="242">
        <v>40243</v>
      </c>
      <c r="B259" s="107" t="s">
        <v>2242</v>
      </c>
      <c r="C259" s="107" t="s">
        <v>1212</v>
      </c>
      <c r="D259" s="427" t="s">
        <v>2209</v>
      </c>
      <c r="E259" s="107" t="str">
        <f>VLOOKUP(B259&amp;C259,Divipola!$C$2:$F$1138,4,FALSE)</f>
        <v>20787</v>
      </c>
      <c r="F259" s="330"/>
      <c r="G259" s="224"/>
      <c r="H259" s="75"/>
      <c r="I259" s="75"/>
      <c r="J259" s="75"/>
      <c r="K259" s="75"/>
      <c r="L259" s="75"/>
      <c r="M259" s="75"/>
      <c r="N259" s="75"/>
      <c r="O259" s="75"/>
      <c r="P259" s="75"/>
      <c r="Q259" s="75"/>
      <c r="R259" s="75"/>
      <c r="S259" s="75"/>
      <c r="T259" s="75"/>
      <c r="U259" s="75"/>
      <c r="V259" s="76"/>
      <c r="W259" s="205" t="s">
        <v>1213</v>
      </c>
      <c r="X259" s="1"/>
      <c r="Y259" s="78">
        <f t="shared" ref="Y259:Y322" si="33">CV259</f>
        <v>0</v>
      </c>
      <c r="Z259" s="78">
        <f t="shared" ref="Z259:Z322" si="34">CZ259</f>
        <v>0</v>
      </c>
      <c r="AA259" s="78">
        <f t="shared" ref="AA259:AA322" si="35">DB259+DD259</f>
        <v>0</v>
      </c>
      <c r="AB259" s="78">
        <f t="shared" ref="AB259:AB322" si="36">CX259</f>
        <v>0</v>
      </c>
      <c r="AC259" s="78"/>
      <c r="AD259" s="78">
        <v>0</v>
      </c>
      <c r="AE259" s="80">
        <f t="shared" si="31"/>
        <v>0</v>
      </c>
      <c r="AF259" s="82">
        <v>0</v>
      </c>
      <c r="AG259" s="69">
        <v>40243</v>
      </c>
      <c r="AH259" s="84"/>
      <c r="AI259" s="69" t="s">
        <v>1984</v>
      </c>
      <c r="AJ259" s="25" t="s">
        <v>1985</v>
      </c>
      <c r="AK259" s="65"/>
      <c r="AL259" s="185" t="s">
        <v>1257</v>
      </c>
      <c r="AM259" s="85" t="s">
        <v>1214</v>
      </c>
      <c r="AN259" s="3"/>
      <c r="AO259" s="4"/>
      <c r="AP259" s="5"/>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6"/>
      <c r="CQ259" s="7"/>
      <c r="CR259" s="6"/>
      <c r="CS259" s="7"/>
      <c r="CT259" s="6"/>
      <c r="CU259" s="7"/>
      <c r="CV259" s="8">
        <f t="shared" ref="CV259:CV322" si="37">AO259+AQ259+AS259+AU259+AW259+AY259+BA259+BC259+BE259+BG259+BI259+BK259+BM259+BO259+BQ259+BS259+BU259+BW259+BY259+CA259+CC259+CE259+CG259+CI259+CK259+CM259+CO259+CQ259+CS259+CU259</f>
        <v>0</v>
      </c>
      <c r="CW259" s="9"/>
      <c r="CX259" s="10"/>
      <c r="CY259" s="11"/>
      <c r="CZ259" s="12"/>
      <c r="DA259" s="29"/>
      <c r="DB259" s="12"/>
      <c r="DC259" s="9"/>
      <c r="DD259" s="10"/>
      <c r="DE259" s="71"/>
      <c r="EO259" s="353" t="str">
        <f t="shared" ref="EO259:EO321" si="38">B259&amp;"_"&amp;C259</f>
        <v>CESAR_TAMALAMEQUE</v>
      </c>
      <c r="EP259" s="350"/>
      <c r="EQ259" s="350" t="s">
        <v>4092</v>
      </c>
      <c r="ER259" s="358" t="s">
        <v>6021</v>
      </c>
      <c r="ES259" s="350" t="s">
        <v>4899</v>
      </c>
      <c r="ET259" s="350" t="s">
        <v>6046</v>
      </c>
      <c r="EU259" s="350" t="str">
        <f t="shared" si="32"/>
        <v>Boyaca_Cucaita</v>
      </c>
    </row>
    <row r="260" spans="1:151" ht="51" x14ac:dyDescent="0.2">
      <c r="A260" s="242">
        <v>40244</v>
      </c>
      <c r="B260" s="107" t="s">
        <v>1700</v>
      </c>
      <c r="C260" s="107" t="s">
        <v>830</v>
      </c>
      <c r="D260" s="427" t="s">
        <v>837</v>
      </c>
      <c r="E260" s="107" t="str">
        <f>VLOOKUP(B260&amp;C260,Divipola!$C$2:$F$1138,4,FALSE)</f>
        <v>23580</v>
      </c>
      <c r="F260" s="330"/>
      <c r="G260" s="224"/>
      <c r="H260" s="75"/>
      <c r="I260" s="75"/>
      <c r="J260" s="75">
        <v>180</v>
      </c>
      <c r="K260" s="75">
        <v>36</v>
      </c>
      <c r="L260" s="75"/>
      <c r="M260" s="75">
        <v>36</v>
      </c>
      <c r="N260" s="75"/>
      <c r="O260" s="75"/>
      <c r="P260" s="75"/>
      <c r="Q260" s="75"/>
      <c r="R260" s="75"/>
      <c r="S260" s="75"/>
      <c r="T260" s="75"/>
      <c r="U260" s="75"/>
      <c r="V260" s="76"/>
      <c r="W260" s="205"/>
      <c r="X260" s="1"/>
      <c r="Y260" s="78">
        <f t="shared" si="33"/>
        <v>0</v>
      </c>
      <c r="Z260" s="78">
        <f t="shared" si="34"/>
        <v>0</v>
      </c>
      <c r="AA260" s="78">
        <f t="shared" si="35"/>
        <v>0</v>
      </c>
      <c r="AB260" s="78">
        <f t="shared" si="36"/>
        <v>0</v>
      </c>
      <c r="AC260" s="78"/>
      <c r="AD260" s="78">
        <v>0</v>
      </c>
      <c r="AE260" s="80">
        <f t="shared" si="31"/>
        <v>0</v>
      </c>
      <c r="AF260" s="82">
        <v>0</v>
      </c>
      <c r="AG260" s="69">
        <v>40249</v>
      </c>
      <c r="AH260" s="84"/>
      <c r="AI260" s="69" t="s">
        <v>1984</v>
      </c>
      <c r="AJ260" s="25" t="s">
        <v>1985</v>
      </c>
      <c r="AK260" s="65"/>
      <c r="AL260" s="185" t="s">
        <v>1257</v>
      </c>
      <c r="AM260" s="85" t="s">
        <v>831</v>
      </c>
      <c r="AN260" s="3"/>
      <c r="AO260" s="4"/>
      <c r="AP260" s="5"/>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6"/>
      <c r="CQ260" s="7"/>
      <c r="CR260" s="6"/>
      <c r="CS260" s="7"/>
      <c r="CT260" s="6"/>
      <c r="CU260" s="7"/>
      <c r="CV260" s="8">
        <f t="shared" si="37"/>
        <v>0</v>
      </c>
      <c r="CW260" s="9"/>
      <c r="CX260" s="10"/>
      <c r="CY260" s="11"/>
      <c r="CZ260" s="12"/>
      <c r="DA260" s="29"/>
      <c r="DB260" s="12"/>
      <c r="DC260" s="9"/>
      <c r="DD260" s="10"/>
      <c r="DE260" s="71"/>
      <c r="EO260" s="353" t="str">
        <f t="shared" si="38"/>
        <v>CORDOBA_PUERTO LIBERTADOR</v>
      </c>
      <c r="EP260" s="350"/>
      <c r="EQ260" s="350" t="s">
        <v>4092</v>
      </c>
      <c r="ER260" s="358" t="s">
        <v>6021</v>
      </c>
      <c r="ES260" s="350" t="s">
        <v>4900</v>
      </c>
      <c r="ET260" s="350" t="s">
        <v>6047</v>
      </c>
      <c r="EU260" s="350" t="str">
        <f t="shared" si="32"/>
        <v>Boyaca_Cuitiva</v>
      </c>
    </row>
    <row r="261" spans="1:151" ht="56.25" x14ac:dyDescent="0.2">
      <c r="A261" s="242">
        <v>40245</v>
      </c>
      <c r="B261" s="107" t="s">
        <v>2372</v>
      </c>
      <c r="C261" s="107" t="s">
        <v>2008</v>
      </c>
      <c r="D261" s="427" t="s">
        <v>837</v>
      </c>
      <c r="E261" s="107">
        <f>VLOOKUP(B261&amp;C261,Divipola!$C$2:$F$1138,4,FALSE)</f>
        <v>70</v>
      </c>
      <c r="F261" s="330"/>
      <c r="G261" s="224"/>
      <c r="H261" s="75"/>
      <c r="I261" s="75"/>
      <c r="J261" s="75"/>
      <c r="K261" s="75"/>
      <c r="L261" s="75"/>
      <c r="M261" s="75"/>
      <c r="N261" s="75"/>
      <c r="O261" s="75"/>
      <c r="P261" s="75"/>
      <c r="Q261" s="75"/>
      <c r="R261" s="75"/>
      <c r="S261" s="75"/>
      <c r="T261" s="75"/>
      <c r="U261" s="75"/>
      <c r="V261" s="76"/>
      <c r="W261" s="205"/>
      <c r="X261" s="1">
        <v>40291</v>
      </c>
      <c r="Y261" s="78">
        <f t="shared" si="33"/>
        <v>0</v>
      </c>
      <c r="Z261" s="78">
        <f t="shared" si="34"/>
        <v>0</v>
      </c>
      <c r="AA261" s="78">
        <f t="shared" si="35"/>
        <v>0</v>
      </c>
      <c r="AB261" s="78">
        <f t="shared" si="36"/>
        <v>45008000</v>
      </c>
      <c r="AC261" s="78"/>
      <c r="AD261" s="78">
        <v>0</v>
      </c>
      <c r="AE261" s="80">
        <f t="shared" si="31"/>
        <v>45008000</v>
      </c>
      <c r="AF261" s="82">
        <v>0</v>
      </c>
      <c r="AG261" s="69">
        <v>40277</v>
      </c>
      <c r="AH261" s="84">
        <v>96484</v>
      </c>
      <c r="AI261" s="69" t="s">
        <v>2009</v>
      </c>
      <c r="AJ261" s="25" t="s">
        <v>2010</v>
      </c>
      <c r="AK261" s="65">
        <v>86</v>
      </c>
      <c r="AL261" s="185" t="s">
        <v>1415</v>
      </c>
      <c r="AM261" s="85" t="s">
        <v>1451</v>
      </c>
      <c r="AN261" s="3"/>
      <c r="AO261" s="4"/>
      <c r="AP261" s="5"/>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6"/>
      <c r="CQ261" s="7"/>
      <c r="CR261" s="6"/>
      <c r="CS261" s="7"/>
      <c r="CT261" s="6"/>
      <c r="CU261" s="7"/>
      <c r="CV261" s="8">
        <f t="shared" si="37"/>
        <v>0</v>
      </c>
      <c r="CW261" s="9">
        <v>50000</v>
      </c>
      <c r="CX261" s="10">
        <f>50000*900.16</f>
        <v>45008000</v>
      </c>
      <c r="CY261" s="11"/>
      <c r="CZ261" s="12"/>
      <c r="DA261" s="29"/>
      <c r="DB261" s="12"/>
      <c r="DC261" s="9"/>
      <c r="DD261" s="10"/>
      <c r="DE261" s="71"/>
      <c r="EO261" s="353" t="str">
        <f t="shared" si="38"/>
        <v>SUCRE_DEPARTAMENTO</v>
      </c>
      <c r="EP261" s="350"/>
      <c r="EQ261" s="350" t="s">
        <v>4092</v>
      </c>
      <c r="ER261" s="358" t="s">
        <v>6021</v>
      </c>
      <c r="ES261" s="350" t="s">
        <v>4901</v>
      </c>
      <c r="ET261" s="350" t="s">
        <v>6048</v>
      </c>
      <c r="EU261" s="350" t="str">
        <f t="shared" si="32"/>
        <v>Boyaca_Chiquiza</v>
      </c>
    </row>
    <row r="262" spans="1:151" ht="60" x14ac:dyDescent="0.2">
      <c r="A262" s="242">
        <v>40245</v>
      </c>
      <c r="B262" s="107" t="s">
        <v>2791</v>
      </c>
      <c r="C262" s="107" t="s">
        <v>635</v>
      </c>
      <c r="D262" s="427" t="s">
        <v>1387</v>
      </c>
      <c r="E262" s="107" t="str">
        <f>VLOOKUP(B262&amp;C262,Divipola!$C$2:$F$1138,4,FALSE)</f>
        <v>73352</v>
      </c>
      <c r="F262" s="330"/>
      <c r="G262" s="224"/>
      <c r="H262" s="75"/>
      <c r="I262" s="75"/>
      <c r="J262" s="75">
        <f>289*5</f>
        <v>1445</v>
      </c>
      <c r="K262" s="75">
        <v>289</v>
      </c>
      <c r="L262" s="75"/>
      <c r="M262" s="75"/>
      <c r="N262" s="75"/>
      <c r="O262" s="75"/>
      <c r="P262" s="75"/>
      <c r="Q262" s="75"/>
      <c r="R262" s="75"/>
      <c r="S262" s="75"/>
      <c r="T262" s="75"/>
      <c r="U262" s="75"/>
      <c r="V262" s="76"/>
      <c r="W262" s="205"/>
      <c r="X262" s="1">
        <v>40358</v>
      </c>
      <c r="Y262" s="78">
        <f t="shared" si="33"/>
        <v>0</v>
      </c>
      <c r="Z262" s="78">
        <f t="shared" si="34"/>
        <v>24565000</v>
      </c>
      <c r="AA262" s="78">
        <f t="shared" si="35"/>
        <v>0</v>
      </c>
      <c r="AB262" s="78">
        <f t="shared" si="36"/>
        <v>0</v>
      </c>
      <c r="AC262" s="78"/>
      <c r="AD262" s="78">
        <v>0</v>
      </c>
      <c r="AE262" s="80">
        <f t="shared" si="31"/>
        <v>24565000</v>
      </c>
      <c r="AF262" s="82">
        <v>0</v>
      </c>
      <c r="AG262" s="69">
        <v>40284</v>
      </c>
      <c r="AH262" s="84">
        <v>96689</v>
      </c>
      <c r="AI262" s="69" t="s">
        <v>2009</v>
      </c>
      <c r="AJ262" s="25" t="s">
        <v>2010</v>
      </c>
      <c r="AK262" s="65">
        <v>180</v>
      </c>
      <c r="AL262" s="185" t="s">
        <v>715</v>
      </c>
      <c r="AM262" s="85" t="s">
        <v>636</v>
      </c>
      <c r="AN262" s="3"/>
      <c r="AO262" s="4"/>
      <c r="AP262" s="5"/>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6"/>
      <c r="CQ262" s="7"/>
      <c r="CR262" s="6"/>
      <c r="CS262" s="7"/>
      <c r="CT262" s="6"/>
      <c r="CU262" s="7"/>
      <c r="CV262" s="8">
        <f t="shared" si="37"/>
        <v>0</v>
      </c>
      <c r="CW262" s="9"/>
      <c r="CX262" s="10"/>
      <c r="CY262" s="11">
        <v>289</v>
      </c>
      <c r="CZ262" s="12">
        <f>289*85000</f>
        <v>24565000</v>
      </c>
      <c r="DA262" s="29"/>
      <c r="DB262" s="12"/>
      <c r="DC262" s="9"/>
      <c r="DD262" s="10"/>
      <c r="DE262" s="71"/>
      <c r="EO262" s="353" t="str">
        <f t="shared" si="38"/>
        <v>TOLIMA_ICONONZO</v>
      </c>
      <c r="EP262" s="350"/>
      <c r="EQ262" s="350" t="s">
        <v>4092</v>
      </c>
      <c r="ER262" s="358" t="s">
        <v>6021</v>
      </c>
      <c r="ES262" s="350" t="s">
        <v>4902</v>
      </c>
      <c r="ET262" s="350" t="s">
        <v>6049</v>
      </c>
      <c r="EU262" s="350" t="str">
        <f t="shared" si="32"/>
        <v>Boyaca_Chivor</v>
      </c>
    </row>
    <row r="263" spans="1:151" ht="36" x14ac:dyDescent="0.2">
      <c r="A263" s="242">
        <v>40246</v>
      </c>
      <c r="B263" s="107" t="s">
        <v>2017</v>
      </c>
      <c r="C263" s="107" t="s">
        <v>1215</v>
      </c>
      <c r="D263" s="427" t="s">
        <v>2352</v>
      </c>
      <c r="E263" s="107" t="str">
        <f>VLOOKUP(B263&amp;C263,Divipola!$C$2:$F$1138,4,FALSE)</f>
        <v>13001</v>
      </c>
      <c r="F263" s="330"/>
      <c r="G263" s="224"/>
      <c r="H263" s="75">
        <v>4</v>
      </c>
      <c r="I263" s="75"/>
      <c r="J263" s="75">
        <v>4</v>
      </c>
      <c r="K263" s="75">
        <v>1</v>
      </c>
      <c r="L263" s="75">
        <v>1</v>
      </c>
      <c r="M263" s="75"/>
      <c r="N263" s="75"/>
      <c r="O263" s="75"/>
      <c r="P263" s="75"/>
      <c r="Q263" s="75"/>
      <c r="R263" s="75"/>
      <c r="S263" s="75"/>
      <c r="T263" s="75"/>
      <c r="U263" s="75"/>
      <c r="V263" s="76"/>
      <c r="W263" s="205"/>
      <c r="X263" s="1"/>
      <c r="Y263" s="78">
        <f t="shared" si="33"/>
        <v>0</v>
      </c>
      <c r="Z263" s="78">
        <f t="shared" si="34"/>
        <v>0</v>
      </c>
      <c r="AA263" s="78">
        <f t="shared" si="35"/>
        <v>0</v>
      </c>
      <c r="AB263" s="78">
        <f t="shared" si="36"/>
        <v>0</v>
      </c>
      <c r="AC263" s="78"/>
      <c r="AD263" s="78">
        <v>0</v>
      </c>
      <c r="AE263" s="80">
        <f t="shared" si="31"/>
        <v>0</v>
      </c>
      <c r="AF263" s="82">
        <v>0</v>
      </c>
      <c r="AG263" s="69">
        <v>40247</v>
      </c>
      <c r="AH263" s="84"/>
      <c r="AI263" s="69" t="s">
        <v>1984</v>
      </c>
      <c r="AJ263" s="25" t="s">
        <v>1985</v>
      </c>
      <c r="AK263" s="65"/>
      <c r="AL263" s="185" t="s">
        <v>1257</v>
      </c>
      <c r="AM263" s="85" t="s">
        <v>1216</v>
      </c>
      <c r="AN263" s="3"/>
      <c r="AO263" s="4"/>
      <c r="AP263" s="5"/>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6"/>
      <c r="CQ263" s="7"/>
      <c r="CR263" s="6"/>
      <c r="CS263" s="7"/>
      <c r="CT263" s="6"/>
      <c r="CU263" s="7"/>
      <c r="CV263" s="8">
        <f t="shared" si="37"/>
        <v>0</v>
      </c>
      <c r="CW263" s="9"/>
      <c r="CX263" s="10"/>
      <c r="CY263" s="11"/>
      <c r="CZ263" s="12"/>
      <c r="DA263" s="29"/>
      <c r="DB263" s="12"/>
      <c r="DC263" s="9"/>
      <c r="DD263" s="10"/>
      <c r="DE263" s="71"/>
      <c r="EO263" s="353" t="str">
        <f t="shared" si="38"/>
        <v>BOLIVAR_CARTAGENA</v>
      </c>
      <c r="EP263" s="350"/>
      <c r="EQ263" s="350" t="s">
        <v>4092</v>
      </c>
      <c r="ER263" s="358" t="s">
        <v>6021</v>
      </c>
      <c r="ES263" s="350" t="s">
        <v>4903</v>
      </c>
      <c r="ET263" s="350" t="s">
        <v>6050</v>
      </c>
      <c r="EU263" s="350" t="str">
        <f t="shared" si="32"/>
        <v>Boyaca_Duitama</v>
      </c>
    </row>
    <row r="264" spans="1:151" ht="120" x14ac:dyDescent="0.2">
      <c r="A264" s="242">
        <v>40247</v>
      </c>
      <c r="B264" s="107" t="s">
        <v>2401</v>
      </c>
      <c r="C264" s="107" t="s">
        <v>1536</v>
      </c>
      <c r="D264" s="427" t="s">
        <v>2209</v>
      </c>
      <c r="E264" s="107" t="str">
        <f>VLOOKUP(B264&amp;C264,Divipola!$C$2:$F$1138,4,FALSE)</f>
        <v>05679</v>
      </c>
      <c r="F264" s="330"/>
      <c r="G264" s="224"/>
      <c r="H264" s="75"/>
      <c r="I264" s="75"/>
      <c r="J264" s="75">
        <f>45*5</f>
        <v>225</v>
      </c>
      <c r="K264" s="75">
        <v>45</v>
      </c>
      <c r="L264" s="75"/>
      <c r="M264" s="75">
        <v>45</v>
      </c>
      <c r="N264" s="75"/>
      <c r="O264" s="75"/>
      <c r="P264" s="75"/>
      <c r="Q264" s="75"/>
      <c r="R264" s="75"/>
      <c r="S264" s="75"/>
      <c r="T264" s="75">
        <v>1</v>
      </c>
      <c r="U264" s="75"/>
      <c r="V264" s="76"/>
      <c r="W264" s="205"/>
      <c r="X264" s="1">
        <v>40310</v>
      </c>
      <c r="Y264" s="78">
        <f t="shared" si="33"/>
        <v>14850000</v>
      </c>
      <c r="Z264" s="78">
        <f t="shared" si="34"/>
        <v>8500000</v>
      </c>
      <c r="AA264" s="78">
        <f t="shared" si="35"/>
        <v>0</v>
      </c>
      <c r="AB264" s="78">
        <f t="shared" si="36"/>
        <v>0</v>
      </c>
      <c r="AC264" s="78">
        <f>292*19140+830*31769+190*24244+3400*1508+850*9338+200*2900+325*25520+1500*406+1850*174</f>
        <v>59432910</v>
      </c>
      <c r="AD264" s="78">
        <v>0</v>
      </c>
      <c r="AE264" s="80">
        <f t="shared" si="31"/>
        <v>82782910</v>
      </c>
      <c r="AF264" s="82">
        <v>0</v>
      </c>
      <c r="AG264" s="69">
        <v>40294</v>
      </c>
      <c r="AH264" s="84">
        <v>96948</v>
      </c>
      <c r="AI264" s="69" t="s">
        <v>2009</v>
      </c>
      <c r="AJ264" s="25" t="s">
        <v>2010</v>
      </c>
      <c r="AK264" s="88" t="s">
        <v>849</v>
      </c>
      <c r="AL264" s="185" t="s">
        <v>2182</v>
      </c>
      <c r="AM264" s="85" t="s">
        <v>2475</v>
      </c>
      <c r="AN264" s="3"/>
      <c r="AO264" s="4"/>
      <c r="AP264" s="5"/>
      <c r="AQ264" s="4"/>
      <c r="AR264" s="4"/>
      <c r="AS264" s="4"/>
      <c r="AT264" s="4"/>
      <c r="AU264" s="4"/>
      <c r="AV264" s="4">
        <v>100</v>
      </c>
      <c r="AW264" s="4">
        <f>100*18000</f>
        <v>1800000</v>
      </c>
      <c r="AX264" s="4"/>
      <c r="AY264" s="4"/>
      <c r="AZ264" s="4"/>
      <c r="BA264" s="4"/>
      <c r="BB264" s="4">
        <v>100</v>
      </c>
      <c r="BC264" s="4">
        <f>100*56000</f>
        <v>5600000</v>
      </c>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6">
        <v>100</v>
      </c>
      <c r="CQ264" s="7">
        <f>100*38500</f>
        <v>3850000</v>
      </c>
      <c r="CR264" s="6">
        <v>100</v>
      </c>
      <c r="CS264" s="7">
        <f>100*36000</f>
        <v>3600000</v>
      </c>
      <c r="CT264" s="6"/>
      <c r="CU264" s="7"/>
      <c r="CV264" s="8">
        <f t="shared" si="37"/>
        <v>14850000</v>
      </c>
      <c r="CW264" s="9"/>
      <c r="CX264" s="10"/>
      <c r="CY264" s="11">
        <v>100</v>
      </c>
      <c r="CZ264" s="12">
        <f>100*85000</f>
        <v>8500000</v>
      </c>
      <c r="DA264" s="29"/>
      <c r="DB264" s="12"/>
      <c r="DC264" s="9"/>
      <c r="DD264" s="10"/>
      <c r="DE264" s="71"/>
      <c r="EO264" s="353" t="str">
        <f t="shared" si="38"/>
        <v>ANTIOQUIA_SANTA BARBARA</v>
      </c>
      <c r="EP264" s="350"/>
      <c r="EQ264" s="350" t="s">
        <v>4092</v>
      </c>
      <c r="ER264" s="358" t="s">
        <v>6021</v>
      </c>
      <c r="ES264" s="350" t="s">
        <v>4904</v>
      </c>
      <c r="ET264" s="350" t="s">
        <v>6051</v>
      </c>
      <c r="EU264" s="350" t="str">
        <f t="shared" si="32"/>
        <v>Boyaca_El Cocuy</v>
      </c>
    </row>
    <row r="265" spans="1:151" ht="252" x14ac:dyDescent="0.2">
      <c r="A265" s="242">
        <v>40247</v>
      </c>
      <c r="B265" s="107" t="s">
        <v>3112</v>
      </c>
      <c r="C265" s="107" t="s">
        <v>1535</v>
      </c>
      <c r="D265" s="427" t="s">
        <v>837</v>
      </c>
      <c r="E265" s="107" t="str">
        <f>VLOOKUP(B265&amp;C265,Divipola!$C$2:$F$1138,4,FALSE)</f>
        <v>18001</v>
      </c>
      <c r="F265" s="330"/>
      <c r="G265" s="224"/>
      <c r="H265" s="75"/>
      <c r="I265" s="75"/>
      <c r="J265" s="75">
        <f>700*5</f>
        <v>3500</v>
      </c>
      <c r="K265" s="75">
        <v>700</v>
      </c>
      <c r="L265" s="75">
        <v>6</v>
      </c>
      <c r="M265" s="75">
        <f>700-6</f>
        <v>694</v>
      </c>
      <c r="N265" s="75">
        <v>3</v>
      </c>
      <c r="O265" s="75">
        <v>1</v>
      </c>
      <c r="P265" s="75">
        <v>8</v>
      </c>
      <c r="Q265" s="75"/>
      <c r="R265" s="75">
        <v>13</v>
      </c>
      <c r="S265" s="75"/>
      <c r="T265" s="75">
        <v>4</v>
      </c>
      <c r="U265" s="75"/>
      <c r="V265" s="76"/>
      <c r="W265" s="205" t="s">
        <v>2004</v>
      </c>
      <c r="X265" s="1">
        <v>40273</v>
      </c>
      <c r="Y265" s="78">
        <f t="shared" si="33"/>
        <v>74500000</v>
      </c>
      <c r="Z265" s="78">
        <f t="shared" si="34"/>
        <v>85000000</v>
      </c>
      <c r="AA265" s="78">
        <f t="shared" si="35"/>
        <v>0</v>
      </c>
      <c r="AB265" s="78">
        <f t="shared" si="36"/>
        <v>0</v>
      </c>
      <c r="AC265" s="78">
        <f>320*322248</f>
        <v>103119360</v>
      </c>
      <c r="AD265" s="78">
        <v>300000000</v>
      </c>
      <c r="AE265" s="80">
        <f t="shared" ref="AE265:AE328" si="39">Y265+Z265+AA265+AB265+AC265+AD265</f>
        <v>562619360</v>
      </c>
      <c r="AF265" s="82">
        <v>0</v>
      </c>
      <c r="AG265" s="69">
        <v>40248</v>
      </c>
      <c r="AH265" s="84">
        <v>96283</v>
      </c>
      <c r="AI265" s="69" t="s">
        <v>2009</v>
      </c>
      <c r="AJ265" s="25" t="s">
        <v>2010</v>
      </c>
      <c r="AK265" s="88" t="s">
        <v>701</v>
      </c>
      <c r="AL265" s="185" t="s">
        <v>886</v>
      </c>
      <c r="AM265" s="85" t="s">
        <v>1020</v>
      </c>
      <c r="AN265" s="3"/>
      <c r="AO265" s="4"/>
      <c r="AP265" s="5"/>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6">
        <v>1000</v>
      </c>
      <c r="CQ265" s="7">
        <f>1000*38500</f>
        <v>38500000</v>
      </c>
      <c r="CR265" s="6">
        <v>1000</v>
      </c>
      <c r="CS265" s="7">
        <f>1000*36000</f>
        <v>36000000</v>
      </c>
      <c r="CT265" s="6"/>
      <c r="CU265" s="7"/>
      <c r="CV265" s="8">
        <f t="shared" si="37"/>
        <v>74500000</v>
      </c>
      <c r="CW265" s="9"/>
      <c r="CX265" s="10"/>
      <c r="CY265" s="11">
        <v>1000</v>
      </c>
      <c r="CZ265" s="12">
        <f>1000*85000</f>
        <v>85000000</v>
      </c>
      <c r="DA265" s="29"/>
      <c r="DB265" s="12"/>
      <c r="DC265" s="9"/>
      <c r="DD265" s="10"/>
      <c r="DE265" s="89">
        <v>4</v>
      </c>
      <c r="EO265" s="361" t="str">
        <f t="shared" si="38"/>
        <v>CAQUETA_FLORENCIA</v>
      </c>
      <c r="EP265" s="362"/>
      <c r="EQ265" s="350" t="s">
        <v>4092</v>
      </c>
      <c r="ER265" s="358" t="s">
        <v>6021</v>
      </c>
      <c r="ES265" s="350" t="s">
        <v>4905</v>
      </c>
      <c r="ET265" s="350" t="s">
        <v>6052</v>
      </c>
      <c r="EU265" s="350" t="str">
        <f t="shared" si="32"/>
        <v>Boyaca_El Espino</v>
      </c>
    </row>
    <row r="266" spans="1:151" ht="25.5" x14ac:dyDescent="0.2">
      <c r="A266" s="242">
        <v>40247</v>
      </c>
      <c r="B266" s="222" t="s">
        <v>1333</v>
      </c>
      <c r="C266" s="222" t="s">
        <v>2030</v>
      </c>
      <c r="D266" s="430" t="s">
        <v>2209</v>
      </c>
      <c r="E266" s="107" t="str">
        <f>VLOOKUP(B266&amp;C266,Divipola!$C$2:$F$1138,4,FALSE)</f>
        <v>41319</v>
      </c>
      <c r="F266" s="333"/>
      <c r="G266" s="221"/>
      <c r="H266" s="157"/>
      <c r="I266" s="157"/>
      <c r="J266" s="157">
        <v>130</v>
      </c>
      <c r="K266" s="157">
        <v>26</v>
      </c>
      <c r="L266" s="157"/>
      <c r="M266" s="157">
        <v>26</v>
      </c>
      <c r="N266" s="157"/>
      <c r="O266" s="157"/>
      <c r="P266" s="157"/>
      <c r="Q266" s="157">
        <v>1</v>
      </c>
      <c r="R266" s="157"/>
      <c r="S266" s="157"/>
      <c r="T266" s="157"/>
      <c r="U266" s="157"/>
      <c r="V266" s="158"/>
      <c r="W266" s="182"/>
      <c r="X266" s="1"/>
      <c r="Y266" s="78">
        <f t="shared" si="33"/>
        <v>0</v>
      </c>
      <c r="Z266" s="78">
        <f t="shared" si="34"/>
        <v>0</v>
      </c>
      <c r="AA266" s="78">
        <f t="shared" si="35"/>
        <v>0</v>
      </c>
      <c r="AB266" s="78">
        <f t="shared" si="36"/>
        <v>0</v>
      </c>
      <c r="AC266" s="78"/>
      <c r="AD266" s="78">
        <v>0</v>
      </c>
      <c r="AE266" s="80">
        <f t="shared" si="39"/>
        <v>0</v>
      </c>
      <c r="AF266" s="82">
        <v>0</v>
      </c>
      <c r="AG266" s="69">
        <v>40581</v>
      </c>
      <c r="AH266" s="84"/>
      <c r="AI266" s="69" t="s">
        <v>1984</v>
      </c>
      <c r="AJ266" s="25" t="s">
        <v>1985</v>
      </c>
      <c r="AK266" s="65"/>
      <c r="AL266" s="176" t="s">
        <v>1257</v>
      </c>
      <c r="AM266" s="173" t="s">
        <v>349</v>
      </c>
      <c r="AN266" s="159"/>
      <c r="AO266" s="160"/>
      <c r="AP266" s="161"/>
      <c r="AQ266" s="160"/>
      <c r="AR266" s="160"/>
      <c r="AS266" s="160"/>
      <c r="AT266" s="160"/>
      <c r="AU266" s="160"/>
      <c r="AV266" s="160"/>
      <c r="AW266" s="160"/>
      <c r="AX266" s="160"/>
      <c r="AY266" s="160"/>
      <c r="AZ266" s="160"/>
      <c r="BA266" s="160"/>
      <c r="BB266" s="160"/>
      <c r="BC266" s="160"/>
      <c r="BD266" s="160"/>
      <c r="BE266" s="160"/>
      <c r="BF266" s="160"/>
      <c r="BG266" s="160"/>
      <c r="BH266" s="160"/>
      <c r="BI266" s="160"/>
      <c r="BJ266" s="160"/>
      <c r="BK266" s="160"/>
      <c r="BL266" s="160"/>
      <c r="BM266" s="160"/>
      <c r="BN266" s="160"/>
      <c r="BO266" s="160"/>
      <c r="BP266" s="160"/>
      <c r="BQ266" s="160"/>
      <c r="BR266" s="160"/>
      <c r="BS266" s="160"/>
      <c r="BT266" s="160"/>
      <c r="BU266" s="160"/>
      <c r="BV266" s="160"/>
      <c r="BW266" s="160"/>
      <c r="BX266" s="160"/>
      <c r="BY266" s="160"/>
      <c r="BZ266" s="160"/>
      <c r="CA266" s="160"/>
      <c r="CB266" s="160"/>
      <c r="CC266" s="160"/>
      <c r="CD266" s="160"/>
      <c r="CE266" s="160"/>
      <c r="CF266" s="160"/>
      <c r="CG266" s="160"/>
      <c r="CH266" s="160"/>
      <c r="CI266" s="160"/>
      <c r="CJ266" s="160"/>
      <c r="CK266" s="160"/>
      <c r="CL266" s="160"/>
      <c r="CM266" s="160"/>
      <c r="CN266" s="160"/>
      <c r="CO266" s="160"/>
      <c r="CP266" s="162"/>
      <c r="CQ266" s="163"/>
      <c r="CR266" s="162"/>
      <c r="CS266" s="163"/>
      <c r="CT266" s="162"/>
      <c r="CU266" s="163"/>
      <c r="CV266" s="164">
        <f t="shared" si="37"/>
        <v>0</v>
      </c>
      <c r="CW266" s="165"/>
      <c r="CX266" s="166"/>
      <c r="CY266" s="167"/>
      <c r="CZ266" s="168"/>
      <c r="DA266" s="169"/>
      <c r="DB266" s="168"/>
      <c r="DC266" s="165"/>
      <c r="DD266" s="166"/>
      <c r="DE266" s="71"/>
      <c r="DF266" s="170"/>
      <c r="EO266" s="361" t="str">
        <f t="shared" si="38"/>
        <v>HUILA_GUADALUPE</v>
      </c>
      <c r="EP266" s="362"/>
      <c r="EQ266" s="350" t="s">
        <v>4092</v>
      </c>
      <c r="ER266" s="358" t="s">
        <v>6021</v>
      </c>
      <c r="ES266" s="350" t="s">
        <v>4906</v>
      </c>
      <c r="ET266" s="350" t="s">
        <v>6053</v>
      </c>
      <c r="EU266" s="350" t="str">
        <f t="shared" si="32"/>
        <v>Boyaca_Firavitoba</v>
      </c>
    </row>
    <row r="267" spans="1:151" ht="38.25" x14ac:dyDescent="0.2">
      <c r="A267" s="242">
        <v>40247</v>
      </c>
      <c r="B267" s="107" t="s">
        <v>832</v>
      </c>
      <c r="C267" s="107" t="s">
        <v>4657</v>
      </c>
      <c r="D267" s="427" t="s">
        <v>837</v>
      </c>
      <c r="E267" s="107" t="str">
        <f>VLOOKUP(B267&amp;C267,Divipola!$C$2:$F$1138,4,FALSE)</f>
        <v>86885</v>
      </c>
      <c r="F267" s="330"/>
      <c r="G267" s="224"/>
      <c r="H267" s="75"/>
      <c r="I267" s="75"/>
      <c r="J267" s="75">
        <v>209</v>
      </c>
      <c r="K267" s="75">
        <v>43</v>
      </c>
      <c r="L267" s="75"/>
      <c r="M267" s="75">
        <v>43</v>
      </c>
      <c r="N267" s="75"/>
      <c r="O267" s="75"/>
      <c r="P267" s="75"/>
      <c r="Q267" s="75"/>
      <c r="R267" s="75"/>
      <c r="S267" s="75"/>
      <c r="T267" s="75"/>
      <c r="U267" s="75"/>
      <c r="V267" s="76"/>
      <c r="W267" s="205"/>
      <c r="X267" s="1"/>
      <c r="Y267" s="78">
        <f t="shared" si="33"/>
        <v>0</v>
      </c>
      <c r="Z267" s="78">
        <f t="shared" si="34"/>
        <v>0</v>
      </c>
      <c r="AA267" s="78">
        <f t="shared" si="35"/>
        <v>0</v>
      </c>
      <c r="AB267" s="78">
        <f t="shared" si="36"/>
        <v>0</v>
      </c>
      <c r="AC267" s="78"/>
      <c r="AD267" s="78">
        <v>0</v>
      </c>
      <c r="AE267" s="80">
        <f t="shared" si="39"/>
        <v>0</v>
      </c>
      <c r="AF267" s="82">
        <v>0</v>
      </c>
      <c r="AG267" s="69">
        <v>40249</v>
      </c>
      <c r="AH267" s="84"/>
      <c r="AI267" s="69" t="s">
        <v>1984</v>
      </c>
      <c r="AJ267" s="25" t="s">
        <v>1985</v>
      </c>
      <c r="AK267" s="65"/>
      <c r="AL267" s="185" t="s">
        <v>1257</v>
      </c>
      <c r="AM267" s="85" t="s">
        <v>1737</v>
      </c>
      <c r="AN267" s="3"/>
      <c r="AO267" s="4"/>
      <c r="AP267" s="5"/>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6"/>
      <c r="CQ267" s="7"/>
      <c r="CR267" s="6"/>
      <c r="CS267" s="7"/>
      <c r="CT267" s="6"/>
      <c r="CU267" s="7"/>
      <c r="CV267" s="8">
        <f t="shared" si="37"/>
        <v>0</v>
      </c>
      <c r="CW267" s="9"/>
      <c r="CX267" s="10"/>
      <c r="CY267" s="11"/>
      <c r="CZ267" s="12"/>
      <c r="DA267" s="29"/>
      <c r="DB267" s="12"/>
      <c r="DC267" s="9"/>
      <c r="DD267" s="10"/>
      <c r="DE267" s="71"/>
      <c r="EO267" s="359" t="str">
        <f t="shared" si="38"/>
        <v>PUTUMAYO_VILLAGARZON</v>
      </c>
      <c r="EP267" s="360"/>
      <c r="EQ267" s="350" t="s">
        <v>4092</v>
      </c>
      <c r="ER267" s="358" t="s">
        <v>6021</v>
      </c>
      <c r="ES267" s="350" t="s">
        <v>4907</v>
      </c>
      <c r="ET267" s="350" t="s">
        <v>6054</v>
      </c>
      <c r="EU267" s="350" t="str">
        <f t="shared" si="32"/>
        <v>Boyaca_Floresta</v>
      </c>
    </row>
    <row r="268" spans="1:151" ht="144" x14ac:dyDescent="0.2">
      <c r="A268" s="242">
        <v>40248</v>
      </c>
      <c r="B268" s="107" t="s">
        <v>3112</v>
      </c>
      <c r="C268" s="107" t="s">
        <v>2195</v>
      </c>
      <c r="D268" s="427" t="s">
        <v>2307</v>
      </c>
      <c r="E268" s="107" t="str">
        <f>VLOOKUP(B268&amp;C268,Divipola!$C$2:$F$1138,4,FALSE)</f>
        <v>18094</v>
      </c>
      <c r="F268" s="330"/>
      <c r="G268" s="224"/>
      <c r="H268" s="75"/>
      <c r="I268" s="75"/>
      <c r="J268" s="75">
        <f>55*5</f>
        <v>275</v>
      </c>
      <c r="K268" s="75">
        <v>55</v>
      </c>
      <c r="L268" s="75">
        <v>1</v>
      </c>
      <c r="M268" s="75"/>
      <c r="N268" s="75"/>
      <c r="O268" s="75"/>
      <c r="P268" s="75"/>
      <c r="Q268" s="75"/>
      <c r="R268" s="75"/>
      <c r="S268" s="75"/>
      <c r="T268" s="75"/>
      <c r="U268" s="75"/>
      <c r="V268" s="76"/>
      <c r="W268" s="205" t="s">
        <v>2180</v>
      </c>
      <c r="X268" s="1">
        <v>40340</v>
      </c>
      <c r="Y268" s="78">
        <f t="shared" si="33"/>
        <v>0</v>
      </c>
      <c r="Z268" s="78">
        <f t="shared" si="34"/>
        <v>0</v>
      </c>
      <c r="AA268" s="78">
        <f t="shared" si="35"/>
        <v>0</v>
      </c>
      <c r="AB268" s="78">
        <f t="shared" si="36"/>
        <v>0</v>
      </c>
      <c r="AC268" s="78">
        <f>70*33872+30*24940+8*32480+130*40368+25*164720+500*18560+80*1879</f>
        <v>22175240</v>
      </c>
      <c r="AD268" s="78">
        <v>0</v>
      </c>
      <c r="AE268" s="80">
        <f t="shared" si="39"/>
        <v>22175240</v>
      </c>
      <c r="AF268" s="82">
        <v>0</v>
      </c>
      <c r="AG268" s="69">
        <v>40303</v>
      </c>
      <c r="AH268" s="84">
        <v>97232</v>
      </c>
      <c r="AI268" s="69" t="s">
        <v>2009</v>
      </c>
      <c r="AJ268" s="25" t="s">
        <v>2010</v>
      </c>
      <c r="AK268" s="65">
        <v>154</v>
      </c>
      <c r="AL268" s="185" t="s">
        <v>2182</v>
      </c>
      <c r="AM268" s="85" t="s">
        <v>846</v>
      </c>
      <c r="AN268" s="3"/>
      <c r="AO268" s="4"/>
      <c r="AP268" s="5"/>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6"/>
      <c r="CQ268" s="7"/>
      <c r="CR268" s="6"/>
      <c r="CS268" s="7"/>
      <c r="CT268" s="6"/>
      <c r="CU268" s="7"/>
      <c r="CV268" s="8">
        <f t="shared" si="37"/>
        <v>0</v>
      </c>
      <c r="CW268" s="9"/>
      <c r="CX268" s="10"/>
      <c r="CY268" s="11"/>
      <c r="CZ268" s="12"/>
      <c r="DA268" s="29"/>
      <c r="DB268" s="12"/>
      <c r="DC268" s="9"/>
      <c r="DD268" s="10"/>
      <c r="DE268" s="71"/>
      <c r="EO268" s="359" t="str">
        <f t="shared" si="38"/>
        <v>CAQUETA_BELEN DE LOS ANDAQUIES</v>
      </c>
      <c r="EP268" s="360"/>
      <c r="EQ268" s="350" t="s">
        <v>4092</v>
      </c>
      <c r="ER268" s="358" t="s">
        <v>6021</v>
      </c>
      <c r="ES268" s="350" t="s">
        <v>4908</v>
      </c>
      <c r="ET268" s="350" t="s">
        <v>6055</v>
      </c>
      <c r="EU268" s="350" t="str">
        <f t="shared" si="32"/>
        <v>Boyaca_Gachantiva</v>
      </c>
    </row>
    <row r="269" spans="1:151" ht="38.25" x14ac:dyDescent="0.2">
      <c r="A269" s="242">
        <v>40249</v>
      </c>
      <c r="B269" s="107" t="s">
        <v>1189</v>
      </c>
      <c r="C269" s="107" t="s">
        <v>713</v>
      </c>
      <c r="D269" s="427" t="s">
        <v>2209</v>
      </c>
      <c r="E269" s="107" t="str">
        <f>VLOOKUP(B269&amp;C269,Divipola!$C$2:$F$1138,4,FALSE)</f>
        <v>85125</v>
      </c>
      <c r="F269" s="330"/>
      <c r="G269" s="224"/>
      <c r="H269" s="75"/>
      <c r="I269" s="75"/>
      <c r="J269" s="75">
        <v>60</v>
      </c>
      <c r="K269" s="75">
        <v>10</v>
      </c>
      <c r="L269" s="75"/>
      <c r="M269" s="75">
        <v>10</v>
      </c>
      <c r="N269" s="75"/>
      <c r="O269" s="75"/>
      <c r="P269" s="75"/>
      <c r="Q269" s="75"/>
      <c r="R269" s="75"/>
      <c r="S269" s="75"/>
      <c r="T269" s="75"/>
      <c r="U269" s="75"/>
      <c r="V269" s="76">
        <v>60</v>
      </c>
      <c r="W269" s="205" t="s">
        <v>1736</v>
      </c>
      <c r="X269" s="1"/>
      <c r="Y269" s="78">
        <f t="shared" si="33"/>
        <v>0</v>
      </c>
      <c r="Z269" s="78">
        <f t="shared" si="34"/>
        <v>0</v>
      </c>
      <c r="AA269" s="78">
        <f t="shared" si="35"/>
        <v>0</v>
      </c>
      <c r="AB269" s="78">
        <f t="shared" si="36"/>
        <v>0</v>
      </c>
      <c r="AC269" s="78"/>
      <c r="AD269" s="78">
        <v>0</v>
      </c>
      <c r="AE269" s="80">
        <f t="shared" si="39"/>
        <v>0</v>
      </c>
      <c r="AF269" s="82">
        <v>0</v>
      </c>
      <c r="AG269" s="69">
        <v>40252</v>
      </c>
      <c r="AH269" s="84"/>
      <c r="AI269" s="69" t="s">
        <v>1984</v>
      </c>
      <c r="AJ269" s="25" t="s">
        <v>1985</v>
      </c>
      <c r="AK269" s="65"/>
      <c r="AL269" s="185" t="s">
        <v>1257</v>
      </c>
      <c r="AM269" s="85" t="s">
        <v>1735</v>
      </c>
      <c r="AN269" s="3"/>
      <c r="AO269" s="4"/>
      <c r="AP269" s="5"/>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6"/>
      <c r="CQ269" s="7"/>
      <c r="CR269" s="6"/>
      <c r="CS269" s="7"/>
      <c r="CT269" s="6"/>
      <c r="CU269" s="7"/>
      <c r="CV269" s="8">
        <f t="shared" si="37"/>
        <v>0</v>
      </c>
      <c r="CW269" s="9"/>
      <c r="CX269" s="10"/>
      <c r="CY269" s="11"/>
      <c r="CZ269" s="12"/>
      <c r="DA269" s="29"/>
      <c r="DB269" s="12"/>
      <c r="DC269" s="9"/>
      <c r="DD269" s="10"/>
      <c r="DE269" s="71"/>
      <c r="EO269" s="353" t="str">
        <f t="shared" si="38"/>
        <v>CASANARE_HATO COROZAL</v>
      </c>
      <c r="EP269" s="350"/>
      <c r="EQ269" s="362" t="s">
        <v>4092</v>
      </c>
      <c r="ER269" s="358" t="s">
        <v>6021</v>
      </c>
      <c r="ES269" s="362" t="s">
        <v>4909</v>
      </c>
      <c r="ET269" s="362" t="s">
        <v>6056</v>
      </c>
      <c r="EU269" s="362" t="str">
        <f t="shared" si="32"/>
        <v>Boyaca_Gameza</v>
      </c>
    </row>
    <row r="270" spans="1:151" ht="84" x14ac:dyDescent="0.2">
      <c r="A270" s="242">
        <v>40250</v>
      </c>
      <c r="B270" s="107" t="s">
        <v>828</v>
      </c>
      <c r="C270" s="107" t="s">
        <v>287</v>
      </c>
      <c r="D270" s="427" t="s">
        <v>2209</v>
      </c>
      <c r="E270" s="107" t="str">
        <f>VLOOKUP(B270&amp;C270,Divipola!$C$2:$F$1138,4,FALSE)</f>
        <v>15763</v>
      </c>
      <c r="F270" s="330"/>
      <c r="G270" s="224"/>
      <c r="H270" s="75"/>
      <c r="I270" s="75"/>
      <c r="J270" s="75"/>
      <c r="K270" s="75"/>
      <c r="L270" s="75"/>
      <c r="M270" s="75"/>
      <c r="N270" s="75"/>
      <c r="O270" s="75"/>
      <c r="P270" s="75"/>
      <c r="Q270" s="75"/>
      <c r="R270" s="75"/>
      <c r="S270" s="75"/>
      <c r="T270" s="75">
        <v>2</v>
      </c>
      <c r="U270" s="75"/>
      <c r="V270" s="76"/>
      <c r="W270" s="205"/>
      <c r="X270" s="1"/>
      <c r="Y270" s="78">
        <f t="shared" si="33"/>
        <v>0</v>
      </c>
      <c r="Z270" s="78">
        <f t="shared" si="34"/>
        <v>0</v>
      </c>
      <c r="AA270" s="78">
        <f t="shared" si="35"/>
        <v>0</v>
      </c>
      <c r="AB270" s="78">
        <f t="shared" si="36"/>
        <v>0</v>
      </c>
      <c r="AC270" s="78"/>
      <c r="AD270" s="78">
        <v>0</v>
      </c>
      <c r="AE270" s="80">
        <f t="shared" si="39"/>
        <v>0</v>
      </c>
      <c r="AF270" s="82">
        <v>0</v>
      </c>
      <c r="AG270" s="69">
        <v>40282</v>
      </c>
      <c r="AH270" s="84">
        <v>96447</v>
      </c>
      <c r="AI270" s="69" t="s">
        <v>2009</v>
      </c>
      <c r="AJ270" s="25" t="s">
        <v>1985</v>
      </c>
      <c r="AK270" s="65"/>
      <c r="AL270" s="185" t="s">
        <v>2186</v>
      </c>
      <c r="AM270" s="85" t="s">
        <v>945</v>
      </c>
      <c r="AN270" s="3"/>
      <c r="AO270" s="4"/>
      <c r="AP270" s="5"/>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6"/>
      <c r="CQ270" s="7"/>
      <c r="CR270" s="6"/>
      <c r="CS270" s="7"/>
      <c r="CT270" s="6"/>
      <c r="CU270" s="7"/>
      <c r="CV270" s="8">
        <f t="shared" si="37"/>
        <v>0</v>
      </c>
      <c r="CW270" s="9"/>
      <c r="CX270" s="10"/>
      <c r="CY270" s="11"/>
      <c r="CZ270" s="12"/>
      <c r="DA270" s="29"/>
      <c r="DB270" s="12"/>
      <c r="DC270" s="9"/>
      <c r="DD270" s="10"/>
      <c r="DE270" s="71"/>
      <c r="EO270" s="353" t="str">
        <f t="shared" si="38"/>
        <v>BOYACA_SOTAQUIRA</v>
      </c>
      <c r="EP270" s="350"/>
      <c r="EQ270" s="362" t="s">
        <v>4092</v>
      </c>
      <c r="ER270" s="358" t="s">
        <v>6021</v>
      </c>
      <c r="ES270" s="362" t="s">
        <v>4910</v>
      </c>
      <c r="ET270" s="362" t="s">
        <v>6057</v>
      </c>
      <c r="EU270" s="362" t="str">
        <f t="shared" si="32"/>
        <v>Boyaca_Garagoa</v>
      </c>
    </row>
    <row r="271" spans="1:151" ht="101.25" x14ac:dyDescent="0.2">
      <c r="A271" s="244">
        <v>40250</v>
      </c>
      <c r="B271" s="235" t="s">
        <v>2007</v>
      </c>
      <c r="C271" s="235" t="s">
        <v>2808</v>
      </c>
      <c r="D271" s="427" t="s">
        <v>2779</v>
      </c>
      <c r="E271" s="107" t="str">
        <f>VLOOKUP(B271&amp;C271,Divipola!$C$2:$F$1138,4,FALSE)</f>
        <v>25799</v>
      </c>
      <c r="F271" s="330"/>
      <c r="G271" s="224"/>
      <c r="H271" s="75"/>
      <c r="I271" s="75"/>
      <c r="J271" s="75"/>
      <c r="K271" s="75"/>
      <c r="L271" s="75"/>
      <c r="M271" s="75"/>
      <c r="N271" s="75"/>
      <c r="O271" s="75"/>
      <c r="P271" s="75"/>
      <c r="Q271" s="75"/>
      <c r="R271" s="75"/>
      <c r="S271" s="75"/>
      <c r="T271" s="75"/>
      <c r="U271" s="75"/>
      <c r="V271" s="76">
        <v>130</v>
      </c>
      <c r="W271" s="205"/>
      <c r="X271" s="1">
        <v>40262</v>
      </c>
      <c r="Y271" s="78">
        <f t="shared" si="33"/>
        <v>0</v>
      </c>
      <c r="Z271" s="78">
        <f t="shared" si="34"/>
        <v>0</v>
      </c>
      <c r="AA271" s="78">
        <f t="shared" si="35"/>
        <v>0</v>
      </c>
      <c r="AB271" s="78">
        <f t="shared" si="36"/>
        <v>0</v>
      </c>
      <c r="AC271" s="78"/>
      <c r="AD271" s="78">
        <v>39931350</v>
      </c>
      <c r="AE271" s="80">
        <f t="shared" si="39"/>
        <v>39931350</v>
      </c>
      <c r="AF271" s="82">
        <v>0</v>
      </c>
      <c r="AG271" s="69">
        <v>40260</v>
      </c>
      <c r="AH271" s="84">
        <v>96127</v>
      </c>
      <c r="AI271" s="69" t="s">
        <v>2009</v>
      </c>
      <c r="AJ271" s="25" t="s">
        <v>2010</v>
      </c>
      <c r="AK271" s="65">
        <v>177</v>
      </c>
      <c r="AL271" s="185" t="s">
        <v>2809</v>
      </c>
      <c r="AM271" s="108" t="s">
        <v>2018</v>
      </c>
      <c r="AN271" s="3"/>
      <c r="AO271" s="4"/>
      <c r="AP271" s="5"/>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6"/>
      <c r="CQ271" s="7"/>
      <c r="CR271" s="6"/>
      <c r="CS271" s="7"/>
      <c r="CT271" s="6"/>
      <c r="CU271" s="7"/>
      <c r="CV271" s="8">
        <f t="shared" si="37"/>
        <v>0</v>
      </c>
      <c r="CW271" s="9"/>
      <c r="CX271" s="10"/>
      <c r="CY271" s="11"/>
      <c r="CZ271" s="12"/>
      <c r="DA271" s="29"/>
      <c r="DB271" s="12"/>
      <c r="DC271" s="9"/>
      <c r="DD271" s="10"/>
      <c r="DE271" s="71">
        <v>2</v>
      </c>
      <c r="EO271" s="353" t="str">
        <f t="shared" si="38"/>
        <v>CUNDINAMARCA_TENJO</v>
      </c>
      <c r="EP271" s="350"/>
      <c r="EQ271" s="360" t="s">
        <v>4092</v>
      </c>
      <c r="ER271" s="358" t="s">
        <v>6021</v>
      </c>
      <c r="ES271" s="360" t="s">
        <v>4911</v>
      </c>
      <c r="ET271" s="360" t="s">
        <v>6058</v>
      </c>
      <c r="EU271" s="360" t="str">
        <f t="shared" si="32"/>
        <v>Boyaca_Guacamayas</v>
      </c>
    </row>
    <row r="272" spans="1:151" ht="25.5" x14ac:dyDescent="0.2">
      <c r="A272" s="242">
        <v>40251</v>
      </c>
      <c r="B272" s="107" t="s">
        <v>708</v>
      </c>
      <c r="C272" s="107" t="s">
        <v>1738</v>
      </c>
      <c r="D272" s="427" t="s">
        <v>2209</v>
      </c>
      <c r="E272" s="107" t="str">
        <f>VLOOKUP(B272&amp;C272,Divipola!$C$2:$F$1138,4,FALSE)</f>
        <v>50400</v>
      </c>
      <c r="F272" s="330"/>
      <c r="G272" s="224"/>
      <c r="H272" s="75"/>
      <c r="I272" s="75"/>
      <c r="J272" s="75">
        <v>5</v>
      </c>
      <c r="K272" s="75">
        <v>1</v>
      </c>
      <c r="L272" s="75"/>
      <c r="M272" s="75">
        <v>1</v>
      </c>
      <c r="N272" s="75"/>
      <c r="O272" s="75"/>
      <c r="P272" s="75"/>
      <c r="Q272" s="75"/>
      <c r="R272" s="75"/>
      <c r="S272" s="75"/>
      <c r="T272" s="75"/>
      <c r="U272" s="75"/>
      <c r="V272" s="76"/>
      <c r="W272" s="205"/>
      <c r="X272" s="1"/>
      <c r="Y272" s="78">
        <f t="shared" si="33"/>
        <v>0</v>
      </c>
      <c r="Z272" s="78">
        <f t="shared" si="34"/>
        <v>0</v>
      </c>
      <c r="AA272" s="78">
        <f t="shared" si="35"/>
        <v>0</v>
      </c>
      <c r="AB272" s="78">
        <f t="shared" si="36"/>
        <v>0</v>
      </c>
      <c r="AC272" s="78"/>
      <c r="AD272" s="78">
        <v>0</v>
      </c>
      <c r="AE272" s="80">
        <f t="shared" si="39"/>
        <v>0</v>
      </c>
      <c r="AF272" s="82">
        <v>0</v>
      </c>
      <c r="AG272" s="69">
        <v>40251</v>
      </c>
      <c r="AH272" s="84"/>
      <c r="AI272" s="69" t="s">
        <v>1984</v>
      </c>
      <c r="AJ272" s="25" t="s">
        <v>1985</v>
      </c>
      <c r="AK272" s="65"/>
      <c r="AL272" s="185" t="s">
        <v>1257</v>
      </c>
      <c r="AM272" s="85" t="s">
        <v>1542</v>
      </c>
      <c r="AN272" s="3"/>
      <c r="AO272" s="4"/>
      <c r="AP272" s="5"/>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6"/>
      <c r="CQ272" s="7"/>
      <c r="CR272" s="6"/>
      <c r="CS272" s="7"/>
      <c r="CT272" s="6"/>
      <c r="CU272" s="7"/>
      <c r="CV272" s="8">
        <f t="shared" si="37"/>
        <v>0</v>
      </c>
      <c r="CW272" s="9"/>
      <c r="CX272" s="10"/>
      <c r="CY272" s="11"/>
      <c r="CZ272" s="12"/>
      <c r="DA272" s="29"/>
      <c r="DB272" s="12"/>
      <c r="DC272" s="9"/>
      <c r="DD272" s="10"/>
      <c r="DE272" s="71"/>
      <c r="EO272" s="353" t="str">
        <f t="shared" si="38"/>
        <v>META_LEJANIAS</v>
      </c>
      <c r="EP272" s="350"/>
      <c r="EQ272" s="360" t="s">
        <v>4092</v>
      </c>
      <c r="ER272" s="358" t="s">
        <v>6021</v>
      </c>
      <c r="ES272" s="360" t="s">
        <v>4912</v>
      </c>
      <c r="ET272" s="360" t="s">
        <v>6059</v>
      </c>
      <c r="EU272" s="360" t="str">
        <f t="shared" si="32"/>
        <v>Boyaca_Guateque</v>
      </c>
    </row>
    <row r="273" spans="1:151" ht="38.25" x14ac:dyDescent="0.2">
      <c r="A273" s="242">
        <v>40252</v>
      </c>
      <c r="B273" s="107" t="s">
        <v>1951</v>
      </c>
      <c r="C273" s="107" t="s">
        <v>1989</v>
      </c>
      <c r="D273" s="427" t="s">
        <v>837</v>
      </c>
      <c r="E273" s="107" t="str">
        <f>VLOOKUP(B273&amp;C273,Divipola!$C$2:$F$1138,4,FALSE)</f>
        <v>08001</v>
      </c>
      <c r="F273" s="330"/>
      <c r="G273" s="224"/>
      <c r="H273" s="75"/>
      <c r="I273" s="75"/>
      <c r="J273" s="75">
        <v>35</v>
      </c>
      <c r="K273" s="75">
        <v>7</v>
      </c>
      <c r="L273" s="75"/>
      <c r="M273" s="75">
        <v>7</v>
      </c>
      <c r="N273" s="75"/>
      <c r="O273" s="75"/>
      <c r="P273" s="75"/>
      <c r="Q273" s="75"/>
      <c r="R273" s="75"/>
      <c r="S273" s="75"/>
      <c r="T273" s="75"/>
      <c r="U273" s="75"/>
      <c r="V273" s="76"/>
      <c r="W273" s="205"/>
      <c r="X273" s="1"/>
      <c r="Y273" s="78">
        <f t="shared" si="33"/>
        <v>0</v>
      </c>
      <c r="Z273" s="78">
        <f t="shared" si="34"/>
        <v>0</v>
      </c>
      <c r="AA273" s="78">
        <f t="shared" si="35"/>
        <v>0</v>
      </c>
      <c r="AB273" s="78">
        <f t="shared" si="36"/>
        <v>0</v>
      </c>
      <c r="AC273" s="78"/>
      <c r="AD273" s="78">
        <v>0</v>
      </c>
      <c r="AE273" s="80">
        <f t="shared" si="39"/>
        <v>0</v>
      </c>
      <c r="AF273" s="82">
        <v>0</v>
      </c>
      <c r="AG273" s="69">
        <v>40260</v>
      </c>
      <c r="AH273" s="84"/>
      <c r="AI273" s="69" t="s">
        <v>1984</v>
      </c>
      <c r="AJ273" s="25" t="s">
        <v>1985</v>
      </c>
      <c r="AK273" s="65"/>
      <c r="AL273" s="185" t="s">
        <v>1257</v>
      </c>
      <c r="AM273" s="85" t="s">
        <v>1464</v>
      </c>
      <c r="AN273" s="3"/>
      <c r="AO273" s="4"/>
      <c r="AP273" s="5"/>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6"/>
      <c r="CQ273" s="7"/>
      <c r="CR273" s="6"/>
      <c r="CS273" s="7"/>
      <c r="CT273" s="6"/>
      <c r="CU273" s="7"/>
      <c r="CV273" s="8">
        <f t="shared" si="37"/>
        <v>0</v>
      </c>
      <c r="CW273" s="9"/>
      <c r="CX273" s="10"/>
      <c r="CY273" s="11"/>
      <c r="CZ273" s="12"/>
      <c r="DA273" s="29"/>
      <c r="DB273" s="12"/>
      <c r="DC273" s="9"/>
      <c r="DD273" s="10"/>
      <c r="DE273" s="71"/>
      <c r="EO273" s="353" t="str">
        <f t="shared" si="38"/>
        <v>ATLANTICO_BARRANQUILLA</v>
      </c>
      <c r="EP273" s="350"/>
      <c r="EQ273" s="350" t="s">
        <v>4092</v>
      </c>
      <c r="ER273" s="358" t="s">
        <v>6021</v>
      </c>
      <c r="ES273" s="350" t="s">
        <v>4913</v>
      </c>
      <c r="ET273" s="350" t="s">
        <v>6060</v>
      </c>
      <c r="EU273" s="350" t="str">
        <f t="shared" si="32"/>
        <v>Boyaca_Guayata</v>
      </c>
    </row>
    <row r="274" spans="1:151" s="90" customFormat="1" ht="25.5" x14ac:dyDescent="0.2">
      <c r="A274" s="242">
        <v>40252</v>
      </c>
      <c r="B274" s="107" t="s">
        <v>708</v>
      </c>
      <c r="C274" s="107" t="s">
        <v>709</v>
      </c>
      <c r="D274" s="427" t="s">
        <v>2209</v>
      </c>
      <c r="E274" s="107" t="str">
        <f>VLOOKUP(B274&amp;C274,Divipola!$C$2:$F$1138,4,FALSE)</f>
        <v>50251</v>
      </c>
      <c r="F274" s="330"/>
      <c r="G274" s="224"/>
      <c r="H274" s="75">
        <v>1</v>
      </c>
      <c r="I274" s="75"/>
      <c r="J274" s="75">
        <v>15</v>
      </c>
      <c r="K274" s="75">
        <v>3</v>
      </c>
      <c r="L274" s="75"/>
      <c r="M274" s="75">
        <v>3</v>
      </c>
      <c r="N274" s="75"/>
      <c r="O274" s="75"/>
      <c r="P274" s="75"/>
      <c r="Q274" s="75"/>
      <c r="R274" s="75"/>
      <c r="S274" s="75"/>
      <c r="T274" s="75"/>
      <c r="U274" s="75"/>
      <c r="V274" s="76"/>
      <c r="W274" s="205" t="s">
        <v>507</v>
      </c>
      <c r="X274" s="1"/>
      <c r="Y274" s="78">
        <f t="shared" si="33"/>
        <v>0</v>
      </c>
      <c r="Z274" s="78">
        <f t="shared" si="34"/>
        <v>0</v>
      </c>
      <c r="AA274" s="78">
        <f t="shared" si="35"/>
        <v>0</v>
      </c>
      <c r="AB274" s="78">
        <f t="shared" si="36"/>
        <v>0</v>
      </c>
      <c r="AC274" s="78"/>
      <c r="AD274" s="78">
        <v>0</v>
      </c>
      <c r="AE274" s="80">
        <f t="shared" si="39"/>
        <v>0</v>
      </c>
      <c r="AF274" s="82">
        <v>0</v>
      </c>
      <c r="AG274" s="69">
        <v>40253</v>
      </c>
      <c r="AH274" s="84"/>
      <c r="AI274" s="69" t="s">
        <v>1984</v>
      </c>
      <c r="AJ274" s="25" t="s">
        <v>1985</v>
      </c>
      <c r="AK274" s="65"/>
      <c r="AL274" s="185" t="s">
        <v>1257</v>
      </c>
      <c r="AM274" s="85" t="s">
        <v>2025</v>
      </c>
      <c r="AN274" s="3"/>
      <c r="AO274" s="4"/>
      <c r="AP274" s="5"/>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6"/>
      <c r="CQ274" s="7"/>
      <c r="CR274" s="6"/>
      <c r="CS274" s="7"/>
      <c r="CT274" s="6"/>
      <c r="CU274" s="7"/>
      <c r="CV274" s="8">
        <f t="shared" si="37"/>
        <v>0</v>
      </c>
      <c r="CW274" s="9"/>
      <c r="CX274" s="10"/>
      <c r="CY274" s="11"/>
      <c r="CZ274" s="12"/>
      <c r="DA274" s="29"/>
      <c r="DB274" s="12"/>
      <c r="DC274" s="9"/>
      <c r="DD274" s="10"/>
      <c r="DE274" s="71"/>
      <c r="DF274" s="23"/>
      <c r="EO274" s="353" t="str">
        <f t="shared" si="38"/>
        <v>META_EL CASTILLO</v>
      </c>
      <c r="EP274" s="350"/>
      <c r="EQ274" s="350" t="s">
        <v>4092</v>
      </c>
      <c r="ER274" s="358" t="s">
        <v>6021</v>
      </c>
      <c r="ES274" s="350" t="s">
        <v>4914</v>
      </c>
      <c r="ET274" s="350" t="s">
        <v>6061</v>
      </c>
      <c r="EU274" s="350" t="str">
        <f t="shared" si="32"/>
        <v>Boyaca_Guican</v>
      </c>
    </row>
    <row r="275" spans="1:151" ht="60" x14ac:dyDescent="0.2">
      <c r="A275" s="242">
        <v>40253</v>
      </c>
      <c r="B275" s="107" t="s">
        <v>2791</v>
      </c>
      <c r="C275" s="107" t="s">
        <v>2026</v>
      </c>
      <c r="D275" s="427" t="s">
        <v>2209</v>
      </c>
      <c r="E275" s="107" t="str">
        <f>VLOOKUP(B275&amp;C275,Divipola!$C$2:$F$1138,4,FALSE)</f>
        <v>73026</v>
      </c>
      <c r="F275" s="330"/>
      <c r="G275" s="224"/>
      <c r="H275" s="75"/>
      <c r="I275" s="75"/>
      <c r="J275" s="75">
        <f>15*5</f>
        <v>75</v>
      </c>
      <c r="K275" s="75">
        <v>15</v>
      </c>
      <c r="L275" s="75"/>
      <c r="M275" s="75">
        <v>15</v>
      </c>
      <c r="N275" s="75"/>
      <c r="O275" s="75"/>
      <c r="P275" s="75"/>
      <c r="Q275" s="75"/>
      <c r="R275" s="75"/>
      <c r="S275" s="75"/>
      <c r="T275" s="75"/>
      <c r="U275" s="75"/>
      <c r="V275" s="76"/>
      <c r="W275" s="205"/>
      <c r="X275" s="1"/>
      <c r="Y275" s="78">
        <f t="shared" si="33"/>
        <v>0</v>
      </c>
      <c r="Z275" s="78">
        <f t="shared" si="34"/>
        <v>0</v>
      </c>
      <c r="AA275" s="78">
        <f t="shared" si="35"/>
        <v>0</v>
      </c>
      <c r="AB275" s="78">
        <f t="shared" si="36"/>
        <v>0</v>
      </c>
      <c r="AC275" s="78"/>
      <c r="AD275" s="78">
        <v>0</v>
      </c>
      <c r="AE275" s="80">
        <f t="shared" si="39"/>
        <v>0</v>
      </c>
      <c r="AF275" s="82">
        <v>0</v>
      </c>
      <c r="AG275" s="69">
        <v>40253</v>
      </c>
      <c r="AH275" s="84"/>
      <c r="AI275" s="69" t="s">
        <v>1984</v>
      </c>
      <c r="AJ275" s="25" t="s">
        <v>1985</v>
      </c>
      <c r="AK275" s="65"/>
      <c r="AL275" s="185" t="s">
        <v>1257</v>
      </c>
      <c r="AM275" s="85" t="s">
        <v>3162</v>
      </c>
      <c r="AN275" s="3"/>
      <c r="AO275" s="4"/>
      <c r="AP275" s="5"/>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6"/>
      <c r="CQ275" s="7"/>
      <c r="CR275" s="6"/>
      <c r="CS275" s="7"/>
      <c r="CT275" s="6"/>
      <c r="CU275" s="7"/>
      <c r="CV275" s="8">
        <f t="shared" si="37"/>
        <v>0</v>
      </c>
      <c r="CW275" s="9"/>
      <c r="CX275" s="10"/>
      <c r="CY275" s="11"/>
      <c r="CZ275" s="12"/>
      <c r="DA275" s="29"/>
      <c r="DB275" s="12"/>
      <c r="DC275" s="9"/>
      <c r="DD275" s="10"/>
      <c r="DE275" s="71"/>
      <c r="EO275" s="353" t="str">
        <f t="shared" si="38"/>
        <v>TOLIMA_ALVARADO</v>
      </c>
      <c r="EP275" s="350"/>
      <c r="EQ275" s="350" t="s">
        <v>4092</v>
      </c>
      <c r="ER275" s="358" t="s">
        <v>6021</v>
      </c>
      <c r="ES275" s="350" t="s">
        <v>4915</v>
      </c>
      <c r="ET275" s="350" t="s">
        <v>6062</v>
      </c>
      <c r="EU275" s="350" t="str">
        <f t="shared" si="32"/>
        <v>Boyaca_Iza</v>
      </c>
    </row>
    <row r="276" spans="1:151" ht="72" x14ac:dyDescent="0.2">
      <c r="A276" s="242">
        <v>40255</v>
      </c>
      <c r="B276" s="107" t="s">
        <v>2242</v>
      </c>
      <c r="C276" s="107" t="s">
        <v>2008</v>
      </c>
      <c r="D276" s="427" t="s">
        <v>2779</v>
      </c>
      <c r="E276" s="107">
        <f>VLOOKUP(B276&amp;C276,Divipola!$C$2:$F$1138,4,FALSE)</f>
        <v>20</v>
      </c>
      <c r="F276" s="330"/>
      <c r="G276" s="224"/>
      <c r="H276" s="75"/>
      <c r="I276" s="75"/>
      <c r="J276" s="75"/>
      <c r="K276" s="75"/>
      <c r="L276" s="75"/>
      <c r="M276" s="75"/>
      <c r="N276" s="75"/>
      <c r="O276" s="75"/>
      <c r="P276" s="75"/>
      <c r="Q276" s="75"/>
      <c r="R276" s="75"/>
      <c r="S276" s="75"/>
      <c r="T276" s="75"/>
      <c r="U276" s="75"/>
      <c r="V276" s="76"/>
      <c r="W276" s="205"/>
      <c r="X276" s="1">
        <v>40283</v>
      </c>
      <c r="Y276" s="78">
        <f t="shared" si="33"/>
        <v>0</v>
      </c>
      <c r="Z276" s="78">
        <f t="shared" si="34"/>
        <v>0</v>
      </c>
      <c r="AA276" s="78">
        <f t="shared" si="35"/>
        <v>0</v>
      </c>
      <c r="AB276" s="78">
        <f t="shared" si="36"/>
        <v>0</v>
      </c>
      <c r="AC276" s="78">
        <v>103906904.95999999</v>
      </c>
      <c r="AD276" s="78">
        <v>0</v>
      </c>
      <c r="AE276" s="80">
        <f t="shared" si="39"/>
        <v>103906904.95999999</v>
      </c>
      <c r="AF276" s="82">
        <v>0</v>
      </c>
      <c r="AG276" s="69">
        <v>40283</v>
      </c>
      <c r="AH276" s="84">
        <v>96088</v>
      </c>
      <c r="AI276" s="69" t="s">
        <v>2009</v>
      </c>
      <c r="AJ276" s="25" t="s">
        <v>2010</v>
      </c>
      <c r="AK276" s="65">
        <v>70</v>
      </c>
      <c r="AL276" s="185" t="s">
        <v>1768</v>
      </c>
      <c r="AM276" s="97" t="s">
        <v>280</v>
      </c>
      <c r="AN276" s="3"/>
      <c r="AO276" s="4"/>
      <c r="AP276" s="5"/>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6"/>
      <c r="CQ276" s="7"/>
      <c r="CR276" s="6"/>
      <c r="CS276" s="7"/>
      <c r="CT276" s="6"/>
      <c r="CU276" s="7"/>
      <c r="CV276" s="8">
        <f t="shared" si="37"/>
        <v>0</v>
      </c>
      <c r="CW276" s="9"/>
      <c r="CX276" s="10"/>
      <c r="CY276" s="11"/>
      <c r="CZ276" s="12"/>
      <c r="DA276" s="29"/>
      <c r="DB276" s="12"/>
      <c r="DC276" s="9"/>
      <c r="DD276" s="10"/>
      <c r="DE276" s="71"/>
      <c r="EO276" s="353" t="str">
        <f t="shared" si="38"/>
        <v>CESAR_DEPARTAMENTO</v>
      </c>
      <c r="EP276" s="350"/>
      <c r="EQ276" s="350" t="s">
        <v>4092</v>
      </c>
      <c r="ER276" s="358" t="s">
        <v>6021</v>
      </c>
      <c r="ES276" s="350" t="s">
        <v>4916</v>
      </c>
      <c r="ET276" s="350" t="s">
        <v>6063</v>
      </c>
      <c r="EU276" s="350" t="str">
        <f t="shared" si="32"/>
        <v>Boyaca_Jenesano</v>
      </c>
    </row>
    <row r="277" spans="1:151" ht="36" x14ac:dyDescent="0.2">
      <c r="A277" s="242">
        <v>40256</v>
      </c>
      <c r="B277" s="107" t="s">
        <v>1719</v>
      </c>
      <c r="C277" s="107" t="s">
        <v>3128</v>
      </c>
      <c r="D277" s="427" t="s">
        <v>2209</v>
      </c>
      <c r="E277" s="107" t="str">
        <f>VLOOKUP(B277&amp;C277,Divipola!$C$2:$F$1138,4,FALSE)</f>
        <v>19455</v>
      </c>
      <c r="F277" s="330"/>
      <c r="G277" s="224"/>
      <c r="H277" s="75"/>
      <c r="I277" s="75"/>
      <c r="J277" s="75">
        <f>143*5</f>
        <v>715</v>
      </c>
      <c r="K277" s="75">
        <v>143</v>
      </c>
      <c r="L277" s="75"/>
      <c r="M277" s="75">
        <v>143</v>
      </c>
      <c r="N277" s="75"/>
      <c r="O277" s="75"/>
      <c r="P277" s="75"/>
      <c r="Q277" s="75"/>
      <c r="R277" s="75"/>
      <c r="S277" s="75"/>
      <c r="T277" s="75"/>
      <c r="U277" s="75"/>
      <c r="V277" s="76"/>
      <c r="W277" s="205"/>
      <c r="X277" s="1">
        <v>40261</v>
      </c>
      <c r="Y277" s="78">
        <f t="shared" si="33"/>
        <v>34626416</v>
      </c>
      <c r="Z277" s="78">
        <f t="shared" si="34"/>
        <v>13430000</v>
      </c>
      <c r="AA277" s="78">
        <f t="shared" si="35"/>
        <v>12334400</v>
      </c>
      <c r="AB277" s="78">
        <f t="shared" si="36"/>
        <v>0</v>
      </c>
      <c r="AC277" s="78"/>
      <c r="AD277" s="78">
        <v>0</v>
      </c>
      <c r="AE277" s="80">
        <f t="shared" si="39"/>
        <v>60390816</v>
      </c>
      <c r="AF277" s="82">
        <v>0</v>
      </c>
      <c r="AG277" s="69">
        <v>40261</v>
      </c>
      <c r="AH277" s="84">
        <v>96166</v>
      </c>
      <c r="AI277" s="69" t="s">
        <v>2009</v>
      </c>
      <c r="AJ277" s="25" t="s">
        <v>2010</v>
      </c>
      <c r="AK277" s="88" t="s">
        <v>1764</v>
      </c>
      <c r="AL277" s="185" t="s">
        <v>957</v>
      </c>
      <c r="AM277" s="85" t="s">
        <v>958</v>
      </c>
      <c r="AN277" s="3"/>
      <c r="AO277" s="4"/>
      <c r="AP277" s="5"/>
      <c r="AQ277" s="4"/>
      <c r="AR277" s="4"/>
      <c r="AS277" s="4"/>
      <c r="AT277" s="4"/>
      <c r="AU277" s="4"/>
      <c r="AV277" s="4"/>
      <c r="AW277" s="4"/>
      <c r="AX277" s="4"/>
      <c r="AY277" s="4"/>
      <c r="AZ277" s="4">
        <v>300</v>
      </c>
      <c r="BA277" s="4">
        <f>300*56000</f>
        <v>16800000</v>
      </c>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v>300</v>
      </c>
      <c r="CK277" s="4">
        <f>300*21000</f>
        <v>6300000</v>
      </c>
      <c r="CL277" s="4"/>
      <c r="CM277" s="4"/>
      <c r="CN277" s="4"/>
      <c r="CO277" s="4"/>
      <c r="CP277" s="98">
        <v>158</v>
      </c>
      <c r="CQ277" s="99">
        <f>158*36952</f>
        <v>5838416</v>
      </c>
      <c r="CR277" s="98">
        <v>158</v>
      </c>
      <c r="CS277" s="99">
        <f>158*36000</f>
        <v>5688000</v>
      </c>
      <c r="CT277" s="98"/>
      <c r="CU277" s="99"/>
      <c r="CV277" s="8">
        <f t="shared" si="37"/>
        <v>34626416</v>
      </c>
      <c r="CW277" s="100"/>
      <c r="CX277" s="101"/>
      <c r="CY277" s="102">
        <v>158</v>
      </c>
      <c r="CZ277" s="103">
        <f>158*85000</f>
        <v>13430000</v>
      </c>
      <c r="DA277" s="104"/>
      <c r="DB277" s="103"/>
      <c r="DC277" s="100">
        <f>400+200</f>
        <v>600</v>
      </c>
      <c r="DD277" s="101">
        <f>400*18792+200*22000+1200*348</f>
        <v>12334400</v>
      </c>
      <c r="DE277" s="89"/>
      <c r="DF277" s="105"/>
      <c r="EO277" s="353" t="str">
        <f t="shared" si="38"/>
        <v>CAUCA_MIRANDA</v>
      </c>
      <c r="EP277" s="350"/>
      <c r="EQ277" s="350" t="s">
        <v>4092</v>
      </c>
      <c r="ER277" s="358" t="s">
        <v>6021</v>
      </c>
      <c r="ES277" s="350" t="s">
        <v>4917</v>
      </c>
      <c r="ET277" s="350" t="s">
        <v>5889</v>
      </c>
      <c r="EU277" s="350" t="str">
        <f t="shared" si="32"/>
        <v>Boyaca_Jerico</v>
      </c>
    </row>
    <row r="278" spans="1:151" ht="120" x14ac:dyDescent="0.2">
      <c r="A278" s="242">
        <v>40257</v>
      </c>
      <c r="B278" s="107" t="s">
        <v>2425</v>
      </c>
      <c r="C278" s="107" t="s">
        <v>2028</v>
      </c>
      <c r="D278" s="427" t="s">
        <v>2209</v>
      </c>
      <c r="E278" s="107" t="str">
        <f>VLOOKUP(B278&amp;C278,Divipola!$C$2:$F$1138,4,FALSE)</f>
        <v>27495</v>
      </c>
      <c r="F278" s="330"/>
      <c r="G278" s="224"/>
      <c r="H278" s="75"/>
      <c r="I278" s="75"/>
      <c r="J278" s="75">
        <v>1403</v>
      </c>
      <c r="K278" s="75">
        <v>325</v>
      </c>
      <c r="L278" s="75"/>
      <c r="M278" s="75">
        <v>11</v>
      </c>
      <c r="N278" s="75"/>
      <c r="O278" s="75"/>
      <c r="P278" s="75"/>
      <c r="Q278" s="75"/>
      <c r="R278" s="75"/>
      <c r="S278" s="75"/>
      <c r="T278" s="75"/>
      <c r="U278" s="75"/>
      <c r="V278" s="76">
        <f>90+50+20+10</f>
        <v>170</v>
      </c>
      <c r="W278" s="205" t="s">
        <v>2738</v>
      </c>
      <c r="X278" s="1">
        <v>40283</v>
      </c>
      <c r="Y278" s="78">
        <f t="shared" si="33"/>
        <v>0</v>
      </c>
      <c r="Z278" s="78">
        <f t="shared" si="34"/>
        <v>0</v>
      </c>
      <c r="AA278" s="78">
        <f t="shared" si="35"/>
        <v>73103200</v>
      </c>
      <c r="AB278" s="78">
        <f t="shared" si="36"/>
        <v>0</v>
      </c>
      <c r="AC278" s="78"/>
      <c r="AD278" s="78">
        <v>20000000</v>
      </c>
      <c r="AE278" s="80">
        <f t="shared" si="39"/>
        <v>93103200</v>
      </c>
      <c r="AF278" s="82">
        <v>0</v>
      </c>
      <c r="AG278" s="69">
        <v>40257</v>
      </c>
      <c r="AH278" s="84">
        <v>96225</v>
      </c>
      <c r="AI278" s="69" t="s">
        <v>2009</v>
      </c>
      <c r="AJ278" s="25" t="s">
        <v>2010</v>
      </c>
      <c r="AK278" s="88" t="s">
        <v>2121</v>
      </c>
      <c r="AL278" s="185" t="s">
        <v>2122</v>
      </c>
      <c r="AM278" s="85" t="s">
        <v>2123</v>
      </c>
      <c r="AN278" s="3"/>
      <c r="AO278" s="4"/>
      <c r="AP278" s="5"/>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6"/>
      <c r="CQ278" s="7"/>
      <c r="CR278" s="6"/>
      <c r="CS278" s="7"/>
      <c r="CT278" s="6"/>
      <c r="CU278" s="7"/>
      <c r="CV278" s="8">
        <f t="shared" si="37"/>
        <v>0</v>
      </c>
      <c r="CW278" s="9"/>
      <c r="CX278" s="10"/>
      <c r="CY278" s="11"/>
      <c r="CZ278" s="12"/>
      <c r="DA278" s="29"/>
      <c r="DB278" s="12"/>
      <c r="DC278" s="9">
        <v>4600</v>
      </c>
      <c r="DD278" s="10">
        <v>73103200</v>
      </c>
      <c r="DE278" s="89">
        <v>2</v>
      </c>
      <c r="DF278" s="23" t="s">
        <v>2035</v>
      </c>
      <c r="EO278" s="353" t="str">
        <f t="shared" si="38"/>
        <v>CHOCO_NUQUI</v>
      </c>
      <c r="EP278" s="350"/>
      <c r="EQ278" s="350" t="s">
        <v>4092</v>
      </c>
      <c r="ER278" s="358" t="s">
        <v>6021</v>
      </c>
      <c r="ES278" s="350" t="s">
        <v>4918</v>
      </c>
      <c r="ET278" s="350" t="s">
        <v>6064</v>
      </c>
      <c r="EU278" s="350" t="str">
        <f t="shared" si="32"/>
        <v>Boyaca_Labranzagrande</v>
      </c>
    </row>
    <row r="279" spans="1:151" ht="72" x14ac:dyDescent="0.2">
      <c r="A279" s="242">
        <v>40258</v>
      </c>
      <c r="B279" s="107" t="s">
        <v>2401</v>
      </c>
      <c r="C279" s="107" t="s">
        <v>3125</v>
      </c>
      <c r="D279" s="427" t="s">
        <v>2209</v>
      </c>
      <c r="E279" s="107" t="str">
        <f>VLOOKUP(B279&amp;C279,Divipola!$C$2:$F$1138,4,FALSE)</f>
        <v>05284</v>
      </c>
      <c r="F279" s="330"/>
      <c r="G279" s="224"/>
      <c r="H279" s="75"/>
      <c r="I279" s="75"/>
      <c r="J279" s="75">
        <v>500</v>
      </c>
      <c r="K279" s="75">
        <v>100</v>
      </c>
      <c r="L279" s="75"/>
      <c r="M279" s="75">
        <v>100</v>
      </c>
      <c r="N279" s="75"/>
      <c r="O279" s="75"/>
      <c r="P279" s="75"/>
      <c r="Q279" s="75"/>
      <c r="R279" s="75"/>
      <c r="S279" s="75"/>
      <c r="T279" s="75"/>
      <c r="U279" s="75">
        <v>10</v>
      </c>
      <c r="V279" s="76"/>
      <c r="W279" s="205" t="s">
        <v>3126</v>
      </c>
      <c r="X279" s="1">
        <v>40317</v>
      </c>
      <c r="Y279" s="78">
        <f t="shared" si="33"/>
        <v>0</v>
      </c>
      <c r="Z279" s="78">
        <f t="shared" si="34"/>
        <v>0</v>
      </c>
      <c r="AA279" s="78">
        <f t="shared" si="35"/>
        <v>21090000</v>
      </c>
      <c r="AB279" s="78">
        <f t="shared" si="36"/>
        <v>0</v>
      </c>
      <c r="AC279" s="78"/>
      <c r="AD279" s="78">
        <v>0</v>
      </c>
      <c r="AE279" s="80">
        <f t="shared" si="39"/>
        <v>21090000</v>
      </c>
      <c r="AF279" s="82">
        <v>0</v>
      </c>
      <c r="AG279" s="69">
        <v>40283</v>
      </c>
      <c r="AH279" s="84">
        <v>96665</v>
      </c>
      <c r="AI279" s="69" t="s">
        <v>2009</v>
      </c>
      <c r="AJ279" s="25" t="s">
        <v>2010</v>
      </c>
      <c r="AK279" s="65">
        <v>123</v>
      </c>
      <c r="AL279" s="185" t="s">
        <v>2182</v>
      </c>
      <c r="AM279" s="85" t="s">
        <v>2022</v>
      </c>
      <c r="AN279" s="3"/>
      <c r="AO279" s="4"/>
      <c r="AP279" s="5"/>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6"/>
      <c r="CQ279" s="7"/>
      <c r="CR279" s="6"/>
      <c r="CS279" s="7"/>
      <c r="CT279" s="6"/>
      <c r="CU279" s="7"/>
      <c r="CV279" s="8">
        <f t="shared" si="37"/>
        <v>0</v>
      </c>
      <c r="CW279" s="9"/>
      <c r="CX279" s="10"/>
      <c r="CY279" s="11"/>
      <c r="CZ279" s="12"/>
      <c r="DA279" s="29"/>
      <c r="DB279" s="12"/>
      <c r="DC279" s="9">
        <f>200+500</f>
        <v>700</v>
      </c>
      <c r="DD279" s="10">
        <f>200*22388+500*31769+1850*174+1000*406</f>
        <v>21090000</v>
      </c>
      <c r="DE279" s="71"/>
      <c r="DF279" s="23" t="s">
        <v>2476</v>
      </c>
      <c r="EO279" s="353" t="str">
        <f t="shared" si="38"/>
        <v>ANTIOQUIA_FRONTINO</v>
      </c>
      <c r="EP279" s="350"/>
      <c r="EQ279" s="350" t="s">
        <v>4092</v>
      </c>
      <c r="ER279" s="358" t="s">
        <v>6021</v>
      </c>
      <c r="ES279" s="350" t="s">
        <v>4919</v>
      </c>
      <c r="ET279" s="350" t="s">
        <v>6065</v>
      </c>
      <c r="EU279" s="350" t="str">
        <f t="shared" si="32"/>
        <v>Boyaca_La Capilla</v>
      </c>
    </row>
    <row r="280" spans="1:151" ht="38.25" x14ac:dyDescent="0.2">
      <c r="A280" s="242">
        <v>40258</v>
      </c>
      <c r="B280" s="107" t="s">
        <v>1336</v>
      </c>
      <c r="C280" s="107" t="s">
        <v>1732</v>
      </c>
      <c r="D280" s="427" t="s">
        <v>1721</v>
      </c>
      <c r="E280" s="107" t="str">
        <f>VLOOKUP(B280&amp;C280,Divipola!$C$2:$F$1138,4,FALSE)</f>
        <v>54001</v>
      </c>
      <c r="F280" s="330"/>
      <c r="G280" s="224"/>
      <c r="H280" s="75"/>
      <c r="I280" s="75"/>
      <c r="J280" s="75">
        <v>20</v>
      </c>
      <c r="K280" s="75">
        <v>4</v>
      </c>
      <c r="L280" s="75">
        <v>4</v>
      </c>
      <c r="M280" s="75"/>
      <c r="N280" s="75"/>
      <c r="O280" s="75"/>
      <c r="P280" s="75"/>
      <c r="Q280" s="75"/>
      <c r="R280" s="75"/>
      <c r="S280" s="75"/>
      <c r="T280" s="75"/>
      <c r="U280" s="75"/>
      <c r="V280" s="76"/>
      <c r="W280" s="205"/>
      <c r="X280" s="1"/>
      <c r="Y280" s="78">
        <f t="shared" si="33"/>
        <v>0</v>
      </c>
      <c r="Z280" s="78">
        <f t="shared" si="34"/>
        <v>0</v>
      </c>
      <c r="AA280" s="78">
        <f t="shared" si="35"/>
        <v>0</v>
      </c>
      <c r="AB280" s="78">
        <f t="shared" si="36"/>
        <v>0</v>
      </c>
      <c r="AC280" s="78"/>
      <c r="AD280" s="78">
        <v>0</v>
      </c>
      <c r="AE280" s="80">
        <f t="shared" si="39"/>
        <v>0</v>
      </c>
      <c r="AF280" s="82">
        <v>0</v>
      </c>
      <c r="AG280" s="69">
        <v>40260</v>
      </c>
      <c r="AH280" s="84"/>
      <c r="AI280" s="69" t="s">
        <v>1984</v>
      </c>
      <c r="AJ280" s="25" t="s">
        <v>1985</v>
      </c>
      <c r="AK280" s="65"/>
      <c r="AL280" s="185" t="s">
        <v>1257</v>
      </c>
      <c r="AM280" s="85" t="s">
        <v>960</v>
      </c>
      <c r="AN280" s="3"/>
      <c r="AO280" s="4"/>
      <c r="AP280" s="5"/>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6"/>
      <c r="CQ280" s="7"/>
      <c r="CR280" s="6"/>
      <c r="CS280" s="7"/>
      <c r="CT280" s="6"/>
      <c r="CU280" s="7"/>
      <c r="CV280" s="8">
        <f t="shared" si="37"/>
        <v>0</v>
      </c>
      <c r="CW280" s="9"/>
      <c r="CX280" s="10"/>
      <c r="CY280" s="11"/>
      <c r="CZ280" s="12"/>
      <c r="DA280" s="29"/>
      <c r="DB280" s="12"/>
      <c r="DC280" s="9"/>
      <c r="DD280" s="10"/>
      <c r="DE280" s="71"/>
      <c r="EO280" s="353" t="str">
        <f t="shared" si="38"/>
        <v>NORTE DE SANTANDER_CUCUTA</v>
      </c>
      <c r="EP280" s="350"/>
      <c r="EQ280" s="350" t="s">
        <v>4092</v>
      </c>
      <c r="ER280" s="358" t="s">
        <v>6021</v>
      </c>
      <c r="ES280" s="350" t="s">
        <v>4921</v>
      </c>
      <c r="ET280" s="350" t="s">
        <v>6067</v>
      </c>
      <c r="EU280" s="350" t="str">
        <f t="shared" si="32"/>
        <v>Boyaca_La Uvita</v>
      </c>
    </row>
    <row r="281" spans="1:151" ht="25.5" x14ac:dyDescent="0.2">
      <c r="A281" s="242">
        <v>40261</v>
      </c>
      <c r="B281" s="107" t="s">
        <v>289</v>
      </c>
      <c r="C281" s="107" t="s">
        <v>3140</v>
      </c>
      <c r="D281" s="427" t="s">
        <v>2781</v>
      </c>
      <c r="E281" s="107" t="str">
        <f>VLOOKUP(B281&amp;C281,Divipola!$C$2:$F$1138,4,FALSE)</f>
        <v>17388</v>
      </c>
      <c r="F281" s="330"/>
      <c r="G281" s="224">
        <v>1</v>
      </c>
      <c r="H281" s="75">
        <v>4</v>
      </c>
      <c r="I281" s="75"/>
      <c r="J281" s="75"/>
      <c r="K281" s="75"/>
      <c r="L281" s="75"/>
      <c r="M281" s="75"/>
      <c r="N281" s="75"/>
      <c r="O281" s="75"/>
      <c r="P281" s="75"/>
      <c r="Q281" s="75"/>
      <c r="R281" s="75"/>
      <c r="S281" s="75"/>
      <c r="T281" s="75"/>
      <c r="U281" s="75"/>
      <c r="V281" s="76"/>
      <c r="W281" s="205"/>
      <c r="X281" s="1"/>
      <c r="Y281" s="78">
        <f t="shared" si="33"/>
        <v>0</v>
      </c>
      <c r="Z281" s="78">
        <f t="shared" si="34"/>
        <v>0</v>
      </c>
      <c r="AA281" s="78">
        <f t="shared" si="35"/>
        <v>0</v>
      </c>
      <c r="AB281" s="78">
        <f t="shared" si="36"/>
        <v>0</v>
      </c>
      <c r="AC281" s="78"/>
      <c r="AD281" s="78">
        <v>0</v>
      </c>
      <c r="AE281" s="80">
        <f t="shared" si="39"/>
        <v>0</v>
      </c>
      <c r="AF281" s="82">
        <v>0</v>
      </c>
      <c r="AG281" s="69">
        <v>40262</v>
      </c>
      <c r="AH281" s="84"/>
      <c r="AI281" s="69" t="s">
        <v>1984</v>
      </c>
      <c r="AJ281" s="25" t="s">
        <v>1985</v>
      </c>
      <c r="AK281" s="65"/>
      <c r="AL281" s="185" t="s">
        <v>1257</v>
      </c>
      <c r="AM281" s="85" t="s">
        <v>3141</v>
      </c>
      <c r="AN281" s="3"/>
      <c r="AO281" s="4"/>
      <c r="AP281" s="5"/>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6"/>
      <c r="CQ281" s="7"/>
      <c r="CR281" s="6"/>
      <c r="CS281" s="7"/>
      <c r="CT281" s="6"/>
      <c r="CU281" s="7"/>
      <c r="CV281" s="8">
        <f t="shared" si="37"/>
        <v>0</v>
      </c>
      <c r="CW281" s="9"/>
      <c r="CX281" s="10"/>
      <c r="CY281" s="11"/>
      <c r="CZ281" s="12"/>
      <c r="DA281" s="29"/>
      <c r="DB281" s="12"/>
      <c r="DC281" s="9"/>
      <c r="DD281" s="10"/>
      <c r="DE281" s="71"/>
      <c r="EO281" s="353" t="str">
        <f t="shared" si="38"/>
        <v>CALDAS_LA MERCED</v>
      </c>
      <c r="EP281" s="350"/>
      <c r="EQ281" s="350" t="s">
        <v>4092</v>
      </c>
      <c r="ER281" s="358" t="s">
        <v>6021</v>
      </c>
      <c r="ES281" s="350" t="s">
        <v>4922</v>
      </c>
      <c r="ET281" s="350" t="s">
        <v>6068</v>
      </c>
      <c r="EU281" s="350" t="str">
        <f t="shared" si="32"/>
        <v>Boyaca_Villa de Leyva</v>
      </c>
    </row>
    <row r="282" spans="1:151" ht="25.5" x14ac:dyDescent="0.2">
      <c r="A282" s="242">
        <v>40261</v>
      </c>
      <c r="B282" s="107" t="s">
        <v>2014</v>
      </c>
      <c r="C282" s="107" t="s">
        <v>2015</v>
      </c>
      <c r="D282" s="427" t="s">
        <v>1721</v>
      </c>
      <c r="E282" s="107" t="str">
        <f>VLOOKUP(B282&amp;C282,Divipola!$C$2:$F$1138,4,FALSE)</f>
        <v>63001</v>
      </c>
      <c r="F282" s="330"/>
      <c r="G282" s="224"/>
      <c r="H282" s="75"/>
      <c r="I282" s="75"/>
      <c r="J282" s="75">
        <v>7</v>
      </c>
      <c r="K282" s="75">
        <v>4</v>
      </c>
      <c r="L282" s="75">
        <v>4</v>
      </c>
      <c r="M282" s="75"/>
      <c r="N282" s="75"/>
      <c r="O282" s="75"/>
      <c r="P282" s="75"/>
      <c r="Q282" s="75"/>
      <c r="R282" s="75"/>
      <c r="S282" s="75"/>
      <c r="T282" s="75"/>
      <c r="U282" s="75"/>
      <c r="V282" s="76"/>
      <c r="W282" s="205"/>
      <c r="X282" s="1"/>
      <c r="Y282" s="78">
        <f t="shared" si="33"/>
        <v>0</v>
      </c>
      <c r="Z282" s="78">
        <f t="shared" si="34"/>
        <v>0</v>
      </c>
      <c r="AA282" s="78">
        <f t="shared" si="35"/>
        <v>0</v>
      </c>
      <c r="AB282" s="78">
        <f t="shared" si="36"/>
        <v>0</v>
      </c>
      <c r="AC282" s="78"/>
      <c r="AD282" s="78">
        <v>0</v>
      </c>
      <c r="AE282" s="80">
        <f t="shared" si="39"/>
        <v>0</v>
      </c>
      <c r="AF282" s="82">
        <v>0</v>
      </c>
      <c r="AG282" s="69">
        <v>40262</v>
      </c>
      <c r="AH282" s="84"/>
      <c r="AI282" s="69" t="s">
        <v>1984</v>
      </c>
      <c r="AJ282" s="25" t="s">
        <v>1985</v>
      </c>
      <c r="AK282" s="65"/>
      <c r="AL282" s="185" t="s">
        <v>1257</v>
      </c>
      <c r="AM282" s="85" t="s">
        <v>1004</v>
      </c>
      <c r="AN282" s="3"/>
      <c r="AO282" s="4"/>
      <c r="AP282" s="5"/>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6"/>
      <c r="CQ282" s="7"/>
      <c r="CR282" s="6"/>
      <c r="CS282" s="7"/>
      <c r="CT282" s="6"/>
      <c r="CU282" s="7"/>
      <c r="CV282" s="8">
        <f t="shared" si="37"/>
        <v>0</v>
      </c>
      <c r="CW282" s="9"/>
      <c r="CX282" s="10"/>
      <c r="CY282" s="11"/>
      <c r="CZ282" s="12"/>
      <c r="DA282" s="29"/>
      <c r="DB282" s="12"/>
      <c r="DC282" s="9"/>
      <c r="DD282" s="10"/>
      <c r="DE282" s="71"/>
      <c r="EO282" s="353" t="str">
        <f t="shared" si="38"/>
        <v>QUINDIO_ARMENIA</v>
      </c>
      <c r="EP282" s="350"/>
      <c r="EQ282" s="350" t="s">
        <v>4092</v>
      </c>
      <c r="ER282" s="358" t="s">
        <v>6021</v>
      </c>
      <c r="ES282" s="350" t="s">
        <v>4923</v>
      </c>
      <c r="ET282" s="350" t="s">
        <v>6069</v>
      </c>
      <c r="EU282" s="350" t="str">
        <f t="shared" si="32"/>
        <v>Boyaca_Macanal</v>
      </c>
    </row>
    <row r="283" spans="1:151" s="133" customFormat="1" ht="56.25" x14ac:dyDescent="0.2">
      <c r="A283" s="242">
        <v>40261</v>
      </c>
      <c r="B283" s="107" t="s">
        <v>2791</v>
      </c>
      <c r="C283" s="107" t="s">
        <v>2111</v>
      </c>
      <c r="D283" s="427" t="s">
        <v>2209</v>
      </c>
      <c r="E283" s="107" t="str">
        <f>VLOOKUP(B283&amp;C283,Divipola!$C$2:$F$1138,4,FALSE)</f>
        <v>73200</v>
      </c>
      <c r="F283" s="330"/>
      <c r="G283" s="224"/>
      <c r="H283" s="75"/>
      <c r="I283" s="75"/>
      <c r="J283" s="75">
        <f>86*5</f>
        <v>430</v>
      </c>
      <c r="K283" s="75">
        <v>86</v>
      </c>
      <c r="L283" s="75"/>
      <c r="M283" s="75">
        <v>86</v>
      </c>
      <c r="N283" s="75"/>
      <c r="O283" s="75"/>
      <c r="P283" s="75"/>
      <c r="Q283" s="75"/>
      <c r="R283" s="75"/>
      <c r="S283" s="75"/>
      <c r="T283" s="75"/>
      <c r="U283" s="75">
        <v>1</v>
      </c>
      <c r="V283" s="76"/>
      <c r="W283" s="205"/>
      <c r="X283" s="1">
        <v>40295</v>
      </c>
      <c r="Y283" s="78">
        <f t="shared" si="33"/>
        <v>19249870</v>
      </c>
      <c r="Z283" s="78">
        <f t="shared" si="34"/>
        <v>0</v>
      </c>
      <c r="AA283" s="78">
        <f t="shared" si="35"/>
        <v>50511040</v>
      </c>
      <c r="AB283" s="78">
        <f t="shared" si="36"/>
        <v>0</v>
      </c>
      <c r="AC283" s="78"/>
      <c r="AD283" s="78">
        <v>0</v>
      </c>
      <c r="AE283" s="80">
        <f t="shared" si="39"/>
        <v>69760910</v>
      </c>
      <c r="AF283" s="82">
        <v>0</v>
      </c>
      <c r="AG283" s="69">
        <v>40284</v>
      </c>
      <c r="AH283" s="84">
        <v>96689</v>
      </c>
      <c r="AI283" s="69" t="s">
        <v>2009</v>
      </c>
      <c r="AJ283" s="25" t="s">
        <v>2010</v>
      </c>
      <c r="AK283" s="88" t="s">
        <v>1762</v>
      </c>
      <c r="AL283" s="185" t="s">
        <v>715</v>
      </c>
      <c r="AM283" s="85" t="s">
        <v>2333</v>
      </c>
      <c r="AN283" s="3"/>
      <c r="AO283" s="4"/>
      <c r="AP283" s="5"/>
      <c r="AQ283" s="4"/>
      <c r="AR283" s="4"/>
      <c r="AS283" s="4"/>
      <c r="AT283" s="4"/>
      <c r="AU283" s="4"/>
      <c r="AV283" s="4"/>
      <c r="AW283" s="4"/>
      <c r="AX283" s="4"/>
      <c r="AY283" s="4"/>
      <c r="AZ283" s="4"/>
      <c r="BA283" s="4"/>
      <c r="BB283" s="4">
        <v>250</v>
      </c>
      <c r="BC283" s="4">
        <f>250*56000</f>
        <v>14000000</v>
      </c>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v>250</v>
      </c>
      <c r="CK283" s="4">
        <f>250*20999.48</f>
        <v>5249870</v>
      </c>
      <c r="CL283" s="4"/>
      <c r="CM283" s="4"/>
      <c r="CN283" s="4"/>
      <c r="CO283" s="4"/>
      <c r="CP283" s="6"/>
      <c r="CQ283" s="7"/>
      <c r="CR283" s="6"/>
      <c r="CS283" s="7"/>
      <c r="CT283" s="6"/>
      <c r="CU283" s="7"/>
      <c r="CV283" s="8">
        <f t="shared" si="37"/>
        <v>19249870</v>
      </c>
      <c r="CW283" s="9"/>
      <c r="CX283" s="10"/>
      <c r="CY283" s="11"/>
      <c r="CZ283" s="12"/>
      <c r="DA283" s="29">
        <v>200</v>
      </c>
      <c r="DB283" s="12">
        <f>200*29928</f>
        <v>5985600</v>
      </c>
      <c r="DC283" s="9">
        <f>800+800</f>
        <v>1600</v>
      </c>
      <c r="DD283" s="10">
        <f>800*34568+800*19140+1600*556.8+3200*208.8</f>
        <v>44525440</v>
      </c>
      <c r="DE283" s="89"/>
      <c r="DF283" s="23"/>
      <c r="EO283" s="353" t="str">
        <f t="shared" si="38"/>
        <v>TOLIMA_COELLO</v>
      </c>
      <c r="EP283" s="350"/>
      <c r="EQ283" s="350" t="s">
        <v>4092</v>
      </c>
      <c r="ER283" s="358" t="s">
        <v>6021</v>
      </c>
      <c r="ES283" s="350" t="s">
        <v>4924</v>
      </c>
      <c r="ET283" s="350" t="s">
        <v>6070</v>
      </c>
      <c r="EU283" s="350" t="str">
        <f t="shared" si="32"/>
        <v>Boyaca_Maripi</v>
      </c>
    </row>
    <row r="284" spans="1:151" ht="38.25" x14ac:dyDescent="0.2">
      <c r="A284" s="242">
        <v>40262</v>
      </c>
      <c r="B284" s="107" t="s">
        <v>6305</v>
      </c>
      <c r="C284" s="107" t="s">
        <v>6305</v>
      </c>
      <c r="D284" s="427" t="s">
        <v>1721</v>
      </c>
      <c r="E284" s="107" t="str">
        <f>VLOOKUP(B284&amp;C284,Divipola!$C$2:$F$1138,4,FALSE)</f>
        <v>11001</v>
      </c>
      <c r="F284" s="330"/>
      <c r="G284" s="224"/>
      <c r="H284" s="75">
        <v>1</v>
      </c>
      <c r="I284" s="75"/>
      <c r="J284" s="75">
        <v>5</v>
      </c>
      <c r="K284" s="75">
        <v>1</v>
      </c>
      <c r="L284" s="75">
        <v>1</v>
      </c>
      <c r="M284" s="75"/>
      <c r="N284" s="75"/>
      <c r="O284" s="75"/>
      <c r="P284" s="75"/>
      <c r="Q284" s="75"/>
      <c r="R284" s="75"/>
      <c r="S284" s="75"/>
      <c r="T284" s="75"/>
      <c r="U284" s="75"/>
      <c r="V284" s="76"/>
      <c r="W284" s="205"/>
      <c r="X284" s="1"/>
      <c r="Y284" s="78">
        <f t="shared" si="33"/>
        <v>0</v>
      </c>
      <c r="Z284" s="78">
        <f t="shared" si="34"/>
        <v>0</v>
      </c>
      <c r="AA284" s="78">
        <f t="shared" si="35"/>
        <v>0</v>
      </c>
      <c r="AB284" s="78">
        <f t="shared" si="36"/>
        <v>0</v>
      </c>
      <c r="AC284" s="78"/>
      <c r="AD284" s="78">
        <v>0</v>
      </c>
      <c r="AE284" s="80">
        <f t="shared" si="39"/>
        <v>0</v>
      </c>
      <c r="AF284" s="82">
        <v>0</v>
      </c>
      <c r="AG284" s="69">
        <v>40263</v>
      </c>
      <c r="AH284" s="84"/>
      <c r="AI284" s="69" t="s">
        <v>1984</v>
      </c>
      <c r="AJ284" s="25" t="s">
        <v>1985</v>
      </c>
      <c r="AK284" s="65"/>
      <c r="AL284" s="185" t="s">
        <v>1257</v>
      </c>
      <c r="AM284" s="85" t="s">
        <v>1219</v>
      </c>
      <c r="AN284" s="3"/>
      <c r="AO284" s="4"/>
      <c r="AP284" s="5"/>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6"/>
      <c r="CQ284" s="7"/>
      <c r="CR284" s="6"/>
      <c r="CS284" s="7"/>
      <c r="CT284" s="6"/>
      <c r="CU284" s="7"/>
      <c r="CV284" s="8">
        <f t="shared" si="37"/>
        <v>0</v>
      </c>
      <c r="CW284" s="9"/>
      <c r="CX284" s="10"/>
      <c r="CY284" s="11"/>
      <c r="CZ284" s="12"/>
      <c r="DA284" s="29"/>
      <c r="DB284" s="12"/>
      <c r="DC284" s="9"/>
      <c r="DD284" s="10"/>
      <c r="DE284" s="71"/>
      <c r="EO284" s="353" t="str">
        <f t="shared" si="38"/>
        <v>BOGOTA, D.C._BOGOTA, D.C.</v>
      </c>
      <c r="EP284" s="350"/>
      <c r="EQ284" s="350" t="s">
        <v>4092</v>
      </c>
      <c r="ER284" s="358" t="s">
        <v>6021</v>
      </c>
      <c r="ES284" s="350" t="s">
        <v>4925</v>
      </c>
      <c r="ET284" s="350" t="s">
        <v>6071</v>
      </c>
      <c r="EU284" s="350" t="str">
        <f t="shared" si="32"/>
        <v>Boyaca_Miraflores</v>
      </c>
    </row>
    <row r="285" spans="1:151" ht="72" x14ac:dyDescent="0.2">
      <c r="A285" s="242">
        <v>40262</v>
      </c>
      <c r="B285" s="107" t="s">
        <v>3112</v>
      </c>
      <c r="C285" s="107" t="s">
        <v>2194</v>
      </c>
      <c r="D285" s="427" t="s">
        <v>2209</v>
      </c>
      <c r="E285" s="107" t="str">
        <f>VLOOKUP(B285&amp;C285,Divipola!$C$2:$F$1138,4,FALSE)</f>
        <v>18479</v>
      </c>
      <c r="F285" s="330"/>
      <c r="G285" s="224"/>
      <c r="H285" s="75"/>
      <c r="I285" s="75"/>
      <c r="J285" s="75">
        <f>40*5</f>
        <v>200</v>
      </c>
      <c r="K285" s="75">
        <v>40</v>
      </c>
      <c r="L285" s="75"/>
      <c r="M285" s="75">
        <v>40</v>
      </c>
      <c r="N285" s="75"/>
      <c r="O285" s="75"/>
      <c r="P285" s="75"/>
      <c r="Q285" s="75"/>
      <c r="R285" s="75"/>
      <c r="S285" s="75"/>
      <c r="T285" s="75"/>
      <c r="U285" s="75"/>
      <c r="V285" s="76"/>
      <c r="W285" s="205"/>
      <c r="X285" s="1">
        <v>40340</v>
      </c>
      <c r="Y285" s="78">
        <f t="shared" si="33"/>
        <v>0</v>
      </c>
      <c r="Z285" s="78">
        <f t="shared" si="34"/>
        <v>0</v>
      </c>
      <c r="AA285" s="78">
        <f t="shared" si="35"/>
        <v>0</v>
      </c>
      <c r="AB285" s="78">
        <f t="shared" si="36"/>
        <v>0</v>
      </c>
      <c r="AC285" s="78">
        <f>300*24940+45*40368+14*42804+30*164720+10*214600</f>
        <v>16985416</v>
      </c>
      <c r="AD285" s="78">
        <v>0</v>
      </c>
      <c r="AE285" s="80">
        <f t="shared" si="39"/>
        <v>16985416</v>
      </c>
      <c r="AF285" s="82">
        <v>0</v>
      </c>
      <c r="AG285" s="69">
        <v>40303</v>
      </c>
      <c r="AH285" s="84">
        <v>97232</v>
      </c>
      <c r="AI285" s="69" t="s">
        <v>2009</v>
      </c>
      <c r="AJ285" s="25" t="s">
        <v>2010</v>
      </c>
      <c r="AK285" s="65">
        <v>154</v>
      </c>
      <c r="AL285" s="185" t="s">
        <v>2182</v>
      </c>
      <c r="AM285" s="85" t="s">
        <v>845</v>
      </c>
      <c r="AN285" s="3"/>
      <c r="AO285" s="4"/>
      <c r="AP285" s="5"/>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6"/>
      <c r="CQ285" s="7"/>
      <c r="CR285" s="6"/>
      <c r="CS285" s="7"/>
      <c r="CT285" s="6"/>
      <c r="CU285" s="7"/>
      <c r="CV285" s="8">
        <f t="shared" si="37"/>
        <v>0</v>
      </c>
      <c r="CW285" s="9"/>
      <c r="CX285" s="10"/>
      <c r="CY285" s="11"/>
      <c r="CZ285" s="12"/>
      <c r="DA285" s="29"/>
      <c r="DB285" s="12"/>
      <c r="DC285" s="9"/>
      <c r="DD285" s="10"/>
      <c r="DE285" s="71"/>
      <c r="EO285" s="353" t="str">
        <f t="shared" si="38"/>
        <v>CAQUETA_MORELIA</v>
      </c>
      <c r="EP285" s="350"/>
      <c r="EQ285" s="350" t="s">
        <v>4092</v>
      </c>
      <c r="ER285" s="358" t="s">
        <v>6021</v>
      </c>
      <c r="ES285" s="350" t="s">
        <v>4926</v>
      </c>
      <c r="ET285" s="350" t="s">
        <v>6072</v>
      </c>
      <c r="EU285" s="350" t="str">
        <f t="shared" si="32"/>
        <v>Boyaca_Mongua</v>
      </c>
    </row>
    <row r="286" spans="1:151" ht="45" x14ac:dyDescent="0.2">
      <c r="A286" s="242">
        <v>40262</v>
      </c>
      <c r="B286" s="107" t="s">
        <v>2425</v>
      </c>
      <c r="C286" s="107" t="s">
        <v>2320</v>
      </c>
      <c r="D286" s="427" t="s">
        <v>2209</v>
      </c>
      <c r="E286" s="107" t="str">
        <f>VLOOKUP(B286&amp;C286,Divipola!$C$2:$F$1138,4,FALSE)</f>
        <v>27450</v>
      </c>
      <c r="F286" s="330"/>
      <c r="G286" s="224"/>
      <c r="H286" s="75"/>
      <c r="I286" s="75"/>
      <c r="J286" s="75">
        <f>16*5</f>
        <v>80</v>
      </c>
      <c r="K286" s="75">
        <v>16</v>
      </c>
      <c r="L286" s="75"/>
      <c r="M286" s="75">
        <v>16</v>
      </c>
      <c r="N286" s="75"/>
      <c r="O286" s="75"/>
      <c r="P286" s="75"/>
      <c r="Q286" s="75"/>
      <c r="R286" s="75"/>
      <c r="S286" s="75"/>
      <c r="T286" s="75"/>
      <c r="U286" s="75"/>
      <c r="V286" s="76"/>
      <c r="W286" s="205"/>
      <c r="X286" s="1">
        <v>40374</v>
      </c>
      <c r="Y286" s="78">
        <f t="shared" si="33"/>
        <v>0</v>
      </c>
      <c r="Z286" s="78">
        <f t="shared" si="34"/>
        <v>0</v>
      </c>
      <c r="AA286" s="78">
        <f t="shared" si="35"/>
        <v>10944000</v>
      </c>
      <c r="AB286" s="78">
        <f t="shared" si="36"/>
        <v>0</v>
      </c>
      <c r="AC286" s="78"/>
      <c r="AD286" s="78">
        <v>0</v>
      </c>
      <c r="AE286" s="80">
        <f t="shared" si="39"/>
        <v>10944000</v>
      </c>
      <c r="AF286" s="82">
        <v>0</v>
      </c>
      <c r="AG286" s="69">
        <v>40330</v>
      </c>
      <c r="AH286" s="84">
        <v>97967</v>
      </c>
      <c r="AI286" s="69" t="s">
        <v>2009</v>
      </c>
      <c r="AJ286" s="25" t="s">
        <v>2010</v>
      </c>
      <c r="AK286" s="65">
        <v>204</v>
      </c>
      <c r="AL286" s="185" t="s">
        <v>2182</v>
      </c>
      <c r="AM286" s="85"/>
      <c r="AN286" s="3"/>
      <c r="AO286" s="4"/>
      <c r="AP286" s="5"/>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6"/>
      <c r="CQ286" s="7"/>
      <c r="CR286" s="6"/>
      <c r="CS286" s="7"/>
      <c r="CT286" s="6"/>
      <c r="CU286" s="7"/>
      <c r="CV286" s="8">
        <f t="shared" si="37"/>
        <v>0</v>
      </c>
      <c r="CW286" s="9"/>
      <c r="CX286" s="10"/>
      <c r="CY286" s="11"/>
      <c r="CZ286" s="12"/>
      <c r="DA286" s="29"/>
      <c r="DB286" s="12"/>
      <c r="DC286" s="9">
        <v>480</v>
      </c>
      <c r="DD286" s="10">
        <f>480*22800</f>
        <v>10944000</v>
      </c>
      <c r="DE286" s="71"/>
      <c r="EO286" s="353" t="str">
        <f t="shared" si="38"/>
        <v>CHOCO_MEDIO SAN JUAN</v>
      </c>
      <c r="EP286" s="350"/>
      <c r="EQ286" s="350" t="s">
        <v>4092</v>
      </c>
      <c r="ER286" s="358" t="s">
        <v>6021</v>
      </c>
      <c r="ES286" s="350" t="s">
        <v>4927</v>
      </c>
      <c r="ET286" s="350" t="s">
        <v>6073</v>
      </c>
      <c r="EU286" s="350" t="str">
        <f t="shared" si="32"/>
        <v>Boyaca_Mongui</v>
      </c>
    </row>
    <row r="287" spans="1:151" ht="25.5" x14ac:dyDescent="0.2">
      <c r="A287" s="242">
        <v>40262</v>
      </c>
      <c r="B287" s="107" t="s">
        <v>3102</v>
      </c>
      <c r="C287" s="107" t="s">
        <v>4663</v>
      </c>
      <c r="D287" s="427" t="s">
        <v>2209</v>
      </c>
      <c r="E287" s="107" t="str">
        <f>VLOOKUP(B287&amp;C287,Divipola!$C$2:$F$1138,4,FALSE)</f>
        <v>94001</v>
      </c>
      <c r="F287" s="330"/>
      <c r="G287" s="224"/>
      <c r="H287" s="75"/>
      <c r="I287" s="75"/>
      <c r="J287" s="75">
        <v>60</v>
      </c>
      <c r="K287" s="75">
        <v>12</v>
      </c>
      <c r="L287" s="75"/>
      <c r="M287" s="75">
        <v>12</v>
      </c>
      <c r="N287" s="75"/>
      <c r="O287" s="75"/>
      <c r="P287" s="75"/>
      <c r="Q287" s="75"/>
      <c r="R287" s="75"/>
      <c r="S287" s="75"/>
      <c r="T287" s="75"/>
      <c r="U287" s="75">
        <v>1</v>
      </c>
      <c r="V287" s="76"/>
      <c r="W287" s="205"/>
      <c r="X287" s="1"/>
      <c r="Y287" s="78">
        <f t="shared" si="33"/>
        <v>0</v>
      </c>
      <c r="Z287" s="78">
        <f t="shared" si="34"/>
        <v>0</v>
      </c>
      <c r="AA287" s="78">
        <f t="shared" si="35"/>
        <v>0</v>
      </c>
      <c r="AB287" s="78">
        <f t="shared" si="36"/>
        <v>0</v>
      </c>
      <c r="AC287" s="78"/>
      <c r="AD287" s="78">
        <v>0</v>
      </c>
      <c r="AE287" s="80">
        <f t="shared" si="39"/>
        <v>0</v>
      </c>
      <c r="AF287" s="82">
        <v>0</v>
      </c>
      <c r="AG287" s="69">
        <v>40280</v>
      </c>
      <c r="AH287" s="84"/>
      <c r="AI287" s="69" t="s">
        <v>1984</v>
      </c>
      <c r="AJ287" s="25" t="s">
        <v>1985</v>
      </c>
      <c r="AK287" s="65"/>
      <c r="AL287" s="185" t="s">
        <v>1257</v>
      </c>
      <c r="AM287" s="85" t="s">
        <v>3103</v>
      </c>
      <c r="AN287" s="3"/>
      <c r="AO287" s="4"/>
      <c r="AP287" s="5"/>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6"/>
      <c r="CQ287" s="7"/>
      <c r="CR287" s="6"/>
      <c r="CS287" s="7"/>
      <c r="CT287" s="6"/>
      <c r="CU287" s="7"/>
      <c r="CV287" s="8">
        <f t="shared" si="37"/>
        <v>0</v>
      </c>
      <c r="CW287" s="9"/>
      <c r="CX287" s="10"/>
      <c r="CY287" s="11"/>
      <c r="CZ287" s="12"/>
      <c r="DA287" s="29"/>
      <c r="DB287" s="12"/>
      <c r="DC287" s="9"/>
      <c r="DD287" s="10"/>
      <c r="DE287" s="71"/>
      <c r="EO287" s="353" t="str">
        <f t="shared" si="38"/>
        <v>GUAINIA_INIRIDA</v>
      </c>
      <c r="EP287" s="350"/>
      <c r="EQ287" s="350" t="s">
        <v>4092</v>
      </c>
      <c r="ER287" s="358" t="s">
        <v>6021</v>
      </c>
      <c r="ES287" s="350" t="s">
        <v>4928</v>
      </c>
      <c r="ET287" s="350" t="s">
        <v>6074</v>
      </c>
      <c r="EU287" s="350" t="str">
        <f t="shared" si="32"/>
        <v>Boyaca_Moniquira</v>
      </c>
    </row>
    <row r="288" spans="1:151" ht="72" x14ac:dyDescent="0.2">
      <c r="A288" s="242">
        <v>40262</v>
      </c>
      <c r="B288" s="107" t="s">
        <v>1333</v>
      </c>
      <c r="C288" s="107" t="s">
        <v>1538</v>
      </c>
      <c r="D288" s="427" t="s">
        <v>1539</v>
      </c>
      <c r="E288" s="107" t="str">
        <f>VLOOKUP(B288&amp;C288,Divipola!$C$2:$F$1138,4,FALSE)</f>
        <v>41396</v>
      </c>
      <c r="F288" s="330"/>
      <c r="G288" s="224"/>
      <c r="H288" s="75"/>
      <c r="I288" s="75"/>
      <c r="J288" s="75"/>
      <c r="K288" s="75"/>
      <c r="L288" s="75"/>
      <c r="M288" s="75"/>
      <c r="N288" s="75"/>
      <c r="O288" s="75"/>
      <c r="P288" s="75"/>
      <c r="Q288" s="75"/>
      <c r="R288" s="75"/>
      <c r="S288" s="75"/>
      <c r="T288" s="75"/>
      <c r="U288" s="75"/>
      <c r="V288" s="76"/>
      <c r="W288" s="205"/>
      <c r="X288" s="1">
        <v>40345</v>
      </c>
      <c r="Y288" s="78">
        <f t="shared" si="33"/>
        <v>0</v>
      </c>
      <c r="Z288" s="78">
        <f t="shared" si="34"/>
        <v>0</v>
      </c>
      <c r="AA288" s="78">
        <f t="shared" si="35"/>
        <v>0</v>
      </c>
      <c r="AB288" s="78">
        <f t="shared" si="36"/>
        <v>0</v>
      </c>
      <c r="AC288" s="78"/>
      <c r="AD288" s="78">
        <v>73705272</v>
      </c>
      <c r="AE288" s="80">
        <f t="shared" si="39"/>
        <v>73705272</v>
      </c>
      <c r="AF288" s="82">
        <v>0</v>
      </c>
      <c r="AG288" s="69">
        <v>40262</v>
      </c>
      <c r="AH288" s="84">
        <v>96227</v>
      </c>
      <c r="AI288" s="69" t="s">
        <v>2009</v>
      </c>
      <c r="AJ288" s="25" t="s">
        <v>2010</v>
      </c>
      <c r="AK288" s="65">
        <v>310</v>
      </c>
      <c r="AL288" s="185" t="s">
        <v>216</v>
      </c>
      <c r="AM288" s="97" t="s">
        <v>217</v>
      </c>
      <c r="AN288" s="3"/>
      <c r="AO288" s="4"/>
      <c r="AP288" s="5"/>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6"/>
      <c r="CQ288" s="7"/>
      <c r="CR288" s="6"/>
      <c r="CS288" s="7"/>
      <c r="CT288" s="6"/>
      <c r="CU288" s="7"/>
      <c r="CV288" s="8">
        <f t="shared" si="37"/>
        <v>0</v>
      </c>
      <c r="CW288" s="9"/>
      <c r="CX288" s="10"/>
      <c r="CY288" s="11"/>
      <c r="CZ288" s="12"/>
      <c r="DA288" s="29"/>
      <c r="DB288" s="12"/>
      <c r="DC288" s="9"/>
      <c r="DD288" s="10"/>
      <c r="DE288" s="71">
        <v>2</v>
      </c>
      <c r="EO288" s="353" t="str">
        <f t="shared" si="38"/>
        <v>HUILA_LA PLATA</v>
      </c>
      <c r="EP288" s="350"/>
      <c r="EQ288" s="350" t="s">
        <v>4092</v>
      </c>
      <c r="ER288" s="358" t="s">
        <v>6021</v>
      </c>
      <c r="ES288" s="350" t="s">
        <v>4929</v>
      </c>
      <c r="ET288" s="350" t="s">
        <v>6075</v>
      </c>
      <c r="EU288" s="350" t="str">
        <f t="shared" si="32"/>
        <v>Boyaca_Motavita</v>
      </c>
    </row>
    <row r="289" spans="1:151" ht="84" x14ac:dyDescent="0.2">
      <c r="A289" s="242">
        <v>40262</v>
      </c>
      <c r="B289" s="107" t="s">
        <v>2372</v>
      </c>
      <c r="C289" s="107" t="s">
        <v>880</v>
      </c>
      <c r="D289" s="427" t="s">
        <v>882</v>
      </c>
      <c r="E289" s="107" t="str">
        <f>VLOOKUP(B289&amp;C289,Divipola!$C$2:$F$1138,4,FALSE)</f>
        <v>70124</v>
      </c>
      <c r="F289" s="330"/>
      <c r="G289" s="224"/>
      <c r="H289" s="75"/>
      <c r="I289" s="75"/>
      <c r="J289" s="75"/>
      <c r="K289" s="75"/>
      <c r="L289" s="75"/>
      <c r="M289" s="75"/>
      <c r="N289" s="75"/>
      <c r="O289" s="75"/>
      <c r="P289" s="75"/>
      <c r="Q289" s="75"/>
      <c r="R289" s="75"/>
      <c r="S289" s="75"/>
      <c r="T289" s="75"/>
      <c r="U289" s="75"/>
      <c r="V289" s="76"/>
      <c r="W289" s="205"/>
      <c r="X289" s="1">
        <v>40317</v>
      </c>
      <c r="Y289" s="78">
        <f t="shared" si="33"/>
        <v>0</v>
      </c>
      <c r="Z289" s="78">
        <f t="shared" si="34"/>
        <v>55250000</v>
      </c>
      <c r="AA289" s="78">
        <f t="shared" si="35"/>
        <v>0</v>
      </c>
      <c r="AB289" s="78">
        <f t="shared" si="36"/>
        <v>0</v>
      </c>
      <c r="AC289" s="78"/>
      <c r="AD289" s="78">
        <v>0</v>
      </c>
      <c r="AE289" s="80">
        <f t="shared" si="39"/>
        <v>55250000</v>
      </c>
      <c r="AF289" s="82">
        <v>0</v>
      </c>
      <c r="AG289" s="69">
        <v>40283</v>
      </c>
      <c r="AH289" s="84">
        <v>96609</v>
      </c>
      <c r="AI289" s="69" t="s">
        <v>2009</v>
      </c>
      <c r="AJ289" s="25" t="s">
        <v>2010</v>
      </c>
      <c r="AK289" s="65">
        <v>124</v>
      </c>
      <c r="AL289" s="185" t="s">
        <v>1580</v>
      </c>
      <c r="AM289" s="85" t="s">
        <v>1579</v>
      </c>
      <c r="AN289" s="3"/>
      <c r="AO289" s="4"/>
      <c r="AP289" s="5"/>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6"/>
      <c r="CQ289" s="7"/>
      <c r="CR289" s="6"/>
      <c r="CS289" s="7"/>
      <c r="CT289" s="6"/>
      <c r="CU289" s="7"/>
      <c r="CV289" s="8">
        <f t="shared" si="37"/>
        <v>0</v>
      </c>
      <c r="CW289" s="9"/>
      <c r="CX289" s="10"/>
      <c r="CY289" s="11">
        <v>650</v>
      </c>
      <c r="CZ289" s="12">
        <f>650*85000</f>
        <v>55250000</v>
      </c>
      <c r="DA289" s="29"/>
      <c r="DB289" s="12"/>
      <c r="DC289" s="9"/>
      <c r="DD289" s="10"/>
      <c r="DE289" s="71"/>
      <c r="EO289" s="353" t="str">
        <f t="shared" si="38"/>
        <v>SUCRE_CAIMITO</v>
      </c>
      <c r="EP289" s="350"/>
      <c r="EQ289" s="350" t="s">
        <v>4092</v>
      </c>
      <c r="ER289" s="358" t="s">
        <v>6021</v>
      </c>
      <c r="ES289" s="350" t="s">
        <v>4930</v>
      </c>
      <c r="ET289" s="350" t="s">
        <v>6076</v>
      </c>
      <c r="EU289" s="350" t="str">
        <f t="shared" si="32"/>
        <v>Boyaca_Muzo</v>
      </c>
    </row>
    <row r="290" spans="1:151" ht="45" x14ac:dyDescent="0.2">
      <c r="A290" s="242">
        <v>40262</v>
      </c>
      <c r="B290" s="107" t="s">
        <v>2372</v>
      </c>
      <c r="C290" s="107" t="s">
        <v>2397</v>
      </c>
      <c r="D290" s="427" t="s">
        <v>2209</v>
      </c>
      <c r="E290" s="107" t="str">
        <f>VLOOKUP(B290&amp;C290,Divipola!$C$2:$F$1138,4,FALSE)</f>
        <v>70418</v>
      </c>
      <c r="F290" s="330"/>
      <c r="G290" s="224"/>
      <c r="H290" s="75"/>
      <c r="I290" s="75"/>
      <c r="J290" s="75">
        <f>13*5</f>
        <v>65</v>
      </c>
      <c r="K290" s="75">
        <v>13</v>
      </c>
      <c r="L290" s="75"/>
      <c r="M290" s="75">
        <v>13</v>
      </c>
      <c r="N290" s="75"/>
      <c r="O290" s="75"/>
      <c r="P290" s="75"/>
      <c r="Q290" s="75"/>
      <c r="R290" s="75"/>
      <c r="S290" s="75"/>
      <c r="T290" s="75"/>
      <c r="U290" s="75"/>
      <c r="V290" s="76"/>
      <c r="W290" s="205"/>
      <c r="X290" s="1">
        <v>40368</v>
      </c>
      <c r="Y290" s="78">
        <f t="shared" si="33"/>
        <v>0</v>
      </c>
      <c r="Z290" s="78">
        <f t="shared" si="34"/>
        <v>0</v>
      </c>
      <c r="AA290" s="78">
        <f t="shared" si="35"/>
        <v>4817600</v>
      </c>
      <c r="AB290" s="78">
        <f t="shared" si="36"/>
        <v>0</v>
      </c>
      <c r="AC290" s="78"/>
      <c r="AD290" s="78">
        <v>0</v>
      </c>
      <c r="AE290" s="80">
        <f t="shared" si="39"/>
        <v>4817600</v>
      </c>
      <c r="AF290" s="82">
        <v>0</v>
      </c>
      <c r="AG290" s="69">
        <v>40330</v>
      </c>
      <c r="AH290" s="84">
        <v>97922</v>
      </c>
      <c r="AI290" s="69" t="s">
        <v>2009</v>
      </c>
      <c r="AJ290" s="25" t="s">
        <v>2010</v>
      </c>
      <c r="AK290" s="65">
        <v>194</v>
      </c>
      <c r="AL290" s="185" t="s">
        <v>2182</v>
      </c>
      <c r="AM290" s="85" t="s">
        <v>283</v>
      </c>
      <c r="AN290" s="3"/>
      <c r="AO290" s="4"/>
      <c r="AP290" s="5"/>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6"/>
      <c r="CQ290" s="7"/>
      <c r="CR290" s="6"/>
      <c r="CS290" s="7"/>
      <c r="CT290" s="6"/>
      <c r="CU290" s="7"/>
      <c r="CV290" s="8">
        <f t="shared" si="37"/>
        <v>0</v>
      </c>
      <c r="CW290" s="9"/>
      <c r="CX290" s="10"/>
      <c r="CY290" s="11"/>
      <c r="CZ290" s="12"/>
      <c r="DA290" s="29"/>
      <c r="DB290" s="12"/>
      <c r="DC290" s="9">
        <v>200</v>
      </c>
      <c r="DD290" s="10">
        <f>200*22000+1200*348</f>
        <v>4817600</v>
      </c>
      <c r="DE290" s="71"/>
      <c r="EO290" s="353" t="str">
        <f t="shared" si="38"/>
        <v>SUCRE_LOS PALMITOS</v>
      </c>
      <c r="EP290" s="350"/>
      <c r="EQ290" s="350" t="s">
        <v>4092</v>
      </c>
      <c r="ER290" s="358" t="s">
        <v>6021</v>
      </c>
      <c r="ES290" s="350" t="s">
        <v>4931</v>
      </c>
      <c r="ET290" s="350" t="s">
        <v>6077</v>
      </c>
      <c r="EU290" s="350" t="str">
        <f t="shared" si="32"/>
        <v>Boyaca_Nobsa</v>
      </c>
    </row>
    <row r="291" spans="1:151" ht="84" x14ac:dyDescent="0.2">
      <c r="A291" s="242">
        <v>40262</v>
      </c>
      <c r="B291" s="107" t="s">
        <v>2372</v>
      </c>
      <c r="C291" s="107" t="s">
        <v>881</v>
      </c>
      <c r="D291" s="427" t="s">
        <v>882</v>
      </c>
      <c r="E291" s="107" t="str">
        <f>VLOOKUP(B291&amp;C291,Divipola!$C$2:$F$1138,4,FALSE)</f>
        <v>70678</v>
      </c>
      <c r="F291" s="330"/>
      <c r="G291" s="224"/>
      <c r="H291" s="75"/>
      <c r="I291" s="75"/>
      <c r="J291" s="75"/>
      <c r="K291" s="75"/>
      <c r="L291" s="75"/>
      <c r="M291" s="75"/>
      <c r="N291" s="75"/>
      <c r="O291" s="75"/>
      <c r="P291" s="75"/>
      <c r="Q291" s="75"/>
      <c r="R291" s="75"/>
      <c r="S291" s="75"/>
      <c r="T291" s="75"/>
      <c r="U291" s="75"/>
      <c r="V291" s="76"/>
      <c r="W291" s="205"/>
      <c r="X291" s="1">
        <v>40317</v>
      </c>
      <c r="Y291" s="78">
        <f t="shared" si="33"/>
        <v>0</v>
      </c>
      <c r="Z291" s="78">
        <f t="shared" si="34"/>
        <v>54400000</v>
      </c>
      <c r="AA291" s="78">
        <f t="shared" si="35"/>
        <v>0</v>
      </c>
      <c r="AB291" s="78">
        <f t="shared" si="36"/>
        <v>0</v>
      </c>
      <c r="AC291" s="78"/>
      <c r="AD291" s="78">
        <v>0</v>
      </c>
      <c r="AE291" s="80">
        <f t="shared" si="39"/>
        <v>54400000</v>
      </c>
      <c r="AF291" s="82">
        <v>0</v>
      </c>
      <c r="AG291" s="69">
        <v>40283</v>
      </c>
      <c r="AH291" s="84">
        <v>96609</v>
      </c>
      <c r="AI291" s="69" t="s">
        <v>2009</v>
      </c>
      <c r="AJ291" s="25" t="s">
        <v>2010</v>
      </c>
      <c r="AK291" s="65">
        <v>124</v>
      </c>
      <c r="AL291" s="185" t="s">
        <v>1580</v>
      </c>
      <c r="AM291" s="85" t="s">
        <v>883</v>
      </c>
      <c r="AN291" s="3"/>
      <c r="AO291" s="4"/>
      <c r="AP291" s="5"/>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6"/>
      <c r="CQ291" s="7"/>
      <c r="CR291" s="6"/>
      <c r="CS291" s="7"/>
      <c r="CT291" s="6"/>
      <c r="CU291" s="7"/>
      <c r="CV291" s="8">
        <f t="shared" si="37"/>
        <v>0</v>
      </c>
      <c r="CW291" s="9"/>
      <c r="CX291" s="10"/>
      <c r="CY291" s="11">
        <v>640</v>
      </c>
      <c r="CZ291" s="12">
        <f>640*85000</f>
        <v>54400000</v>
      </c>
      <c r="DA291" s="29"/>
      <c r="DB291" s="12"/>
      <c r="DC291" s="9"/>
      <c r="DD291" s="10"/>
      <c r="DE291" s="71"/>
      <c r="EO291" s="353" t="str">
        <f t="shared" si="38"/>
        <v>SUCRE_SAN BENITO ABAD</v>
      </c>
      <c r="EP291" s="350"/>
      <c r="EQ291" s="350" t="s">
        <v>4092</v>
      </c>
      <c r="ER291" s="358" t="s">
        <v>6021</v>
      </c>
      <c r="ES291" s="350" t="s">
        <v>4932</v>
      </c>
      <c r="ET291" s="350" t="s">
        <v>6078</v>
      </c>
      <c r="EU291" s="350" t="str">
        <f t="shared" si="32"/>
        <v>Boyaca_Nuevo Colon</v>
      </c>
    </row>
    <row r="292" spans="1:151" ht="36" x14ac:dyDescent="0.2">
      <c r="A292" s="242">
        <v>40263</v>
      </c>
      <c r="B292" s="107" t="s">
        <v>2401</v>
      </c>
      <c r="C292" s="107" t="s">
        <v>2264</v>
      </c>
      <c r="D292" s="427" t="s">
        <v>2781</v>
      </c>
      <c r="E292" s="107" t="str">
        <f>VLOOKUP(B292&amp;C292,Divipola!$C$2:$F$1138,4,FALSE)</f>
        <v>05736</v>
      </c>
      <c r="F292" s="330"/>
      <c r="G292" s="224"/>
      <c r="H292" s="75">
        <v>34</v>
      </c>
      <c r="I292" s="75"/>
      <c r="J292" s="75"/>
      <c r="K292" s="75"/>
      <c r="L292" s="75"/>
      <c r="M292" s="75"/>
      <c r="N292" s="75"/>
      <c r="O292" s="75"/>
      <c r="P292" s="75"/>
      <c r="Q292" s="75"/>
      <c r="R292" s="75"/>
      <c r="S292" s="75"/>
      <c r="T292" s="75"/>
      <c r="U292" s="75"/>
      <c r="V292" s="76"/>
      <c r="W292" s="205"/>
      <c r="X292" s="1"/>
      <c r="Y292" s="78">
        <f t="shared" si="33"/>
        <v>0</v>
      </c>
      <c r="Z292" s="78">
        <f t="shared" si="34"/>
        <v>0</v>
      </c>
      <c r="AA292" s="78">
        <f t="shared" si="35"/>
        <v>0</v>
      </c>
      <c r="AB292" s="78">
        <f t="shared" si="36"/>
        <v>0</v>
      </c>
      <c r="AC292" s="78"/>
      <c r="AD292" s="78">
        <v>0</v>
      </c>
      <c r="AE292" s="80">
        <f t="shared" si="39"/>
        <v>0</v>
      </c>
      <c r="AF292" s="82">
        <v>0</v>
      </c>
      <c r="AG292" s="69">
        <v>40267</v>
      </c>
      <c r="AH292" s="84"/>
      <c r="AI292" s="69" t="s">
        <v>1984</v>
      </c>
      <c r="AJ292" s="25" t="s">
        <v>1985</v>
      </c>
      <c r="AK292" s="65"/>
      <c r="AL292" s="185" t="s">
        <v>1257</v>
      </c>
      <c r="AM292" s="85" t="s">
        <v>2265</v>
      </c>
      <c r="AN292" s="3"/>
      <c r="AO292" s="4"/>
      <c r="AP292" s="5"/>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6"/>
      <c r="CQ292" s="7"/>
      <c r="CR292" s="6"/>
      <c r="CS292" s="7"/>
      <c r="CT292" s="6"/>
      <c r="CU292" s="7"/>
      <c r="CV292" s="8">
        <f t="shared" si="37"/>
        <v>0</v>
      </c>
      <c r="CW292" s="9"/>
      <c r="CX292" s="10"/>
      <c r="CY292" s="11"/>
      <c r="CZ292" s="12"/>
      <c r="DA292" s="29"/>
      <c r="DB292" s="12"/>
      <c r="DC292" s="9"/>
      <c r="DD292" s="10"/>
      <c r="DE292" s="71"/>
      <c r="EO292" s="353" t="str">
        <f t="shared" si="38"/>
        <v>ANTIOQUIA_SEGOVIA</v>
      </c>
      <c r="EP292" s="350"/>
      <c r="EQ292" s="350" t="s">
        <v>4092</v>
      </c>
      <c r="ER292" s="358" t="s">
        <v>6021</v>
      </c>
      <c r="ES292" s="350" t="s">
        <v>4933</v>
      </c>
      <c r="ET292" s="350" t="s">
        <v>6079</v>
      </c>
      <c r="EU292" s="350" t="str">
        <f t="shared" ref="EU292:EU354" si="40">ER292&amp;"_"&amp;ET292</f>
        <v>Boyaca_Oicata</v>
      </c>
    </row>
    <row r="293" spans="1:151" ht="84" x14ac:dyDescent="0.2">
      <c r="A293" s="242">
        <v>40263</v>
      </c>
      <c r="B293" s="107" t="s">
        <v>2425</v>
      </c>
      <c r="C293" s="107" t="s">
        <v>2330</v>
      </c>
      <c r="D293" s="427" t="s">
        <v>837</v>
      </c>
      <c r="E293" s="107" t="str">
        <f>VLOOKUP(B293&amp;C293,Divipola!$C$2:$F$1138,4,FALSE)</f>
        <v>27425</v>
      </c>
      <c r="F293" s="330"/>
      <c r="G293" s="224"/>
      <c r="H293" s="75"/>
      <c r="I293" s="75"/>
      <c r="J293" s="75">
        <f>974*5</f>
        <v>4870</v>
      </c>
      <c r="K293" s="75">
        <f>123+33+16+75+110+70+44+49+32+70+127+34+48+27+53+63</f>
        <v>974</v>
      </c>
      <c r="L293" s="75"/>
      <c r="M293" s="75"/>
      <c r="N293" s="75"/>
      <c r="O293" s="75"/>
      <c r="P293" s="75"/>
      <c r="Q293" s="75"/>
      <c r="R293" s="75"/>
      <c r="S293" s="75"/>
      <c r="T293" s="75"/>
      <c r="U293" s="75"/>
      <c r="V293" s="76"/>
      <c r="W293" s="205"/>
      <c r="X293" s="1">
        <v>40422</v>
      </c>
      <c r="Y293" s="78">
        <f t="shared" si="33"/>
        <v>0</v>
      </c>
      <c r="Z293" s="78">
        <f t="shared" si="34"/>
        <v>0</v>
      </c>
      <c r="AA293" s="78">
        <f t="shared" si="35"/>
        <v>0</v>
      </c>
      <c r="AB293" s="78">
        <f t="shared" si="36"/>
        <v>0</v>
      </c>
      <c r="AC293" s="78"/>
      <c r="AD293" s="78">
        <v>57800000</v>
      </c>
      <c r="AE293" s="80">
        <f t="shared" si="39"/>
        <v>57800000</v>
      </c>
      <c r="AF293" s="82">
        <v>0</v>
      </c>
      <c r="AG293" s="69">
        <v>40267</v>
      </c>
      <c r="AH293" s="84"/>
      <c r="AI293" s="69" t="s">
        <v>2009</v>
      </c>
      <c r="AJ293" s="25" t="s">
        <v>2010</v>
      </c>
      <c r="AK293" s="65">
        <v>401</v>
      </c>
      <c r="AL293" s="185" t="s">
        <v>195</v>
      </c>
      <c r="AM293" s="85" t="s">
        <v>196</v>
      </c>
      <c r="AN293" s="3"/>
      <c r="AO293" s="4"/>
      <c r="AP293" s="5"/>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6"/>
      <c r="CQ293" s="7"/>
      <c r="CR293" s="6"/>
      <c r="CS293" s="7"/>
      <c r="CT293" s="6"/>
      <c r="CU293" s="7"/>
      <c r="CV293" s="8">
        <f t="shared" si="37"/>
        <v>0</v>
      </c>
      <c r="CW293" s="9"/>
      <c r="CX293" s="10"/>
      <c r="CY293" s="11"/>
      <c r="CZ293" s="12"/>
      <c r="DA293" s="29"/>
      <c r="DB293" s="12"/>
      <c r="DC293" s="9"/>
      <c r="DD293" s="10"/>
      <c r="DE293" s="71">
        <v>2</v>
      </c>
      <c r="EO293" s="353" t="str">
        <f t="shared" si="38"/>
        <v>CHOCO_MEDIO ATRATO</v>
      </c>
      <c r="EP293" s="350"/>
      <c r="EQ293" s="350" t="s">
        <v>4092</v>
      </c>
      <c r="ER293" s="358" t="s">
        <v>6021</v>
      </c>
      <c r="ES293" s="350" t="s">
        <v>4934</v>
      </c>
      <c r="ET293" s="350" t="s">
        <v>6080</v>
      </c>
      <c r="EU293" s="350" t="str">
        <f t="shared" si="40"/>
        <v>Boyaca_Otanche</v>
      </c>
    </row>
    <row r="294" spans="1:151" ht="108" x14ac:dyDescent="0.2">
      <c r="A294" s="242">
        <v>40263</v>
      </c>
      <c r="B294" s="107" t="s">
        <v>2425</v>
      </c>
      <c r="C294" s="107" t="s">
        <v>2374</v>
      </c>
      <c r="D294" s="427" t="s">
        <v>2331</v>
      </c>
      <c r="E294" s="107" t="str">
        <f>VLOOKUP(B294&amp;C294,Divipola!$C$2:$F$1138,4,FALSE)</f>
        <v>27001</v>
      </c>
      <c r="F294" s="330"/>
      <c r="G294" s="224">
        <v>3</v>
      </c>
      <c r="H294" s="75"/>
      <c r="I294" s="75"/>
      <c r="J294" s="75">
        <f>612*5</f>
        <v>3060</v>
      </c>
      <c r="K294" s="75">
        <v>612</v>
      </c>
      <c r="L294" s="75">
        <v>5</v>
      </c>
      <c r="M294" s="75">
        <f>612-5</f>
        <v>607</v>
      </c>
      <c r="N294" s="75"/>
      <c r="O294" s="75"/>
      <c r="P294" s="75"/>
      <c r="Q294" s="75"/>
      <c r="R294" s="75"/>
      <c r="S294" s="75"/>
      <c r="T294" s="75"/>
      <c r="U294" s="75"/>
      <c r="V294" s="76"/>
      <c r="W294" s="205"/>
      <c r="X294" s="1">
        <v>40309</v>
      </c>
      <c r="Y294" s="78">
        <f t="shared" si="33"/>
        <v>101592000</v>
      </c>
      <c r="Z294" s="78">
        <f t="shared" si="34"/>
        <v>52020000</v>
      </c>
      <c r="AA294" s="78">
        <f t="shared" si="35"/>
        <v>59995000</v>
      </c>
      <c r="AB294" s="78">
        <f t="shared" si="36"/>
        <v>0</v>
      </c>
      <c r="AC294" s="78"/>
      <c r="AD294" s="78">
        <v>80000000</v>
      </c>
      <c r="AE294" s="80">
        <f t="shared" si="39"/>
        <v>293607000</v>
      </c>
      <c r="AF294" s="82">
        <v>0</v>
      </c>
      <c r="AG294" s="69">
        <v>40263</v>
      </c>
      <c r="AH294" s="84">
        <v>96274</v>
      </c>
      <c r="AI294" s="69" t="s">
        <v>2009</v>
      </c>
      <c r="AJ294" s="25" t="s">
        <v>2010</v>
      </c>
      <c r="AK294" s="88" t="s">
        <v>538</v>
      </c>
      <c r="AL294" s="185" t="s">
        <v>2793</v>
      </c>
      <c r="AM294" s="85" t="s">
        <v>268</v>
      </c>
      <c r="AN294" s="3"/>
      <c r="AO294" s="4"/>
      <c r="AP294" s="5"/>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6">
        <v>612</v>
      </c>
      <c r="CQ294" s="7">
        <f>612*37000</f>
        <v>22644000</v>
      </c>
      <c r="CR294" s="6">
        <v>612</v>
      </c>
      <c r="CS294" s="7">
        <f>612*36050</f>
        <v>22062600</v>
      </c>
      <c r="CT294" s="6">
        <v>612</v>
      </c>
      <c r="CU294" s="7">
        <f>612*92950</f>
        <v>56885400</v>
      </c>
      <c r="CV294" s="8">
        <f t="shared" si="37"/>
        <v>101592000</v>
      </c>
      <c r="CW294" s="9"/>
      <c r="CX294" s="10"/>
      <c r="CY294" s="11">
        <v>612</v>
      </c>
      <c r="CZ294" s="12">
        <f>612*85000</f>
        <v>52020000</v>
      </c>
      <c r="DA294" s="29"/>
      <c r="DB294" s="12"/>
      <c r="DC294" s="9">
        <v>3000</v>
      </c>
      <c r="DD294" s="10">
        <f>3000*19890+125*2600</f>
        <v>59995000</v>
      </c>
      <c r="DE294" s="89" t="s">
        <v>844</v>
      </c>
      <c r="EO294" s="353" t="str">
        <f t="shared" si="38"/>
        <v>CHOCO_QUIBDO</v>
      </c>
      <c r="EP294" s="350"/>
      <c r="EQ294" s="350" t="s">
        <v>4092</v>
      </c>
      <c r="ER294" s="358" t="s">
        <v>6021</v>
      </c>
      <c r="ES294" s="350" t="s">
        <v>4935</v>
      </c>
      <c r="ET294" s="350" t="s">
        <v>6081</v>
      </c>
      <c r="EU294" s="350" t="str">
        <f t="shared" si="40"/>
        <v>Boyaca_Pachavita</v>
      </c>
    </row>
    <row r="295" spans="1:151" ht="36" x14ac:dyDescent="0.2">
      <c r="A295" s="242">
        <v>40263</v>
      </c>
      <c r="B295" s="107" t="s">
        <v>2012</v>
      </c>
      <c r="C295" s="107" t="s">
        <v>2433</v>
      </c>
      <c r="D295" s="427" t="s">
        <v>2209</v>
      </c>
      <c r="E295" s="107" t="str">
        <f>VLOOKUP(B295&amp;C295,Divipola!$C$2:$F$1138,4,FALSE)</f>
        <v>66001</v>
      </c>
      <c r="F295" s="330"/>
      <c r="G295" s="224"/>
      <c r="H295" s="75"/>
      <c r="I295" s="75"/>
      <c r="J295" s="75">
        <v>152</v>
      </c>
      <c r="K295" s="75">
        <v>37</v>
      </c>
      <c r="L295" s="75"/>
      <c r="M295" s="75">
        <v>37</v>
      </c>
      <c r="N295" s="75"/>
      <c r="O295" s="75"/>
      <c r="P295" s="75"/>
      <c r="Q295" s="75"/>
      <c r="R295" s="75"/>
      <c r="S295" s="75"/>
      <c r="T295" s="75"/>
      <c r="U295" s="75"/>
      <c r="V295" s="76"/>
      <c r="W295" s="205"/>
      <c r="X295" s="1"/>
      <c r="Y295" s="78">
        <f t="shared" si="33"/>
        <v>0</v>
      </c>
      <c r="Z295" s="78">
        <f t="shared" si="34"/>
        <v>0</v>
      </c>
      <c r="AA295" s="78">
        <f t="shared" si="35"/>
        <v>0</v>
      </c>
      <c r="AB295" s="78">
        <f t="shared" si="36"/>
        <v>0</v>
      </c>
      <c r="AC295" s="78"/>
      <c r="AD295" s="78">
        <v>0</v>
      </c>
      <c r="AE295" s="80">
        <f t="shared" si="39"/>
        <v>0</v>
      </c>
      <c r="AF295" s="82">
        <v>0</v>
      </c>
      <c r="AG295" s="69">
        <v>40267</v>
      </c>
      <c r="AH295" s="84"/>
      <c r="AI295" s="69" t="s">
        <v>1984</v>
      </c>
      <c r="AJ295" s="25" t="s">
        <v>1985</v>
      </c>
      <c r="AK295" s="65"/>
      <c r="AL295" s="185" t="s">
        <v>1257</v>
      </c>
      <c r="AM295" s="85" t="s">
        <v>2259</v>
      </c>
      <c r="AN295" s="3"/>
      <c r="AO295" s="4"/>
      <c r="AP295" s="5"/>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6"/>
      <c r="CQ295" s="7"/>
      <c r="CR295" s="6"/>
      <c r="CS295" s="7"/>
      <c r="CT295" s="6"/>
      <c r="CU295" s="7"/>
      <c r="CV295" s="8">
        <f t="shared" si="37"/>
        <v>0</v>
      </c>
      <c r="CW295" s="9"/>
      <c r="CX295" s="10"/>
      <c r="CY295" s="11"/>
      <c r="CZ295" s="12"/>
      <c r="DA295" s="29"/>
      <c r="DB295" s="12"/>
      <c r="DC295" s="9"/>
      <c r="DD295" s="10"/>
      <c r="DE295" s="71"/>
      <c r="EO295" s="353" t="str">
        <f t="shared" si="38"/>
        <v>RISARALDA_PEREIRA</v>
      </c>
      <c r="EP295" s="350"/>
      <c r="EQ295" s="350" t="s">
        <v>4092</v>
      </c>
      <c r="ER295" s="358" t="s">
        <v>6021</v>
      </c>
      <c r="ES295" s="350" t="s">
        <v>4936</v>
      </c>
      <c r="ET295" s="350" t="s">
        <v>6082</v>
      </c>
      <c r="EU295" s="350" t="str">
        <f t="shared" si="40"/>
        <v>Boyaca_Paez</v>
      </c>
    </row>
    <row r="296" spans="1:151" ht="60" x14ac:dyDescent="0.2">
      <c r="A296" s="242">
        <v>40263</v>
      </c>
      <c r="B296" s="107" t="s">
        <v>2791</v>
      </c>
      <c r="C296" s="107" t="s">
        <v>1945</v>
      </c>
      <c r="D296" s="427" t="s">
        <v>2209</v>
      </c>
      <c r="E296" s="107" t="str">
        <f>VLOOKUP(B296&amp;C296,Divipola!$C$2:$F$1138,4,FALSE)</f>
        <v>73001</v>
      </c>
      <c r="F296" s="330"/>
      <c r="G296" s="224"/>
      <c r="H296" s="75"/>
      <c r="I296" s="75"/>
      <c r="J296" s="75">
        <v>185</v>
      </c>
      <c r="K296" s="75">
        <v>48</v>
      </c>
      <c r="L296" s="75"/>
      <c r="M296" s="75">
        <v>44</v>
      </c>
      <c r="N296" s="75"/>
      <c r="O296" s="75"/>
      <c r="P296" s="75"/>
      <c r="Q296" s="75"/>
      <c r="R296" s="75"/>
      <c r="S296" s="75"/>
      <c r="T296" s="75"/>
      <c r="U296" s="75"/>
      <c r="V296" s="76"/>
      <c r="W296" s="205" t="s">
        <v>2263</v>
      </c>
      <c r="X296" s="1"/>
      <c r="Y296" s="78">
        <f t="shared" si="33"/>
        <v>0</v>
      </c>
      <c r="Z296" s="78">
        <f t="shared" si="34"/>
        <v>0</v>
      </c>
      <c r="AA296" s="78">
        <f t="shared" si="35"/>
        <v>0</v>
      </c>
      <c r="AB296" s="78">
        <f t="shared" si="36"/>
        <v>0</v>
      </c>
      <c r="AC296" s="78"/>
      <c r="AD296" s="78">
        <v>0</v>
      </c>
      <c r="AE296" s="80">
        <f t="shared" si="39"/>
        <v>0</v>
      </c>
      <c r="AF296" s="82">
        <v>0</v>
      </c>
      <c r="AG296" s="69">
        <v>40267</v>
      </c>
      <c r="AH296" s="84"/>
      <c r="AI296" s="69" t="s">
        <v>1984</v>
      </c>
      <c r="AJ296" s="25" t="s">
        <v>1985</v>
      </c>
      <c r="AK296" s="65"/>
      <c r="AL296" s="185" t="s">
        <v>1257</v>
      </c>
      <c r="AM296" s="85" t="s">
        <v>2261</v>
      </c>
      <c r="AN296" s="3"/>
      <c r="AO296" s="4"/>
      <c r="AP296" s="5"/>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6"/>
      <c r="CQ296" s="7"/>
      <c r="CR296" s="6"/>
      <c r="CS296" s="7"/>
      <c r="CT296" s="6"/>
      <c r="CU296" s="7"/>
      <c r="CV296" s="8">
        <f t="shared" si="37"/>
        <v>0</v>
      </c>
      <c r="CW296" s="9"/>
      <c r="CX296" s="10"/>
      <c r="CY296" s="11"/>
      <c r="CZ296" s="12"/>
      <c r="DA296" s="29"/>
      <c r="DB296" s="12"/>
      <c r="DC296" s="9"/>
      <c r="DD296" s="10"/>
      <c r="DE296" s="71"/>
      <c r="EO296" s="353" t="str">
        <f t="shared" si="38"/>
        <v>TOLIMA_IBAGUE</v>
      </c>
      <c r="EP296" s="350"/>
      <c r="EQ296" s="350" t="s">
        <v>4092</v>
      </c>
      <c r="ER296" s="358" t="s">
        <v>6021</v>
      </c>
      <c r="ES296" s="350" t="s">
        <v>4937</v>
      </c>
      <c r="ET296" s="350" t="s">
        <v>6083</v>
      </c>
      <c r="EU296" s="350" t="str">
        <f t="shared" si="40"/>
        <v>Boyaca_Paipa</v>
      </c>
    </row>
    <row r="297" spans="1:151" ht="57.75" x14ac:dyDescent="0.2">
      <c r="A297" s="242">
        <v>40263</v>
      </c>
      <c r="B297" s="107" t="s">
        <v>2791</v>
      </c>
      <c r="C297" s="107" t="s">
        <v>3163</v>
      </c>
      <c r="D297" s="427" t="s">
        <v>2209</v>
      </c>
      <c r="E297" s="107" t="str">
        <f>VLOOKUP(B297&amp;C297,Divipola!$C$2:$F$1138,4,FALSE)</f>
        <v>73563</v>
      </c>
      <c r="F297" s="330"/>
      <c r="G297" s="224"/>
      <c r="H297" s="75"/>
      <c r="I297" s="75"/>
      <c r="J297" s="75">
        <v>100</v>
      </c>
      <c r="K297" s="75">
        <v>20</v>
      </c>
      <c r="L297" s="75"/>
      <c r="M297" s="75">
        <v>20</v>
      </c>
      <c r="N297" s="75"/>
      <c r="O297" s="75"/>
      <c r="P297" s="75"/>
      <c r="Q297" s="75"/>
      <c r="R297" s="75"/>
      <c r="S297" s="75"/>
      <c r="T297" s="75"/>
      <c r="U297" s="75"/>
      <c r="V297" s="76"/>
      <c r="W297" s="205" t="s">
        <v>2687</v>
      </c>
      <c r="X297" s="1"/>
      <c r="Y297" s="78">
        <f t="shared" si="33"/>
        <v>0</v>
      </c>
      <c r="Z297" s="78">
        <f t="shared" si="34"/>
        <v>0</v>
      </c>
      <c r="AA297" s="78">
        <f t="shared" si="35"/>
        <v>9987600</v>
      </c>
      <c r="AB297" s="78">
        <f t="shared" si="36"/>
        <v>0</v>
      </c>
      <c r="AC297" s="78"/>
      <c r="AD297" s="78">
        <v>0</v>
      </c>
      <c r="AE297" s="80">
        <f t="shared" si="39"/>
        <v>9987600</v>
      </c>
      <c r="AF297" s="82">
        <v>0</v>
      </c>
      <c r="AG297" s="69">
        <v>40284</v>
      </c>
      <c r="AH297" s="84">
        <v>96689</v>
      </c>
      <c r="AI297" s="69" t="s">
        <v>2009</v>
      </c>
      <c r="AJ297" s="25" t="s">
        <v>2010</v>
      </c>
      <c r="AK297" s="65">
        <v>99</v>
      </c>
      <c r="AL297" s="185" t="s">
        <v>2182</v>
      </c>
      <c r="AM297" s="85" t="s">
        <v>2686</v>
      </c>
      <c r="AN297" s="3"/>
      <c r="AO297" s="4"/>
      <c r="AP297" s="5"/>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6"/>
      <c r="CQ297" s="7"/>
      <c r="CR297" s="6"/>
      <c r="CS297" s="7"/>
      <c r="CT297" s="6"/>
      <c r="CU297" s="7"/>
      <c r="CV297" s="8">
        <f t="shared" si="37"/>
        <v>0</v>
      </c>
      <c r="CW297" s="9"/>
      <c r="CX297" s="10"/>
      <c r="CY297" s="11"/>
      <c r="CZ297" s="12"/>
      <c r="DA297" s="29"/>
      <c r="DB297" s="12"/>
      <c r="DC297" s="9">
        <v>500</v>
      </c>
      <c r="DD297" s="10">
        <f>500*19140+2000*208.8</f>
        <v>9987600</v>
      </c>
      <c r="DE297" s="71"/>
      <c r="EO297" s="353" t="str">
        <f t="shared" si="38"/>
        <v>TOLIMA_PRADO</v>
      </c>
      <c r="EP297" s="350"/>
      <c r="EQ297" s="350" t="s">
        <v>4092</v>
      </c>
      <c r="ER297" s="358" t="s">
        <v>6021</v>
      </c>
      <c r="ES297" s="350" t="s">
        <v>4938</v>
      </c>
      <c r="ET297" s="350" t="s">
        <v>6084</v>
      </c>
      <c r="EU297" s="350" t="str">
        <f t="shared" si="40"/>
        <v>Boyaca_Pajarito</v>
      </c>
    </row>
    <row r="298" spans="1:151" ht="72" x14ac:dyDescent="0.2">
      <c r="A298" s="243">
        <v>40264</v>
      </c>
      <c r="B298" s="234" t="s">
        <v>2791</v>
      </c>
      <c r="C298" s="234" t="s">
        <v>2688</v>
      </c>
      <c r="D298" s="429" t="s">
        <v>1387</v>
      </c>
      <c r="E298" s="107" t="str">
        <f>VLOOKUP(B298&amp;C298,Divipola!$C$2:$F$1138,4,FALSE)</f>
        <v>73226</v>
      </c>
      <c r="F298" s="332"/>
      <c r="G298" s="225"/>
      <c r="H298" s="112"/>
      <c r="I298" s="112"/>
      <c r="J298" s="112">
        <v>440</v>
      </c>
      <c r="K298" s="112">
        <v>88</v>
      </c>
      <c r="L298" s="112"/>
      <c r="M298" s="112"/>
      <c r="N298" s="112"/>
      <c r="O298" s="112"/>
      <c r="P298" s="112"/>
      <c r="Q298" s="112"/>
      <c r="R298" s="112"/>
      <c r="S298" s="112"/>
      <c r="T298" s="112"/>
      <c r="U298" s="112"/>
      <c r="V298" s="113">
        <v>341</v>
      </c>
      <c r="W298" s="206" t="s">
        <v>2689</v>
      </c>
      <c r="X298" s="95">
        <v>40304</v>
      </c>
      <c r="Y298" s="114">
        <f t="shared" si="33"/>
        <v>0</v>
      </c>
      <c r="Z298" s="114">
        <f t="shared" si="34"/>
        <v>14960000</v>
      </c>
      <c r="AA298" s="114">
        <f t="shared" si="35"/>
        <v>0</v>
      </c>
      <c r="AB298" s="114">
        <f t="shared" si="36"/>
        <v>0</v>
      </c>
      <c r="AC298" s="114"/>
      <c r="AD298" s="114">
        <v>0</v>
      </c>
      <c r="AE298" s="115">
        <f t="shared" si="39"/>
        <v>14960000</v>
      </c>
      <c r="AF298" s="116">
        <v>0</v>
      </c>
      <c r="AG298" s="117">
        <v>40284</v>
      </c>
      <c r="AH298" s="118">
        <v>96689</v>
      </c>
      <c r="AI298" s="117" t="s">
        <v>2009</v>
      </c>
      <c r="AJ298" s="119" t="s">
        <v>2010</v>
      </c>
      <c r="AK298" s="120">
        <v>107</v>
      </c>
      <c r="AL298" s="213" t="s">
        <v>1460</v>
      </c>
      <c r="AM298" s="121" t="s">
        <v>2665</v>
      </c>
      <c r="AN298" s="122"/>
      <c r="AO298" s="123"/>
      <c r="AP298" s="124"/>
      <c r="AQ298" s="123"/>
      <c r="AR298" s="123"/>
      <c r="AS298" s="123"/>
      <c r="AT298" s="123"/>
      <c r="AU298" s="123"/>
      <c r="AV298" s="123"/>
      <c r="AW298" s="123"/>
      <c r="AX298" s="123"/>
      <c r="AY298" s="123"/>
      <c r="AZ298" s="123"/>
      <c r="BA298" s="123"/>
      <c r="BB298" s="123"/>
      <c r="BC298" s="123"/>
      <c r="BD298" s="123"/>
      <c r="BE298" s="123"/>
      <c r="BF298" s="123"/>
      <c r="BG298" s="123"/>
      <c r="BH298" s="123"/>
      <c r="BI298" s="123"/>
      <c r="BJ298" s="123"/>
      <c r="BK298" s="123"/>
      <c r="BL298" s="123"/>
      <c r="BM298" s="123"/>
      <c r="BN298" s="123"/>
      <c r="BO298" s="123"/>
      <c r="BP298" s="123"/>
      <c r="BQ298" s="123"/>
      <c r="BR298" s="123"/>
      <c r="BS298" s="123"/>
      <c r="BT298" s="123"/>
      <c r="BU298" s="123"/>
      <c r="BV298" s="123"/>
      <c r="BW298" s="123"/>
      <c r="BX298" s="123"/>
      <c r="BY298" s="123"/>
      <c r="BZ298" s="123"/>
      <c r="CA298" s="123"/>
      <c r="CB298" s="123"/>
      <c r="CC298" s="123"/>
      <c r="CD298" s="123"/>
      <c r="CE298" s="123"/>
      <c r="CF298" s="123"/>
      <c r="CG298" s="123"/>
      <c r="CH298" s="123"/>
      <c r="CI298" s="123"/>
      <c r="CJ298" s="123"/>
      <c r="CK298" s="123"/>
      <c r="CL298" s="123"/>
      <c r="CM298" s="123"/>
      <c r="CN298" s="123"/>
      <c r="CO298" s="123"/>
      <c r="CP298" s="125"/>
      <c r="CQ298" s="126"/>
      <c r="CR298" s="125"/>
      <c r="CS298" s="126"/>
      <c r="CT298" s="125"/>
      <c r="CU298" s="126"/>
      <c r="CV298" s="8">
        <f t="shared" si="37"/>
        <v>0</v>
      </c>
      <c r="CW298" s="127"/>
      <c r="CX298" s="128"/>
      <c r="CY298" s="129">
        <v>176</v>
      </c>
      <c r="CZ298" s="130">
        <f>176*85000</f>
        <v>14960000</v>
      </c>
      <c r="DA298" s="131"/>
      <c r="DB298" s="130"/>
      <c r="DC298" s="127"/>
      <c r="DD298" s="128"/>
      <c r="DE298" s="138"/>
      <c r="DF298" s="132"/>
      <c r="EO298" s="353" t="str">
        <f t="shared" si="38"/>
        <v>TOLIMA_CUNDAY</v>
      </c>
      <c r="EP298" s="350"/>
      <c r="EQ298" s="350" t="s">
        <v>4092</v>
      </c>
      <c r="ER298" s="358" t="s">
        <v>6021</v>
      </c>
      <c r="ES298" s="350" t="s">
        <v>4939</v>
      </c>
      <c r="ET298" s="350" t="s">
        <v>6085</v>
      </c>
      <c r="EU298" s="350" t="str">
        <f t="shared" si="40"/>
        <v>Boyaca_Panqueba</v>
      </c>
    </row>
    <row r="299" spans="1:151" ht="48" x14ac:dyDescent="0.2">
      <c r="A299" s="242">
        <v>40266</v>
      </c>
      <c r="B299" s="107" t="s">
        <v>2401</v>
      </c>
      <c r="C299" s="107" t="s">
        <v>2266</v>
      </c>
      <c r="D299" s="427" t="s">
        <v>837</v>
      </c>
      <c r="E299" s="107" t="str">
        <f>VLOOKUP(B299&amp;C299,Divipola!$C$2:$F$1138,4,FALSE)</f>
        <v>05490</v>
      </c>
      <c r="F299" s="330"/>
      <c r="G299" s="224"/>
      <c r="H299" s="75"/>
      <c r="I299" s="75"/>
      <c r="J299" s="75">
        <f>350*5</f>
        <v>1750</v>
      </c>
      <c r="K299" s="75">
        <v>350</v>
      </c>
      <c r="L299" s="75"/>
      <c r="M299" s="75">
        <v>350</v>
      </c>
      <c r="N299" s="75"/>
      <c r="O299" s="75"/>
      <c r="P299" s="75"/>
      <c r="Q299" s="75"/>
      <c r="R299" s="75"/>
      <c r="S299" s="75"/>
      <c r="T299" s="75"/>
      <c r="U299" s="75"/>
      <c r="V299" s="76"/>
      <c r="W299" s="205" t="s">
        <v>2180</v>
      </c>
      <c r="X299" s="1">
        <v>40302</v>
      </c>
      <c r="Y299" s="78">
        <f t="shared" si="33"/>
        <v>26099850</v>
      </c>
      <c r="Z299" s="78">
        <f t="shared" si="34"/>
        <v>29750000</v>
      </c>
      <c r="AA299" s="78">
        <f t="shared" si="35"/>
        <v>0</v>
      </c>
      <c r="AB299" s="78">
        <f t="shared" si="36"/>
        <v>0</v>
      </c>
      <c r="AC299" s="78"/>
      <c r="AD299" s="78">
        <v>0</v>
      </c>
      <c r="AE299" s="80">
        <f t="shared" si="39"/>
        <v>55849850</v>
      </c>
      <c r="AF299" s="82">
        <v>0</v>
      </c>
      <c r="AG299" s="69">
        <v>40284</v>
      </c>
      <c r="AH299" s="84">
        <v>96686</v>
      </c>
      <c r="AI299" s="69" t="s">
        <v>2009</v>
      </c>
      <c r="AJ299" s="25" t="s">
        <v>2010</v>
      </c>
      <c r="AK299" s="65">
        <v>101</v>
      </c>
      <c r="AL299" s="185" t="s">
        <v>2182</v>
      </c>
      <c r="AM299" s="85" t="s">
        <v>961</v>
      </c>
      <c r="AN299" s="3"/>
      <c r="AO299" s="4"/>
      <c r="AP299" s="5"/>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6">
        <v>350</v>
      </c>
      <c r="CQ299" s="7">
        <f>350*36595</f>
        <v>12808250</v>
      </c>
      <c r="CR299" s="6">
        <v>350</v>
      </c>
      <c r="CS299" s="7">
        <f>350*37976</f>
        <v>13291600</v>
      </c>
      <c r="CT299" s="6"/>
      <c r="CU299" s="7"/>
      <c r="CV299" s="8">
        <f t="shared" si="37"/>
        <v>26099850</v>
      </c>
      <c r="CW299" s="9"/>
      <c r="CX299" s="10"/>
      <c r="CY299" s="11">
        <v>350</v>
      </c>
      <c r="CZ299" s="12">
        <f>350*85000</f>
        <v>29750000</v>
      </c>
      <c r="DA299" s="29"/>
      <c r="DB299" s="12"/>
      <c r="DC299" s="9"/>
      <c r="DD299" s="10"/>
      <c r="DE299" s="71"/>
      <c r="EO299" s="353" t="str">
        <f t="shared" si="38"/>
        <v>ANTIOQUIA_NECOCLI</v>
      </c>
      <c r="EP299" s="350"/>
      <c r="EQ299" s="350" t="s">
        <v>4092</v>
      </c>
      <c r="ER299" s="358" t="s">
        <v>6021</v>
      </c>
      <c r="ES299" s="350" t="s">
        <v>4940</v>
      </c>
      <c r="ET299" s="350" t="s">
        <v>6086</v>
      </c>
      <c r="EU299" s="350" t="str">
        <f t="shared" si="40"/>
        <v>Boyaca_Pauna</v>
      </c>
    </row>
    <row r="300" spans="1:151" ht="45" x14ac:dyDescent="0.2">
      <c r="A300" s="242">
        <v>40266</v>
      </c>
      <c r="B300" s="107" t="s">
        <v>2401</v>
      </c>
      <c r="C300" s="107" t="s">
        <v>2267</v>
      </c>
      <c r="D300" s="427" t="s">
        <v>837</v>
      </c>
      <c r="E300" s="107" t="str">
        <f>VLOOKUP(B300&amp;C300,Divipola!$C$2:$F$1138,4,FALSE)</f>
        <v>05837</v>
      </c>
      <c r="F300" s="330"/>
      <c r="G300" s="224"/>
      <c r="H300" s="75"/>
      <c r="I300" s="75"/>
      <c r="J300" s="75">
        <f>250*5</f>
        <v>1250</v>
      </c>
      <c r="K300" s="75">
        <v>250</v>
      </c>
      <c r="L300" s="75"/>
      <c r="M300" s="75">
        <v>250</v>
      </c>
      <c r="N300" s="75"/>
      <c r="O300" s="75"/>
      <c r="P300" s="75"/>
      <c r="Q300" s="75"/>
      <c r="R300" s="75"/>
      <c r="S300" s="75"/>
      <c r="T300" s="75"/>
      <c r="U300" s="75"/>
      <c r="V300" s="76"/>
      <c r="W300" s="205"/>
      <c r="X300" s="1">
        <v>40302</v>
      </c>
      <c r="Y300" s="78">
        <f t="shared" si="33"/>
        <v>18642750</v>
      </c>
      <c r="Z300" s="78">
        <f t="shared" si="34"/>
        <v>21250000</v>
      </c>
      <c r="AA300" s="78">
        <f t="shared" si="35"/>
        <v>0</v>
      </c>
      <c r="AB300" s="78">
        <f t="shared" si="36"/>
        <v>0</v>
      </c>
      <c r="AC300" s="78"/>
      <c r="AD300" s="78">
        <v>0</v>
      </c>
      <c r="AE300" s="80">
        <f t="shared" si="39"/>
        <v>39892750</v>
      </c>
      <c r="AF300" s="82">
        <v>0</v>
      </c>
      <c r="AG300" s="69">
        <v>40284</v>
      </c>
      <c r="AH300" s="84">
        <v>96686</v>
      </c>
      <c r="AI300" s="69" t="s">
        <v>2009</v>
      </c>
      <c r="AJ300" s="25" t="s">
        <v>2010</v>
      </c>
      <c r="AK300" s="65">
        <v>101</v>
      </c>
      <c r="AL300" s="185" t="s">
        <v>2182</v>
      </c>
      <c r="AM300" s="85" t="s">
        <v>2181</v>
      </c>
      <c r="AN300" s="3"/>
      <c r="AO300" s="4"/>
      <c r="AP300" s="5"/>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6">
        <v>250</v>
      </c>
      <c r="CQ300" s="7">
        <f>250*36595</f>
        <v>9148750</v>
      </c>
      <c r="CR300" s="6">
        <v>250</v>
      </c>
      <c r="CS300" s="7">
        <f>250*37976</f>
        <v>9494000</v>
      </c>
      <c r="CT300" s="6"/>
      <c r="CU300" s="7"/>
      <c r="CV300" s="8">
        <f t="shared" si="37"/>
        <v>18642750</v>
      </c>
      <c r="CW300" s="9"/>
      <c r="CX300" s="10"/>
      <c r="CY300" s="11">
        <v>250</v>
      </c>
      <c r="CZ300" s="12">
        <f>250*85000</f>
        <v>21250000</v>
      </c>
      <c r="DA300" s="29"/>
      <c r="DB300" s="12"/>
      <c r="DC300" s="9"/>
      <c r="DD300" s="10"/>
      <c r="DE300" s="71"/>
      <c r="EO300" s="353" t="str">
        <f t="shared" si="38"/>
        <v>ANTIOQUIA_TURBO</v>
      </c>
      <c r="EP300" s="350"/>
      <c r="EQ300" s="350" t="s">
        <v>4092</v>
      </c>
      <c r="ER300" s="358" t="s">
        <v>6021</v>
      </c>
      <c r="ES300" s="350" t="s">
        <v>4941</v>
      </c>
      <c r="ET300" s="350" t="s">
        <v>6087</v>
      </c>
      <c r="EU300" s="350" t="str">
        <f t="shared" si="40"/>
        <v>Boyaca_Paya</v>
      </c>
    </row>
    <row r="301" spans="1:151" ht="132" x14ac:dyDescent="0.2">
      <c r="A301" s="242">
        <v>40267</v>
      </c>
      <c r="B301" s="107" t="s">
        <v>2012</v>
      </c>
      <c r="C301" s="107" t="s">
        <v>2183</v>
      </c>
      <c r="D301" s="427" t="s">
        <v>2209</v>
      </c>
      <c r="E301" s="107" t="str">
        <f>VLOOKUP(B301&amp;C301,Divipola!$C$2:$F$1138,4,FALSE)</f>
        <v>66088</v>
      </c>
      <c r="F301" s="330"/>
      <c r="G301" s="224"/>
      <c r="H301" s="75"/>
      <c r="I301" s="75"/>
      <c r="J301" s="75">
        <v>806</v>
      </c>
      <c r="K301" s="75">
        <v>185</v>
      </c>
      <c r="L301" s="75"/>
      <c r="M301" s="75">
        <v>100</v>
      </c>
      <c r="N301" s="75"/>
      <c r="O301" s="75"/>
      <c r="P301" s="75"/>
      <c r="Q301" s="75"/>
      <c r="R301" s="75"/>
      <c r="S301" s="75"/>
      <c r="T301" s="75">
        <v>2</v>
      </c>
      <c r="U301" s="75">
        <v>7</v>
      </c>
      <c r="V301" s="76"/>
      <c r="W301" s="205"/>
      <c r="X301" s="1">
        <v>40295</v>
      </c>
      <c r="Y301" s="78">
        <f t="shared" si="33"/>
        <v>12894000</v>
      </c>
      <c r="Z301" s="78">
        <f t="shared" si="34"/>
        <v>0</v>
      </c>
      <c r="AA301" s="78">
        <f t="shared" si="35"/>
        <v>27351600</v>
      </c>
      <c r="AB301" s="78">
        <f t="shared" si="36"/>
        <v>0</v>
      </c>
      <c r="AC301" s="78"/>
      <c r="AD301" s="78">
        <v>0</v>
      </c>
      <c r="AE301" s="80">
        <f t="shared" si="39"/>
        <v>40245600</v>
      </c>
      <c r="AF301" s="82">
        <v>0</v>
      </c>
      <c r="AG301" s="69">
        <v>40280</v>
      </c>
      <c r="AH301" s="84">
        <v>96537</v>
      </c>
      <c r="AI301" s="69" t="s">
        <v>2009</v>
      </c>
      <c r="AJ301" s="25" t="s">
        <v>2010</v>
      </c>
      <c r="AK301" s="65">
        <v>87</v>
      </c>
      <c r="AL301" s="185" t="s">
        <v>2182</v>
      </c>
      <c r="AM301" s="85" t="s">
        <v>2765</v>
      </c>
      <c r="AN301" s="3"/>
      <c r="AO301" s="4"/>
      <c r="AP301" s="5"/>
      <c r="AQ301" s="4"/>
      <c r="AR301" s="4"/>
      <c r="AS301" s="4"/>
      <c r="AT301" s="4"/>
      <c r="AU301" s="4"/>
      <c r="AV301" s="4"/>
      <c r="AW301" s="4"/>
      <c r="AX301" s="4"/>
      <c r="AY301" s="4"/>
      <c r="AZ301" s="4">
        <v>155</v>
      </c>
      <c r="BA301" s="4">
        <f>155*56000</f>
        <v>8680000</v>
      </c>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v>196</v>
      </c>
      <c r="CK301" s="4">
        <f>196*21500</f>
        <v>4214000</v>
      </c>
      <c r="CL301" s="4"/>
      <c r="CM301" s="4"/>
      <c r="CN301" s="4"/>
      <c r="CO301" s="4"/>
      <c r="CP301" s="6"/>
      <c r="CQ301" s="7"/>
      <c r="CR301" s="6"/>
      <c r="CS301" s="7"/>
      <c r="CT301" s="6"/>
      <c r="CU301" s="7"/>
      <c r="CV301" s="8">
        <f t="shared" si="37"/>
        <v>12894000</v>
      </c>
      <c r="CW301" s="9"/>
      <c r="CX301" s="10"/>
      <c r="CY301" s="11"/>
      <c r="CZ301" s="12"/>
      <c r="DA301" s="29"/>
      <c r="DB301" s="12"/>
      <c r="DC301" s="9">
        <f>10200+135</f>
        <v>10335</v>
      </c>
      <c r="DD301" s="10">
        <f>1022*22000+135*30000+4088*200</f>
        <v>27351600</v>
      </c>
      <c r="DE301" s="71"/>
      <c r="DF301" s="23" t="s">
        <v>2730</v>
      </c>
      <c r="EO301" s="353" t="str">
        <f t="shared" si="38"/>
        <v>RISARALDA_BELEN DE UMBRIA</v>
      </c>
      <c r="EP301" s="350"/>
      <c r="EQ301" s="350" t="s">
        <v>4092</v>
      </c>
      <c r="ER301" s="358" t="s">
        <v>6021</v>
      </c>
      <c r="ES301" s="350" t="s">
        <v>4942</v>
      </c>
      <c r="ET301" s="350" t="s">
        <v>6088</v>
      </c>
      <c r="EU301" s="350" t="str">
        <f t="shared" si="40"/>
        <v>Boyaca_Paz de Rio</v>
      </c>
    </row>
    <row r="302" spans="1:151" ht="72" x14ac:dyDescent="0.2">
      <c r="A302" s="242">
        <v>40267</v>
      </c>
      <c r="B302" s="107" t="s">
        <v>2012</v>
      </c>
      <c r="C302" s="107" t="s">
        <v>2766</v>
      </c>
      <c r="D302" s="427" t="s">
        <v>2209</v>
      </c>
      <c r="E302" s="107" t="str">
        <f>VLOOKUP(B302&amp;C302,Divipola!$C$2:$F$1138,4,FALSE)</f>
        <v>66440</v>
      </c>
      <c r="F302" s="330"/>
      <c r="G302" s="224"/>
      <c r="H302" s="75"/>
      <c r="I302" s="75"/>
      <c r="J302" s="75">
        <f>45*5</f>
        <v>225</v>
      </c>
      <c r="K302" s="75">
        <v>45</v>
      </c>
      <c r="L302" s="75"/>
      <c r="M302" s="75">
        <v>45</v>
      </c>
      <c r="N302" s="75"/>
      <c r="O302" s="75"/>
      <c r="P302" s="75"/>
      <c r="Q302" s="75"/>
      <c r="R302" s="75"/>
      <c r="S302" s="75"/>
      <c r="T302" s="75"/>
      <c r="U302" s="75"/>
      <c r="V302" s="76"/>
      <c r="W302" s="205"/>
      <c r="X302" s="1">
        <v>40295</v>
      </c>
      <c r="Y302" s="78">
        <f t="shared" si="33"/>
        <v>0</v>
      </c>
      <c r="Z302" s="78">
        <f t="shared" si="34"/>
        <v>0</v>
      </c>
      <c r="AA302" s="78">
        <f t="shared" si="35"/>
        <v>14750400</v>
      </c>
      <c r="AB302" s="78">
        <f t="shared" si="36"/>
        <v>0</v>
      </c>
      <c r="AC302" s="78"/>
      <c r="AD302" s="78">
        <v>0</v>
      </c>
      <c r="AE302" s="80">
        <f t="shared" si="39"/>
        <v>14750400</v>
      </c>
      <c r="AF302" s="82">
        <v>0</v>
      </c>
      <c r="AG302" s="69">
        <v>40280</v>
      </c>
      <c r="AH302" s="84">
        <v>96537</v>
      </c>
      <c r="AI302" s="69" t="s">
        <v>2009</v>
      </c>
      <c r="AJ302" s="25" t="s">
        <v>2010</v>
      </c>
      <c r="AK302" s="65">
        <v>87</v>
      </c>
      <c r="AL302" s="185" t="s">
        <v>2182</v>
      </c>
      <c r="AM302" s="85" t="s">
        <v>1991</v>
      </c>
      <c r="AN302" s="3"/>
      <c r="AO302" s="4"/>
      <c r="AP302" s="5"/>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6"/>
      <c r="CQ302" s="7"/>
      <c r="CR302" s="6"/>
      <c r="CS302" s="7"/>
      <c r="CT302" s="6"/>
      <c r="CU302" s="7"/>
      <c r="CV302" s="8">
        <f t="shared" si="37"/>
        <v>0</v>
      </c>
      <c r="CW302" s="9"/>
      <c r="CX302" s="10"/>
      <c r="CY302" s="11"/>
      <c r="CZ302" s="12"/>
      <c r="DA302" s="29"/>
      <c r="DB302" s="12"/>
      <c r="DC302" s="9">
        <f>268+288</f>
        <v>556</v>
      </c>
      <c r="DD302" s="10">
        <f>268*22000+288*30000+1072*200</f>
        <v>14750400</v>
      </c>
      <c r="DE302" s="71"/>
      <c r="DF302" s="23" t="s">
        <v>2731</v>
      </c>
      <c r="EO302" s="353" t="str">
        <f t="shared" si="38"/>
        <v>RISARALDA_MARSELLA</v>
      </c>
      <c r="EP302" s="350"/>
      <c r="EQ302" s="350" t="s">
        <v>4092</v>
      </c>
      <c r="ER302" s="358" t="s">
        <v>6021</v>
      </c>
      <c r="ES302" s="350" t="s">
        <v>4943</v>
      </c>
      <c r="ET302" s="350" t="s">
        <v>6089</v>
      </c>
      <c r="EU302" s="350" t="str">
        <f t="shared" si="40"/>
        <v>Boyaca_Pesca</v>
      </c>
    </row>
    <row r="303" spans="1:151" ht="45" x14ac:dyDescent="0.2">
      <c r="A303" s="242">
        <v>40267</v>
      </c>
      <c r="B303" s="107" t="s">
        <v>2372</v>
      </c>
      <c r="C303" s="107" t="s">
        <v>2396</v>
      </c>
      <c r="D303" s="427" t="s">
        <v>2209</v>
      </c>
      <c r="E303" s="107" t="str">
        <f>VLOOKUP(B303&amp;C303,Divipola!$C$2:$F$1138,4,FALSE)</f>
        <v>70230</v>
      </c>
      <c r="F303" s="330"/>
      <c r="G303" s="224"/>
      <c r="H303" s="75"/>
      <c r="I303" s="75"/>
      <c r="J303" s="75">
        <f>14*5</f>
        <v>70</v>
      </c>
      <c r="K303" s="75">
        <v>14</v>
      </c>
      <c r="L303" s="75"/>
      <c r="M303" s="75">
        <v>14</v>
      </c>
      <c r="N303" s="75"/>
      <c r="O303" s="75"/>
      <c r="P303" s="75"/>
      <c r="Q303" s="75"/>
      <c r="R303" s="75"/>
      <c r="S303" s="75"/>
      <c r="T303" s="75"/>
      <c r="U303" s="75"/>
      <c r="V303" s="76"/>
      <c r="W303" s="205"/>
      <c r="X303" s="1">
        <v>40368</v>
      </c>
      <c r="Y303" s="78">
        <f t="shared" si="33"/>
        <v>0</v>
      </c>
      <c r="Z303" s="78">
        <f t="shared" si="34"/>
        <v>0</v>
      </c>
      <c r="AA303" s="78">
        <f t="shared" si="35"/>
        <v>4817600</v>
      </c>
      <c r="AB303" s="78">
        <f t="shared" si="36"/>
        <v>0</v>
      </c>
      <c r="AC303" s="78"/>
      <c r="AD303" s="78">
        <v>0</v>
      </c>
      <c r="AE303" s="80">
        <f t="shared" si="39"/>
        <v>4817600</v>
      </c>
      <c r="AF303" s="82">
        <v>0</v>
      </c>
      <c r="AG303" s="69">
        <v>40330</v>
      </c>
      <c r="AH303" s="84">
        <v>97922</v>
      </c>
      <c r="AI303" s="69" t="s">
        <v>2009</v>
      </c>
      <c r="AJ303" s="25" t="s">
        <v>2010</v>
      </c>
      <c r="AK303" s="65">
        <v>194</v>
      </c>
      <c r="AL303" s="185" t="s">
        <v>2182</v>
      </c>
      <c r="AM303" s="85" t="s">
        <v>283</v>
      </c>
      <c r="AN303" s="3"/>
      <c r="AO303" s="4"/>
      <c r="AP303" s="5"/>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6"/>
      <c r="CQ303" s="7"/>
      <c r="CR303" s="6"/>
      <c r="CS303" s="7"/>
      <c r="CT303" s="6"/>
      <c r="CU303" s="7"/>
      <c r="CV303" s="8">
        <f t="shared" si="37"/>
        <v>0</v>
      </c>
      <c r="CW303" s="9"/>
      <c r="CX303" s="10"/>
      <c r="CY303" s="11"/>
      <c r="CZ303" s="12"/>
      <c r="DA303" s="29"/>
      <c r="DB303" s="12"/>
      <c r="DC303" s="9">
        <v>200</v>
      </c>
      <c r="DD303" s="10">
        <f>200*22000+1200*348</f>
        <v>4817600</v>
      </c>
      <c r="DE303" s="71"/>
      <c r="EO303" s="353" t="str">
        <f t="shared" si="38"/>
        <v>SUCRE_CHALAN</v>
      </c>
      <c r="EP303" s="350"/>
      <c r="EQ303" s="350" t="s">
        <v>4092</v>
      </c>
      <c r="ER303" s="358" t="s">
        <v>6021</v>
      </c>
      <c r="ES303" s="350" t="s">
        <v>4944</v>
      </c>
      <c r="ET303" s="350" t="s">
        <v>6090</v>
      </c>
      <c r="EU303" s="350" t="str">
        <f t="shared" si="40"/>
        <v>Boyaca_Pisba</v>
      </c>
    </row>
    <row r="304" spans="1:151" ht="45" x14ac:dyDescent="0.2">
      <c r="A304" s="242">
        <v>40267</v>
      </c>
      <c r="B304" s="107" t="s">
        <v>2372</v>
      </c>
      <c r="C304" s="107" t="s">
        <v>2394</v>
      </c>
      <c r="D304" s="427" t="s">
        <v>2209</v>
      </c>
      <c r="E304" s="107" t="str">
        <f>VLOOKUP(B304&amp;C304,Divipola!$C$2:$F$1138,4,FALSE)</f>
        <v>70713</v>
      </c>
      <c r="F304" s="330"/>
      <c r="G304" s="224"/>
      <c r="H304" s="75"/>
      <c r="I304" s="75"/>
      <c r="J304" s="75">
        <f>92*5</f>
        <v>460</v>
      </c>
      <c r="K304" s="75">
        <v>92</v>
      </c>
      <c r="L304" s="75"/>
      <c r="M304" s="75">
        <v>92</v>
      </c>
      <c r="N304" s="75"/>
      <c r="O304" s="75"/>
      <c r="P304" s="75"/>
      <c r="Q304" s="75"/>
      <c r="R304" s="75"/>
      <c r="S304" s="75"/>
      <c r="T304" s="75"/>
      <c r="U304" s="75"/>
      <c r="V304" s="76"/>
      <c r="W304" s="205"/>
      <c r="X304" s="1">
        <v>40368</v>
      </c>
      <c r="Y304" s="78">
        <f t="shared" si="33"/>
        <v>0</v>
      </c>
      <c r="Z304" s="78">
        <f t="shared" si="34"/>
        <v>0</v>
      </c>
      <c r="AA304" s="78">
        <f t="shared" si="35"/>
        <v>49212576</v>
      </c>
      <c r="AB304" s="78">
        <f t="shared" si="36"/>
        <v>0</v>
      </c>
      <c r="AC304" s="78"/>
      <c r="AD304" s="78">
        <v>0</v>
      </c>
      <c r="AE304" s="80">
        <f t="shared" si="39"/>
        <v>49212576</v>
      </c>
      <c r="AF304" s="82">
        <v>0</v>
      </c>
      <c r="AG304" s="69">
        <v>40330</v>
      </c>
      <c r="AH304" s="84">
        <v>97922</v>
      </c>
      <c r="AI304" s="69" t="s">
        <v>2009</v>
      </c>
      <c r="AJ304" s="25" t="s">
        <v>2010</v>
      </c>
      <c r="AK304" s="65">
        <v>194</v>
      </c>
      <c r="AL304" s="185" t="s">
        <v>2182</v>
      </c>
      <c r="AM304" s="85" t="s">
        <v>2399</v>
      </c>
      <c r="AN304" s="3"/>
      <c r="AO304" s="4"/>
      <c r="AP304" s="5"/>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6"/>
      <c r="CQ304" s="7"/>
      <c r="CR304" s="6"/>
      <c r="CS304" s="7"/>
      <c r="CT304" s="6"/>
      <c r="CU304" s="7"/>
      <c r="CV304" s="8">
        <f t="shared" si="37"/>
        <v>0</v>
      </c>
      <c r="CW304" s="9"/>
      <c r="CX304" s="10"/>
      <c r="CY304" s="11"/>
      <c r="CZ304" s="12"/>
      <c r="DA304" s="29"/>
      <c r="DB304" s="12"/>
      <c r="DC304" s="9">
        <v>927</v>
      </c>
      <c r="DD304" s="10">
        <f>927*51000+5562*348</f>
        <v>49212576</v>
      </c>
      <c r="DE304" s="71"/>
      <c r="DF304" s="23" t="s">
        <v>1703</v>
      </c>
      <c r="EO304" s="353" t="str">
        <f t="shared" si="38"/>
        <v>SUCRE_SAN ONOFRE</v>
      </c>
      <c r="EP304" s="350"/>
      <c r="EQ304" s="350" t="s">
        <v>4092</v>
      </c>
      <c r="ER304" s="358" t="s">
        <v>6021</v>
      </c>
      <c r="ES304" s="350" t="s">
        <v>4945</v>
      </c>
      <c r="ET304" s="350" t="s">
        <v>6091</v>
      </c>
      <c r="EU304" s="350" t="str">
        <f t="shared" si="40"/>
        <v>Boyaca_Puerto Boyaca</v>
      </c>
    </row>
    <row r="305" spans="1:151" ht="45" x14ac:dyDescent="0.2">
      <c r="A305" s="242">
        <v>40269</v>
      </c>
      <c r="B305" s="107" t="s">
        <v>1719</v>
      </c>
      <c r="C305" s="107" t="s">
        <v>985</v>
      </c>
      <c r="D305" s="427" t="s">
        <v>2209</v>
      </c>
      <c r="E305" s="107" t="str">
        <f>VLOOKUP(B305&amp;C305,Divipola!$C$2:$F$1138,4,FALSE)</f>
        <v>19473</v>
      </c>
      <c r="F305" s="330"/>
      <c r="G305" s="224"/>
      <c r="H305" s="75"/>
      <c r="I305" s="75"/>
      <c r="J305" s="75">
        <f>38*5</f>
        <v>190</v>
      </c>
      <c r="K305" s="75">
        <v>38</v>
      </c>
      <c r="L305" s="75"/>
      <c r="M305" s="75">
        <v>38</v>
      </c>
      <c r="N305" s="75"/>
      <c r="O305" s="75"/>
      <c r="P305" s="75"/>
      <c r="Q305" s="75"/>
      <c r="R305" s="75"/>
      <c r="S305" s="75"/>
      <c r="T305" s="75"/>
      <c r="U305" s="75"/>
      <c r="V305" s="76"/>
      <c r="W305" s="205"/>
      <c r="X305" s="1">
        <v>40389</v>
      </c>
      <c r="Y305" s="78">
        <f t="shared" si="33"/>
        <v>0</v>
      </c>
      <c r="Z305" s="78">
        <f t="shared" si="34"/>
        <v>0</v>
      </c>
      <c r="AA305" s="78">
        <f t="shared" si="35"/>
        <v>17182000</v>
      </c>
      <c r="AB305" s="78">
        <f t="shared" si="36"/>
        <v>0</v>
      </c>
      <c r="AC305" s="78"/>
      <c r="AD305" s="78">
        <v>0</v>
      </c>
      <c r="AE305" s="80">
        <f t="shared" si="39"/>
        <v>17182000</v>
      </c>
      <c r="AF305" s="82">
        <v>0</v>
      </c>
      <c r="AG305" s="69">
        <v>40337</v>
      </c>
      <c r="AH305" s="84">
        <v>98107</v>
      </c>
      <c r="AI305" s="69" t="s">
        <v>2009</v>
      </c>
      <c r="AJ305" s="25" t="s">
        <v>2010</v>
      </c>
      <c r="AK305" s="65">
        <v>220</v>
      </c>
      <c r="AL305" s="185" t="s">
        <v>2182</v>
      </c>
      <c r="AM305" s="85" t="s">
        <v>283</v>
      </c>
      <c r="AN305" s="3"/>
      <c r="AO305" s="4"/>
      <c r="AP305" s="5"/>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6"/>
      <c r="CQ305" s="7"/>
      <c r="CR305" s="6"/>
      <c r="CS305" s="7"/>
      <c r="CT305" s="6"/>
      <c r="CU305" s="7"/>
      <c r="CV305" s="8">
        <f t="shared" si="37"/>
        <v>0</v>
      </c>
      <c r="CW305" s="9"/>
      <c r="CX305" s="10"/>
      <c r="CY305" s="11"/>
      <c r="CZ305" s="12"/>
      <c r="DA305" s="29"/>
      <c r="DB305" s="12"/>
      <c r="DC305" s="9">
        <f>100+600</f>
        <v>700</v>
      </c>
      <c r="DD305" s="10">
        <f>100*28000+200*450+600*22500+3600*220</f>
        <v>17182000</v>
      </c>
      <c r="DE305" s="71"/>
      <c r="EO305" s="353" t="str">
        <f t="shared" si="38"/>
        <v>CAUCA_MORALES</v>
      </c>
      <c r="EP305" s="350"/>
      <c r="EQ305" s="350" t="s">
        <v>4092</v>
      </c>
      <c r="ER305" s="358" t="s">
        <v>6021</v>
      </c>
      <c r="ES305" s="350" t="s">
        <v>4946</v>
      </c>
      <c r="ET305" s="350" t="s">
        <v>6092</v>
      </c>
      <c r="EU305" s="350" t="str">
        <f t="shared" si="40"/>
        <v>Boyaca_Quipama</v>
      </c>
    </row>
    <row r="306" spans="1:151" ht="25.5" x14ac:dyDescent="0.2">
      <c r="A306" s="242">
        <v>40269</v>
      </c>
      <c r="B306" s="107" t="s">
        <v>2245</v>
      </c>
      <c r="C306" s="107" t="s">
        <v>497</v>
      </c>
      <c r="D306" s="427" t="s">
        <v>837</v>
      </c>
      <c r="E306" s="107" t="str">
        <f>VLOOKUP(B306&amp;C306,Divipola!$C$2:$F$1138,4,FALSE)</f>
        <v>52001</v>
      </c>
      <c r="F306" s="330"/>
      <c r="G306" s="224"/>
      <c r="H306" s="75"/>
      <c r="I306" s="75"/>
      <c r="J306" s="75">
        <f>56*5</f>
        <v>280</v>
      </c>
      <c r="K306" s="75">
        <v>56</v>
      </c>
      <c r="L306" s="75"/>
      <c r="M306" s="75">
        <v>56</v>
      </c>
      <c r="N306" s="75"/>
      <c r="O306" s="75"/>
      <c r="P306" s="75"/>
      <c r="Q306" s="75"/>
      <c r="R306" s="75"/>
      <c r="S306" s="75"/>
      <c r="T306" s="75"/>
      <c r="U306" s="75"/>
      <c r="V306" s="76"/>
      <c r="W306" s="205"/>
      <c r="X306" s="1"/>
      <c r="Y306" s="78">
        <f t="shared" si="33"/>
        <v>0</v>
      </c>
      <c r="Z306" s="78">
        <f t="shared" si="34"/>
        <v>0</v>
      </c>
      <c r="AA306" s="78">
        <f t="shared" si="35"/>
        <v>0</v>
      </c>
      <c r="AB306" s="78">
        <f t="shared" si="36"/>
        <v>0</v>
      </c>
      <c r="AC306" s="78"/>
      <c r="AD306" s="78">
        <v>0</v>
      </c>
      <c r="AE306" s="80">
        <f t="shared" si="39"/>
        <v>0</v>
      </c>
      <c r="AF306" s="82">
        <v>0</v>
      </c>
      <c r="AG306" s="69">
        <v>40276</v>
      </c>
      <c r="AH306" s="84"/>
      <c r="AI306" s="69" t="s">
        <v>1984</v>
      </c>
      <c r="AJ306" s="25" t="s">
        <v>1985</v>
      </c>
      <c r="AK306" s="65"/>
      <c r="AL306" s="185" t="s">
        <v>1257</v>
      </c>
      <c r="AM306" s="85" t="s">
        <v>498</v>
      </c>
      <c r="AN306" s="3"/>
      <c r="AO306" s="4"/>
      <c r="AP306" s="5"/>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6"/>
      <c r="CQ306" s="7"/>
      <c r="CR306" s="6"/>
      <c r="CS306" s="7"/>
      <c r="CT306" s="6"/>
      <c r="CU306" s="7"/>
      <c r="CV306" s="8">
        <f t="shared" si="37"/>
        <v>0</v>
      </c>
      <c r="CW306" s="9"/>
      <c r="CX306" s="10"/>
      <c r="CY306" s="11"/>
      <c r="CZ306" s="12"/>
      <c r="DA306" s="29"/>
      <c r="DB306" s="12"/>
      <c r="DC306" s="9"/>
      <c r="DD306" s="10"/>
      <c r="DE306" s="71"/>
      <c r="EO306" s="353" t="str">
        <f t="shared" si="38"/>
        <v>NARIÑO_PASTO</v>
      </c>
      <c r="EP306" s="350"/>
      <c r="EQ306" s="350" t="s">
        <v>4092</v>
      </c>
      <c r="ER306" s="358" t="s">
        <v>6021</v>
      </c>
      <c r="ES306" s="350" t="s">
        <v>4947</v>
      </c>
      <c r="ET306" s="350" t="s">
        <v>6093</v>
      </c>
      <c r="EU306" s="350" t="str">
        <f t="shared" si="40"/>
        <v>Boyaca_Ramiriqui</v>
      </c>
    </row>
    <row r="307" spans="1:151" ht="25.5" x14ac:dyDescent="0.2">
      <c r="A307" s="242">
        <v>40269</v>
      </c>
      <c r="B307" s="107" t="s">
        <v>2014</v>
      </c>
      <c r="C307" s="107" t="s">
        <v>2015</v>
      </c>
      <c r="D307" s="427" t="s">
        <v>1721</v>
      </c>
      <c r="E307" s="107" t="str">
        <f>VLOOKUP(B307&amp;C307,Divipola!$C$2:$F$1138,4,FALSE)</f>
        <v>63001</v>
      </c>
      <c r="F307" s="330"/>
      <c r="G307" s="224"/>
      <c r="H307" s="75"/>
      <c r="I307" s="75"/>
      <c r="J307" s="75">
        <v>4</v>
      </c>
      <c r="K307" s="75">
        <v>1</v>
      </c>
      <c r="L307" s="75"/>
      <c r="M307" s="75">
        <v>1</v>
      </c>
      <c r="N307" s="75"/>
      <c r="O307" s="75"/>
      <c r="P307" s="75"/>
      <c r="Q307" s="75"/>
      <c r="R307" s="75"/>
      <c r="S307" s="75"/>
      <c r="T307" s="75"/>
      <c r="U307" s="75"/>
      <c r="V307" s="76"/>
      <c r="W307" s="205"/>
      <c r="X307" s="1"/>
      <c r="Y307" s="78">
        <f t="shared" si="33"/>
        <v>0</v>
      </c>
      <c r="Z307" s="78">
        <f t="shared" si="34"/>
        <v>0</v>
      </c>
      <c r="AA307" s="78">
        <f t="shared" si="35"/>
        <v>0</v>
      </c>
      <c r="AB307" s="78">
        <f t="shared" si="36"/>
        <v>0</v>
      </c>
      <c r="AC307" s="78"/>
      <c r="AD307" s="78">
        <v>0</v>
      </c>
      <c r="AE307" s="80">
        <f t="shared" si="39"/>
        <v>0</v>
      </c>
      <c r="AF307" s="82">
        <v>0</v>
      </c>
      <c r="AG307" s="69">
        <v>40271</v>
      </c>
      <c r="AH307" s="84"/>
      <c r="AI307" s="69" t="s">
        <v>1984</v>
      </c>
      <c r="AJ307" s="25" t="s">
        <v>1985</v>
      </c>
      <c r="AK307" s="65"/>
      <c r="AL307" s="185" t="s">
        <v>1257</v>
      </c>
      <c r="AM307" s="85" t="s">
        <v>2215</v>
      </c>
      <c r="AN307" s="3"/>
      <c r="AO307" s="4"/>
      <c r="AP307" s="5"/>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6"/>
      <c r="CQ307" s="7"/>
      <c r="CR307" s="6"/>
      <c r="CS307" s="7"/>
      <c r="CT307" s="6"/>
      <c r="CU307" s="7"/>
      <c r="CV307" s="8">
        <f t="shared" si="37"/>
        <v>0</v>
      </c>
      <c r="CW307" s="9"/>
      <c r="CX307" s="10"/>
      <c r="CY307" s="11"/>
      <c r="CZ307" s="12"/>
      <c r="DA307" s="29"/>
      <c r="DB307" s="12"/>
      <c r="DC307" s="9"/>
      <c r="DD307" s="10"/>
      <c r="DE307" s="71"/>
      <c r="EO307" s="353" t="str">
        <f t="shared" si="38"/>
        <v>QUINDIO_ARMENIA</v>
      </c>
      <c r="EP307" s="350"/>
      <c r="EQ307" s="350" t="s">
        <v>4092</v>
      </c>
      <c r="ER307" s="358" t="s">
        <v>6021</v>
      </c>
      <c r="ES307" s="350" t="s">
        <v>4948</v>
      </c>
      <c r="ET307" s="350" t="s">
        <v>6094</v>
      </c>
      <c r="EU307" s="350" t="str">
        <f t="shared" si="40"/>
        <v>Boyaca_Raquira</v>
      </c>
    </row>
    <row r="308" spans="1:151" ht="56.25" x14ac:dyDescent="0.2">
      <c r="A308" s="242">
        <v>40269</v>
      </c>
      <c r="B308" s="107" t="s">
        <v>2791</v>
      </c>
      <c r="C308" s="107" t="s">
        <v>962</v>
      </c>
      <c r="D308" s="427" t="s">
        <v>2209</v>
      </c>
      <c r="E308" s="107" t="str">
        <f>VLOOKUP(B308&amp;C308,Divipola!$C$2:$F$1138,4,FALSE)</f>
        <v>73555</v>
      </c>
      <c r="F308" s="330"/>
      <c r="G308" s="224"/>
      <c r="H308" s="75"/>
      <c r="I308" s="75"/>
      <c r="J308" s="75">
        <v>400</v>
      </c>
      <c r="K308" s="75">
        <v>73</v>
      </c>
      <c r="L308" s="75"/>
      <c r="M308" s="75">
        <v>73</v>
      </c>
      <c r="N308" s="75"/>
      <c r="O308" s="75"/>
      <c r="P308" s="75"/>
      <c r="Q308" s="75"/>
      <c r="R308" s="75"/>
      <c r="S308" s="75"/>
      <c r="T308" s="75"/>
      <c r="U308" s="75"/>
      <c r="V308" s="76"/>
      <c r="W308" s="205"/>
      <c r="X308" s="1">
        <v>40295</v>
      </c>
      <c r="Y308" s="78">
        <f t="shared" si="33"/>
        <v>11241924.08</v>
      </c>
      <c r="Z308" s="78">
        <f t="shared" si="34"/>
        <v>0</v>
      </c>
      <c r="AA308" s="78">
        <f t="shared" si="35"/>
        <v>9987600</v>
      </c>
      <c r="AB308" s="78">
        <f t="shared" si="36"/>
        <v>0</v>
      </c>
      <c r="AC308" s="78"/>
      <c r="AD308" s="78">
        <v>0</v>
      </c>
      <c r="AE308" s="80">
        <f t="shared" si="39"/>
        <v>21229524.079999998</v>
      </c>
      <c r="AF308" s="82">
        <v>0</v>
      </c>
      <c r="AG308" s="69">
        <v>40284</v>
      </c>
      <c r="AH308" s="84">
        <v>96689</v>
      </c>
      <c r="AI308" s="69" t="s">
        <v>2009</v>
      </c>
      <c r="AJ308" s="25" t="s">
        <v>2010</v>
      </c>
      <c r="AK308" s="88" t="s">
        <v>1762</v>
      </c>
      <c r="AL308" s="185" t="s">
        <v>2477</v>
      </c>
      <c r="AM308" s="85" t="s">
        <v>2262</v>
      </c>
      <c r="AN308" s="3"/>
      <c r="AO308" s="4"/>
      <c r="AP308" s="5"/>
      <c r="AQ308" s="4"/>
      <c r="AR308" s="4"/>
      <c r="AS308" s="4"/>
      <c r="AT308" s="4"/>
      <c r="AU308" s="4"/>
      <c r="AV308" s="4"/>
      <c r="AW308" s="4"/>
      <c r="AX308" s="4"/>
      <c r="AY308" s="4"/>
      <c r="AZ308" s="4"/>
      <c r="BA308" s="4"/>
      <c r="BB308" s="4">
        <v>146</v>
      </c>
      <c r="BC308" s="4">
        <f>146*56000</f>
        <v>8176000</v>
      </c>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v>146</v>
      </c>
      <c r="CK308" s="4">
        <f>146*20999.48</f>
        <v>3065924.08</v>
      </c>
      <c r="CL308" s="4"/>
      <c r="CM308" s="4"/>
      <c r="CN308" s="4"/>
      <c r="CO308" s="4"/>
      <c r="CP308" s="6"/>
      <c r="CQ308" s="7"/>
      <c r="CR308" s="6"/>
      <c r="CS308" s="7"/>
      <c r="CT308" s="6"/>
      <c r="CU308" s="7"/>
      <c r="CV308" s="8">
        <f t="shared" si="37"/>
        <v>11241924.08</v>
      </c>
      <c r="CW308" s="9"/>
      <c r="CX308" s="10"/>
      <c r="CY308" s="11"/>
      <c r="CZ308" s="12"/>
      <c r="DA308" s="29"/>
      <c r="DB308" s="12"/>
      <c r="DC308" s="9">
        <v>500</v>
      </c>
      <c r="DD308" s="10">
        <f>500*19140+2000*208.8</f>
        <v>9987600</v>
      </c>
      <c r="DE308" s="89"/>
      <c r="EO308" s="353" t="str">
        <f t="shared" si="38"/>
        <v>TOLIMA_PLANADAS</v>
      </c>
      <c r="EP308" s="350"/>
      <c r="EQ308" s="350" t="s">
        <v>4092</v>
      </c>
      <c r="ER308" s="358" t="s">
        <v>6021</v>
      </c>
      <c r="ES308" s="350" t="s">
        <v>4949</v>
      </c>
      <c r="ET308" s="350" t="s">
        <v>6095</v>
      </c>
      <c r="EU308" s="350" t="str">
        <f t="shared" si="40"/>
        <v>Boyaca_Rondon</v>
      </c>
    </row>
    <row r="309" spans="1:151" ht="25.5" x14ac:dyDescent="0.2">
      <c r="A309" s="242">
        <v>40270</v>
      </c>
      <c r="B309" s="107" t="s">
        <v>2242</v>
      </c>
      <c r="C309" s="107" t="s">
        <v>1105</v>
      </c>
      <c r="D309" s="427" t="s">
        <v>1721</v>
      </c>
      <c r="E309" s="107" t="str">
        <f>VLOOKUP(B309&amp;C309,Divipola!$C$2:$F$1138,4,FALSE)</f>
        <v>20032</v>
      </c>
      <c r="F309" s="330"/>
      <c r="G309" s="224"/>
      <c r="H309" s="75"/>
      <c r="I309" s="75"/>
      <c r="J309" s="75">
        <v>30</v>
      </c>
      <c r="K309" s="75">
        <v>6</v>
      </c>
      <c r="L309" s="75">
        <v>3</v>
      </c>
      <c r="M309" s="75">
        <v>3</v>
      </c>
      <c r="N309" s="75"/>
      <c r="O309" s="75"/>
      <c r="P309" s="75"/>
      <c r="Q309" s="75"/>
      <c r="R309" s="75"/>
      <c r="S309" s="75"/>
      <c r="T309" s="75"/>
      <c r="U309" s="75"/>
      <c r="V309" s="76"/>
      <c r="W309" s="205"/>
      <c r="X309" s="1"/>
      <c r="Y309" s="78">
        <f t="shared" si="33"/>
        <v>0</v>
      </c>
      <c r="Z309" s="78">
        <f t="shared" si="34"/>
        <v>0</v>
      </c>
      <c r="AA309" s="78">
        <f t="shared" si="35"/>
        <v>0</v>
      </c>
      <c r="AB309" s="78">
        <f t="shared" si="36"/>
        <v>0</v>
      </c>
      <c r="AC309" s="78"/>
      <c r="AD309" s="78">
        <v>0</v>
      </c>
      <c r="AE309" s="80">
        <f t="shared" si="39"/>
        <v>0</v>
      </c>
      <c r="AF309" s="82">
        <v>0</v>
      </c>
      <c r="AG309" s="69">
        <v>40312</v>
      </c>
      <c r="AH309" s="84"/>
      <c r="AI309" s="69" t="s">
        <v>1984</v>
      </c>
      <c r="AJ309" s="25" t="s">
        <v>1985</v>
      </c>
      <c r="AK309" s="65"/>
      <c r="AL309" s="185" t="s">
        <v>1257</v>
      </c>
      <c r="AM309" s="85" t="s">
        <v>1107</v>
      </c>
      <c r="AN309" s="3"/>
      <c r="AO309" s="4"/>
      <c r="AP309" s="5"/>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6"/>
      <c r="CQ309" s="7"/>
      <c r="CR309" s="6"/>
      <c r="CS309" s="7"/>
      <c r="CT309" s="6"/>
      <c r="CU309" s="7"/>
      <c r="CV309" s="8">
        <f t="shared" si="37"/>
        <v>0</v>
      </c>
      <c r="CW309" s="9"/>
      <c r="CX309" s="10"/>
      <c r="CY309" s="11"/>
      <c r="CZ309" s="12"/>
      <c r="DA309" s="29"/>
      <c r="DB309" s="12"/>
      <c r="DC309" s="9"/>
      <c r="DD309" s="10"/>
      <c r="DE309" s="71"/>
      <c r="EO309" s="353" t="str">
        <f t="shared" si="38"/>
        <v>CESAR_ASTREA</v>
      </c>
      <c r="EP309" s="350"/>
      <c r="EQ309" s="350" t="s">
        <v>4092</v>
      </c>
      <c r="ER309" s="358" t="s">
        <v>6021</v>
      </c>
      <c r="ES309" s="350" t="s">
        <v>4950</v>
      </c>
      <c r="ET309" s="350" t="s">
        <v>6096</v>
      </c>
      <c r="EU309" s="350" t="str">
        <f t="shared" si="40"/>
        <v>Boyaca_Saboya</v>
      </c>
    </row>
    <row r="310" spans="1:151" ht="56.25" x14ac:dyDescent="0.2">
      <c r="A310" s="242">
        <v>40270</v>
      </c>
      <c r="B310" s="107" t="s">
        <v>2007</v>
      </c>
      <c r="C310" s="107" t="s">
        <v>2219</v>
      </c>
      <c r="D310" s="427" t="s">
        <v>2209</v>
      </c>
      <c r="E310" s="107" t="str">
        <f>VLOOKUP(B310&amp;C310,Divipola!$C$2:$F$1138,4,FALSE)</f>
        <v>25489</v>
      </c>
      <c r="F310" s="330"/>
      <c r="G310" s="224"/>
      <c r="H310" s="75"/>
      <c r="I310" s="75"/>
      <c r="J310" s="75">
        <v>330</v>
      </c>
      <c r="K310" s="75">
        <v>86</v>
      </c>
      <c r="L310" s="75">
        <v>24</v>
      </c>
      <c r="M310" s="75">
        <v>62</v>
      </c>
      <c r="N310" s="75"/>
      <c r="O310" s="75"/>
      <c r="P310" s="75"/>
      <c r="Q310" s="75"/>
      <c r="R310" s="75"/>
      <c r="S310" s="75"/>
      <c r="T310" s="75">
        <v>4</v>
      </c>
      <c r="U310" s="75"/>
      <c r="V310" s="76"/>
      <c r="W310" s="205" t="s">
        <v>2220</v>
      </c>
      <c r="X310" s="1">
        <v>40290</v>
      </c>
      <c r="Y310" s="78">
        <f t="shared" si="33"/>
        <v>9240000</v>
      </c>
      <c r="Z310" s="78">
        <f t="shared" si="34"/>
        <v>12750000</v>
      </c>
      <c r="AA310" s="78">
        <f t="shared" si="35"/>
        <v>13200000</v>
      </c>
      <c r="AB310" s="78">
        <f t="shared" si="36"/>
        <v>0</v>
      </c>
      <c r="AC310" s="78"/>
      <c r="AD310" s="78">
        <v>0</v>
      </c>
      <c r="AE310" s="80">
        <f t="shared" si="39"/>
        <v>35190000</v>
      </c>
      <c r="AF310" s="82">
        <v>0</v>
      </c>
      <c r="AG310" s="69">
        <v>40271</v>
      </c>
      <c r="AH310" s="84">
        <v>96471</v>
      </c>
      <c r="AI310" s="69" t="s">
        <v>2009</v>
      </c>
      <c r="AJ310" s="25" t="s">
        <v>2010</v>
      </c>
      <c r="AK310" s="65">
        <v>79</v>
      </c>
      <c r="AL310" s="185" t="s">
        <v>2477</v>
      </c>
      <c r="AM310" s="85" t="s">
        <v>1277</v>
      </c>
      <c r="AN310" s="3"/>
      <c r="AO310" s="4"/>
      <c r="AP310" s="5"/>
      <c r="AQ310" s="4"/>
      <c r="AR310" s="4"/>
      <c r="AS310" s="4"/>
      <c r="AT310" s="4"/>
      <c r="AU310" s="4"/>
      <c r="AV310" s="4"/>
      <c r="AW310" s="4"/>
      <c r="AX310" s="4"/>
      <c r="AY310" s="4"/>
      <c r="AZ310" s="4">
        <v>120</v>
      </c>
      <c r="BA310" s="4">
        <f>120*56000</f>
        <v>6720000</v>
      </c>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v>120</v>
      </c>
      <c r="CK310" s="4">
        <f>120*21000</f>
        <v>2520000</v>
      </c>
      <c r="CL310" s="4"/>
      <c r="CM310" s="4"/>
      <c r="CN310" s="4"/>
      <c r="CO310" s="4"/>
      <c r="CP310" s="6"/>
      <c r="CQ310" s="7"/>
      <c r="CR310" s="6"/>
      <c r="CS310" s="7"/>
      <c r="CT310" s="6"/>
      <c r="CU310" s="7"/>
      <c r="CV310" s="8">
        <f t="shared" si="37"/>
        <v>9240000</v>
      </c>
      <c r="CW310" s="9"/>
      <c r="CX310" s="10"/>
      <c r="CY310" s="11">
        <v>150</v>
      </c>
      <c r="CZ310" s="12">
        <f>150*85000</f>
        <v>12750000</v>
      </c>
      <c r="DA310" s="29"/>
      <c r="DB310" s="12"/>
      <c r="DC310" s="9">
        <v>600</v>
      </c>
      <c r="DD310" s="10">
        <f>600*22000</f>
        <v>13200000</v>
      </c>
      <c r="DE310" s="71"/>
      <c r="EO310" s="353" t="str">
        <f t="shared" si="38"/>
        <v>CUNDINAMARCA_NIMAIMA</v>
      </c>
      <c r="EP310" s="350"/>
      <c r="EQ310" s="350" t="s">
        <v>4092</v>
      </c>
      <c r="ER310" s="358" t="s">
        <v>6021</v>
      </c>
      <c r="ES310" s="350" t="s">
        <v>4951</v>
      </c>
      <c r="ET310" s="350" t="s">
        <v>6097</v>
      </c>
      <c r="EU310" s="350" t="str">
        <f t="shared" si="40"/>
        <v>Boyaca_Sachica</v>
      </c>
    </row>
    <row r="311" spans="1:151" ht="45" x14ac:dyDescent="0.2">
      <c r="A311" s="242">
        <v>40270</v>
      </c>
      <c r="B311" s="107" t="s">
        <v>2014</v>
      </c>
      <c r="C311" s="107" t="s">
        <v>2217</v>
      </c>
      <c r="D311" s="427" t="s">
        <v>2209</v>
      </c>
      <c r="E311" s="107" t="str">
        <f>VLOOKUP(B311&amp;C311,Divipola!$C$2:$F$1138,4,FALSE)</f>
        <v>63190</v>
      </c>
      <c r="F311" s="330"/>
      <c r="G311" s="224"/>
      <c r="H311" s="75"/>
      <c r="I311" s="75"/>
      <c r="J311" s="75">
        <f>18*5</f>
        <v>90</v>
      </c>
      <c r="K311" s="75">
        <v>18</v>
      </c>
      <c r="L311" s="75"/>
      <c r="M311" s="75">
        <v>18</v>
      </c>
      <c r="N311" s="75"/>
      <c r="O311" s="75"/>
      <c r="P311" s="75"/>
      <c r="Q311" s="75"/>
      <c r="R311" s="75"/>
      <c r="S311" s="75"/>
      <c r="T311" s="75"/>
      <c r="U311" s="75"/>
      <c r="V311" s="76"/>
      <c r="W311" s="205"/>
      <c r="X311" s="1">
        <v>40330</v>
      </c>
      <c r="Y311" s="78">
        <f t="shared" si="33"/>
        <v>2310000</v>
      </c>
      <c r="Z311" s="78">
        <f t="shared" si="34"/>
        <v>0</v>
      </c>
      <c r="AA311" s="78">
        <f t="shared" si="35"/>
        <v>6400000</v>
      </c>
      <c r="AB311" s="78">
        <f t="shared" si="36"/>
        <v>0</v>
      </c>
      <c r="AC311" s="78"/>
      <c r="AD311" s="78">
        <v>0</v>
      </c>
      <c r="AE311" s="80">
        <f t="shared" si="39"/>
        <v>8710000</v>
      </c>
      <c r="AF311" s="82">
        <v>0</v>
      </c>
      <c r="AG311" s="69">
        <v>40275</v>
      </c>
      <c r="AH311" s="84">
        <v>96411</v>
      </c>
      <c r="AI311" s="69" t="s">
        <v>2009</v>
      </c>
      <c r="AJ311" s="25" t="s">
        <v>2010</v>
      </c>
      <c r="AK311" s="65">
        <v>139</v>
      </c>
      <c r="AL311" s="185" t="s">
        <v>2182</v>
      </c>
      <c r="AM311" s="85" t="s">
        <v>2218</v>
      </c>
      <c r="AN311" s="3"/>
      <c r="AO311" s="4"/>
      <c r="AP311" s="5"/>
      <c r="AQ311" s="4"/>
      <c r="AR311" s="4"/>
      <c r="AS311" s="4"/>
      <c r="AT311" s="4"/>
      <c r="AU311" s="4"/>
      <c r="AV311" s="4"/>
      <c r="AW311" s="4"/>
      <c r="AX311" s="4"/>
      <c r="AY311" s="4"/>
      <c r="AZ311" s="4">
        <v>30</v>
      </c>
      <c r="BA311" s="4">
        <f>30*56000</f>
        <v>1680000</v>
      </c>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v>30</v>
      </c>
      <c r="CK311" s="4">
        <f>30*21000</f>
        <v>630000</v>
      </c>
      <c r="CL311" s="4"/>
      <c r="CM311" s="4"/>
      <c r="CN311" s="4"/>
      <c r="CO311" s="4"/>
      <c r="CP311" s="6"/>
      <c r="CQ311" s="7"/>
      <c r="CR311" s="6"/>
      <c r="CS311" s="7"/>
      <c r="CT311" s="6"/>
      <c r="CU311" s="7"/>
      <c r="CV311" s="8">
        <f t="shared" si="37"/>
        <v>2310000</v>
      </c>
      <c r="CW311" s="9"/>
      <c r="CX311" s="10"/>
      <c r="CY311" s="11"/>
      <c r="CZ311" s="12"/>
      <c r="DA311" s="29"/>
      <c r="DB311" s="12"/>
      <c r="DC311" s="9">
        <f>90+130</f>
        <v>220</v>
      </c>
      <c r="DD311" s="10">
        <f>90*22000+130*34000</f>
        <v>6400000</v>
      </c>
      <c r="DE311" s="71"/>
      <c r="EO311" s="353" t="str">
        <f t="shared" si="38"/>
        <v>QUINDIO_CIRCASIA</v>
      </c>
      <c r="EP311" s="350"/>
      <c r="EQ311" s="350" t="s">
        <v>4092</v>
      </c>
      <c r="ER311" s="358" t="s">
        <v>6021</v>
      </c>
      <c r="ES311" s="350" t="s">
        <v>4952</v>
      </c>
      <c r="ET311" s="350" t="s">
        <v>6098</v>
      </c>
      <c r="EU311" s="350" t="str">
        <f t="shared" si="40"/>
        <v>Boyaca_Samaca</v>
      </c>
    </row>
    <row r="312" spans="1:151" ht="45" x14ac:dyDescent="0.2">
      <c r="A312" s="242">
        <v>40270</v>
      </c>
      <c r="B312" s="107" t="s">
        <v>2014</v>
      </c>
      <c r="C312" s="107" t="s">
        <v>1978</v>
      </c>
      <c r="D312" s="427" t="s">
        <v>2209</v>
      </c>
      <c r="E312" s="107" t="str">
        <f>VLOOKUP(B312&amp;C312,Divipola!$C$2:$F$1138,4,FALSE)</f>
        <v>63594</v>
      </c>
      <c r="F312" s="330"/>
      <c r="G312" s="224"/>
      <c r="H312" s="75"/>
      <c r="I312" s="75"/>
      <c r="J312" s="75"/>
      <c r="K312" s="75"/>
      <c r="L312" s="75"/>
      <c r="M312" s="75"/>
      <c r="N312" s="75"/>
      <c r="O312" s="75"/>
      <c r="P312" s="75"/>
      <c r="Q312" s="75"/>
      <c r="R312" s="75"/>
      <c r="S312" s="75"/>
      <c r="T312" s="75"/>
      <c r="U312" s="75"/>
      <c r="V312" s="76"/>
      <c r="W312" s="205"/>
      <c r="X312" s="1">
        <v>40330</v>
      </c>
      <c r="Y312" s="78">
        <f t="shared" si="33"/>
        <v>1155000</v>
      </c>
      <c r="Z312" s="78">
        <f t="shared" si="34"/>
        <v>0</v>
      </c>
      <c r="AA312" s="78">
        <f t="shared" si="35"/>
        <v>5274000</v>
      </c>
      <c r="AB312" s="78">
        <f t="shared" si="36"/>
        <v>0</v>
      </c>
      <c r="AC312" s="78"/>
      <c r="AD312" s="78">
        <v>0</v>
      </c>
      <c r="AE312" s="80">
        <f t="shared" si="39"/>
        <v>6429000</v>
      </c>
      <c r="AF312" s="82">
        <v>0</v>
      </c>
      <c r="AG312" s="69">
        <v>40275</v>
      </c>
      <c r="AH312" s="84">
        <v>96411</v>
      </c>
      <c r="AI312" s="69" t="s">
        <v>2009</v>
      </c>
      <c r="AJ312" s="25" t="s">
        <v>2010</v>
      </c>
      <c r="AK312" s="65">
        <v>139</v>
      </c>
      <c r="AL312" s="185" t="s">
        <v>2182</v>
      </c>
      <c r="AM312" s="85" t="s">
        <v>2218</v>
      </c>
      <c r="AN312" s="3"/>
      <c r="AO312" s="4"/>
      <c r="AP312" s="5"/>
      <c r="AQ312" s="4"/>
      <c r="AR312" s="4"/>
      <c r="AS312" s="4"/>
      <c r="AT312" s="4"/>
      <c r="AU312" s="4"/>
      <c r="AV312" s="4"/>
      <c r="AW312" s="4"/>
      <c r="AX312" s="4"/>
      <c r="AY312" s="4"/>
      <c r="AZ312" s="4">
        <v>15</v>
      </c>
      <c r="BA312" s="4">
        <f>15*56000</f>
        <v>840000</v>
      </c>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v>15</v>
      </c>
      <c r="CK312" s="4">
        <f>15*21000</f>
        <v>315000</v>
      </c>
      <c r="CL312" s="4"/>
      <c r="CM312" s="4"/>
      <c r="CN312" s="4"/>
      <c r="CO312" s="4"/>
      <c r="CP312" s="6"/>
      <c r="CQ312" s="7"/>
      <c r="CR312" s="6"/>
      <c r="CS312" s="7"/>
      <c r="CT312" s="6"/>
      <c r="CU312" s="7"/>
      <c r="CV312" s="8">
        <f t="shared" si="37"/>
        <v>1155000</v>
      </c>
      <c r="CW312" s="9"/>
      <c r="CX312" s="10"/>
      <c r="CY312" s="11"/>
      <c r="CZ312" s="12"/>
      <c r="DA312" s="29"/>
      <c r="DB312" s="12"/>
      <c r="DC312" s="9">
        <f>+45+126</f>
        <v>171</v>
      </c>
      <c r="DD312" s="10">
        <f>45*22000+126*34000</f>
        <v>5274000</v>
      </c>
      <c r="DE312" s="71"/>
      <c r="EO312" s="353" t="str">
        <f t="shared" si="38"/>
        <v>QUINDIO_QUIMBAYA</v>
      </c>
      <c r="EP312" s="350"/>
      <c r="EQ312" s="350" t="s">
        <v>4092</v>
      </c>
      <c r="ER312" s="358" t="s">
        <v>6021</v>
      </c>
      <c r="ES312" s="350" t="s">
        <v>4953</v>
      </c>
      <c r="ET312" s="350" t="s">
        <v>6099</v>
      </c>
      <c r="EU312" s="350" t="str">
        <f t="shared" si="40"/>
        <v>Boyaca_San Eduardo</v>
      </c>
    </row>
    <row r="313" spans="1:151" ht="51" x14ac:dyDescent="0.2">
      <c r="A313" s="242">
        <v>40270</v>
      </c>
      <c r="B313" s="107" t="s">
        <v>1462</v>
      </c>
      <c r="C313" s="107" t="s">
        <v>1975</v>
      </c>
      <c r="D313" s="427" t="s">
        <v>837</v>
      </c>
      <c r="E313" s="107" t="str">
        <f>VLOOKUP(B313&amp;C313,Divipola!$C$2:$F$1138,4,FALSE)</f>
        <v>76306</v>
      </c>
      <c r="F313" s="330"/>
      <c r="G313" s="224"/>
      <c r="H313" s="75"/>
      <c r="I313" s="75"/>
      <c r="J313" s="75">
        <f>800*5</f>
        <v>4000</v>
      </c>
      <c r="K313" s="75">
        <v>800</v>
      </c>
      <c r="L313" s="75"/>
      <c r="M313" s="75">
        <v>800</v>
      </c>
      <c r="N313" s="75"/>
      <c r="O313" s="75"/>
      <c r="P313" s="75"/>
      <c r="Q313" s="75"/>
      <c r="R313" s="75"/>
      <c r="S313" s="75"/>
      <c r="T313" s="75"/>
      <c r="U313" s="75"/>
      <c r="V313" s="76"/>
      <c r="W313" s="205"/>
      <c r="X313" s="1">
        <v>40339</v>
      </c>
      <c r="Y313" s="78">
        <f t="shared" si="33"/>
        <v>36952000</v>
      </c>
      <c r="Z313" s="78">
        <f t="shared" si="34"/>
        <v>85000000</v>
      </c>
      <c r="AA313" s="78">
        <f t="shared" si="35"/>
        <v>0</v>
      </c>
      <c r="AB313" s="78">
        <f t="shared" si="36"/>
        <v>0</v>
      </c>
      <c r="AC313" s="78">
        <f>100*330600+35*160080+2600*580</f>
        <v>40170800</v>
      </c>
      <c r="AD313" s="78">
        <v>0</v>
      </c>
      <c r="AE313" s="80">
        <f t="shared" si="39"/>
        <v>162122800</v>
      </c>
      <c r="AF313" s="82">
        <v>0</v>
      </c>
      <c r="AG313" s="69">
        <v>40310</v>
      </c>
      <c r="AH313" s="84">
        <v>97441</v>
      </c>
      <c r="AI313" s="69" t="s">
        <v>2009</v>
      </c>
      <c r="AJ313" s="25" t="s">
        <v>2010</v>
      </c>
      <c r="AK313" s="88" t="s">
        <v>510</v>
      </c>
      <c r="AL313" s="185" t="s">
        <v>2182</v>
      </c>
      <c r="AM313" s="85" t="s">
        <v>2104</v>
      </c>
      <c r="AN313" s="3"/>
      <c r="AO313" s="4"/>
      <c r="AP313" s="5"/>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6">
        <v>1000</v>
      </c>
      <c r="CQ313" s="7">
        <f>1000*36952</f>
        <v>36952000</v>
      </c>
      <c r="CR313" s="6"/>
      <c r="CS313" s="7"/>
      <c r="CT313" s="6"/>
      <c r="CU313" s="7"/>
      <c r="CV313" s="8">
        <f t="shared" si="37"/>
        <v>36952000</v>
      </c>
      <c r="CW313" s="9"/>
      <c r="CX313" s="10"/>
      <c r="CY313" s="11">
        <v>1000</v>
      </c>
      <c r="CZ313" s="12">
        <f>1000*85000</f>
        <v>85000000</v>
      </c>
      <c r="DA313" s="29"/>
      <c r="DB313" s="12"/>
      <c r="DC313" s="9"/>
      <c r="DD313" s="10"/>
      <c r="DE313" s="71"/>
      <c r="EO313" s="353" t="str">
        <f t="shared" si="38"/>
        <v>VALLE DEL CAUCA_GINEBRA</v>
      </c>
      <c r="EP313" s="350"/>
      <c r="EQ313" s="350" t="s">
        <v>4092</v>
      </c>
      <c r="ER313" s="358" t="s">
        <v>6021</v>
      </c>
      <c r="ES313" s="350" t="s">
        <v>4954</v>
      </c>
      <c r="ET313" s="350" t="s">
        <v>6100</v>
      </c>
      <c r="EU313" s="350" t="str">
        <f t="shared" si="40"/>
        <v>Boyaca_San Jose de Pare</v>
      </c>
    </row>
    <row r="314" spans="1:151" ht="51" x14ac:dyDescent="0.2">
      <c r="A314" s="242">
        <v>40271</v>
      </c>
      <c r="B314" s="107" t="s">
        <v>2427</v>
      </c>
      <c r="C314" s="107" t="s">
        <v>947</v>
      </c>
      <c r="D314" s="427" t="s">
        <v>837</v>
      </c>
      <c r="E314" s="107" t="str">
        <f>VLOOKUP(B314&amp;C314,Divipola!$C$2:$F$1138,4,FALSE)</f>
        <v>68655</v>
      </c>
      <c r="F314" s="330"/>
      <c r="G314" s="224">
        <v>1</v>
      </c>
      <c r="H314" s="75"/>
      <c r="I314" s="75"/>
      <c r="J314" s="75"/>
      <c r="K314" s="75"/>
      <c r="L314" s="75"/>
      <c r="M314" s="75"/>
      <c r="N314" s="75"/>
      <c r="O314" s="75"/>
      <c r="P314" s="75"/>
      <c r="Q314" s="75"/>
      <c r="R314" s="75"/>
      <c r="S314" s="75"/>
      <c r="T314" s="75"/>
      <c r="U314" s="75"/>
      <c r="V314" s="76"/>
      <c r="W314" s="205"/>
      <c r="X314" s="1"/>
      <c r="Y314" s="78">
        <f t="shared" si="33"/>
        <v>0</v>
      </c>
      <c r="Z314" s="78">
        <f t="shared" si="34"/>
        <v>0</v>
      </c>
      <c r="AA314" s="78">
        <f t="shared" si="35"/>
        <v>0</v>
      </c>
      <c r="AB314" s="78">
        <f t="shared" si="36"/>
        <v>0</v>
      </c>
      <c r="AC314" s="78"/>
      <c r="AD314" s="78">
        <v>0</v>
      </c>
      <c r="AE314" s="80">
        <f t="shared" si="39"/>
        <v>0</v>
      </c>
      <c r="AF314" s="82">
        <v>0</v>
      </c>
      <c r="AG314" s="69">
        <v>40284</v>
      </c>
      <c r="AH314" s="84"/>
      <c r="AI314" s="69" t="s">
        <v>1984</v>
      </c>
      <c r="AJ314" s="25" t="s">
        <v>1985</v>
      </c>
      <c r="AK314" s="65"/>
      <c r="AL314" s="185" t="s">
        <v>1257</v>
      </c>
      <c r="AM314" s="85" t="s">
        <v>2225</v>
      </c>
      <c r="AN314" s="3"/>
      <c r="AO314" s="4"/>
      <c r="AP314" s="5"/>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6"/>
      <c r="CQ314" s="7"/>
      <c r="CR314" s="6"/>
      <c r="CS314" s="7"/>
      <c r="CT314" s="6"/>
      <c r="CU314" s="7"/>
      <c r="CV314" s="8">
        <f t="shared" si="37"/>
        <v>0</v>
      </c>
      <c r="CW314" s="9"/>
      <c r="CX314" s="10"/>
      <c r="CY314" s="11"/>
      <c r="CZ314" s="12"/>
      <c r="DA314" s="29"/>
      <c r="DB314" s="12"/>
      <c r="DC314" s="9"/>
      <c r="DD314" s="10"/>
      <c r="DE314" s="71"/>
      <c r="EO314" s="353" t="str">
        <f t="shared" si="38"/>
        <v>SANTANDER_SABANA DE TORRES</v>
      </c>
      <c r="EP314" s="350"/>
      <c r="EQ314" s="350" t="s">
        <v>4092</v>
      </c>
      <c r="ER314" s="358" t="s">
        <v>6021</v>
      </c>
      <c r="ES314" s="350" t="s">
        <v>4955</v>
      </c>
      <c r="ET314" s="350" t="s">
        <v>6101</v>
      </c>
      <c r="EU314" s="350" t="str">
        <f t="shared" si="40"/>
        <v>Boyaca_San Luis de Gaceno</v>
      </c>
    </row>
    <row r="315" spans="1:151" ht="60" x14ac:dyDescent="0.2">
      <c r="A315" s="242">
        <v>40271</v>
      </c>
      <c r="B315" s="107" t="s">
        <v>2791</v>
      </c>
      <c r="C315" s="107" t="s">
        <v>2216</v>
      </c>
      <c r="D315" s="427" t="s">
        <v>2209</v>
      </c>
      <c r="E315" s="107" t="str">
        <f>VLOOKUP(B315&amp;C315,Divipola!$C$2:$F$1138,4,FALSE)</f>
        <v>73411</v>
      </c>
      <c r="F315" s="330"/>
      <c r="G315" s="224"/>
      <c r="H315" s="75"/>
      <c r="I315" s="75"/>
      <c r="J315" s="75">
        <v>1435</v>
      </c>
      <c r="K315" s="75">
        <v>287</v>
      </c>
      <c r="L315" s="75"/>
      <c r="M315" s="75">
        <v>287</v>
      </c>
      <c r="N315" s="75"/>
      <c r="O315" s="75"/>
      <c r="P315" s="75"/>
      <c r="Q315" s="75"/>
      <c r="R315" s="75"/>
      <c r="S315" s="75"/>
      <c r="T315" s="75">
        <v>7</v>
      </c>
      <c r="U315" s="75"/>
      <c r="V315" s="76"/>
      <c r="W315" s="205"/>
      <c r="X315" s="1"/>
      <c r="Y315" s="78">
        <f t="shared" si="33"/>
        <v>0</v>
      </c>
      <c r="Z315" s="78">
        <f t="shared" si="34"/>
        <v>0</v>
      </c>
      <c r="AA315" s="78">
        <f t="shared" si="35"/>
        <v>0</v>
      </c>
      <c r="AB315" s="78">
        <f t="shared" si="36"/>
        <v>0</v>
      </c>
      <c r="AC315" s="78"/>
      <c r="AD315" s="78">
        <v>0</v>
      </c>
      <c r="AE315" s="80">
        <f t="shared" si="39"/>
        <v>0</v>
      </c>
      <c r="AF315" s="82">
        <v>0</v>
      </c>
      <c r="AG315" s="69">
        <v>40271</v>
      </c>
      <c r="AH315" s="84"/>
      <c r="AI315" s="69" t="s">
        <v>1984</v>
      </c>
      <c r="AJ315" s="25" t="s">
        <v>1985</v>
      </c>
      <c r="AK315" s="65"/>
      <c r="AL315" s="185" t="s">
        <v>1257</v>
      </c>
      <c r="AM315" s="85" t="s">
        <v>2667</v>
      </c>
      <c r="AN315" s="3"/>
      <c r="AO315" s="4"/>
      <c r="AP315" s="5"/>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6"/>
      <c r="CQ315" s="7"/>
      <c r="CR315" s="6"/>
      <c r="CS315" s="7"/>
      <c r="CT315" s="6"/>
      <c r="CU315" s="7"/>
      <c r="CV315" s="8">
        <f t="shared" si="37"/>
        <v>0</v>
      </c>
      <c r="CW315" s="9"/>
      <c r="CX315" s="10"/>
      <c r="CY315" s="11"/>
      <c r="CZ315" s="12"/>
      <c r="DA315" s="29"/>
      <c r="DB315" s="12"/>
      <c r="DC315" s="9"/>
      <c r="DD315" s="10"/>
      <c r="DE315" s="71"/>
      <c r="EO315" s="353" t="str">
        <f t="shared" si="38"/>
        <v>TOLIMA_LIBANO</v>
      </c>
      <c r="EP315" s="350"/>
      <c r="EQ315" s="350" t="s">
        <v>4092</v>
      </c>
      <c r="ER315" s="358" t="s">
        <v>6021</v>
      </c>
      <c r="ES315" s="350" t="s">
        <v>4956</v>
      </c>
      <c r="ET315" s="350" t="s">
        <v>6102</v>
      </c>
      <c r="EU315" s="350" t="str">
        <f t="shared" si="40"/>
        <v>Boyaca_San Mateo</v>
      </c>
    </row>
    <row r="316" spans="1:151" ht="51" x14ac:dyDescent="0.2">
      <c r="A316" s="242">
        <v>40271</v>
      </c>
      <c r="B316" s="107" t="s">
        <v>1462</v>
      </c>
      <c r="C316" s="107" t="s">
        <v>4615</v>
      </c>
      <c r="D316" s="427" t="s">
        <v>1721</v>
      </c>
      <c r="E316" s="107" t="str">
        <f>VLOOKUP(B316&amp;C316,Divipola!$C$2:$F$1138,4,FALSE)</f>
        <v>76001</v>
      </c>
      <c r="F316" s="330"/>
      <c r="G316" s="224"/>
      <c r="H316" s="75"/>
      <c r="I316" s="75"/>
      <c r="J316" s="75"/>
      <c r="K316" s="75"/>
      <c r="L316" s="75"/>
      <c r="M316" s="75"/>
      <c r="N316" s="75"/>
      <c r="O316" s="75"/>
      <c r="P316" s="75"/>
      <c r="Q316" s="75"/>
      <c r="R316" s="75"/>
      <c r="S316" s="75"/>
      <c r="T316" s="75"/>
      <c r="U316" s="75"/>
      <c r="V316" s="76"/>
      <c r="W316" s="205" t="s">
        <v>1278</v>
      </c>
      <c r="X316" s="1"/>
      <c r="Y316" s="78">
        <f t="shared" si="33"/>
        <v>0</v>
      </c>
      <c r="Z316" s="78">
        <f t="shared" si="34"/>
        <v>0</v>
      </c>
      <c r="AA316" s="78">
        <f t="shared" si="35"/>
        <v>0</v>
      </c>
      <c r="AB316" s="78">
        <f t="shared" si="36"/>
        <v>0</v>
      </c>
      <c r="AC316" s="78"/>
      <c r="AD316" s="78">
        <v>0</v>
      </c>
      <c r="AE316" s="80">
        <f t="shared" si="39"/>
        <v>0</v>
      </c>
      <c r="AF316" s="82">
        <v>0</v>
      </c>
      <c r="AG316" s="69">
        <v>40271</v>
      </c>
      <c r="AH316" s="84"/>
      <c r="AI316" s="69" t="s">
        <v>1984</v>
      </c>
      <c r="AJ316" s="25" t="s">
        <v>1985</v>
      </c>
      <c r="AK316" s="65"/>
      <c r="AL316" s="185" t="s">
        <v>1257</v>
      </c>
      <c r="AM316" s="85" t="s">
        <v>1101</v>
      </c>
      <c r="AN316" s="3"/>
      <c r="AO316" s="4"/>
      <c r="AP316" s="5"/>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6"/>
      <c r="CQ316" s="7"/>
      <c r="CR316" s="6"/>
      <c r="CS316" s="7"/>
      <c r="CT316" s="6"/>
      <c r="CU316" s="7"/>
      <c r="CV316" s="8">
        <f t="shared" si="37"/>
        <v>0</v>
      </c>
      <c r="CW316" s="9"/>
      <c r="CX316" s="10"/>
      <c r="CY316" s="11"/>
      <c r="CZ316" s="12"/>
      <c r="DA316" s="29"/>
      <c r="DB316" s="12"/>
      <c r="DC316" s="9"/>
      <c r="DD316" s="10"/>
      <c r="DE316" s="71"/>
      <c r="EO316" s="353" t="str">
        <f t="shared" si="38"/>
        <v>VALLE DEL CAUCA_CALI</v>
      </c>
      <c r="EP316" s="350"/>
      <c r="EQ316" s="350" t="s">
        <v>4092</v>
      </c>
      <c r="ER316" s="358" t="s">
        <v>6021</v>
      </c>
      <c r="ES316" s="350" t="s">
        <v>4957</v>
      </c>
      <c r="ET316" s="350" t="s">
        <v>6103</v>
      </c>
      <c r="EU316" s="350" t="str">
        <f t="shared" si="40"/>
        <v>Boyaca_San Miguel de Sema</v>
      </c>
    </row>
    <row r="317" spans="1:151" ht="45" x14ac:dyDescent="0.2">
      <c r="A317" s="242">
        <v>40272</v>
      </c>
      <c r="B317" s="107" t="s">
        <v>1719</v>
      </c>
      <c r="C317" s="107" t="s">
        <v>2002</v>
      </c>
      <c r="D317" s="427" t="s">
        <v>837</v>
      </c>
      <c r="E317" s="107" t="str">
        <f>VLOOKUP(B317&amp;C317,Divipola!$C$2:$F$1138,4,FALSE)</f>
        <v>19517</v>
      </c>
      <c r="F317" s="330"/>
      <c r="G317" s="224"/>
      <c r="H317" s="75"/>
      <c r="I317" s="75"/>
      <c r="J317" s="75">
        <f>80*5</f>
        <v>400</v>
      </c>
      <c r="K317" s="75">
        <v>80</v>
      </c>
      <c r="L317" s="75"/>
      <c r="M317" s="75">
        <v>80</v>
      </c>
      <c r="N317" s="75"/>
      <c r="O317" s="75"/>
      <c r="P317" s="75"/>
      <c r="Q317" s="75"/>
      <c r="R317" s="75"/>
      <c r="S317" s="75"/>
      <c r="T317" s="75"/>
      <c r="U317" s="75"/>
      <c r="V317" s="76"/>
      <c r="W317" s="205"/>
      <c r="X317" s="1">
        <v>40310</v>
      </c>
      <c r="Y317" s="78">
        <f t="shared" si="33"/>
        <v>30760000</v>
      </c>
      <c r="Z317" s="78">
        <f t="shared" si="34"/>
        <v>6800000</v>
      </c>
      <c r="AA317" s="78">
        <f t="shared" si="35"/>
        <v>0</v>
      </c>
      <c r="AB317" s="78">
        <f t="shared" si="36"/>
        <v>0</v>
      </c>
      <c r="AC317" s="78"/>
      <c r="AD317" s="78">
        <v>0</v>
      </c>
      <c r="AE317" s="80">
        <f t="shared" si="39"/>
        <v>37560000</v>
      </c>
      <c r="AF317" s="82">
        <v>0</v>
      </c>
      <c r="AG317" s="69">
        <v>40290</v>
      </c>
      <c r="AH317" s="84">
        <v>96845</v>
      </c>
      <c r="AI317" s="69" t="s">
        <v>2009</v>
      </c>
      <c r="AJ317" s="25" t="s">
        <v>2010</v>
      </c>
      <c r="AK317" s="65">
        <v>115</v>
      </c>
      <c r="AL317" s="185" t="s">
        <v>2182</v>
      </c>
      <c r="AM317" s="85" t="s">
        <v>1294</v>
      </c>
      <c r="AN317" s="3"/>
      <c r="AO317" s="4"/>
      <c r="AP317" s="5"/>
      <c r="AQ317" s="4"/>
      <c r="AR317" s="4"/>
      <c r="AS317" s="4"/>
      <c r="AT317" s="4"/>
      <c r="AU317" s="4"/>
      <c r="AV317" s="4"/>
      <c r="AW317" s="4"/>
      <c r="AX317" s="4"/>
      <c r="AY317" s="4"/>
      <c r="AZ317" s="4"/>
      <c r="BA317" s="4"/>
      <c r="BB317" s="4">
        <v>320</v>
      </c>
      <c r="BC317" s="4">
        <f>320*56000</f>
        <v>17920000</v>
      </c>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v>320</v>
      </c>
      <c r="CK317" s="4">
        <f>320*21500</f>
        <v>6880000</v>
      </c>
      <c r="CL317" s="4"/>
      <c r="CM317" s="4"/>
      <c r="CN317" s="4"/>
      <c r="CO317" s="4"/>
      <c r="CP317" s="6">
        <v>80</v>
      </c>
      <c r="CQ317" s="7">
        <f>80*38500</f>
        <v>3080000</v>
      </c>
      <c r="CR317" s="6">
        <v>80</v>
      </c>
      <c r="CS317" s="7">
        <f>80*36000</f>
        <v>2880000</v>
      </c>
      <c r="CT317" s="6"/>
      <c r="CU317" s="7"/>
      <c r="CV317" s="8">
        <f t="shared" si="37"/>
        <v>30760000</v>
      </c>
      <c r="CW317" s="9"/>
      <c r="CX317" s="10"/>
      <c r="CY317" s="11">
        <v>80</v>
      </c>
      <c r="CZ317" s="12">
        <f>80*85000</f>
        <v>6800000</v>
      </c>
      <c r="DA317" s="29"/>
      <c r="DB317" s="12"/>
      <c r="DC317" s="9"/>
      <c r="DD317" s="10"/>
      <c r="DE317" s="71"/>
      <c r="EO317" s="353" t="str">
        <f t="shared" si="38"/>
        <v>CAUCA_PAEZ</v>
      </c>
      <c r="EP317" s="350"/>
      <c r="EQ317" s="350" t="s">
        <v>4092</v>
      </c>
      <c r="ER317" s="358" t="s">
        <v>6021</v>
      </c>
      <c r="ES317" s="350" t="s">
        <v>4958</v>
      </c>
      <c r="ET317" s="350" t="s">
        <v>6104</v>
      </c>
      <c r="EU317" s="350" t="str">
        <f t="shared" si="40"/>
        <v>Boyaca_San Pablo de Borbur</v>
      </c>
    </row>
    <row r="318" spans="1:151" ht="45" x14ac:dyDescent="0.2">
      <c r="A318" s="242">
        <v>40272</v>
      </c>
      <c r="B318" s="107" t="s">
        <v>2425</v>
      </c>
      <c r="C318" s="107" t="s">
        <v>1218</v>
      </c>
      <c r="D318" s="427" t="s">
        <v>882</v>
      </c>
      <c r="E318" s="107" t="str">
        <f>VLOOKUP(B318&amp;C318,Divipola!$C$2:$F$1138,4,FALSE)</f>
        <v>27025</v>
      </c>
      <c r="F318" s="330"/>
      <c r="G318" s="224"/>
      <c r="H318" s="75"/>
      <c r="I318" s="75"/>
      <c r="J318" s="75">
        <f>241*5</f>
        <v>1205</v>
      </c>
      <c r="K318" s="75">
        <v>241</v>
      </c>
      <c r="L318" s="75"/>
      <c r="M318" s="75">
        <v>241</v>
      </c>
      <c r="N318" s="75"/>
      <c r="O318" s="75"/>
      <c r="P318" s="75"/>
      <c r="Q318" s="75"/>
      <c r="R318" s="75"/>
      <c r="S318" s="75"/>
      <c r="T318" s="75"/>
      <c r="U318" s="75"/>
      <c r="V318" s="76"/>
      <c r="W318" s="205"/>
      <c r="X318" s="1">
        <v>40374</v>
      </c>
      <c r="Y318" s="78">
        <f t="shared" si="33"/>
        <v>0</v>
      </c>
      <c r="Z318" s="78">
        <f t="shared" si="34"/>
        <v>0</v>
      </c>
      <c r="AA318" s="78">
        <f t="shared" si="35"/>
        <v>17692800</v>
      </c>
      <c r="AB318" s="78">
        <f t="shared" si="36"/>
        <v>0</v>
      </c>
      <c r="AC318" s="78"/>
      <c r="AD318" s="78">
        <v>0</v>
      </c>
      <c r="AE318" s="80">
        <f t="shared" si="39"/>
        <v>17692800</v>
      </c>
      <c r="AF318" s="82">
        <v>0</v>
      </c>
      <c r="AG318" s="69">
        <v>40304</v>
      </c>
      <c r="AH318" s="84">
        <v>97285</v>
      </c>
      <c r="AI318" s="69" t="s">
        <v>2009</v>
      </c>
      <c r="AJ318" s="25" t="s">
        <v>2010</v>
      </c>
      <c r="AK318" s="65">
        <v>204</v>
      </c>
      <c r="AL318" s="185" t="s">
        <v>2182</v>
      </c>
      <c r="AM318" s="85"/>
      <c r="AN318" s="3"/>
      <c r="AO318" s="4"/>
      <c r="AP318" s="5"/>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6"/>
      <c r="CQ318" s="7"/>
      <c r="CR318" s="6"/>
      <c r="CS318" s="7"/>
      <c r="CT318" s="6"/>
      <c r="CU318" s="7"/>
      <c r="CV318" s="8">
        <f t="shared" si="37"/>
        <v>0</v>
      </c>
      <c r="CW318" s="9"/>
      <c r="CX318" s="10"/>
      <c r="CY318" s="11"/>
      <c r="CZ318" s="12"/>
      <c r="DA318" s="29"/>
      <c r="DB318" s="12"/>
      <c r="DC318" s="9">
        <v>776</v>
      </c>
      <c r="DD318" s="10">
        <f>776*22800</f>
        <v>17692800</v>
      </c>
      <c r="DE318" s="71"/>
      <c r="EO318" s="353" t="str">
        <f t="shared" si="38"/>
        <v>CHOCO_ALTO BAUDO</v>
      </c>
      <c r="EP318" s="350"/>
      <c r="EQ318" s="350" t="s">
        <v>4092</v>
      </c>
      <c r="ER318" s="358" t="s">
        <v>6021</v>
      </c>
      <c r="ES318" s="350" t="s">
        <v>4959</v>
      </c>
      <c r="ET318" s="350" t="s">
        <v>6105</v>
      </c>
      <c r="EU318" s="350" t="str">
        <f t="shared" si="40"/>
        <v>Boyaca_Santana</v>
      </c>
    </row>
    <row r="319" spans="1:151" ht="25.5" x14ac:dyDescent="0.2">
      <c r="A319" s="242">
        <v>40272</v>
      </c>
      <c r="B319" s="107" t="s">
        <v>2425</v>
      </c>
      <c r="C319" s="107" t="s">
        <v>2800</v>
      </c>
      <c r="D319" s="427" t="s">
        <v>2307</v>
      </c>
      <c r="E319" s="107" t="str">
        <f>VLOOKUP(B319&amp;C319,Divipola!$C$2:$F$1138,4,FALSE)</f>
        <v>27073</v>
      </c>
      <c r="F319" s="330"/>
      <c r="G319" s="224"/>
      <c r="H319" s="75">
        <v>3</v>
      </c>
      <c r="I319" s="75"/>
      <c r="J319" s="75"/>
      <c r="K319" s="75"/>
      <c r="L319" s="75"/>
      <c r="M319" s="75"/>
      <c r="N319" s="75"/>
      <c r="O319" s="75"/>
      <c r="P319" s="75"/>
      <c r="Q319" s="75"/>
      <c r="R319" s="75"/>
      <c r="S319" s="75"/>
      <c r="T319" s="75"/>
      <c r="U319" s="75"/>
      <c r="V319" s="76"/>
      <c r="W319" s="205"/>
      <c r="X319" s="1"/>
      <c r="Y319" s="78">
        <f t="shared" si="33"/>
        <v>0</v>
      </c>
      <c r="Z319" s="78">
        <f t="shared" si="34"/>
        <v>0</v>
      </c>
      <c r="AA319" s="78">
        <f t="shared" si="35"/>
        <v>0</v>
      </c>
      <c r="AB319" s="78">
        <f t="shared" si="36"/>
        <v>0</v>
      </c>
      <c r="AC319" s="78"/>
      <c r="AD319" s="78">
        <v>0</v>
      </c>
      <c r="AE319" s="80">
        <f t="shared" si="39"/>
        <v>0</v>
      </c>
      <c r="AF319" s="82">
        <v>0</v>
      </c>
      <c r="AG319" s="69">
        <v>40283</v>
      </c>
      <c r="AH319" s="84"/>
      <c r="AI319" s="69" t="s">
        <v>1984</v>
      </c>
      <c r="AJ319" s="25" t="s">
        <v>1985</v>
      </c>
      <c r="AK319" s="65"/>
      <c r="AL319" s="185" t="s">
        <v>1257</v>
      </c>
      <c r="AM319" s="85" t="s">
        <v>2801</v>
      </c>
      <c r="AN319" s="3"/>
      <c r="AO319" s="4"/>
      <c r="AP319" s="5"/>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6"/>
      <c r="CQ319" s="7"/>
      <c r="CR319" s="6"/>
      <c r="CS319" s="7"/>
      <c r="CT319" s="6"/>
      <c r="CU319" s="7"/>
      <c r="CV319" s="8">
        <f t="shared" si="37"/>
        <v>0</v>
      </c>
      <c r="CW319" s="9"/>
      <c r="CX319" s="10"/>
      <c r="CY319" s="11"/>
      <c r="CZ319" s="12"/>
      <c r="DA319" s="29"/>
      <c r="DB319" s="12"/>
      <c r="DC319" s="9"/>
      <c r="DD319" s="10"/>
      <c r="DE319" s="71"/>
      <c r="EO319" s="359" t="str">
        <f t="shared" si="38"/>
        <v>CHOCO_BAGADO</v>
      </c>
      <c r="EP319" s="360"/>
      <c r="EQ319" s="350" t="s">
        <v>4092</v>
      </c>
      <c r="ER319" s="358" t="s">
        <v>6021</v>
      </c>
      <c r="ES319" s="350" t="s">
        <v>4960</v>
      </c>
      <c r="ET319" s="350" t="s">
        <v>6106</v>
      </c>
      <c r="EU319" s="350" t="str">
        <f t="shared" si="40"/>
        <v>Boyaca_Santa Maria</v>
      </c>
    </row>
    <row r="320" spans="1:151" ht="38.25" x14ac:dyDescent="0.2">
      <c r="A320" s="242">
        <v>40272</v>
      </c>
      <c r="B320" s="107" t="s">
        <v>1700</v>
      </c>
      <c r="C320" s="107" t="s">
        <v>3827</v>
      </c>
      <c r="D320" s="427" t="s">
        <v>837</v>
      </c>
      <c r="E320" s="107" t="str">
        <f>VLOOKUP(B320&amp;C320,Divipola!$C$2:$F$1138,4,FALSE)</f>
        <v>23182</v>
      </c>
      <c r="F320" s="330"/>
      <c r="G320" s="224"/>
      <c r="H320" s="75"/>
      <c r="I320" s="75"/>
      <c r="J320" s="75">
        <v>40</v>
      </c>
      <c r="K320" s="75">
        <v>8</v>
      </c>
      <c r="L320" s="75"/>
      <c r="M320" s="75">
        <v>8</v>
      </c>
      <c r="N320" s="75"/>
      <c r="O320" s="75"/>
      <c r="P320" s="75"/>
      <c r="Q320" s="75"/>
      <c r="R320" s="75"/>
      <c r="S320" s="75"/>
      <c r="T320" s="75"/>
      <c r="U320" s="75"/>
      <c r="V320" s="76"/>
      <c r="W320" s="205"/>
      <c r="X320" s="1"/>
      <c r="Y320" s="78">
        <f t="shared" si="33"/>
        <v>0</v>
      </c>
      <c r="Z320" s="78">
        <f t="shared" si="34"/>
        <v>0</v>
      </c>
      <c r="AA320" s="78">
        <f t="shared" si="35"/>
        <v>0</v>
      </c>
      <c r="AB320" s="78">
        <f t="shared" si="36"/>
        <v>0</v>
      </c>
      <c r="AC320" s="78"/>
      <c r="AD320" s="78">
        <v>0</v>
      </c>
      <c r="AE320" s="80">
        <f t="shared" si="39"/>
        <v>0</v>
      </c>
      <c r="AF320" s="82">
        <v>0</v>
      </c>
      <c r="AG320" s="69">
        <v>40350</v>
      </c>
      <c r="AH320" s="84"/>
      <c r="AI320" s="69" t="s">
        <v>1984</v>
      </c>
      <c r="AJ320" s="25" t="s">
        <v>1985</v>
      </c>
      <c r="AK320" s="65"/>
      <c r="AL320" s="185" t="s">
        <v>1257</v>
      </c>
      <c r="AM320" s="85" t="s">
        <v>1747</v>
      </c>
      <c r="AN320" s="3"/>
      <c r="AO320" s="4"/>
      <c r="AP320" s="5"/>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6"/>
      <c r="CQ320" s="7"/>
      <c r="CR320" s="6"/>
      <c r="CS320" s="7"/>
      <c r="CT320" s="6"/>
      <c r="CU320" s="7"/>
      <c r="CV320" s="8">
        <f t="shared" si="37"/>
        <v>0</v>
      </c>
      <c r="CW320" s="9"/>
      <c r="CX320" s="10"/>
      <c r="CY320" s="11"/>
      <c r="CZ320" s="12"/>
      <c r="DA320" s="29"/>
      <c r="DB320" s="12"/>
      <c r="DC320" s="9"/>
      <c r="DD320" s="10"/>
      <c r="DE320" s="71"/>
      <c r="EO320" s="359" t="str">
        <f t="shared" si="38"/>
        <v>CORDOBA_CHINU</v>
      </c>
      <c r="EP320" s="360"/>
      <c r="EQ320" s="350" t="s">
        <v>4092</v>
      </c>
      <c r="ER320" s="358" t="s">
        <v>6021</v>
      </c>
      <c r="ES320" s="350" t="s">
        <v>4961</v>
      </c>
      <c r="ET320" s="350" t="s">
        <v>6107</v>
      </c>
      <c r="EU320" s="350" t="str">
        <f t="shared" si="40"/>
        <v>Boyaca_Santa Rosa de Viterbo</v>
      </c>
    </row>
    <row r="321" spans="1:151" ht="48" x14ac:dyDescent="0.2">
      <c r="A321" s="242">
        <v>40272</v>
      </c>
      <c r="B321" s="107" t="s">
        <v>2007</v>
      </c>
      <c r="C321" s="107" t="s">
        <v>2246</v>
      </c>
      <c r="D321" s="427" t="s">
        <v>837</v>
      </c>
      <c r="E321" s="107" t="str">
        <f>VLOOKUP(B321&amp;C321,Divipola!$C$2:$F$1138,4,FALSE)</f>
        <v>25307</v>
      </c>
      <c r="F321" s="330"/>
      <c r="G321" s="224"/>
      <c r="H321" s="75">
        <v>1</v>
      </c>
      <c r="I321" s="75"/>
      <c r="J321" s="75">
        <v>140</v>
      </c>
      <c r="K321" s="75">
        <v>72</v>
      </c>
      <c r="L321" s="75"/>
      <c r="M321" s="75">
        <v>72</v>
      </c>
      <c r="N321" s="75"/>
      <c r="O321" s="75"/>
      <c r="P321" s="75"/>
      <c r="Q321" s="75"/>
      <c r="R321" s="75"/>
      <c r="S321" s="75"/>
      <c r="T321" s="75"/>
      <c r="U321" s="75"/>
      <c r="V321" s="76"/>
      <c r="W321" s="205"/>
      <c r="X321" s="1"/>
      <c r="Y321" s="78">
        <f t="shared" si="33"/>
        <v>0</v>
      </c>
      <c r="Z321" s="78">
        <f t="shared" si="34"/>
        <v>0</v>
      </c>
      <c r="AA321" s="78">
        <f t="shared" si="35"/>
        <v>0</v>
      </c>
      <c r="AB321" s="78">
        <f t="shared" si="36"/>
        <v>0</v>
      </c>
      <c r="AC321" s="78"/>
      <c r="AD321" s="78">
        <v>0</v>
      </c>
      <c r="AE321" s="80">
        <f t="shared" si="39"/>
        <v>0</v>
      </c>
      <c r="AF321" s="82">
        <v>0</v>
      </c>
      <c r="AG321" s="69">
        <v>40277</v>
      </c>
      <c r="AH321" s="84"/>
      <c r="AI321" s="69" t="s">
        <v>1984</v>
      </c>
      <c r="AJ321" s="25" t="s">
        <v>1985</v>
      </c>
      <c r="AK321" s="65"/>
      <c r="AL321" s="185" t="s">
        <v>1257</v>
      </c>
      <c r="AM321" s="85" t="s">
        <v>2247</v>
      </c>
      <c r="AN321" s="3"/>
      <c r="AO321" s="4"/>
      <c r="AP321" s="5"/>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6"/>
      <c r="CQ321" s="7"/>
      <c r="CR321" s="6"/>
      <c r="CS321" s="7"/>
      <c r="CT321" s="6"/>
      <c r="CU321" s="7"/>
      <c r="CV321" s="8">
        <f t="shared" si="37"/>
        <v>0</v>
      </c>
      <c r="CW321" s="9"/>
      <c r="CX321" s="10"/>
      <c r="CY321" s="11"/>
      <c r="CZ321" s="12"/>
      <c r="DA321" s="29"/>
      <c r="DB321" s="12"/>
      <c r="DC321" s="9"/>
      <c r="DD321" s="10"/>
      <c r="DE321" s="71"/>
      <c r="EO321" s="359" t="str">
        <f t="shared" si="38"/>
        <v>CUNDINAMARCA_GIRARDOT</v>
      </c>
      <c r="EP321" s="360"/>
      <c r="EQ321" s="350" t="s">
        <v>4092</v>
      </c>
      <c r="ER321" s="358" t="s">
        <v>6021</v>
      </c>
      <c r="ES321" s="350" t="s">
        <v>4962</v>
      </c>
      <c r="ET321" s="350" t="s">
        <v>6108</v>
      </c>
      <c r="EU321" s="350" t="str">
        <f t="shared" si="40"/>
        <v>Boyaca_Santa Sofia</v>
      </c>
    </row>
    <row r="322" spans="1:151" ht="38.25" x14ac:dyDescent="0.2">
      <c r="A322" s="242">
        <v>40272</v>
      </c>
      <c r="B322" s="107" t="s">
        <v>2007</v>
      </c>
      <c r="C322" s="107" t="s">
        <v>2808</v>
      </c>
      <c r="D322" s="427" t="s">
        <v>837</v>
      </c>
      <c r="E322" s="107" t="str">
        <f>VLOOKUP(B322&amp;C322,Divipola!$C$2:$F$1138,4,FALSE)</f>
        <v>25799</v>
      </c>
      <c r="F322" s="330"/>
      <c r="G322" s="224"/>
      <c r="H322" s="75"/>
      <c r="I322" s="75"/>
      <c r="J322" s="75">
        <v>34</v>
      </c>
      <c r="K322" s="75">
        <v>8</v>
      </c>
      <c r="L322" s="75"/>
      <c r="M322" s="75">
        <v>8</v>
      </c>
      <c r="N322" s="75">
        <v>1</v>
      </c>
      <c r="O322" s="75"/>
      <c r="P322" s="75"/>
      <c r="Q322" s="75"/>
      <c r="R322" s="75"/>
      <c r="S322" s="75"/>
      <c r="T322" s="75">
        <v>1</v>
      </c>
      <c r="U322" s="75"/>
      <c r="V322" s="76"/>
      <c r="W322" s="205"/>
      <c r="X322" s="1"/>
      <c r="Y322" s="78">
        <f t="shared" si="33"/>
        <v>0</v>
      </c>
      <c r="Z322" s="78">
        <f t="shared" si="34"/>
        <v>0</v>
      </c>
      <c r="AA322" s="78">
        <f t="shared" si="35"/>
        <v>0</v>
      </c>
      <c r="AB322" s="78">
        <f t="shared" si="36"/>
        <v>0</v>
      </c>
      <c r="AC322" s="78"/>
      <c r="AD322" s="78">
        <v>0</v>
      </c>
      <c r="AE322" s="80">
        <f t="shared" si="39"/>
        <v>0</v>
      </c>
      <c r="AF322" s="82">
        <v>0</v>
      </c>
      <c r="AG322" s="69">
        <v>40282</v>
      </c>
      <c r="AH322" s="84"/>
      <c r="AI322" s="69" t="s">
        <v>1984</v>
      </c>
      <c r="AJ322" s="25" t="s">
        <v>1985</v>
      </c>
      <c r="AK322" s="65"/>
      <c r="AL322" s="185" t="s">
        <v>1257</v>
      </c>
      <c r="AM322" s="85" t="s">
        <v>2743</v>
      </c>
      <c r="AN322" s="3"/>
      <c r="AO322" s="4"/>
      <c r="AP322" s="5"/>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6"/>
      <c r="CQ322" s="7"/>
      <c r="CR322" s="6"/>
      <c r="CS322" s="7"/>
      <c r="CT322" s="6"/>
      <c r="CU322" s="7"/>
      <c r="CV322" s="8">
        <f t="shared" si="37"/>
        <v>0</v>
      </c>
      <c r="CW322" s="9"/>
      <c r="CX322" s="10"/>
      <c r="CY322" s="11"/>
      <c r="CZ322" s="12"/>
      <c r="DA322" s="29"/>
      <c r="DB322" s="12"/>
      <c r="DC322" s="9"/>
      <c r="DD322" s="10"/>
      <c r="DE322" s="71"/>
      <c r="EO322" s="359" t="str">
        <f t="shared" ref="EO322:EO383" si="41">B322&amp;"_"&amp;C322</f>
        <v>CUNDINAMARCA_TENJO</v>
      </c>
      <c r="EP322" s="360"/>
      <c r="EQ322" s="350" t="s">
        <v>4092</v>
      </c>
      <c r="ER322" s="358" t="s">
        <v>6021</v>
      </c>
      <c r="ES322" s="350" t="s">
        <v>4963</v>
      </c>
      <c r="ET322" s="350" t="s">
        <v>6109</v>
      </c>
      <c r="EU322" s="350" t="str">
        <f t="shared" si="40"/>
        <v>Boyaca_Sativanorte</v>
      </c>
    </row>
    <row r="323" spans="1:151" ht="38.25" x14ac:dyDescent="0.2">
      <c r="A323" s="242">
        <v>40272</v>
      </c>
      <c r="B323" s="107" t="s">
        <v>2007</v>
      </c>
      <c r="C323" s="107" t="s">
        <v>1354</v>
      </c>
      <c r="D323" s="427" t="s">
        <v>837</v>
      </c>
      <c r="E323" s="107" t="str">
        <f>VLOOKUP(B323&amp;C323,Divipola!$C$2:$F$1138,4,FALSE)</f>
        <v>25815</v>
      </c>
      <c r="F323" s="330"/>
      <c r="G323" s="224"/>
      <c r="H323" s="75"/>
      <c r="I323" s="75"/>
      <c r="J323" s="75">
        <v>6</v>
      </c>
      <c r="K323" s="75">
        <v>2</v>
      </c>
      <c r="L323" s="75"/>
      <c r="M323" s="75">
        <v>2</v>
      </c>
      <c r="N323" s="75"/>
      <c r="O323" s="75"/>
      <c r="P323" s="75"/>
      <c r="Q323" s="75"/>
      <c r="R323" s="75"/>
      <c r="S323" s="75"/>
      <c r="T323" s="75"/>
      <c r="U323" s="75"/>
      <c r="V323" s="76"/>
      <c r="W323" s="205"/>
      <c r="X323" s="1"/>
      <c r="Y323" s="78">
        <f t="shared" ref="Y323:Y386" si="42">CV323</f>
        <v>0</v>
      </c>
      <c r="Z323" s="78">
        <f t="shared" ref="Z323:Z386" si="43">CZ323</f>
        <v>0</v>
      </c>
      <c r="AA323" s="78">
        <f t="shared" ref="AA323:AA386" si="44">DB323+DD323</f>
        <v>0</v>
      </c>
      <c r="AB323" s="78">
        <f t="shared" ref="AB323:AB386" si="45">CX323</f>
        <v>0</v>
      </c>
      <c r="AC323" s="78"/>
      <c r="AD323" s="78">
        <v>0</v>
      </c>
      <c r="AE323" s="80">
        <f t="shared" si="39"/>
        <v>0</v>
      </c>
      <c r="AF323" s="82">
        <v>0</v>
      </c>
      <c r="AG323" s="69">
        <v>40282</v>
      </c>
      <c r="AH323" s="84"/>
      <c r="AI323" s="69" t="s">
        <v>1984</v>
      </c>
      <c r="AJ323" s="25" t="s">
        <v>1985</v>
      </c>
      <c r="AK323" s="65"/>
      <c r="AL323" s="185" t="s">
        <v>1257</v>
      </c>
      <c r="AM323" s="85" t="s">
        <v>1355</v>
      </c>
      <c r="AN323" s="3"/>
      <c r="AO323" s="4"/>
      <c r="AP323" s="5"/>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6"/>
      <c r="CQ323" s="7"/>
      <c r="CR323" s="6"/>
      <c r="CS323" s="7"/>
      <c r="CT323" s="6"/>
      <c r="CU323" s="7"/>
      <c r="CV323" s="8">
        <f t="shared" ref="CV323:CV386" si="46">AO323+AQ323+AS323+AU323+AW323+AY323+BA323+BC323+BE323+BG323+BI323+BK323+BM323+BO323+BQ323+BS323+BU323+BW323+BY323+CA323+CC323+CE323+CG323+CI323+CK323+CM323+CO323+CQ323+CS323+CU323</f>
        <v>0</v>
      </c>
      <c r="CW323" s="9"/>
      <c r="CX323" s="10"/>
      <c r="CY323" s="11"/>
      <c r="CZ323" s="12"/>
      <c r="DA323" s="29"/>
      <c r="DB323" s="12"/>
      <c r="DC323" s="9"/>
      <c r="DD323" s="10"/>
      <c r="DE323" s="71"/>
      <c r="EO323" s="359" t="str">
        <f t="shared" si="41"/>
        <v>CUNDINAMARCA_TOCAIMA</v>
      </c>
      <c r="EP323" s="360"/>
      <c r="EQ323" s="360" t="s">
        <v>4092</v>
      </c>
      <c r="ER323" s="358" t="s">
        <v>6021</v>
      </c>
      <c r="ES323" s="360" t="s">
        <v>4964</v>
      </c>
      <c r="ET323" s="360" t="s">
        <v>6110</v>
      </c>
      <c r="EU323" s="360" t="str">
        <f t="shared" si="40"/>
        <v>Boyaca_Sativasur</v>
      </c>
    </row>
    <row r="324" spans="1:151" ht="72" x14ac:dyDescent="0.2">
      <c r="A324" s="242">
        <v>40272</v>
      </c>
      <c r="B324" s="107" t="s">
        <v>1333</v>
      </c>
      <c r="C324" s="107" t="s">
        <v>926</v>
      </c>
      <c r="D324" s="427" t="s">
        <v>2307</v>
      </c>
      <c r="E324" s="107" t="str">
        <f>VLOOKUP(B324&amp;C324,Divipola!$C$2:$F$1138,4,FALSE)</f>
        <v>41799</v>
      </c>
      <c r="F324" s="330"/>
      <c r="G324" s="224"/>
      <c r="H324" s="75"/>
      <c r="I324" s="75"/>
      <c r="J324" s="75"/>
      <c r="K324" s="75"/>
      <c r="L324" s="75"/>
      <c r="M324" s="75"/>
      <c r="N324" s="75"/>
      <c r="O324" s="75"/>
      <c r="P324" s="75"/>
      <c r="Q324" s="75"/>
      <c r="R324" s="75"/>
      <c r="S324" s="75"/>
      <c r="T324" s="75"/>
      <c r="U324" s="75"/>
      <c r="V324" s="76"/>
      <c r="W324" s="205"/>
      <c r="X324" s="1">
        <v>40345</v>
      </c>
      <c r="Y324" s="78">
        <f t="shared" si="42"/>
        <v>0</v>
      </c>
      <c r="Z324" s="78">
        <f t="shared" si="43"/>
        <v>0</v>
      </c>
      <c r="AA324" s="78">
        <f t="shared" si="44"/>
        <v>0</v>
      </c>
      <c r="AB324" s="78">
        <f t="shared" si="45"/>
        <v>0</v>
      </c>
      <c r="AC324" s="78"/>
      <c r="AD324" s="78">
        <v>66297971</v>
      </c>
      <c r="AE324" s="80">
        <f t="shared" si="39"/>
        <v>66297971</v>
      </c>
      <c r="AF324" s="82">
        <v>0</v>
      </c>
      <c r="AG324" s="69">
        <v>40345</v>
      </c>
      <c r="AH324" s="84"/>
      <c r="AI324" s="69" t="s">
        <v>2009</v>
      </c>
      <c r="AJ324" s="25" t="s">
        <v>2010</v>
      </c>
      <c r="AK324" s="65"/>
      <c r="AL324" s="185" t="s">
        <v>927</v>
      </c>
      <c r="AM324" s="97" t="s">
        <v>928</v>
      </c>
      <c r="AN324" s="3"/>
      <c r="AO324" s="4"/>
      <c r="AP324" s="5"/>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6"/>
      <c r="CQ324" s="7"/>
      <c r="CR324" s="6"/>
      <c r="CS324" s="7"/>
      <c r="CT324" s="6"/>
      <c r="CU324" s="7"/>
      <c r="CV324" s="8">
        <f t="shared" si="46"/>
        <v>0</v>
      </c>
      <c r="CW324" s="9"/>
      <c r="CX324" s="10"/>
      <c r="CY324" s="11"/>
      <c r="CZ324" s="12"/>
      <c r="DA324" s="29"/>
      <c r="DB324" s="12"/>
      <c r="DC324" s="9"/>
      <c r="DD324" s="10"/>
      <c r="DE324" s="71">
        <v>4</v>
      </c>
      <c r="EO324" s="359" t="str">
        <f t="shared" si="41"/>
        <v>HUILA_TELLO</v>
      </c>
      <c r="EP324" s="360"/>
      <c r="EQ324" s="360" t="s">
        <v>4092</v>
      </c>
      <c r="ER324" s="358" t="s">
        <v>6021</v>
      </c>
      <c r="ES324" s="360" t="s">
        <v>4965</v>
      </c>
      <c r="ET324" s="360" t="s">
        <v>6111</v>
      </c>
      <c r="EU324" s="360" t="str">
        <f t="shared" si="40"/>
        <v>Boyaca_Siachoque</v>
      </c>
    </row>
    <row r="325" spans="1:151" ht="25.5" x14ac:dyDescent="0.2">
      <c r="A325" s="242">
        <v>40272</v>
      </c>
      <c r="B325" s="107" t="s">
        <v>2245</v>
      </c>
      <c r="C325" s="107" t="s">
        <v>110</v>
      </c>
      <c r="D325" s="427" t="s">
        <v>2307</v>
      </c>
      <c r="E325" s="107" t="str">
        <f>VLOOKUP(B325&amp;C325,Divipola!$C$2:$F$1138,4,FALSE)</f>
        <v>52385</v>
      </c>
      <c r="F325" s="330"/>
      <c r="G325" s="224"/>
      <c r="H325" s="75"/>
      <c r="I325" s="75"/>
      <c r="J325" s="75">
        <v>35</v>
      </c>
      <c r="K325" s="75">
        <v>7</v>
      </c>
      <c r="L325" s="75"/>
      <c r="M325" s="75">
        <v>7</v>
      </c>
      <c r="N325" s="75"/>
      <c r="O325" s="75"/>
      <c r="P325" s="75"/>
      <c r="Q325" s="75"/>
      <c r="R325" s="75"/>
      <c r="S325" s="75"/>
      <c r="T325" s="75"/>
      <c r="U325" s="75"/>
      <c r="V325" s="76"/>
      <c r="W325" s="205"/>
      <c r="X325" s="1"/>
      <c r="Y325" s="78">
        <f t="shared" si="42"/>
        <v>0</v>
      </c>
      <c r="Z325" s="78">
        <f t="shared" si="43"/>
        <v>0</v>
      </c>
      <c r="AA325" s="78">
        <f t="shared" si="44"/>
        <v>0</v>
      </c>
      <c r="AB325" s="78">
        <f t="shared" si="45"/>
        <v>0</v>
      </c>
      <c r="AC325" s="78"/>
      <c r="AD325" s="78">
        <v>0</v>
      </c>
      <c r="AE325" s="80">
        <f t="shared" si="39"/>
        <v>0</v>
      </c>
      <c r="AF325" s="82">
        <v>0</v>
      </c>
      <c r="AG325" s="69">
        <v>40287</v>
      </c>
      <c r="AH325" s="84"/>
      <c r="AI325" s="69" t="s">
        <v>1984</v>
      </c>
      <c r="AJ325" s="25" t="s">
        <v>1985</v>
      </c>
      <c r="AK325" s="65"/>
      <c r="AL325" s="185" t="s">
        <v>1257</v>
      </c>
      <c r="AM325" s="85"/>
      <c r="AN325" s="3"/>
      <c r="AO325" s="4"/>
      <c r="AP325" s="5"/>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6"/>
      <c r="CQ325" s="7"/>
      <c r="CR325" s="6"/>
      <c r="CS325" s="7"/>
      <c r="CT325" s="6"/>
      <c r="CU325" s="7"/>
      <c r="CV325" s="8">
        <f t="shared" si="46"/>
        <v>0</v>
      </c>
      <c r="CW325" s="9"/>
      <c r="CX325" s="10"/>
      <c r="CY325" s="11"/>
      <c r="CZ325" s="12"/>
      <c r="DA325" s="29"/>
      <c r="DB325" s="12"/>
      <c r="DC325" s="9"/>
      <c r="DD325" s="10"/>
      <c r="DE325" s="71"/>
      <c r="EO325" s="353" t="str">
        <f t="shared" si="41"/>
        <v>NARIÑO_LA LLANADA</v>
      </c>
      <c r="EP325" s="350"/>
      <c r="EQ325" s="360" t="s">
        <v>4092</v>
      </c>
      <c r="ER325" s="358" t="s">
        <v>6021</v>
      </c>
      <c r="ES325" s="360" t="s">
        <v>4966</v>
      </c>
      <c r="ET325" s="360" t="s">
        <v>6112</v>
      </c>
      <c r="EU325" s="360" t="str">
        <f t="shared" si="40"/>
        <v>Boyaca_Soata</v>
      </c>
    </row>
    <row r="326" spans="1:151" ht="25.5" x14ac:dyDescent="0.2">
      <c r="A326" s="242">
        <v>40272</v>
      </c>
      <c r="B326" s="107" t="s">
        <v>2245</v>
      </c>
      <c r="C326" s="107" t="s">
        <v>497</v>
      </c>
      <c r="D326" s="427" t="s">
        <v>837</v>
      </c>
      <c r="E326" s="107" t="str">
        <f>VLOOKUP(B326&amp;C326,Divipola!$C$2:$F$1138,4,FALSE)</f>
        <v>52001</v>
      </c>
      <c r="F326" s="330"/>
      <c r="G326" s="224"/>
      <c r="H326" s="75"/>
      <c r="I326" s="75"/>
      <c r="J326" s="75">
        <f>23*5</f>
        <v>115</v>
      </c>
      <c r="K326" s="75">
        <v>23</v>
      </c>
      <c r="L326" s="75"/>
      <c r="M326" s="75">
        <v>23</v>
      </c>
      <c r="N326" s="75"/>
      <c r="O326" s="75"/>
      <c r="P326" s="75"/>
      <c r="Q326" s="75"/>
      <c r="R326" s="75"/>
      <c r="S326" s="75"/>
      <c r="T326" s="75"/>
      <c r="U326" s="75"/>
      <c r="V326" s="76"/>
      <c r="W326" s="205"/>
      <c r="X326" s="1"/>
      <c r="Y326" s="78">
        <f t="shared" si="42"/>
        <v>0</v>
      </c>
      <c r="Z326" s="78">
        <f t="shared" si="43"/>
        <v>0</v>
      </c>
      <c r="AA326" s="78">
        <f t="shared" si="44"/>
        <v>0</v>
      </c>
      <c r="AB326" s="78">
        <f t="shared" si="45"/>
        <v>0</v>
      </c>
      <c r="AC326" s="78"/>
      <c r="AD326" s="78">
        <v>0</v>
      </c>
      <c r="AE326" s="80">
        <f t="shared" si="39"/>
        <v>0</v>
      </c>
      <c r="AF326" s="82">
        <v>0</v>
      </c>
      <c r="AG326" s="69">
        <v>40278</v>
      </c>
      <c r="AH326" s="84"/>
      <c r="AI326" s="69" t="s">
        <v>1984</v>
      </c>
      <c r="AJ326" s="25" t="s">
        <v>1985</v>
      </c>
      <c r="AK326" s="65"/>
      <c r="AL326" s="185" t="s">
        <v>1257</v>
      </c>
      <c r="AM326" s="85" t="s">
        <v>3106</v>
      </c>
      <c r="AN326" s="3"/>
      <c r="AO326" s="4"/>
      <c r="AP326" s="5"/>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6"/>
      <c r="CQ326" s="7"/>
      <c r="CR326" s="6"/>
      <c r="CS326" s="7"/>
      <c r="CT326" s="6"/>
      <c r="CU326" s="7"/>
      <c r="CV326" s="8">
        <f t="shared" si="46"/>
        <v>0</v>
      </c>
      <c r="CW326" s="9"/>
      <c r="CX326" s="10"/>
      <c r="CY326" s="11"/>
      <c r="CZ326" s="12"/>
      <c r="DA326" s="29"/>
      <c r="DB326" s="12"/>
      <c r="DC326" s="9"/>
      <c r="DD326" s="10"/>
      <c r="DE326" s="71"/>
      <c r="EO326" s="353" t="str">
        <f t="shared" si="41"/>
        <v>NARIÑO_PASTO</v>
      </c>
      <c r="EP326" s="350"/>
      <c r="EQ326" s="360" t="s">
        <v>4092</v>
      </c>
      <c r="ER326" s="358" t="s">
        <v>6021</v>
      </c>
      <c r="ES326" s="360" t="s">
        <v>4967</v>
      </c>
      <c r="ET326" s="360" t="s">
        <v>6113</v>
      </c>
      <c r="EU326" s="360" t="str">
        <f t="shared" si="40"/>
        <v>Boyaca_Socota</v>
      </c>
    </row>
    <row r="327" spans="1:151" ht="36" x14ac:dyDescent="0.2">
      <c r="A327" s="242">
        <v>40272</v>
      </c>
      <c r="B327" s="107" t="s">
        <v>2245</v>
      </c>
      <c r="C327" s="107" t="s">
        <v>496</v>
      </c>
      <c r="D327" s="427" t="s">
        <v>2307</v>
      </c>
      <c r="E327" s="107" t="str">
        <f>VLOOKUP(B327&amp;C327,Divipola!$C$2:$F$1138,4,FALSE)</f>
        <v>52612</v>
      </c>
      <c r="F327" s="330"/>
      <c r="G327" s="224"/>
      <c r="H327" s="75"/>
      <c r="I327" s="75"/>
      <c r="J327" s="75">
        <f>44*5</f>
        <v>220</v>
      </c>
      <c r="K327" s="75">
        <v>44</v>
      </c>
      <c r="L327" s="75">
        <v>1</v>
      </c>
      <c r="M327" s="75">
        <v>43</v>
      </c>
      <c r="N327" s="75"/>
      <c r="O327" s="75"/>
      <c r="P327" s="75"/>
      <c r="Q327" s="75"/>
      <c r="R327" s="75"/>
      <c r="S327" s="75"/>
      <c r="T327" s="75"/>
      <c r="U327" s="75"/>
      <c r="V327" s="76"/>
      <c r="W327" s="205"/>
      <c r="X327" s="1"/>
      <c r="Y327" s="78">
        <f t="shared" si="42"/>
        <v>0</v>
      </c>
      <c r="Z327" s="78">
        <f t="shared" si="43"/>
        <v>0</v>
      </c>
      <c r="AA327" s="78">
        <f t="shared" si="44"/>
        <v>0</v>
      </c>
      <c r="AB327" s="78">
        <f t="shared" si="45"/>
        <v>0</v>
      </c>
      <c r="AC327" s="78"/>
      <c r="AD327" s="78">
        <v>0</v>
      </c>
      <c r="AE327" s="80">
        <f t="shared" si="39"/>
        <v>0</v>
      </c>
      <c r="AF327" s="82">
        <v>0</v>
      </c>
      <c r="AG327" s="69">
        <v>40276</v>
      </c>
      <c r="AH327" s="84"/>
      <c r="AI327" s="69" t="s">
        <v>1984</v>
      </c>
      <c r="AJ327" s="25" t="s">
        <v>1985</v>
      </c>
      <c r="AK327" s="65"/>
      <c r="AL327" s="185" t="s">
        <v>1257</v>
      </c>
      <c r="AM327" s="85" t="s">
        <v>1372</v>
      </c>
      <c r="AN327" s="3"/>
      <c r="AO327" s="4"/>
      <c r="AP327" s="5"/>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6"/>
      <c r="CQ327" s="7"/>
      <c r="CR327" s="6"/>
      <c r="CS327" s="7"/>
      <c r="CT327" s="6"/>
      <c r="CU327" s="7"/>
      <c r="CV327" s="8">
        <f t="shared" si="46"/>
        <v>0</v>
      </c>
      <c r="CW327" s="9"/>
      <c r="CX327" s="10"/>
      <c r="CY327" s="11"/>
      <c r="CZ327" s="12"/>
      <c r="DA327" s="29"/>
      <c r="DB327" s="12"/>
      <c r="DC327" s="9"/>
      <c r="DD327" s="10"/>
      <c r="DE327" s="71"/>
      <c r="EO327" s="353" t="str">
        <f t="shared" si="41"/>
        <v>NARIÑO_RICAURTE</v>
      </c>
      <c r="EP327" s="350"/>
      <c r="EQ327" s="360" t="s">
        <v>4092</v>
      </c>
      <c r="ER327" s="358" t="s">
        <v>6021</v>
      </c>
      <c r="ES327" s="360" t="s">
        <v>4968</v>
      </c>
      <c r="ET327" s="360" t="s">
        <v>6114</v>
      </c>
      <c r="EU327" s="360" t="str">
        <f t="shared" si="40"/>
        <v>Boyaca_Socha</v>
      </c>
    </row>
    <row r="328" spans="1:151" ht="25.5" x14ac:dyDescent="0.2">
      <c r="A328" s="242">
        <v>40272</v>
      </c>
      <c r="B328" s="107" t="s">
        <v>2372</v>
      </c>
      <c r="C328" s="107" t="s">
        <v>2371</v>
      </c>
      <c r="D328" s="427" t="s">
        <v>2209</v>
      </c>
      <c r="E328" s="107" t="str">
        <f>VLOOKUP(B328&amp;C328,Divipola!$C$2:$F$1138,4,FALSE)</f>
        <v>70110</v>
      </c>
      <c r="F328" s="330"/>
      <c r="G328" s="224"/>
      <c r="H328" s="75"/>
      <c r="I328" s="75"/>
      <c r="J328" s="75">
        <v>15</v>
      </c>
      <c r="K328" s="75">
        <v>3</v>
      </c>
      <c r="L328" s="75"/>
      <c r="M328" s="75">
        <v>3</v>
      </c>
      <c r="N328" s="75"/>
      <c r="O328" s="75"/>
      <c r="P328" s="75"/>
      <c r="Q328" s="75"/>
      <c r="R328" s="75"/>
      <c r="S328" s="75"/>
      <c r="T328" s="75"/>
      <c r="U328" s="75"/>
      <c r="V328" s="76"/>
      <c r="W328" s="205"/>
      <c r="X328" s="1"/>
      <c r="Y328" s="78">
        <f t="shared" si="42"/>
        <v>0</v>
      </c>
      <c r="Z328" s="78">
        <f t="shared" si="43"/>
        <v>0</v>
      </c>
      <c r="AA328" s="78">
        <f t="shared" si="44"/>
        <v>0</v>
      </c>
      <c r="AB328" s="78">
        <f t="shared" si="45"/>
        <v>0</v>
      </c>
      <c r="AC328" s="78"/>
      <c r="AD328" s="78">
        <v>0</v>
      </c>
      <c r="AE328" s="80">
        <f t="shared" si="39"/>
        <v>0</v>
      </c>
      <c r="AF328" s="82">
        <v>0</v>
      </c>
      <c r="AG328" s="69">
        <v>40276</v>
      </c>
      <c r="AH328" s="84"/>
      <c r="AI328" s="69" t="s">
        <v>1984</v>
      </c>
      <c r="AJ328" s="25" t="s">
        <v>1985</v>
      </c>
      <c r="AK328" s="65"/>
      <c r="AL328" s="185" t="s">
        <v>1257</v>
      </c>
      <c r="AM328" s="85" t="s">
        <v>499</v>
      </c>
      <c r="AN328" s="3"/>
      <c r="AO328" s="4"/>
      <c r="AP328" s="5"/>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6"/>
      <c r="CQ328" s="7"/>
      <c r="CR328" s="6"/>
      <c r="CS328" s="7"/>
      <c r="CT328" s="6"/>
      <c r="CU328" s="7"/>
      <c r="CV328" s="8">
        <f t="shared" si="46"/>
        <v>0</v>
      </c>
      <c r="CW328" s="9"/>
      <c r="CX328" s="10"/>
      <c r="CY328" s="11"/>
      <c r="CZ328" s="12"/>
      <c r="DA328" s="29"/>
      <c r="DB328" s="12"/>
      <c r="DC328" s="9"/>
      <c r="DD328" s="10"/>
      <c r="DE328" s="71"/>
      <c r="EO328" s="353" t="str">
        <f t="shared" si="41"/>
        <v>SUCRE_BUENAVISTA</v>
      </c>
      <c r="EP328" s="350"/>
      <c r="EQ328" s="360" t="s">
        <v>4092</v>
      </c>
      <c r="ER328" s="358" t="s">
        <v>6021</v>
      </c>
      <c r="ES328" s="360" t="s">
        <v>4969</v>
      </c>
      <c r="ET328" s="360" t="s">
        <v>6115</v>
      </c>
      <c r="EU328" s="360" t="str">
        <f t="shared" si="40"/>
        <v>Boyaca_Sogamoso</v>
      </c>
    </row>
    <row r="329" spans="1:151" ht="56.25" x14ac:dyDescent="0.2">
      <c r="A329" s="242">
        <v>40272</v>
      </c>
      <c r="B329" s="107" t="s">
        <v>2791</v>
      </c>
      <c r="C329" s="107" t="s">
        <v>1945</v>
      </c>
      <c r="D329" s="427" t="s">
        <v>2209</v>
      </c>
      <c r="E329" s="107" t="str">
        <f>VLOOKUP(B329&amp;C329,Divipola!$C$2:$F$1138,4,FALSE)</f>
        <v>73001</v>
      </c>
      <c r="F329" s="330"/>
      <c r="G329" s="224"/>
      <c r="H329" s="75"/>
      <c r="I329" s="75"/>
      <c r="J329" s="75">
        <v>315</v>
      </c>
      <c r="K329" s="75">
        <v>63</v>
      </c>
      <c r="L329" s="75"/>
      <c r="M329" s="75">
        <v>63</v>
      </c>
      <c r="N329" s="75"/>
      <c r="O329" s="75"/>
      <c r="P329" s="75"/>
      <c r="Q329" s="75"/>
      <c r="R329" s="75"/>
      <c r="S329" s="75"/>
      <c r="T329" s="75">
        <v>2</v>
      </c>
      <c r="U329" s="75"/>
      <c r="V329" s="76"/>
      <c r="W329" s="205"/>
      <c r="X329" s="1"/>
      <c r="Y329" s="78">
        <f t="shared" si="42"/>
        <v>0</v>
      </c>
      <c r="Z329" s="78">
        <f t="shared" si="43"/>
        <v>0</v>
      </c>
      <c r="AA329" s="78">
        <f t="shared" si="44"/>
        <v>5352240</v>
      </c>
      <c r="AB329" s="78">
        <f t="shared" si="45"/>
        <v>0</v>
      </c>
      <c r="AC329" s="78"/>
      <c r="AD329" s="78">
        <v>0</v>
      </c>
      <c r="AE329" s="80">
        <f t="shared" ref="AE329:AE392" si="47">Y329+Z329+AA329+AB329+AC329+AD329</f>
        <v>5352240</v>
      </c>
      <c r="AF329" s="82">
        <v>0</v>
      </c>
      <c r="AG329" s="69">
        <v>40284</v>
      </c>
      <c r="AH329" s="84">
        <v>96689</v>
      </c>
      <c r="AI329" s="69" t="s">
        <v>2009</v>
      </c>
      <c r="AJ329" s="25" t="s">
        <v>2010</v>
      </c>
      <c r="AK329" s="65">
        <v>99</v>
      </c>
      <c r="AL329" s="185" t="s">
        <v>2477</v>
      </c>
      <c r="AM329" s="85" t="s">
        <v>2666</v>
      </c>
      <c r="AN329" s="3"/>
      <c r="AO329" s="4"/>
      <c r="AP329" s="5"/>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6"/>
      <c r="CQ329" s="7"/>
      <c r="CR329" s="6"/>
      <c r="CS329" s="7"/>
      <c r="CT329" s="6"/>
      <c r="CU329" s="7"/>
      <c r="CV329" s="8">
        <f t="shared" si="46"/>
        <v>0</v>
      </c>
      <c r="CW329" s="9"/>
      <c r="CX329" s="10"/>
      <c r="CY329" s="11"/>
      <c r="CZ329" s="12"/>
      <c r="DA329" s="29"/>
      <c r="DB329" s="12"/>
      <c r="DC329" s="9">
        <v>150</v>
      </c>
      <c r="DD329" s="10">
        <f>150*34568+300*556.8</f>
        <v>5352240</v>
      </c>
      <c r="DE329" s="71"/>
      <c r="EO329" s="353" t="str">
        <f t="shared" si="41"/>
        <v>TOLIMA_IBAGUE</v>
      </c>
      <c r="EP329" s="350"/>
      <c r="EQ329" s="350" t="s">
        <v>4092</v>
      </c>
      <c r="ER329" s="358" t="s">
        <v>6021</v>
      </c>
      <c r="ES329" s="350" t="s">
        <v>4970</v>
      </c>
      <c r="ET329" s="350" t="s">
        <v>6116</v>
      </c>
      <c r="EU329" s="350" t="str">
        <f t="shared" si="40"/>
        <v>Boyaca_Somondoco</v>
      </c>
    </row>
    <row r="330" spans="1:151" ht="45" x14ac:dyDescent="0.2">
      <c r="A330" s="242">
        <v>40272</v>
      </c>
      <c r="B330" s="107" t="s">
        <v>2791</v>
      </c>
      <c r="C330" s="107" t="s">
        <v>2668</v>
      </c>
      <c r="D330" s="427" t="s">
        <v>2209</v>
      </c>
      <c r="E330" s="107" t="str">
        <f>VLOOKUP(B330&amp;C330,Divipola!$C$2:$F$1138,4,FALSE)</f>
        <v>73483</v>
      </c>
      <c r="F330" s="330"/>
      <c r="G330" s="224"/>
      <c r="H330" s="75"/>
      <c r="I330" s="75"/>
      <c r="J330" s="75">
        <v>645</v>
      </c>
      <c r="K330" s="75">
        <f>112+27</f>
        <v>139</v>
      </c>
      <c r="L330" s="75"/>
      <c r="M330" s="75">
        <v>139</v>
      </c>
      <c r="N330" s="75"/>
      <c r="O330" s="75"/>
      <c r="P330" s="75"/>
      <c r="Q330" s="75"/>
      <c r="R330" s="75"/>
      <c r="S330" s="75"/>
      <c r="T330" s="75"/>
      <c r="U330" s="75"/>
      <c r="V330" s="76"/>
      <c r="W330" s="205"/>
      <c r="X330" s="1">
        <v>40295</v>
      </c>
      <c r="Y330" s="78">
        <f t="shared" si="42"/>
        <v>9119917.1999999993</v>
      </c>
      <c r="Z330" s="78">
        <f t="shared" si="43"/>
        <v>2550000</v>
      </c>
      <c r="AA330" s="78">
        <f t="shared" si="44"/>
        <v>5992560</v>
      </c>
      <c r="AB330" s="78">
        <f t="shared" si="45"/>
        <v>0</v>
      </c>
      <c r="AC330" s="78"/>
      <c r="AD330" s="78">
        <v>0</v>
      </c>
      <c r="AE330" s="80">
        <f t="shared" si="47"/>
        <v>17662477.199999999</v>
      </c>
      <c r="AF330" s="82">
        <v>0</v>
      </c>
      <c r="AG330" s="69">
        <v>40284</v>
      </c>
      <c r="AH330" s="84">
        <v>96689</v>
      </c>
      <c r="AI330" s="69" t="s">
        <v>2009</v>
      </c>
      <c r="AJ330" s="25" t="s">
        <v>2010</v>
      </c>
      <c r="AK330" s="88" t="s">
        <v>3114</v>
      </c>
      <c r="AL330" s="185" t="s">
        <v>1276</v>
      </c>
      <c r="AM330" s="85" t="s">
        <v>2669</v>
      </c>
      <c r="AN330" s="3"/>
      <c r="AO330" s="4"/>
      <c r="AP330" s="5"/>
      <c r="AQ330" s="4"/>
      <c r="AR330" s="4"/>
      <c r="AS330" s="4"/>
      <c r="AT330" s="4"/>
      <c r="AU330" s="4"/>
      <c r="AV330" s="4"/>
      <c r="AW330" s="4"/>
      <c r="AX330" s="4"/>
      <c r="AY330" s="4"/>
      <c r="AZ330" s="4"/>
      <c r="BA330" s="4"/>
      <c r="BB330" s="4">
        <v>90</v>
      </c>
      <c r="BC330" s="4">
        <f>90*56000</f>
        <v>5040000</v>
      </c>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v>90</v>
      </c>
      <c r="CK330" s="4">
        <f>90*20999.48</f>
        <v>1889953.2</v>
      </c>
      <c r="CL330" s="4"/>
      <c r="CM330" s="4"/>
      <c r="CN330" s="4"/>
      <c r="CO330" s="4"/>
      <c r="CP330" s="6">
        <v>30</v>
      </c>
      <c r="CQ330" s="7">
        <f>30*36999.36</f>
        <v>1109980.8</v>
      </c>
      <c r="CR330" s="6">
        <v>30</v>
      </c>
      <c r="CS330" s="7">
        <f>30*35999.44</f>
        <v>1079983.2000000002</v>
      </c>
      <c r="CT330" s="6"/>
      <c r="CU330" s="7"/>
      <c r="CV330" s="8">
        <f t="shared" si="46"/>
        <v>9119917.1999999993</v>
      </c>
      <c r="CW330" s="9"/>
      <c r="CX330" s="10"/>
      <c r="CY330" s="11">
        <v>30</v>
      </c>
      <c r="CZ330" s="12">
        <f>30*85000</f>
        <v>2550000</v>
      </c>
      <c r="DA330" s="29"/>
      <c r="DB330" s="12"/>
      <c r="DC330" s="9">
        <v>300</v>
      </c>
      <c r="DD330" s="10">
        <f>300*19140+1200*208.8</f>
        <v>5992560</v>
      </c>
      <c r="DE330" s="89"/>
      <c r="EO330" s="353" t="str">
        <f t="shared" si="41"/>
        <v>TOLIMA_NATAGAIMA</v>
      </c>
      <c r="EP330" s="350"/>
      <c r="EQ330" s="350" t="s">
        <v>4092</v>
      </c>
      <c r="ER330" s="358" t="s">
        <v>6021</v>
      </c>
      <c r="ES330" s="350" t="s">
        <v>4971</v>
      </c>
      <c r="ET330" s="350" t="s">
        <v>6117</v>
      </c>
      <c r="EU330" s="350" t="str">
        <f t="shared" si="40"/>
        <v>Boyaca_Sora</v>
      </c>
    </row>
    <row r="331" spans="1:151" ht="51" x14ac:dyDescent="0.2">
      <c r="A331" s="242">
        <v>40272</v>
      </c>
      <c r="B331" s="107" t="s">
        <v>1462</v>
      </c>
      <c r="C331" s="107" t="s">
        <v>2041</v>
      </c>
      <c r="D331" s="427" t="s">
        <v>2209</v>
      </c>
      <c r="E331" s="107" t="str">
        <f>VLOOKUP(B331&amp;C331,Divipola!$C$2:$F$1138,4,FALSE)</f>
        <v>76563</v>
      </c>
      <c r="F331" s="330"/>
      <c r="G331" s="224"/>
      <c r="H331" s="75"/>
      <c r="I331" s="75"/>
      <c r="J331" s="75">
        <v>7</v>
      </c>
      <c r="K331" s="75">
        <v>1</v>
      </c>
      <c r="L331" s="75"/>
      <c r="M331" s="75">
        <v>1</v>
      </c>
      <c r="N331" s="75"/>
      <c r="O331" s="75"/>
      <c r="P331" s="75"/>
      <c r="Q331" s="75"/>
      <c r="R331" s="75"/>
      <c r="S331" s="75"/>
      <c r="T331" s="75"/>
      <c r="U331" s="75"/>
      <c r="V331" s="76"/>
      <c r="W331" s="205"/>
      <c r="X331" s="1"/>
      <c r="Y331" s="78">
        <f t="shared" si="42"/>
        <v>0</v>
      </c>
      <c r="Z331" s="78">
        <f t="shared" si="43"/>
        <v>0</v>
      </c>
      <c r="AA331" s="78">
        <f t="shared" si="44"/>
        <v>0</v>
      </c>
      <c r="AB331" s="78">
        <f t="shared" si="45"/>
        <v>0</v>
      </c>
      <c r="AC331" s="78"/>
      <c r="AD331" s="78">
        <v>0</v>
      </c>
      <c r="AE331" s="80">
        <f t="shared" si="47"/>
        <v>0</v>
      </c>
      <c r="AF331" s="82">
        <v>0</v>
      </c>
      <c r="AG331" s="69">
        <v>40283</v>
      </c>
      <c r="AH331" s="84"/>
      <c r="AI331" s="69" t="s">
        <v>1984</v>
      </c>
      <c r="AJ331" s="25" t="s">
        <v>1985</v>
      </c>
      <c r="AK331" s="65"/>
      <c r="AL331" s="185" t="s">
        <v>1257</v>
      </c>
      <c r="AM331" s="85" t="s">
        <v>2042</v>
      </c>
      <c r="AN331" s="3"/>
      <c r="AO331" s="4"/>
      <c r="AP331" s="5"/>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6"/>
      <c r="CQ331" s="7"/>
      <c r="CR331" s="6"/>
      <c r="CS331" s="7"/>
      <c r="CT331" s="6"/>
      <c r="CU331" s="7"/>
      <c r="CV331" s="8">
        <f t="shared" si="46"/>
        <v>0</v>
      </c>
      <c r="CW331" s="9"/>
      <c r="CX331" s="10"/>
      <c r="CY331" s="11"/>
      <c r="CZ331" s="12"/>
      <c r="DA331" s="29"/>
      <c r="DB331" s="12"/>
      <c r="DC331" s="9"/>
      <c r="DD331" s="10"/>
      <c r="DE331" s="71"/>
      <c r="EO331" s="361" t="str">
        <f t="shared" si="41"/>
        <v>VALLE DEL CAUCA_PRADERA</v>
      </c>
      <c r="EP331" s="362"/>
      <c r="EQ331" s="350" t="s">
        <v>4092</v>
      </c>
      <c r="ER331" s="358" t="s">
        <v>6021</v>
      </c>
      <c r="ES331" s="350" t="s">
        <v>4972</v>
      </c>
      <c r="ET331" s="350" t="s">
        <v>6118</v>
      </c>
      <c r="EU331" s="350" t="str">
        <f t="shared" si="40"/>
        <v>Boyaca_Sotaquira</v>
      </c>
    </row>
    <row r="332" spans="1:151" ht="38.25" x14ac:dyDescent="0.2">
      <c r="A332" s="246">
        <v>40273</v>
      </c>
      <c r="B332" s="238" t="s">
        <v>2401</v>
      </c>
      <c r="C332" s="238" t="s">
        <v>2681</v>
      </c>
      <c r="D332" s="431" t="s">
        <v>837</v>
      </c>
      <c r="E332" s="107" t="str">
        <f>VLOOKUP(B332&amp;C332,Divipola!$C$2:$F$1138,4,FALSE)</f>
        <v>05051</v>
      </c>
      <c r="F332" s="334"/>
      <c r="G332" s="224"/>
      <c r="H332" s="75"/>
      <c r="I332" s="75"/>
      <c r="J332" s="75">
        <v>120</v>
      </c>
      <c r="K332" s="75">
        <v>24</v>
      </c>
      <c r="L332" s="75"/>
      <c r="M332" s="75">
        <v>24</v>
      </c>
      <c r="N332" s="75"/>
      <c r="O332" s="75"/>
      <c r="P332" s="75"/>
      <c r="Q332" s="75"/>
      <c r="R332" s="75"/>
      <c r="S332" s="75"/>
      <c r="T332" s="75"/>
      <c r="U332" s="75"/>
      <c r="V332" s="76"/>
      <c r="W332" s="205"/>
      <c r="X332" s="1"/>
      <c r="Y332" s="78">
        <f t="shared" si="42"/>
        <v>0</v>
      </c>
      <c r="Z332" s="78">
        <f t="shared" si="43"/>
        <v>0</v>
      </c>
      <c r="AA332" s="78">
        <f t="shared" si="44"/>
        <v>0</v>
      </c>
      <c r="AB332" s="78">
        <f t="shared" si="45"/>
        <v>0</v>
      </c>
      <c r="AC332" s="78"/>
      <c r="AD332" s="78">
        <v>0</v>
      </c>
      <c r="AE332" s="80">
        <f t="shared" si="47"/>
        <v>0</v>
      </c>
      <c r="AF332" s="82">
        <v>0</v>
      </c>
      <c r="AG332" s="69">
        <v>40281</v>
      </c>
      <c r="AH332" s="84"/>
      <c r="AI332" s="69" t="s">
        <v>1984</v>
      </c>
      <c r="AJ332" s="25" t="s">
        <v>1985</v>
      </c>
      <c r="AK332" s="65"/>
      <c r="AL332" s="185" t="s">
        <v>1257</v>
      </c>
      <c r="AM332" s="85" t="s">
        <v>1792</v>
      </c>
      <c r="AN332" s="3"/>
      <c r="AO332" s="4"/>
      <c r="AP332" s="5"/>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6"/>
      <c r="CQ332" s="7"/>
      <c r="CR332" s="6"/>
      <c r="CS332" s="7"/>
      <c r="CT332" s="6"/>
      <c r="CU332" s="7"/>
      <c r="CV332" s="8">
        <f t="shared" si="46"/>
        <v>0</v>
      </c>
      <c r="CW332" s="9"/>
      <c r="CX332" s="10"/>
      <c r="CY332" s="11"/>
      <c r="CZ332" s="12"/>
      <c r="DA332" s="29"/>
      <c r="DB332" s="12"/>
      <c r="DC332" s="9"/>
      <c r="DD332" s="10"/>
      <c r="DE332" s="71"/>
      <c r="EO332" s="361" t="str">
        <f t="shared" si="41"/>
        <v>ANTIOQUIA_ARBOLETES</v>
      </c>
      <c r="EP332" s="362"/>
      <c r="EQ332" s="350" t="s">
        <v>4092</v>
      </c>
      <c r="ER332" s="358" t="s">
        <v>6021</v>
      </c>
      <c r="ES332" s="350" t="s">
        <v>4973</v>
      </c>
      <c r="ET332" s="350" t="s">
        <v>6119</v>
      </c>
      <c r="EU332" s="350" t="str">
        <f t="shared" si="40"/>
        <v>Boyaca_Soraca</v>
      </c>
    </row>
    <row r="333" spans="1:151" ht="25.5" x14ac:dyDescent="0.2">
      <c r="A333" s="242">
        <v>40273</v>
      </c>
      <c r="B333" s="222" t="s">
        <v>828</v>
      </c>
      <c r="C333" s="222" t="s">
        <v>401</v>
      </c>
      <c r="D333" s="430" t="s">
        <v>2307</v>
      </c>
      <c r="E333" s="107" t="str">
        <f>VLOOKUP(B333&amp;C333,Divipola!$C$2:$F$1138,4,FALSE)</f>
        <v>15879</v>
      </c>
      <c r="F333" s="333"/>
      <c r="G333" s="221"/>
      <c r="H333" s="157"/>
      <c r="I333" s="157"/>
      <c r="J333" s="157">
        <v>5</v>
      </c>
      <c r="K333" s="157">
        <v>1</v>
      </c>
      <c r="L333" s="157">
        <v>1</v>
      </c>
      <c r="M333" s="157"/>
      <c r="N333" s="157"/>
      <c r="O333" s="157"/>
      <c r="P333" s="157"/>
      <c r="Q333" s="157"/>
      <c r="R333" s="157"/>
      <c r="S333" s="157"/>
      <c r="T333" s="157"/>
      <c r="U333" s="157"/>
      <c r="V333" s="158"/>
      <c r="W333" s="182"/>
      <c r="X333" s="1"/>
      <c r="Y333" s="78">
        <f t="shared" si="42"/>
        <v>0</v>
      </c>
      <c r="Z333" s="78">
        <f t="shared" si="43"/>
        <v>0</v>
      </c>
      <c r="AA333" s="78">
        <f t="shared" si="44"/>
        <v>0</v>
      </c>
      <c r="AB333" s="78">
        <f t="shared" si="45"/>
        <v>0</v>
      </c>
      <c r="AC333" s="78"/>
      <c r="AD333" s="78">
        <v>0</v>
      </c>
      <c r="AE333" s="80">
        <f t="shared" si="47"/>
        <v>0</v>
      </c>
      <c r="AF333" s="82">
        <v>0</v>
      </c>
      <c r="AG333" s="69">
        <v>40589</v>
      </c>
      <c r="AH333" s="84"/>
      <c r="AI333" s="69" t="s">
        <v>1984</v>
      </c>
      <c r="AJ333" s="25" t="s">
        <v>1985</v>
      </c>
      <c r="AK333" s="65"/>
      <c r="AL333" s="176" t="s">
        <v>1257</v>
      </c>
      <c r="AM333" s="173" t="s">
        <v>391</v>
      </c>
      <c r="AN333" s="159"/>
      <c r="AO333" s="160"/>
      <c r="AP333" s="161"/>
      <c r="AQ333" s="160"/>
      <c r="AR333" s="160"/>
      <c r="AS333" s="160"/>
      <c r="AT333" s="160"/>
      <c r="AU333" s="160"/>
      <c r="AV333" s="160"/>
      <c r="AW333" s="160"/>
      <c r="AX333" s="160"/>
      <c r="AY333" s="160"/>
      <c r="AZ333" s="160"/>
      <c r="BA333" s="160"/>
      <c r="BB333" s="160"/>
      <c r="BC333" s="160"/>
      <c r="BD333" s="160"/>
      <c r="BE333" s="160"/>
      <c r="BF333" s="160"/>
      <c r="BG333" s="160"/>
      <c r="BH333" s="160"/>
      <c r="BI333" s="160"/>
      <c r="BJ333" s="160"/>
      <c r="BK333" s="160"/>
      <c r="BL333" s="160"/>
      <c r="BM333" s="160"/>
      <c r="BN333" s="160"/>
      <c r="BO333" s="160"/>
      <c r="BP333" s="160"/>
      <c r="BQ333" s="160"/>
      <c r="BR333" s="160"/>
      <c r="BS333" s="160"/>
      <c r="BT333" s="160"/>
      <c r="BU333" s="160"/>
      <c r="BV333" s="160"/>
      <c r="BW333" s="160"/>
      <c r="BX333" s="160"/>
      <c r="BY333" s="160"/>
      <c r="BZ333" s="160"/>
      <c r="CA333" s="160"/>
      <c r="CB333" s="160"/>
      <c r="CC333" s="160"/>
      <c r="CD333" s="160"/>
      <c r="CE333" s="160"/>
      <c r="CF333" s="160"/>
      <c r="CG333" s="160"/>
      <c r="CH333" s="160"/>
      <c r="CI333" s="160"/>
      <c r="CJ333" s="160"/>
      <c r="CK333" s="160"/>
      <c r="CL333" s="160"/>
      <c r="CM333" s="160"/>
      <c r="CN333" s="160"/>
      <c r="CO333" s="160"/>
      <c r="CP333" s="162"/>
      <c r="CQ333" s="163"/>
      <c r="CR333" s="162"/>
      <c r="CS333" s="163"/>
      <c r="CT333" s="162"/>
      <c r="CU333" s="163"/>
      <c r="CV333" s="164">
        <f t="shared" si="46"/>
        <v>0</v>
      </c>
      <c r="CW333" s="165"/>
      <c r="CX333" s="166"/>
      <c r="CY333" s="167"/>
      <c r="CZ333" s="168"/>
      <c r="DA333" s="169"/>
      <c r="DB333" s="168"/>
      <c r="DC333" s="165"/>
      <c r="DD333" s="166"/>
      <c r="DE333" s="71"/>
      <c r="DF333" s="170"/>
      <c r="EO333" s="361" t="str">
        <f t="shared" si="41"/>
        <v>BOYACA_VIRACACHA</v>
      </c>
      <c r="EP333" s="362"/>
      <c r="EQ333" s="350" t="s">
        <v>4092</v>
      </c>
      <c r="ER333" s="358" t="s">
        <v>6021</v>
      </c>
      <c r="ES333" s="350" t="s">
        <v>4974</v>
      </c>
      <c r="ET333" s="350" t="s">
        <v>6120</v>
      </c>
      <c r="EU333" s="350" t="str">
        <f t="shared" si="40"/>
        <v>Boyaca_Susacon</v>
      </c>
    </row>
    <row r="334" spans="1:151" ht="25.5" x14ac:dyDescent="0.2">
      <c r="A334" s="242">
        <v>40273</v>
      </c>
      <c r="B334" s="107" t="s">
        <v>1719</v>
      </c>
      <c r="C334" s="107" t="s">
        <v>282</v>
      </c>
      <c r="D334" s="427" t="s">
        <v>2352</v>
      </c>
      <c r="E334" s="107" t="str">
        <f>VLOOKUP(B334&amp;C334,Divipola!$C$2:$F$1138,4,FALSE)</f>
        <v>19137</v>
      </c>
      <c r="F334" s="330"/>
      <c r="G334" s="224"/>
      <c r="H334" s="75">
        <v>3</v>
      </c>
      <c r="I334" s="75"/>
      <c r="J334" s="75"/>
      <c r="K334" s="75"/>
      <c r="L334" s="75"/>
      <c r="M334" s="75"/>
      <c r="N334" s="75"/>
      <c r="O334" s="75"/>
      <c r="P334" s="75"/>
      <c r="Q334" s="75"/>
      <c r="R334" s="75"/>
      <c r="S334" s="75"/>
      <c r="T334" s="75"/>
      <c r="U334" s="75"/>
      <c r="V334" s="76"/>
      <c r="W334" s="205"/>
      <c r="X334" s="1"/>
      <c r="Y334" s="78">
        <f t="shared" si="42"/>
        <v>0</v>
      </c>
      <c r="Z334" s="78">
        <f t="shared" si="43"/>
        <v>0</v>
      </c>
      <c r="AA334" s="78">
        <f t="shared" si="44"/>
        <v>0</v>
      </c>
      <c r="AB334" s="78">
        <f t="shared" si="45"/>
        <v>0</v>
      </c>
      <c r="AC334" s="78"/>
      <c r="AD334" s="78">
        <v>0</v>
      </c>
      <c r="AE334" s="80">
        <f t="shared" si="47"/>
        <v>0</v>
      </c>
      <c r="AF334" s="82">
        <v>0</v>
      </c>
      <c r="AG334" s="69">
        <v>40275</v>
      </c>
      <c r="AH334" s="84"/>
      <c r="AI334" s="69" t="s">
        <v>1984</v>
      </c>
      <c r="AJ334" s="25" t="s">
        <v>1985</v>
      </c>
      <c r="AK334" s="65"/>
      <c r="AL334" s="185" t="s">
        <v>1257</v>
      </c>
      <c r="AM334" s="85" t="s">
        <v>2353</v>
      </c>
      <c r="AN334" s="3"/>
      <c r="AO334" s="4"/>
      <c r="AP334" s="5"/>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6"/>
      <c r="CQ334" s="7"/>
      <c r="CR334" s="6"/>
      <c r="CS334" s="7"/>
      <c r="CT334" s="6"/>
      <c r="CU334" s="7"/>
      <c r="CV334" s="8">
        <f t="shared" si="46"/>
        <v>0</v>
      </c>
      <c r="CW334" s="9"/>
      <c r="CX334" s="10"/>
      <c r="CY334" s="11"/>
      <c r="CZ334" s="12"/>
      <c r="DA334" s="29"/>
      <c r="DB334" s="12"/>
      <c r="DC334" s="9"/>
      <c r="DD334" s="10"/>
      <c r="DE334" s="71"/>
      <c r="EO334" s="361" t="str">
        <f t="shared" si="41"/>
        <v>CAUCA_CALDONO</v>
      </c>
      <c r="EP334" s="362"/>
      <c r="EQ334" s="350" t="s">
        <v>4092</v>
      </c>
      <c r="ER334" s="358" t="s">
        <v>6021</v>
      </c>
      <c r="ES334" s="350" t="s">
        <v>4975</v>
      </c>
      <c r="ET334" s="350" t="s">
        <v>6121</v>
      </c>
      <c r="EU334" s="350" t="str">
        <f t="shared" si="40"/>
        <v>Boyaca_Sutamarchan</v>
      </c>
    </row>
    <row r="335" spans="1:151" ht="48" x14ac:dyDescent="0.2">
      <c r="A335" s="242">
        <v>40273</v>
      </c>
      <c r="B335" s="107" t="s">
        <v>1719</v>
      </c>
      <c r="C335" s="107" t="s">
        <v>2002</v>
      </c>
      <c r="D335" s="427" t="s">
        <v>837</v>
      </c>
      <c r="E335" s="107" t="str">
        <f>VLOOKUP(B335&amp;C335,Divipola!$C$2:$F$1138,4,FALSE)</f>
        <v>19517</v>
      </c>
      <c r="F335" s="330"/>
      <c r="G335" s="224"/>
      <c r="H335" s="75"/>
      <c r="I335" s="75"/>
      <c r="J335" s="75">
        <f>40*5</f>
        <v>200</v>
      </c>
      <c r="K335" s="75">
        <v>40</v>
      </c>
      <c r="L335" s="75"/>
      <c r="M335" s="75">
        <v>40</v>
      </c>
      <c r="N335" s="75"/>
      <c r="O335" s="75"/>
      <c r="P335" s="75"/>
      <c r="Q335" s="75">
        <v>1</v>
      </c>
      <c r="R335" s="75"/>
      <c r="S335" s="75"/>
      <c r="T335" s="75">
        <v>1</v>
      </c>
      <c r="U335" s="75"/>
      <c r="V335" s="76"/>
      <c r="W335" s="205"/>
      <c r="X335" s="1">
        <v>40310</v>
      </c>
      <c r="Y335" s="78">
        <f t="shared" si="42"/>
        <v>12280000</v>
      </c>
      <c r="Z335" s="78">
        <f t="shared" si="43"/>
        <v>3400000</v>
      </c>
      <c r="AA335" s="78">
        <f t="shared" si="44"/>
        <v>0</v>
      </c>
      <c r="AB335" s="78">
        <f t="shared" si="45"/>
        <v>0</v>
      </c>
      <c r="AC335" s="78"/>
      <c r="AD335" s="78">
        <v>0</v>
      </c>
      <c r="AE335" s="80">
        <f t="shared" si="47"/>
        <v>15680000</v>
      </c>
      <c r="AF335" s="82">
        <v>0</v>
      </c>
      <c r="AG335" s="69">
        <v>40290</v>
      </c>
      <c r="AH335" s="84">
        <v>96845</v>
      </c>
      <c r="AI335" s="69" t="s">
        <v>2009</v>
      </c>
      <c r="AJ335" s="25" t="s">
        <v>2010</v>
      </c>
      <c r="AK335" s="65">
        <v>115</v>
      </c>
      <c r="AL335" s="185" t="s">
        <v>2182</v>
      </c>
      <c r="AM335" s="85" t="s">
        <v>1293</v>
      </c>
      <c r="AN335" s="3"/>
      <c r="AO335" s="4"/>
      <c r="AP335" s="5"/>
      <c r="AQ335" s="4"/>
      <c r="AR335" s="4"/>
      <c r="AS335" s="4"/>
      <c r="AT335" s="4"/>
      <c r="AU335" s="4"/>
      <c r="AV335" s="4"/>
      <c r="AW335" s="4"/>
      <c r="AX335" s="4"/>
      <c r="AY335" s="4"/>
      <c r="AZ335" s="4"/>
      <c r="BA335" s="4"/>
      <c r="BB335" s="4">
        <v>120</v>
      </c>
      <c r="BC335" s="4">
        <f>120*56000</f>
        <v>6720000</v>
      </c>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v>120</v>
      </c>
      <c r="CK335" s="4">
        <f>120*21500</f>
        <v>2580000</v>
      </c>
      <c r="CL335" s="4"/>
      <c r="CM335" s="4"/>
      <c r="CN335" s="4"/>
      <c r="CO335" s="4"/>
      <c r="CP335" s="6">
        <v>40</v>
      </c>
      <c r="CQ335" s="7">
        <f>40*38500</f>
        <v>1540000</v>
      </c>
      <c r="CR335" s="6">
        <v>40</v>
      </c>
      <c r="CS335" s="7">
        <f>40*36000</f>
        <v>1440000</v>
      </c>
      <c r="CT335" s="6"/>
      <c r="CU335" s="7"/>
      <c r="CV335" s="8">
        <f t="shared" si="46"/>
        <v>12280000</v>
      </c>
      <c r="CW335" s="9"/>
      <c r="CX335" s="10"/>
      <c r="CY335" s="11">
        <v>40</v>
      </c>
      <c r="CZ335" s="12">
        <f>40*85000</f>
        <v>3400000</v>
      </c>
      <c r="DA335" s="29"/>
      <c r="DB335" s="12"/>
      <c r="DC335" s="9"/>
      <c r="DD335" s="10"/>
      <c r="DE335" s="71"/>
      <c r="EO335" s="361" t="str">
        <f t="shared" si="41"/>
        <v>CAUCA_PAEZ</v>
      </c>
      <c r="EP335" s="362"/>
      <c r="EQ335" s="362" t="s">
        <v>4092</v>
      </c>
      <c r="ER335" s="358" t="s">
        <v>6021</v>
      </c>
      <c r="ES335" s="362" t="s">
        <v>4976</v>
      </c>
      <c r="ET335" s="362" t="s">
        <v>6122</v>
      </c>
      <c r="EU335" s="362" t="str">
        <f t="shared" si="40"/>
        <v>Boyaca_Sutatenza</v>
      </c>
    </row>
    <row r="336" spans="1:151" ht="72" x14ac:dyDescent="0.2">
      <c r="A336" s="242">
        <v>40273</v>
      </c>
      <c r="B336" s="107" t="s">
        <v>2425</v>
      </c>
      <c r="C336" s="107" t="s">
        <v>4416</v>
      </c>
      <c r="D336" s="427" t="s">
        <v>837</v>
      </c>
      <c r="E336" s="107" t="str">
        <f>VLOOKUP(B336&amp;C336,Divipola!$C$2:$F$1138,4,FALSE)</f>
        <v>27250</v>
      </c>
      <c r="F336" s="330"/>
      <c r="G336" s="224"/>
      <c r="H336" s="75"/>
      <c r="I336" s="75"/>
      <c r="J336" s="75"/>
      <c r="K336" s="75"/>
      <c r="L336" s="75"/>
      <c r="M336" s="75"/>
      <c r="N336" s="75"/>
      <c r="O336" s="75"/>
      <c r="P336" s="75"/>
      <c r="Q336" s="75"/>
      <c r="R336" s="75"/>
      <c r="S336" s="75"/>
      <c r="T336" s="75"/>
      <c r="U336" s="75"/>
      <c r="V336" s="76"/>
      <c r="W336" s="205"/>
      <c r="X336" s="1">
        <v>40284</v>
      </c>
      <c r="Y336" s="78">
        <f t="shared" si="42"/>
        <v>0</v>
      </c>
      <c r="Z336" s="78">
        <f t="shared" si="43"/>
        <v>0</v>
      </c>
      <c r="AA336" s="78">
        <f t="shared" si="44"/>
        <v>0</v>
      </c>
      <c r="AB336" s="78">
        <f t="shared" si="45"/>
        <v>0</v>
      </c>
      <c r="AC336" s="78"/>
      <c r="AD336" s="78">
        <v>72000000</v>
      </c>
      <c r="AE336" s="80">
        <f t="shared" si="47"/>
        <v>72000000</v>
      </c>
      <c r="AF336" s="82">
        <v>0</v>
      </c>
      <c r="AG336" s="69">
        <v>40280</v>
      </c>
      <c r="AH336" s="84">
        <v>96561</v>
      </c>
      <c r="AI336" s="69" t="s">
        <v>2009</v>
      </c>
      <c r="AJ336" s="25" t="s">
        <v>2010</v>
      </c>
      <c r="AK336" s="65"/>
      <c r="AL336" s="185" t="s">
        <v>1729</v>
      </c>
      <c r="AM336" s="97" t="s">
        <v>2684</v>
      </c>
      <c r="AN336" s="3"/>
      <c r="AO336" s="4"/>
      <c r="AP336" s="5"/>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6"/>
      <c r="CQ336" s="7"/>
      <c r="CR336" s="6"/>
      <c r="CS336" s="7"/>
      <c r="CT336" s="6"/>
      <c r="CU336" s="7"/>
      <c r="CV336" s="8">
        <f t="shared" si="46"/>
        <v>0</v>
      </c>
      <c r="CW336" s="9"/>
      <c r="CX336" s="10"/>
      <c r="CY336" s="11"/>
      <c r="CZ336" s="12"/>
      <c r="DA336" s="29"/>
      <c r="DB336" s="12"/>
      <c r="DC336" s="9"/>
      <c r="DD336" s="10"/>
      <c r="DE336" s="71">
        <v>2</v>
      </c>
      <c r="EO336" s="353" t="str">
        <f t="shared" si="41"/>
        <v>CHOCO_EL LITORAL DEL SAN JUAN</v>
      </c>
      <c r="EP336" s="350"/>
      <c r="EQ336" s="362" t="s">
        <v>4092</v>
      </c>
      <c r="ER336" s="358" t="s">
        <v>6021</v>
      </c>
      <c r="ES336" s="362" t="s">
        <v>4977</v>
      </c>
      <c r="ET336" s="362" t="s">
        <v>6123</v>
      </c>
      <c r="EU336" s="362" t="str">
        <f t="shared" si="40"/>
        <v>Boyaca_Tasco</v>
      </c>
    </row>
    <row r="337" spans="1:151" ht="38.25" x14ac:dyDescent="0.2">
      <c r="A337" s="242">
        <v>40273</v>
      </c>
      <c r="B337" s="107" t="s">
        <v>5778</v>
      </c>
      <c r="C337" s="107" t="s">
        <v>1332</v>
      </c>
      <c r="D337" s="427" t="s">
        <v>2209</v>
      </c>
      <c r="E337" s="107" t="str">
        <f>VLOOKUP(B337&amp;C337,Divipola!$C$2:$F$1138,4,FALSE)</f>
        <v>44847</v>
      </c>
      <c r="F337" s="330"/>
      <c r="G337" s="224"/>
      <c r="H337" s="75"/>
      <c r="I337" s="75"/>
      <c r="J337" s="75">
        <f>200*5</f>
        <v>1000</v>
      </c>
      <c r="K337" s="75">
        <v>200</v>
      </c>
      <c r="L337" s="75"/>
      <c r="M337" s="75">
        <v>200</v>
      </c>
      <c r="N337" s="75"/>
      <c r="O337" s="75"/>
      <c r="P337" s="75"/>
      <c r="Q337" s="75"/>
      <c r="R337" s="75"/>
      <c r="S337" s="75"/>
      <c r="T337" s="75"/>
      <c r="U337" s="75"/>
      <c r="V337" s="76"/>
      <c r="W337" s="205"/>
      <c r="X337" s="1">
        <v>40358</v>
      </c>
      <c r="Y337" s="78">
        <f t="shared" si="42"/>
        <v>0</v>
      </c>
      <c r="Z337" s="78">
        <f t="shared" si="43"/>
        <v>0</v>
      </c>
      <c r="AA337" s="78">
        <f t="shared" si="44"/>
        <v>41760000</v>
      </c>
      <c r="AB337" s="78">
        <f t="shared" si="45"/>
        <v>0</v>
      </c>
      <c r="AC337" s="78"/>
      <c r="AD337" s="78">
        <v>0</v>
      </c>
      <c r="AE337" s="80">
        <f t="shared" si="47"/>
        <v>41760000</v>
      </c>
      <c r="AF337" s="82">
        <v>0</v>
      </c>
      <c r="AG337" s="69">
        <v>40303</v>
      </c>
      <c r="AH337" s="84">
        <v>97252</v>
      </c>
      <c r="AI337" s="69" t="s">
        <v>2009</v>
      </c>
      <c r="AJ337" s="25" t="s">
        <v>2010</v>
      </c>
      <c r="AK337" s="65">
        <v>183</v>
      </c>
      <c r="AL337" s="185" t="s">
        <v>2106</v>
      </c>
      <c r="AM337" s="85" t="s">
        <v>2421</v>
      </c>
      <c r="AN337" s="3"/>
      <c r="AO337" s="4"/>
      <c r="AP337" s="5"/>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6"/>
      <c r="CQ337" s="7"/>
      <c r="CR337" s="6"/>
      <c r="CS337" s="7"/>
      <c r="CT337" s="6"/>
      <c r="CU337" s="7"/>
      <c r="CV337" s="8">
        <f t="shared" si="46"/>
        <v>0</v>
      </c>
      <c r="CW337" s="9"/>
      <c r="CX337" s="10"/>
      <c r="CY337" s="11"/>
      <c r="CZ337" s="12"/>
      <c r="DA337" s="29"/>
      <c r="DB337" s="12"/>
      <c r="DC337" s="9">
        <v>2000</v>
      </c>
      <c r="DD337" s="10">
        <f>2000*18792+8000*522</f>
        <v>41760000</v>
      </c>
      <c r="DE337" s="71"/>
      <c r="EO337" s="353" t="str">
        <f t="shared" si="41"/>
        <v>LA GUAJIRA_URIBIA</v>
      </c>
      <c r="EP337" s="350"/>
      <c r="EQ337" s="362" t="s">
        <v>4092</v>
      </c>
      <c r="ER337" s="358" t="s">
        <v>6021</v>
      </c>
      <c r="ES337" s="362" t="s">
        <v>4978</v>
      </c>
      <c r="ET337" s="362" t="s">
        <v>6124</v>
      </c>
      <c r="EU337" s="362" t="str">
        <f t="shared" si="40"/>
        <v>Boyaca_Tenza</v>
      </c>
    </row>
    <row r="338" spans="1:151" ht="60" x14ac:dyDescent="0.2">
      <c r="A338" s="242">
        <v>40273</v>
      </c>
      <c r="B338" s="107" t="s">
        <v>2013</v>
      </c>
      <c r="C338" s="232" t="s">
        <v>2013</v>
      </c>
      <c r="D338" s="427" t="s">
        <v>2779</v>
      </c>
      <c r="E338" s="107" t="str">
        <f>VLOOKUP(B338&amp;C338,Divipola!$C$2:$F$1138,4,FALSE)</f>
        <v>00000</v>
      </c>
      <c r="F338" s="330"/>
      <c r="G338" s="224"/>
      <c r="H338" s="75"/>
      <c r="I338" s="75"/>
      <c r="J338" s="75"/>
      <c r="K338" s="75"/>
      <c r="L338" s="75"/>
      <c r="M338" s="75"/>
      <c r="N338" s="75"/>
      <c r="O338" s="75"/>
      <c r="P338" s="75"/>
      <c r="Q338" s="75"/>
      <c r="R338" s="75"/>
      <c r="S338" s="75"/>
      <c r="T338" s="75"/>
      <c r="U338" s="75"/>
      <c r="V338" s="76"/>
      <c r="W338" s="205"/>
      <c r="X338" s="1">
        <v>40274</v>
      </c>
      <c r="Y338" s="78">
        <f t="shared" si="42"/>
        <v>0</v>
      </c>
      <c r="Z338" s="78">
        <f t="shared" si="43"/>
        <v>0</v>
      </c>
      <c r="AA338" s="78">
        <f t="shared" si="44"/>
        <v>0</v>
      </c>
      <c r="AB338" s="78">
        <f t="shared" si="45"/>
        <v>0</v>
      </c>
      <c r="AC338" s="78">
        <f>2493670+1896600+57180+137400+93360+27000+180000+74448</f>
        <v>4959658</v>
      </c>
      <c r="AD338" s="78">
        <v>0</v>
      </c>
      <c r="AE338" s="80">
        <f t="shared" si="47"/>
        <v>4959658</v>
      </c>
      <c r="AF338" s="82">
        <v>0</v>
      </c>
      <c r="AG338" s="69">
        <v>40274</v>
      </c>
      <c r="AH338" s="84">
        <v>96367</v>
      </c>
      <c r="AI338" s="69" t="s">
        <v>2009</v>
      </c>
      <c r="AJ338" s="25" t="s">
        <v>2010</v>
      </c>
      <c r="AK338" s="65">
        <v>61</v>
      </c>
      <c r="AL338" s="185" t="s">
        <v>2011</v>
      </c>
      <c r="AM338" s="85" t="s">
        <v>3097</v>
      </c>
      <c r="AN338" s="3"/>
      <c r="AO338" s="4"/>
      <c r="AP338" s="5"/>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6"/>
      <c r="CQ338" s="7"/>
      <c r="CR338" s="6"/>
      <c r="CS338" s="7"/>
      <c r="CT338" s="6"/>
      <c r="CU338" s="7"/>
      <c r="CV338" s="8">
        <f t="shared" si="46"/>
        <v>0</v>
      </c>
      <c r="CW338" s="9"/>
      <c r="CX338" s="10"/>
      <c r="CY338" s="11"/>
      <c r="CZ338" s="12"/>
      <c r="DA338" s="29"/>
      <c r="DB338" s="12"/>
      <c r="DC338" s="9"/>
      <c r="DD338" s="10"/>
      <c r="DE338" s="71"/>
      <c r="EO338" s="353" t="str">
        <f t="shared" si="41"/>
        <v>NACION_NACION</v>
      </c>
      <c r="EP338" s="350"/>
      <c r="EQ338" s="362" t="s">
        <v>4092</v>
      </c>
      <c r="ER338" s="358" t="s">
        <v>6021</v>
      </c>
      <c r="ES338" s="362" t="s">
        <v>4979</v>
      </c>
      <c r="ET338" s="362" t="s">
        <v>6125</v>
      </c>
      <c r="EU338" s="362" t="str">
        <f t="shared" si="40"/>
        <v>Boyaca_Tibana</v>
      </c>
    </row>
    <row r="339" spans="1:151" ht="51" x14ac:dyDescent="0.2">
      <c r="A339" s="242">
        <v>40273</v>
      </c>
      <c r="B339" s="107" t="s">
        <v>1336</v>
      </c>
      <c r="C339" s="107" t="s">
        <v>2744</v>
      </c>
      <c r="D339" s="427" t="s">
        <v>837</v>
      </c>
      <c r="E339" s="107" t="str">
        <f>VLOOKUP(B339&amp;C339,Divipola!$C$2:$F$1138,4,FALSE)</f>
        <v>54673</v>
      </c>
      <c r="F339" s="330"/>
      <c r="G339" s="224"/>
      <c r="H339" s="75"/>
      <c r="I339" s="75"/>
      <c r="J339" s="75">
        <v>30</v>
      </c>
      <c r="K339" s="75">
        <v>6</v>
      </c>
      <c r="L339" s="75"/>
      <c r="M339" s="75">
        <v>6</v>
      </c>
      <c r="N339" s="75"/>
      <c r="O339" s="75"/>
      <c r="P339" s="75"/>
      <c r="Q339" s="75"/>
      <c r="R339" s="75"/>
      <c r="S339" s="75"/>
      <c r="T339" s="75"/>
      <c r="U339" s="75"/>
      <c r="V339" s="76"/>
      <c r="W339" s="205"/>
      <c r="X339" s="1"/>
      <c r="Y339" s="78">
        <f t="shared" si="42"/>
        <v>0</v>
      </c>
      <c r="Z339" s="78">
        <f t="shared" si="43"/>
        <v>0</v>
      </c>
      <c r="AA339" s="78">
        <f t="shared" si="44"/>
        <v>0</v>
      </c>
      <c r="AB339" s="78">
        <f t="shared" si="45"/>
        <v>0</v>
      </c>
      <c r="AC339" s="78"/>
      <c r="AD339" s="78">
        <v>0</v>
      </c>
      <c r="AE339" s="80">
        <f t="shared" si="47"/>
        <v>0</v>
      </c>
      <c r="AF339" s="82">
        <v>0</v>
      </c>
      <c r="AG339" s="69">
        <v>40283</v>
      </c>
      <c r="AH339" s="84"/>
      <c r="AI339" s="69" t="s">
        <v>1984</v>
      </c>
      <c r="AJ339" s="25" t="s">
        <v>1985</v>
      </c>
      <c r="AK339" s="65"/>
      <c r="AL339" s="185" t="s">
        <v>1257</v>
      </c>
      <c r="AM339" s="85" t="s">
        <v>2802</v>
      </c>
      <c r="AN339" s="3"/>
      <c r="AO339" s="4"/>
      <c r="AP339" s="5"/>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6"/>
      <c r="CQ339" s="7"/>
      <c r="CR339" s="6"/>
      <c r="CS339" s="7"/>
      <c r="CT339" s="6"/>
      <c r="CU339" s="7"/>
      <c r="CV339" s="8">
        <f t="shared" si="46"/>
        <v>0</v>
      </c>
      <c r="CW339" s="9"/>
      <c r="CX339" s="10"/>
      <c r="CY339" s="11"/>
      <c r="CZ339" s="12"/>
      <c r="DA339" s="29"/>
      <c r="DB339" s="12"/>
      <c r="DC339" s="9"/>
      <c r="DD339" s="10"/>
      <c r="DE339" s="71"/>
      <c r="EO339" s="353" t="str">
        <f t="shared" si="41"/>
        <v>NORTE DE SANTANDER_SAN CAYETANO</v>
      </c>
      <c r="EP339" s="350"/>
      <c r="EQ339" s="362" t="s">
        <v>4092</v>
      </c>
      <c r="ER339" s="358" t="s">
        <v>6021</v>
      </c>
      <c r="ES339" s="362" t="s">
        <v>4980</v>
      </c>
      <c r="ET339" s="362" t="s">
        <v>6126</v>
      </c>
      <c r="EU339" s="362" t="str">
        <f t="shared" si="40"/>
        <v>Boyaca_Tibasosa</v>
      </c>
    </row>
    <row r="340" spans="1:151" ht="48" x14ac:dyDescent="0.2">
      <c r="A340" s="242">
        <v>40273</v>
      </c>
      <c r="B340" s="107" t="s">
        <v>2372</v>
      </c>
      <c r="C340" s="107" t="s">
        <v>2396</v>
      </c>
      <c r="D340" s="427" t="s">
        <v>882</v>
      </c>
      <c r="E340" s="107" t="str">
        <f>VLOOKUP(B340&amp;C340,Divipola!$C$2:$F$1138,4,FALSE)</f>
        <v>70230</v>
      </c>
      <c r="F340" s="330"/>
      <c r="G340" s="224"/>
      <c r="H340" s="75"/>
      <c r="I340" s="75"/>
      <c r="J340" s="75"/>
      <c r="K340" s="75"/>
      <c r="L340" s="75"/>
      <c r="M340" s="75"/>
      <c r="N340" s="75"/>
      <c r="O340" s="75"/>
      <c r="P340" s="75"/>
      <c r="Q340" s="75"/>
      <c r="R340" s="75"/>
      <c r="S340" s="75"/>
      <c r="T340" s="75"/>
      <c r="U340" s="75"/>
      <c r="V340" s="76"/>
      <c r="W340" s="205"/>
      <c r="X340" s="1">
        <v>40345</v>
      </c>
      <c r="Y340" s="78">
        <f t="shared" si="42"/>
        <v>0</v>
      </c>
      <c r="Z340" s="78">
        <f t="shared" si="43"/>
        <v>0</v>
      </c>
      <c r="AA340" s="78">
        <f t="shared" si="44"/>
        <v>0</v>
      </c>
      <c r="AB340" s="78">
        <f t="shared" si="45"/>
        <v>0</v>
      </c>
      <c r="AC340" s="78"/>
      <c r="AD340" s="78">
        <v>268762597</v>
      </c>
      <c r="AE340" s="80">
        <f t="shared" si="47"/>
        <v>268762597</v>
      </c>
      <c r="AF340" s="82">
        <v>0</v>
      </c>
      <c r="AG340" s="69">
        <v>40290</v>
      </c>
      <c r="AH340" s="84">
        <v>98808</v>
      </c>
      <c r="AI340" s="69" t="s">
        <v>2009</v>
      </c>
      <c r="AJ340" s="25" t="s">
        <v>2010</v>
      </c>
      <c r="AK340" s="65">
        <v>308</v>
      </c>
      <c r="AL340" s="185" t="s">
        <v>218</v>
      </c>
      <c r="AM340" s="97" t="s">
        <v>219</v>
      </c>
      <c r="AN340" s="3"/>
      <c r="AO340" s="4"/>
      <c r="AP340" s="5"/>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6"/>
      <c r="CQ340" s="7"/>
      <c r="CR340" s="6"/>
      <c r="CS340" s="7"/>
      <c r="CT340" s="6"/>
      <c r="CU340" s="7"/>
      <c r="CV340" s="8">
        <f t="shared" si="46"/>
        <v>0</v>
      </c>
      <c r="CW340" s="9"/>
      <c r="CX340" s="10"/>
      <c r="CY340" s="11"/>
      <c r="CZ340" s="12"/>
      <c r="DA340" s="29"/>
      <c r="DB340" s="12"/>
      <c r="DC340" s="9"/>
      <c r="DD340" s="10"/>
      <c r="DE340" s="71">
        <v>4</v>
      </c>
      <c r="EO340" s="353" t="str">
        <f t="shared" si="41"/>
        <v>SUCRE_CHALAN</v>
      </c>
      <c r="EP340" s="350"/>
      <c r="EQ340" s="350" t="s">
        <v>4092</v>
      </c>
      <c r="ER340" s="358" t="s">
        <v>6021</v>
      </c>
      <c r="ES340" s="350" t="s">
        <v>4981</v>
      </c>
      <c r="ET340" s="350" t="s">
        <v>6127</v>
      </c>
      <c r="EU340" s="350" t="str">
        <f t="shared" si="40"/>
        <v>Boyaca_Tinjaca</v>
      </c>
    </row>
    <row r="341" spans="1:151" ht="45" x14ac:dyDescent="0.2">
      <c r="A341" s="242">
        <v>40273</v>
      </c>
      <c r="B341" s="107" t="s">
        <v>2372</v>
      </c>
      <c r="C341" s="107" t="s">
        <v>2395</v>
      </c>
      <c r="D341" s="427" t="s">
        <v>2209</v>
      </c>
      <c r="E341" s="107" t="str">
        <f>VLOOKUP(B341&amp;C341,Divipola!$C$2:$F$1138,4,FALSE)</f>
        <v>70235</v>
      </c>
      <c r="F341" s="330"/>
      <c r="G341" s="224"/>
      <c r="H341" s="75"/>
      <c r="I341" s="75"/>
      <c r="J341" s="75">
        <f>17*5</f>
        <v>85</v>
      </c>
      <c r="K341" s="75">
        <v>17</v>
      </c>
      <c r="L341" s="75"/>
      <c r="M341" s="75">
        <v>17</v>
      </c>
      <c r="N341" s="75"/>
      <c r="O341" s="75"/>
      <c r="P341" s="75"/>
      <c r="Q341" s="75"/>
      <c r="R341" s="75"/>
      <c r="S341" s="75"/>
      <c r="T341" s="75"/>
      <c r="U341" s="75"/>
      <c r="V341" s="76"/>
      <c r="W341" s="205"/>
      <c r="X341" s="1">
        <v>40368</v>
      </c>
      <c r="Y341" s="78">
        <f t="shared" si="42"/>
        <v>0</v>
      </c>
      <c r="Z341" s="78">
        <f t="shared" si="43"/>
        <v>0</v>
      </c>
      <c r="AA341" s="78">
        <f t="shared" si="44"/>
        <v>6022000</v>
      </c>
      <c r="AB341" s="78">
        <f t="shared" si="45"/>
        <v>0</v>
      </c>
      <c r="AC341" s="78"/>
      <c r="AD341" s="78">
        <v>0</v>
      </c>
      <c r="AE341" s="80">
        <f t="shared" si="47"/>
        <v>6022000</v>
      </c>
      <c r="AF341" s="82">
        <v>0</v>
      </c>
      <c r="AG341" s="69">
        <v>40330</v>
      </c>
      <c r="AH341" s="84">
        <v>97922</v>
      </c>
      <c r="AI341" s="69" t="s">
        <v>2009</v>
      </c>
      <c r="AJ341" s="25" t="s">
        <v>2010</v>
      </c>
      <c r="AK341" s="65">
        <v>194</v>
      </c>
      <c r="AL341" s="185" t="s">
        <v>2182</v>
      </c>
      <c r="AM341" s="85" t="s">
        <v>283</v>
      </c>
      <c r="AN341" s="3"/>
      <c r="AO341" s="4"/>
      <c r="AP341" s="5"/>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6"/>
      <c r="CQ341" s="7"/>
      <c r="CR341" s="6"/>
      <c r="CS341" s="7"/>
      <c r="CT341" s="6"/>
      <c r="CU341" s="7"/>
      <c r="CV341" s="8">
        <f t="shared" si="46"/>
        <v>0</v>
      </c>
      <c r="CW341" s="9"/>
      <c r="CX341" s="10"/>
      <c r="CY341" s="11"/>
      <c r="CZ341" s="12"/>
      <c r="DA341" s="29"/>
      <c r="DB341" s="12"/>
      <c r="DC341" s="9">
        <v>250</v>
      </c>
      <c r="DD341" s="10">
        <f>250*22000+1500*348</f>
        <v>6022000</v>
      </c>
      <c r="DE341" s="71"/>
      <c r="EO341" s="353" t="str">
        <f t="shared" si="41"/>
        <v>SUCRE_GALERAS</v>
      </c>
      <c r="EP341" s="350"/>
      <c r="EQ341" s="350" t="s">
        <v>4092</v>
      </c>
      <c r="ER341" s="358" t="s">
        <v>6021</v>
      </c>
      <c r="ES341" s="350" t="s">
        <v>4982</v>
      </c>
      <c r="ET341" s="350" t="s">
        <v>6128</v>
      </c>
      <c r="EU341" s="350" t="str">
        <f t="shared" si="40"/>
        <v>Boyaca_Tipacoque</v>
      </c>
    </row>
    <row r="342" spans="1:151" ht="38.25" x14ac:dyDescent="0.2">
      <c r="A342" s="242">
        <v>40274</v>
      </c>
      <c r="B342" s="107" t="s">
        <v>2401</v>
      </c>
      <c r="C342" s="107" t="s">
        <v>1094</v>
      </c>
      <c r="D342" s="427" t="s">
        <v>837</v>
      </c>
      <c r="E342" s="107" t="str">
        <f>VLOOKUP(B342&amp;C342,Divipola!$C$2:$F$1138,4,FALSE)</f>
        <v>05579</v>
      </c>
      <c r="F342" s="330"/>
      <c r="G342" s="224"/>
      <c r="H342" s="75"/>
      <c r="I342" s="75"/>
      <c r="J342" s="75">
        <v>829</v>
      </c>
      <c r="K342" s="75">
        <v>271</v>
      </c>
      <c r="L342" s="75">
        <v>5</v>
      </c>
      <c r="M342" s="75">
        <v>259</v>
      </c>
      <c r="N342" s="75"/>
      <c r="O342" s="75"/>
      <c r="P342" s="75"/>
      <c r="Q342" s="75"/>
      <c r="R342" s="75"/>
      <c r="S342" s="75"/>
      <c r="T342" s="75">
        <v>1</v>
      </c>
      <c r="U342" s="75"/>
      <c r="V342" s="76"/>
      <c r="W342" s="205"/>
      <c r="X342" s="1"/>
      <c r="Y342" s="78">
        <f t="shared" si="42"/>
        <v>0</v>
      </c>
      <c r="Z342" s="78">
        <f t="shared" si="43"/>
        <v>0</v>
      </c>
      <c r="AA342" s="78">
        <f t="shared" si="44"/>
        <v>0</v>
      </c>
      <c r="AB342" s="78">
        <f t="shared" si="45"/>
        <v>0</v>
      </c>
      <c r="AC342" s="78"/>
      <c r="AD342" s="78">
        <v>0</v>
      </c>
      <c r="AE342" s="80">
        <f t="shared" si="47"/>
        <v>0</v>
      </c>
      <c r="AF342" s="82">
        <v>0</v>
      </c>
      <c r="AG342" s="69">
        <v>40240</v>
      </c>
      <c r="AH342" s="84"/>
      <c r="AI342" s="69" t="s">
        <v>1984</v>
      </c>
      <c r="AJ342" s="25" t="s">
        <v>1985</v>
      </c>
      <c r="AK342" s="65"/>
      <c r="AL342" s="185" t="s">
        <v>1257</v>
      </c>
      <c r="AM342" s="85" t="s">
        <v>266</v>
      </c>
      <c r="AN342" s="3"/>
      <c r="AO342" s="4"/>
      <c r="AP342" s="5"/>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6"/>
      <c r="CQ342" s="7"/>
      <c r="CR342" s="6"/>
      <c r="CS342" s="7"/>
      <c r="CT342" s="6"/>
      <c r="CU342" s="7"/>
      <c r="CV342" s="8">
        <f t="shared" si="46"/>
        <v>0</v>
      </c>
      <c r="CW342" s="9"/>
      <c r="CX342" s="10"/>
      <c r="CY342" s="11"/>
      <c r="CZ342" s="12"/>
      <c r="DA342" s="29"/>
      <c r="DB342" s="12"/>
      <c r="DC342" s="9"/>
      <c r="DD342" s="10"/>
      <c r="DE342" s="71"/>
      <c r="EO342" s="353" t="str">
        <f t="shared" si="41"/>
        <v>ANTIOQUIA_PUERTO BERRIO</v>
      </c>
      <c r="EP342" s="350"/>
      <c r="EQ342" s="350" t="s">
        <v>4092</v>
      </c>
      <c r="ER342" s="358" t="s">
        <v>6021</v>
      </c>
      <c r="ES342" s="350" t="s">
        <v>4983</v>
      </c>
      <c r="ET342" s="350" t="s">
        <v>6129</v>
      </c>
      <c r="EU342" s="350" t="str">
        <f t="shared" si="40"/>
        <v>Boyaca_Toca</v>
      </c>
    </row>
    <row r="343" spans="1:151" ht="51" x14ac:dyDescent="0.2">
      <c r="A343" s="242">
        <v>40274</v>
      </c>
      <c r="B343" s="107" t="s">
        <v>2007</v>
      </c>
      <c r="C343" s="107" t="s">
        <v>2744</v>
      </c>
      <c r="D343" s="427" t="s">
        <v>837</v>
      </c>
      <c r="E343" s="107" t="str">
        <f>VLOOKUP(B343&amp;C343,Divipola!$C$2:$F$1138,4,FALSE)</f>
        <v>25653</v>
      </c>
      <c r="F343" s="330"/>
      <c r="G343" s="224"/>
      <c r="H343" s="75"/>
      <c r="I343" s="75"/>
      <c r="J343" s="75"/>
      <c r="K343" s="75"/>
      <c r="L343" s="75"/>
      <c r="M343" s="75"/>
      <c r="N343" s="75">
        <v>1</v>
      </c>
      <c r="O343" s="75"/>
      <c r="P343" s="75"/>
      <c r="Q343" s="75"/>
      <c r="R343" s="75"/>
      <c r="S343" s="75"/>
      <c r="T343" s="75">
        <v>1</v>
      </c>
      <c r="U343" s="75"/>
      <c r="V343" s="76"/>
      <c r="W343" s="205"/>
      <c r="X343" s="1"/>
      <c r="Y343" s="78">
        <f t="shared" si="42"/>
        <v>0</v>
      </c>
      <c r="Z343" s="78">
        <f t="shared" si="43"/>
        <v>0</v>
      </c>
      <c r="AA343" s="78">
        <f t="shared" si="44"/>
        <v>0</v>
      </c>
      <c r="AB343" s="78">
        <f t="shared" si="45"/>
        <v>0</v>
      </c>
      <c r="AC343" s="78"/>
      <c r="AD343" s="78">
        <v>0</v>
      </c>
      <c r="AE343" s="80">
        <f t="shared" si="47"/>
        <v>0</v>
      </c>
      <c r="AF343" s="82">
        <v>0</v>
      </c>
      <c r="AG343" s="69">
        <v>40282</v>
      </c>
      <c r="AH343" s="84"/>
      <c r="AI343" s="69" t="s">
        <v>1984</v>
      </c>
      <c r="AJ343" s="25" t="s">
        <v>1985</v>
      </c>
      <c r="AK343" s="65"/>
      <c r="AL343" s="185" t="s">
        <v>1257</v>
      </c>
      <c r="AM343" s="85" t="s">
        <v>2745</v>
      </c>
      <c r="AN343" s="3"/>
      <c r="AO343" s="4"/>
      <c r="AP343" s="5"/>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6"/>
      <c r="CQ343" s="7"/>
      <c r="CR343" s="6"/>
      <c r="CS343" s="7"/>
      <c r="CT343" s="6"/>
      <c r="CU343" s="7"/>
      <c r="CV343" s="8">
        <f t="shared" si="46"/>
        <v>0</v>
      </c>
      <c r="CW343" s="9"/>
      <c r="CX343" s="10"/>
      <c r="CY343" s="11"/>
      <c r="CZ343" s="12"/>
      <c r="DA343" s="29"/>
      <c r="DB343" s="12"/>
      <c r="DC343" s="9"/>
      <c r="DD343" s="10"/>
      <c r="DE343" s="71"/>
      <c r="EO343" s="353" t="str">
        <f t="shared" si="41"/>
        <v>CUNDINAMARCA_SAN CAYETANO</v>
      </c>
      <c r="EP343" s="350"/>
      <c r="EQ343" s="350" t="s">
        <v>4092</v>
      </c>
      <c r="ER343" s="358" t="s">
        <v>6021</v>
      </c>
      <c r="ES343" s="350" t="s">
        <v>4984</v>
      </c>
      <c r="ET343" s="350" t="s">
        <v>6130</v>
      </c>
      <c r="EU343" s="350" t="str">
        <f t="shared" si="40"/>
        <v>Boyaca_Togui</v>
      </c>
    </row>
    <row r="344" spans="1:151" ht="38.25" x14ac:dyDescent="0.2">
      <c r="A344" s="242">
        <v>40274</v>
      </c>
      <c r="B344" s="107" t="s">
        <v>832</v>
      </c>
      <c r="C344" s="107" t="s">
        <v>4657</v>
      </c>
      <c r="D344" s="427" t="s">
        <v>837</v>
      </c>
      <c r="E344" s="107" t="str">
        <f>VLOOKUP(B344&amp;C344,Divipola!$C$2:$F$1138,4,FALSE)</f>
        <v>86885</v>
      </c>
      <c r="F344" s="330"/>
      <c r="G344" s="224"/>
      <c r="H344" s="75"/>
      <c r="I344" s="75"/>
      <c r="J344" s="75">
        <v>120</v>
      </c>
      <c r="K344" s="75">
        <v>18</v>
      </c>
      <c r="L344" s="75"/>
      <c r="M344" s="75">
        <v>18</v>
      </c>
      <c r="N344" s="75"/>
      <c r="O344" s="75"/>
      <c r="P344" s="75"/>
      <c r="Q344" s="75"/>
      <c r="R344" s="75"/>
      <c r="S344" s="75"/>
      <c r="T344" s="75"/>
      <c r="U344" s="75"/>
      <c r="V344" s="76"/>
      <c r="W344" s="205"/>
      <c r="X344" s="1"/>
      <c r="Y344" s="78">
        <f t="shared" si="42"/>
        <v>0</v>
      </c>
      <c r="Z344" s="78">
        <f t="shared" si="43"/>
        <v>0</v>
      </c>
      <c r="AA344" s="78">
        <f t="shared" si="44"/>
        <v>0</v>
      </c>
      <c r="AB344" s="78">
        <f t="shared" si="45"/>
        <v>0</v>
      </c>
      <c r="AC344" s="78"/>
      <c r="AD344" s="78">
        <v>0</v>
      </c>
      <c r="AE344" s="80">
        <f t="shared" si="47"/>
        <v>0</v>
      </c>
      <c r="AF344" s="82">
        <v>0</v>
      </c>
      <c r="AG344" s="69">
        <v>40276</v>
      </c>
      <c r="AH344" s="84"/>
      <c r="AI344" s="69" t="s">
        <v>1984</v>
      </c>
      <c r="AJ344" s="25" t="s">
        <v>1985</v>
      </c>
      <c r="AK344" s="65"/>
      <c r="AL344" s="185" t="s">
        <v>1257</v>
      </c>
      <c r="AM344" s="85" t="s">
        <v>495</v>
      </c>
      <c r="AN344" s="3"/>
      <c r="AO344" s="4"/>
      <c r="AP344" s="5"/>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6"/>
      <c r="CQ344" s="7"/>
      <c r="CR344" s="6"/>
      <c r="CS344" s="7"/>
      <c r="CT344" s="6"/>
      <c r="CU344" s="7"/>
      <c r="CV344" s="8">
        <f t="shared" si="46"/>
        <v>0</v>
      </c>
      <c r="CW344" s="9"/>
      <c r="CX344" s="10"/>
      <c r="CY344" s="11"/>
      <c r="CZ344" s="12"/>
      <c r="DA344" s="29"/>
      <c r="DB344" s="12"/>
      <c r="DC344" s="9"/>
      <c r="DD344" s="10"/>
      <c r="DE344" s="71"/>
      <c r="EO344" s="353" t="str">
        <f t="shared" si="41"/>
        <v>PUTUMAYO_VILLAGARZON</v>
      </c>
      <c r="EP344" s="350"/>
      <c r="EQ344" s="350" t="s">
        <v>4092</v>
      </c>
      <c r="ER344" s="358" t="s">
        <v>6021</v>
      </c>
      <c r="ES344" s="350" t="s">
        <v>4985</v>
      </c>
      <c r="ET344" s="350" t="s">
        <v>6131</v>
      </c>
      <c r="EU344" s="350" t="str">
        <f t="shared" si="40"/>
        <v>Boyaca_Topaga</v>
      </c>
    </row>
    <row r="345" spans="1:151" ht="84" x14ac:dyDescent="0.2">
      <c r="A345" s="242">
        <v>40274</v>
      </c>
      <c r="B345" s="107" t="s">
        <v>2791</v>
      </c>
      <c r="C345" s="107" t="s">
        <v>3831</v>
      </c>
      <c r="D345" s="427" t="s">
        <v>2209</v>
      </c>
      <c r="E345" s="107" t="str">
        <f>VLOOKUP(B345&amp;C345,Divipola!$C$2:$F$1138,4,FALSE)</f>
        <v>73347</v>
      </c>
      <c r="F345" s="330"/>
      <c r="G345" s="224"/>
      <c r="H345" s="75"/>
      <c r="I345" s="75"/>
      <c r="J345" s="75">
        <v>125</v>
      </c>
      <c r="K345" s="75">
        <v>25</v>
      </c>
      <c r="L345" s="75"/>
      <c r="M345" s="75">
        <v>25</v>
      </c>
      <c r="N345" s="75"/>
      <c r="O345" s="75"/>
      <c r="P345" s="75"/>
      <c r="Q345" s="75"/>
      <c r="R345" s="75"/>
      <c r="S345" s="75"/>
      <c r="T345" s="75"/>
      <c r="U345" s="75"/>
      <c r="V345" s="76"/>
      <c r="W345" s="205"/>
      <c r="X345" s="1"/>
      <c r="Y345" s="78">
        <f t="shared" si="42"/>
        <v>0</v>
      </c>
      <c r="Z345" s="78">
        <f t="shared" si="43"/>
        <v>0</v>
      </c>
      <c r="AA345" s="78">
        <f t="shared" si="44"/>
        <v>0</v>
      </c>
      <c r="AB345" s="78">
        <f t="shared" si="45"/>
        <v>0</v>
      </c>
      <c r="AC345" s="78"/>
      <c r="AD345" s="78">
        <v>0</v>
      </c>
      <c r="AE345" s="80">
        <f t="shared" si="47"/>
        <v>0</v>
      </c>
      <c r="AF345" s="82">
        <v>0</v>
      </c>
      <c r="AG345" s="69">
        <v>40275</v>
      </c>
      <c r="AH345" s="84"/>
      <c r="AI345" s="69" t="s">
        <v>1984</v>
      </c>
      <c r="AJ345" s="25" t="s">
        <v>1985</v>
      </c>
      <c r="AK345" s="65"/>
      <c r="AL345" s="185" t="s">
        <v>1257</v>
      </c>
      <c r="AM345" s="85" t="s">
        <v>288</v>
      </c>
      <c r="AN345" s="3"/>
      <c r="AO345" s="4"/>
      <c r="AP345" s="5"/>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6"/>
      <c r="CQ345" s="7"/>
      <c r="CR345" s="6"/>
      <c r="CS345" s="7"/>
      <c r="CT345" s="6"/>
      <c r="CU345" s="7"/>
      <c r="CV345" s="8">
        <f t="shared" si="46"/>
        <v>0</v>
      </c>
      <c r="CW345" s="9"/>
      <c r="CX345" s="10"/>
      <c r="CY345" s="11"/>
      <c r="CZ345" s="12"/>
      <c r="DA345" s="29"/>
      <c r="DB345" s="12"/>
      <c r="DC345" s="9"/>
      <c r="DD345" s="10"/>
      <c r="DE345" s="71"/>
      <c r="EO345" s="353" t="str">
        <f t="shared" si="41"/>
        <v>TOLIMA_HERVEO</v>
      </c>
      <c r="EP345" s="350"/>
      <c r="EQ345" s="350" t="s">
        <v>4092</v>
      </c>
      <c r="ER345" s="358" t="s">
        <v>6021</v>
      </c>
      <c r="ES345" s="350" t="s">
        <v>4986</v>
      </c>
      <c r="ET345" s="350" t="s">
        <v>6132</v>
      </c>
      <c r="EU345" s="350" t="str">
        <f t="shared" si="40"/>
        <v>Boyaca_Tota</v>
      </c>
    </row>
    <row r="346" spans="1:151" ht="38.25" x14ac:dyDescent="0.2">
      <c r="A346" s="242">
        <v>40275</v>
      </c>
      <c r="B346" s="107" t="s">
        <v>1189</v>
      </c>
      <c r="C346" s="107" t="s">
        <v>1976</v>
      </c>
      <c r="D346" s="427" t="s">
        <v>837</v>
      </c>
      <c r="E346" s="107" t="str">
        <f>VLOOKUP(B346&amp;C346,Divipola!$C$2:$F$1138,4,FALSE)</f>
        <v>85410</v>
      </c>
      <c r="F346" s="330"/>
      <c r="G346" s="224"/>
      <c r="H346" s="75"/>
      <c r="I346" s="75"/>
      <c r="J346" s="75">
        <v>100</v>
      </c>
      <c r="K346" s="75">
        <v>20</v>
      </c>
      <c r="L346" s="75"/>
      <c r="M346" s="75"/>
      <c r="N346" s="75">
        <v>1</v>
      </c>
      <c r="O346" s="75"/>
      <c r="P346" s="75"/>
      <c r="Q346" s="75"/>
      <c r="R346" s="75"/>
      <c r="S346" s="75"/>
      <c r="T346" s="75"/>
      <c r="U346" s="75"/>
      <c r="V346" s="76"/>
      <c r="W346" s="205"/>
      <c r="X346" s="1"/>
      <c r="Y346" s="78">
        <f t="shared" si="42"/>
        <v>0</v>
      </c>
      <c r="Z346" s="78">
        <f t="shared" si="43"/>
        <v>0</v>
      </c>
      <c r="AA346" s="78">
        <f t="shared" si="44"/>
        <v>0</v>
      </c>
      <c r="AB346" s="78">
        <f t="shared" si="45"/>
        <v>0</v>
      </c>
      <c r="AC346" s="78"/>
      <c r="AD346" s="78">
        <v>0</v>
      </c>
      <c r="AE346" s="80">
        <f t="shared" si="47"/>
        <v>0</v>
      </c>
      <c r="AF346" s="82">
        <v>0</v>
      </c>
      <c r="AG346" s="69">
        <v>40277</v>
      </c>
      <c r="AH346" s="84"/>
      <c r="AI346" s="69" t="s">
        <v>1984</v>
      </c>
      <c r="AJ346" s="25" t="s">
        <v>1985</v>
      </c>
      <c r="AK346" s="65"/>
      <c r="AL346" s="185" t="s">
        <v>1257</v>
      </c>
      <c r="AM346" s="85" t="s">
        <v>1977</v>
      </c>
      <c r="AN346" s="3"/>
      <c r="AO346" s="4"/>
      <c r="AP346" s="5"/>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6"/>
      <c r="CQ346" s="7"/>
      <c r="CR346" s="6"/>
      <c r="CS346" s="7"/>
      <c r="CT346" s="6"/>
      <c r="CU346" s="7"/>
      <c r="CV346" s="8">
        <f t="shared" si="46"/>
        <v>0</v>
      </c>
      <c r="CW346" s="9"/>
      <c r="CX346" s="10"/>
      <c r="CY346" s="11"/>
      <c r="CZ346" s="12"/>
      <c r="DA346" s="29"/>
      <c r="DB346" s="12"/>
      <c r="DC346" s="9"/>
      <c r="DD346" s="10"/>
      <c r="DE346" s="71"/>
      <c r="EO346" s="353" t="str">
        <f t="shared" si="41"/>
        <v>CASANARE_TAURAMENA</v>
      </c>
      <c r="EP346" s="350"/>
      <c r="EQ346" s="350" t="s">
        <v>4092</v>
      </c>
      <c r="ER346" s="358" t="s">
        <v>6021</v>
      </c>
      <c r="ES346" s="350" t="s">
        <v>4987</v>
      </c>
      <c r="ET346" s="350" t="s">
        <v>6133</v>
      </c>
      <c r="EU346" s="350" t="str">
        <f t="shared" si="40"/>
        <v>Boyaca_Tunungua</v>
      </c>
    </row>
    <row r="347" spans="1:151" ht="36" x14ac:dyDescent="0.2">
      <c r="A347" s="242">
        <v>40276</v>
      </c>
      <c r="B347" s="107" t="s">
        <v>828</v>
      </c>
      <c r="C347" s="107" t="s">
        <v>2249</v>
      </c>
      <c r="D347" s="427" t="s">
        <v>837</v>
      </c>
      <c r="E347" s="107" t="str">
        <f>VLOOKUP(B347&amp;C347,Divipola!$C$2:$F$1138,4,FALSE)</f>
        <v>15600</v>
      </c>
      <c r="F347" s="330"/>
      <c r="G347" s="224"/>
      <c r="H347" s="75"/>
      <c r="I347" s="75"/>
      <c r="J347" s="75">
        <v>25</v>
      </c>
      <c r="K347" s="75">
        <v>5</v>
      </c>
      <c r="L347" s="75"/>
      <c r="M347" s="75">
        <v>3</v>
      </c>
      <c r="N347" s="75"/>
      <c r="O347" s="75"/>
      <c r="P347" s="75"/>
      <c r="Q347" s="75"/>
      <c r="R347" s="75"/>
      <c r="S347" s="75"/>
      <c r="T347" s="75"/>
      <c r="U347" s="75"/>
      <c r="V347" s="76"/>
      <c r="W347" s="205"/>
      <c r="X347" s="1"/>
      <c r="Y347" s="78">
        <f t="shared" si="42"/>
        <v>0</v>
      </c>
      <c r="Z347" s="78">
        <f t="shared" si="43"/>
        <v>0</v>
      </c>
      <c r="AA347" s="78">
        <f t="shared" si="44"/>
        <v>0</v>
      </c>
      <c r="AB347" s="78">
        <f t="shared" si="45"/>
        <v>0</v>
      </c>
      <c r="AC347" s="78"/>
      <c r="AD347" s="78">
        <v>0</v>
      </c>
      <c r="AE347" s="80">
        <f t="shared" si="47"/>
        <v>0</v>
      </c>
      <c r="AF347" s="82">
        <v>0</v>
      </c>
      <c r="AG347" s="69">
        <v>40277</v>
      </c>
      <c r="AH347" s="84"/>
      <c r="AI347" s="69" t="s">
        <v>1984</v>
      </c>
      <c r="AJ347" s="25" t="s">
        <v>1985</v>
      </c>
      <c r="AK347" s="65"/>
      <c r="AL347" s="185" t="s">
        <v>1257</v>
      </c>
      <c r="AM347" s="85" t="s">
        <v>847</v>
      </c>
      <c r="AN347" s="3"/>
      <c r="AO347" s="4"/>
      <c r="AP347" s="5"/>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6"/>
      <c r="CQ347" s="7"/>
      <c r="CR347" s="6"/>
      <c r="CS347" s="7"/>
      <c r="CT347" s="6"/>
      <c r="CU347" s="7"/>
      <c r="CV347" s="8">
        <f t="shared" si="46"/>
        <v>0</v>
      </c>
      <c r="CW347" s="9"/>
      <c r="CX347" s="10"/>
      <c r="CY347" s="11"/>
      <c r="CZ347" s="12"/>
      <c r="DA347" s="29"/>
      <c r="DB347" s="12"/>
      <c r="DC347" s="9"/>
      <c r="DD347" s="10"/>
      <c r="DE347" s="71"/>
      <c r="EO347" s="353" t="str">
        <f t="shared" si="41"/>
        <v>BOYACA_RAQUIRA</v>
      </c>
      <c r="EP347" s="350"/>
      <c r="EQ347" s="350" t="s">
        <v>4092</v>
      </c>
      <c r="ER347" s="358" t="s">
        <v>6021</v>
      </c>
      <c r="ES347" s="350" t="s">
        <v>4989</v>
      </c>
      <c r="ET347" s="350" t="s">
        <v>6134</v>
      </c>
      <c r="EU347" s="350" t="str">
        <f t="shared" si="40"/>
        <v>Boyaca_Tuta</v>
      </c>
    </row>
    <row r="348" spans="1:151" ht="72" x14ac:dyDescent="0.2">
      <c r="A348" s="242">
        <v>40276</v>
      </c>
      <c r="B348" s="107" t="s">
        <v>828</v>
      </c>
      <c r="C348" s="107" t="s">
        <v>2248</v>
      </c>
      <c r="D348" s="427" t="s">
        <v>837</v>
      </c>
      <c r="E348" s="107" t="str">
        <f>VLOOKUP(B348&amp;C348,Divipola!$C$2:$F$1138,4,FALSE)</f>
        <v>15808</v>
      </c>
      <c r="F348" s="330"/>
      <c r="G348" s="224"/>
      <c r="H348" s="75"/>
      <c r="I348" s="75"/>
      <c r="J348" s="75">
        <f>169*5</f>
        <v>845</v>
      </c>
      <c r="K348" s="75">
        <v>169</v>
      </c>
      <c r="L348" s="75"/>
      <c r="M348" s="75">
        <v>69</v>
      </c>
      <c r="N348" s="75"/>
      <c r="O348" s="75"/>
      <c r="P348" s="75"/>
      <c r="Q348" s="75"/>
      <c r="R348" s="75"/>
      <c r="S348" s="75"/>
      <c r="T348" s="75"/>
      <c r="U348" s="75"/>
      <c r="V348" s="76"/>
      <c r="W348" s="205"/>
      <c r="X348" s="1">
        <v>40290</v>
      </c>
      <c r="Y348" s="78">
        <f t="shared" si="42"/>
        <v>0</v>
      </c>
      <c r="Z348" s="78">
        <f t="shared" si="43"/>
        <v>0</v>
      </c>
      <c r="AA348" s="78">
        <f t="shared" si="44"/>
        <v>0</v>
      </c>
      <c r="AB348" s="78">
        <f t="shared" si="45"/>
        <v>0</v>
      </c>
      <c r="AC348" s="78"/>
      <c r="AD348" s="78">
        <v>15000000</v>
      </c>
      <c r="AE348" s="80">
        <f t="shared" si="47"/>
        <v>15000000</v>
      </c>
      <c r="AF348" s="82">
        <v>0</v>
      </c>
      <c r="AG348" s="69">
        <v>40277</v>
      </c>
      <c r="AH348" s="84">
        <v>96530</v>
      </c>
      <c r="AI348" s="69" t="s">
        <v>2009</v>
      </c>
      <c r="AJ348" s="25" t="s">
        <v>2010</v>
      </c>
      <c r="AK348" s="65">
        <v>208</v>
      </c>
      <c r="AL348" s="185" t="s">
        <v>2182</v>
      </c>
      <c r="AM348" s="85" t="s">
        <v>1357</v>
      </c>
      <c r="AN348" s="3"/>
      <c r="AO348" s="4"/>
      <c r="AP348" s="5"/>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6"/>
      <c r="CQ348" s="7"/>
      <c r="CR348" s="6"/>
      <c r="CS348" s="7"/>
      <c r="CT348" s="6"/>
      <c r="CU348" s="7"/>
      <c r="CV348" s="8">
        <f t="shared" si="46"/>
        <v>0</v>
      </c>
      <c r="CW348" s="9"/>
      <c r="CX348" s="10"/>
      <c r="CY348" s="11"/>
      <c r="CZ348" s="12"/>
      <c r="DA348" s="29"/>
      <c r="DB348" s="12"/>
      <c r="DC348" s="9"/>
      <c r="DD348" s="10"/>
      <c r="DE348" s="71">
        <v>2</v>
      </c>
      <c r="EO348" s="353" t="str">
        <f t="shared" si="41"/>
        <v>BOYACA_TINJACA</v>
      </c>
      <c r="EP348" s="350"/>
      <c r="EQ348" s="350" t="s">
        <v>4092</v>
      </c>
      <c r="ER348" s="358" t="s">
        <v>6021</v>
      </c>
      <c r="ES348" s="350" t="s">
        <v>4990</v>
      </c>
      <c r="ET348" s="350" t="s">
        <v>6135</v>
      </c>
      <c r="EU348" s="350" t="str">
        <f t="shared" si="40"/>
        <v>Boyaca_Tutaza</v>
      </c>
    </row>
    <row r="349" spans="1:151" ht="38.25" x14ac:dyDescent="0.2">
      <c r="A349" s="242">
        <v>40276</v>
      </c>
      <c r="B349" s="107" t="s">
        <v>828</v>
      </c>
      <c r="C349" s="107" t="s">
        <v>1545</v>
      </c>
      <c r="D349" s="427" t="s">
        <v>837</v>
      </c>
      <c r="E349" s="107" t="str">
        <f>VLOOKUP(B349&amp;C349,Divipola!$C$2:$F$1138,4,FALSE)</f>
        <v>15407</v>
      </c>
      <c r="F349" s="330"/>
      <c r="G349" s="224"/>
      <c r="H349" s="75"/>
      <c r="I349" s="75"/>
      <c r="J349" s="75"/>
      <c r="K349" s="75"/>
      <c r="L349" s="75"/>
      <c r="M349" s="75"/>
      <c r="N349" s="75"/>
      <c r="O349" s="75"/>
      <c r="P349" s="75"/>
      <c r="Q349" s="75"/>
      <c r="R349" s="75"/>
      <c r="S349" s="75"/>
      <c r="T349" s="75"/>
      <c r="U349" s="75">
        <v>1</v>
      </c>
      <c r="V349" s="76"/>
      <c r="W349" s="205"/>
      <c r="X349" s="1"/>
      <c r="Y349" s="78">
        <f t="shared" si="42"/>
        <v>0</v>
      </c>
      <c r="Z349" s="78">
        <f t="shared" si="43"/>
        <v>0</v>
      </c>
      <c r="AA349" s="78">
        <f t="shared" si="44"/>
        <v>0</v>
      </c>
      <c r="AB349" s="78">
        <f t="shared" si="45"/>
        <v>0</v>
      </c>
      <c r="AC349" s="78"/>
      <c r="AD349" s="78">
        <v>0</v>
      </c>
      <c r="AE349" s="80">
        <f t="shared" si="47"/>
        <v>0</v>
      </c>
      <c r="AF349" s="82">
        <v>0</v>
      </c>
      <c r="AG349" s="69">
        <v>40277</v>
      </c>
      <c r="AH349" s="84"/>
      <c r="AI349" s="69" t="s">
        <v>1984</v>
      </c>
      <c r="AJ349" s="25" t="s">
        <v>1985</v>
      </c>
      <c r="AK349" s="65"/>
      <c r="AL349" s="185" t="s">
        <v>1257</v>
      </c>
      <c r="AM349" s="85" t="s">
        <v>1113</v>
      </c>
      <c r="AN349" s="3"/>
      <c r="AO349" s="4"/>
      <c r="AP349" s="5"/>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6"/>
      <c r="CQ349" s="7"/>
      <c r="CR349" s="6"/>
      <c r="CS349" s="7"/>
      <c r="CT349" s="6"/>
      <c r="CU349" s="7"/>
      <c r="CV349" s="8">
        <f t="shared" si="46"/>
        <v>0</v>
      </c>
      <c r="CW349" s="9"/>
      <c r="CX349" s="10"/>
      <c r="CY349" s="11"/>
      <c r="CZ349" s="12"/>
      <c r="DA349" s="29"/>
      <c r="DB349" s="12"/>
      <c r="DC349" s="9"/>
      <c r="DD349" s="10"/>
      <c r="DE349" s="71"/>
      <c r="EO349" s="353" t="str">
        <f t="shared" si="41"/>
        <v>BOYACA_VILLA DE LEYVA</v>
      </c>
      <c r="EP349" s="350"/>
      <c r="EQ349" s="350" t="s">
        <v>4092</v>
      </c>
      <c r="ER349" s="358" t="s">
        <v>6021</v>
      </c>
      <c r="ES349" s="350" t="s">
        <v>4991</v>
      </c>
      <c r="ET349" s="350" t="s">
        <v>6136</v>
      </c>
      <c r="EU349" s="350" t="str">
        <f t="shared" si="40"/>
        <v>Boyaca_Umbita</v>
      </c>
    </row>
    <row r="350" spans="1:151" ht="60" x14ac:dyDescent="0.2">
      <c r="A350" s="242">
        <v>40276</v>
      </c>
      <c r="B350" s="107" t="s">
        <v>1333</v>
      </c>
      <c r="C350" s="107" t="s">
        <v>614</v>
      </c>
      <c r="D350" s="427" t="s">
        <v>2209</v>
      </c>
      <c r="E350" s="107" t="str">
        <f>VLOOKUP(B350&amp;C350,Divipola!$C$2:$F$1138,4,FALSE)</f>
        <v>41885</v>
      </c>
      <c r="F350" s="330"/>
      <c r="G350" s="224"/>
      <c r="H350" s="75"/>
      <c r="I350" s="75"/>
      <c r="J350" s="75"/>
      <c r="K350" s="75"/>
      <c r="L350" s="75"/>
      <c r="M350" s="75"/>
      <c r="N350" s="75"/>
      <c r="O350" s="75"/>
      <c r="P350" s="75"/>
      <c r="Q350" s="75"/>
      <c r="R350" s="75"/>
      <c r="S350" s="75"/>
      <c r="T350" s="75"/>
      <c r="U350" s="75"/>
      <c r="V350" s="76"/>
      <c r="W350" s="205"/>
      <c r="X350" s="1"/>
      <c r="Y350" s="78">
        <f t="shared" si="42"/>
        <v>0</v>
      </c>
      <c r="Z350" s="78">
        <f t="shared" si="43"/>
        <v>0</v>
      </c>
      <c r="AA350" s="78">
        <f t="shared" si="44"/>
        <v>0</v>
      </c>
      <c r="AB350" s="78">
        <f t="shared" si="45"/>
        <v>0</v>
      </c>
      <c r="AC350" s="78"/>
      <c r="AD350" s="78">
        <v>0</v>
      </c>
      <c r="AE350" s="80">
        <f t="shared" si="47"/>
        <v>0</v>
      </c>
      <c r="AF350" s="82">
        <v>0</v>
      </c>
      <c r="AG350" s="69">
        <v>40277</v>
      </c>
      <c r="AH350" s="84"/>
      <c r="AI350" s="69" t="s">
        <v>1984</v>
      </c>
      <c r="AJ350" s="25" t="s">
        <v>1985</v>
      </c>
      <c r="AK350" s="65"/>
      <c r="AL350" s="185" t="s">
        <v>1257</v>
      </c>
      <c r="AM350" s="85" t="s">
        <v>916</v>
      </c>
      <c r="AN350" s="3"/>
      <c r="AO350" s="4"/>
      <c r="AP350" s="5"/>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6"/>
      <c r="CQ350" s="7"/>
      <c r="CR350" s="6"/>
      <c r="CS350" s="7"/>
      <c r="CT350" s="6"/>
      <c r="CU350" s="7"/>
      <c r="CV350" s="8">
        <f t="shared" si="46"/>
        <v>0</v>
      </c>
      <c r="CW350" s="9"/>
      <c r="CX350" s="10"/>
      <c r="CY350" s="11"/>
      <c r="CZ350" s="12"/>
      <c r="DA350" s="29"/>
      <c r="DB350" s="12"/>
      <c r="DC350" s="9"/>
      <c r="DD350" s="10"/>
      <c r="DE350" s="71"/>
      <c r="EO350" s="353" t="str">
        <f t="shared" si="41"/>
        <v>HUILA_YAGUARA</v>
      </c>
      <c r="EP350" s="350"/>
      <c r="EQ350" s="350" t="s">
        <v>4092</v>
      </c>
      <c r="ER350" s="358" t="s">
        <v>6021</v>
      </c>
      <c r="ES350" s="350" t="s">
        <v>4992</v>
      </c>
      <c r="ET350" s="350" t="s">
        <v>6137</v>
      </c>
      <c r="EU350" s="350" t="str">
        <f t="shared" si="40"/>
        <v>Boyaca_Ventaquemada</v>
      </c>
    </row>
    <row r="351" spans="1:151" ht="38.25" x14ac:dyDescent="0.2">
      <c r="A351" s="242">
        <v>40276</v>
      </c>
      <c r="B351" s="107" t="s">
        <v>2012</v>
      </c>
      <c r="C351" s="107" t="s">
        <v>2260</v>
      </c>
      <c r="D351" s="427" t="s">
        <v>837</v>
      </c>
      <c r="E351" s="107" t="str">
        <f>VLOOKUP(B351&amp;C351,Divipola!$C$2:$F$1138,4,FALSE)</f>
        <v>66170</v>
      </c>
      <c r="F351" s="330"/>
      <c r="G351" s="224"/>
      <c r="H351" s="75"/>
      <c r="I351" s="75"/>
      <c r="J351" s="75">
        <v>10</v>
      </c>
      <c r="K351" s="75">
        <v>2</v>
      </c>
      <c r="L351" s="75"/>
      <c r="M351" s="75"/>
      <c r="N351" s="75"/>
      <c r="O351" s="75"/>
      <c r="P351" s="75"/>
      <c r="Q351" s="75"/>
      <c r="R351" s="75"/>
      <c r="S351" s="75"/>
      <c r="T351" s="75"/>
      <c r="U351" s="75"/>
      <c r="V351" s="76"/>
      <c r="W351" s="205"/>
      <c r="X351" s="1"/>
      <c r="Y351" s="78">
        <f t="shared" si="42"/>
        <v>0</v>
      </c>
      <c r="Z351" s="78">
        <f t="shared" si="43"/>
        <v>0</v>
      </c>
      <c r="AA351" s="78">
        <f t="shared" si="44"/>
        <v>0</v>
      </c>
      <c r="AB351" s="78">
        <f t="shared" si="45"/>
        <v>0</v>
      </c>
      <c r="AC351" s="78"/>
      <c r="AD351" s="78">
        <v>0</v>
      </c>
      <c r="AE351" s="80">
        <f t="shared" si="47"/>
        <v>0</v>
      </c>
      <c r="AF351" s="82">
        <v>0</v>
      </c>
      <c r="AG351" s="69">
        <v>40277</v>
      </c>
      <c r="AH351" s="84"/>
      <c r="AI351" s="69" t="s">
        <v>1984</v>
      </c>
      <c r="AJ351" s="25" t="s">
        <v>1985</v>
      </c>
      <c r="AK351" s="65"/>
      <c r="AL351" s="185" t="s">
        <v>1257</v>
      </c>
      <c r="AM351" s="85" t="s">
        <v>283</v>
      </c>
      <c r="AN351" s="3"/>
      <c r="AO351" s="4"/>
      <c r="AP351" s="5"/>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6"/>
      <c r="CQ351" s="7"/>
      <c r="CR351" s="6"/>
      <c r="CS351" s="7"/>
      <c r="CT351" s="6"/>
      <c r="CU351" s="7"/>
      <c r="CV351" s="8">
        <f t="shared" si="46"/>
        <v>0</v>
      </c>
      <c r="CW351" s="9"/>
      <c r="CX351" s="10"/>
      <c r="CY351" s="11"/>
      <c r="CZ351" s="12"/>
      <c r="DA351" s="29"/>
      <c r="DB351" s="12"/>
      <c r="DC351" s="9"/>
      <c r="DD351" s="10"/>
      <c r="DE351" s="71"/>
      <c r="EO351" s="364" t="str">
        <f t="shared" si="41"/>
        <v>RISARALDA_DOSQUEBRADAS</v>
      </c>
      <c r="EP351" s="365"/>
      <c r="EQ351" s="350" t="s">
        <v>4092</v>
      </c>
      <c r="ER351" s="358" t="s">
        <v>6021</v>
      </c>
      <c r="ES351" s="350" t="s">
        <v>4993</v>
      </c>
      <c r="ET351" s="350" t="s">
        <v>6138</v>
      </c>
      <c r="EU351" s="350" t="str">
        <f t="shared" si="40"/>
        <v>Boyaca_Viracacha</v>
      </c>
    </row>
    <row r="352" spans="1:151" ht="25.5" x14ac:dyDescent="0.2">
      <c r="A352" s="242">
        <v>40276</v>
      </c>
      <c r="B352" s="107" t="s">
        <v>2012</v>
      </c>
      <c r="C352" s="107" t="s">
        <v>2433</v>
      </c>
      <c r="D352" s="427" t="s">
        <v>2307</v>
      </c>
      <c r="E352" s="107" t="str">
        <f>VLOOKUP(B352&amp;C352,Divipola!$C$2:$F$1138,4,FALSE)</f>
        <v>66001</v>
      </c>
      <c r="F352" s="330"/>
      <c r="G352" s="224"/>
      <c r="H352" s="75"/>
      <c r="I352" s="75"/>
      <c r="J352" s="75"/>
      <c r="K352" s="75"/>
      <c r="L352" s="75"/>
      <c r="M352" s="75"/>
      <c r="N352" s="75"/>
      <c r="O352" s="75"/>
      <c r="P352" s="75"/>
      <c r="Q352" s="75"/>
      <c r="R352" s="75"/>
      <c r="S352" s="75"/>
      <c r="T352" s="75"/>
      <c r="U352" s="75"/>
      <c r="V352" s="76"/>
      <c r="W352" s="205"/>
      <c r="X352" s="1"/>
      <c r="Y352" s="78">
        <f t="shared" si="42"/>
        <v>0</v>
      </c>
      <c r="Z352" s="78">
        <f t="shared" si="43"/>
        <v>0</v>
      </c>
      <c r="AA352" s="78">
        <f t="shared" si="44"/>
        <v>0</v>
      </c>
      <c r="AB352" s="78">
        <f t="shared" si="45"/>
        <v>0</v>
      </c>
      <c r="AC352" s="78"/>
      <c r="AD352" s="78">
        <v>0</v>
      </c>
      <c r="AE352" s="80">
        <f t="shared" si="47"/>
        <v>0</v>
      </c>
      <c r="AF352" s="82">
        <v>0</v>
      </c>
      <c r="AG352" s="69">
        <v>40277</v>
      </c>
      <c r="AH352" s="84"/>
      <c r="AI352" s="69" t="s">
        <v>1984</v>
      </c>
      <c r="AJ352" s="25" t="s">
        <v>1985</v>
      </c>
      <c r="AK352" s="65"/>
      <c r="AL352" s="185" t="s">
        <v>1257</v>
      </c>
      <c r="AM352" s="85" t="s">
        <v>616</v>
      </c>
      <c r="AN352" s="3"/>
      <c r="AO352" s="4"/>
      <c r="AP352" s="5"/>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6"/>
      <c r="CQ352" s="7"/>
      <c r="CR352" s="6"/>
      <c r="CS352" s="7"/>
      <c r="CT352" s="6"/>
      <c r="CU352" s="7"/>
      <c r="CV352" s="8">
        <f t="shared" si="46"/>
        <v>0</v>
      </c>
      <c r="CW352" s="9"/>
      <c r="CX352" s="10"/>
      <c r="CY352" s="11"/>
      <c r="CZ352" s="12"/>
      <c r="DA352" s="29"/>
      <c r="DB352" s="12"/>
      <c r="DC352" s="9"/>
      <c r="DD352" s="10"/>
      <c r="DE352" s="71"/>
      <c r="EO352" s="364" t="str">
        <f t="shared" si="41"/>
        <v>RISARALDA_PEREIRA</v>
      </c>
      <c r="EP352" s="365"/>
      <c r="EQ352" s="350" t="s">
        <v>4092</v>
      </c>
      <c r="ER352" s="358" t="s">
        <v>6021</v>
      </c>
      <c r="ES352" s="350" t="s">
        <v>4994</v>
      </c>
      <c r="ET352" s="350" t="s">
        <v>6139</v>
      </c>
      <c r="EU352" s="350" t="str">
        <f t="shared" si="40"/>
        <v>Boyaca_Zetaquira</v>
      </c>
    </row>
    <row r="353" spans="1:151" ht="51" x14ac:dyDescent="0.2">
      <c r="A353" s="242">
        <v>40276</v>
      </c>
      <c r="B353" s="107" t="s">
        <v>2012</v>
      </c>
      <c r="C353" s="107" t="s">
        <v>2118</v>
      </c>
      <c r="D353" s="427" t="s">
        <v>2209</v>
      </c>
      <c r="E353" s="107" t="str">
        <f>VLOOKUP(B353&amp;C353,Divipola!$C$2:$F$1138,4,FALSE)</f>
        <v>66682</v>
      </c>
      <c r="F353" s="330"/>
      <c r="G353" s="224"/>
      <c r="H353" s="75"/>
      <c r="I353" s="75"/>
      <c r="J353" s="75"/>
      <c r="K353" s="75"/>
      <c r="L353" s="75"/>
      <c r="M353" s="75"/>
      <c r="N353" s="75"/>
      <c r="O353" s="75"/>
      <c r="P353" s="75"/>
      <c r="Q353" s="75"/>
      <c r="R353" s="75"/>
      <c r="S353" s="75"/>
      <c r="T353" s="75">
        <v>1</v>
      </c>
      <c r="U353" s="75"/>
      <c r="V353" s="76"/>
      <c r="W353" s="205"/>
      <c r="X353" s="1"/>
      <c r="Y353" s="78">
        <f t="shared" si="42"/>
        <v>0</v>
      </c>
      <c r="Z353" s="78">
        <f t="shared" si="43"/>
        <v>0</v>
      </c>
      <c r="AA353" s="78">
        <f t="shared" si="44"/>
        <v>0</v>
      </c>
      <c r="AB353" s="78">
        <f t="shared" si="45"/>
        <v>0</v>
      </c>
      <c r="AC353" s="78"/>
      <c r="AD353" s="78">
        <v>0</v>
      </c>
      <c r="AE353" s="80">
        <f t="shared" si="47"/>
        <v>0</v>
      </c>
      <c r="AF353" s="82">
        <v>0</v>
      </c>
      <c r="AG353" s="69">
        <v>40277</v>
      </c>
      <c r="AH353" s="84"/>
      <c r="AI353" s="69" t="s">
        <v>1984</v>
      </c>
      <c r="AJ353" s="25" t="s">
        <v>1985</v>
      </c>
      <c r="AK353" s="65"/>
      <c r="AL353" s="185" t="s">
        <v>1257</v>
      </c>
      <c r="AM353" s="85" t="s">
        <v>2119</v>
      </c>
      <c r="AN353" s="3"/>
      <c r="AO353" s="4"/>
      <c r="AP353" s="5"/>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6"/>
      <c r="CQ353" s="7"/>
      <c r="CR353" s="6"/>
      <c r="CS353" s="7"/>
      <c r="CT353" s="6"/>
      <c r="CU353" s="7"/>
      <c r="CV353" s="8">
        <f t="shared" si="46"/>
        <v>0</v>
      </c>
      <c r="CW353" s="9"/>
      <c r="CX353" s="10"/>
      <c r="CY353" s="11"/>
      <c r="CZ353" s="12"/>
      <c r="DA353" s="29"/>
      <c r="DB353" s="12"/>
      <c r="DC353" s="9"/>
      <c r="DD353" s="10"/>
      <c r="DE353" s="71"/>
      <c r="EO353" s="353" t="str">
        <f t="shared" si="41"/>
        <v>RISARALDA_SANTA ROSA DE CABAL</v>
      </c>
      <c r="EP353" s="350"/>
      <c r="EQ353" s="350" t="s">
        <v>4220</v>
      </c>
      <c r="ER353" s="358" t="s">
        <v>4221</v>
      </c>
      <c r="ES353" s="350" t="s">
        <v>4995</v>
      </c>
      <c r="ET353" s="350" t="s">
        <v>6140</v>
      </c>
      <c r="EU353" s="350" t="str">
        <f t="shared" si="40"/>
        <v>Caldas_Manizales</v>
      </c>
    </row>
    <row r="354" spans="1:151" ht="45" x14ac:dyDescent="0.2">
      <c r="A354" s="242">
        <v>40276</v>
      </c>
      <c r="B354" s="107" t="s">
        <v>2791</v>
      </c>
      <c r="C354" s="107" t="s">
        <v>1979</v>
      </c>
      <c r="D354" s="427" t="s">
        <v>837</v>
      </c>
      <c r="E354" s="107" t="str">
        <f>VLOOKUP(B354&amp;C354,Divipola!$C$2:$F$1138,4,FALSE)</f>
        <v>73268</v>
      </c>
      <c r="F354" s="330"/>
      <c r="G354" s="224"/>
      <c r="H354" s="75"/>
      <c r="I354" s="75"/>
      <c r="J354" s="75">
        <v>253</v>
      </c>
      <c r="K354" s="75">
        <v>113</v>
      </c>
      <c r="L354" s="75"/>
      <c r="M354" s="75">
        <v>93</v>
      </c>
      <c r="N354" s="75"/>
      <c r="O354" s="75"/>
      <c r="P354" s="75"/>
      <c r="Q354" s="75"/>
      <c r="R354" s="75"/>
      <c r="S354" s="75"/>
      <c r="T354" s="75">
        <v>1</v>
      </c>
      <c r="U354" s="75"/>
      <c r="V354" s="76"/>
      <c r="W354" s="205"/>
      <c r="X354" s="1">
        <v>40330</v>
      </c>
      <c r="Y354" s="78">
        <f t="shared" si="42"/>
        <v>75125000</v>
      </c>
      <c r="Z354" s="78">
        <f t="shared" si="43"/>
        <v>12750000</v>
      </c>
      <c r="AA354" s="78">
        <f t="shared" si="44"/>
        <v>0</v>
      </c>
      <c r="AB354" s="78">
        <f t="shared" si="45"/>
        <v>0</v>
      </c>
      <c r="AC354" s="78"/>
      <c r="AD354" s="78">
        <v>0</v>
      </c>
      <c r="AE354" s="80">
        <f t="shared" si="47"/>
        <v>87875000</v>
      </c>
      <c r="AF354" s="82">
        <v>0</v>
      </c>
      <c r="AG354" s="69">
        <v>40284</v>
      </c>
      <c r="AH354" s="94" t="s">
        <v>620</v>
      </c>
      <c r="AI354" s="69" t="s">
        <v>2009</v>
      </c>
      <c r="AJ354" s="25" t="s">
        <v>2010</v>
      </c>
      <c r="AK354" s="88" t="s">
        <v>2257</v>
      </c>
      <c r="AL354" s="185" t="s">
        <v>2182</v>
      </c>
      <c r="AM354" s="85" t="s">
        <v>613</v>
      </c>
      <c r="AN354" s="3"/>
      <c r="AO354" s="4"/>
      <c r="AP354" s="5"/>
      <c r="AQ354" s="4"/>
      <c r="AR354" s="4"/>
      <c r="AS354" s="4"/>
      <c r="AT354" s="4"/>
      <c r="AU354" s="4"/>
      <c r="AV354" s="4"/>
      <c r="AW354" s="4"/>
      <c r="AX354" s="4"/>
      <c r="AY354" s="4"/>
      <c r="AZ354" s="4">
        <v>450</v>
      </c>
      <c r="BA354" s="4">
        <f>450*56000</f>
        <v>25200000</v>
      </c>
      <c r="BB354" s="4">
        <v>500</v>
      </c>
      <c r="BC354" s="4">
        <f>500*56000</f>
        <v>28000000</v>
      </c>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v>500</v>
      </c>
      <c r="CK354" s="4">
        <f>500*21500</f>
        <v>10750000</v>
      </c>
      <c r="CL354" s="4"/>
      <c r="CM354" s="4"/>
      <c r="CN354" s="4"/>
      <c r="CO354" s="4"/>
      <c r="CP354" s="6">
        <v>150</v>
      </c>
      <c r="CQ354" s="7">
        <f>150*38500</f>
        <v>5775000</v>
      </c>
      <c r="CR354" s="6">
        <v>150</v>
      </c>
      <c r="CS354" s="7">
        <f>150*36000</f>
        <v>5400000</v>
      </c>
      <c r="CT354" s="6"/>
      <c r="CU354" s="7"/>
      <c r="CV354" s="8">
        <f t="shared" si="46"/>
        <v>75125000</v>
      </c>
      <c r="CW354" s="9"/>
      <c r="CX354" s="10"/>
      <c r="CY354" s="11">
        <v>150</v>
      </c>
      <c r="CZ354" s="12">
        <f>150*85000</f>
        <v>12750000</v>
      </c>
      <c r="DA354" s="29"/>
      <c r="DB354" s="12"/>
      <c r="DC354" s="9"/>
      <c r="DD354" s="10"/>
      <c r="DE354" s="71"/>
      <c r="EO354" s="353" t="str">
        <f t="shared" si="41"/>
        <v>TOLIMA_ESPINAL</v>
      </c>
      <c r="EP354" s="350"/>
      <c r="EQ354" s="350" t="s">
        <v>4220</v>
      </c>
      <c r="ER354" s="358" t="s">
        <v>4221</v>
      </c>
      <c r="ES354" s="350" t="s">
        <v>4996</v>
      </c>
      <c r="ET354" s="350" t="s">
        <v>6141</v>
      </c>
      <c r="EU354" s="350" t="str">
        <f t="shared" si="40"/>
        <v>Caldas_Aguadas</v>
      </c>
    </row>
    <row r="355" spans="1:151" ht="25.5" x14ac:dyDescent="0.2">
      <c r="A355" s="242">
        <v>40276</v>
      </c>
      <c r="B355" s="107" t="s">
        <v>2791</v>
      </c>
      <c r="C355" s="107" t="s">
        <v>617</v>
      </c>
      <c r="D355" s="427" t="s">
        <v>2307</v>
      </c>
      <c r="E355" s="107" t="str">
        <f>VLOOKUP(B355&amp;C355,Divipola!$C$2:$F$1138,4,FALSE)</f>
        <v>73461</v>
      </c>
      <c r="F355" s="330"/>
      <c r="G355" s="224"/>
      <c r="H355" s="75"/>
      <c r="I355" s="75"/>
      <c r="J355" s="75"/>
      <c r="K355" s="75"/>
      <c r="L355" s="75"/>
      <c r="M355" s="75"/>
      <c r="N355" s="75"/>
      <c r="O355" s="75"/>
      <c r="P355" s="75"/>
      <c r="Q355" s="75">
        <v>1</v>
      </c>
      <c r="R355" s="75"/>
      <c r="S355" s="75"/>
      <c r="T355" s="75"/>
      <c r="U355" s="75"/>
      <c r="V355" s="76"/>
      <c r="W355" s="205"/>
      <c r="X355" s="1"/>
      <c r="Y355" s="78">
        <f t="shared" si="42"/>
        <v>0</v>
      </c>
      <c r="Z355" s="78">
        <f t="shared" si="43"/>
        <v>0</v>
      </c>
      <c r="AA355" s="78">
        <f t="shared" si="44"/>
        <v>0</v>
      </c>
      <c r="AB355" s="78">
        <f t="shared" si="45"/>
        <v>0</v>
      </c>
      <c r="AC355" s="78"/>
      <c r="AD355" s="78">
        <v>0</v>
      </c>
      <c r="AE355" s="80">
        <f t="shared" si="47"/>
        <v>0</v>
      </c>
      <c r="AF355" s="82">
        <v>0</v>
      </c>
      <c r="AG355" s="69">
        <v>40277</v>
      </c>
      <c r="AH355" s="84"/>
      <c r="AI355" s="69" t="s">
        <v>1984</v>
      </c>
      <c r="AJ355" s="25" t="s">
        <v>1985</v>
      </c>
      <c r="AK355" s="65"/>
      <c r="AL355" s="185" t="s">
        <v>1257</v>
      </c>
      <c r="AM355" s="85" t="s">
        <v>618</v>
      </c>
      <c r="AN355" s="3"/>
      <c r="AO355" s="4"/>
      <c r="AP355" s="5"/>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6"/>
      <c r="CQ355" s="7"/>
      <c r="CR355" s="6"/>
      <c r="CS355" s="7"/>
      <c r="CT355" s="6"/>
      <c r="CU355" s="7"/>
      <c r="CV355" s="8">
        <f t="shared" si="46"/>
        <v>0</v>
      </c>
      <c r="CW355" s="9"/>
      <c r="CX355" s="10"/>
      <c r="CY355" s="11"/>
      <c r="CZ355" s="12"/>
      <c r="DA355" s="29"/>
      <c r="DB355" s="12"/>
      <c r="DC355" s="9"/>
      <c r="DD355" s="10"/>
      <c r="DE355" s="71"/>
      <c r="EO355" s="353" t="str">
        <f t="shared" si="41"/>
        <v>TOLIMA_MURILLO</v>
      </c>
      <c r="EP355" s="350"/>
      <c r="EQ355" s="365" t="s">
        <v>4220</v>
      </c>
      <c r="ER355" s="358" t="s">
        <v>4221</v>
      </c>
      <c r="ES355" s="365" t="s">
        <v>4997</v>
      </c>
      <c r="ET355" s="365" t="s">
        <v>6142</v>
      </c>
      <c r="EU355" s="365" t="str">
        <f t="shared" ref="EU355:EU414" si="48">ER355&amp;"_"&amp;ET355</f>
        <v>Caldas_Anserma</v>
      </c>
    </row>
    <row r="356" spans="1:151" ht="25.5" x14ac:dyDescent="0.2">
      <c r="A356" s="242">
        <v>40276</v>
      </c>
      <c r="B356" s="107" t="s">
        <v>2791</v>
      </c>
      <c r="C356" s="107" t="s">
        <v>2120</v>
      </c>
      <c r="D356" s="427" t="s">
        <v>837</v>
      </c>
      <c r="E356" s="107" t="str">
        <f>VLOOKUP(B356&amp;C356,Divipola!$C$2:$F$1138,4,FALSE)</f>
        <v>73585</v>
      </c>
      <c r="F356" s="330"/>
      <c r="G356" s="224"/>
      <c r="H356" s="75"/>
      <c r="I356" s="75"/>
      <c r="J356" s="75">
        <v>10</v>
      </c>
      <c r="K356" s="75">
        <v>2</v>
      </c>
      <c r="L356" s="75"/>
      <c r="M356" s="75">
        <v>2</v>
      </c>
      <c r="N356" s="75"/>
      <c r="O356" s="75"/>
      <c r="P356" s="75"/>
      <c r="Q356" s="75"/>
      <c r="R356" s="75"/>
      <c r="S356" s="75"/>
      <c r="T356" s="75"/>
      <c r="U356" s="75"/>
      <c r="V356" s="76"/>
      <c r="W356" s="205"/>
      <c r="X356" s="1"/>
      <c r="Y356" s="78">
        <f t="shared" si="42"/>
        <v>0</v>
      </c>
      <c r="Z356" s="78">
        <f t="shared" si="43"/>
        <v>0</v>
      </c>
      <c r="AA356" s="78">
        <f t="shared" si="44"/>
        <v>0</v>
      </c>
      <c r="AB356" s="78">
        <f t="shared" si="45"/>
        <v>0</v>
      </c>
      <c r="AC356" s="78"/>
      <c r="AD356" s="78">
        <v>0</v>
      </c>
      <c r="AE356" s="80">
        <f t="shared" si="47"/>
        <v>0</v>
      </c>
      <c r="AF356" s="82">
        <v>0</v>
      </c>
      <c r="AG356" s="69">
        <v>40277</v>
      </c>
      <c r="AH356" s="84"/>
      <c r="AI356" s="69" t="s">
        <v>1984</v>
      </c>
      <c r="AJ356" s="25" t="s">
        <v>1985</v>
      </c>
      <c r="AK356" s="65"/>
      <c r="AL356" s="185" t="s">
        <v>1257</v>
      </c>
      <c r="AM356" s="85" t="s">
        <v>3142</v>
      </c>
      <c r="AN356" s="3"/>
      <c r="AO356" s="4"/>
      <c r="AP356" s="5"/>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6"/>
      <c r="CQ356" s="7"/>
      <c r="CR356" s="6"/>
      <c r="CS356" s="7"/>
      <c r="CT356" s="6"/>
      <c r="CU356" s="7"/>
      <c r="CV356" s="8">
        <f t="shared" si="46"/>
        <v>0</v>
      </c>
      <c r="CW356" s="9"/>
      <c r="CX356" s="10"/>
      <c r="CY356" s="11"/>
      <c r="CZ356" s="12"/>
      <c r="DA356" s="29"/>
      <c r="DB356" s="12"/>
      <c r="DC356" s="9"/>
      <c r="DD356" s="10"/>
      <c r="DE356" s="71"/>
      <c r="EO356" s="353" t="str">
        <f t="shared" si="41"/>
        <v>TOLIMA_PURIFICACION</v>
      </c>
      <c r="EP356" s="350"/>
      <c r="EQ356" s="365" t="s">
        <v>4220</v>
      </c>
      <c r="ER356" s="358" t="s">
        <v>4221</v>
      </c>
      <c r="ES356" s="365" t="s">
        <v>4998</v>
      </c>
      <c r="ET356" s="365" t="s">
        <v>6143</v>
      </c>
      <c r="EU356" s="365" t="str">
        <f t="shared" si="48"/>
        <v>Caldas_Aranzazu</v>
      </c>
    </row>
    <row r="357" spans="1:151" ht="38.25" x14ac:dyDescent="0.2">
      <c r="A357" s="246">
        <v>40277</v>
      </c>
      <c r="B357" s="107" t="s">
        <v>6305</v>
      </c>
      <c r="C357" s="107" t="s">
        <v>6305</v>
      </c>
      <c r="D357" s="432" t="s">
        <v>2307</v>
      </c>
      <c r="E357" s="107" t="str">
        <f>VLOOKUP(B357&amp;C357,Divipola!$C$2:$F$1138,4,FALSE)</f>
        <v>11001</v>
      </c>
      <c r="F357" s="412"/>
      <c r="G357" s="325"/>
      <c r="H357" s="299"/>
      <c r="I357" s="299"/>
      <c r="J357" s="299"/>
      <c r="K357" s="415"/>
      <c r="L357" s="299"/>
      <c r="M357" s="299"/>
      <c r="N357" s="299"/>
      <c r="O357" s="299"/>
      <c r="P357" s="299"/>
      <c r="Q357" s="299"/>
      <c r="R357" s="299"/>
      <c r="S357" s="299"/>
      <c r="T357" s="299"/>
      <c r="U357" s="299"/>
      <c r="V357" s="300"/>
      <c r="W357" s="301"/>
      <c r="X357" s="302"/>
      <c r="Y357" s="303">
        <f t="shared" si="42"/>
        <v>0</v>
      </c>
      <c r="Z357" s="303">
        <f t="shared" si="43"/>
        <v>0</v>
      </c>
      <c r="AA357" s="303">
        <f t="shared" si="44"/>
        <v>0</v>
      </c>
      <c r="AB357" s="303">
        <f t="shared" si="45"/>
        <v>0</v>
      </c>
      <c r="AC357" s="303"/>
      <c r="AD357" s="303">
        <v>0</v>
      </c>
      <c r="AE357" s="304">
        <f t="shared" si="47"/>
        <v>0</v>
      </c>
      <c r="AF357" s="305">
        <v>0</v>
      </c>
      <c r="AG357" s="306">
        <v>40624</v>
      </c>
      <c r="AH357" s="307"/>
      <c r="AI357" s="306" t="s">
        <v>1984</v>
      </c>
      <c r="AJ357" s="308" t="s">
        <v>1985</v>
      </c>
      <c r="AK357" s="309"/>
      <c r="AL357" s="310" t="s">
        <v>1257</v>
      </c>
      <c r="AM357" s="420" t="s">
        <v>3744</v>
      </c>
      <c r="AN357" s="312"/>
      <c r="AO357" s="313"/>
      <c r="AP357" s="314"/>
      <c r="AQ357" s="313"/>
      <c r="AR357" s="313"/>
      <c r="AS357" s="313"/>
      <c r="AT357" s="313"/>
      <c r="AU357" s="313"/>
      <c r="AV357" s="313"/>
      <c r="AW357" s="313"/>
      <c r="AX357" s="313"/>
      <c r="AY357" s="313"/>
      <c r="AZ357" s="313"/>
      <c r="BA357" s="313"/>
      <c r="BB357" s="313"/>
      <c r="BC357" s="313"/>
      <c r="BD357" s="313"/>
      <c r="BE357" s="313"/>
      <c r="BF357" s="313"/>
      <c r="BG357" s="313"/>
      <c r="BH357" s="313"/>
      <c r="BI357" s="313"/>
      <c r="BJ357" s="313"/>
      <c r="BK357" s="313"/>
      <c r="BL357" s="313"/>
      <c r="BM357" s="313"/>
      <c r="BN357" s="313"/>
      <c r="BO357" s="313"/>
      <c r="BP357" s="313"/>
      <c r="BQ357" s="313"/>
      <c r="BR357" s="313"/>
      <c r="BS357" s="313"/>
      <c r="BT357" s="313"/>
      <c r="BU357" s="313"/>
      <c r="BV357" s="313"/>
      <c r="BW357" s="313"/>
      <c r="BX357" s="313"/>
      <c r="BY357" s="313"/>
      <c r="BZ357" s="313"/>
      <c r="CA357" s="313"/>
      <c r="CB357" s="313"/>
      <c r="CC357" s="313"/>
      <c r="CD357" s="313"/>
      <c r="CE357" s="313"/>
      <c r="CF357" s="313"/>
      <c r="CG357" s="313"/>
      <c r="CH357" s="313"/>
      <c r="CI357" s="313"/>
      <c r="CJ357" s="313"/>
      <c r="CK357" s="313"/>
      <c r="CL357" s="313"/>
      <c r="CM357" s="313"/>
      <c r="CN357" s="313"/>
      <c r="CO357" s="313"/>
      <c r="CP357" s="315"/>
      <c r="CQ357" s="316"/>
      <c r="CR357" s="315"/>
      <c r="CS357" s="316"/>
      <c r="CT357" s="315"/>
      <c r="CU357" s="316"/>
      <c r="CV357" s="317">
        <f t="shared" si="46"/>
        <v>0</v>
      </c>
      <c r="CW357" s="318"/>
      <c r="CX357" s="319"/>
      <c r="CY357" s="320"/>
      <c r="CZ357" s="321"/>
      <c r="DA357" s="322"/>
      <c r="DB357" s="321"/>
      <c r="DC357" s="318"/>
      <c r="DD357" s="319"/>
      <c r="DE357" s="323"/>
      <c r="DF357" s="324"/>
      <c r="EO357" s="353" t="str">
        <f t="shared" si="41"/>
        <v>BOGOTA, D.C._BOGOTA, D.C.</v>
      </c>
      <c r="EP357" s="350"/>
      <c r="EQ357" s="350" t="s">
        <v>4220</v>
      </c>
      <c r="ER357" s="358" t="s">
        <v>4221</v>
      </c>
      <c r="ES357" s="350" t="s">
        <v>4999</v>
      </c>
      <c r="ET357" s="350" t="s">
        <v>6144</v>
      </c>
      <c r="EU357" s="350" t="str">
        <f t="shared" si="48"/>
        <v>Caldas_Belalcazar</v>
      </c>
    </row>
    <row r="358" spans="1:151" ht="38.25" x14ac:dyDescent="0.2">
      <c r="A358" s="242">
        <v>40277</v>
      </c>
      <c r="B358" s="107" t="s">
        <v>828</v>
      </c>
      <c r="C358" s="107" t="s">
        <v>1545</v>
      </c>
      <c r="D358" s="427" t="s">
        <v>2307</v>
      </c>
      <c r="E358" s="107" t="str">
        <f>VLOOKUP(B358&amp;C358,Divipola!$C$2:$F$1138,4,FALSE)</f>
        <v>15407</v>
      </c>
      <c r="F358" s="330"/>
      <c r="G358" s="224"/>
      <c r="H358" s="75"/>
      <c r="I358" s="75"/>
      <c r="J358" s="75">
        <v>15</v>
      </c>
      <c r="K358" s="75">
        <v>3</v>
      </c>
      <c r="L358" s="75"/>
      <c r="M358" s="75">
        <v>3</v>
      </c>
      <c r="N358" s="75"/>
      <c r="O358" s="75"/>
      <c r="P358" s="75"/>
      <c r="Q358" s="75"/>
      <c r="R358" s="75"/>
      <c r="S358" s="75"/>
      <c r="T358" s="75"/>
      <c r="U358" s="75"/>
      <c r="V358" s="76"/>
      <c r="W358" s="205"/>
      <c r="X358" s="1"/>
      <c r="Y358" s="78">
        <f t="shared" si="42"/>
        <v>0</v>
      </c>
      <c r="Z358" s="78">
        <f t="shared" si="43"/>
        <v>0</v>
      </c>
      <c r="AA358" s="78">
        <f t="shared" si="44"/>
        <v>0</v>
      </c>
      <c r="AB358" s="78">
        <f t="shared" si="45"/>
        <v>0</v>
      </c>
      <c r="AC358" s="78"/>
      <c r="AD358" s="78">
        <v>0</v>
      </c>
      <c r="AE358" s="80">
        <f t="shared" si="47"/>
        <v>0</v>
      </c>
      <c r="AF358" s="82">
        <v>0</v>
      </c>
      <c r="AG358" s="69">
        <v>40277</v>
      </c>
      <c r="AH358" s="84"/>
      <c r="AI358" s="69" t="s">
        <v>1984</v>
      </c>
      <c r="AJ358" s="25" t="s">
        <v>1985</v>
      </c>
      <c r="AK358" s="65"/>
      <c r="AL358" s="185" t="s">
        <v>1257</v>
      </c>
      <c r="AM358" s="85" t="s">
        <v>2117</v>
      </c>
      <c r="AN358" s="3"/>
      <c r="AO358" s="4"/>
      <c r="AP358" s="5"/>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6"/>
      <c r="CQ358" s="7"/>
      <c r="CR358" s="6"/>
      <c r="CS358" s="7"/>
      <c r="CT358" s="6"/>
      <c r="CU358" s="7"/>
      <c r="CV358" s="8">
        <f t="shared" si="46"/>
        <v>0</v>
      </c>
      <c r="CW358" s="9"/>
      <c r="CX358" s="10"/>
      <c r="CY358" s="11"/>
      <c r="CZ358" s="12"/>
      <c r="DA358" s="29"/>
      <c r="DB358" s="12"/>
      <c r="DC358" s="9"/>
      <c r="DD358" s="10"/>
      <c r="DE358" s="71"/>
      <c r="EO358" s="366" t="str">
        <f t="shared" si="41"/>
        <v>BOYACA_VILLA DE LEYVA</v>
      </c>
      <c r="EP358" s="357"/>
      <c r="EQ358" s="350" t="s">
        <v>4220</v>
      </c>
      <c r="ER358" s="358" t="s">
        <v>4221</v>
      </c>
      <c r="ES358" s="350" t="s">
        <v>5000</v>
      </c>
      <c r="ET358" s="350" t="s">
        <v>6145</v>
      </c>
      <c r="EU358" s="350" t="str">
        <f t="shared" si="48"/>
        <v>Caldas_Chinchina</v>
      </c>
    </row>
    <row r="359" spans="1:151" ht="36" x14ac:dyDescent="0.2">
      <c r="A359" s="242">
        <v>40277</v>
      </c>
      <c r="B359" s="107" t="s">
        <v>708</v>
      </c>
      <c r="C359" s="107" t="s">
        <v>3098</v>
      </c>
      <c r="D359" s="427" t="s">
        <v>837</v>
      </c>
      <c r="E359" s="107" t="str">
        <f>VLOOKUP(B359&amp;C359,Divipola!$C$2:$F$1138,4,FALSE)</f>
        <v>50330</v>
      </c>
      <c r="F359" s="330"/>
      <c r="G359" s="224"/>
      <c r="H359" s="75"/>
      <c r="I359" s="75"/>
      <c r="J359" s="75">
        <v>5</v>
      </c>
      <c r="K359" s="75">
        <v>1</v>
      </c>
      <c r="L359" s="75"/>
      <c r="M359" s="75"/>
      <c r="N359" s="75">
        <v>3</v>
      </c>
      <c r="O359" s="75">
        <v>1</v>
      </c>
      <c r="P359" s="75"/>
      <c r="Q359" s="75"/>
      <c r="R359" s="75"/>
      <c r="S359" s="75"/>
      <c r="T359" s="75"/>
      <c r="U359" s="75"/>
      <c r="V359" s="76"/>
      <c r="W359" s="205"/>
      <c r="X359" s="1"/>
      <c r="Y359" s="78">
        <f t="shared" si="42"/>
        <v>0</v>
      </c>
      <c r="Z359" s="78">
        <f t="shared" si="43"/>
        <v>0</v>
      </c>
      <c r="AA359" s="78">
        <f t="shared" si="44"/>
        <v>0</v>
      </c>
      <c r="AB359" s="78">
        <f t="shared" si="45"/>
        <v>0</v>
      </c>
      <c r="AC359" s="78"/>
      <c r="AD359" s="78">
        <v>0</v>
      </c>
      <c r="AE359" s="80">
        <f t="shared" si="47"/>
        <v>0</v>
      </c>
      <c r="AF359" s="82">
        <v>0</v>
      </c>
      <c r="AG359" s="69">
        <v>40280</v>
      </c>
      <c r="AH359" s="84"/>
      <c r="AI359" s="69" t="s">
        <v>1984</v>
      </c>
      <c r="AJ359" s="25" t="s">
        <v>1985</v>
      </c>
      <c r="AK359" s="65"/>
      <c r="AL359" s="185" t="s">
        <v>1257</v>
      </c>
      <c r="AM359" s="85" t="s">
        <v>3099</v>
      </c>
      <c r="AN359" s="3"/>
      <c r="AO359" s="4"/>
      <c r="AP359" s="5"/>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6"/>
      <c r="CQ359" s="7"/>
      <c r="CR359" s="6"/>
      <c r="CS359" s="7"/>
      <c r="CT359" s="6"/>
      <c r="CU359" s="7"/>
      <c r="CV359" s="8">
        <f t="shared" si="46"/>
        <v>0</v>
      </c>
      <c r="CW359" s="9"/>
      <c r="CX359" s="10"/>
      <c r="CY359" s="11"/>
      <c r="CZ359" s="12"/>
      <c r="DA359" s="29"/>
      <c r="DB359" s="12"/>
      <c r="DC359" s="9"/>
      <c r="DD359" s="10"/>
      <c r="DE359" s="71"/>
      <c r="EO359" s="353" t="str">
        <f t="shared" si="41"/>
        <v>META_MESETAS</v>
      </c>
      <c r="EP359" s="350"/>
      <c r="EQ359" s="350" t="s">
        <v>4220</v>
      </c>
      <c r="ER359" s="358" t="s">
        <v>4221</v>
      </c>
      <c r="ES359" s="350" t="s">
        <v>5001</v>
      </c>
      <c r="ET359" s="350" t="s">
        <v>6146</v>
      </c>
      <c r="EU359" s="350" t="str">
        <f t="shared" si="48"/>
        <v>Caldas_Filadelfia</v>
      </c>
    </row>
    <row r="360" spans="1:151" ht="60" x14ac:dyDescent="0.2">
      <c r="A360" s="242">
        <v>40277</v>
      </c>
      <c r="B360" s="107" t="s">
        <v>708</v>
      </c>
      <c r="C360" s="107" t="s">
        <v>2116</v>
      </c>
      <c r="D360" s="427" t="s">
        <v>837</v>
      </c>
      <c r="E360" s="107" t="str">
        <f>VLOOKUP(B360&amp;C360,Divipola!$C$2:$F$1138,4,FALSE)</f>
        <v>50683</v>
      </c>
      <c r="F360" s="330"/>
      <c r="G360" s="224"/>
      <c r="H360" s="75"/>
      <c r="I360" s="75"/>
      <c r="J360" s="75">
        <f>223-100</f>
        <v>123</v>
      </c>
      <c r="K360" s="75">
        <v>30</v>
      </c>
      <c r="L360" s="75"/>
      <c r="M360" s="75">
        <v>30</v>
      </c>
      <c r="N360" s="75">
        <v>2</v>
      </c>
      <c r="O360" s="75"/>
      <c r="P360" s="75"/>
      <c r="Q360" s="75">
        <v>1</v>
      </c>
      <c r="R360" s="75"/>
      <c r="S360" s="75"/>
      <c r="T360" s="75"/>
      <c r="U360" s="75"/>
      <c r="V360" s="76">
        <v>180</v>
      </c>
      <c r="W360" s="205" t="s">
        <v>2803</v>
      </c>
      <c r="X360" s="1">
        <v>40312</v>
      </c>
      <c r="Y360" s="78">
        <f t="shared" si="42"/>
        <v>9165000</v>
      </c>
      <c r="Z360" s="78">
        <f t="shared" si="43"/>
        <v>2550000</v>
      </c>
      <c r="AA360" s="78">
        <f t="shared" si="44"/>
        <v>0</v>
      </c>
      <c r="AB360" s="78">
        <f t="shared" si="45"/>
        <v>0</v>
      </c>
      <c r="AC360" s="78"/>
      <c r="AD360" s="78">
        <v>0</v>
      </c>
      <c r="AE360" s="80">
        <f t="shared" si="47"/>
        <v>11715000</v>
      </c>
      <c r="AF360" s="82">
        <v>0</v>
      </c>
      <c r="AG360" s="69">
        <v>40280</v>
      </c>
      <c r="AH360" s="84">
        <v>96554</v>
      </c>
      <c r="AI360" s="69" t="s">
        <v>2009</v>
      </c>
      <c r="AJ360" s="25" t="s">
        <v>2010</v>
      </c>
      <c r="AK360" s="65">
        <v>112</v>
      </c>
      <c r="AL360" s="185" t="s">
        <v>2182</v>
      </c>
      <c r="AM360" s="85" t="s">
        <v>839</v>
      </c>
      <c r="AN360" s="3"/>
      <c r="AO360" s="4"/>
      <c r="AP360" s="5"/>
      <c r="AQ360" s="4"/>
      <c r="AR360" s="4"/>
      <c r="AS360" s="4"/>
      <c r="AT360" s="4"/>
      <c r="AU360" s="4"/>
      <c r="AV360" s="4"/>
      <c r="AW360" s="4"/>
      <c r="AX360" s="4"/>
      <c r="AY360" s="4"/>
      <c r="AZ360" s="4">
        <v>90</v>
      </c>
      <c r="BA360" s="4">
        <f>90*56000</f>
        <v>5040000</v>
      </c>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v>90</v>
      </c>
      <c r="CK360" s="4">
        <f>90*21000</f>
        <v>1890000</v>
      </c>
      <c r="CL360" s="4"/>
      <c r="CM360" s="4"/>
      <c r="CN360" s="4"/>
      <c r="CO360" s="4"/>
      <c r="CP360" s="6">
        <v>30</v>
      </c>
      <c r="CQ360" s="7">
        <f>30*38500</f>
        <v>1155000</v>
      </c>
      <c r="CR360" s="6">
        <v>30</v>
      </c>
      <c r="CS360" s="7">
        <f>30*36000</f>
        <v>1080000</v>
      </c>
      <c r="CT360" s="6"/>
      <c r="CU360" s="7"/>
      <c r="CV360" s="8">
        <f t="shared" si="46"/>
        <v>9165000</v>
      </c>
      <c r="CW360" s="9">
        <v>3</v>
      </c>
      <c r="CX360" s="10"/>
      <c r="CY360" s="11">
        <v>30</v>
      </c>
      <c r="CZ360" s="12">
        <f>30*85000</f>
        <v>2550000</v>
      </c>
      <c r="DA360" s="29"/>
      <c r="DB360" s="12"/>
      <c r="DC360" s="9"/>
      <c r="DD360" s="10"/>
      <c r="DE360" s="71"/>
      <c r="EO360" s="353" t="str">
        <f t="shared" si="41"/>
        <v>META_SAN JUAN DE ARAMA</v>
      </c>
      <c r="EP360" s="350"/>
      <c r="EQ360" s="350" t="s">
        <v>4220</v>
      </c>
      <c r="ER360" s="358" t="s">
        <v>4221</v>
      </c>
      <c r="ES360" s="350" t="s">
        <v>5002</v>
      </c>
      <c r="ET360" s="350" t="s">
        <v>6147</v>
      </c>
      <c r="EU360" s="350" t="str">
        <f t="shared" si="48"/>
        <v>Caldas_La Dorada</v>
      </c>
    </row>
    <row r="361" spans="1:151" ht="45" x14ac:dyDescent="0.2">
      <c r="A361" s="242">
        <v>40277</v>
      </c>
      <c r="B361" s="107" t="s">
        <v>708</v>
      </c>
      <c r="C361" s="107" t="s">
        <v>2833</v>
      </c>
      <c r="D361" s="427" t="s">
        <v>837</v>
      </c>
      <c r="E361" s="107" t="str">
        <f>VLOOKUP(B361&amp;C361,Divipola!$C$2:$F$1138,4,FALSE)</f>
        <v>50711</v>
      </c>
      <c r="F361" s="330"/>
      <c r="G361" s="224"/>
      <c r="H361" s="75"/>
      <c r="I361" s="75"/>
      <c r="J361" s="75">
        <v>1225</v>
      </c>
      <c r="K361" s="75">
        <v>240</v>
      </c>
      <c r="L361" s="75"/>
      <c r="M361" s="75">
        <v>240</v>
      </c>
      <c r="N361" s="75"/>
      <c r="O361" s="75"/>
      <c r="P361" s="75"/>
      <c r="Q361" s="75"/>
      <c r="R361" s="75"/>
      <c r="S361" s="75"/>
      <c r="T361" s="75"/>
      <c r="U361" s="75"/>
      <c r="V361" s="76"/>
      <c r="W361" s="205"/>
      <c r="X361" s="1"/>
      <c r="Y361" s="78">
        <f t="shared" si="42"/>
        <v>56380000</v>
      </c>
      <c r="Z361" s="78">
        <f t="shared" si="43"/>
        <v>20400000</v>
      </c>
      <c r="AA361" s="78">
        <f t="shared" si="44"/>
        <v>0</v>
      </c>
      <c r="AB361" s="78">
        <f t="shared" si="45"/>
        <v>0</v>
      </c>
      <c r="AC361" s="78"/>
      <c r="AD361" s="78">
        <v>0</v>
      </c>
      <c r="AE361" s="80">
        <f t="shared" si="47"/>
        <v>76780000</v>
      </c>
      <c r="AF361" s="82">
        <v>0</v>
      </c>
      <c r="AG361" s="69">
        <v>40280</v>
      </c>
      <c r="AH361" s="84">
        <v>96554</v>
      </c>
      <c r="AI361" s="69" t="s">
        <v>2009</v>
      </c>
      <c r="AJ361" s="25" t="s">
        <v>2010</v>
      </c>
      <c r="AK361" s="65">
        <v>112</v>
      </c>
      <c r="AL361" s="185" t="s">
        <v>2182</v>
      </c>
      <c r="AM361" s="85" t="s">
        <v>840</v>
      </c>
      <c r="AN361" s="3"/>
      <c r="AO361" s="4"/>
      <c r="AP361" s="5"/>
      <c r="AQ361" s="4"/>
      <c r="AR361" s="4"/>
      <c r="AS361" s="4"/>
      <c r="AT361" s="4"/>
      <c r="AU361" s="4"/>
      <c r="AV361" s="4"/>
      <c r="AW361" s="4"/>
      <c r="AX361" s="4"/>
      <c r="AY361" s="4"/>
      <c r="AZ361" s="4">
        <v>500</v>
      </c>
      <c r="BA361" s="4">
        <f>500*56000</f>
        <v>28000000</v>
      </c>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v>500</v>
      </c>
      <c r="CK361" s="4">
        <f>500*21000</f>
        <v>10500000</v>
      </c>
      <c r="CL361" s="4"/>
      <c r="CM361" s="4"/>
      <c r="CN361" s="4"/>
      <c r="CO361" s="4"/>
      <c r="CP361" s="6">
        <v>240</v>
      </c>
      <c r="CQ361" s="7">
        <f>240*38500</f>
        <v>9240000</v>
      </c>
      <c r="CR361" s="6">
        <v>240</v>
      </c>
      <c r="CS361" s="7">
        <f>240*36000</f>
        <v>8640000</v>
      </c>
      <c r="CT361" s="6"/>
      <c r="CU361" s="7"/>
      <c r="CV361" s="8">
        <f t="shared" si="46"/>
        <v>56380000</v>
      </c>
      <c r="CW361" s="9">
        <v>2</v>
      </c>
      <c r="CX361" s="10"/>
      <c r="CY361" s="11">
        <v>240</v>
      </c>
      <c r="CZ361" s="12">
        <f>240*85000</f>
        <v>20400000</v>
      </c>
      <c r="DA361" s="29"/>
      <c r="DB361" s="12"/>
      <c r="DC361" s="9"/>
      <c r="DD361" s="10"/>
      <c r="DE361" s="71"/>
      <c r="EO361" s="353" t="str">
        <f t="shared" si="41"/>
        <v>META_VISTAHERMOSA</v>
      </c>
      <c r="EP361" s="350"/>
      <c r="EQ361" s="350" t="s">
        <v>4220</v>
      </c>
      <c r="ER361" s="358" t="s">
        <v>4221</v>
      </c>
      <c r="ES361" s="350" t="s">
        <v>5003</v>
      </c>
      <c r="ET361" s="350" t="s">
        <v>6148</v>
      </c>
      <c r="EU361" s="350" t="str">
        <f t="shared" si="48"/>
        <v>Caldas_La Merced</v>
      </c>
    </row>
    <row r="362" spans="1:151" ht="25.5" x14ac:dyDescent="0.2">
      <c r="A362" s="242">
        <v>40277</v>
      </c>
      <c r="B362" s="107" t="s">
        <v>2014</v>
      </c>
      <c r="C362" s="107" t="s">
        <v>1992</v>
      </c>
      <c r="D362" s="427" t="s">
        <v>1993</v>
      </c>
      <c r="E362" s="107" t="str">
        <f>VLOOKUP(B362&amp;C362,Divipola!$C$2:$F$1138,4,FALSE)</f>
        <v>63401</v>
      </c>
      <c r="F362" s="330"/>
      <c r="G362" s="224">
        <v>1</v>
      </c>
      <c r="H362" s="75"/>
      <c r="I362" s="75"/>
      <c r="J362" s="75"/>
      <c r="K362" s="75"/>
      <c r="L362" s="75"/>
      <c r="M362" s="75"/>
      <c r="N362" s="75"/>
      <c r="O362" s="75"/>
      <c r="P362" s="75"/>
      <c r="Q362" s="75"/>
      <c r="R362" s="75"/>
      <c r="S362" s="75"/>
      <c r="T362" s="75"/>
      <c r="U362" s="75"/>
      <c r="V362" s="76"/>
      <c r="W362" s="205"/>
      <c r="X362" s="1"/>
      <c r="Y362" s="78">
        <f t="shared" si="42"/>
        <v>0</v>
      </c>
      <c r="Z362" s="78">
        <f t="shared" si="43"/>
        <v>0</v>
      </c>
      <c r="AA362" s="78">
        <f t="shared" si="44"/>
        <v>0</v>
      </c>
      <c r="AB362" s="78">
        <f t="shared" si="45"/>
        <v>0</v>
      </c>
      <c r="AC362" s="78"/>
      <c r="AD362" s="78">
        <v>0</v>
      </c>
      <c r="AE362" s="80">
        <f t="shared" si="47"/>
        <v>0</v>
      </c>
      <c r="AF362" s="82">
        <v>0</v>
      </c>
      <c r="AG362" s="69">
        <v>40278</v>
      </c>
      <c r="AH362" s="84"/>
      <c r="AI362" s="69" t="s">
        <v>1984</v>
      </c>
      <c r="AJ362" s="25" t="s">
        <v>1985</v>
      </c>
      <c r="AK362" s="65"/>
      <c r="AL362" s="185" t="s">
        <v>1257</v>
      </c>
      <c r="AM362" s="85" t="s">
        <v>1994</v>
      </c>
      <c r="AN362" s="3"/>
      <c r="AO362" s="4"/>
      <c r="AP362" s="5"/>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6"/>
      <c r="CQ362" s="7"/>
      <c r="CR362" s="6"/>
      <c r="CS362" s="7"/>
      <c r="CT362" s="6"/>
      <c r="CU362" s="7"/>
      <c r="CV362" s="8">
        <f t="shared" si="46"/>
        <v>0</v>
      </c>
      <c r="CW362" s="9"/>
      <c r="CX362" s="10"/>
      <c r="CY362" s="11"/>
      <c r="CZ362" s="12"/>
      <c r="DA362" s="29"/>
      <c r="DB362" s="12"/>
      <c r="DC362" s="9"/>
      <c r="DD362" s="10"/>
      <c r="DE362" s="71"/>
      <c r="EO362" s="353" t="str">
        <f t="shared" si="41"/>
        <v>QUINDIO_LA TEBAIDA</v>
      </c>
      <c r="EP362" s="350"/>
      <c r="EQ362" s="357" t="s">
        <v>4220</v>
      </c>
      <c r="ER362" s="358" t="s">
        <v>4221</v>
      </c>
      <c r="ES362" s="357" t="s">
        <v>5004</v>
      </c>
      <c r="ET362" s="357" t="s">
        <v>6149</v>
      </c>
      <c r="EU362" s="357" t="str">
        <f t="shared" si="48"/>
        <v>Caldas_Manzanares</v>
      </c>
    </row>
    <row r="363" spans="1:151" ht="56.25" x14ac:dyDescent="0.2">
      <c r="A363" s="242">
        <v>40277</v>
      </c>
      <c r="B363" s="107" t="s">
        <v>2791</v>
      </c>
      <c r="C363" s="107" t="s">
        <v>2216</v>
      </c>
      <c r="D363" s="427" t="s">
        <v>2307</v>
      </c>
      <c r="E363" s="107" t="str">
        <f>VLOOKUP(B363&amp;C363,Divipola!$C$2:$F$1138,4,FALSE)</f>
        <v>73411</v>
      </c>
      <c r="F363" s="330"/>
      <c r="G363" s="224"/>
      <c r="H363" s="75"/>
      <c r="I363" s="75"/>
      <c r="J363" s="75"/>
      <c r="K363" s="75"/>
      <c r="L363" s="75"/>
      <c r="M363" s="75"/>
      <c r="N363" s="75"/>
      <c r="O363" s="75"/>
      <c r="P363" s="75"/>
      <c r="Q363" s="75">
        <v>1</v>
      </c>
      <c r="R363" s="75"/>
      <c r="S363" s="75"/>
      <c r="T363" s="75"/>
      <c r="U363" s="75"/>
      <c r="V363" s="76"/>
      <c r="W363" s="205"/>
      <c r="X363" s="1">
        <v>40295</v>
      </c>
      <c r="Y363" s="78">
        <f t="shared" si="42"/>
        <v>97180140.800000012</v>
      </c>
      <c r="Z363" s="78">
        <f t="shared" si="43"/>
        <v>24395000</v>
      </c>
      <c r="AA363" s="78">
        <f t="shared" si="44"/>
        <v>21332400</v>
      </c>
      <c r="AB363" s="78">
        <f t="shared" si="45"/>
        <v>0</v>
      </c>
      <c r="AC363" s="78"/>
      <c r="AD363" s="78">
        <v>0</v>
      </c>
      <c r="AE363" s="80">
        <f t="shared" si="47"/>
        <v>142907540.80000001</v>
      </c>
      <c r="AF363" s="82">
        <v>0</v>
      </c>
      <c r="AG363" s="69">
        <v>40284</v>
      </c>
      <c r="AH363" s="84">
        <v>96689</v>
      </c>
      <c r="AI363" s="69" t="s">
        <v>2009</v>
      </c>
      <c r="AJ363" s="25" t="s">
        <v>2010</v>
      </c>
      <c r="AK363" s="88" t="s">
        <v>3114</v>
      </c>
      <c r="AL363" s="185" t="s">
        <v>1275</v>
      </c>
      <c r="AM363" s="85" t="s">
        <v>606</v>
      </c>
      <c r="AN363" s="3"/>
      <c r="AO363" s="4"/>
      <c r="AP363" s="5"/>
      <c r="AQ363" s="4"/>
      <c r="AR363" s="4"/>
      <c r="AS363" s="4"/>
      <c r="AT363" s="4"/>
      <c r="AU363" s="4"/>
      <c r="AV363" s="4"/>
      <c r="AW363" s="4"/>
      <c r="AX363" s="4"/>
      <c r="AY363" s="4"/>
      <c r="AZ363" s="4"/>
      <c r="BA363" s="4"/>
      <c r="BB363" s="4">
        <v>990</v>
      </c>
      <c r="BC363" s="4">
        <f>990*56000</f>
        <v>55440000</v>
      </c>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v>990</v>
      </c>
      <c r="CK363" s="4">
        <f>990*20999.48</f>
        <v>20789485.199999999</v>
      </c>
      <c r="CL363" s="4"/>
      <c r="CM363" s="4"/>
      <c r="CN363" s="4"/>
      <c r="CO363" s="4"/>
      <c r="CP363" s="6">
        <v>287</v>
      </c>
      <c r="CQ363" s="7">
        <f>287*36999.36</f>
        <v>10618816.32</v>
      </c>
      <c r="CR363" s="6">
        <v>287</v>
      </c>
      <c r="CS363" s="7">
        <f>287*35999.44</f>
        <v>10331839.280000001</v>
      </c>
      <c r="CT363" s="6"/>
      <c r="CU363" s="7"/>
      <c r="CV363" s="8">
        <f t="shared" si="46"/>
        <v>97180140.800000012</v>
      </c>
      <c r="CW363" s="9"/>
      <c r="CX363" s="10"/>
      <c r="CY363" s="11">
        <v>287</v>
      </c>
      <c r="CZ363" s="12">
        <f>287*85000</f>
        <v>24395000</v>
      </c>
      <c r="DA363" s="29"/>
      <c r="DB363" s="12"/>
      <c r="DC363" s="9">
        <f>150+800</f>
        <v>950</v>
      </c>
      <c r="DD363" s="10">
        <f>150*34568+800*19140+300*556.8+3200*208.8</f>
        <v>21332400</v>
      </c>
      <c r="DE363" s="89"/>
      <c r="EO363" s="353" t="str">
        <f t="shared" si="41"/>
        <v>TOLIMA_LIBANO</v>
      </c>
      <c r="EP363" s="350"/>
      <c r="EQ363" s="350" t="s">
        <v>4220</v>
      </c>
      <c r="ER363" s="358" t="s">
        <v>4221</v>
      </c>
      <c r="ES363" s="350" t="s">
        <v>5005</v>
      </c>
      <c r="ET363" s="350" t="s">
        <v>6150</v>
      </c>
      <c r="EU363" s="350" t="str">
        <f t="shared" si="48"/>
        <v>Caldas_Marmato</v>
      </c>
    </row>
    <row r="364" spans="1:151" ht="38.25" x14ac:dyDescent="0.2">
      <c r="A364" s="242">
        <v>40277</v>
      </c>
      <c r="B364" s="107" t="s">
        <v>2791</v>
      </c>
      <c r="C364" s="107" t="s">
        <v>607</v>
      </c>
      <c r="D364" s="427" t="s">
        <v>2307</v>
      </c>
      <c r="E364" s="107" t="str">
        <f>VLOOKUP(B364&amp;C364,Divipola!$C$2:$F$1138,4,FALSE)</f>
        <v>73686</v>
      </c>
      <c r="F364" s="330"/>
      <c r="G364" s="224"/>
      <c r="H364" s="75"/>
      <c r="I364" s="75"/>
      <c r="J364" s="75"/>
      <c r="K364" s="75"/>
      <c r="L364" s="75"/>
      <c r="M364" s="75"/>
      <c r="N364" s="75"/>
      <c r="O364" s="75"/>
      <c r="P364" s="75"/>
      <c r="Q364" s="75">
        <v>1</v>
      </c>
      <c r="R364" s="75"/>
      <c r="S364" s="75"/>
      <c r="T364" s="75"/>
      <c r="U364" s="75"/>
      <c r="V364" s="76"/>
      <c r="W364" s="205"/>
      <c r="X364" s="1"/>
      <c r="Y364" s="78">
        <f t="shared" si="42"/>
        <v>0</v>
      </c>
      <c r="Z364" s="78">
        <f t="shared" si="43"/>
        <v>0</v>
      </c>
      <c r="AA364" s="78">
        <f t="shared" si="44"/>
        <v>0</v>
      </c>
      <c r="AB364" s="78">
        <f t="shared" si="45"/>
        <v>0</v>
      </c>
      <c r="AC364" s="78"/>
      <c r="AD364" s="78">
        <v>0</v>
      </c>
      <c r="AE364" s="80">
        <f t="shared" si="47"/>
        <v>0</v>
      </c>
      <c r="AF364" s="82">
        <v>0</v>
      </c>
      <c r="AG364" s="69">
        <v>40278</v>
      </c>
      <c r="AH364" s="84"/>
      <c r="AI364" s="69" t="s">
        <v>1984</v>
      </c>
      <c r="AJ364" s="25" t="s">
        <v>1985</v>
      </c>
      <c r="AK364" s="65"/>
      <c r="AL364" s="185" t="s">
        <v>1257</v>
      </c>
      <c r="AM364" s="85" t="s">
        <v>608</v>
      </c>
      <c r="AN364" s="3"/>
      <c r="AO364" s="4"/>
      <c r="AP364" s="5"/>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6"/>
      <c r="CQ364" s="7"/>
      <c r="CR364" s="6"/>
      <c r="CS364" s="7"/>
      <c r="CT364" s="6"/>
      <c r="CU364" s="7"/>
      <c r="CV364" s="8">
        <f t="shared" si="46"/>
        <v>0</v>
      </c>
      <c r="CW364" s="9"/>
      <c r="CX364" s="10"/>
      <c r="CY364" s="11"/>
      <c r="CZ364" s="12"/>
      <c r="DA364" s="29"/>
      <c r="DB364" s="12"/>
      <c r="DC364" s="9"/>
      <c r="DD364" s="10"/>
      <c r="DE364" s="71"/>
      <c r="EO364" s="353" t="str">
        <f t="shared" si="41"/>
        <v>TOLIMA_SANTA ISABEL</v>
      </c>
      <c r="EP364" s="350"/>
      <c r="EQ364" s="350" t="s">
        <v>4220</v>
      </c>
      <c r="ER364" s="358" t="s">
        <v>4221</v>
      </c>
      <c r="ES364" s="350" t="s">
        <v>5006</v>
      </c>
      <c r="ET364" s="350" t="s">
        <v>6151</v>
      </c>
      <c r="EU364" s="350" t="str">
        <f t="shared" si="48"/>
        <v>Caldas_Marquetalia</v>
      </c>
    </row>
    <row r="365" spans="1:151" ht="51" x14ac:dyDescent="0.2">
      <c r="A365" s="242">
        <v>40277</v>
      </c>
      <c r="B365" s="107" t="s">
        <v>1462</v>
      </c>
      <c r="C365" s="107" t="s">
        <v>4615</v>
      </c>
      <c r="D365" s="427" t="s">
        <v>1993</v>
      </c>
      <c r="E365" s="107" t="str">
        <f>VLOOKUP(B365&amp;C365,Divipola!$C$2:$F$1138,4,FALSE)</f>
        <v>76001</v>
      </c>
      <c r="F365" s="330"/>
      <c r="G365" s="224">
        <v>1</v>
      </c>
      <c r="H365" s="75"/>
      <c r="I365" s="75"/>
      <c r="J365" s="75"/>
      <c r="K365" s="75"/>
      <c r="L365" s="75"/>
      <c r="M365" s="75"/>
      <c r="N365" s="75"/>
      <c r="O365" s="75"/>
      <c r="P365" s="75"/>
      <c r="Q365" s="75"/>
      <c r="R365" s="75"/>
      <c r="S365" s="75"/>
      <c r="T365" s="75"/>
      <c r="U365" s="75"/>
      <c r="V365" s="76"/>
      <c r="W365" s="205"/>
      <c r="X365" s="1"/>
      <c r="Y365" s="78">
        <f t="shared" si="42"/>
        <v>0</v>
      </c>
      <c r="Z365" s="78">
        <f t="shared" si="43"/>
        <v>0</v>
      </c>
      <c r="AA365" s="78">
        <f t="shared" si="44"/>
        <v>0</v>
      </c>
      <c r="AB365" s="78">
        <f t="shared" si="45"/>
        <v>0</v>
      </c>
      <c r="AC365" s="78"/>
      <c r="AD365" s="78">
        <v>0</v>
      </c>
      <c r="AE365" s="80">
        <f t="shared" si="47"/>
        <v>0</v>
      </c>
      <c r="AF365" s="82">
        <v>0</v>
      </c>
      <c r="AG365" s="69">
        <v>40278</v>
      </c>
      <c r="AH365" s="84"/>
      <c r="AI365" s="69" t="s">
        <v>1984</v>
      </c>
      <c r="AJ365" s="25" t="s">
        <v>1985</v>
      </c>
      <c r="AK365" s="65"/>
      <c r="AL365" s="185" t="s">
        <v>1257</v>
      </c>
      <c r="AM365" s="85" t="s">
        <v>615</v>
      </c>
      <c r="AN365" s="3"/>
      <c r="AO365" s="4"/>
      <c r="AP365" s="5"/>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6"/>
      <c r="CQ365" s="7"/>
      <c r="CR365" s="6"/>
      <c r="CS365" s="7"/>
      <c r="CT365" s="6"/>
      <c r="CU365" s="7"/>
      <c r="CV365" s="8">
        <f t="shared" si="46"/>
        <v>0</v>
      </c>
      <c r="CW365" s="9"/>
      <c r="CX365" s="10"/>
      <c r="CY365" s="11"/>
      <c r="CZ365" s="12"/>
      <c r="DA365" s="29"/>
      <c r="DB365" s="12"/>
      <c r="DC365" s="9"/>
      <c r="DD365" s="10"/>
      <c r="DE365" s="71"/>
      <c r="EO365" s="353" t="str">
        <f t="shared" si="41"/>
        <v>VALLE DEL CAUCA_CALI</v>
      </c>
      <c r="EP365" s="350"/>
      <c r="EQ365" s="350" t="s">
        <v>4220</v>
      </c>
      <c r="ER365" s="358" t="s">
        <v>4221</v>
      </c>
      <c r="ES365" s="350" t="s">
        <v>5007</v>
      </c>
      <c r="ET365" s="350" t="s">
        <v>6152</v>
      </c>
      <c r="EU365" s="350" t="str">
        <f t="shared" si="48"/>
        <v>Caldas_Marulanda</v>
      </c>
    </row>
    <row r="366" spans="1:151" ht="51" x14ac:dyDescent="0.2">
      <c r="A366" s="242">
        <v>40277</v>
      </c>
      <c r="B366" s="107" t="s">
        <v>1462</v>
      </c>
      <c r="C366" s="107" t="s">
        <v>609</v>
      </c>
      <c r="D366" s="427" t="s">
        <v>837</v>
      </c>
      <c r="E366" s="107" t="str">
        <f>VLOOKUP(B366&amp;C366,Divipola!$C$2:$F$1138,4,FALSE)</f>
        <v>76364</v>
      </c>
      <c r="F366" s="330"/>
      <c r="G366" s="224"/>
      <c r="H366" s="75">
        <v>1</v>
      </c>
      <c r="I366" s="75"/>
      <c r="J366" s="75">
        <v>60</v>
      </c>
      <c r="K366" s="75">
        <v>12</v>
      </c>
      <c r="L366" s="75"/>
      <c r="M366" s="75">
        <v>12</v>
      </c>
      <c r="N366" s="75"/>
      <c r="O366" s="75"/>
      <c r="P366" s="75"/>
      <c r="Q366" s="75"/>
      <c r="R366" s="75"/>
      <c r="S366" s="75"/>
      <c r="T366" s="75"/>
      <c r="U366" s="75"/>
      <c r="V366" s="76"/>
      <c r="W366" s="205"/>
      <c r="X366" s="1"/>
      <c r="Y366" s="78">
        <f t="shared" si="42"/>
        <v>0</v>
      </c>
      <c r="Z366" s="78">
        <f t="shared" si="43"/>
        <v>0</v>
      </c>
      <c r="AA366" s="78">
        <f t="shared" si="44"/>
        <v>0</v>
      </c>
      <c r="AB366" s="78">
        <f t="shared" si="45"/>
        <v>0</v>
      </c>
      <c r="AC366" s="78"/>
      <c r="AD366" s="78">
        <v>0</v>
      </c>
      <c r="AE366" s="80">
        <f t="shared" si="47"/>
        <v>0</v>
      </c>
      <c r="AF366" s="82">
        <v>0</v>
      </c>
      <c r="AG366" s="69">
        <v>40278</v>
      </c>
      <c r="AH366" s="84"/>
      <c r="AI366" s="69" t="s">
        <v>1984</v>
      </c>
      <c r="AJ366" s="25" t="s">
        <v>1985</v>
      </c>
      <c r="AK366" s="65"/>
      <c r="AL366" s="185" t="s">
        <v>1257</v>
      </c>
      <c r="AM366" s="85" t="s">
        <v>283</v>
      </c>
      <c r="AN366" s="3"/>
      <c r="AO366" s="4"/>
      <c r="AP366" s="5"/>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6"/>
      <c r="CQ366" s="7"/>
      <c r="CR366" s="6"/>
      <c r="CS366" s="7"/>
      <c r="CT366" s="6"/>
      <c r="CU366" s="7"/>
      <c r="CV366" s="8">
        <f t="shared" si="46"/>
        <v>0</v>
      </c>
      <c r="CW366" s="9"/>
      <c r="CX366" s="10"/>
      <c r="CY366" s="11"/>
      <c r="CZ366" s="12"/>
      <c r="DA366" s="29"/>
      <c r="DB366" s="12"/>
      <c r="DC366" s="9"/>
      <c r="DD366" s="10"/>
      <c r="DE366" s="71"/>
      <c r="EO366" s="353" t="str">
        <f t="shared" si="41"/>
        <v>VALLE DEL CAUCA_JAMUNDI</v>
      </c>
      <c r="EP366" s="350"/>
      <c r="EQ366" s="350" t="s">
        <v>4220</v>
      </c>
      <c r="ER366" s="358" t="s">
        <v>4221</v>
      </c>
      <c r="ES366" s="350" t="s">
        <v>5008</v>
      </c>
      <c r="ET366" s="350" t="s">
        <v>6153</v>
      </c>
      <c r="EU366" s="350" t="str">
        <f t="shared" si="48"/>
        <v>Caldas_Neira</v>
      </c>
    </row>
    <row r="367" spans="1:151" ht="51" x14ac:dyDescent="0.2">
      <c r="A367" s="242">
        <v>40277</v>
      </c>
      <c r="B367" s="107" t="s">
        <v>1462</v>
      </c>
      <c r="C367" s="107" t="s">
        <v>610</v>
      </c>
      <c r="D367" s="427" t="s">
        <v>837</v>
      </c>
      <c r="E367" s="107" t="str">
        <f>VLOOKUP(B367&amp;C367,Divipola!$C$2:$F$1138,4,FALSE)</f>
        <v>76520</v>
      </c>
      <c r="F367" s="330"/>
      <c r="G367" s="224"/>
      <c r="H367" s="75"/>
      <c r="I367" s="75"/>
      <c r="J367" s="75">
        <v>7</v>
      </c>
      <c r="K367" s="75">
        <v>1</v>
      </c>
      <c r="L367" s="75"/>
      <c r="M367" s="75">
        <v>1</v>
      </c>
      <c r="N367" s="75"/>
      <c r="O367" s="75"/>
      <c r="P367" s="75"/>
      <c r="Q367" s="75"/>
      <c r="R367" s="75"/>
      <c r="S367" s="75"/>
      <c r="T367" s="75"/>
      <c r="U367" s="75"/>
      <c r="V367" s="76"/>
      <c r="W367" s="205" t="s">
        <v>612</v>
      </c>
      <c r="X367" s="1"/>
      <c r="Y367" s="78">
        <f t="shared" si="42"/>
        <v>0</v>
      </c>
      <c r="Z367" s="78">
        <f t="shared" si="43"/>
        <v>0</v>
      </c>
      <c r="AA367" s="78">
        <f t="shared" si="44"/>
        <v>0</v>
      </c>
      <c r="AB367" s="78">
        <f t="shared" si="45"/>
        <v>0</v>
      </c>
      <c r="AC367" s="78"/>
      <c r="AD367" s="78">
        <v>0</v>
      </c>
      <c r="AE367" s="80">
        <f t="shared" si="47"/>
        <v>0</v>
      </c>
      <c r="AF367" s="82">
        <v>0</v>
      </c>
      <c r="AG367" s="69">
        <v>40278</v>
      </c>
      <c r="AH367" s="84"/>
      <c r="AI367" s="69" t="s">
        <v>1984</v>
      </c>
      <c r="AJ367" s="25" t="s">
        <v>1985</v>
      </c>
      <c r="AK367" s="65"/>
      <c r="AL367" s="185" t="s">
        <v>1257</v>
      </c>
      <c r="AM367" s="85" t="s">
        <v>611</v>
      </c>
      <c r="AN367" s="3"/>
      <c r="AO367" s="4"/>
      <c r="AP367" s="5"/>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6"/>
      <c r="CQ367" s="7"/>
      <c r="CR367" s="6"/>
      <c r="CS367" s="7"/>
      <c r="CT367" s="6"/>
      <c r="CU367" s="7"/>
      <c r="CV367" s="8">
        <f t="shared" si="46"/>
        <v>0</v>
      </c>
      <c r="CW367" s="9"/>
      <c r="CX367" s="10"/>
      <c r="CY367" s="11"/>
      <c r="CZ367" s="12"/>
      <c r="DA367" s="29"/>
      <c r="DB367" s="12"/>
      <c r="DC367" s="9"/>
      <c r="DD367" s="10"/>
      <c r="DE367" s="71"/>
      <c r="EO367" s="353" t="str">
        <f t="shared" si="41"/>
        <v>VALLE DEL CAUCA_PALMIRA</v>
      </c>
      <c r="EP367" s="350"/>
      <c r="EQ367" s="350" t="s">
        <v>4220</v>
      </c>
      <c r="ER367" s="358" t="s">
        <v>4221</v>
      </c>
      <c r="ES367" s="350" t="s">
        <v>5009</v>
      </c>
      <c r="ET367" s="350" t="s">
        <v>6154</v>
      </c>
      <c r="EU367" s="350" t="str">
        <f t="shared" si="48"/>
        <v>Caldas_Norcasia</v>
      </c>
    </row>
    <row r="368" spans="1:151" ht="25.5" x14ac:dyDescent="0.2">
      <c r="A368" s="242">
        <v>40278</v>
      </c>
      <c r="B368" s="107" t="s">
        <v>828</v>
      </c>
      <c r="C368" s="107" t="s">
        <v>1111</v>
      </c>
      <c r="D368" s="427" t="s">
        <v>837</v>
      </c>
      <c r="E368" s="107" t="str">
        <f>VLOOKUP(B368&amp;C368,Divipola!$C$2:$F$1138,4,FALSE)</f>
        <v>15469</v>
      </c>
      <c r="F368" s="330"/>
      <c r="G368" s="224"/>
      <c r="H368" s="75"/>
      <c r="I368" s="75"/>
      <c r="J368" s="75">
        <v>35</v>
      </c>
      <c r="K368" s="75">
        <v>7</v>
      </c>
      <c r="L368" s="75"/>
      <c r="M368" s="75">
        <v>7</v>
      </c>
      <c r="N368" s="75"/>
      <c r="O368" s="75"/>
      <c r="P368" s="75"/>
      <c r="Q368" s="75"/>
      <c r="R368" s="75"/>
      <c r="S368" s="75"/>
      <c r="T368" s="75"/>
      <c r="U368" s="75"/>
      <c r="V368" s="76"/>
      <c r="W368" s="205"/>
      <c r="X368" s="1"/>
      <c r="Y368" s="78">
        <f t="shared" si="42"/>
        <v>0</v>
      </c>
      <c r="Z368" s="78">
        <f t="shared" si="43"/>
        <v>0</v>
      </c>
      <c r="AA368" s="78">
        <f t="shared" si="44"/>
        <v>0</v>
      </c>
      <c r="AB368" s="78">
        <f t="shared" si="45"/>
        <v>0</v>
      </c>
      <c r="AC368" s="78"/>
      <c r="AD368" s="78">
        <v>0</v>
      </c>
      <c r="AE368" s="80">
        <f t="shared" si="47"/>
        <v>0</v>
      </c>
      <c r="AF368" s="82">
        <v>0</v>
      </c>
      <c r="AG368" s="69">
        <v>40280</v>
      </c>
      <c r="AH368" s="84"/>
      <c r="AI368" s="69" t="s">
        <v>1984</v>
      </c>
      <c r="AJ368" s="25" t="s">
        <v>1985</v>
      </c>
      <c r="AK368" s="65"/>
      <c r="AL368" s="185" t="s">
        <v>1257</v>
      </c>
      <c r="AM368" s="85" t="s">
        <v>1112</v>
      </c>
      <c r="AN368" s="3"/>
      <c r="AO368" s="4"/>
      <c r="AP368" s="5"/>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6"/>
      <c r="CQ368" s="7"/>
      <c r="CR368" s="6"/>
      <c r="CS368" s="7"/>
      <c r="CT368" s="6"/>
      <c r="CU368" s="7"/>
      <c r="CV368" s="8">
        <f t="shared" si="46"/>
        <v>0</v>
      </c>
      <c r="CW368" s="9"/>
      <c r="CX368" s="10"/>
      <c r="CY368" s="11"/>
      <c r="CZ368" s="12"/>
      <c r="DA368" s="29"/>
      <c r="DB368" s="12"/>
      <c r="DC368" s="9"/>
      <c r="DD368" s="10"/>
      <c r="DE368" s="71"/>
      <c r="EO368" s="353" t="str">
        <f t="shared" si="41"/>
        <v>BOYACA_MONIQUIRA</v>
      </c>
      <c r="EP368" s="350"/>
      <c r="EQ368" s="350" t="s">
        <v>4220</v>
      </c>
      <c r="ER368" s="358" t="s">
        <v>4221</v>
      </c>
      <c r="ES368" s="350" t="s">
        <v>5010</v>
      </c>
      <c r="ET368" s="350" t="s">
        <v>6155</v>
      </c>
      <c r="EU368" s="350" t="str">
        <f t="shared" si="48"/>
        <v>Caldas_Pacora</v>
      </c>
    </row>
    <row r="369" spans="1:151" ht="60" x14ac:dyDescent="0.2">
      <c r="A369" s="242">
        <v>40278</v>
      </c>
      <c r="B369" s="107" t="s">
        <v>2425</v>
      </c>
      <c r="C369" s="107" t="s">
        <v>3130</v>
      </c>
      <c r="D369" s="427" t="s">
        <v>837</v>
      </c>
      <c r="E369" s="107" t="str">
        <f>VLOOKUP(B369&amp;C369,Divipola!$C$2:$F$1138,4,FALSE)</f>
        <v>27413</v>
      </c>
      <c r="F369" s="330"/>
      <c r="G369" s="224"/>
      <c r="H369" s="75"/>
      <c r="I369" s="75"/>
      <c r="J369" s="75">
        <v>5676</v>
      </c>
      <c r="K369" s="75">
        <v>1322</v>
      </c>
      <c r="L369" s="75"/>
      <c r="M369" s="75"/>
      <c r="N369" s="75"/>
      <c r="O369" s="75"/>
      <c r="P369" s="75"/>
      <c r="Q369" s="75"/>
      <c r="R369" s="75"/>
      <c r="S369" s="75"/>
      <c r="T369" s="75"/>
      <c r="U369" s="75"/>
      <c r="V369" s="76"/>
      <c r="W369" s="205"/>
      <c r="X369" s="1">
        <v>40417</v>
      </c>
      <c r="Y369" s="78">
        <f t="shared" si="42"/>
        <v>19246000</v>
      </c>
      <c r="Z369" s="78">
        <f t="shared" si="43"/>
        <v>37995000</v>
      </c>
      <c r="AA369" s="78">
        <f t="shared" si="44"/>
        <v>0</v>
      </c>
      <c r="AB369" s="78">
        <f t="shared" si="45"/>
        <v>0</v>
      </c>
      <c r="AC369" s="78"/>
      <c r="AD369" s="78">
        <v>57400000</v>
      </c>
      <c r="AE369" s="80">
        <f t="shared" si="47"/>
        <v>114641000</v>
      </c>
      <c r="AF369" s="82">
        <v>0</v>
      </c>
      <c r="AG369" s="69">
        <v>40338</v>
      </c>
      <c r="AH369" s="84">
        <v>98120</v>
      </c>
      <c r="AI369" s="69" t="s">
        <v>2009</v>
      </c>
      <c r="AJ369" s="25" t="s">
        <v>2010</v>
      </c>
      <c r="AK369" s="65"/>
      <c r="AL369" s="176" t="s">
        <v>2182</v>
      </c>
      <c r="AM369" s="177" t="s">
        <v>6311</v>
      </c>
      <c r="AN369" s="3"/>
      <c r="AO369" s="4"/>
      <c r="AP369" s="5"/>
      <c r="AQ369" s="4"/>
      <c r="AR369" s="4"/>
      <c r="AS369" s="4"/>
      <c r="AT369" s="4"/>
      <c r="AU369" s="4"/>
      <c r="AV369" s="4"/>
      <c r="AW369" s="4"/>
      <c r="AX369" s="4"/>
      <c r="AY369" s="4"/>
      <c r="AZ369" s="4"/>
      <c r="BA369" s="4"/>
      <c r="BB369" s="4">
        <v>200</v>
      </c>
      <c r="BC369" s="4">
        <f>200*56000</f>
        <v>11200000</v>
      </c>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v>447</v>
      </c>
      <c r="CO369" s="4">
        <f>447*18000</f>
        <v>8046000</v>
      </c>
      <c r="CP369" s="6"/>
      <c r="CQ369" s="7"/>
      <c r="CR369" s="6"/>
      <c r="CS369" s="7"/>
      <c r="CT369" s="6"/>
      <c r="CU369" s="7"/>
      <c r="CV369" s="8">
        <f t="shared" si="46"/>
        <v>19246000</v>
      </c>
      <c r="CW369" s="9"/>
      <c r="CX369" s="10"/>
      <c r="CY369" s="11">
        <v>447</v>
      </c>
      <c r="CZ369" s="12">
        <f>447*85000</f>
        <v>37995000</v>
      </c>
      <c r="DA369" s="29"/>
      <c r="DB369" s="12"/>
      <c r="DC369" s="9"/>
      <c r="DD369" s="10"/>
      <c r="DE369" s="71">
        <v>2</v>
      </c>
      <c r="EO369" s="353" t="str">
        <f t="shared" si="41"/>
        <v>CHOCO_LLORO</v>
      </c>
      <c r="EP369" s="350"/>
      <c r="EQ369" s="350" t="s">
        <v>4220</v>
      </c>
      <c r="ER369" s="358" t="s">
        <v>4221</v>
      </c>
      <c r="ES369" s="350" t="s">
        <v>5011</v>
      </c>
      <c r="ET369" s="350" t="s">
        <v>6156</v>
      </c>
      <c r="EU369" s="350" t="str">
        <f t="shared" si="48"/>
        <v>Caldas_Palestina</v>
      </c>
    </row>
    <row r="370" spans="1:151" ht="38.25" x14ac:dyDescent="0.2">
      <c r="A370" s="242">
        <v>40278</v>
      </c>
      <c r="B370" s="107" t="s">
        <v>2007</v>
      </c>
      <c r="C370" s="107" t="s">
        <v>1331</v>
      </c>
      <c r="D370" s="427" t="s">
        <v>837</v>
      </c>
      <c r="E370" s="107" t="str">
        <f>VLOOKUP(B370&amp;C370,Divipola!$C$2:$F$1138,4,FALSE)</f>
        <v>25899</v>
      </c>
      <c r="F370" s="330"/>
      <c r="G370" s="224"/>
      <c r="H370" s="75"/>
      <c r="I370" s="75"/>
      <c r="J370" s="75">
        <v>5</v>
      </c>
      <c r="K370" s="75">
        <v>1</v>
      </c>
      <c r="L370" s="75"/>
      <c r="M370" s="75">
        <v>1</v>
      </c>
      <c r="N370" s="75"/>
      <c r="O370" s="75"/>
      <c r="P370" s="75"/>
      <c r="Q370" s="75"/>
      <c r="R370" s="75"/>
      <c r="S370" s="75"/>
      <c r="T370" s="75"/>
      <c r="U370" s="75"/>
      <c r="V370" s="76"/>
      <c r="W370" s="205"/>
      <c r="X370" s="1"/>
      <c r="Y370" s="78">
        <f t="shared" si="42"/>
        <v>0</v>
      </c>
      <c r="Z370" s="78">
        <f t="shared" si="43"/>
        <v>0</v>
      </c>
      <c r="AA370" s="78">
        <f t="shared" si="44"/>
        <v>0</v>
      </c>
      <c r="AB370" s="78">
        <f t="shared" si="45"/>
        <v>0</v>
      </c>
      <c r="AC370" s="78"/>
      <c r="AD370" s="78">
        <v>0</v>
      </c>
      <c r="AE370" s="80">
        <f t="shared" si="47"/>
        <v>0</v>
      </c>
      <c r="AF370" s="82">
        <v>0</v>
      </c>
      <c r="AG370" s="69">
        <v>40280</v>
      </c>
      <c r="AH370" s="84"/>
      <c r="AI370" s="69" t="s">
        <v>1984</v>
      </c>
      <c r="AJ370" s="25" t="s">
        <v>1985</v>
      </c>
      <c r="AK370" s="65"/>
      <c r="AL370" s="185" t="s">
        <v>1257</v>
      </c>
      <c r="AM370" s="85" t="s">
        <v>3104</v>
      </c>
      <c r="AN370" s="3"/>
      <c r="AO370" s="4"/>
      <c r="AP370" s="5"/>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6"/>
      <c r="CQ370" s="7"/>
      <c r="CR370" s="6"/>
      <c r="CS370" s="7"/>
      <c r="CT370" s="6"/>
      <c r="CU370" s="7"/>
      <c r="CV370" s="8">
        <f t="shared" si="46"/>
        <v>0</v>
      </c>
      <c r="CW370" s="9"/>
      <c r="CX370" s="10"/>
      <c r="CY370" s="11"/>
      <c r="CZ370" s="12"/>
      <c r="DA370" s="29"/>
      <c r="DB370" s="12"/>
      <c r="DC370" s="9"/>
      <c r="DD370" s="10"/>
      <c r="DE370" s="71"/>
      <c r="EO370" s="353" t="str">
        <f t="shared" si="41"/>
        <v>CUNDINAMARCA_ZIPAQUIRA</v>
      </c>
      <c r="EP370" s="350"/>
      <c r="EQ370" s="350" t="s">
        <v>4220</v>
      </c>
      <c r="ER370" s="358" t="s">
        <v>4221</v>
      </c>
      <c r="ES370" s="350" t="s">
        <v>5012</v>
      </c>
      <c r="ET370" s="350" t="s">
        <v>6157</v>
      </c>
      <c r="EU370" s="350" t="str">
        <f t="shared" si="48"/>
        <v>Caldas_Pensilvania</v>
      </c>
    </row>
    <row r="371" spans="1:151" ht="41.25" x14ac:dyDescent="0.2">
      <c r="A371" s="242">
        <v>40278</v>
      </c>
      <c r="B371" s="107" t="s">
        <v>2014</v>
      </c>
      <c r="C371" s="107" t="s">
        <v>2015</v>
      </c>
      <c r="D371" s="427" t="s">
        <v>837</v>
      </c>
      <c r="E371" s="107" t="str">
        <f>VLOOKUP(B371&amp;C371,Divipola!$C$2:$F$1138,4,FALSE)</f>
        <v>63001</v>
      </c>
      <c r="F371" s="330"/>
      <c r="G371" s="224"/>
      <c r="H371" s="75"/>
      <c r="I371" s="75"/>
      <c r="J371" s="75">
        <v>10</v>
      </c>
      <c r="K371" s="75">
        <v>2</v>
      </c>
      <c r="L371" s="75"/>
      <c r="M371" s="75">
        <v>2</v>
      </c>
      <c r="N371" s="75"/>
      <c r="O371" s="75"/>
      <c r="P371" s="75"/>
      <c r="Q371" s="75"/>
      <c r="R371" s="75"/>
      <c r="S371" s="75"/>
      <c r="T371" s="75"/>
      <c r="U371" s="75"/>
      <c r="V371" s="76"/>
      <c r="W371" s="205" t="s">
        <v>1995</v>
      </c>
      <c r="X371" s="1"/>
      <c r="Y371" s="78">
        <f t="shared" si="42"/>
        <v>0</v>
      </c>
      <c r="Z371" s="78">
        <f t="shared" si="43"/>
        <v>0</v>
      </c>
      <c r="AA371" s="78">
        <f t="shared" si="44"/>
        <v>0</v>
      </c>
      <c r="AB371" s="78">
        <f t="shared" si="45"/>
        <v>0</v>
      </c>
      <c r="AC371" s="78"/>
      <c r="AD371" s="78">
        <v>0</v>
      </c>
      <c r="AE371" s="80">
        <f t="shared" si="47"/>
        <v>0</v>
      </c>
      <c r="AF371" s="82">
        <v>0</v>
      </c>
      <c r="AG371" s="69">
        <v>40278</v>
      </c>
      <c r="AH371" s="84"/>
      <c r="AI371" s="69" t="s">
        <v>1984</v>
      </c>
      <c r="AJ371" s="25" t="s">
        <v>1985</v>
      </c>
      <c r="AK371" s="65"/>
      <c r="AL371" s="185" t="s">
        <v>1257</v>
      </c>
      <c r="AM371" s="85" t="s">
        <v>1996</v>
      </c>
      <c r="AN371" s="3"/>
      <c r="AO371" s="4"/>
      <c r="AP371" s="5"/>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6"/>
      <c r="CQ371" s="7"/>
      <c r="CR371" s="6"/>
      <c r="CS371" s="7"/>
      <c r="CT371" s="6"/>
      <c r="CU371" s="7"/>
      <c r="CV371" s="8">
        <f t="shared" si="46"/>
        <v>0</v>
      </c>
      <c r="CW371" s="9"/>
      <c r="CX371" s="10"/>
      <c r="CY371" s="11"/>
      <c r="CZ371" s="12"/>
      <c r="DA371" s="29"/>
      <c r="DB371" s="12"/>
      <c r="DC371" s="9"/>
      <c r="DD371" s="10"/>
      <c r="DE371" s="71"/>
      <c r="EO371" s="353" t="str">
        <f t="shared" si="41"/>
        <v>QUINDIO_ARMENIA</v>
      </c>
      <c r="EP371" s="350"/>
      <c r="EQ371" s="350" t="s">
        <v>4220</v>
      </c>
      <c r="ER371" s="358" t="s">
        <v>4221</v>
      </c>
      <c r="ES371" s="350" t="s">
        <v>5013</v>
      </c>
      <c r="ET371" s="350" t="s">
        <v>6158</v>
      </c>
      <c r="EU371" s="350" t="str">
        <f t="shared" si="48"/>
        <v>Caldas_Riosucio</v>
      </c>
    </row>
    <row r="372" spans="1:151" ht="45" x14ac:dyDescent="0.2">
      <c r="A372" s="242">
        <v>40278</v>
      </c>
      <c r="B372" s="107" t="s">
        <v>2791</v>
      </c>
      <c r="C372" s="107" t="s">
        <v>3831</v>
      </c>
      <c r="D372" s="427" t="s">
        <v>2209</v>
      </c>
      <c r="E372" s="107" t="str">
        <f>VLOOKUP(B372&amp;C372,Divipola!$C$2:$F$1138,4,FALSE)</f>
        <v>73347</v>
      </c>
      <c r="F372" s="330"/>
      <c r="G372" s="224"/>
      <c r="H372" s="75"/>
      <c r="I372" s="75"/>
      <c r="J372" s="75">
        <v>400</v>
      </c>
      <c r="K372" s="75">
        <v>80</v>
      </c>
      <c r="L372" s="75"/>
      <c r="M372" s="75"/>
      <c r="N372" s="75"/>
      <c r="O372" s="75"/>
      <c r="P372" s="75"/>
      <c r="Q372" s="75"/>
      <c r="R372" s="75"/>
      <c r="S372" s="75"/>
      <c r="T372" s="75"/>
      <c r="U372" s="75"/>
      <c r="V372" s="76"/>
      <c r="W372" s="205"/>
      <c r="X372" s="1">
        <v>40295</v>
      </c>
      <c r="Y372" s="78">
        <f t="shared" si="42"/>
        <v>16479862.399999999</v>
      </c>
      <c r="Z372" s="78">
        <f t="shared" si="43"/>
        <v>6800000</v>
      </c>
      <c r="AA372" s="78">
        <f t="shared" si="44"/>
        <v>9987600</v>
      </c>
      <c r="AB372" s="78">
        <f t="shared" si="45"/>
        <v>0</v>
      </c>
      <c r="AC372" s="78"/>
      <c r="AD372" s="78">
        <v>0</v>
      </c>
      <c r="AE372" s="80">
        <f t="shared" si="47"/>
        <v>33267462.399999999</v>
      </c>
      <c r="AF372" s="82">
        <v>0</v>
      </c>
      <c r="AG372" s="69">
        <v>40284</v>
      </c>
      <c r="AH372" s="84">
        <v>96689</v>
      </c>
      <c r="AI372" s="69" t="s">
        <v>2009</v>
      </c>
      <c r="AJ372" s="25" t="s">
        <v>2010</v>
      </c>
      <c r="AK372" s="88" t="s">
        <v>3114</v>
      </c>
      <c r="AL372" s="185" t="s">
        <v>1276</v>
      </c>
      <c r="AM372" s="85" t="s">
        <v>915</v>
      </c>
      <c r="AN372" s="3"/>
      <c r="AO372" s="4"/>
      <c r="AP372" s="5"/>
      <c r="AQ372" s="4"/>
      <c r="AR372" s="4"/>
      <c r="AS372" s="4"/>
      <c r="AT372" s="4"/>
      <c r="AU372" s="4"/>
      <c r="AV372" s="4"/>
      <c r="AW372" s="4"/>
      <c r="AX372" s="4"/>
      <c r="AY372" s="4"/>
      <c r="AZ372" s="4"/>
      <c r="BA372" s="4"/>
      <c r="BB372" s="4">
        <v>160</v>
      </c>
      <c r="BC372" s="4">
        <f>160*56000</f>
        <v>8960000</v>
      </c>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v>80</v>
      </c>
      <c r="CK372" s="4">
        <f>80*20999.48</f>
        <v>1679958.4</v>
      </c>
      <c r="CL372" s="4"/>
      <c r="CM372" s="4"/>
      <c r="CN372" s="4"/>
      <c r="CO372" s="4"/>
      <c r="CP372" s="6">
        <v>80</v>
      </c>
      <c r="CQ372" s="7">
        <f>80*36999.36</f>
        <v>2959948.8</v>
      </c>
      <c r="CR372" s="6">
        <v>80</v>
      </c>
      <c r="CS372" s="7">
        <f>80*35999.44</f>
        <v>2879955.2</v>
      </c>
      <c r="CT372" s="6"/>
      <c r="CU372" s="7"/>
      <c r="CV372" s="8">
        <f t="shared" si="46"/>
        <v>16479862.399999999</v>
      </c>
      <c r="CW372" s="9"/>
      <c r="CX372" s="10"/>
      <c r="CY372" s="11">
        <v>80</v>
      </c>
      <c r="CZ372" s="12">
        <f>80*85000</f>
        <v>6800000</v>
      </c>
      <c r="DA372" s="29"/>
      <c r="DB372" s="12"/>
      <c r="DC372" s="9">
        <v>500</v>
      </c>
      <c r="DD372" s="10">
        <f>500*19140+2000*208.8</f>
        <v>9987600</v>
      </c>
      <c r="DE372" s="89"/>
      <c r="EO372" s="353" t="str">
        <f t="shared" si="41"/>
        <v>TOLIMA_HERVEO</v>
      </c>
      <c r="EP372" s="350"/>
      <c r="EQ372" s="350" t="s">
        <v>4220</v>
      </c>
      <c r="ER372" s="358" t="s">
        <v>4221</v>
      </c>
      <c r="ES372" s="350" t="s">
        <v>5014</v>
      </c>
      <c r="ET372" s="350" t="s">
        <v>4532</v>
      </c>
      <c r="EU372" s="350" t="str">
        <f t="shared" si="48"/>
        <v>Caldas_Risaralda</v>
      </c>
    </row>
    <row r="373" spans="1:151" ht="36" x14ac:dyDescent="0.2">
      <c r="A373" s="242">
        <v>40278</v>
      </c>
      <c r="B373" s="107" t="s">
        <v>2791</v>
      </c>
      <c r="C373" s="107" t="s">
        <v>3831</v>
      </c>
      <c r="D373" s="427" t="s">
        <v>2307</v>
      </c>
      <c r="E373" s="107" t="str">
        <f>VLOOKUP(B373&amp;C373,Divipola!$C$2:$F$1138,4,FALSE)</f>
        <v>73347</v>
      </c>
      <c r="F373" s="330"/>
      <c r="G373" s="224">
        <v>1</v>
      </c>
      <c r="H373" s="75"/>
      <c r="I373" s="75"/>
      <c r="J373" s="75"/>
      <c r="K373" s="75"/>
      <c r="L373" s="75"/>
      <c r="M373" s="75"/>
      <c r="N373" s="75"/>
      <c r="O373" s="75"/>
      <c r="P373" s="75"/>
      <c r="Q373" s="75"/>
      <c r="R373" s="75"/>
      <c r="S373" s="75"/>
      <c r="T373" s="75"/>
      <c r="U373" s="75"/>
      <c r="V373" s="76"/>
      <c r="W373" s="205"/>
      <c r="X373" s="1"/>
      <c r="Y373" s="78">
        <f t="shared" si="42"/>
        <v>0</v>
      </c>
      <c r="Z373" s="78">
        <f t="shared" si="43"/>
        <v>0</v>
      </c>
      <c r="AA373" s="78">
        <f t="shared" si="44"/>
        <v>0</v>
      </c>
      <c r="AB373" s="78">
        <f t="shared" si="45"/>
        <v>0</v>
      </c>
      <c r="AC373" s="78"/>
      <c r="AD373" s="78">
        <v>0</v>
      </c>
      <c r="AE373" s="80">
        <f t="shared" si="47"/>
        <v>0</v>
      </c>
      <c r="AF373" s="82">
        <v>0</v>
      </c>
      <c r="AG373" s="69">
        <v>40280</v>
      </c>
      <c r="AH373" s="84"/>
      <c r="AI373" s="69" t="s">
        <v>1984</v>
      </c>
      <c r="AJ373" s="25" t="s">
        <v>1985</v>
      </c>
      <c r="AK373" s="65"/>
      <c r="AL373" s="185" t="s">
        <v>1257</v>
      </c>
      <c r="AM373" s="85" t="s">
        <v>3100</v>
      </c>
      <c r="AN373" s="3"/>
      <c r="AO373" s="4"/>
      <c r="AP373" s="5"/>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6"/>
      <c r="CQ373" s="7"/>
      <c r="CR373" s="6"/>
      <c r="CS373" s="7"/>
      <c r="CT373" s="6"/>
      <c r="CU373" s="7"/>
      <c r="CV373" s="8">
        <f t="shared" si="46"/>
        <v>0</v>
      </c>
      <c r="CW373" s="9"/>
      <c r="CX373" s="10"/>
      <c r="CY373" s="11"/>
      <c r="CZ373" s="12"/>
      <c r="DA373" s="29"/>
      <c r="DB373" s="12"/>
      <c r="DC373" s="9"/>
      <c r="DD373" s="10"/>
      <c r="DE373" s="71"/>
      <c r="EO373" s="353" t="str">
        <f t="shared" si="41"/>
        <v>TOLIMA_HERVEO</v>
      </c>
      <c r="EP373" s="350"/>
      <c r="EQ373" s="350" t="s">
        <v>4220</v>
      </c>
      <c r="ER373" s="358" t="s">
        <v>4221</v>
      </c>
      <c r="ES373" s="350" t="s">
        <v>5015</v>
      </c>
      <c r="ET373" s="350" t="s">
        <v>6159</v>
      </c>
      <c r="EU373" s="350" t="str">
        <f t="shared" si="48"/>
        <v>Caldas_Salamina</v>
      </c>
    </row>
    <row r="374" spans="1:151" ht="51" x14ac:dyDescent="0.2">
      <c r="A374" s="242">
        <v>40278</v>
      </c>
      <c r="B374" s="107" t="s">
        <v>1462</v>
      </c>
      <c r="C374" s="107" t="s">
        <v>4615</v>
      </c>
      <c r="D374" s="427" t="s">
        <v>2307</v>
      </c>
      <c r="E374" s="107" t="str">
        <f>VLOOKUP(B374&amp;C374,Divipola!$C$2:$F$1138,4,FALSE)</f>
        <v>76001</v>
      </c>
      <c r="F374" s="330"/>
      <c r="G374" s="224">
        <v>1</v>
      </c>
      <c r="H374" s="75"/>
      <c r="I374" s="75"/>
      <c r="J374" s="75"/>
      <c r="K374" s="75"/>
      <c r="L374" s="75"/>
      <c r="M374" s="75"/>
      <c r="N374" s="75"/>
      <c r="O374" s="75"/>
      <c r="P374" s="75"/>
      <c r="Q374" s="75"/>
      <c r="R374" s="75"/>
      <c r="S374" s="75"/>
      <c r="T374" s="75"/>
      <c r="U374" s="75"/>
      <c r="V374" s="76"/>
      <c r="W374" s="205"/>
      <c r="X374" s="1"/>
      <c r="Y374" s="78">
        <f t="shared" si="42"/>
        <v>0</v>
      </c>
      <c r="Z374" s="78">
        <f t="shared" si="43"/>
        <v>0</v>
      </c>
      <c r="AA374" s="78">
        <f t="shared" si="44"/>
        <v>0</v>
      </c>
      <c r="AB374" s="78">
        <f t="shared" si="45"/>
        <v>0</v>
      </c>
      <c r="AC374" s="78"/>
      <c r="AD374" s="78">
        <v>0</v>
      </c>
      <c r="AE374" s="80">
        <f t="shared" si="47"/>
        <v>0</v>
      </c>
      <c r="AF374" s="82">
        <v>0</v>
      </c>
      <c r="AG374" s="69">
        <v>40278</v>
      </c>
      <c r="AH374" s="84"/>
      <c r="AI374" s="69" t="s">
        <v>1984</v>
      </c>
      <c r="AJ374" s="25" t="s">
        <v>1985</v>
      </c>
      <c r="AK374" s="65"/>
      <c r="AL374" s="185" t="s">
        <v>1257</v>
      </c>
      <c r="AM374" s="85" t="s">
        <v>1361</v>
      </c>
      <c r="AN374" s="3"/>
      <c r="AO374" s="4"/>
      <c r="AP374" s="5"/>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6"/>
      <c r="CQ374" s="7"/>
      <c r="CR374" s="6"/>
      <c r="CS374" s="7"/>
      <c r="CT374" s="6"/>
      <c r="CU374" s="7"/>
      <c r="CV374" s="8">
        <f t="shared" si="46"/>
        <v>0</v>
      </c>
      <c r="CW374" s="9"/>
      <c r="CX374" s="10"/>
      <c r="CY374" s="11"/>
      <c r="CZ374" s="12"/>
      <c r="DA374" s="29"/>
      <c r="DB374" s="12"/>
      <c r="DC374" s="9"/>
      <c r="DD374" s="10"/>
      <c r="DE374" s="71"/>
      <c r="EO374" s="353" t="str">
        <f t="shared" si="41"/>
        <v>VALLE DEL CAUCA_CALI</v>
      </c>
      <c r="EP374" s="350"/>
      <c r="EQ374" s="350" t="s">
        <v>4220</v>
      </c>
      <c r="ER374" s="358" t="s">
        <v>4221</v>
      </c>
      <c r="ES374" s="350" t="s">
        <v>5017</v>
      </c>
      <c r="ET374" s="350" t="s">
        <v>6160</v>
      </c>
      <c r="EU374" s="350" t="str">
        <f t="shared" si="48"/>
        <v>Caldas_San Jose</v>
      </c>
    </row>
    <row r="375" spans="1:151" ht="51" x14ac:dyDescent="0.2">
      <c r="A375" s="242">
        <v>40279</v>
      </c>
      <c r="B375" s="107" t="s">
        <v>3112</v>
      </c>
      <c r="C375" s="107" t="s">
        <v>2764</v>
      </c>
      <c r="D375" s="427" t="s">
        <v>837</v>
      </c>
      <c r="E375" s="107" t="str">
        <f>VLOOKUP(B375&amp;C375,Divipola!$C$2:$F$1138,4,FALSE)</f>
        <v>18410</v>
      </c>
      <c r="F375" s="330"/>
      <c r="G375" s="224"/>
      <c r="H375" s="75"/>
      <c r="I375" s="75"/>
      <c r="J375" s="75">
        <f>118*5</f>
        <v>590</v>
      </c>
      <c r="K375" s="75">
        <v>118</v>
      </c>
      <c r="L375" s="75"/>
      <c r="M375" s="75">
        <v>2</v>
      </c>
      <c r="N375" s="75"/>
      <c r="O375" s="75"/>
      <c r="P375" s="75"/>
      <c r="Q375" s="75"/>
      <c r="R375" s="75"/>
      <c r="S375" s="75"/>
      <c r="T375" s="75"/>
      <c r="U375" s="75"/>
      <c r="V375" s="76"/>
      <c r="W375" s="205"/>
      <c r="X375" s="1"/>
      <c r="Y375" s="78">
        <f t="shared" si="42"/>
        <v>0</v>
      </c>
      <c r="Z375" s="78">
        <f t="shared" si="43"/>
        <v>0</v>
      </c>
      <c r="AA375" s="78">
        <f t="shared" si="44"/>
        <v>0</v>
      </c>
      <c r="AB375" s="78">
        <f t="shared" si="45"/>
        <v>0</v>
      </c>
      <c r="AC375" s="78"/>
      <c r="AD375" s="78">
        <v>0</v>
      </c>
      <c r="AE375" s="80">
        <f t="shared" si="47"/>
        <v>0</v>
      </c>
      <c r="AF375" s="82">
        <v>0</v>
      </c>
      <c r="AG375" s="69">
        <v>40280</v>
      </c>
      <c r="AH375" s="84"/>
      <c r="AI375" s="69" t="s">
        <v>1984</v>
      </c>
      <c r="AJ375" s="25" t="s">
        <v>1985</v>
      </c>
      <c r="AK375" s="65"/>
      <c r="AL375" s="185" t="s">
        <v>1257</v>
      </c>
      <c r="AM375" s="85" t="s">
        <v>3101</v>
      </c>
      <c r="AN375" s="3"/>
      <c r="AO375" s="4"/>
      <c r="AP375" s="5"/>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6"/>
      <c r="CQ375" s="7"/>
      <c r="CR375" s="6"/>
      <c r="CS375" s="7"/>
      <c r="CT375" s="6"/>
      <c r="CU375" s="7"/>
      <c r="CV375" s="8">
        <f t="shared" si="46"/>
        <v>0</v>
      </c>
      <c r="CW375" s="9"/>
      <c r="CX375" s="10"/>
      <c r="CY375" s="11"/>
      <c r="CZ375" s="12"/>
      <c r="DA375" s="29"/>
      <c r="DB375" s="12"/>
      <c r="DC375" s="9"/>
      <c r="DD375" s="10"/>
      <c r="DE375" s="71"/>
      <c r="EO375" s="353" t="str">
        <f t="shared" si="41"/>
        <v>CAQUETA_LA MONTAÑITA</v>
      </c>
      <c r="EP375" s="350"/>
      <c r="EQ375" s="350" t="s">
        <v>4220</v>
      </c>
      <c r="ER375" s="358" t="s">
        <v>4221</v>
      </c>
      <c r="ES375" s="350" t="s">
        <v>5018</v>
      </c>
      <c r="ET375" s="350" t="s">
        <v>6161</v>
      </c>
      <c r="EU375" s="350" t="str">
        <f t="shared" si="48"/>
        <v>Caldas_Supia</v>
      </c>
    </row>
    <row r="376" spans="1:151" ht="38.25" x14ac:dyDescent="0.2">
      <c r="A376" s="242">
        <v>40279</v>
      </c>
      <c r="B376" s="107" t="s">
        <v>2007</v>
      </c>
      <c r="C376" s="107" t="s">
        <v>2378</v>
      </c>
      <c r="D376" s="427" t="s">
        <v>837</v>
      </c>
      <c r="E376" s="107" t="str">
        <f>VLOOKUP(B376&amp;C376,Divipola!$C$2:$F$1138,4,FALSE)</f>
        <v>25214</v>
      </c>
      <c r="F376" s="330"/>
      <c r="G376" s="224"/>
      <c r="H376" s="75"/>
      <c r="I376" s="75"/>
      <c r="J376" s="75">
        <v>10</v>
      </c>
      <c r="K376" s="75">
        <v>2</v>
      </c>
      <c r="L376" s="75"/>
      <c r="M376" s="75">
        <v>2</v>
      </c>
      <c r="N376" s="75"/>
      <c r="O376" s="75"/>
      <c r="P376" s="75"/>
      <c r="Q376" s="75"/>
      <c r="R376" s="75"/>
      <c r="S376" s="75"/>
      <c r="T376" s="75"/>
      <c r="U376" s="75"/>
      <c r="V376" s="76"/>
      <c r="W376" s="205"/>
      <c r="X376" s="1"/>
      <c r="Y376" s="78">
        <f t="shared" si="42"/>
        <v>0</v>
      </c>
      <c r="Z376" s="78">
        <f t="shared" si="43"/>
        <v>0</v>
      </c>
      <c r="AA376" s="78">
        <f t="shared" si="44"/>
        <v>0</v>
      </c>
      <c r="AB376" s="78">
        <f t="shared" si="45"/>
        <v>0</v>
      </c>
      <c r="AC376" s="78"/>
      <c r="AD376" s="78">
        <v>0</v>
      </c>
      <c r="AE376" s="80">
        <f t="shared" si="47"/>
        <v>0</v>
      </c>
      <c r="AF376" s="82">
        <v>0</v>
      </c>
      <c r="AG376" s="69">
        <v>40282</v>
      </c>
      <c r="AH376" s="84"/>
      <c r="AI376" s="69" t="s">
        <v>1984</v>
      </c>
      <c r="AJ376" s="25" t="s">
        <v>1985</v>
      </c>
      <c r="AK376" s="65"/>
      <c r="AL376" s="185" t="s">
        <v>1257</v>
      </c>
      <c r="AM376" s="85" t="s">
        <v>2746</v>
      </c>
      <c r="AN376" s="3"/>
      <c r="AO376" s="4"/>
      <c r="AP376" s="5"/>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6"/>
      <c r="CQ376" s="7"/>
      <c r="CR376" s="6"/>
      <c r="CS376" s="7"/>
      <c r="CT376" s="6"/>
      <c r="CU376" s="7"/>
      <c r="CV376" s="8">
        <f t="shared" si="46"/>
        <v>0</v>
      </c>
      <c r="CW376" s="9"/>
      <c r="CX376" s="10"/>
      <c r="CY376" s="11"/>
      <c r="CZ376" s="12"/>
      <c r="DA376" s="29"/>
      <c r="DB376" s="12"/>
      <c r="DC376" s="9"/>
      <c r="DD376" s="10"/>
      <c r="DE376" s="71"/>
      <c r="EO376" s="353" t="str">
        <f t="shared" si="41"/>
        <v>CUNDINAMARCA_COTA</v>
      </c>
      <c r="EP376" s="350"/>
      <c r="EQ376" s="350" t="s">
        <v>4220</v>
      </c>
      <c r="ER376" s="358" t="s">
        <v>4221</v>
      </c>
      <c r="ES376" s="350" t="s">
        <v>5019</v>
      </c>
      <c r="ET376" s="350" t="s">
        <v>6162</v>
      </c>
      <c r="EU376" s="350" t="str">
        <f t="shared" si="48"/>
        <v>Caldas_Victoria</v>
      </c>
    </row>
    <row r="377" spans="1:151" ht="36" x14ac:dyDescent="0.2">
      <c r="A377" s="242">
        <v>40279</v>
      </c>
      <c r="B377" s="107" t="s">
        <v>708</v>
      </c>
      <c r="C377" s="107" t="s">
        <v>3105</v>
      </c>
      <c r="D377" s="427" t="s">
        <v>837</v>
      </c>
      <c r="E377" s="107" t="str">
        <f>VLOOKUP(B377&amp;C377,Divipola!$C$2:$F$1138,4,FALSE)</f>
        <v>50573</v>
      </c>
      <c r="F377" s="330"/>
      <c r="G377" s="224"/>
      <c r="H377" s="75"/>
      <c r="I377" s="75"/>
      <c r="J377" s="75">
        <f>60*5</f>
        <v>300</v>
      </c>
      <c r="K377" s="75">
        <v>60</v>
      </c>
      <c r="L377" s="75"/>
      <c r="M377" s="75">
        <v>60</v>
      </c>
      <c r="N377" s="75"/>
      <c r="O377" s="75">
        <v>1</v>
      </c>
      <c r="P377" s="75"/>
      <c r="Q377" s="75"/>
      <c r="R377" s="75"/>
      <c r="S377" s="75"/>
      <c r="T377" s="75"/>
      <c r="U377" s="75"/>
      <c r="V377" s="76">
        <v>15</v>
      </c>
      <c r="W377" s="205" t="s">
        <v>1375</v>
      </c>
      <c r="X377" s="1"/>
      <c r="Y377" s="78">
        <f t="shared" si="42"/>
        <v>0</v>
      </c>
      <c r="Z377" s="78">
        <f t="shared" si="43"/>
        <v>0</v>
      </c>
      <c r="AA377" s="78">
        <f t="shared" si="44"/>
        <v>0</v>
      </c>
      <c r="AB377" s="78">
        <f t="shared" si="45"/>
        <v>0</v>
      </c>
      <c r="AC377" s="78"/>
      <c r="AD377" s="78">
        <v>0</v>
      </c>
      <c r="AE377" s="80">
        <f t="shared" si="47"/>
        <v>0</v>
      </c>
      <c r="AF377" s="82">
        <v>0</v>
      </c>
      <c r="AG377" s="69">
        <v>40280</v>
      </c>
      <c r="AH377" s="84"/>
      <c r="AI377" s="69" t="s">
        <v>1984</v>
      </c>
      <c r="AJ377" s="25" t="s">
        <v>1985</v>
      </c>
      <c r="AK377" s="65"/>
      <c r="AL377" s="185" t="s">
        <v>1257</v>
      </c>
      <c r="AM377" s="85" t="s">
        <v>1374</v>
      </c>
      <c r="AN377" s="3"/>
      <c r="AO377" s="4"/>
      <c r="AP377" s="5"/>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6"/>
      <c r="CQ377" s="7"/>
      <c r="CR377" s="6"/>
      <c r="CS377" s="7"/>
      <c r="CT377" s="6"/>
      <c r="CU377" s="7"/>
      <c r="CV377" s="8">
        <f t="shared" si="46"/>
        <v>0</v>
      </c>
      <c r="CW377" s="9"/>
      <c r="CX377" s="10"/>
      <c r="CY377" s="11"/>
      <c r="CZ377" s="12"/>
      <c r="DA377" s="29"/>
      <c r="DB377" s="12"/>
      <c r="DC377" s="9"/>
      <c r="DD377" s="10"/>
      <c r="DE377" s="71"/>
      <c r="EO377" s="353" t="str">
        <f t="shared" si="41"/>
        <v>META_PUERTO LOPEZ</v>
      </c>
      <c r="EP377" s="350"/>
      <c r="EQ377" s="350" t="s">
        <v>4220</v>
      </c>
      <c r="ER377" s="358" t="s">
        <v>4221</v>
      </c>
      <c r="ES377" s="350" t="s">
        <v>5020</v>
      </c>
      <c r="ET377" s="350" t="s">
        <v>6163</v>
      </c>
      <c r="EU377" s="350" t="str">
        <f t="shared" si="48"/>
        <v>Caldas_Villamaria</v>
      </c>
    </row>
    <row r="378" spans="1:151" ht="51" x14ac:dyDescent="0.2">
      <c r="A378" s="242">
        <v>40279</v>
      </c>
      <c r="B378" s="107" t="s">
        <v>1336</v>
      </c>
      <c r="C378" s="107" t="s">
        <v>3107</v>
      </c>
      <c r="D378" s="427" t="s">
        <v>837</v>
      </c>
      <c r="E378" s="107" t="str">
        <f>VLOOKUP(B378&amp;C378,Divipola!$C$2:$F$1138,4,FALSE)</f>
        <v>54518</v>
      </c>
      <c r="F378" s="330"/>
      <c r="G378" s="224"/>
      <c r="H378" s="75"/>
      <c r="I378" s="75"/>
      <c r="J378" s="75">
        <v>50</v>
      </c>
      <c r="K378" s="75">
        <v>10</v>
      </c>
      <c r="L378" s="75"/>
      <c r="M378" s="75">
        <v>10</v>
      </c>
      <c r="N378" s="75"/>
      <c r="O378" s="75"/>
      <c r="P378" s="75"/>
      <c r="Q378" s="75"/>
      <c r="R378" s="75"/>
      <c r="S378" s="75"/>
      <c r="T378" s="75"/>
      <c r="U378" s="75"/>
      <c r="V378" s="76"/>
      <c r="W378" s="205"/>
      <c r="X378" s="1"/>
      <c r="Y378" s="78">
        <f t="shared" si="42"/>
        <v>0</v>
      </c>
      <c r="Z378" s="78">
        <f t="shared" si="43"/>
        <v>0</v>
      </c>
      <c r="AA378" s="78">
        <f t="shared" si="44"/>
        <v>0</v>
      </c>
      <c r="AB378" s="78">
        <f t="shared" si="45"/>
        <v>0</v>
      </c>
      <c r="AC378" s="78"/>
      <c r="AD378" s="78">
        <v>0</v>
      </c>
      <c r="AE378" s="80">
        <f t="shared" si="47"/>
        <v>0</v>
      </c>
      <c r="AF378" s="82">
        <v>0</v>
      </c>
      <c r="AG378" s="69">
        <v>40280</v>
      </c>
      <c r="AH378" s="84"/>
      <c r="AI378" s="69" t="s">
        <v>1984</v>
      </c>
      <c r="AJ378" s="25" t="s">
        <v>1985</v>
      </c>
      <c r="AK378" s="65"/>
      <c r="AL378" s="185" t="s">
        <v>1257</v>
      </c>
      <c r="AM378" s="85" t="s">
        <v>3108</v>
      </c>
      <c r="AN378" s="3"/>
      <c r="AO378" s="4"/>
      <c r="AP378" s="5"/>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6"/>
      <c r="CQ378" s="7"/>
      <c r="CR378" s="6"/>
      <c r="CS378" s="7"/>
      <c r="CT378" s="6"/>
      <c r="CU378" s="7"/>
      <c r="CV378" s="8">
        <f t="shared" si="46"/>
        <v>0</v>
      </c>
      <c r="CW378" s="9"/>
      <c r="CX378" s="10"/>
      <c r="CY378" s="11"/>
      <c r="CZ378" s="12"/>
      <c r="DA378" s="29"/>
      <c r="DB378" s="12"/>
      <c r="DC378" s="9"/>
      <c r="DD378" s="10"/>
      <c r="DE378" s="71"/>
      <c r="EO378" s="353" t="str">
        <f t="shared" si="41"/>
        <v>NORTE DE SANTANDER_PAMPLONA</v>
      </c>
      <c r="EP378" s="350"/>
      <c r="EQ378" s="350" t="s">
        <v>4220</v>
      </c>
      <c r="ER378" s="358" t="s">
        <v>4221</v>
      </c>
      <c r="ES378" s="350" t="s">
        <v>5021</v>
      </c>
      <c r="ET378" s="350" t="s">
        <v>6164</v>
      </c>
      <c r="EU378" s="350" t="str">
        <f t="shared" si="48"/>
        <v>Caldas_Viterbo</v>
      </c>
    </row>
    <row r="379" spans="1:151" ht="38.25" x14ac:dyDescent="0.2">
      <c r="A379" s="242">
        <v>40279</v>
      </c>
      <c r="B379" s="107" t="s">
        <v>2012</v>
      </c>
      <c r="C379" s="107" t="s">
        <v>2260</v>
      </c>
      <c r="D379" s="427" t="s">
        <v>837</v>
      </c>
      <c r="E379" s="107" t="str">
        <f>VLOOKUP(B379&amp;C379,Divipola!$C$2:$F$1138,4,FALSE)</f>
        <v>66170</v>
      </c>
      <c r="F379" s="330"/>
      <c r="G379" s="224"/>
      <c r="H379" s="75"/>
      <c r="I379" s="75"/>
      <c r="J379" s="75">
        <v>5</v>
      </c>
      <c r="K379" s="75">
        <v>1</v>
      </c>
      <c r="L379" s="75"/>
      <c r="M379" s="75"/>
      <c r="N379" s="75"/>
      <c r="O379" s="75"/>
      <c r="P379" s="75"/>
      <c r="Q379" s="75"/>
      <c r="R379" s="75"/>
      <c r="S379" s="75"/>
      <c r="T379" s="75"/>
      <c r="U379" s="75"/>
      <c r="V379" s="76"/>
      <c r="W379" s="205"/>
      <c r="X379" s="1"/>
      <c r="Y379" s="78">
        <f t="shared" si="42"/>
        <v>0</v>
      </c>
      <c r="Z379" s="78">
        <f t="shared" si="43"/>
        <v>0</v>
      </c>
      <c r="AA379" s="78">
        <f t="shared" si="44"/>
        <v>0</v>
      </c>
      <c r="AB379" s="78">
        <f t="shared" si="45"/>
        <v>0</v>
      </c>
      <c r="AC379" s="78"/>
      <c r="AD379" s="78">
        <v>0</v>
      </c>
      <c r="AE379" s="80">
        <f t="shared" si="47"/>
        <v>0</v>
      </c>
      <c r="AF379" s="82">
        <v>0</v>
      </c>
      <c r="AG379" s="69">
        <v>40280</v>
      </c>
      <c r="AH379" s="84"/>
      <c r="AI379" s="69" t="s">
        <v>1984</v>
      </c>
      <c r="AJ379" s="25" t="s">
        <v>1985</v>
      </c>
      <c r="AK379" s="65"/>
      <c r="AL379" s="185" t="s">
        <v>1257</v>
      </c>
      <c r="AM379" s="85" t="s">
        <v>3109</v>
      </c>
      <c r="AN379" s="3"/>
      <c r="AO379" s="4"/>
      <c r="AP379" s="5"/>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6"/>
      <c r="CQ379" s="7"/>
      <c r="CR379" s="6"/>
      <c r="CS379" s="7"/>
      <c r="CT379" s="6"/>
      <c r="CU379" s="7"/>
      <c r="CV379" s="8">
        <f t="shared" si="46"/>
        <v>0</v>
      </c>
      <c r="CW379" s="9"/>
      <c r="CX379" s="10"/>
      <c r="CY379" s="11"/>
      <c r="CZ379" s="12"/>
      <c r="DA379" s="29"/>
      <c r="DB379" s="12"/>
      <c r="DC379" s="9"/>
      <c r="DD379" s="10"/>
      <c r="DE379" s="71"/>
      <c r="EO379" s="353" t="str">
        <f t="shared" si="41"/>
        <v>RISARALDA_DOSQUEBRADAS</v>
      </c>
      <c r="EP379" s="350"/>
      <c r="EQ379" s="350" t="s">
        <v>4239</v>
      </c>
      <c r="ER379" s="358" t="s">
        <v>6165</v>
      </c>
      <c r="ES379" s="350" t="s">
        <v>5022</v>
      </c>
      <c r="ET379" s="350" t="s">
        <v>6166</v>
      </c>
      <c r="EU379" s="350" t="str">
        <f t="shared" si="48"/>
        <v>Caqueta_Florencia</v>
      </c>
    </row>
    <row r="380" spans="1:151" ht="25.5" x14ac:dyDescent="0.2">
      <c r="A380" s="242">
        <v>40279</v>
      </c>
      <c r="B380" s="107" t="s">
        <v>2012</v>
      </c>
      <c r="C380" s="107" t="s">
        <v>2762</v>
      </c>
      <c r="D380" s="427" t="s">
        <v>837</v>
      </c>
      <c r="E380" s="107" t="str">
        <f>VLOOKUP(B380&amp;C380,Divipola!$C$2:$F$1138,4,FALSE)</f>
        <v>66456</v>
      </c>
      <c r="F380" s="330"/>
      <c r="G380" s="224"/>
      <c r="H380" s="75"/>
      <c r="I380" s="75"/>
      <c r="J380" s="75">
        <v>5</v>
      </c>
      <c r="K380" s="75">
        <v>1</v>
      </c>
      <c r="L380" s="75"/>
      <c r="M380" s="75">
        <v>1</v>
      </c>
      <c r="N380" s="75"/>
      <c r="O380" s="75"/>
      <c r="P380" s="75"/>
      <c r="Q380" s="75"/>
      <c r="R380" s="75"/>
      <c r="S380" s="75"/>
      <c r="T380" s="75"/>
      <c r="U380" s="75"/>
      <c r="V380" s="76"/>
      <c r="W380" s="205"/>
      <c r="X380" s="1"/>
      <c r="Y380" s="78">
        <f t="shared" si="42"/>
        <v>0</v>
      </c>
      <c r="Z380" s="78">
        <f t="shared" si="43"/>
        <v>0</v>
      </c>
      <c r="AA380" s="78">
        <f t="shared" si="44"/>
        <v>0</v>
      </c>
      <c r="AB380" s="78">
        <f t="shared" si="45"/>
        <v>0</v>
      </c>
      <c r="AC380" s="78"/>
      <c r="AD380" s="78">
        <v>0</v>
      </c>
      <c r="AE380" s="80">
        <f t="shared" si="47"/>
        <v>0</v>
      </c>
      <c r="AF380" s="82">
        <v>0</v>
      </c>
      <c r="AG380" s="69">
        <v>40280</v>
      </c>
      <c r="AH380" s="84"/>
      <c r="AI380" s="69" t="s">
        <v>1984</v>
      </c>
      <c r="AJ380" s="25" t="s">
        <v>1985</v>
      </c>
      <c r="AK380" s="65"/>
      <c r="AL380" s="185" t="s">
        <v>1257</v>
      </c>
      <c r="AM380" s="85" t="s">
        <v>3110</v>
      </c>
      <c r="AN380" s="3"/>
      <c r="AO380" s="4"/>
      <c r="AP380" s="5"/>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6"/>
      <c r="CQ380" s="7"/>
      <c r="CR380" s="6"/>
      <c r="CS380" s="7"/>
      <c r="CT380" s="6"/>
      <c r="CU380" s="7"/>
      <c r="CV380" s="8">
        <f t="shared" si="46"/>
        <v>0</v>
      </c>
      <c r="CW380" s="9"/>
      <c r="CX380" s="10"/>
      <c r="CY380" s="11"/>
      <c r="CZ380" s="12"/>
      <c r="DA380" s="29"/>
      <c r="DB380" s="12"/>
      <c r="DC380" s="9"/>
      <c r="DD380" s="10"/>
      <c r="DE380" s="71"/>
      <c r="EO380" s="353" t="str">
        <f t="shared" si="41"/>
        <v>RISARALDA_MISTRATO</v>
      </c>
      <c r="EP380" s="350"/>
      <c r="EQ380" s="350" t="s">
        <v>4239</v>
      </c>
      <c r="ER380" s="358" t="s">
        <v>6165</v>
      </c>
      <c r="ES380" s="350" t="s">
        <v>5023</v>
      </c>
      <c r="ET380" s="350" t="s">
        <v>6167</v>
      </c>
      <c r="EU380" s="350" t="str">
        <f t="shared" si="48"/>
        <v>Caqueta_Albania</v>
      </c>
    </row>
    <row r="381" spans="1:151" ht="38.25" x14ac:dyDescent="0.2">
      <c r="A381" s="242">
        <v>40279</v>
      </c>
      <c r="B381" s="107" t="s">
        <v>2012</v>
      </c>
      <c r="C381" s="107" t="s">
        <v>2433</v>
      </c>
      <c r="D381" s="427" t="s">
        <v>837</v>
      </c>
      <c r="E381" s="107" t="str">
        <f>VLOOKUP(B381&amp;C381,Divipola!$C$2:$F$1138,4,FALSE)</f>
        <v>66001</v>
      </c>
      <c r="F381" s="330"/>
      <c r="G381" s="224"/>
      <c r="H381" s="75"/>
      <c r="I381" s="75"/>
      <c r="J381" s="75">
        <v>10</v>
      </c>
      <c r="K381" s="75">
        <v>2</v>
      </c>
      <c r="L381" s="75"/>
      <c r="M381" s="75">
        <v>2</v>
      </c>
      <c r="N381" s="75"/>
      <c r="O381" s="75"/>
      <c r="P381" s="75"/>
      <c r="Q381" s="75"/>
      <c r="R381" s="75"/>
      <c r="S381" s="75"/>
      <c r="T381" s="75"/>
      <c r="U381" s="75"/>
      <c r="V381" s="76"/>
      <c r="W381" s="205"/>
      <c r="X381" s="1"/>
      <c r="Y381" s="78">
        <f t="shared" si="42"/>
        <v>0</v>
      </c>
      <c r="Z381" s="78">
        <f t="shared" si="43"/>
        <v>0</v>
      </c>
      <c r="AA381" s="78">
        <f t="shared" si="44"/>
        <v>0</v>
      </c>
      <c r="AB381" s="78">
        <f t="shared" si="45"/>
        <v>0</v>
      </c>
      <c r="AC381" s="78"/>
      <c r="AD381" s="78">
        <v>0</v>
      </c>
      <c r="AE381" s="80">
        <f t="shared" si="47"/>
        <v>0</v>
      </c>
      <c r="AF381" s="82">
        <v>0</v>
      </c>
      <c r="AG381" s="69">
        <v>40280</v>
      </c>
      <c r="AH381" s="84"/>
      <c r="AI381" s="69" t="s">
        <v>1984</v>
      </c>
      <c r="AJ381" s="25" t="s">
        <v>1985</v>
      </c>
      <c r="AK381" s="65"/>
      <c r="AL381" s="185" t="s">
        <v>1257</v>
      </c>
      <c r="AM381" s="85" t="s">
        <v>283</v>
      </c>
      <c r="AN381" s="3"/>
      <c r="AO381" s="4"/>
      <c r="AP381" s="5"/>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6"/>
      <c r="CQ381" s="7"/>
      <c r="CR381" s="6"/>
      <c r="CS381" s="7"/>
      <c r="CT381" s="6"/>
      <c r="CU381" s="7"/>
      <c r="CV381" s="8">
        <f t="shared" si="46"/>
        <v>0</v>
      </c>
      <c r="CW381" s="9"/>
      <c r="CX381" s="10"/>
      <c r="CY381" s="11"/>
      <c r="CZ381" s="12"/>
      <c r="DA381" s="29"/>
      <c r="DB381" s="12"/>
      <c r="DC381" s="9"/>
      <c r="DD381" s="10"/>
      <c r="DE381" s="71"/>
      <c r="EO381" s="353" t="str">
        <f t="shared" si="41"/>
        <v>RISARALDA_PEREIRA</v>
      </c>
      <c r="EP381" s="350"/>
      <c r="EQ381" s="350" t="s">
        <v>4239</v>
      </c>
      <c r="ER381" s="358" t="s">
        <v>6165</v>
      </c>
      <c r="ES381" s="350" t="s">
        <v>5024</v>
      </c>
      <c r="ET381" s="350" t="s">
        <v>6168</v>
      </c>
      <c r="EU381" s="350" t="str">
        <f t="shared" si="48"/>
        <v>Caqueta_Belen de Los Andaquies</v>
      </c>
    </row>
    <row r="382" spans="1:151" ht="51" x14ac:dyDescent="0.2">
      <c r="A382" s="242">
        <v>40279</v>
      </c>
      <c r="B382" s="107" t="s">
        <v>2012</v>
      </c>
      <c r="C382" s="107" t="s">
        <v>2118</v>
      </c>
      <c r="D382" s="427" t="s">
        <v>837</v>
      </c>
      <c r="E382" s="107" t="str">
        <f>VLOOKUP(B382&amp;C382,Divipola!$C$2:$F$1138,4,FALSE)</f>
        <v>66682</v>
      </c>
      <c r="F382" s="330"/>
      <c r="G382" s="224"/>
      <c r="H382" s="75"/>
      <c r="I382" s="75"/>
      <c r="J382" s="75">
        <v>20</v>
      </c>
      <c r="K382" s="75">
        <v>4</v>
      </c>
      <c r="L382" s="75"/>
      <c r="M382" s="75">
        <v>4</v>
      </c>
      <c r="N382" s="75"/>
      <c r="O382" s="75"/>
      <c r="P382" s="75"/>
      <c r="Q382" s="75"/>
      <c r="R382" s="75"/>
      <c r="S382" s="75"/>
      <c r="T382" s="75"/>
      <c r="U382" s="75"/>
      <c r="V382" s="76"/>
      <c r="W382" s="205"/>
      <c r="X382" s="1"/>
      <c r="Y382" s="78">
        <f t="shared" si="42"/>
        <v>0</v>
      </c>
      <c r="Z382" s="78">
        <f t="shared" si="43"/>
        <v>0</v>
      </c>
      <c r="AA382" s="78">
        <f t="shared" si="44"/>
        <v>0</v>
      </c>
      <c r="AB382" s="78">
        <f t="shared" si="45"/>
        <v>0</v>
      </c>
      <c r="AC382" s="78"/>
      <c r="AD382" s="78">
        <v>0</v>
      </c>
      <c r="AE382" s="80">
        <f t="shared" si="47"/>
        <v>0</v>
      </c>
      <c r="AF382" s="82">
        <v>0</v>
      </c>
      <c r="AG382" s="69">
        <v>40280</v>
      </c>
      <c r="AH382" s="84"/>
      <c r="AI382" s="69" t="s">
        <v>1984</v>
      </c>
      <c r="AJ382" s="25" t="s">
        <v>1985</v>
      </c>
      <c r="AK382" s="65"/>
      <c r="AL382" s="185" t="s">
        <v>1257</v>
      </c>
      <c r="AM382" s="85" t="s">
        <v>283</v>
      </c>
      <c r="AN382" s="3"/>
      <c r="AO382" s="4"/>
      <c r="AP382" s="5"/>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6"/>
      <c r="CQ382" s="7"/>
      <c r="CR382" s="6"/>
      <c r="CS382" s="7"/>
      <c r="CT382" s="6"/>
      <c r="CU382" s="7"/>
      <c r="CV382" s="8">
        <f t="shared" si="46"/>
        <v>0</v>
      </c>
      <c r="CW382" s="9"/>
      <c r="CX382" s="10"/>
      <c r="CY382" s="11"/>
      <c r="CZ382" s="12"/>
      <c r="DA382" s="29"/>
      <c r="DB382" s="12"/>
      <c r="DC382" s="9"/>
      <c r="DD382" s="10"/>
      <c r="DE382" s="71"/>
      <c r="EO382" s="353" t="str">
        <f t="shared" si="41"/>
        <v>RISARALDA_SANTA ROSA DE CABAL</v>
      </c>
      <c r="EP382" s="350"/>
      <c r="EQ382" s="350" t="s">
        <v>4239</v>
      </c>
      <c r="ER382" s="358" t="s">
        <v>6165</v>
      </c>
      <c r="ES382" s="350" t="s">
        <v>5025</v>
      </c>
      <c r="ET382" s="350" t="s">
        <v>6169</v>
      </c>
      <c r="EU382" s="350" t="str">
        <f t="shared" si="48"/>
        <v>Caqueta_Cartagena del Chaira</v>
      </c>
    </row>
    <row r="383" spans="1:151" ht="33.75" x14ac:dyDescent="0.2">
      <c r="A383" s="242">
        <v>40279</v>
      </c>
      <c r="B383" s="107" t="s">
        <v>2427</v>
      </c>
      <c r="C383" s="107" t="s">
        <v>2226</v>
      </c>
      <c r="D383" s="427" t="s">
        <v>837</v>
      </c>
      <c r="E383" s="107" t="str">
        <f>VLOOKUP(B383&amp;C383,Divipola!$C$2:$F$1138,4,FALSE)</f>
        <v>68679</v>
      </c>
      <c r="F383" s="330"/>
      <c r="G383" s="277"/>
      <c r="H383" s="75"/>
      <c r="I383" s="75"/>
      <c r="J383" s="75">
        <v>200</v>
      </c>
      <c r="K383" s="75">
        <v>40</v>
      </c>
      <c r="L383" s="75"/>
      <c r="M383" s="75">
        <v>6</v>
      </c>
      <c r="N383" s="75">
        <v>1</v>
      </c>
      <c r="O383" s="75"/>
      <c r="P383" s="75"/>
      <c r="Q383" s="75"/>
      <c r="R383" s="75"/>
      <c r="S383" s="75"/>
      <c r="T383" s="75"/>
      <c r="U383" s="75"/>
      <c r="V383" s="76"/>
      <c r="W383" s="205"/>
      <c r="X383" s="1">
        <v>40389</v>
      </c>
      <c r="Y383" s="78">
        <f t="shared" si="42"/>
        <v>0</v>
      </c>
      <c r="Z383" s="78">
        <f t="shared" si="43"/>
        <v>3400000</v>
      </c>
      <c r="AA383" s="78">
        <f t="shared" si="44"/>
        <v>0</v>
      </c>
      <c r="AB383" s="78">
        <f t="shared" si="45"/>
        <v>0</v>
      </c>
      <c r="AC383" s="78"/>
      <c r="AD383" s="78">
        <v>0</v>
      </c>
      <c r="AE383" s="80">
        <f t="shared" si="47"/>
        <v>3400000</v>
      </c>
      <c r="AF383" s="82">
        <v>0</v>
      </c>
      <c r="AG383" s="69">
        <v>40353</v>
      </c>
      <c r="AH383" s="84">
        <v>30750</v>
      </c>
      <c r="AI383" s="69" t="s">
        <v>2009</v>
      </c>
      <c r="AJ383" s="25" t="s">
        <v>2010</v>
      </c>
      <c r="AK383" s="65">
        <v>220</v>
      </c>
      <c r="AL383" s="185" t="s">
        <v>942</v>
      </c>
      <c r="AM383" s="85" t="s">
        <v>2227</v>
      </c>
      <c r="AN383" s="3"/>
      <c r="AO383" s="4"/>
      <c r="AP383" s="5"/>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6"/>
      <c r="CQ383" s="7"/>
      <c r="CR383" s="6"/>
      <c r="CS383" s="7"/>
      <c r="CT383" s="6"/>
      <c r="CU383" s="7"/>
      <c r="CV383" s="8">
        <f t="shared" si="46"/>
        <v>0</v>
      </c>
      <c r="CW383" s="9"/>
      <c r="CX383" s="10"/>
      <c r="CY383" s="11">
        <v>40</v>
      </c>
      <c r="CZ383" s="12">
        <f>40*85000</f>
        <v>3400000</v>
      </c>
      <c r="DA383" s="29"/>
      <c r="DB383" s="12"/>
      <c r="DC383" s="9"/>
      <c r="DD383" s="10"/>
      <c r="DE383" s="71"/>
      <c r="EO383" s="353" t="str">
        <f t="shared" si="41"/>
        <v>SANTANDER_SAN GIL</v>
      </c>
      <c r="EP383" s="350"/>
      <c r="EQ383" s="350" t="s">
        <v>4239</v>
      </c>
      <c r="ER383" s="358" t="s">
        <v>6165</v>
      </c>
      <c r="ES383" s="350" t="s">
        <v>5026</v>
      </c>
      <c r="ET383" s="350" t="s">
        <v>6170</v>
      </c>
      <c r="EU383" s="350" t="str">
        <f t="shared" si="48"/>
        <v>Caqueta_Curillo</v>
      </c>
    </row>
    <row r="384" spans="1:151" ht="25.5" x14ac:dyDescent="0.2">
      <c r="A384" s="242">
        <v>40279</v>
      </c>
      <c r="B384" s="107" t="s">
        <v>2791</v>
      </c>
      <c r="C384" s="107" t="s">
        <v>4612</v>
      </c>
      <c r="D384" s="427" t="s">
        <v>2209</v>
      </c>
      <c r="E384" s="107" t="str">
        <f>VLOOKUP(B384&amp;C384,Divipola!$C$2:$F$1138,4,FALSE)</f>
        <v>73873</v>
      </c>
      <c r="F384" s="330"/>
      <c r="G384" s="224"/>
      <c r="H384" s="75"/>
      <c r="I384" s="75"/>
      <c r="J384" s="75">
        <v>65</v>
      </c>
      <c r="K384" s="75">
        <v>13</v>
      </c>
      <c r="L384" s="75"/>
      <c r="M384" s="75">
        <v>13</v>
      </c>
      <c r="N384" s="75"/>
      <c r="O384" s="75"/>
      <c r="P384" s="75"/>
      <c r="Q384" s="75"/>
      <c r="R384" s="75"/>
      <c r="S384" s="75"/>
      <c r="T384" s="75"/>
      <c r="U384" s="75"/>
      <c r="V384" s="76"/>
      <c r="W384" s="205"/>
      <c r="X384" s="1"/>
      <c r="Y384" s="78">
        <f t="shared" si="42"/>
        <v>0</v>
      </c>
      <c r="Z384" s="78">
        <f t="shared" si="43"/>
        <v>0</v>
      </c>
      <c r="AA384" s="78">
        <f t="shared" si="44"/>
        <v>0</v>
      </c>
      <c r="AB384" s="78">
        <f t="shared" si="45"/>
        <v>0</v>
      </c>
      <c r="AC384" s="78"/>
      <c r="AD384" s="78">
        <v>0</v>
      </c>
      <c r="AE384" s="80">
        <f t="shared" si="47"/>
        <v>0</v>
      </c>
      <c r="AF384" s="82">
        <v>0</v>
      </c>
      <c r="AG384" s="69">
        <v>40280</v>
      </c>
      <c r="AH384" s="84"/>
      <c r="AI384" s="69" t="s">
        <v>1984</v>
      </c>
      <c r="AJ384" s="25" t="s">
        <v>1985</v>
      </c>
      <c r="AK384" s="65"/>
      <c r="AL384" s="185" t="s">
        <v>1257</v>
      </c>
      <c r="AM384" s="85" t="s">
        <v>2034</v>
      </c>
      <c r="AN384" s="3"/>
      <c r="AO384" s="4"/>
      <c r="AP384" s="5"/>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6"/>
      <c r="CQ384" s="7"/>
      <c r="CR384" s="6"/>
      <c r="CS384" s="7"/>
      <c r="CT384" s="6"/>
      <c r="CU384" s="7"/>
      <c r="CV384" s="8">
        <f t="shared" si="46"/>
        <v>0</v>
      </c>
      <c r="CW384" s="9"/>
      <c r="CX384" s="10"/>
      <c r="CY384" s="11"/>
      <c r="CZ384" s="12"/>
      <c r="DA384" s="29"/>
      <c r="DB384" s="12"/>
      <c r="DC384" s="9"/>
      <c r="DD384" s="10"/>
      <c r="DE384" s="71"/>
      <c r="EO384" s="353" t="str">
        <f t="shared" ref="EO384:EO441" si="49">B384&amp;"_"&amp;C384</f>
        <v>TOLIMA_VILLARRICA</v>
      </c>
      <c r="EP384" s="350"/>
      <c r="EQ384" s="350" t="s">
        <v>4239</v>
      </c>
      <c r="ER384" s="358" t="s">
        <v>6165</v>
      </c>
      <c r="ES384" s="350" t="s">
        <v>5028</v>
      </c>
      <c r="ET384" s="350" t="s">
        <v>6171</v>
      </c>
      <c r="EU384" s="350" t="str">
        <f t="shared" si="48"/>
        <v>Caqueta_El Paujil</v>
      </c>
    </row>
    <row r="385" spans="1:151" ht="72" x14ac:dyDescent="0.2">
      <c r="A385" s="242">
        <v>40280</v>
      </c>
      <c r="B385" s="107" t="s">
        <v>1719</v>
      </c>
      <c r="C385" s="107" t="s">
        <v>872</v>
      </c>
      <c r="D385" s="427" t="s">
        <v>2307</v>
      </c>
      <c r="E385" s="107" t="str">
        <f>VLOOKUP(B385&amp;C385,Divipola!$C$2:$F$1138,4,FALSE)</f>
        <v>19585</v>
      </c>
      <c r="F385" s="330"/>
      <c r="G385" s="224"/>
      <c r="H385" s="75"/>
      <c r="I385" s="75"/>
      <c r="J385" s="75">
        <f>23*5</f>
        <v>115</v>
      </c>
      <c r="K385" s="75">
        <f>876-853</f>
        <v>23</v>
      </c>
      <c r="L385" s="75"/>
      <c r="M385" s="75"/>
      <c r="N385" s="75"/>
      <c r="O385" s="75"/>
      <c r="P385" s="75">
        <v>5</v>
      </c>
      <c r="Q385" s="75">
        <v>1</v>
      </c>
      <c r="R385" s="75"/>
      <c r="S385" s="75"/>
      <c r="T385" s="75"/>
      <c r="U385" s="75"/>
      <c r="V385" s="76"/>
      <c r="W385" s="205"/>
      <c r="X385" s="1">
        <v>40380</v>
      </c>
      <c r="Y385" s="78">
        <f t="shared" si="42"/>
        <v>0</v>
      </c>
      <c r="Z385" s="78">
        <f t="shared" si="43"/>
        <v>0</v>
      </c>
      <c r="AA385" s="78">
        <f t="shared" si="44"/>
        <v>0</v>
      </c>
      <c r="AB385" s="78">
        <f t="shared" si="45"/>
        <v>0</v>
      </c>
      <c r="AC385" s="78"/>
      <c r="AD385" s="78">
        <v>60000000</v>
      </c>
      <c r="AE385" s="80">
        <f t="shared" si="47"/>
        <v>60000000</v>
      </c>
      <c r="AF385" s="82">
        <v>0</v>
      </c>
      <c r="AG385" s="69">
        <v>40282</v>
      </c>
      <c r="AH385" s="84">
        <v>34717</v>
      </c>
      <c r="AI385" s="69" t="s">
        <v>2009</v>
      </c>
      <c r="AJ385" s="25" t="s">
        <v>2010</v>
      </c>
      <c r="AK385" s="65">
        <v>357</v>
      </c>
      <c r="AL385" s="185" t="s">
        <v>1831</v>
      </c>
      <c r="AM385" s="85" t="s">
        <v>3023</v>
      </c>
      <c r="AN385" s="3"/>
      <c r="AO385" s="4"/>
      <c r="AP385" s="5"/>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6"/>
      <c r="CQ385" s="7"/>
      <c r="CR385" s="6"/>
      <c r="CS385" s="7"/>
      <c r="CT385" s="6"/>
      <c r="CU385" s="7"/>
      <c r="CV385" s="8">
        <f t="shared" si="46"/>
        <v>0</v>
      </c>
      <c r="CW385" s="9"/>
      <c r="CX385" s="10"/>
      <c r="CY385" s="11"/>
      <c r="CZ385" s="12"/>
      <c r="DA385" s="29"/>
      <c r="DB385" s="12"/>
      <c r="DC385" s="9"/>
      <c r="DD385" s="10"/>
      <c r="DE385" s="71">
        <v>2</v>
      </c>
      <c r="EO385" s="353" t="str">
        <f t="shared" si="49"/>
        <v>CAUCA_PURACE</v>
      </c>
      <c r="EP385" s="350"/>
      <c r="EQ385" s="350" t="s">
        <v>4239</v>
      </c>
      <c r="ER385" s="358" t="s">
        <v>6165</v>
      </c>
      <c r="ES385" s="350" t="s">
        <v>5029</v>
      </c>
      <c r="ET385" s="350" t="s">
        <v>6172</v>
      </c>
      <c r="EU385" s="350" t="str">
        <f t="shared" si="48"/>
        <v>Caqueta_La Montañita</v>
      </c>
    </row>
    <row r="386" spans="1:151" ht="48" x14ac:dyDescent="0.2">
      <c r="A386" s="242">
        <v>40280</v>
      </c>
      <c r="B386" s="107" t="s">
        <v>1719</v>
      </c>
      <c r="C386" s="107" t="s">
        <v>3159</v>
      </c>
      <c r="D386" s="427" t="s">
        <v>837</v>
      </c>
      <c r="E386" s="107" t="str">
        <f>VLOOKUP(B386&amp;C386,Divipola!$C$2:$F$1138,4,FALSE)</f>
        <v>19845</v>
      </c>
      <c r="F386" s="330"/>
      <c r="G386" s="224"/>
      <c r="H386" s="75"/>
      <c r="I386" s="75"/>
      <c r="J386" s="75">
        <f>215*5</f>
        <v>1075</v>
      </c>
      <c r="K386" s="75">
        <v>215</v>
      </c>
      <c r="L386" s="75"/>
      <c r="M386" s="75">
        <v>215</v>
      </c>
      <c r="N386" s="75"/>
      <c r="O386" s="75"/>
      <c r="P386" s="75"/>
      <c r="Q386" s="75"/>
      <c r="R386" s="75"/>
      <c r="S386" s="75"/>
      <c r="T386" s="75"/>
      <c r="U386" s="75"/>
      <c r="V386" s="76"/>
      <c r="W386" s="205"/>
      <c r="X386" s="1">
        <v>40333</v>
      </c>
      <c r="Y386" s="78">
        <f t="shared" si="42"/>
        <v>23405000</v>
      </c>
      <c r="Z386" s="78">
        <f t="shared" si="43"/>
        <v>17850000</v>
      </c>
      <c r="AA386" s="78">
        <f t="shared" si="44"/>
        <v>0</v>
      </c>
      <c r="AB386" s="78">
        <f t="shared" si="45"/>
        <v>0</v>
      </c>
      <c r="AC386" s="78"/>
      <c r="AD386" s="78">
        <v>0</v>
      </c>
      <c r="AE386" s="80">
        <f t="shared" si="47"/>
        <v>41255000</v>
      </c>
      <c r="AF386" s="82">
        <v>0</v>
      </c>
      <c r="AG386" s="69">
        <v>40318</v>
      </c>
      <c r="AH386" s="84">
        <v>97645</v>
      </c>
      <c r="AI386" s="69" t="s">
        <v>2009</v>
      </c>
      <c r="AJ386" s="25" t="s">
        <v>2010</v>
      </c>
      <c r="AK386" s="65">
        <v>149</v>
      </c>
      <c r="AL386" s="185" t="s">
        <v>2182</v>
      </c>
      <c r="AM386" s="85" t="s">
        <v>3160</v>
      </c>
      <c r="AN386" s="3"/>
      <c r="AO386" s="4"/>
      <c r="AP386" s="5"/>
      <c r="AQ386" s="4"/>
      <c r="AR386" s="4"/>
      <c r="AS386" s="4"/>
      <c r="AT386" s="4"/>
      <c r="AU386" s="4"/>
      <c r="AV386" s="4"/>
      <c r="AW386" s="4"/>
      <c r="AX386" s="4"/>
      <c r="AY386" s="4"/>
      <c r="AZ386" s="4">
        <v>302</v>
      </c>
      <c r="BA386" s="4">
        <f>302*56000</f>
        <v>16912000</v>
      </c>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v>302</v>
      </c>
      <c r="CK386" s="4">
        <f>302*21500</f>
        <v>6493000</v>
      </c>
      <c r="CL386" s="4"/>
      <c r="CM386" s="4"/>
      <c r="CN386" s="4"/>
      <c r="CO386" s="4"/>
      <c r="CP386" s="6"/>
      <c r="CQ386" s="7"/>
      <c r="CR386" s="6"/>
      <c r="CS386" s="7"/>
      <c r="CT386" s="6"/>
      <c r="CU386" s="7"/>
      <c r="CV386" s="8">
        <f t="shared" si="46"/>
        <v>23405000</v>
      </c>
      <c r="CW386" s="9"/>
      <c r="CX386" s="10"/>
      <c r="CY386" s="11">
        <v>210</v>
      </c>
      <c r="CZ386" s="12">
        <f>210*85000</f>
        <v>17850000</v>
      </c>
      <c r="DA386" s="29"/>
      <c r="DB386" s="12"/>
      <c r="DC386" s="9"/>
      <c r="DD386" s="10"/>
      <c r="DE386" s="71"/>
      <c r="EO386" s="353" t="str">
        <f t="shared" si="49"/>
        <v>CAUCA_VILLA RICA</v>
      </c>
      <c r="EP386" s="350"/>
      <c r="EQ386" s="350" t="s">
        <v>4239</v>
      </c>
      <c r="ER386" s="358" t="s">
        <v>6165</v>
      </c>
      <c r="ES386" s="350" t="s">
        <v>5030</v>
      </c>
      <c r="ET386" s="350" t="s">
        <v>6173</v>
      </c>
      <c r="EU386" s="350" t="str">
        <f t="shared" si="48"/>
        <v>Caqueta_Milan</v>
      </c>
    </row>
    <row r="387" spans="1:151" ht="36" x14ac:dyDescent="0.2">
      <c r="A387" s="242">
        <v>40280</v>
      </c>
      <c r="B387" s="107" t="s">
        <v>1333</v>
      </c>
      <c r="C387" s="107" t="s">
        <v>2680</v>
      </c>
      <c r="D387" s="427" t="s">
        <v>837</v>
      </c>
      <c r="E387" s="107" t="str">
        <f>VLOOKUP(B387&amp;C387,Divipola!$C$2:$F$1138,4,FALSE)</f>
        <v>41306</v>
      </c>
      <c r="F387" s="330"/>
      <c r="G387" s="224"/>
      <c r="H387" s="75"/>
      <c r="I387" s="75"/>
      <c r="J387" s="75">
        <v>220</v>
      </c>
      <c r="K387" s="75">
        <v>53</v>
      </c>
      <c r="L387" s="75"/>
      <c r="M387" s="75">
        <v>15</v>
      </c>
      <c r="N387" s="75"/>
      <c r="O387" s="75">
        <v>1</v>
      </c>
      <c r="P387" s="75">
        <v>4</v>
      </c>
      <c r="Q387" s="75">
        <v>4</v>
      </c>
      <c r="R387" s="75"/>
      <c r="S387" s="75"/>
      <c r="T387" s="75"/>
      <c r="U387" s="75"/>
      <c r="V387" s="76"/>
      <c r="W387" s="205"/>
      <c r="X387" s="1"/>
      <c r="Y387" s="78">
        <f t="shared" ref="Y387:Y450" si="50">CV387</f>
        <v>0</v>
      </c>
      <c r="Z387" s="78">
        <f t="shared" ref="Z387:Z450" si="51">CZ387</f>
        <v>0</v>
      </c>
      <c r="AA387" s="78">
        <f t="shared" ref="AA387:AA450" si="52">DB387+DD387</f>
        <v>0</v>
      </c>
      <c r="AB387" s="78">
        <f t="shared" ref="AB387:AB450" si="53">CX387</f>
        <v>0</v>
      </c>
      <c r="AC387" s="78"/>
      <c r="AD387" s="78">
        <v>0</v>
      </c>
      <c r="AE387" s="80">
        <f t="shared" si="47"/>
        <v>0</v>
      </c>
      <c r="AF387" s="82">
        <v>0</v>
      </c>
      <c r="AG387" s="69">
        <v>40281</v>
      </c>
      <c r="AH387" s="84"/>
      <c r="AI387" s="69" t="s">
        <v>1984</v>
      </c>
      <c r="AJ387" s="25" t="s">
        <v>1985</v>
      </c>
      <c r="AK387" s="65"/>
      <c r="AL387" s="185" t="s">
        <v>1257</v>
      </c>
      <c r="AM387" s="85" t="s">
        <v>2742</v>
      </c>
      <c r="AN387" s="3"/>
      <c r="AO387" s="4"/>
      <c r="AP387" s="5"/>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6"/>
      <c r="CQ387" s="7"/>
      <c r="CR387" s="6"/>
      <c r="CS387" s="7"/>
      <c r="CT387" s="6"/>
      <c r="CU387" s="7"/>
      <c r="CV387" s="8">
        <f t="shared" ref="CV387:CV450" si="54">AO387+AQ387+AS387+AU387+AW387+AY387+BA387+BC387+BE387+BG387+BI387+BK387+BM387+BO387+BQ387+BS387+BU387+BW387+BY387+CA387+CC387+CE387+CG387+CI387+CK387+CM387+CO387+CQ387+CS387+CU387</f>
        <v>0</v>
      </c>
      <c r="CW387" s="9"/>
      <c r="CX387" s="10"/>
      <c r="CY387" s="11"/>
      <c r="CZ387" s="12"/>
      <c r="DA387" s="29"/>
      <c r="DB387" s="12"/>
      <c r="DC387" s="9"/>
      <c r="DD387" s="10"/>
      <c r="DE387" s="71"/>
      <c r="EO387" s="353" t="str">
        <f t="shared" si="49"/>
        <v>HUILA_GIGANTE</v>
      </c>
      <c r="EP387" s="350"/>
      <c r="EQ387" s="350" t="s">
        <v>4239</v>
      </c>
      <c r="ER387" s="358" t="s">
        <v>6165</v>
      </c>
      <c r="ES387" s="350" t="s">
        <v>5031</v>
      </c>
      <c r="ET387" s="350" t="s">
        <v>6174</v>
      </c>
      <c r="EU387" s="350" t="str">
        <f t="shared" si="48"/>
        <v>Caqueta_Morelia</v>
      </c>
    </row>
    <row r="388" spans="1:151" ht="36" x14ac:dyDescent="0.2">
      <c r="A388" s="246">
        <v>40281</v>
      </c>
      <c r="B388" s="238" t="s">
        <v>2401</v>
      </c>
      <c r="C388" s="238" t="s">
        <v>2747</v>
      </c>
      <c r="D388" s="431" t="s">
        <v>2307</v>
      </c>
      <c r="E388" s="107" t="str">
        <f>VLOOKUP(B388&amp;C388,Divipola!$C$2:$F$1138,4,FALSE)</f>
        <v>05001</v>
      </c>
      <c r="F388" s="334"/>
      <c r="G388" s="224"/>
      <c r="H388" s="75"/>
      <c r="I388" s="75"/>
      <c r="J388" s="75">
        <f>18*5</f>
        <v>90</v>
      </c>
      <c r="K388" s="75">
        <v>18</v>
      </c>
      <c r="L388" s="75"/>
      <c r="M388" s="75">
        <v>18</v>
      </c>
      <c r="N388" s="75"/>
      <c r="O388" s="75"/>
      <c r="P388" s="75"/>
      <c r="Q388" s="75"/>
      <c r="R388" s="75"/>
      <c r="S388" s="75"/>
      <c r="T388" s="75"/>
      <c r="U388" s="75"/>
      <c r="V388" s="76"/>
      <c r="W388" s="205"/>
      <c r="X388" s="1"/>
      <c r="Y388" s="78">
        <f t="shared" si="50"/>
        <v>0</v>
      </c>
      <c r="Z388" s="78">
        <f t="shared" si="51"/>
        <v>0</v>
      </c>
      <c r="AA388" s="78">
        <f t="shared" si="52"/>
        <v>0</v>
      </c>
      <c r="AB388" s="78">
        <f t="shared" si="53"/>
        <v>0</v>
      </c>
      <c r="AC388" s="78"/>
      <c r="AD388" s="78">
        <v>0</v>
      </c>
      <c r="AE388" s="80">
        <f t="shared" si="47"/>
        <v>0</v>
      </c>
      <c r="AF388" s="82">
        <v>0</v>
      </c>
      <c r="AG388" s="69">
        <v>40282</v>
      </c>
      <c r="AH388" s="84"/>
      <c r="AI388" s="69" t="s">
        <v>1984</v>
      </c>
      <c r="AJ388" s="25" t="s">
        <v>1985</v>
      </c>
      <c r="AK388" s="65"/>
      <c r="AL388" s="185" t="s">
        <v>1257</v>
      </c>
      <c r="AM388" s="85" t="s">
        <v>2748</v>
      </c>
      <c r="AN388" s="3"/>
      <c r="AO388" s="4"/>
      <c r="AP388" s="5"/>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6"/>
      <c r="CQ388" s="7"/>
      <c r="CR388" s="6"/>
      <c r="CS388" s="7"/>
      <c r="CT388" s="6"/>
      <c r="CU388" s="7"/>
      <c r="CV388" s="8">
        <f t="shared" si="54"/>
        <v>0</v>
      </c>
      <c r="CW388" s="9"/>
      <c r="CX388" s="10"/>
      <c r="CY388" s="11"/>
      <c r="CZ388" s="12"/>
      <c r="DA388" s="29"/>
      <c r="DB388" s="12"/>
      <c r="DC388" s="9"/>
      <c r="DD388" s="10"/>
      <c r="DE388" s="71"/>
      <c r="EO388" s="353" t="str">
        <f t="shared" si="49"/>
        <v>ANTIOQUIA_MEDELLIN</v>
      </c>
      <c r="EP388" s="350"/>
      <c r="EQ388" s="350" t="s">
        <v>4239</v>
      </c>
      <c r="ER388" s="358" t="s">
        <v>6165</v>
      </c>
      <c r="ES388" s="350" t="s">
        <v>5032</v>
      </c>
      <c r="ET388" s="350" t="s">
        <v>6175</v>
      </c>
      <c r="EU388" s="350" t="str">
        <f t="shared" si="48"/>
        <v>Caqueta_Puerto Rico</v>
      </c>
    </row>
    <row r="389" spans="1:151" ht="38.25" x14ac:dyDescent="0.2">
      <c r="A389" s="242">
        <v>40281</v>
      </c>
      <c r="B389" s="107" t="s">
        <v>289</v>
      </c>
      <c r="C389" s="107" t="s">
        <v>711</v>
      </c>
      <c r="D389" s="427" t="s">
        <v>2209</v>
      </c>
      <c r="E389" s="107" t="str">
        <f>VLOOKUP(B389&amp;C389,Divipola!$C$2:$F$1138,4,FALSE)</f>
        <v>17001</v>
      </c>
      <c r="F389" s="330"/>
      <c r="G389" s="224"/>
      <c r="H389" s="75"/>
      <c r="I389" s="75"/>
      <c r="J389" s="75">
        <v>15</v>
      </c>
      <c r="K389" s="75">
        <v>3</v>
      </c>
      <c r="L389" s="75"/>
      <c r="M389" s="75">
        <v>3</v>
      </c>
      <c r="N389" s="75"/>
      <c r="O389" s="75"/>
      <c r="P389" s="75"/>
      <c r="Q389" s="75"/>
      <c r="R389" s="75"/>
      <c r="S389" s="75"/>
      <c r="T389" s="75"/>
      <c r="U389" s="75"/>
      <c r="V389" s="76"/>
      <c r="W389" s="205"/>
      <c r="X389" s="1"/>
      <c r="Y389" s="78">
        <f t="shared" si="50"/>
        <v>0</v>
      </c>
      <c r="Z389" s="78">
        <f t="shared" si="51"/>
        <v>0</v>
      </c>
      <c r="AA389" s="78">
        <f t="shared" si="52"/>
        <v>0</v>
      </c>
      <c r="AB389" s="78">
        <f t="shared" si="53"/>
        <v>0</v>
      </c>
      <c r="AC389" s="78"/>
      <c r="AD389" s="78">
        <v>0</v>
      </c>
      <c r="AE389" s="80">
        <f t="shared" si="47"/>
        <v>0</v>
      </c>
      <c r="AF389" s="82">
        <v>0</v>
      </c>
      <c r="AG389" s="69">
        <v>40282</v>
      </c>
      <c r="AH389" s="84"/>
      <c r="AI389" s="69" t="s">
        <v>1984</v>
      </c>
      <c r="AJ389" s="25" t="s">
        <v>1985</v>
      </c>
      <c r="AK389" s="65"/>
      <c r="AL389" s="185" t="s">
        <v>1257</v>
      </c>
      <c r="AM389" s="85" t="s">
        <v>2750</v>
      </c>
      <c r="AN389" s="3"/>
      <c r="AO389" s="4"/>
      <c r="AP389" s="5"/>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6"/>
      <c r="CQ389" s="7"/>
      <c r="CR389" s="6"/>
      <c r="CS389" s="7"/>
      <c r="CT389" s="6"/>
      <c r="CU389" s="7"/>
      <c r="CV389" s="8">
        <f t="shared" si="54"/>
        <v>0</v>
      </c>
      <c r="CW389" s="9"/>
      <c r="CX389" s="10"/>
      <c r="CY389" s="11"/>
      <c r="CZ389" s="12"/>
      <c r="DA389" s="29"/>
      <c r="DB389" s="12"/>
      <c r="DC389" s="9"/>
      <c r="DD389" s="10"/>
      <c r="DE389" s="71"/>
      <c r="EO389" s="353" t="str">
        <f t="shared" si="49"/>
        <v>CALDAS_MANIZALES</v>
      </c>
      <c r="EP389" s="350"/>
      <c r="EQ389" s="350" t="s">
        <v>4239</v>
      </c>
      <c r="ER389" s="358" t="s">
        <v>6165</v>
      </c>
      <c r="ES389" s="350" t="s">
        <v>5033</v>
      </c>
      <c r="ET389" s="350" t="s">
        <v>6176</v>
      </c>
      <c r="EU389" s="350" t="str">
        <f t="shared" si="48"/>
        <v>Caqueta_San Jose del Fragua</v>
      </c>
    </row>
    <row r="390" spans="1:151" ht="38.25" x14ac:dyDescent="0.2">
      <c r="A390" s="242">
        <v>40281</v>
      </c>
      <c r="B390" s="107" t="s">
        <v>1719</v>
      </c>
      <c r="C390" s="107" t="s">
        <v>2002</v>
      </c>
      <c r="D390" s="427" t="s">
        <v>2331</v>
      </c>
      <c r="E390" s="107" t="str">
        <f>VLOOKUP(B390&amp;C390,Divipola!$C$2:$F$1138,4,FALSE)</f>
        <v>19517</v>
      </c>
      <c r="F390" s="330"/>
      <c r="G390" s="224"/>
      <c r="H390" s="75"/>
      <c r="I390" s="75"/>
      <c r="J390" s="75"/>
      <c r="K390" s="75"/>
      <c r="L390" s="75"/>
      <c r="M390" s="75"/>
      <c r="N390" s="75"/>
      <c r="O390" s="75"/>
      <c r="P390" s="75">
        <v>1</v>
      </c>
      <c r="Q390" s="75"/>
      <c r="R390" s="75"/>
      <c r="S390" s="75"/>
      <c r="T390" s="75"/>
      <c r="U390" s="75"/>
      <c r="V390" s="76"/>
      <c r="W390" s="205"/>
      <c r="X390" s="1"/>
      <c r="Y390" s="78">
        <f t="shared" si="50"/>
        <v>0</v>
      </c>
      <c r="Z390" s="78">
        <f t="shared" si="51"/>
        <v>0</v>
      </c>
      <c r="AA390" s="78">
        <f t="shared" si="52"/>
        <v>0</v>
      </c>
      <c r="AB390" s="78">
        <f t="shared" si="53"/>
        <v>0</v>
      </c>
      <c r="AC390" s="78"/>
      <c r="AD390" s="78">
        <v>0</v>
      </c>
      <c r="AE390" s="80">
        <f t="shared" si="47"/>
        <v>0</v>
      </c>
      <c r="AF390" s="82">
        <v>0</v>
      </c>
      <c r="AG390" s="69">
        <v>40282</v>
      </c>
      <c r="AH390" s="84"/>
      <c r="AI390" s="69" t="s">
        <v>1984</v>
      </c>
      <c r="AJ390" s="25" t="s">
        <v>1985</v>
      </c>
      <c r="AK390" s="65"/>
      <c r="AL390" s="185" t="s">
        <v>1257</v>
      </c>
      <c r="AM390" s="85" t="s">
        <v>1373</v>
      </c>
      <c r="AN390" s="3"/>
      <c r="AO390" s="4"/>
      <c r="AP390" s="5"/>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6"/>
      <c r="CQ390" s="7"/>
      <c r="CR390" s="6"/>
      <c r="CS390" s="7"/>
      <c r="CT390" s="6"/>
      <c r="CU390" s="7"/>
      <c r="CV390" s="8">
        <f t="shared" si="54"/>
        <v>0</v>
      </c>
      <c r="CW390" s="9"/>
      <c r="CX390" s="10"/>
      <c r="CY390" s="11"/>
      <c r="CZ390" s="12"/>
      <c r="DA390" s="29"/>
      <c r="DB390" s="12"/>
      <c r="DC390" s="9"/>
      <c r="DD390" s="10"/>
      <c r="DE390" s="71"/>
      <c r="EO390" s="353" t="str">
        <f t="shared" si="49"/>
        <v>CAUCA_PAEZ</v>
      </c>
      <c r="EP390" s="350"/>
      <c r="EQ390" s="350" t="s">
        <v>4239</v>
      </c>
      <c r="ER390" s="358" t="s">
        <v>6165</v>
      </c>
      <c r="ES390" s="350" t="s">
        <v>5034</v>
      </c>
      <c r="ET390" s="350" t="s">
        <v>6177</v>
      </c>
      <c r="EU390" s="350" t="str">
        <f t="shared" si="48"/>
        <v>Caqueta_San Vicente del Caguan</v>
      </c>
    </row>
    <row r="391" spans="1:151" ht="38.25" x14ac:dyDescent="0.2">
      <c r="A391" s="242">
        <v>40281</v>
      </c>
      <c r="B391" s="107" t="s">
        <v>2007</v>
      </c>
      <c r="C391" s="107" t="s">
        <v>1356</v>
      </c>
      <c r="D391" s="427" t="s">
        <v>2307</v>
      </c>
      <c r="E391" s="107" t="str">
        <f>VLOOKUP(B391&amp;C391,Divipola!$C$2:$F$1138,4,FALSE)</f>
        <v>25599</v>
      </c>
      <c r="F391" s="330"/>
      <c r="G391" s="224"/>
      <c r="H391" s="75"/>
      <c r="I391" s="75"/>
      <c r="J391" s="75"/>
      <c r="K391" s="75"/>
      <c r="L391" s="75"/>
      <c r="M391" s="75"/>
      <c r="N391" s="75">
        <v>1</v>
      </c>
      <c r="O391" s="75"/>
      <c r="P391" s="75"/>
      <c r="Q391" s="75"/>
      <c r="R391" s="75"/>
      <c r="S391" s="75"/>
      <c r="T391" s="75"/>
      <c r="U391" s="75"/>
      <c r="V391" s="76"/>
      <c r="W391" s="205"/>
      <c r="X391" s="1"/>
      <c r="Y391" s="78">
        <f t="shared" si="50"/>
        <v>0</v>
      </c>
      <c r="Z391" s="78">
        <f t="shared" si="51"/>
        <v>0</v>
      </c>
      <c r="AA391" s="78">
        <f t="shared" si="52"/>
        <v>0</v>
      </c>
      <c r="AB391" s="78">
        <f t="shared" si="53"/>
        <v>0</v>
      </c>
      <c r="AC391" s="78"/>
      <c r="AD391" s="78">
        <v>0</v>
      </c>
      <c r="AE391" s="80">
        <f t="shared" si="47"/>
        <v>0</v>
      </c>
      <c r="AF391" s="82">
        <v>0</v>
      </c>
      <c r="AG391" s="69">
        <v>40282</v>
      </c>
      <c r="AH391" s="84"/>
      <c r="AI391" s="69" t="s">
        <v>1984</v>
      </c>
      <c r="AJ391" s="25" t="s">
        <v>1985</v>
      </c>
      <c r="AK391" s="65"/>
      <c r="AL391" s="185" t="s">
        <v>1257</v>
      </c>
      <c r="AM391" s="85" t="s">
        <v>2792</v>
      </c>
      <c r="AN391" s="3"/>
      <c r="AO391" s="4"/>
      <c r="AP391" s="5"/>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6"/>
      <c r="CQ391" s="7"/>
      <c r="CR391" s="6"/>
      <c r="CS391" s="7"/>
      <c r="CT391" s="6"/>
      <c r="CU391" s="7"/>
      <c r="CV391" s="8">
        <f t="shared" si="54"/>
        <v>0</v>
      </c>
      <c r="CW391" s="9"/>
      <c r="CX391" s="10"/>
      <c r="CY391" s="11"/>
      <c r="CZ391" s="12"/>
      <c r="DA391" s="29"/>
      <c r="DB391" s="12"/>
      <c r="DC391" s="9"/>
      <c r="DD391" s="10"/>
      <c r="DE391" s="71"/>
      <c r="EO391" s="353" t="str">
        <f t="shared" si="49"/>
        <v>CUNDINAMARCA_APULO</v>
      </c>
      <c r="EP391" s="350"/>
      <c r="EQ391" s="350" t="s">
        <v>4239</v>
      </c>
      <c r="ER391" s="358" t="s">
        <v>6165</v>
      </c>
      <c r="ES391" s="350" t="s">
        <v>5035</v>
      </c>
      <c r="ET391" s="350" t="s">
        <v>6178</v>
      </c>
      <c r="EU391" s="350" t="str">
        <f t="shared" si="48"/>
        <v>Caqueta_Solano</v>
      </c>
    </row>
    <row r="392" spans="1:151" ht="38.25" x14ac:dyDescent="0.2">
      <c r="A392" s="242">
        <v>40281</v>
      </c>
      <c r="B392" s="107" t="s">
        <v>2007</v>
      </c>
      <c r="C392" s="107" t="s">
        <v>2378</v>
      </c>
      <c r="D392" s="427" t="s">
        <v>837</v>
      </c>
      <c r="E392" s="107" t="str">
        <f>VLOOKUP(B392&amp;C392,Divipola!$C$2:$F$1138,4,FALSE)</f>
        <v>25214</v>
      </c>
      <c r="F392" s="330"/>
      <c r="G392" s="224"/>
      <c r="H392" s="75"/>
      <c r="I392" s="75"/>
      <c r="J392" s="75">
        <v>5</v>
      </c>
      <c r="K392" s="75">
        <v>1</v>
      </c>
      <c r="L392" s="75"/>
      <c r="M392" s="75">
        <v>1</v>
      </c>
      <c r="N392" s="75"/>
      <c r="O392" s="75"/>
      <c r="P392" s="75"/>
      <c r="Q392" s="75"/>
      <c r="R392" s="75"/>
      <c r="S392" s="75"/>
      <c r="T392" s="75"/>
      <c r="U392" s="75"/>
      <c r="V392" s="76"/>
      <c r="W392" s="205"/>
      <c r="X392" s="1"/>
      <c r="Y392" s="78">
        <f t="shared" si="50"/>
        <v>0</v>
      </c>
      <c r="Z392" s="78">
        <f t="shared" si="51"/>
        <v>0</v>
      </c>
      <c r="AA392" s="78">
        <f t="shared" si="52"/>
        <v>0</v>
      </c>
      <c r="AB392" s="78">
        <f t="shared" si="53"/>
        <v>0</v>
      </c>
      <c r="AC392" s="78"/>
      <c r="AD392" s="78">
        <v>0</v>
      </c>
      <c r="AE392" s="80">
        <f t="shared" si="47"/>
        <v>0</v>
      </c>
      <c r="AF392" s="82">
        <v>0</v>
      </c>
      <c r="AG392" s="69">
        <v>40282</v>
      </c>
      <c r="AH392" s="84"/>
      <c r="AI392" s="69" t="s">
        <v>1984</v>
      </c>
      <c r="AJ392" s="25" t="s">
        <v>1985</v>
      </c>
      <c r="AK392" s="65"/>
      <c r="AL392" s="212" t="s">
        <v>1257</v>
      </c>
      <c r="AM392" s="85" t="s">
        <v>1370</v>
      </c>
      <c r="AN392" s="3"/>
      <c r="AO392" s="4"/>
      <c r="AP392" s="5"/>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6"/>
      <c r="CQ392" s="7"/>
      <c r="CR392" s="6"/>
      <c r="CS392" s="7"/>
      <c r="CT392" s="6"/>
      <c r="CU392" s="7"/>
      <c r="CV392" s="8">
        <f t="shared" si="54"/>
        <v>0</v>
      </c>
      <c r="CW392" s="9"/>
      <c r="CX392" s="10"/>
      <c r="CY392" s="11"/>
      <c r="CZ392" s="12"/>
      <c r="DA392" s="29"/>
      <c r="DB392" s="12"/>
      <c r="DC392" s="9"/>
      <c r="DD392" s="10"/>
      <c r="DE392" s="71"/>
      <c r="EO392" s="353" t="str">
        <f t="shared" si="49"/>
        <v>CUNDINAMARCA_COTA</v>
      </c>
      <c r="EP392" s="350"/>
      <c r="EQ392" s="350" t="s">
        <v>4239</v>
      </c>
      <c r="ER392" s="358" t="s">
        <v>6165</v>
      </c>
      <c r="ES392" s="350" t="s">
        <v>5036</v>
      </c>
      <c r="ET392" s="350" t="s">
        <v>6179</v>
      </c>
      <c r="EU392" s="350" t="str">
        <f t="shared" si="48"/>
        <v>Caqueta_Solita</v>
      </c>
    </row>
    <row r="393" spans="1:151" ht="38.25" x14ac:dyDescent="0.2">
      <c r="A393" s="242">
        <v>40281</v>
      </c>
      <c r="B393" s="107" t="s">
        <v>2007</v>
      </c>
      <c r="C393" s="107" t="s">
        <v>496</v>
      </c>
      <c r="D393" s="427" t="s">
        <v>837</v>
      </c>
      <c r="E393" s="107" t="str">
        <f>VLOOKUP(B393&amp;C393,Divipola!$C$2:$F$1138,4,FALSE)</f>
        <v>25612</v>
      </c>
      <c r="F393" s="330"/>
      <c r="G393" s="224"/>
      <c r="H393" s="75"/>
      <c r="I393" s="75"/>
      <c r="J393" s="75">
        <f>38+75</f>
        <v>113</v>
      </c>
      <c r="K393" s="75">
        <f>19+22</f>
        <v>41</v>
      </c>
      <c r="L393" s="75"/>
      <c r="M393" s="75">
        <v>41</v>
      </c>
      <c r="N393" s="75"/>
      <c r="O393" s="75"/>
      <c r="P393" s="75"/>
      <c r="Q393" s="75"/>
      <c r="R393" s="75"/>
      <c r="S393" s="75"/>
      <c r="T393" s="75"/>
      <c r="U393" s="75"/>
      <c r="V393" s="76"/>
      <c r="W393" s="205"/>
      <c r="X393" s="1"/>
      <c r="Y393" s="78">
        <f t="shared" si="50"/>
        <v>0</v>
      </c>
      <c r="Z393" s="78">
        <f t="shared" si="51"/>
        <v>0</v>
      </c>
      <c r="AA393" s="78">
        <f t="shared" si="52"/>
        <v>0</v>
      </c>
      <c r="AB393" s="78">
        <f t="shared" si="53"/>
        <v>0</v>
      </c>
      <c r="AC393" s="78"/>
      <c r="AD393" s="78">
        <v>0</v>
      </c>
      <c r="AE393" s="80">
        <f t="shared" ref="AE393:AE456" si="55">Y393+Z393+AA393+AB393+AC393+AD393</f>
        <v>0</v>
      </c>
      <c r="AF393" s="82">
        <v>0</v>
      </c>
      <c r="AG393" s="69">
        <v>40282</v>
      </c>
      <c r="AH393" s="84"/>
      <c r="AI393" s="69" t="s">
        <v>1984</v>
      </c>
      <c r="AJ393" s="25" t="s">
        <v>1985</v>
      </c>
      <c r="AK393" s="65"/>
      <c r="AL393" s="185" t="s">
        <v>1257</v>
      </c>
      <c r="AM393" s="85" t="s">
        <v>1549</v>
      </c>
      <c r="AN393" s="3"/>
      <c r="AO393" s="4"/>
      <c r="AP393" s="5"/>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6"/>
      <c r="CQ393" s="7"/>
      <c r="CR393" s="6"/>
      <c r="CS393" s="7"/>
      <c r="CT393" s="6"/>
      <c r="CU393" s="7"/>
      <c r="CV393" s="8">
        <f t="shared" si="54"/>
        <v>0</v>
      </c>
      <c r="CW393" s="9"/>
      <c r="CX393" s="10"/>
      <c r="CY393" s="11"/>
      <c r="CZ393" s="12"/>
      <c r="DA393" s="29"/>
      <c r="DB393" s="12"/>
      <c r="DC393" s="9"/>
      <c r="DD393" s="10"/>
      <c r="DE393" s="71"/>
      <c r="EO393" s="353" t="str">
        <f t="shared" si="49"/>
        <v>CUNDINAMARCA_RICAURTE</v>
      </c>
      <c r="EP393" s="350"/>
      <c r="EQ393" s="350" t="s">
        <v>4239</v>
      </c>
      <c r="ER393" s="358" t="s">
        <v>6165</v>
      </c>
      <c r="ES393" s="350" t="s">
        <v>5037</v>
      </c>
      <c r="ET393" s="350" t="s">
        <v>5943</v>
      </c>
      <c r="EU393" s="350" t="str">
        <f t="shared" si="48"/>
        <v>Caqueta_Valparaiso</v>
      </c>
    </row>
    <row r="394" spans="1:151" ht="25.5" x14ac:dyDescent="0.2">
      <c r="A394" s="242">
        <v>40281</v>
      </c>
      <c r="B394" s="107" t="s">
        <v>2012</v>
      </c>
      <c r="C394" s="107" t="s">
        <v>2433</v>
      </c>
      <c r="D394" s="427" t="s">
        <v>1721</v>
      </c>
      <c r="E394" s="107" t="str">
        <f>VLOOKUP(B394&amp;C394,Divipola!$C$2:$F$1138,4,FALSE)</f>
        <v>66001</v>
      </c>
      <c r="F394" s="330"/>
      <c r="G394" s="224"/>
      <c r="H394" s="75">
        <v>5</v>
      </c>
      <c r="I394" s="75"/>
      <c r="J394" s="75">
        <v>36</v>
      </c>
      <c r="K394" s="75">
        <v>8</v>
      </c>
      <c r="L394" s="75"/>
      <c r="M394" s="75">
        <v>4</v>
      </c>
      <c r="N394" s="75"/>
      <c r="O394" s="75"/>
      <c r="P394" s="75"/>
      <c r="Q394" s="75"/>
      <c r="R394" s="75"/>
      <c r="S394" s="75"/>
      <c r="T394" s="75"/>
      <c r="U394" s="75"/>
      <c r="V394" s="76"/>
      <c r="W394" s="205"/>
      <c r="X394" s="1"/>
      <c r="Y394" s="78">
        <f t="shared" si="50"/>
        <v>0</v>
      </c>
      <c r="Z394" s="78">
        <f t="shared" si="51"/>
        <v>0</v>
      </c>
      <c r="AA394" s="78">
        <f t="shared" si="52"/>
        <v>0</v>
      </c>
      <c r="AB394" s="78">
        <f t="shared" si="53"/>
        <v>0</v>
      </c>
      <c r="AC394" s="78"/>
      <c r="AD394" s="78">
        <v>0</v>
      </c>
      <c r="AE394" s="80">
        <f t="shared" si="55"/>
        <v>0</v>
      </c>
      <c r="AF394" s="82">
        <v>0</v>
      </c>
      <c r="AG394" s="69">
        <v>40283</v>
      </c>
      <c r="AH394" s="84"/>
      <c r="AI394" s="69" t="s">
        <v>1984</v>
      </c>
      <c r="AJ394" s="25" t="s">
        <v>1985</v>
      </c>
      <c r="AK394" s="65"/>
      <c r="AL394" s="185" t="s">
        <v>1257</v>
      </c>
      <c r="AM394" s="85" t="s">
        <v>2039</v>
      </c>
      <c r="AN394" s="3"/>
      <c r="AO394" s="4"/>
      <c r="AP394" s="5"/>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6"/>
      <c r="CQ394" s="7"/>
      <c r="CR394" s="6"/>
      <c r="CS394" s="7"/>
      <c r="CT394" s="6"/>
      <c r="CU394" s="7"/>
      <c r="CV394" s="8">
        <f t="shared" si="54"/>
        <v>0</v>
      </c>
      <c r="CW394" s="9"/>
      <c r="CX394" s="10"/>
      <c r="CY394" s="11"/>
      <c r="CZ394" s="12"/>
      <c r="DA394" s="29"/>
      <c r="DB394" s="12"/>
      <c r="DC394" s="9"/>
      <c r="DD394" s="10"/>
      <c r="DE394" s="71"/>
      <c r="EO394" s="353" t="str">
        <f t="shared" si="49"/>
        <v>RISARALDA_PEREIRA</v>
      </c>
      <c r="EP394" s="350"/>
      <c r="EQ394" s="350" t="s">
        <v>4256</v>
      </c>
      <c r="ER394" s="358" t="s">
        <v>4257</v>
      </c>
      <c r="ES394" s="350" t="s">
        <v>5038</v>
      </c>
      <c r="ET394" s="350" t="s">
        <v>6180</v>
      </c>
      <c r="EU394" s="350" t="str">
        <f t="shared" si="48"/>
        <v>Cauca_Popayan</v>
      </c>
    </row>
    <row r="395" spans="1:151" ht="38.25" x14ac:dyDescent="0.2">
      <c r="A395" s="242">
        <v>40281</v>
      </c>
      <c r="B395" s="107" t="s">
        <v>2791</v>
      </c>
      <c r="C395" s="107" t="s">
        <v>2753</v>
      </c>
      <c r="D395" s="427" t="s">
        <v>2307</v>
      </c>
      <c r="E395" s="107" t="str">
        <f>VLOOKUP(B395&amp;C395,Divipola!$C$2:$F$1138,4,FALSE)</f>
        <v>73148</v>
      </c>
      <c r="F395" s="330"/>
      <c r="G395" s="224"/>
      <c r="H395" s="75"/>
      <c r="I395" s="75"/>
      <c r="J395" s="75">
        <v>10</v>
      </c>
      <c r="K395" s="75">
        <v>2</v>
      </c>
      <c r="L395" s="75"/>
      <c r="M395" s="75">
        <v>2</v>
      </c>
      <c r="N395" s="75"/>
      <c r="O395" s="75"/>
      <c r="P395" s="75"/>
      <c r="Q395" s="75"/>
      <c r="R395" s="75"/>
      <c r="S395" s="75"/>
      <c r="T395" s="75"/>
      <c r="U395" s="75"/>
      <c r="V395" s="76"/>
      <c r="W395" s="205"/>
      <c r="X395" s="1"/>
      <c r="Y395" s="78">
        <f t="shared" si="50"/>
        <v>0</v>
      </c>
      <c r="Z395" s="78">
        <f t="shared" si="51"/>
        <v>0</v>
      </c>
      <c r="AA395" s="78">
        <f t="shared" si="52"/>
        <v>0</v>
      </c>
      <c r="AB395" s="78">
        <f t="shared" si="53"/>
        <v>0</v>
      </c>
      <c r="AC395" s="78"/>
      <c r="AD395" s="78">
        <v>0</v>
      </c>
      <c r="AE395" s="80">
        <f t="shared" si="55"/>
        <v>0</v>
      </c>
      <c r="AF395" s="82">
        <v>0</v>
      </c>
      <c r="AG395" s="69">
        <v>40282</v>
      </c>
      <c r="AH395" s="84"/>
      <c r="AI395" s="69" t="s">
        <v>1984</v>
      </c>
      <c r="AJ395" s="25" t="s">
        <v>1985</v>
      </c>
      <c r="AK395" s="65"/>
      <c r="AL395" s="185" t="s">
        <v>1257</v>
      </c>
      <c r="AM395" s="85" t="s">
        <v>1353</v>
      </c>
      <c r="AN395" s="3"/>
      <c r="AO395" s="4"/>
      <c r="AP395" s="5"/>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6"/>
      <c r="CQ395" s="7"/>
      <c r="CR395" s="6"/>
      <c r="CS395" s="7"/>
      <c r="CT395" s="6"/>
      <c r="CU395" s="7"/>
      <c r="CV395" s="8">
        <f t="shared" si="54"/>
        <v>0</v>
      </c>
      <c r="CW395" s="9"/>
      <c r="CX395" s="10"/>
      <c r="CY395" s="11"/>
      <c r="CZ395" s="12"/>
      <c r="DA395" s="29"/>
      <c r="DB395" s="12"/>
      <c r="DC395" s="9"/>
      <c r="DD395" s="10"/>
      <c r="DE395" s="71"/>
      <c r="EO395" s="353" t="str">
        <f t="shared" si="49"/>
        <v>TOLIMA_CARMEN DE APICALA</v>
      </c>
      <c r="EP395" s="350"/>
      <c r="EQ395" s="350" t="s">
        <v>4256</v>
      </c>
      <c r="ER395" s="358" t="s">
        <v>4257</v>
      </c>
      <c r="ES395" s="350" t="s">
        <v>5039</v>
      </c>
      <c r="ET395" s="350" t="s">
        <v>6181</v>
      </c>
      <c r="EU395" s="350" t="str">
        <f t="shared" si="48"/>
        <v>Cauca_Almaguer</v>
      </c>
    </row>
    <row r="396" spans="1:151" ht="108" x14ac:dyDescent="0.2">
      <c r="A396" s="242">
        <v>40281</v>
      </c>
      <c r="B396" s="107" t="s">
        <v>2791</v>
      </c>
      <c r="C396" s="107" t="s">
        <v>1979</v>
      </c>
      <c r="D396" s="427" t="s">
        <v>837</v>
      </c>
      <c r="E396" s="107" t="str">
        <f>VLOOKUP(B396&amp;C396,Divipola!$C$2:$F$1138,4,FALSE)</f>
        <v>73268</v>
      </c>
      <c r="F396" s="330"/>
      <c r="G396" s="224"/>
      <c r="H396" s="75"/>
      <c r="I396" s="75"/>
      <c r="J396" s="75">
        <v>3071</v>
      </c>
      <c r="K396" s="75">
        <v>539</v>
      </c>
      <c r="L396" s="75">
        <v>47</v>
      </c>
      <c r="M396" s="75">
        <v>492</v>
      </c>
      <c r="N396" s="75"/>
      <c r="O396" s="75"/>
      <c r="P396" s="75">
        <v>2</v>
      </c>
      <c r="Q396" s="75"/>
      <c r="R396" s="75"/>
      <c r="S396" s="75"/>
      <c r="T396" s="75"/>
      <c r="U396" s="75"/>
      <c r="V396" s="76"/>
      <c r="W396" s="205"/>
      <c r="X396" s="1"/>
      <c r="Y396" s="78">
        <f t="shared" si="50"/>
        <v>0</v>
      </c>
      <c r="Z396" s="78">
        <f t="shared" si="51"/>
        <v>0</v>
      </c>
      <c r="AA396" s="78">
        <f t="shared" si="52"/>
        <v>0</v>
      </c>
      <c r="AB396" s="78">
        <f t="shared" si="53"/>
        <v>0</v>
      </c>
      <c r="AC396" s="78"/>
      <c r="AD396" s="78">
        <v>0</v>
      </c>
      <c r="AE396" s="80">
        <f t="shared" si="55"/>
        <v>0</v>
      </c>
      <c r="AF396" s="82">
        <v>0</v>
      </c>
      <c r="AG396" s="69">
        <v>40282</v>
      </c>
      <c r="AH396" s="84"/>
      <c r="AI396" s="69" t="s">
        <v>1984</v>
      </c>
      <c r="AJ396" s="25" t="s">
        <v>1985</v>
      </c>
      <c r="AK396" s="65"/>
      <c r="AL396" s="185" t="s">
        <v>1257</v>
      </c>
      <c r="AM396" s="85" t="s">
        <v>2675</v>
      </c>
      <c r="AN396" s="3"/>
      <c r="AO396" s="4"/>
      <c r="AP396" s="5"/>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6"/>
      <c r="CQ396" s="7"/>
      <c r="CR396" s="6"/>
      <c r="CS396" s="7"/>
      <c r="CT396" s="6"/>
      <c r="CU396" s="7"/>
      <c r="CV396" s="8">
        <f t="shared" si="54"/>
        <v>0</v>
      </c>
      <c r="CW396" s="9"/>
      <c r="CX396" s="10"/>
      <c r="CY396" s="11"/>
      <c r="CZ396" s="12"/>
      <c r="DA396" s="29"/>
      <c r="DB396" s="12"/>
      <c r="DC396" s="9"/>
      <c r="DD396" s="10"/>
      <c r="DE396" s="71"/>
      <c r="EO396" s="353" t="str">
        <f t="shared" si="49"/>
        <v>TOLIMA_ESPINAL</v>
      </c>
      <c r="EP396" s="350"/>
      <c r="EQ396" s="350" t="s">
        <v>4256</v>
      </c>
      <c r="ER396" s="358" t="s">
        <v>4257</v>
      </c>
      <c r="ES396" s="350" t="s">
        <v>5040</v>
      </c>
      <c r="ET396" s="350" t="s">
        <v>5843</v>
      </c>
      <c r="EU396" s="350" t="str">
        <f t="shared" si="48"/>
        <v>Cauca_Argelia</v>
      </c>
    </row>
    <row r="397" spans="1:151" ht="132" x14ac:dyDescent="0.2">
      <c r="A397" s="242">
        <v>40281</v>
      </c>
      <c r="B397" s="107" t="s">
        <v>2791</v>
      </c>
      <c r="C397" s="107" t="s">
        <v>264</v>
      </c>
      <c r="D397" s="427" t="s">
        <v>837</v>
      </c>
      <c r="E397" s="107" t="str">
        <f>VLOOKUP(B397&amp;C397,Divipola!$C$2:$F$1138,4,FALSE)</f>
        <v>73319</v>
      </c>
      <c r="F397" s="330"/>
      <c r="G397" s="224"/>
      <c r="H397" s="75"/>
      <c r="I397" s="75"/>
      <c r="J397" s="75">
        <f>171*5</f>
        <v>855</v>
      </c>
      <c r="K397" s="75">
        <v>171</v>
      </c>
      <c r="L397" s="75"/>
      <c r="M397" s="75">
        <v>171</v>
      </c>
      <c r="N397" s="75">
        <v>1</v>
      </c>
      <c r="O397" s="75"/>
      <c r="P397" s="75"/>
      <c r="Q397" s="75"/>
      <c r="R397" s="75"/>
      <c r="S397" s="75"/>
      <c r="T397" s="75">
        <v>1</v>
      </c>
      <c r="U397" s="75"/>
      <c r="V397" s="76"/>
      <c r="W397" s="205" t="s">
        <v>2180</v>
      </c>
      <c r="X397" s="1">
        <v>40354</v>
      </c>
      <c r="Y397" s="78">
        <f t="shared" si="50"/>
        <v>41211000</v>
      </c>
      <c r="Z397" s="78">
        <f t="shared" si="51"/>
        <v>14535000</v>
      </c>
      <c r="AA397" s="78">
        <f t="shared" si="52"/>
        <v>0</v>
      </c>
      <c r="AB397" s="78">
        <f t="shared" si="53"/>
        <v>0</v>
      </c>
      <c r="AC397" s="78"/>
      <c r="AD397" s="78">
        <v>0</v>
      </c>
      <c r="AE397" s="80">
        <f t="shared" si="55"/>
        <v>55746000</v>
      </c>
      <c r="AF397" s="82">
        <v>0</v>
      </c>
      <c r="AG397" s="69">
        <v>40330</v>
      </c>
      <c r="AH397" s="84">
        <v>97944</v>
      </c>
      <c r="AI397" s="69" t="s">
        <v>2009</v>
      </c>
      <c r="AJ397" s="25" t="s">
        <v>2010</v>
      </c>
      <c r="AK397" s="88" t="s">
        <v>2048</v>
      </c>
      <c r="AL397" s="185" t="s">
        <v>2182</v>
      </c>
      <c r="AM397" s="85" t="s">
        <v>634</v>
      </c>
      <c r="AN397" s="3"/>
      <c r="AO397" s="4"/>
      <c r="AP397" s="5"/>
      <c r="AQ397" s="4"/>
      <c r="AR397" s="4"/>
      <c r="AS397" s="4"/>
      <c r="AT397" s="4"/>
      <c r="AU397" s="4"/>
      <c r="AV397" s="4"/>
      <c r="AW397" s="4"/>
      <c r="AX397" s="4"/>
      <c r="AY397" s="4"/>
      <c r="AZ397" s="4">
        <v>513</v>
      </c>
      <c r="BA397" s="4">
        <f>513*56000</f>
        <v>28728000</v>
      </c>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6">
        <v>171</v>
      </c>
      <c r="CQ397" s="7">
        <f>171*37000</f>
        <v>6327000</v>
      </c>
      <c r="CR397" s="6">
        <v>171</v>
      </c>
      <c r="CS397" s="7">
        <f>171*36000</f>
        <v>6156000</v>
      </c>
      <c r="CT397" s="6"/>
      <c r="CU397" s="7"/>
      <c r="CV397" s="8">
        <f t="shared" si="54"/>
        <v>41211000</v>
      </c>
      <c r="CW397" s="9"/>
      <c r="CX397" s="10"/>
      <c r="CY397" s="11">
        <v>171</v>
      </c>
      <c r="CZ397" s="12">
        <f>171*85000</f>
        <v>14535000</v>
      </c>
      <c r="DA397" s="29"/>
      <c r="DB397" s="12"/>
      <c r="DC397" s="9"/>
      <c r="DD397" s="10"/>
      <c r="DE397" s="71"/>
      <c r="EO397" s="353" t="str">
        <f t="shared" si="49"/>
        <v>TOLIMA_GUAMO</v>
      </c>
      <c r="EP397" s="350"/>
      <c r="EQ397" s="350" t="s">
        <v>4256</v>
      </c>
      <c r="ER397" s="358" t="s">
        <v>4257</v>
      </c>
      <c r="ES397" s="350" t="s">
        <v>5041</v>
      </c>
      <c r="ET397" s="350" t="s">
        <v>6182</v>
      </c>
      <c r="EU397" s="350" t="str">
        <f t="shared" si="48"/>
        <v>Cauca_Balboa</v>
      </c>
    </row>
    <row r="398" spans="1:151" ht="25.5" x14ac:dyDescent="0.2">
      <c r="A398" s="242">
        <v>40281</v>
      </c>
      <c r="B398" s="107" t="s">
        <v>2791</v>
      </c>
      <c r="C398" s="107" t="s">
        <v>1945</v>
      </c>
      <c r="D398" s="427" t="s">
        <v>2307</v>
      </c>
      <c r="E398" s="107" t="str">
        <f>VLOOKUP(B398&amp;C398,Divipola!$C$2:$F$1138,4,FALSE)</f>
        <v>73001</v>
      </c>
      <c r="F398" s="330"/>
      <c r="G398" s="224"/>
      <c r="H398" s="75"/>
      <c r="I398" s="75"/>
      <c r="J398" s="75"/>
      <c r="K398" s="75"/>
      <c r="L398" s="75"/>
      <c r="M398" s="75"/>
      <c r="N398" s="75">
        <v>1</v>
      </c>
      <c r="O398" s="75"/>
      <c r="P398" s="75"/>
      <c r="Q398" s="75"/>
      <c r="R398" s="75"/>
      <c r="S398" s="75"/>
      <c r="T398" s="75"/>
      <c r="U398" s="75"/>
      <c r="V398" s="76"/>
      <c r="W398" s="205"/>
      <c r="X398" s="1"/>
      <c r="Y398" s="78">
        <f t="shared" si="50"/>
        <v>0</v>
      </c>
      <c r="Z398" s="78">
        <f t="shared" si="51"/>
        <v>0</v>
      </c>
      <c r="AA398" s="78">
        <f t="shared" si="52"/>
        <v>0</v>
      </c>
      <c r="AB398" s="78">
        <f t="shared" si="53"/>
        <v>0</v>
      </c>
      <c r="AC398" s="78"/>
      <c r="AD398" s="78">
        <v>0</v>
      </c>
      <c r="AE398" s="80">
        <f t="shared" si="55"/>
        <v>0</v>
      </c>
      <c r="AF398" s="82">
        <v>0</v>
      </c>
      <c r="AG398" s="69">
        <v>40282</v>
      </c>
      <c r="AH398" s="84"/>
      <c r="AI398" s="69" t="s">
        <v>1984</v>
      </c>
      <c r="AJ398" s="25" t="s">
        <v>1985</v>
      </c>
      <c r="AK398" s="65"/>
      <c r="AL398" s="185" t="s">
        <v>1257</v>
      </c>
      <c r="AM398" s="85" t="s">
        <v>2752</v>
      </c>
      <c r="AN398" s="3"/>
      <c r="AO398" s="4"/>
      <c r="AP398" s="5"/>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6"/>
      <c r="CQ398" s="7"/>
      <c r="CR398" s="6"/>
      <c r="CS398" s="7"/>
      <c r="CT398" s="6"/>
      <c r="CU398" s="7"/>
      <c r="CV398" s="8">
        <f t="shared" si="54"/>
        <v>0</v>
      </c>
      <c r="CW398" s="9"/>
      <c r="CX398" s="10"/>
      <c r="CY398" s="11"/>
      <c r="CZ398" s="12"/>
      <c r="DA398" s="29"/>
      <c r="DB398" s="12"/>
      <c r="DC398" s="9"/>
      <c r="DD398" s="10"/>
      <c r="DE398" s="71"/>
      <c r="EO398" s="353" t="str">
        <f t="shared" si="49"/>
        <v>TOLIMA_IBAGUE</v>
      </c>
      <c r="EP398" s="350"/>
      <c r="EQ398" s="350" t="s">
        <v>4256</v>
      </c>
      <c r="ER398" s="358" t="s">
        <v>4257</v>
      </c>
      <c r="ES398" s="350" t="s">
        <v>5042</v>
      </c>
      <c r="ET398" s="350" t="s">
        <v>4052</v>
      </c>
      <c r="EU398" s="350" t="str">
        <f t="shared" si="48"/>
        <v>Cauca_Bolivar</v>
      </c>
    </row>
    <row r="399" spans="1:151" ht="25.5" x14ac:dyDescent="0.2">
      <c r="A399" s="242">
        <v>40281</v>
      </c>
      <c r="B399" s="107" t="s">
        <v>2791</v>
      </c>
      <c r="C399" s="107" t="s">
        <v>2751</v>
      </c>
      <c r="D399" s="427" t="s">
        <v>2307</v>
      </c>
      <c r="E399" s="107" t="str">
        <f>VLOOKUP(B399&amp;C399,Divipola!$C$2:$F$1138,4,FALSE)</f>
        <v>73449</v>
      </c>
      <c r="F399" s="330"/>
      <c r="G399" s="224"/>
      <c r="H399" s="75"/>
      <c r="I399" s="75"/>
      <c r="J399" s="75">
        <v>25</v>
      </c>
      <c r="K399" s="75">
        <v>5</v>
      </c>
      <c r="L399" s="75"/>
      <c r="M399" s="75">
        <v>5</v>
      </c>
      <c r="N399" s="75"/>
      <c r="O399" s="75"/>
      <c r="P399" s="75"/>
      <c r="Q399" s="75"/>
      <c r="R399" s="75"/>
      <c r="S399" s="75"/>
      <c r="T399" s="75"/>
      <c r="U399" s="75"/>
      <c r="V399" s="76"/>
      <c r="W399" s="205"/>
      <c r="X399" s="1"/>
      <c r="Y399" s="78">
        <f t="shared" si="50"/>
        <v>0</v>
      </c>
      <c r="Z399" s="78">
        <f t="shared" si="51"/>
        <v>0</v>
      </c>
      <c r="AA399" s="78">
        <f t="shared" si="52"/>
        <v>0</v>
      </c>
      <c r="AB399" s="78">
        <f t="shared" si="53"/>
        <v>0</v>
      </c>
      <c r="AC399" s="78"/>
      <c r="AD399" s="78">
        <v>0</v>
      </c>
      <c r="AE399" s="80">
        <f t="shared" si="55"/>
        <v>0</v>
      </c>
      <c r="AF399" s="82">
        <v>0</v>
      </c>
      <c r="AG399" s="69">
        <v>40282</v>
      </c>
      <c r="AH399" s="84"/>
      <c r="AI399" s="69" t="s">
        <v>1984</v>
      </c>
      <c r="AJ399" s="25" t="s">
        <v>1985</v>
      </c>
      <c r="AK399" s="65"/>
      <c r="AL399" s="185" t="s">
        <v>1257</v>
      </c>
      <c r="AM399" s="85" t="s">
        <v>2033</v>
      </c>
      <c r="AN399" s="3"/>
      <c r="AO399" s="4"/>
      <c r="AP399" s="5"/>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6"/>
      <c r="CQ399" s="7"/>
      <c r="CR399" s="6"/>
      <c r="CS399" s="7"/>
      <c r="CT399" s="6"/>
      <c r="CU399" s="7"/>
      <c r="CV399" s="8">
        <f t="shared" si="54"/>
        <v>0</v>
      </c>
      <c r="CW399" s="9"/>
      <c r="CX399" s="10"/>
      <c r="CY399" s="11"/>
      <c r="CZ399" s="12"/>
      <c r="DA399" s="29"/>
      <c r="DB399" s="12"/>
      <c r="DC399" s="9"/>
      <c r="DD399" s="10"/>
      <c r="DE399" s="71"/>
      <c r="EO399" s="353" t="str">
        <f t="shared" si="49"/>
        <v>TOLIMA_MELGAR</v>
      </c>
      <c r="EP399" s="350"/>
      <c r="EQ399" s="350" t="s">
        <v>4256</v>
      </c>
      <c r="ER399" s="358" t="s">
        <v>4257</v>
      </c>
      <c r="ES399" s="350" t="s">
        <v>5043</v>
      </c>
      <c r="ET399" s="350" t="s">
        <v>6183</v>
      </c>
      <c r="EU399" s="350" t="str">
        <f t="shared" si="48"/>
        <v>Cauca_Buenos Aires</v>
      </c>
    </row>
    <row r="400" spans="1:151" ht="38.25" x14ac:dyDescent="0.2">
      <c r="A400" s="242">
        <v>40281.931250000001</v>
      </c>
      <c r="B400" s="107" t="s">
        <v>6305</v>
      </c>
      <c r="C400" s="107" t="s">
        <v>6305</v>
      </c>
      <c r="D400" s="430" t="s">
        <v>2307</v>
      </c>
      <c r="E400" s="107" t="str">
        <f>VLOOKUP(B400&amp;C400,Divipola!$C$2:$F$1138,4,FALSE)</f>
        <v>11001</v>
      </c>
      <c r="F400" s="333"/>
      <c r="G400" s="221"/>
      <c r="H400" s="157">
        <v>2</v>
      </c>
      <c r="I400" s="157"/>
      <c r="J400" s="157">
        <v>120</v>
      </c>
      <c r="K400" s="414">
        <v>26</v>
      </c>
      <c r="L400" s="157"/>
      <c r="M400" s="157"/>
      <c r="N400" s="157"/>
      <c r="O400" s="157"/>
      <c r="P400" s="157"/>
      <c r="Q400" s="157"/>
      <c r="R400" s="157"/>
      <c r="S400" s="157"/>
      <c r="T400" s="157"/>
      <c r="U400" s="157"/>
      <c r="V400" s="158"/>
      <c r="W400" s="182"/>
      <c r="X400" s="1"/>
      <c r="Y400" s="78">
        <f t="shared" si="50"/>
        <v>0</v>
      </c>
      <c r="Z400" s="78">
        <f t="shared" si="51"/>
        <v>0</v>
      </c>
      <c r="AA400" s="78">
        <f t="shared" si="52"/>
        <v>0</v>
      </c>
      <c r="AB400" s="78">
        <f t="shared" si="53"/>
        <v>0</v>
      </c>
      <c r="AC400" s="78"/>
      <c r="AD400" s="78">
        <v>0</v>
      </c>
      <c r="AE400" s="80">
        <f t="shared" si="55"/>
        <v>0</v>
      </c>
      <c r="AF400" s="82">
        <v>0</v>
      </c>
      <c r="AG400" s="306">
        <v>40624</v>
      </c>
      <c r="AH400" s="307"/>
      <c r="AI400" s="306" t="s">
        <v>1984</v>
      </c>
      <c r="AJ400" s="308" t="s">
        <v>1985</v>
      </c>
      <c r="AK400" s="309"/>
      <c r="AL400" s="310" t="s">
        <v>1257</v>
      </c>
      <c r="AM400" s="419" t="s">
        <v>3745</v>
      </c>
      <c r="AN400" s="159"/>
      <c r="AO400" s="160"/>
      <c r="AP400" s="161"/>
      <c r="AQ400" s="160"/>
      <c r="AR400" s="160"/>
      <c r="AS400" s="160"/>
      <c r="AT400" s="160"/>
      <c r="AU400" s="160"/>
      <c r="AV400" s="160"/>
      <c r="AW400" s="160"/>
      <c r="AX400" s="160"/>
      <c r="AY400" s="160"/>
      <c r="AZ400" s="160"/>
      <c r="BA400" s="160"/>
      <c r="BB400" s="160"/>
      <c r="BC400" s="160"/>
      <c r="BD400" s="160"/>
      <c r="BE400" s="160"/>
      <c r="BF400" s="160"/>
      <c r="BG400" s="160"/>
      <c r="BH400" s="160"/>
      <c r="BI400" s="160"/>
      <c r="BJ400" s="160"/>
      <c r="BK400" s="160"/>
      <c r="BL400" s="160"/>
      <c r="BM400" s="160"/>
      <c r="BN400" s="160"/>
      <c r="BO400" s="160"/>
      <c r="BP400" s="160"/>
      <c r="BQ400" s="160"/>
      <c r="BR400" s="160"/>
      <c r="BS400" s="160"/>
      <c r="BT400" s="160"/>
      <c r="BU400" s="160"/>
      <c r="BV400" s="160"/>
      <c r="BW400" s="160"/>
      <c r="BX400" s="160"/>
      <c r="BY400" s="160"/>
      <c r="BZ400" s="160"/>
      <c r="CA400" s="160"/>
      <c r="CB400" s="160"/>
      <c r="CC400" s="160"/>
      <c r="CD400" s="160"/>
      <c r="CE400" s="160"/>
      <c r="CF400" s="160"/>
      <c r="CG400" s="160"/>
      <c r="CH400" s="160"/>
      <c r="CI400" s="160"/>
      <c r="CJ400" s="160"/>
      <c r="CK400" s="160"/>
      <c r="CL400" s="160"/>
      <c r="CM400" s="160"/>
      <c r="CN400" s="160"/>
      <c r="CO400" s="160"/>
      <c r="CP400" s="162"/>
      <c r="CQ400" s="163"/>
      <c r="CR400" s="162"/>
      <c r="CS400" s="163"/>
      <c r="CT400" s="162"/>
      <c r="CU400" s="163"/>
      <c r="CV400" s="164">
        <f t="shared" si="54"/>
        <v>0</v>
      </c>
      <c r="CW400" s="165"/>
      <c r="CX400" s="166"/>
      <c r="CY400" s="167"/>
      <c r="CZ400" s="168"/>
      <c r="DA400" s="169"/>
      <c r="DB400" s="168"/>
      <c r="DC400" s="165"/>
      <c r="DD400" s="166"/>
      <c r="DE400" s="71"/>
      <c r="DF400" s="170"/>
      <c r="EO400" s="353" t="str">
        <f t="shared" si="49"/>
        <v>BOGOTA, D.C._BOGOTA, D.C.</v>
      </c>
      <c r="EP400" s="350"/>
      <c r="EQ400" s="350" t="s">
        <v>4256</v>
      </c>
      <c r="ER400" s="358" t="s">
        <v>4257</v>
      </c>
      <c r="ES400" s="350" t="s">
        <v>5044</v>
      </c>
      <c r="ET400" s="350" t="s">
        <v>6184</v>
      </c>
      <c r="EU400" s="350" t="str">
        <f t="shared" si="48"/>
        <v>Cauca_Cajibio</v>
      </c>
    </row>
    <row r="401" spans="1:151" ht="25.5" x14ac:dyDescent="0.2">
      <c r="A401" s="246">
        <v>40282</v>
      </c>
      <c r="B401" s="238" t="s">
        <v>2401</v>
      </c>
      <c r="C401" s="238" t="s">
        <v>2267</v>
      </c>
      <c r="D401" s="431" t="s">
        <v>837</v>
      </c>
      <c r="E401" s="107" t="str">
        <f>VLOOKUP(B401&amp;C401,Divipola!$C$2:$F$1138,4,FALSE)</f>
        <v>05837</v>
      </c>
      <c r="F401" s="334"/>
      <c r="G401" s="224"/>
      <c r="H401" s="75"/>
      <c r="I401" s="75"/>
      <c r="J401" s="75">
        <f>27*5</f>
        <v>135</v>
      </c>
      <c r="K401" s="75">
        <v>27</v>
      </c>
      <c r="L401" s="75"/>
      <c r="M401" s="75">
        <v>27</v>
      </c>
      <c r="N401" s="75"/>
      <c r="O401" s="75"/>
      <c r="P401" s="75"/>
      <c r="Q401" s="75"/>
      <c r="R401" s="75"/>
      <c r="S401" s="75"/>
      <c r="T401" s="75"/>
      <c r="U401" s="75"/>
      <c r="V401" s="76"/>
      <c r="W401" s="205"/>
      <c r="X401" s="1"/>
      <c r="Y401" s="78">
        <f t="shared" si="50"/>
        <v>0</v>
      </c>
      <c r="Z401" s="78">
        <f t="shared" si="51"/>
        <v>0</v>
      </c>
      <c r="AA401" s="78">
        <f t="shared" si="52"/>
        <v>0</v>
      </c>
      <c r="AB401" s="78">
        <f t="shared" si="53"/>
        <v>0</v>
      </c>
      <c r="AC401" s="78"/>
      <c r="AD401" s="78">
        <v>0</v>
      </c>
      <c r="AE401" s="80">
        <f t="shared" si="55"/>
        <v>0</v>
      </c>
      <c r="AF401" s="82">
        <v>0</v>
      </c>
      <c r="AG401" s="69">
        <v>40282</v>
      </c>
      <c r="AH401" s="84"/>
      <c r="AI401" s="69" t="s">
        <v>1984</v>
      </c>
      <c r="AJ401" s="25" t="s">
        <v>1985</v>
      </c>
      <c r="AK401" s="65"/>
      <c r="AL401" s="185" t="s">
        <v>1257</v>
      </c>
      <c r="AM401" s="85" t="s">
        <v>1547</v>
      </c>
      <c r="AN401" s="3"/>
      <c r="AO401" s="4"/>
      <c r="AP401" s="5"/>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6"/>
      <c r="CQ401" s="7"/>
      <c r="CR401" s="6"/>
      <c r="CS401" s="7"/>
      <c r="CT401" s="6"/>
      <c r="CU401" s="7"/>
      <c r="CV401" s="8">
        <f t="shared" si="54"/>
        <v>0</v>
      </c>
      <c r="CW401" s="9"/>
      <c r="CX401" s="10"/>
      <c r="CY401" s="11"/>
      <c r="CZ401" s="12"/>
      <c r="DA401" s="29"/>
      <c r="DB401" s="12"/>
      <c r="DC401" s="9"/>
      <c r="DD401" s="10"/>
      <c r="DE401" s="71"/>
      <c r="EO401" s="353" t="str">
        <f t="shared" si="49"/>
        <v>ANTIOQUIA_TURBO</v>
      </c>
      <c r="EP401" s="350"/>
      <c r="EQ401" s="350" t="s">
        <v>4256</v>
      </c>
      <c r="ER401" s="358" t="s">
        <v>4257</v>
      </c>
      <c r="ES401" s="350" t="s">
        <v>5046</v>
      </c>
      <c r="ET401" s="350" t="s">
        <v>6185</v>
      </c>
      <c r="EU401" s="350" t="str">
        <f t="shared" si="48"/>
        <v>Cauca_Caloto</v>
      </c>
    </row>
    <row r="402" spans="1:151" ht="38.25" x14ac:dyDescent="0.2">
      <c r="A402" s="242">
        <v>40282</v>
      </c>
      <c r="B402" s="107" t="s">
        <v>1951</v>
      </c>
      <c r="C402" s="107" t="s">
        <v>1989</v>
      </c>
      <c r="D402" s="427" t="s">
        <v>837</v>
      </c>
      <c r="E402" s="107" t="str">
        <f>VLOOKUP(B402&amp;C402,Divipola!$C$2:$F$1138,4,FALSE)</f>
        <v>08001</v>
      </c>
      <c r="F402" s="330"/>
      <c r="G402" s="224"/>
      <c r="H402" s="75"/>
      <c r="I402" s="75"/>
      <c r="J402" s="75">
        <v>56</v>
      </c>
      <c r="K402" s="75">
        <v>10</v>
      </c>
      <c r="L402" s="75"/>
      <c r="M402" s="75">
        <v>10</v>
      </c>
      <c r="N402" s="75"/>
      <c r="O402" s="75"/>
      <c r="P402" s="75"/>
      <c r="Q402" s="75"/>
      <c r="R402" s="75"/>
      <c r="S402" s="75"/>
      <c r="T402" s="75"/>
      <c r="U402" s="75"/>
      <c r="V402" s="76"/>
      <c r="W402" s="205"/>
      <c r="X402" s="1"/>
      <c r="Y402" s="78">
        <f t="shared" si="50"/>
        <v>0</v>
      </c>
      <c r="Z402" s="78">
        <f t="shared" si="51"/>
        <v>0</v>
      </c>
      <c r="AA402" s="78">
        <f t="shared" si="52"/>
        <v>0</v>
      </c>
      <c r="AB402" s="78">
        <f t="shared" si="53"/>
        <v>0</v>
      </c>
      <c r="AC402" s="78"/>
      <c r="AD402" s="78">
        <v>0</v>
      </c>
      <c r="AE402" s="80">
        <f t="shared" si="55"/>
        <v>0</v>
      </c>
      <c r="AF402" s="82">
        <v>0</v>
      </c>
      <c r="AG402" s="69">
        <v>40283</v>
      </c>
      <c r="AH402" s="84"/>
      <c r="AI402" s="69" t="s">
        <v>1984</v>
      </c>
      <c r="AJ402" s="25" t="s">
        <v>1985</v>
      </c>
      <c r="AK402" s="65"/>
      <c r="AL402" s="185" t="s">
        <v>1257</v>
      </c>
      <c r="AM402" s="85" t="s">
        <v>2043</v>
      </c>
      <c r="AN402" s="3"/>
      <c r="AO402" s="4"/>
      <c r="AP402" s="5"/>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6"/>
      <c r="CQ402" s="7"/>
      <c r="CR402" s="6"/>
      <c r="CS402" s="7"/>
      <c r="CT402" s="6"/>
      <c r="CU402" s="7"/>
      <c r="CV402" s="8">
        <f t="shared" si="54"/>
        <v>0</v>
      </c>
      <c r="CW402" s="9"/>
      <c r="CX402" s="10"/>
      <c r="CY402" s="11"/>
      <c r="CZ402" s="12"/>
      <c r="DA402" s="29"/>
      <c r="DB402" s="12"/>
      <c r="DC402" s="9"/>
      <c r="DD402" s="10"/>
      <c r="DE402" s="71"/>
      <c r="EO402" s="359" t="str">
        <f t="shared" si="49"/>
        <v>ATLANTICO_BARRANQUILLA</v>
      </c>
      <c r="EP402" s="360"/>
      <c r="EQ402" s="350" t="s">
        <v>4256</v>
      </c>
      <c r="ER402" s="358" t="s">
        <v>4257</v>
      </c>
      <c r="ES402" s="350" t="s">
        <v>5047</v>
      </c>
      <c r="ET402" s="350" t="s">
        <v>6186</v>
      </c>
      <c r="EU402" s="350" t="str">
        <f t="shared" si="48"/>
        <v>Cauca_Corinto</v>
      </c>
    </row>
    <row r="403" spans="1:151" ht="96" x14ac:dyDescent="0.2">
      <c r="A403" s="242">
        <v>40282</v>
      </c>
      <c r="B403" s="107" t="s">
        <v>3112</v>
      </c>
      <c r="C403" s="107" t="s">
        <v>1535</v>
      </c>
      <c r="D403" s="427" t="s">
        <v>837</v>
      </c>
      <c r="E403" s="107" t="str">
        <f>VLOOKUP(B403&amp;C403,Divipola!$C$2:$F$1138,4,FALSE)</f>
        <v>18001</v>
      </c>
      <c r="F403" s="330"/>
      <c r="G403" s="224"/>
      <c r="H403" s="75"/>
      <c r="I403" s="75"/>
      <c r="J403" s="75">
        <v>270</v>
      </c>
      <c r="K403" s="75">
        <v>50</v>
      </c>
      <c r="L403" s="75"/>
      <c r="M403" s="75">
        <v>50</v>
      </c>
      <c r="N403" s="75"/>
      <c r="O403" s="75"/>
      <c r="P403" s="75"/>
      <c r="Q403" s="75"/>
      <c r="R403" s="75"/>
      <c r="S403" s="75"/>
      <c r="T403" s="75"/>
      <c r="U403" s="75"/>
      <c r="V403" s="76"/>
      <c r="W403" s="205"/>
      <c r="X403" s="1">
        <v>40340</v>
      </c>
      <c r="Y403" s="78">
        <f t="shared" si="50"/>
        <v>0</v>
      </c>
      <c r="Z403" s="78">
        <f t="shared" si="51"/>
        <v>0</v>
      </c>
      <c r="AA403" s="78">
        <f t="shared" si="52"/>
        <v>0</v>
      </c>
      <c r="AB403" s="78">
        <f t="shared" si="53"/>
        <v>0</v>
      </c>
      <c r="AC403" s="78">
        <f>2000*33872+200*24940+80*32480+1200*40368+300*38860</f>
        <v>135430000</v>
      </c>
      <c r="AD403" s="78">
        <v>0</v>
      </c>
      <c r="AE403" s="80">
        <f t="shared" si="55"/>
        <v>135430000</v>
      </c>
      <c r="AF403" s="82">
        <v>0</v>
      </c>
      <c r="AG403" s="69">
        <v>40303</v>
      </c>
      <c r="AH403" s="84">
        <v>97232</v>
      </c>
      <c r="AI403" s="69" t="s">
        <v>2009</v>
      </c>
      <c r="AJ403" s="25" t="s">
        <v>2010</v>
      </c>
      <c r="AK403" s="65">
        <v>154</v>
      </c>
      <c r="AL403" s="185" t="s">
        <v>2182</v>
      </c>
      <c r="AM403" s="85" t="s">
        <v>1722</v>
      </c>
      <c r="AN403" s="3"/>
      <c r="AO403" s="4"/>
      <c r="AP403" s="5"/>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6"/>
      <c r="CQ403" s="7"/>
      <c r="CR403" s="6"/>
      <c r="CS403" s="7"/>
      <c r="CT403" s="6"/>
      <c r="CU403" s="7"/>
      <c r="CV403" s="8">
        <f t="shared" si="54"/>
        <v>0</v>
      </c>
      <c r="CW403" s="9"/>
      <c r="CX403" s="10"/>
      <c r="CY403" s="11"/>
      <c r="CZ403" s="12"/>
      <c r="DA403" s="29"/>
      <c r="DB403" s="12"/>
      <c r="DC403" s="9"/>
      <c r="DD403" s="10"/>
      <c r="DE403" s="71"/>
      <c r="EO403" s="359" t="str">
        <f t="shared" si="49"/>
        <v>CAQUETA_FLORENCIA</v>
      </c>
      <c r="EP403" s="360"/>
      <c r="EQ403" s="350" t="s">
        <v>4256</v>
      </c>
      <c r="ER403" s="358" t="s">
        <v>4257</v>
      </c>
      <c r="ES403" s="350" t="s">
        <v>5048</v>
      </c>
      <c r="ET403" s="350" t="s">
        <v>6187</v>
      </c>
      <c r="EU403" s="350" t="str">
        <f t="shared" si="48"/>
        <v>Cauca_El Tambo</v>
      </c>
    </row>
    <row r="404" spans="1:151" ht="38.25" x14ac:dyDescent="0.2">
      <c r="A404" s="242">
        <v>40282</v>
      </c>
      <c r="B404" s="107" t="s">
        <v>2007</v>
      </c>
      <c r="C404" s="107" t="s">
        <v>1573</v>
      </c>
      <c r="D404" s="427" t="s">
        <v>837</v>
      </c>
      <c r="E404" s="107" t="str">
        <f>VLOOKUP(B404&amp;C404,Divipola!$C$2:$F$1138,4,FALSE)</f>
        <v>25001</v>
      </c>
      <c r="F404" s="330"/>
      <c r="G404" s="224"/>
      <c r="H404" s="75"/>
      <c r="I404" s="75"/>
      <c r="J404" s="75">
        <v>3</v>
      </c>
      <c r="K404" s="75">
        <v>2</v>
      </c>
      <c r="L404" s="75">
        <v>2</v>
      </c>
      <c r="M404" s="75"/>
      <c r="N404" s="75"/>
      <c r="O404" s="75"/>
      <c r="P404" s="75"/>
      <c r="Q404" s="75"/>
      <c r="R404" s="75"/>
      <c r="S404" s="75"/>
      <c r="T404" s="75"/>
      <c r="U404" s="75"/>
      <c r="V404" s="76"/>
      <c r="W404" s="205"/>
      <c r="X404" s="1"/>
      <c r="Y404" s="78">
        <f t="shared" si="50"/>
        <v>0</v>
      </c>
      <c r="Z404" s="78">
        <f t="shared" si="51"/>
        <v>0</v>
      </c>
      <c r="AA404" s="78">
        <f t="shared" si="52"/>
        <v>0</v>
      </c>
      <c r="AB404" s="78">
        <f t="shared" si="53"/>
        <v>0</v>
      </c>
      <c r="AC404" s="78"/>
      <c r="AD404" s="78">
        <v>0</v>
      </c>
      <c r="AE404" s="80">
        <f t="shared" si="55"/>
        <v>0</v>
      </c>
      <c r="AF404" s="82">
        <v>0</v>
      </c>
      <c r="AG404" s="69">
        <v>40283</v>
      </c>
      <c r="AH404" s="84"/>
      <c r="AI404" s="69" t="s">
        <v>1984</v>
      </c>
      <c r="AJ404" s="25" t="s">
        <v>1985</v>
      </c>
      <c r="AK404" s="65"/>
      <c r="AL404" s="185" t="s">
        <v>1257</v>
      </c>
      <c r="AM404" s="85" t="s">
        <v>12</v>
      </c>
      <c r="AN404" s="3"/>
      <c r="AO404" s="4"/>
      <c r="AP404" s="5"/>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6"/>
      <c r="CQ404" s="7"/>
      <c r="CR404" s="6"/>
      <c r="CS404" s="7"/>
      <c r="CT404" s="6"/>
      <c r="CU404" s="7"/>
      <c r="CV404" s="8">
        <f t="shared" si="54"/>
        <v>0</v>
      </c>
      <c r="CW404" s="9"/>
      <c r="CX404" s="10"/>
      <c r="CY404" s="11"/>
      <c r="CZ404" s="12"/>
      <c r="DA404" s="29"/>
      <c r="DB404" s="12"/>
      <c r="DC404" s="9"/>
      <c r="DD404" s="10"/>
      <c r="DE404" s="71"/>
      <c r="EO404" s="353" t="str">
        <f t="shared" si="49"/>
        <v>CUNDINAMARCA_AGUA DE DIOS</v>
      </c>
      <c r="EP404" s="350"/>
      <c r="EQ404" s="350" t="s">
        <v>4256</v>
      </c>
      <c r="ER404" s="358" t="s">
        <v>4257</v>
      </c>
      <c r="ES404" s="350" t="s">
        <v>5049</v>
      </c>
      <c r="ET404" s="350" t="s">
        <v>6166</v>
      </c>
      <c r="EU404" s="350" t="str">
        <f t="shared" si="48"/>
        <v>Cauca_Florencia</v>
      </c>
    </row>
    <row r="405" spans="1:151" ht="38.25" x14ac:dyDescent="0.2">
      <c r="A405" s="242">
        <v>40282</v>
      </c>
      <c r="B405" s="107" t="s">
        <v>2007</v>
      </c>
      <c r="C405" s="107" t="s">
        <v>1574</v>
      </c>
      <c r="D405" s="427" t="s">
        <v>2307</v>
      </c>
      <c r="E405" s="107" t="str">
        <f>VLOOKUP(B405&amp;C405,Divipola!$C$2:$F$1138,4,FALSE)</f>
        <v>25168</v>
      </c>
      <c r="F405" s="330"/>
      <c r="G405" s="224"/>
      <c r="H405" s="75"/>
      <c r="I405" s="75"/>
      <c r="J405" s="75">
        <v>650</v>
      </c>
      <c r="K405" s="75">
        <v>190</v>
      </c>
      <c r="L405" s="75"/>
      <c r="M405" s="75"/>
      <c r="N405" s="75">
        <v>1</v>
      </c>
      <c r="O405" s="75"/>
      <c r="P405" s="75"/>
      <c r="Q405" s="75"/>
      <c r="R405" s="75"/>
      <c r="S405" s="75"/>
      <c r="T405" s="75"/>
      <c r="U405" s="75"/>
      <c r="V405" s="76"/>
      <c r="W405" s="205"/>
      <c r="X405" s="1"/>
      <c r="Y405" s="78">
        <f t="shared" si="50"/>
        <v>0</v>
      </c>
      <c r="Z405" s="78">
        <f t="shared" si="51"/>
        <v>0</v>
      </c>
      <c r="AA405" s="78">
        <f t="shared" si="52"/>
        <v>0</v>
      </c>
      <c r="AB405" s="78">
        <f t="shared" si="53"/>
        <v>0</v>
      </c>
      <c r="AC405" s="78"/>
      <c r="AD405" s="78">
        <v>0</v>
      </c>
      <c r="AE405" s="80">
        <f t="shared" si="55"/>
        <v>0</v>
      </c>
      <c r="AF405" s="82">
        <v>0</v>
      </c>
      <c r="AG405" s="69">
        <v>40283</v>
      </c>
      <c r="AH405" s="84"/>
      <c r="AI405" s="69" t="s">
        <v>1984</v>
      </c>
      <c r="AJ405" s="25" t="s">
        <v>1985</v>
      </c>
      <c r="AK405" s="65"/>
      <c r="AL405" s="185" t="s">
        <v>1257</v>
      </c>
      <c r="AM405" s="85" t="s">
        <v>1575</v>
      </c>
      <c r="AN405" s="3"/>
      <c r="AO405" s="4"/>
      <c r="AP405" s="5"/>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6"/>
      <c r="CQ405" s="7"/>
      <c r="CR405" s="6"/>
      <c r="CS405" s="7"/>
      <c r="CT405" s="6"/>
      <c r="CU405" s="7"/>
      <c r="CV405" s="8">
        <f t="shared" si="54"/>
        <v>0</v>
      </c>
      <c r="CW405" s="9"/>
      <c r="CX405" s="10"/>
      <c r="CY405" s="11"/>
      <c r="CZ405" s="12"/>
      <c r="DA405" s="29"/>
      <c r="DB405" s="12"/>
      <c r="DC405" s="9"/>
      <c r="DD405" s="10"/>
      <c r="DE405" s="71"/>
      <c r="EO405" s="353" t="str">
        <f t="shared" si="49"/>
        <v>CUNDINAMARCA_CHAGUANI</v>
      </c>
      <c r="EP405" s="350"/>
      <c r="EQ405" s="350" t="s">
        <v>4256</v>
      </c>
      <c r="ER405" s="358" t="s">
        <v>4257</v>
      </c>
      <c r="ES405" s="350" t="s">
        <v>5050</v>
      </c>
      <c r="ET405" s="350" t="s">
        <v>6188</v>
      </c>
      <c r="EU405" s="350" t="str">
        <f t="shared" si="48"/>
        <v>Cauca_Guachene</v>
      </c>
    </row>
    <row r="406" spans="1:151" ht="38.25" x14ac:dyDescent="0.2">
      <c r="A406" s="242">
        <v>40282</v>
      </c>
      <c r="B406" s="107" t="s">
        <v>2007</v>
      </c>
      <c r="C406" s="107" t="s">
        <v>2246</v>
      </c>
      <c r="D406" s="427" t="s">
        <v>2307</v>
      </c>
      <c r="E406" s="107" t="str">
        <f>VLOOKUP(B406&amp;C406,Divipola!$C$2:$F$1138,4,FALSE)</f>
        <v>25307</v>
      </c>
      <c r="F406" s="330"/>
      <c r="G406" s="224">
        <v>2</v>
      </c>
      <c r="H406" s="75"/>
      <c r="I406" s="75"/>
      <c r="J406" s="75"/>
      <c r="K406" s="75"/>
      <c r="L406" s="75"/>
      <c r="M406" s="75"/>
      <c r="N406" s="75"/>
      <c r="O406" s="75"/>
      <c r="P406" s="75"/>
      <c r="Q406" s="75"/>
      <c r="R406" s="75"/>
      <c r="S406" s="75"/>
      <c r="T406" s="75"/>
      <c r="U406" s="75"/>
      <c r="V406" s="76"/>
      <c r="W406" s="205"/>
      <c r="X406" s="1"/>
      <c r="Y406" s="78">
        <f t="shared" si="50"/>
        <v>0</v>
      </c>
      <c r="Z406" s="78">
        <f t="shared" si="51"/>
        <v>0</v>
      </c>
      <c r="AA406" s="78">
        <f t="shared" si="52"/>
        <v>0</v>
      </c>
      <c r="AB406" s="78">
        <f t="shared" si="53"/>
        <v>0</v>
      </c>
      <c r="AC406" s="78"/>
      <c r="AD406" s="78">
        <v>0</v>
      </c>
      <c r="AE406" s="80">
        <f t="shared" si="55"/>
        <v>0</v>
      </c>
      <c r="AF406" s="82">
        <v>0</v>
      </c>
      <c r="AG406" s="69">
        <v>40282</v>
      </c>
      <c r="AH406" s="84"/>
      <c r="AI406" s="69" t="s">
        <v>1984</v>
      </c>
      <c r="AJ406" s="25" t="s">
        <v>1985</v>
      </c>
      <c r="AK406" s="65"/>
      <c r="AL406" s="185" t="s">
        <v>1257</v>
      </c>
      <c r="AM406" s="85" t="s">
        <v>2741</v>
      </c>
      <c r="AN406" s="3"/>
      <c r="AO406" s="4"/>
      <c r="AP406" s="5"/>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6"/>
      <c r="CQ406" s="7"/>
      <c r="CR406" s="6"/>
      <c r="CS406" s="7"/>
      <c r="CT406" s="6"/>
      <c r="CU406" s="7"/>
      <c r="CV406" s="8">
        <f t="shared" si="54"/>
        <v>0</v>
      </c>
      <c r="CW406" s="9"/>
      <c r="CX406" s="10"/>
      <c r="CY406" s="11"/>
      <c r="CZ406" s="12"/>
      <c r="DA406" s="29"/>
      <c r="DB406" s="12"/>
      <c r="DC406" s="9"/>
      <c r="DD406" s="10"/>
      <c r="DE406" s="71"/>
      <c r="EO406" s="353" t="str">
        <f t="shared" si="49"/>
        <v>CUNDINAMARCA_GIRARDOT</v>
      </c>
      <c r="EP406" s="350"/>
      <c r="EQ406" s="360" t="s">
        <v>4256</v>
      </c>
      <c r="ER406" s="358" t="s">
        <v>4257</v>
      </c>
      <c r="ES406" s="360" t="s">
        <v>5051</v>
      </c>
      <c r="ET406" s="360" t="s">
        <v>6189</v>
      </c>
      <c r="EU406" s="360" t="str">
        <f t="shared" si="48"/>
        <v>Cauca_Guapi</v>
      </c>
    </row>
    <row r="407" spans="1:151" ht="38.25" x14ac:dyDescent="0.2">
      <c r="A407" s="242">
        <v>40282</v>
      </c>
      <c r="B407" s="107" t="s">
        <v>2007</v>
      </c>
      <c r="C407" s="107" t="s">
        <v>2246</v>
      </c>
      <c r="D407" s="427" t="s">
        <v>2307</v>
      </c>
      <c r="E407" s="107" t="str">
        <f>VLOOKUP(B407&amp;C407,Divipola!$C$2:$F$1138,4,FALSE)</f>
        <v>25307</v>
      </c>
      <c r="F407" s="330"/>
      <c r="G407" s="224"/>
      <c r="H407" s="75">
        <v>1</v>
      </c>
      <c r="I407" s="75"/>
      <c r="J407" s="75"/>
      <c r="K407" s="75"/>
      <c r="L407" s="75"/>
      <c r="M407" s="75"/>
      <c r="N407" s="75">
        <v>1</v>
      </c>
      <c r="O407" s="75"/>
      <c r="P407" s="75"/>
      <c r="Q407" s="75"/>
      <c r="R407" s="75"/>
      <c r="S407" s="75"/>
      <c r="T407" s="75"/>
      <c r="U407" s="75"/>
      <c r="V407" s="76"/>
      <c r="W407" s="205"/>
      <c r="X407" s="1"/>
      <c r="Y407" s="78">
        <f t="shared" si="50"/>
        <v>0</v>
      </c>
      <c r="Z407" s="78">
        <f t="shared" si="51"/>
        <v>0</v>
      </c>
      <c r="AA407" s="78">
        <f t="shared" si="52"/>
        <v>0</v>
      </c>
      <c r="AB407" s="78">
        <f t="shared" si="53"/>
        <v>0</v>
      </c>
      <c r="AC407" s="78"/>
      <c r="AD407" s="78">
        <v>0</v>
      </c>
      <c r="AE407" s="80">
        <f t="shared" si="55"/>
        <v>0</v>
      </c>
      <c r="AF407" s="82">
        <v>0</v>
      </c>
      <c r="AG407" s="69">
        <v>40282</v>
      </c>
      <c r="AH407" s="84"/>
      <c r="AI407" s="69" t="s">
        <v>1984</v>
      </c>
      <c r="AJ407" s="25" t="s">
        <v>1985</v>
      </c>
      <c r="AK407" s="65"/>
      <c r="AL407" s="185" t="s">
        <v>1257</v>
      </c>
      <c r="AM407" s="85" t="s">
        <v>1371</v>
      </c>
      <c r="AN407" s="3"/>
      <c r="AO407" s="4"/>
      <c r="AP407" s="5"/>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6"/>
      <c r="CQ407" s="7"/>
      <c r="CR407" s="6"/>
      <c r="CS407" s="7"/>
      <c r="CT407" s="6"/>
      <c r="CU407" s="7"/>
      <c r="CV407" s="8">
        <f t="shared" si="54"/>
        <v>0</v>
      </c>
      <c r="CW407" s="9"/>
      <c r="CX407" s="10"/>
      <c r="CY407" s="11"/>
      <c r="CZ407" s="12"/>
      <c r="DA407" s="29"/>
      <c r="DB407" s="12"/>
      <c r="DC407" s="9"/>
      <c r="DD407" s="10"/>
      <c r="DE407" s="71"/>
      <c r="EO407" s="353" t="str">
        <f t="shared" si="49"/>
        <v>CUNDINAMARCA_GIRARDOT</v>
      </c>
      <c r="EP407" s="350"/>
      <c r="EQ407" s="360" t="s">
        <v>4256</v>
      </c>
      <c r="ER407" s="358" t="s">
        <v>4257</v>
      </c>
      <c r="ES407" s="360" t="s">
        <v>5052</v>
      </c>
      <c r="ET407" s="360" t="s">
        <v>6190</v>
      </c>
      <c r="EU407" s="360" t="str">
        <f t="shared" si="48"/>
        <v>Cauca_Inza</v>
      </c>
    </row>
    <row r="408" spans="1:151" ht="51" x14ac:dyDescent="0.2">
      <c r="A408" s="242">
        <v>40282</v>
      </c>
      <c r="B408" s="107" t="s">
        <v>2007</v>
      </c>
      <c r="C408" s="107" t="s">
        <v>1322</v>
      </c>
      <c r="D408" s="427" t="s">
        <v>837</v>
      </c>
      <c r="E408" s="107" t="str">
        <f>VLOOKUP(B408&amp;C408,Divipola!$C$2:$F$1138,4,FALSE)</f>
        <v>25572</v>
      </c>
      <c r="F408" s="330"/>
      <c r="G408" s="224"/>
      <c r="H408" s="75"/>
      <c r="I408" s="75"/>
      <c r="J408" s="75"/>
      <c r="K408" s="75"/>
      <c r="L408" s="75"/>
      <c r="M408" s="75"/>
      <c r="N408" s="75"/>
      <c r="O408" s="75"/>
      <c r="P408" s="75"/>
      <c r="Q408" s="75"/>
      <c r="R408" s="75"/>
      <c r="S408" s="75"/>
      <c r="T408" s="75"/>
      <c r="U408" s="75"/>
      <c r="V408" s="76"/>
      <c r="W408" s="205" t="s">
        <v>2180</v>
      </c>
      <c r="X408" s="1"/>
      <c r="Y408" s="78">
        <f t="shared" si="50"/>
        <v>0</v>
      </c>
      <c r="Z408" s="78">
        <f t="shared" si="51"/>
        <v>0</v>
      </c>
      <c r="AA408" s="78">
        <f t="shared" si="52"/>
        <v>0</v>
      </c>
      <c r="AB408" s="78">
        <f t="shared" si="53"/>
        <v>0</v>
      </c>
      <c r="AC408" s="78"/>
      <c r="AD408" s="78">
        <v>0</v>
      </c>
      <c r="AE408" s="80">
        <f t="shared" si="55"/>
        <v>0</v>
      </c>
      <c r="AF408" s="82">
        <v>0</v>
      </c>
      <c r="AG408" s="69">
        <v>40283</v>
      </c>
      <c r="AH408" s="84"/>
      <c r="AI408" s="69" t="s">
        <v>1984</v>
      </c>
      <c r="AJ408" s="25" t="s">
        <v>1985</v>
      </c>
      <c r="AK408" s="65"/>
      <c r="AL408" s="185" t="s">
        <v>1257</v>
      </c>
      <c r="AM408" s="85" t="s">
        <v>2799</v>
      </c>
      <c r="AN408" s="3"/>
      <c r="AO408" s="4"/>
      <c r="AP408" s="5"/>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6"/>
      <c r="CQ408" s="7"/>
      <c r="CR408" s="6"/>
      <c r="CS408" s="7"/>
      <c r="CT408" s="6"/>
      <c r="CU408" s="7"/>
      <c r="CV408" s="8">
        <f t="shared" si="54"/>
        <v>0</v>
      </c>
      <c r="CW408" s="9"/>
      <c r="CX408" s="10"/>
      <c r="CY408" s="11"/>
      <c r="CZ408" s="12"/>
      <c r="DA408" s="29"/>
      <c r="DB408" s="12"/>
      <c r="DC408" s="9"/>
      <c r="DD408" s="10"/>
      <c r="DE408" s="71"/>
      <c r="EO408" s="353" t="str">
        <f t="shared" si="49"/>
        <v>CUNDINAMARCA_PUERTO SALGAR</v>
      </c>
      <c r="EP408" s="350"/>
      <c r="EQ408" s="350" t="s">
        <v>4256</v>
      </c>
      <c r="ER408" s="358" t="s">
        <v>4257</v>
      </c>
      <c r="ES408" s="350" t="s">
        <v>5053</v>
      </c>
      <c r="ET408" s="350" t="s">
        <v>6191</v>
      </c>
      <c r="EU408" s="350" t="str">
        <f t="shared" si="48"/>
        <v>Cauca_Jambalo</v>
      </c>
    </row>
    <row r="409" spans="1:151" ht="38.25" x14ac:dyDescent="0.2">
      <c r="A409" s="242">
        <v>40282</v>
      </c>
      <c r="B409" s="107" t="s">
        <v>2007</v>
      </c>
      <c r="C409" s="107" t="s">
        <v>496</v>
      </c>
      <c r="D409" s="427" t="s">
        <v>837</v>
      </c>
      <c r="E409" s="107" t="str">
        <f>VLOOKUP(B409&amp;C409,Divipola!$C$2:$F$1138,4,FALSE)</f>
        <v>25612</v>
      </c>
      <c r="F409" s="330"/>
      <c r="G409" s="224"/>
      <c r="H409" s="75">
        <v>6</v>
      </c>
      <c r="I409" s="75"/>
      <c r="J409" s="75">
        <f>13*5</f>
        <v>65</v>
      </c>
      <c r="K409" s="75">
        <v>13</v>
      </c>
      <c r="L409" s="75">
        <v>3</v>
      </c>
      <c r="M409" s="75"/>
      <c r="N409" s="75"/>
      <c r="O409" s="75"/>
      <c r="P409" s="75"/>
      <c r="Q409" s="75"/>
      <c r="R409" s="75"/>
      <c r="S409" s="75"/>
      <c r="T409" s="75"/>
      <c r="U409" s="75"/>
      <c r="V409" s="76"/>
      <c r="W409" s="205"/>
      <c r="X409" s="1"/>
      <c r="Y409" s="78">
        <f t="shared" si="50"/>
        <v>0</v>
      </c>
      <c r="Z409" s="78">
        <f t="shared" si="51"/>
        <v>0</v>
      </c>
      <c r="AA409" s="78">
        <f t="shared" si="52"/>
        <v>0</v>
      </c>
      <c r="AB409" s="78">
        <f t="shared" si="53"/>
        <v>0</v>
      </c>
      <c r="AC409" s="78"/>
      <c r="AD409" s="78">
        <v>0</v>
      </c>
      <c r="AE409" s="80">
        <f t="shared" si="55"/>
        <v>0</v>
      </c>
      <c r="AF409" s="82">
        <v>0</v>
      </c>
      <c r="AG409" s="69">
        <v>40282</v>
      </c>
      <c r="AH409" s="84"/>
      <c r="AI409" s="69" t="s">
        <v>1984</v>
      </c>
      <c r="AJ409" s="25" t="s">
        <v>1985</v>
      </c>
      <c r="AK409" s="65"/>
      <c r="AL409" s="185" t="s">
        <v>1257</v>
      </c>
      <c r="AM409" s="85" t="s">
        <v>1548</v>
      </c>
      <c r="AN409" s="3"/>
      <c r="AO409" s="4"/>
      <c r="AP409" s="5"/>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6"/>
      <c r="CQ409" s="7"/>
      <c r="CR409" s="6"/>
      <c r="CS409" s="7"/>
      <c r="CT409" s="6"/>
      <c r="CU409" s="7"/>
      <c r="CV409" s="8">
        <f t="shared" si="54"/>
        <v>0</v>
      </c>
      <c r="CW409" s="9"/>
      <c r="CX409" s="10"/>
      <c r="CY409" s="11"/>
      <c r="CZ409" s="12"/>
      <c r="DA409" s="29"/>
      <c r="DB409" s="12"/>
      <c r="DC409" s="9"/>
      <c r="DD409" s="10"/>
      <c r="DE409" s="71"/>
      <c r="EO409" s="353" t="str">
        <f t="shared" si="49"/>
        <v>CUNDINAMARCA_RICAURTE</v>
      </c>
      <c r="EP409" s="350"/>
      <c r="EQ409" s="350" t="s">
        <v>4256</v>
      </c>
      <c r="ER409" s="358" t="s">
        <v>4257</v>
      </c>
      <c r="ES409" s="350" t="s">
        <v>5054</v>
      </c>
      <c r="ET409" s="350" t="s">
        <v>6192</v>
      </c>
      <c r="EU409" s="350" t="str">
        <f t="shared" si="48"/>
        <v>Cauca_La Sierra</v>
      </c>
    </row>
    <row r="410" spans="1:151" ht="38.25" x14ac:dyDescent="0.2">
      <c r="A410" s="242">
        <v>40282</v>
      </c>
      <c r="B410" s="107" t="s">
        <v>2007</v>
      </c>
      <c r="C410" s="107" t="s">
        <v>2740</v>
      </c>
      <c r="D410" s="427" t="s">
        <v>837</v>
      </c>
      <c r="E410" s="107" t="str">
        <f>VLOOKUP(B410&amp;C410,Divipola!$C$2:$F$1138,4,FALSE)</f>
        <v>25754</v>
      </c>
      <c r="F410" s="330"/>
      <c r="G410" s="224"/>
      <c r="H410" s="75"/>
      <c r="I410" s="75"/>
      <c r="J410" s="75">
        <v>148</v>
      </c>
      <c r="K410" s="75">
        <v>28</v>
      </c>
      <c r="L410" s="75">
        <v>1</v>
      </c>
      <c r="M410" s="75">
        <v>27</v>
      </c>
      <c r="N410" s="75"/>
      <c r="O410" s="75"/>
      <c r="P410" s="75"/>
      <c r="Q410" s="75"/>
      <c r="R410" s="75"/>
      <c r="S410" s="75"/>
      <c r="T410" s="75"/>
      <c r="U410" s="75"/>
      <c r="V410" s="76"/>
      <c r="W410" s="205"/>
      <c r="X410" s="1"/>
      <c r="Y410" s="78">
        <f t="shared" si="50"/>
        <v>0</v>
      </c>
      <c r="Z410" s="78">
        <f t="shared" si="51"/>
        <v>0</v>
      </c>
      <c r="AA410" s="78">
        <f t="shared" si="52"/>
        <v>0</v>
      </c>
      <c r="AB410" s="78">
        <f t="shared" si="53"/>
        <v>0</v>
      </c>
      <c r="AC410" s="78"/>
      <c r="AD410" s="78">
        <v>0</v>
      </c>
      <c r="AE410" s="80">
        <f t="shared" si="55"/>
        <v>0</v>
      </c>
      <c r="AF410" s="82">
        <v>0</v>
      </c>
      <c r="AG410" s="69">
        <v>40282</v>
      </c>
      <c r="AH410" s="84"/>
      <c r="AI410" s="69" t="s">
        <v>1984</v>
      </c>
      <c r="AJ410" s="25" t="s">
        <v>1985</v>
      </c>
      <c r="AK410" s="65"/>
      <c r="AL410" s="185" t="s">
        <v>1257</v>
      </c>
      <c r="AM410" s="85" t="s">
        <v>2038</v>
      </c>
      <c r="AN410" s="3"/>
      <c r="AO410" s="4"/>
      <c r="AP410" s="5"/>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6"/>
      <c r="CQ410" s="7"/>
      <c r="CR410" s="6"/>
      <c r="CS410" s="7"/>
      <c r="CT410" s="6"/>
      <c r="CU410" s="7"/>
      <c r="CV410" s="8">
        <f t="shared" si="54"/>
        <v>0</v>
      </c>
      <c r="CW410" s="9"/>
      <c r="CX410" s="10"/>
      <c r="CY410" s="11"/>
      <c r="CZ410" s="12"/>
      <c r="DA410" s="29"/>
      <c r="DB410" s="12"/>
      <c r="DC410" s="9"/>
      <c r="DD410" s="10"/>
      <c r="DE410" s="71"/>
      <c r="EO410" s="353" t="str">
        <f t="shared" si="49"/>
        <v>CUNDINAMARCA_SOACHA</v>
      </c>
      <c r="EP410" s="350"/>
      <c r="EQ410" s="350" t="s">
        <v>4256</v>
      </c>
      <c r="ER410" s="358" t="s">
        <v>4257</v>
      </c>
      <c r="ES410" s="350" t="s">
        <v>5055</v>
      </c>
      <c r="ET410" s="350" t="s">
        <v>6193</v>
      </c>
      <c r="EU410" s="350" t="str">
        <f t="shared" si="48"/>
        <v>Cauca_La Vega</v>
      </c>
    </row>
    <row r="411" spans="1:151" ht="38.25" x14ac:dyDescent="0.2">
      <c r="A411" s="242">
        <v>40282</v>
      </c>
      <c r="B411" s="107" t="s">
        <v>2007</v>
      </c>
      <c r="C411" s="107" t="s">
        <v>2740</v>
      </c>
      <c r="D411" s="427" t="s">
        <v>2307</v>
      </c>
      <c r="E411" s="107" t="str">
        <f>VLOOKUP(B411&amp;C411,Divipola!$C$2:$F$1138,4,FALSE)</f>
        <v>25754</v>
      </c>
      <c r="F411" s="330"/>
      <c r="G411" s="224"/>
      <c r="H411" s="75"/>
      <c r="I411" s="75"/>
      <c r="J411" s="75">
        <v>70</v>
      </c>
      <c r="K411" s="75">
        <v>17</v>
      </c>
      <c r="L411" s="75"/>
      <c r="M411" s="75">
        <v>17</v>
      </c>
      <c r="N411" s="75"/>
      <c r="O411" s="75"/>
      <c r="P411" s="75"/>
      <c r="Q411" s="75"/>
      <c r="R411" s="75"/>
      <c r="S411" s="75"/>
      <c r="T411" s="75"/>
      <c r="U411" s="75"/>
      <c r="V411" s="76"/>
      <c r="W411" s="205"/>
      <c r="X411" s="1"/>
      <c r="Y411" s="78">
        <f t="shared" si="50"/>
        <v>0</v>
      </c>
      <c r="Z411" s="78">
        <f t="shared" si="51"/>
        <v>0</v>
      </c>
      <c r="AA411" s="78">
        <f t="shared" si="52"/>
        <v>0</v>
      </c>
      <c r="AB411" s="78">
        <f t="shared" si="53"/>
        <v>0</v>
      </c>
      <c r="AC411" s="78"/>
      <c r="AD411" s="78">
        <v>0</v>
      </c>
      <c r="AE411" s="80">
        <f t="shared" si="55"/>
        <v>0</v>
      </c>
      <c r="AF411" s="82">
        <v>0</v>
      </c>
      <c r="AG411" s="69">
        <v>40283</v>
      </c>
      <c r="AH411" s="84"/>
      <c r="AI411" s="69" t="s">
        <v>1984</v>
      </c>
      <c r="AJ411" s="25" t="s">
        <v>1985</v>
      </c>
      <c r="AK411" s="65"/>
      <c r="AL411" s="185" t="s">
        <v>1257</v>
      </c>
      <c r="AM411" s="85" t="s">
        <v>631</v>
      </c>
      <c r="AN411" s="3"/>
      <c r="AO411" s="4"/>
      <c r="AP411" s="5"/>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6"/>
      <c r="CQ411" s="7"/>
      <c r="CR411" s="6"/>
      <c r="CS411" s="7"/>
      <c r="CT411" s="6"/>
      <c r="CU411" s="7"/>
      <c r="CV411" s="8">
        <f t="shared" si="54"/>
        <v>0</v>
      </c>
      <c r="CW411" s="9"/>
      <c r="CX411" s="10"/>
      <c r="CY411" s="11"/>
      <c r="CZ411" s="12"/>
      <c r="DA411" s="29"/>
      <c r="DB411" s="12"/>
      <c r="DC411" s="9"/>
      <c r="DD411" s="10"/>
      <c r="DE411" s="71"/>
      <c r="EO411" s="353" t="str">
        <f t="shared" si="49"/>
        <v>CUNDINAMARCA_SOACHA</v>
      </c>
      <c r="EP411" s="350"/>
      <c r="EQ411" s="350" t="s">
        <v>4256</v>
      </c>
      <c r="ER411" s="358" t="s">
        <v>4257</v>
      </c>
      <c r="ES411" s="350" t="s">
        <v>5056</v>
      </c>
      <c r="ET411" s="350" t="s">
        <v>6194</v>
      </c>
      <c r="EU411" s="350" t="str">
        <f t="shared" si="48"/>
        <v>Cauca_Lopez</v>
      </c>
    </row>
    <row r="412" spans="1:151" ht="63.75" x14ac:dyDescent="0.2">
      <c r="A412" s="242">
        <v>40282</v>
      </c>
      <c r="B412" s="107" t="s">
        <v>2245</v>
      </c>
      <c r="C412" s="107" t="s">
        <v>4514</v>
      </c>
      <c r="D412" s="427" t="s">
        <v>837</v>
      </c>
      <c r="E412" s="107" t="str">
        <f>VLOOKUP(B412&amp;C412,Divipola!$C$2:$F$1138,4,FALSE)</f>
        <v>52835</v>
      </c>
      <c r="F412" s="330"/>
      <c r="G412" s="224"/>
      <c r="H412" s="75"/>
      <c r="I412" s="75"/>
      <c r="J412" s="75">
        <v>338</v>
      </c>
      <c r="K412" s="75">
        <v>116</v>
      </c>
      <c r="L412" s="75">
        <v>14</v>
      </c>
      <c r="M412" s="75">
        <v>102</v>
      </c>
      <c r="N412" s="75"/>
      <c r="O412" s="75"/>
      <c r="P412" s="75"/>
      <c r="Q412" s="75"/>
      <c r="R412" s="75"/>
      <c r="S412" s="75"/>
      <c r="T412" s="75"/>
      <c r="U412" s="75"/>
      <c r="V412" s="76"/>
      <c r="W412" s="205"/>
      <c r="X412" s="1"/>
      <c r="Y412" s="78">
        <f t="shared" si="50"/>
        <v>0</v>
      </c>
      <c r="Z412" s="78">
        <f t="shared" si="51"/>
        <v>0</v>
      </c>
      <c r="AA412" s="78">
        <f t="shared" si="52"/>
        <v>0</v>
      </c>
      <c r="AB412" s="78">
        <f t="shared" si="53"/>
        <v>0</v>
      </c>
      <c r="AC412" s="78"/>
      <c r="AD412" s="78">
        <v>0</v>
      </c>
      <c r="AE412" s="80">
        <f t="shared" si="55"/>
        <v>0</v>
      </c>
      <c r="AF412" s="82">
        <v>0</v>
      </c>
      <c r="AG412" s="69">
        <v>40282</v>
      </c>
      <c r="AH412" s="84"/>
      <c r="AI412" s="69" t="s">
        <v>1984</v>
      </c>
      <c r="AJ412" s="25" t="s">
        <v>1985</v>
      </c>
      <c r="AK412" s="65"/>
      <c r="AL412" s="185" t="s">
        <v>1257</v>
      </c>
      <c r="AM412" s="85" t="s">
        <v>836</v>
      </c>
      <c r="AN412" s="3"/>
      <c r="AO412" s="4"/>
      <c r="AP412" s="5"/>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6"/>
      <c r="CQ412" s="7"/>
      <c r="CR412" s="6"/>
      <c r="CS412" s="7"/>
      <c r="CT412" s="6"/>
      <c r="CU412" s="7"/>
      <c r="CV412" s="8">
        <f t="shared" si="54"/>
        <v>0</v>
      </c>
      <c r="CW412" s="9"/>
      <c r="CX412" s="10"/>
      <c r="CY412" s="11"/>
      <c r="CZ412" s="12"/>
      <c r="DA412" s="29"/>
      <c r="DB412" s="12"/>
      <c r="DC412" s="9"/>
      <c r="DD412" s="10"/>
      <c r="DE412" s="71"/>
      <c r="EO412" s="353" t="str">
        <f t="shared" si="49"/>
        <v>NARIÑO_SAN ANDRES DE TUMACO</v>
      </c>
      <c r="EP412" s="350"/>
      <c r="EQ412" s="350" t="s">
        <v>4256</v>
      </c>
      <c r="ER412" s="358" t="s">
        <v>4257</v>
      </c>
      <c r="ES412" s="350" t="s">
        <v>5057</v>
      </c>
      <c r="ET412" s="350" t="s">
        <v>6195</v>
      </c>
      <c r="EU412" s="350" t="str">
        <f t="shared" si="48"/>
        <v>Cauca_Mercaderes</v>
      </c>
    </row>
    <row r="413" spans="1:151" ht="25.5" x14ac:dyDescent="0.2">
      <c r="A413" s="242">
        <v>40282</v>
      </c>
      <c r="B413" s="107" t="s">
        <v>2012</v>
      </c>
      <c r="C413" s="107" t="s">
        <v>2433</v>
      </c>
      <c r="D413" s="427" t="s">
        <v>2352</v>
      </c>
      <c r="E413" s="107" t="str">
        <f>VLOOKUP(B413&amp;C413,Divipola!$C$2:$F$1138,4,FALSE)</f>
        <v>66001</v>
      </c>
      <c r="F413" s="330"/>
      <c r="G413" s="224">
        <v>1</v>
      </c>
      <c r="H413" s="75">
        <v>1</v>
      </c>
      <c r="I413" s="75"/>
      <c r="J413" s="75"/>
      <c r="K413" s="75"/>
      <c r="L413" s="75"/>
      <c r="M413" s="75"/>
      <c r="N413" s="75"/>
      <c r="O413" s="75"/>
      <c r="P413" s="75"/>
      <c r="Q413" s="75"/>
      <c r="R413" s="75"/>
      <c r="S413" s="75"/>
      <c r="T413" s="75"/>
      <c r="U413" s="75"/>
      <c r="V413" s="76"/>
      <c r="W413" s="205"/>
      <c r="X413" s="1"/>
      <c r="Y413" s="78">
        <f t="shared" si="50"/>
        <v>0</v>
      </c>
      <c r="Z413" s="78">
        <f t="shared" si="51"/>
        <v>0</v>
      </c>
      <c r="AA413" s="78">
        <f t="shared" si="52"/>
        <v>0</v>
      </c>
      <c r="AB413" s="78">
        <f t="shared" si="53"/>
        <v>0</v>
      </c>
      <c r="AC413" s="78"/>
      <c r="AD413" s="78">
        <v>0</v>
      </c>
      <c r="AE413" s="80">
        <f t="shared" si="55"/>
        <v>0</v>
      </c>
      <c r="AF413" s="82">
        <v>0</v>
      </c>
      <c r="AG413" s="69">
        <v>40283</v>
      </c>
      <c r="AH413" s="84"/>
      <c r="AI413" s="69" t="s">
        <v>1984</v>
      </c>
      <c r="AJ413" s="25" t="s">
        <v>1985</v>
      </c>
      <c r="AK413" s="65"/>
      <c r="AL413" s="185" t="s">
        <v>1257</v>
      </c>
      <c r="AM413" s="85" t="s">
        <v>2044</v>
      </c>
      <c r="AN413" s="3"/>
      <c r="AO413" s="4"/>
      <c r="AP413" s="5"/>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6"/>
      <c r="CQ413" s="7"/>
      <c r="CR413" s="6"/>
      <c r="CS413" s="7"/>
      <c r="CT413" s="6"/>
      <c r="CU413" s="7"/>
      <c r="CV413" s="8">
        <f t="shared" si="54"/>
        <v>0</v>
      </c>
      <c r="CW413" s="9"/>
      <c r="CX413" s="10"/>
      <c r="CY413" s="11"/>
      <c r="CZ413" s="12"/>
      <c r="DA413" s="29"/>
      <c r="DB413" s="12"/>
      <c r="DC413" s="9"/>
      <c r="DD413" s="10"/>
      <c r="DE413" s="71"/>
      <c r="EO413" s="353" t="str">
        <f t="shared" si="49"/>
        <v>RISARALDA_PEREIRA</v>
      </c>
      <c r="EP413" s="350"/>
      <c r="EQ413" s="350" t="s">
        <v>4256</v>
      </c>
      <c r="ER413" s="358" t="s">
        <v>4257</v>
      </c>
      <c r="ES413" s="350" t="s">
        <v>5058</v>
      </c>
      <c r="ET413" s="350" t="s">
        <v>6196</v>
      </c>
      <c r="EU413" s="350" t="str">
        <f t="shared" si="48"/>
        <v>Cauca_Miranda</v>
      </c>
    </row>
    <row r="414" spans="1:151" ht="38.25" x14ac:dyDescent="0.2">
      <c r="A414" s="242">
        <v>40282</v>
      </c>
      <c r="B414" s="107" t="s">
        <v>2791</v>
      </c>
      <c r="C414" s="107" t="s">
        <v>2753</v>
      </c>
      <c r="D414" s="427" t="s">
        <v>837</v>
      </c>
      <c r="E414" s="107" t="str">
        <f>VLOOKUP(B414&amp;C414,Divipola!$C$2:$F$1138,4,FALSE)</f>
        <v>73148</v>
      </c>
      <c r="F414" s="330"/>
      <c r="G414" s="224"/>
      <c r="H414" s="75"/>
      <c r="I414" s="75"/>
      <c r="J414" s="75">
        <v>300</v>
      </c>
      <c r="K414" s="75">
        <v>60</v>
      </c>
      <c r="L414" s="75">
        <v>4</v>
      </c>
      <c r="M414" s="75">
        <v>56</v>
      </c>
      <c r="N414" s="75"/>
      <c r="O414" s="75"/>
      <c r="P414" s="75"/>
      <c r="Q414" s="75"/>
      <c r="R414" s="75"/>
      <c r="S414" s="75"/>
      <c r="T414" s="75"/>
      <c r="U414" s="75"/>
      <c r="V414" s="76"/>
      <c r="W414" s="205"/>
      <c r="X414" s="1"/>
      <c r="Y414" s="78">
        <f t="shared" si="50"/>
        <v>0</v>
      </c>
      <c r="Z414" s="78">
        <f t="shared" si="51"/>
        <v>0</v>
      </c>
      <c r="AA414" s="78">
        <f t="shared" si="52"/>
        <v>0</v>
      </c>
      <c r="AB414" s="78">
        <f t="shared" si="53"/>
        <v>0</v>
      </c>
      <c r="AC414" s="78"/>
      <c r="AD414" s="78">
        <v>0</v>
      </c>
      <c r="AE414" s="80">
        <f t="shared" si="55"/>
        <v>0</v>
      </c>
      <c r="AF414" s="82">
        <v>0</v>
      </c>
      <c r="AG414" s="69">
        <v>40283</v>
      </c>
      <c r="AH414" s="84"/>
      <c r="AI414" s="69" t="s">
        <v>1984</v>
      </c>
      <c r="AJ414" s="25" t="s">
        <v>1985</v>
      </c>
      <c r="AK414" s="65"/>
      <c r="AL414" s="185" t="s">
        <v>1257</v>
      </c>
      <c r="AM414" s="85" t="s">
        <v>3150</v>
      </c>
      <c r="AN414" s="3"/>
      <c r="AO414" s="4"/>
      <c r="AP414" s="5"/>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6"/>
      <c r="CQ414" s="7"/>
      <c r="CR414" s="6"/>
      <c r="CS414" s="7"/>
      <c r="CT414" s="6"/>
      <c r="CU414" s="7"/>
      <c r="CV414" s="8">
        <f t="shared" si="54"/>
        <v>0</v>
      </c>
      <c r="CW414" s="9"/>
      <c r="CX414" s="10"/>
      <c r="CY414" s="11"/>
      <c r="CZ414" s="12"/>
      <c r="DA414" s="29"/>
      <c r="DB414" s="12"/>
      <c r="DC414" s="9"/>
      <c r="DD414" s="10"/>
      <c r="DE414" s="71"/>
      <c r="EO414" s="353" t="str">
        <f t="shared" si="49"/>
        <v>TOLIMA_CARMEN DE APICALA</v>
      </c>
      <c r="EP414" s="350"/>
      <c r="EQ414" s="350" t="s">
        <v>4256</v>
      </c>
      <c r="ER414" s="358" t="s">
        <v>4257</v>
      </c>
      <c r="ES414" s="350" t="s">
        <v>5059</v>
      </c>
      <c r="ET414" s="350" t="s">
        <v>5997</v>
      </c>
      <c r="EU414" s="350" t="str">
        <f t="shared" si="48"/>
        <v>Cauca_Morales</v>
      </c>
    </row>
    <row r="415" spans="1:151" ht="51" x14ac:dyDescent="0.2">
      <c r="A415" s="242">
        <v>40282</v>
      </c>
      <c r="B415" s="107" t="s">
        <v>1462</v>
      </c>
      <c r="C415" s="107" t="s">
        <v>2040</v>
      </c>
      <c r="D415" s="427" t="s">
        <v>2209</v>
      </c>
      <c r="E415" s="107" t="str">
        <f>VLOOKUP(B415&amp;C415,Divipola!$C$2:$F$1138,4,FALSE)</f>
        <v>76275</v>
      </c>
      <c r="F415" s="330"/>
      <c r="G415" s="224"/>
      <c r="H415" s="75">
        <v>2</v>
      </c>
      <c r="I415" s="75"/>
      <c r="J415" s="75">
        <f>32*5</f>
        <v>160</v>
      </c>
      <c r="K415" s="75">
        <v>32</v>
      </c>
      <c r="L415" s="75"/>
      <c r="M415" s="75">
        <v>32</v>
      </c>
      <c r="N415" s="75"/>
      <c r="O415" s="75"/>
      <c r="P415" s="75"/>
      <c r="Q415" s="75"/>
      <c r="R415" s="75"/>
      <c r="S415" s="75"/>
      <c r="T415" s="75"/>
      <c r="U415" s="75"/>
      <c r="V415" s="76"/>
      <c r="W415" s="205" t="s">
        <v>2263</v>
      </c>
      <c r="X415" s="1">
        <v>40302</v>
      </c>
      <c r="Y415" s="78">
        <f t="shared" si="50"/>
        <v>0</v>
      </c>
      <c r="Z415" s="78">
        <f t="shared" si="51"/>
        <v>0</v>
      </c>
      <c r="AA415" s="78">
        <f t="shared" si="52"/>
        <v>35392000</v>
      </c>
      <c r="AB415" s="78">
        <f t="shared" si="53"/>
        <v>0</v>
      </c>
      <c r="AC415" s="78"/>
      <c r="AD415" s="78">
        <v>0</v>
      </c>
      <c r="AE415" s="80">
        <f t="shared" si="55"/>
        <v>35392000</v>
      </c>
      <c r="AF415" s="82">
        <v>0</v>
      </c>
      <c r="AG415" s="69">
        <v>40283</v>
      </c>
      <c r="AH415" s="84">
        <v>96706</v>
      </c>
      <c r="AI415" s="69" t="s">
        <v>2009</v>
      </c>
      <c r="AJ415" s="25" t="s">
        <v>2010</v>
      </c>
      <c r="AK415" s="65">
        <v>103</v>
      </c>
      <c r="AL415" s="185" t="s">
        <v>2182</v>
      </c>
      <c r="AM415" s="85" t="s">
        <v>2324</v>
      </c>
      <c r="AN415" s="3"/>
      <c r="AO415" s="4"/>
      <c r="AP415" s="5"/>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6"/>
      <c r="CQ415" s="7"/>
      <c r="CR415" s="6"/>
      <c r="CS415" s="7"/>
      <c r="CT415" s="6"/>
      <c r="CU415" s="7"/>
      <c r="CV415" s="8">
        <f t="shared" si="54"/>
        <v>0</v>
      </c>
      <c r="CW415" s="9"/>
      <c r="CX415" s="10"/>
      <c r="CY415" s="11"/>
      <c r="CZ415" s="12"/>
      <c r="DA415" s="29"/>
      <c r="DB415" s="12"/>
      <c r="DC415" s="9">
        <v>1000</v>
      </c>
      <c r="DD415" s="10">
        <f>1000*34000+4000*348</f>
        <v>35392000</v>
      </c>
      <c r="DE415" s="71"/>
      <c r="EO415" s="353" t="str">
        <f t="shared" si="49"/>
        <v>VALLE DEL CAUCA_FLORIDA</v>
      </c>
      <c r="EP415" s="350"/>
      <c r="EQ415" s="350" t="s">
        <v>4256</v>
      </c>
      <c r="ER415" s="358" t="s">
        <v>4257</v>
      </c>
      <c r="ES415" s="350" t="s">
        <v>5061</v>
      </c>
      <c r="ET415" s="350" t="s">
        <v>6082</v>
      </c>
      <c r="EU415" s="350" t="str">
        <f t="shared" ref="EU415:EU473" si="56">ER415&amp;"_"&amp;ET415</f>
        <v>Cauca_Paez</v>
      </c>
    </row>
    <row r="416" spans="1:151" ht="72" x14ac:dyDescent="0.2">
      <c r="A416" s="242">
        <v>40283</v>
      </c>
      <c r="B416" s="107" t="s">
        <v>1719</v>
      </c>
      <c r="C416" s="107" t="s">
        <v>2231</v>
      </c>
      <c r="D416" s="427" t="s">
        <v>2307</v>
      </c>
      <c r="E416" s="107" t="str">
        <f>VLOOKUP(B416&amp;C416,Divipola!$C$2:$F$1138,4,FALSE)</f>
        <v>19355</v>
      </c>
      <c r="F416" s="330"/>
      <c r="G416" s="224"/>
      <c r="H416" s="75"/>
      <c r="I416" s="75"/>
      <c r="J416" s="75">
        <f>569*5</f>
        <v>2845</v>
      </c>
      <c r="K416" s="75">
        <f>597-28</f>
        <v>569</v>
      </c>
      <c r="L416" s="75"/>
      <c r="M416" s="75">
        <f>524-28</f>
        <v>496</v>
      </c>
      <c r="N416" s="75"/>
      <c r="O416" s="75"/>
      <c r="P416" s="75"/>
      <c r="Q416" s="75"/>
      <c r="R416" s="75"/>
      <c r="S416" s="75"/>
      <c r="T416" s="75"/>
      <c r="U416" s="75"/>
      <c r="V416" s="76"/>
      <c r="W416" s="205"/>
      <c r="X416" s="1">
        <v>40513</v>
      </c>
      <c r="Y416" s="78">
        <f t="shared" si="50"/>
        <v>0</v>
      </c>
      <c r="Z416" s="78">
        <f t="shared" si="51"/>
        <v>0</v>
      </c>
      <c r="AA416" s="78">
        <f t="shared" si="52"/>
        <v>0</v>
      </c>
      <c r="AB416" s="78">
        <f t="shared" si="53"/>
        <v>0</v>
      </c>
      <c r="AC416" s="78"/>
      <c r="AD416" s="78">
        <v>73350000</v>
      </c>
      <c r="AE416" s="80">
        <f t="shared" si="55"/>
        <v>73350000</v>
      </c>
      <c r="AF416" s="82">
        <v>0</v>
      </c>
      <c r="AG416" s="69">
        <v>40284</v>
      </c>
      <c r="AH416" s="84">
        <v>53030</v>
      </c>
      <c r="AI416" s="69" t="s">
        <v>2009</v>
      </c>
      <c r="AJ416" s="25" t="s">
        <v>2010</v>
      </c>
      <c r="AK416" s="65">
        <v>44928</v>
      </c>
      <c r="AL416" s="185" t="s">
        <v>1831</v>
      </c>
      <c r="AM416" s="97" t="s">
        <v>1162</v>
      </c>
      <c r="AN416" s="3"/>
      <c r="AO416" s="4"/>
      <c r="AP416" s="5"/>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6"/>
      <c r="CQ416" s="7"/>
      <c r="CR416" s="6"/>
      <c r="CS416" s="7"/>
      <c r="CT416" s="6"/>
      <c r="CU416" s="7"/>
      <c r="CV416" s="8">
        <f t="shared" si="54"/>
        <v>0</v>
      </c>
      <c r="CW416" s="9"/>
      <c r="CX416" s="10"/>
      <c r="CY416" s="11"/>
      <c r="CZ416" s="12"/>
      <c r="DA416" s="29"/>
      <c r="DB416" s="12"/>
      <c r="DC416" s="9"/>
      <c r="DD416" s="10"/>
      <c r="DE416" s="71">
        <v>2</v>
      </c>
      <c r="EO416" s="353" t="str">
        <f t="shared" si="49"/>
        <v>CAUCA_INZA</v>
      </c>
      <c r="EP416" s="350"/>
      <c r="EQ416" s="350" t="s">
        <v>4256</v>
      </c>
      <c r="ER416" s="358" t="s">
        <v>4257</v>
      </c>
      <c r="ES416" s="350" t="s">
        <v>5062</v>
      </c>
      <c r="ET416" s="350" t="s">
        <v>6197</v>
      </c>
      <c r="EU416" s="350" t="str">
        <f t="shared" si="56"/>
        <v>Cauca_Patia</v>
      </c>
    </row>
    <row r="417" spans="1:151" ht="84" x14ac:dyDescent="0.2">
      <c r="A417" s="242">
        <v>40284</v>
      </c>
      <c r="B417" s="107" t="s">
        <v>2242</v>
      </c>
      <c r="C417" s="107" t="s">
        <v>2188</v>
      </c>
      <c r="D417" s="427" t="s">
        <v>2209</v>
      </c>
      <c r="E417" s="107" t="str">
        <f>VLOOKUP(B417&amp;C417,Divipola!$C$2:$F$1138,4,FALSE)</f>
        <v>20770</v>
      </c>
      <c r="F417" s="330"/>
      <c r="G417" s="224"/>
      <c r="H417" s="75"/>
      <c r="I417" s="75"/>
      <c r="J417" s="75">
        <f>18*5</f>
        <v>90</v>
      </c>
      <c r="K417" s="75">
        <v>18</v>
      </c>
      <c r="L417" s="75"/>
      <c r="M417" s="75">
        <v>18</v>
      </c>
      <c r="N417" s="75"/>
      <c r="O417" s="75"/>
      <c r="P417" s="75"/>
      <c r="Q417" s="75"/>
      <c r="R417" s="75"/>
      <c r="S417" s="75"/>
      <c r="T417" s="75"/>
      <c r="U417" s="75"/>
      <c r="V417" s="76"/>
      <c r="W417" s="205"/>
      <c r="X417" s="1">
        <v>40310</v>
      </c>
      <c r="Y417" s="78">
        <f t="shared" si="50"/>
        <v>0</v>
      </c>
      <c r="Z417" s="78">
        <f t="shared" si="51"/>
        <v>0</v>
      </c>
      <c r="AA417" s="78">
        <f t="shared" si="52"/>
        <v>0</v>
      </c>
      <c r="AB417" s="78">
        <f t="shared" si="53"/>
        <v>0</v>
      </c>
      <c r="AC417" s="78"/>
      <c r="AD417" s="78">
        <v>100000000</v>
      </c>
      <c r="AE417" s="80">
        <f t="shared" si="55"/>
        <v>100000000</v>
      </c>
      <c r="AF417" s="82">
        <v>0</v>
      </c>
      <c r="AG417" s="69">
        <v>40290</v>
      </c>
      <c r="AH417" s="94" t="s">
        <v>1292</v>
      </c>
      <c r="AI417" s="69" t="s">
        <v>2009</v>
      </c>
      <c r="AJ417" s="25" t="s">
        <v>2010</v>
      </c>
      <c r="AK417" s="65">
        <v>247</v>
      </c>
      <c r="AL417" s="185" t="s">
        <v>1291</v>
      </c>
      <c r="AM417" s="85" t="s">
        <v>1576</v>
      </c>
      <c r="AN417" s="3"/>
      <c r="AO417" s="4"/>
      <c r="AP417" s="5"/>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6"/>
      <c r="CQ417" s="7"/>
      <c r="CR417" s="6"/>
      <c r="CS417" s="7"/>
      <c r="CT417" s="6"/>
      <c r="CU417" s="7"/>
      <c r="CV417" s="8">
        <f t="shared" si="54"/>
        <v>0</v>
      </c>
      <c r="CW417" s="9"/>
      <c r="CX417" s="10"/>
      <c r="CY417" s="11"/>
      <c r="CZ417" s="12"/>
      <c r="DA417" s="29"/>
      <c r="DB417" s="12"/>
      <c r="DC417" s="9"/>
      <c r="DD417" s="10"/>
      <c r="DE417" s="71">
        <v>2</v>
      </c>
      <c r="EO417" s="353" t="str">
        <f t="shared" si="49"/>
        <v>CESAR_SAN MARTIN</v>
      </c>
      <c r="EP417" s="350"/>
      <c r="EQ417" s="350" t="s">
        <v>4256</v>
      </c>
      <c r="ER417" s="358" t="s">
        <v>4257</v>
      </c>
      <c r="ES417" s="350" t="s">
        <v>5063</v>
      </c>
      <c r="ET417" s="350" t="s">
        <v>6198</v>
      </c>
      <c r="EU417" s="350" t="str">
        <f t="shared" si="56"/>
        <v>Cauca_Piamonte</v>
      </c>
    </row>
    <row r="418" spans="1:151" ht="96" x14ac:dyDescent="0.2">
      <c r="A418" s="242">
        <v>40284</v>
      </c>
      <c r="B418" s="107" t="s">
        <v>2007</v>
      </c>
      <c r="C418" s="107" t="s">
        <v>1100</v>
      </c>
      <c r="D418" s="427" t="s">
        <v>837</v>
      </c>
      <c r="E418" s="107" t="str">
        <f>VLOOKUP(B418&amp;C418,Divipola!$C$2:$F$1138,4,FALSE)</f>
        <v>25320</v>
      </c>
      <c r="F418" s="330"/>
      <c r="G418" s="224"/>
      <c r="H418" s="75"/>
      <c r="I418" s="75"/>
      <c r="J418" s="75">
        <v>200</v>
      </c>
      <c r="K418" s="75">
        <v>50</v>
      </c>
      <c r="L418" s="75"/>
      <c r="M418" s="75">
        <v>50</v>
      </c>
      <c r="N418" s="75"/>
      <c r="O418" s="75"/>
      <c r="P418" s="75"/>
      <c r="Q418" s="75"/>
      <c r="R418" s="75"/>
      <c r="S418" s="75"/>
      <c r="T418" s="75"/>
      <c r="U418" s="75"/>
      <c r="V418" s="76"/>
      <c r="W418" s="205"/>
      <c r="X418" s="1"/>
      <c r="Y418" s="78">
        <f t="shared" si="50"/>
        <v>0</v>
      </c>
      <c r="Z418" s="78">
        <f t="shared" si="51"/>
        <v>0</v>
      </c>
      <c r="AA418" s="78">
        <f t="shared" si="52"/>
        <v>0</v>
      </c>
      <c r="AB418" s="78">
        <f t="shared" si="53"/>
        <v>0</v>
      </c>
      <c r="AC418" s="78"/>
      <c r="AD418" s="78">
        <v>0</v>
      </c>
      <c r="AE418" s="80">
        <f t="shared" si="55"/>
        <v>0</v>
      </c>
      <c r="AF418" s="82">
        <v>0</v>
      </c>
      <c r="AG418" s="69">
        <v>40284</v>
      </c>
      <c r="AH418" s="84"/>
      <c r="AI418" s="69" t="s">
        <v>1984</v>
      </c>
      <c r="AJ418" s="25" t="s">
        <v>1985</v>
      </c>
      <c r="AK418" s="65"/>
      <c r="AL418" s="185" t="s">
        <v>1257</v>
      </c>
      <c r="AM418" s="85" t="s">
        <v>1195</v>
      </c>
      <c r="AN418" s="3"/>
      <c r="AO418" s="4"/>
      <c r="AP418" s="5"/>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6"/>
      <c r="CQ418" s="7"/>
      <c r="CR418" s="6"/>
      <c r="CS418" s="7"/>
      <c r="CT418" s="6"/>
      <c r="CU418" s="7"/>
      <c r="CV418" s="8">
        <f t="shared" si="54"/>
        <v>0</v>
      </c>
      <c r="CW418" s="9"/>
      <c r="CX418" s="10"/>
      <c r="CY418" s="11"/>
      <c r="CZ418" s="12"/>
      <c r="DA418" s="29"/>
      <c r="DB418" s="12"/>
      <c r="DC418" s="9"/>
      <c r="DD418" s="10"/>
      <c r="DE418" s="71"/>
      <c r="EO418" s="353" t="str">
        <f t="shared" si="49"/>
        <v>CUNDINAMARCA_GUADUAS</v>
      </c>
      <c r="EP418" s="350"/>
      <c r="EQ418" s="350" t="s">
        <v>4256</v>
      </c>
      <c r="ER418" s="358" t="s">
        <v>4257</v>
      </c>
      <c r="ES418" s="350" t="s">
        <v>5064</v>
      </c>
      <c r="ET418" s="350" t="s">
        <v>6199</v>
      </c>
      <c r="EU418" s="350" t="str">
        <f t="shared" si="56"/>
        <v>Cauca_Piendamo</v>
      </c>
    </row>
    <row r="419" spans="1:151" ht="38.25" x14ac:dyDescent="0.2">
      <c r="A419" s="242">
        <v>40284</v>
      </c>
      <c r="B419" s="107" t="s">
        <v>2007</v>
      </c>
      <c r="C419" s="107" t="s">
        <v>2386</v>
      </c>
      <c r="D419" s="427" t="s">
        <v>837</v>
      </c>
      <c r="E419" s="107" t="str">
        <f>VLOOKUP(B419&amp;C419,Divipola!$C$2:$F$1138,4,FALSE)</f>
        <v>25386</v>
      </c>
      <c r="F419" s="330"/>
      <c r="G419" s="224"/>
      <c r="H419" s="75"/>
      <c r="I419" s="75"/>
      <c r="J419" s="75">
        <v>20</v>
      </c>
      <c r="K419" s="75">
        <v>5</v>
      </c>
      <c r="L419" s="75"/>
      <c r="M419" s="75">
        <v>5</v>
      </c>
      <c r="N419" s="75"/>
      <c r="O419" s="75"/>
      <c r="P419" s="75"/>
      <c r="Q419" s="75"/>
      <c r="R419" s="75"/>
      <c r="S419" s="75"/>
      <c r="T419" s="75"/>
      <c r="U419" s="75"/>
      <c r="V419" s="76"/>
      <c r="W419" s="205"/>
      <c r="X419" s="1"/>
      <c r="Y419" s="78">
        <f t="shared" si="50"/>
        <v>0</v>
      </c>
      <c r="Z419" s="78">
        <f t="shared" si="51"/>
        <v>0</v>
      </c>
      <c r="AA419" s="78">
        <f t="shared" si="52"/>
        <v>0</v>
      </c>
      <c r="AB419" s="78">
        <f t="shared" si="53"/>
        <v>0</v>
      </c>
      <c r="AC419" s="78"/>
      <c r="AD419" s="78">
        <v>0</v>
      </c>
      <c r="AE419" s="80">
        <f t="shared" si="55"/>
        <v>0</v>
      </c>
      <c r="AF419" s="82">
        <v>0</v>
      </c>
      <c r="AG419" s="69">
        <v>40284</v>
      </c>
      <c r="AH419" s="84"/>
      <c r="AI419" s="69" t="s">
        <v>1984</v>
      </c>
      <c r="AJ419" s="25" t="s">
        <v>1985</v>
      </c>
      <c r="AK419" s="65"/>
      <c r="AL419" s="185" t="s">
        <v>1257</v>
      </c>
      <c r="AM419" s="85" t="s">
        <v>2214</v>
      </c>
      <c r="AN419" s="3"/>
      <c r="AO419" s="4"/>
      <c r="AP419" s="5"/>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6"/>
      <c r="CQ419" s="7"/>
      <c r="CR419" s="6"/>
      <c r="CS419" s="7"/>
      <c r="CT419" s="6"/>
      <c r="CU419" s="7"/>
      <c r="CV419" s="8">
        <f t="shared" si="54"/>
        <v>0</v>
      </c>
      <c r="CW419" s="9"/>
      <c r="CX419" s="10"/>
      <c r="CY419" s="11"/>
      <c r="CZ419" s="12"/>
      <c r="DA419" s="29"/>
      <c r="DB419" s="12"/>
      <c r="DC419" s="9"/>
      <c r="DD419" s="10"/>
      <c r="DE419" s="71"/>
      <c r="EO419" s="353" t="str">
        <f t="shared" si="49"/>
        <v>CUNDINAMARCA_LA MESA</v>
      </c>
      <c r="EP419" s="350"/>
      <c r="EQ419" s="350" t="s">
        <v>4256</v>
      </c>
      <c r="ER419" s="358" t="s">
        <v>4257</v>
      </c>
      <c r="ES419" s="350" t="s">
        <v>5065</v>
      </c>
      <c r="ET419" s="350" t="s">
        <v>6200</v>
      </c>
      <c r="EU419" s="350" t="str">
        <f t="shared" si="56"/>
        <v>Cauca_Puerto Tejada</v>
      </c>
    </row>
    <row r="420" spans="1:151" ht="25.5" x14ac:dyDescent="0.2">
      <c r="A420" s="242">
        <v>40284</v>
      </c>
      <c r="B420" s="222" t="s">
        <v>1333</v>
      </c>
      <c r="C420" s="222" t="s">
        <v>332</v>
      </c>
      <c r="D420" s="430" t="s">
        <v>837</v>
      </c>
      <c r="E420" s="107" t="str">
        <f>VLOOKUP(B420&amp;C420,Divipola!$C$2:$F$1138,4,FALSE)</f>
        <v>41298</v>
      </c>
      <c r="F420" s="333"/>
      <c r="G420" s="221"/>
      <c r="H420" s="157"/>
      <c r="I420" s="157"/>
      <c r="J420" s="157">
        <v>70</v>
      </c>
      <c r="K420" s="157">
        <v>14</v>
      </c>
      <c r="L420" s="157"/>
      <c r="M420" s="157">
        <v>14</v>
      </c>
      <c r="N420" s="157">
        <v>1</v>
      </c>
      <c r="O420" s="157"/>
      <c r="P420" s="157"/>
      <c r="Q420" s="157">
        <v>3</v>
      </c>
      <c r="R420" s="157"/>
      <c r="S420" s="157"/>
      <c r="T420" s="157"/>
      <c r="U420" s="157"/>
      <c r="V420" s="158">
        <v>12</v>
      </c>
      <c r="W420" s="182"/>
      <c r="X420" s="1"/>
      <c r="Y420" s="78">
        <f t="shared" si="50"/>
        <v>0</v>
      </c>
      <c r="Z420" s="78">
        <f t="shared" si="51"/>
        <v>0</v>
      </c>
      <c r="AA420" s="78">
        <f t="shared" si="52"/>
        <v>0</v>
      </c>
      <c r="AB420" s="78">
        <f t="shared" si="53"/>
        <v>0</v>
      </c>
      <c r="AC420" s="78"/>
      <c r="AD420" s="78">
        <v>0</v>
      </c>
      <c r="AE420" s="80">
        <f t="shared" si="55"/>
        <v>0</v>
      </c>
      <c r="AF420" s="82">
        <v>0</v>
      </c>
      <c r="AG420" s="69">
        <v>40581</v>
      </c>
      <c r="AH420" s="84"/>
      <c r="AI420" s="69" t="s">
        <v>1984</v>
      </c>
      <c r="AJ420" s="25" t="s">
        <v>1985</v>
      </c>
      <c r="AK420" s="65"/>
      <c r="AL420" s="176" t="s">
        <v>1257</v>
      </c>
      <c r="AM420" s="173" t="s">
        <v>349</v>
      </c>
      <c r="AN420" s="159"/>
      <c r="AO420" s="160"/>
      <c r="AP420" s="161"/>
      <c r="AQ420" s="160"/>
      <c r="AR420" s="160"/>
      <c r="AS420" s="160"/>
      <c r="AT420" s="160"/>
      <c r="AU420" s="160"/>
      <c r="AV420" s="160"/>
      <c r="AW420" s="160"/>
      <c r="AX420" s="160"/>
      <c r="AY420" s="160"/>
      <c r="AZ420" s="160"/>
      <c r="BA420" s="160"/>
      <c r="BB420" s="160"/>
      <c r="BC420" s="160"/>
      <c r="BD420" s="160"/>
      <c r="BE420" s="160"/>
      <c r="BF420" s="160"/>
      <c r="BG420" s="160"/>
      <c r="BH420" s="160"/>
      <c r="BI420" s="160"/>
      <c r="BJ420" s="160"/>
      <c r="BK420" s="160"/>
      <c r="BL420" s="160"/>
      <c r="BM420" s="160"/>
      <c r="BN420" s="160"/>
      <c r="BO420" s="160"/>
      <c r="BP420" s="160"/>
      <c r="BQ420" s="160"/>
      <c r="BR420" s="160"/>
      <c r="BS420" s="160"/>
      <c r="BT420" s="160"/>
      <c r="BU420" s="160"/>
      <c r="BV420" s="160"/>
      <c r="BW420" s="160"/>
      <c r="BX420" s="160"/>
      <c r="BY420" s="160"/>
      <c r="BZ420" s="160"/>
      <c r="CA420" s="160"/>
      <c r="CB420" s="160"/>
      <c r="CC420" s="160"/>
      <c r="CD420" s="160"/>
      <c r="CE420" s="160"/>
      <c r="CF420" s="160"/>
      <c r="CG420" s="160"/>
      <c r="CH420" s="160"/>
      <c r="CI420" s="160"/>
      <c r="CJ420" s="160"/>
      <c r="CK420" s="160"/>
      <c r="CL420" s="160"/>
      <c r="CM420" s="160"/>
      <c r="CN420" s="160"/>
      <c r="CO420" s="160"/>
      <c r="CP420" s="162"/>
      <c r="CQ420" s="163"/>
      <c r="CR420" s="162"/>
      <c r="CS420" s="163"/>
      <c r="CT420" s="162"/>
      <c r="CU420" s="163"/>
      <c r="CV420" s="164">
        <f t="shared" si="54"/>
        <v>0</v>
      </c>
      <c r="CW420" s="165"/>
      <c r="CX420" s="166"/>
      <c r="CY420" s="167"/>
      <c r="CZ420" s="168"/>
      <c r="DA420" s="169"/>
      <c r="DB420" s="168"/>
      <c r="DC420" s="165"/>
      <c r="DD420" s="166"/>
      <c r="DE420" s="71"/>
      <c r="DF420" s="170"/>
      <c r="EO420" s="353" t="str">
        <f t="shared" si="49"/>
        <v>HUILA_GARZON</v>
      </c>
      <c r="EP420" s="350"/>
      <c r="EQ420" s="350" t="s">
        <v>4256</v>
      </c>
      <c r="ER420" s="358" t="s">
        <v>4257</v>
      </c>
      <c r="ES420" s="350" t="s">
        <v>5066</v>
      </c>
      <c r="ET420" s="350" t="s">
        <v>6201</v>
      </c>
      <c r="EU420" s="350" t="str">
        <f t="shared" si="56"/>
        <v>Cauca_Purace</v>
      </c>
    </row>
    <row r="421" spans="1:151" ht="90" x14ac:dyDescent="0.2">
      <c r="A421" s="242">
        <v>40284</v>
      </c>
      <c r="B421" s="107" t="s">
        <v>708</v>
      </c>
      <c r="C421" s="107" t="s">
        <v>2381</v>
      </c>
      <c r="D421" s="427" t="s">
        <v>837</v>
      </c>
      <c r="E421" s="107" t="str">
        <f>VLOOKUP(B421&amp;C421,Divipola!$C$2:$F$1138,4,FALSE)</f>
        <v>50313</v>
      </c>
      <c r="F421" s="330"/>
      <c r="G421" s="224"/>
      <c r="H421" s="75"/>
      <c r="I421" s="75">
        <v>1</v>
      </c>
      <c r="J421" s="75">
        <v>4198</v>
      </c>
      <c r="K421" s="75">
        <v>1382</v>
      </c>
      <c r="L421" s="75"/>
      <c r="M421" s="75">
        <v>1000</v>
      </c>
      <c r="N421" s="75"/>
      <c r="O421" s="75">
        <v>4</v>
      </c>
      <c r="P421" s="75"/>
      <c r="Q421" s="75"/>
      <c r="R421" s="75"/>
      <c r="S421" s="75"/>
      <c r="T421" s="75">
        <v>3</v>
      </c>
      <c r="U421" s="75"/>
      <c r="V421" s="76"/>
      <c r="W421" s="205"/>
      <c r="X421" s="1">
        <v>40304</v>
      </c>
      <c r="Y421" s="78">
        <f t="shared" si="50"/>
        <v>156934880</v>
      </c>
      <c r="Z421" s="78">
        <f t="shared" si="51"/>
        <v>79900000</v>
      </c>
      <c r="AA421" s="78">
        <f t="shared" si="52"/>
        <v>0</v>
      </c>
      <c r="AB421" s="78">
        <f t="shared" si="53"/>
        <v>0</v>
      </c>
      <c r="AC421" s="78"/>
      <c r="AD421" s="78">
        <v>0</v>
      </c>
      <c r="AE421" s="80">
        <f t="shared" si="55"/>
        <v>236834880</v>
      </c>
      <c r="AF421" s="82">
        <v>0</v>
      </c>
      <c r="AG421" s="69">
        <v>40289</v>
      </c>
      <c r="AH421" s="84">
        <v>96792</v>
      </c>
      <c r="AI421" s="69" t="s">
        <v>2009</v>
      </c>
      <c r="AJ421" s="25" t="s">
        <v>2010</v>
      </c>
      <c r="AK421" s="65">
        <v>98</v>
      </c>
      <c r="AL421" s="185" t="s">
        <v>1786</v>
      </c>
      <c r="AM421" s="85" t="s">
        <v>2228</v>
      </c>
      <c r="AN421" s="3"/>
      <c r="AO421" s="4"/>
      <c r="AP421" s="5"/>
      <c r="AQ421" s="4"/>
      <c r="AR421" s="4"/>
      <c r="AS421" s="4"/>
      <c r="AT421" s="4"/>
      <c r="AU421" s="4"/>
      <c r="AV421" s="4"/>
      <c r="AW421" s="4"/>
      <c r="AX421" s="4"/>
      <c r="AY421" s="4"/>
      <c r="AZ421" s="4">
        <v>940</v>
      </c>
      <c r="BA421" s="4">
        <f>940*56000</f>
        <v>52640000</v>
      </c>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v>940</v>
      </c>
      <c r="CK421" s="4">
        <f>940*20000</f>
        <v>18800000</v>
      </c>
      <c r="CL421" s="4"/>
      <c r="CM421" s="4"/>
      <c r="CN421" s="4">
        <v>940</v>
      </c>
      <c r="CO421" s="4">
        <f>940*18000</f>
        <v>16920000</v>
      </c>
      <c r="CP421" s="6">
        <v>940</v>
      </c>
      <c r="CQ421" s="7">
        <f>940*36952</f>
        <v>34734880</v>
      </c>
      <c r="CR421" s="6">
        <v>940</v>
      </c>
      <c r="CS421" s="7">
        <f>940*36000</f>
        <v>33840000</v>
      </c>
      <c r="CT421" s="6"/>
      <c r="CU421" s="7"/>
      <c r="CV421" s="8">
        <f t="shared" si="54"/>
        <v>156934880</v>
      </c>
      <c r="CW421" s="9"/>
      <c r="CX421" s="10"/>
      <c r="CY421" s="11">
        <v>940</v>
      </c>
      <c r="CZ421" s="12">
        <f>940*85000</f>
        <v>79900000</v>
      </c>
      <c r="DA421" s="29"/>
      <c r="DB421" s="12"/>
      <c r="DC421" s="9"/>
      <c r="DD421" s="10"/>
      <c r="DE421" s="71"/>
      <c r="EO421" s="361" t="str">
        <f t="shared" si="49"/>
        <v>META_GRANADA</v>
      </c>
      <c r="EP421" s="362"/>
      <c r="EQ421" s="350" t="s">
        <v>4256</v>
      </c>
      <c r="ER421" s="358" t="s">
        <v>4257</v>
      </c>
      <c r="ES421" s="350" t="s">
        <v>5067</v>
      </c>
      <c r="ET421" s="350" t="s">
        <v>6202</v>
      </c>
      <c r="EU421" s="350" t="str">
        <f t="shared" si="56"/>
        <v>Cauca_Rosas</v>
      </c>
    </row>
    <row r="422" spans="1:151" ht="90" x14ac:dyDescent="0.2">
      <c r="A422" s="242">
        <v>40284</v>
      </c>
      <c r="B422" s="107" t="s">
        <v>708</v>
      </c>
      <c r="C422" s="107" t="s">
        <v>2188</v>
      </c>
      <c r="D422" s="427" t="s">
        <v>837</v>
      </c>
      <c r="E422" s="107" t="str">
        <f>VLOOKUP(B422&amp;C422,Divipola!$C$2:$F$1138,4,FALSE)</f>
        <v>50689</v>
      </c>
      <c r="F422" s="330"/>
      <c r="G422" s="224"/>
      <c r="H422" s="75"/>
      <c r="I422" s="75"/>
      <c r="J422" s="75">
        <v>332</v>
      </c>
      <c r="K422" s="75">
        <v>58</v>
      </c>
      <c r="L422" s="75">
        <v>8</v>
      </c>
      <c r="M422" s="75">
        <v>50</v>
      </c>
      <c r="N422" s="75"/>
      <c r="O422" s="75"/>
      <c r="P422" s="75">
        <v>2</v>
      </c>
      <c r="Q422" s="75"/>
      <c r="R422" s="75"/>
      <c r="S422" s="75"/>
      <c r="T422" s="75"/>
      <c r="U422" s="75"/>
      <c r="V422" s="76"/>
      <c r="W422" s="205" t="s">
        <v>2229</v>
      </c>
      <c r="X422" s="1">
        <v>40304</v>
      </c>
      <c r="Y422" s="78">
        <f t="shared" si="50"/>
        <v>10017120</v>
      </c>
      <c r="Z422" s="78">
        <f t="shared" si="51"/>
        <v>5100000</v>
      </c>
      <c r="AA422" s="78">
        <f t="shared" si="52"/>
        <v>0</v>
      </c>
      <c r="AB422" s="78">
        <f t="shared" si="53"/>
        <v>0</v>
      </c>
      <c r="AC422" s="78"/>
      <c r="AD422" s="78">
        <v>0</v>
      </c>
      <c r="AE422" s="80">
        <f t="shared" si="55"/>
        <v>15117120</v>
      </c>
      <c r="AF422" s="82">
        <v>0</v>
      </c>
      <c r="AG422" s="69">
        <v>40289</v>
      </c>
      <c r="AH422" s="84">
        <v>96792</v>
      </c>
      <c r="AI422" s="69" t="s">
        <v>2009</v>
      </c>
      <c r="AJ422" s="25" t="s">
        <v>2010</v>
      </c>
      <c r="AK422" s="65">
        <v>98</v>
      </c>
      <c r="AL422" s="185" t="s">
        <v>1786</v>
      </c>
      <c r="AM422" s="85" t="s">
        <v>2189</v>
      </c>
      <c r="AN422" s="3"/>
      <c r="AO422" s="4"/>
      <c r="AP422" s="5"/>
      <c r="AQ422" s="4"/>
      <c r="AR422" s="4"/>
      <c r="AS422" s="4"/>
      <c r="AT422" s="4"/>
      <c r="AU422" s="4"/>
      <c r="AV422" s="4"/>
      <c r="AW422" s="4"/>
      <c r="AX422" s="4"/>
      <c r="AY422" s="4"/>
      <c r="AZ422" s="4">
        <v>60</v>
      </c>
      <c r="BA422" s="4">
        <f>60*56000</f>
        <v>3360000</v>
      </c>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v>60</v>
      </c>
      <c r="CK422" s="4">
        <f>60*20000</f>
        <v>1200000</v>
      </c>
      <c r="CL422" s="4"/>
      <c r="CM422" s="4"/>
      <c r="CN422" s="4">
        <v>60</v>
      </c>
      <c r="CO422" s="4">
        <f>60*18000</f>
        <v>1080000</v>
      </c>
      <c r="CP422" s="6">
        <v>60</v>
      </c>
      <c r="CQ422" s="7">
        <f>60*36952</f>
        <v>2217120</v>
      </c>
      <c r="CR422" s="6">
        <v>60</v>
      </c>
      <c r="CS422" s="7">
        <f>60*36000</f>
        <v>2160000</v>
      </c>
      <c r="CT422" s="6"/>
      <c r="CU422" s="7"/>
      <c r="CV422" s="8">
        <f t="shared" si="54"/>
        <v>10017120</v>
      </c>
      <c r="CW422" s="9"/>
      <c r="CX422" s="10"/>
      <c r="CY422" s="11">
        <v>60</v>
      </c>
      <c r="CZ422" s="12">
        <f>60*85000</f>
        <v>5100000</v>
      </c>
      <c r="DA422" s="29"/>
      <c r="DB422" s="12"/>
      <c r="DC422" s="9"/>
      <c r="DD422" s="10"/>
      <c r="DE422" s="71"/>
      <c r="EO422" s="361" t="str">
        <f t="shared" si="49"/>
        <v>META_SAN MARTIN</v>
      </c>
      <c r="EP422" s="362"/>
      <c r="EQ422" s="350" t="s">
        <v>4256</v>
      </c>
      <c r="ER422" s="358" t="s">
        <v>4257</v>
      </c>
      <c r="ES422" s="350" t="s">
        <v>5068</v>
      </c>
      <c r="ET422" s="350" t="s">
        <v>6203</v>
      </c>
      <c r="EU422" s="350" t="str">
        <f t="shared" si="56"/>
        <v>Cauca_San Sebastian</v>
      </c>
    </row>
    <row r="423" spans="1:151" ht="38.25" x14ac:dyDescent="0.2">
      <c r="A423" s="242">
        <v>40284</v>
      </c>
      <c r="B423" s="107" t="s">
        <v>708</v>
      </c>
      <c r="C423" s="107" t="s">
        <v>2833</v>
      </c>
      <c r="D423" s="427" t="s">
        <v>837</v>
      </c>
      <c r="E423" s="107" t="str">
        <f>VLOOKUP(B423&amp;C423,Divipola!$C$2:$F$1138,4,FALSE)</f>
        <v>50711</v>
      </c>
      <c r="F423" s="330"/>
      <c r="G423" s="224"/>
      <c r="H423" s="75"/>
      <c r="I423" s="75"/>
      <c r="J423" s="75"/>
      <c r="K423" s="75"/>
      <c r="L423" s="75"/>
      <c r="M423" s="75"/>
      <c r="N423" s="75"/>
      <c r="O423" s="75"/>
      <c r="P423" s="75"/>
      <c r="Q423" s="75"/>
      <c r="R423" s="75"/>
      <c r="S423" s="75"/>
      <c r="T423" s="75"/>
      <c r="U423" s="75"/>
      <c r="V423" s="76"/>
      <c r="W423" s="205"/>
      <c r="X423" s="1"/>
      <c r="Y423" s="78">
        <f t="shared" si="50"/>
        <v>0</v>
      </c>
      <c r="Z423" s="78">
        <f t="shared" si="51"/>
        <v>0</v>
      </c>
      <c r="AA423" s="78">
        <f t="shared" si="52"/>
        <v>0</v>
      </c>
      <c r="AB423" s="78">
        <f t="shared" si="53"/>
        <v>0</v>
      </c>
      <c r="AC423" s="78"/>
      <c r="AD423" s="78">
        <v>0</v>
      </c>
      <c r="AE423" s="80">
        <f t="shared" si="55"/>
        <v>0</v>
      </c>
      <c r="AF423" s="82">
        <v>0</v>
      </c>
      <c r="AG423" s="69">
        <v>40284</v>
      </c>
      <c r="AH423" s="84"/>
      <c r="AI423" s="69" t="s">
        <v>1984</v>
      </c>
      <c r="AJ423" s="25" t="s">
        <v>1985</v>
      </c>
      <c r="AK423" s="65"/>
      <c r="AL423" s="185" t="s">
        <v>1257</v>
      </c>
      <c r="AM423" s="85" t="s">
        <v>2230</v>
      </c>
      <c r="AN423" s="3"/>
      <c r="AO423" s="4"/>
      <c r="AP423" s="5"/>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6"/>
      <c r="CQ423" s="7"/>
      <c r="CR423" s="6"/>
      <c r="CS423" s="7"/>
      <c r="CT423" s="6"/>
      <c r="CU423" s="7"/>
      <c r="CV423" s="8">
        <f t="shared" si="54"/>
        <v>0</v>
      </c>
      <c r="CW423" s="9"/>
      <c r="CX423" s="10"/>
      <c r="CY423" s="11"/>
      <c r="CZ423" s="12"/>
      <c r="DA423" s="29"/>
      <c r="DB423" s="12"/>
      <c r="DC423" s="9"/>
      <c r="DD423" s="10"/>
      <c r="DE423" s="71"/>
      <c r="EO423" s="353" t="str">
        <f t="shared" si="49"/>
        <v>META_VISTAHERMOSA</v>
      </c>
      <c r="EP423" s="350"/>
      <c r="EQ423" s="350" t="s">
        <v>4256</v>
      </c>
      <c r="ER423" s="358" t="s">
        <v>4257</v>
      </c>
      <c r="ES423" s="350" t="s">
        <v>5069</v>
      </c>
      <c r="ET423" s="350" t="s">
        <v>6204</v>
      </c>
      <c r="EU423" s="350" t="str">
        <f t="shared" si="56"/>
        <v>Cauca_Santander de Quilichao</v>
      </c>
    </row>
    <row r="424" spans="1:151" ht="36" x14ac:dyDescent="0.2">
      <c r="A424" s="242">
        <v>40284</v>
      </c>
      <c r="B424" s="107" t="s">
        <v>2791</v>
      </c>
      <c r="C424" s="107" t="s">
        <v>2670</v>
      </c>
      <c r="D424" s="427" t="s">
        <v>837</v>
      </c>
      <c r="E424" s="107" t="str">
        <f>VLOOKUP(B424&amp;C424,Divipola!$C$2:$F$1138,4,FALSE)</f>
        <v>73678</v>
      </c>
      <c r="F424" s="330"/>
      <c r="G424" s="224"/>
      <c r="H424" s="75"/>
      <c r="I424" s="75"/>
      <c r="J424" s="75"/>
      <c r="K424" s="75"/>
      <c r="L424" s="75"/>
      <c r="M424" s="75"/>
      <c r="N424" s="75"/>
      <c r="O424" s="75"/>
      <c r="P424" s="75"/>
      <c r="Q424" s="75"/>
      <c r="R424" s="75"/>
      <c r="S424" s="75"/>
      <c r="T424" s="75"/>
      <c r="U424" s="75"/>
      <c r="V424" s="76"/>
      <c r="W424" s="205"/>
      <c r="X424" s="1"/>
      <c r="Y424" s="78">
        <f t="shared" si="50"/>
        <v>0</v>
      </c>
      <c r="Z424" s="78">
        <f t="shared" si="51"/>
        <v>0</v>
      </c>
      <c r="AA424" s="78">
        <f t="shared" si="52"/>
        <v>0</v>
      </c>
      <c r="AB424" s="78">
        <f t="shared" si="53"/>
        <v>0</v>
      </c>
      <c r="AC424" s="78"/>
      <c r="AD424" s="78">
        <v>0</v>
      </c>
      <c r="AE424" s="80">
        <f t="shared" si="55"/>
        <v>0</v>
      </c>
      <c r="AF424" s="82">
        <v>0</v>
      </c>
      <c r="AG424" s="69">
        <v>40285</v>
      </c>
      <c r="AH424" s="84"/>
      <c r="AI424" s="69" t="s">
        <v>1984</v>
      </c>
      <c r="AJ424" s="25" t="s">
        <v>1985</v>
      </c>
      <c r="AK424" s="65"/>
      <c r="AL424" s="185" t="s">
        <v>1257</v>
      </c>
      <c r="AM424" s="85" t="s">
        <v>2671</v>
      </c>
      <c r="AN424" s="3"/>
      <c r="AO424" s="4"/>
      <c r="AP424" s="5"/>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6"/>
      <c r="CQ424" s="7"/>
      <c r="CR424" s="6"/>
      <c r="CS424" s="7"/>
      <c r="CT424" s="6"/>
      <c r="CU424" s="7"/>
      <c r="CV424" s="8">
        <f t="shared" si="54"/>
        <v>0</v>
      </c>
      <c r="CW424" s="9"/>
      <c r="CX424" s="10"/>
      <c r="CY424" s="11"/>
      <c r="CZ424" s="12"/>
      <c r="DA424" s="29"/>
      <c r="DB424" s="12"/>
      <c r="DC424" s="9"/>
      <c r="DD424" s="10"/>
      <c r="DE424" s="71"/>
      <c r="EO424" s="353" t="str">
        <f t="shared" si="49"/>
        <v>TOLIMA_SAN LUIS</v>
      </c>
      <c r="EP424" s="350"/>
      <c r="EQ424" s="362" t="s">
        <v>4256</v>
      </c>
      <c r="ER424" s="358" t="s">
        <v>4257</v>
      </c>
      <c r="ES424" s="362" t="s">
        <v>5071</v>
      </c>
      <c r="ET424" s="362" t="s">
        <v>6205</v>
      </c>
      <c r="EU424" s="362" t="str">
        <f t="shared" si="56"/>
        <v>Cauca_Silvia</v>
      </c>
    </row>
    <row r="425" spans="1:151" ht="38.25" x14ac:dyDescent="0.2">
      <c r="A425" s="242">
        <v>40284.579861111109</v>
      </c>
      <c r="B425" s="107" t="s">
        <v>6305</v>
      </c>
      <c r="C425" s="107" t="s">
        <v>6305</v>
      </c>
      <c r="D425" s="430" t="s">
        <v>2307</v>
      </c>
      <c r="E425" s="107" t="str">
        <f>VLOOKUP(B425&amp;C425,Divipola!$C$2:$F$1138,4,FALSE)</f>
        <v>11001</v>
      </c>
      <c r="F425" s="333"/>
      <c r="G425" s="221"/>
      <c r="H425" s="157"/>
      <c r="I425" s="157"/>
      <c r="J425" s="157">
        <v>5</v>
      </c>
      <c r="K425" s="414">
        <v>2</v>
      </c>
      <c r="L425" s="157"/>
      <c r="M425" s="157"/>
      <c r="N425" s="157"/>
      <c r="O425" s="157"/>
      <c r="P425" s="157"/>
      <c r="Q425" s="157"/>
      <c r="R425" s="157"/>
      <c r="S425" s="157"/>
      <c r="T425" s="157"/>
      <c r="U425" s="157"/>
      <c r="V425" s="158"/>
      <c r="W425" s="182"/>
      <c r="X425" s="1"/>
      <c r="Y425" s="78">
        <f t="shared" si="50"/>
        <v>0</v>
      </c>
      <c r="Z425" s="78">
        <f t="shared" si="51"/>
        <v>0</v>
      </c>
      <c r="AA425" s="78">
        <f t="shared" si="52"/>
        <v>0</v>
      </c>
      <c r="AB425" s="78">
        <f t="shared" si="53"/>
        <v>0</v>
      </c>
      <c r="AC425" s="78"/>
      <c r="AD425" s="78">
        <v>0</v>
      </c>
      <c r="AE425" s="80">
        <f t="shared" si="55"/>
        <v>0</v>
      </c>
      <c r="AF425" s="82">
        <v>0</v>
      </c>
      <c r="AG425" s="306">
        <v>40624</v>
      </c>
      <c r="AH425" s="307"/>
      <c r="AI425" s="306" t="s">
        <v>1984</v>
      </c>
      <c r="AJ425" s="308" t="s">
        <v>1985</v>
      </c>
      <c r="AK425" s="309"/>
      <c r="AL425" s="310" t="s">
        <v>1257</v>
      </c>
      <c r="AM425" s="419" t="s">
        <v>3746</v>
      </c>
      <c r="AN425" s="159"/>
      <c r="AO425" s="160"/>
      <c r="AP425" s="161"/>
      <c r="AQ425" s="160"/>
      <c r="AR425" s="160"/>
      <c r="AS425" s="160"/>
      <c r="AT425" s="160"/>
      <c r="AU425" s="160"/>
      <c r="AV425" s="160"/>
      <c r="AW425" s="160"/>
      <c r="AX425" s="160"/>
      <c r="AY425" s="160"/>
      <c r="AZ425" s="160"/>
      <c r="BA425" s="160"/>
      <c r="BB425" s="160"/>
      <c r="BC425" s="160"/>
      <c r="BD425" s="160"/>
      <c r="BE425" s="160"/>
      <c r="BF425" s="160"/>
      <c r="BG425" s="160"/>
      <c r="BH425" s="160"/>
      <c r="BI425" s="160"/>
      <c r="BJ425" s="160"/>
      <c r="BK425" s="160"/>
      <c r="BL425" s="160"/>
      <c r="BM425" s="160"/>
      <c r="BN425" s="160"/>
      <c r="BO425" s="160"/>
      <c r="BP425" s="160"/>
      <c r="BQ425" s="160"/>
      <c r="BR425" s="160"/>
      <c r="BS425" s="160"/>
      <c r="BT425" s="160"/>
      <c r="BU425" s="160"/>
      <c r="BV425" s="160"/>
      <c r="BW425" s="160"/>
      <c r="BX425" s="160"/>
      <c r="BY425" s="160"/>
      <c r="BZ425" s="160"/>
      <c r="CA425" s="160"/>
      <c r="CB425" s="160"/>
      <c r="CC425" s="160"/>
      <c r="CD425" s="160"/>
      <c r="CE425" s="160"/>
      <c r="CF425" s="160"/>
      <c r="CG425" s="160"/>
      <c r="CH425" s="160"/>
      <c r="CI425" s="160"/>
      <c r="CJ425" s="160"/>
      <c r="CK425" s="160"/>
      <c r="CL425" s="160"/>
      <c r="CM425" s="160"/>
      <c r="CN425" s="160"/>
      <c r="CO425" s="160"/>
      <c r="CP425" s="162"/>
      <c r="CQ425" s="163"/>
      <c r="CR425" s="162"/>
      <c r="CS425" s="163"/>
      <c r="CT425" s="162"/>
      <c r="CU425" s="163"/>
      <c r="CV425" s="164">
        <f t="shared" si="54"/>
        <v>0</v>
      </c>
      <c r="CW425" s="165"/>
      <c r="CX425" s="166"/>
      <c r="CY425" s="167"/>
      <c r="CZ425" s="168"/>
      <c r="DA425" s="169"/>
      <c r="DB425" s="168"/>
      <c r="DC425" s="165"/>
      <c r="DD425" s="166"/>
      <c r="DE425" s="71"/>
      <c r="DF425" s="170"/>
      <c r="EO425" s="353" t="str">
        <f t="shared" si="49"/>
        <v>BOGOTA, D.C._BOGOTA, D.C.</v>
      </c>
      <c r="EP425" s="350"/>
      <c r="EQ425" s="362" t="s">
        <v>4256</v>
      </c>
      <c r="ER425" s="358" t="s">
        <v>4257</v>
      </c>
      <c r="ES425" s="362" t="s">
        <v>5072</v>
      </c>
      <c r="ET425" s="362" t="s">
        <v>6206</v>
      </c>
      <c r="EU425" s="362" t="str">
        <f t="shared" si="56"/>
        <v>Cauca_Sotara</v>
      </c>
    </row>
    <row r="426" spans="1:151" ht="38.25" x14ac:dyDescent="0.2">
      <c r="A426" s="246">
        <v>40285</v>
      </c>
      <c r="B426" s="238" t="s">
        <v>2401</v>
      </c>
      <c r="C426" s="238" t="s">
        <v>2554</v>
      </c>
      <c r="D426" s="431" t="s">
        <v>248</v>
      </c>
      <c r="E426" s="107" t="str">
        <f>VLOOKUP(B426&amp;C426,Divipola!$C$2:$F$1138,4,FALSE)</f>
        <v>05674</v>
      </c>
      <c r="F426" s="334"/>
      <c r="G426" s="224"/>
      <c r="H426" s="75"/>
      <c r="I426" s="75"/>
      <c r="J426" s="75">
        <f>36*5</f>
        <v>180</v>
      </c>
      <c r="K426" s="75">
        <v>36</v>
      </c>
      <c r="L426" s="75"/>
      <c r="M426" s="75">
        <v>36</v>
      </c>
      <c r="N426" s="75"/>
      <c r="O426" s="75"/>
      <c r="P426" s="75"/>
      <c r="Q426" s="75"/>
      <c r="R426" s="75"/>
      <c r="S426" s="75"/>
      <c r="T426" s="75"/>
      <c r="U426" s="75"/>
      <c r="V426" s="76">
        <v>26</v>
      </c>
      <c r="W426" s="205" t="s">
        <v>1301</v>
      </c>
      <c r="X426" s="1"/>
      <c r="Y426" s="78">
        <f t="shared" si="50"/>
        <v>0</v>
      </c>
      <c r="Z426" s="78">
        <f t="shared" si="51"/>
        <v>0</v>
      </c>
      <c r="AA426" s="78">
        <f t="shared" si="52"/>
        <v>0</v>
      </c>
      <c r="AB426" s="78">
        <f t="shared" si="53"/>
        <v>0</v>
      </c>
      <c r="AC426" s="78"/>
      <c r="AD426" s="78">
        <v>0</v>
      </c>
      <c r="AE426" s="80">
        <f t="shared" si="55"/>
        <v>0</v>
      </c>
      <c r="AF426" s="82">
        <v>0</v>
      </c>
      <c r="AG426" s="69">
        <v>40292</v>
      </c>
      <c r="AH426" s="84"/>
      <c r="AI426" s="69" t="s">
        <v>1984</v>
      </c>
      <c r="AJ426" s="25" t="s">
        <v>1985</v>
      </c>
      <c r="AK426" s="65"/>
      <c r="AL426" s="185" t="s">
        <v>1257</v>
      </c>
      <c r="AM426" s="85" t="s">
        <v>1302</v>
      </c>
      <c r="AN426" s="3"/>
      <c r="AO426" s="4"/>
      <c r="AP426" s="5"/>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6"/>
      <c r="CQ426" s="7"/>
      <c r="CR426" s="6"/>
      <c r="CS426" s="7"/>
      <c r="CT426" s="6"/>
      <c r="CU426" s="7"/>
      <c r="CV426" s="8">
        <f t="shared" si="54"/>
        <v>0</v>
      </c>
      <c r="CW426" s="9"/>
      <c r="CX426" s="10"/>
      <c r="CY426" s="11"/>
      <c r="CZ426" s="12"/>
      <c r="DA426" s="29"/>
      <c r="DB426" s="12"/>
      <c r="DC426" s="9"/>
      <c r="DD426" s="10"/>
      <c r="DE426" s="71"/>
      <c r="EO426" s="353" t="str">
        <f t="shared" si="49"/>
        <v>ANTIOQUIA_SAN VICENTE</v>
      </c>
      <c r="EP426" s="350"/>
      <c r="EQ426" s="350" t="s">
        <v>4256</v>
      </c>
      <c r="ER426" s="358" t="s">
        <v>4257</v>
      </c>
      <c r="ES426" s="350" t="s">
        <v>5073</v>
      </c>
      <c r="ET426" s="350" t="s">
        <v>6207</v>
      </c>
      <c r="EU426" s="350" t="str">
        <f t="shared" si="56"/>
        <v>Cauca_Suarez</v>
      </c>
    </row>
    <row r="427" spans="1:151" ht="25.5" x14ac:dyDescent="0.2">
      <c r="A427" s="242">
        <v>40285</v>
      </c>
      <c r="B427" s="107" t="s">
        <v>828</v>
      </c>
      <c r="C427" s="107" t="s">
        <v>2347</v>
      </c>
      <c r="D427" s="427" t="s">
        <v>2307</v>
      </c>
      <c r="E427" s="107" t="str">
        <f>VLOOKUP(B427&amp;C427,Divipola!$C$2:$F$1138,4,FALSE)</f>
        <v>15238</v>
      </c>
      <c r="F427" s="330"/>
      <c r="G427" s="224"/>
      <c r="H427" s="75"/>
      <c r="I427" s="75"/>
      <c r="J427" s="75"/>
      <c r="K427" s="75"/>
      <c r="L427" s="75"/>
      <c r="M427" s="75"/>
      <c r="N427" s="75"/>
      <c r="O427" s="75"/>
      <c r="P427" s="75"/>
      <c r="Q427" s="75"/>
      <c r="R427" s="75"/>
      <c r="S427" s="75"/>
      <c r="T427" s="75"/>
      <c r="U427" s="75"/>
      <c r="V427" s="76">
        <v>1</v>
      </c>
      <c r="W427" s="205" t="s">
        <v>1296</v>
      </c>
      <c r="X427" s="1"/>
      <c r="Y427" s="78">
        <f t="shared" si="50"/>
        <v>0</v>
      </c>
      <c r="Z427" s="78">
        <f t="shared" si="51"/>
        <v>0</v>
      </c>
      <c r="AA427" s="78">
        <f t="shared" si="52"/>
        <v>0</v>
      </c>
      <c r="AB427" s="78">
        <f t="shared" si="53"/>
        <v>0</v>
      </c>
      <c r="AC427" s="78"/>
      <c r="AD427" s="78">
        <v>0</v>
      </c>
      <c r="AE427" s="80">
        <f t="shared" si="55"/>
        <v>0</v>
      </c>
      <c r="AF427" s="82">
        <v>0</v>
      </c>
      <c r="AG427" s="69">
        <v>40292</v>
      </c>
      <c r="AH427" s="84"/>
      <c r="AI427" s="69" t="s">
        <v>1984</v>
      </c>
      <c r="AJ427" s="25" t="s">
        <v>1985</v>
      </c>
      <c r="AK427" s="65"/>
      <c r="AL427" s="185" t="s">
        <v>1257</v>
      </c>
      <c r="AM427" s="85" t="s">
        <v>1297</v>
      </c>
      <c r="AN427" s="3"/>
      <c r="AO427" s="4"/>
      <c r="AP427" s="5"/>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6"/>
      <c r="CQ427" s="7"/>
      <c r="CR427" s="6"/>
      <c r="CS427" s="7"/>
      <c r="CT427" s="6"/>
      <c r="CU427" s="7"/>
      <c r="CV427" s="8">
        <f t="shared" si="54"/>
        <v>0</v>
      </c>
      <c r="CW427" s="9"/>
      <c r="CX427" s="10"/>
      <c r="CY427" s="11"/>
      <c r="CZ427" s="12"/>
      <c r="DA427" s="29"/>
      <c r="DB427" s="12"/>
      <c r="DC427" s="9"/>
      <c r="DD427" s="10"/>
      <c r="DE427" s="71"/>
      <c r="EO427" s="353" t="str">
        <f t="shared" si="49"/>
        <v>BOYACA_DUITAMA</v>
      </c>
      <c r="EP427" s="350"/>
      <c r="EQ427" s="350" t="s">
        <v>4256</v>
      </c>
      <c r="ER427" s="358" t="s">
        <v>4257</v>
      </c>
      <c r="ES427" s="350" t="s">
        <v>5074</v>
      </c>
      <c r="ET427" s="350" t="s">
        <v>4572</v>
      </c>
      <c r="EU427" s="350" t="str">
        <f t="shared" si="56"/>
        <v>Cauca_Sucre</v>
      </c>
    </row>
    <row r="428" spans="1:151" ht="25.5" x14ac:dyDescent="0.2">
      <c r="A428" s="242">
        <v>40285</v>
      </c>
      <c r="B428" s="107" t="s">
        <v>828</v>
      </c>
      <c r="C428" s="107" t="s">
        <v>2361</v>
      </c>
      <c r="D428" s="427" t="s">
        <v>837</v>
      </c>
      <c r="E428" s="107" t="str">
        <f>VLOOKUP(B428&amp;C428,Divipola!$C$2:$F$1138,4,FALSE)</f>
        <v>15491</v>
      </c>
      <c r="F428" s="330"/>
      <c r="G428" s="224"/>
      <c r="H428" s="75"/>
      <c r="I428" s="75"/>
      <c r="J428" s="75">
        <f>55*5</f>
        <v>275</v>
      </c>
      <c r="K428" s="75">
        <v>55</v>
      </c>
      <c r="L428" s="75"/>
      <c r="M428" s="75">
        <v>13</v>
      </c>
      <c r="N428" s="75">
        <v>1</v>
      </c>
      <c r="O428" s="75"/>
      <c r="P428" s="75"/>
      <c r="Q428" s="75"/>
      <c r="R428" s="75"/>
      <c r="S428" s="75"/>
      <c r="T428" s="75">
        <v>2</v>
      </c>
      <c r="U428" s="75"/>
      <c r="V428" s="76">
        <v>30</v>
      </c>
      <c r="W428" s="205" t="s">
        <v>1299</v>
      </c>
      <c r="X428" s="1"/>
      <c r="Y428" s="78">
        <f t="shared" si="50"/>
        <v>0</v>
      </c>
      <c r="Z428" s="78">
        <f t="shared" si="51"/>
        <v>0</v>
      </c>
      <c r="AA428" s="78">
        <f t="shared" si="52"/>
        <v>0</v>
      </c>
      <c r="AB428" s="78">
        <f t="shared" si="53"/>
        <v>0</v>
      </c>
      <c r="AC428" s="78"/>
      <c r="AD428" s="78">
        <v>0</v>
      </c>
      <c r="AE428" s="80">
        <f t="shared" si="55"/>
        <v>0</v>
      </c>
      <c r="AF428" s="82">
        <v>0</v>
      </c>
      <c r="AG428" s="69">
        <v>40287</v>
      </c>
      <c r="AH428" s="84"/>
      <c r="AI428" s="69" t="s">
        <v>1984</v>
      </c>
      <c r="AJ428" s="25" t="s">
        <v>1985</v>
      </c>
      <c r="AK428" s="65"/>
      <c r="AL428" s="185" t="s">
        <v>1257</v>
      </c>
      <c r="AM428" s="85" t="s">
        <v>1109</v>
      </c>
      <c r="AN428" s="3"/>
      <c r="AO428" s="4"/>
      <c r="AP428" s="5"/>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6"/>
      <c r="CQ428" s="7"/>
      <c r="CR428" s="6"/>
      <c r="CS428" s="7"/>
      <c r="CT428" s="6"/>
      <c r="CU428" s="7"/>
      <c r="CV428" s="8">
        <f t="shared" si="54"/>
        <v>0</v>
      </c>
      <c r="CW428" s="9"/>
      <c r="CX428" s="10"/>
      <c r="CY428" s="11"/>
      <c r="CZ428" s="12"/>
      <c r="DA428" s="29"/>
      <c r="DB428" s="12"/>
      <c r="DC428" s="9"/>
      <c r="DD428" s="10"/>
      <c r="DE428" s="71"/>
      <c r="EO428" s="353" t="str">
        <f t="shared" si="49"/>
        <v>BOYACA_NOBSA</v>
      </c>
      <c r="EP428" s="350"/>
      <c r="EQ428" s="350" t="s">
        <v>4256</v>
      </c>
      <c r="ER428" s="358" t="s">
        <v>4257</v>
      </c>
      <c r="ES428" s="350" t="s">
        <v>5075</v>
      </c>
      <c r="ET428" s="350" t="s">
        <v>6208</v>
      </c>
      <c r="EU428" s="350" t="str">
        <f t="shared" si="56"/>
        <v>Cauca_Timbio</v>
      </c>
    </row>
    <row r="429" spans="1:151" ht="36" x14ac:dyDescent="0.2">
      <c r="A429" s="242">
        <v>40285</v>
      </c>
      <c r="B429" s="107" t="s">
        <v>828</v>
      </c>
      <c r="C429" s="107" t="s">
        <v>1110</v>
      </c>
      <c r="D429" s="427" t="s">
        <v>2307</v>
      </c>
      <c r="E429" s="107" t="str">
        <f>VLOOKUP(B429&amp;C429,Divipola!$C$2:$F$1138,4,FALSE)</f>
        <v>15806</v>
      </c>
      <c r="F429" s="330"/>
      <c r="G429" s="224"/>
      <c r="H429" s="75"/>
      <c r="I429" s="75"/>
      <c r="J429" s="75">
        <v>15</v>
      </c>
      <c r="K429" s="75">
        <v>3</v>
      </c>
      <c r="L429" s="75"/>
      <c r="M429" s="75">
        <v>3</v>
      </c>
      <c r="N429" s="75"/>
      <c r="O429" s="75"/>
      <c r="P429" s="75"/>
      <c r="Q429" s="75"/>
      <c r="R429" s="75"/>
      <c r="S429" s="75"/>
      <c r="T429" s="75"/>
      <c r="U429" s="75"/>
      <c r="V429" s="76"/>
      <c r="W429" s="205"/>
      <c r="X429" s="1"/>
      <c r="Y429" s="78">
        <f t="shared" si="50"/>
        <v>0</v>
      </c>
      <c r="Z429" s="78">
        <f t="shared" si="51"/>
        <v>0</v>
      </c>
      <c r="AA429" s="78">
        <f t="shared" si="52"/>
        <v>0</v>
      </c>
      <c r="AB429" s="78">
        <f t="shared" si="53"/>
        <v>0</v>
      </c>
      <c r="AC429" s="78"/>
      <c r="AD429" s="78">
        <v>0</v>
      </c>
      <c r="AE429" s="80">
        <f t="shared" si="55"/>
        <v>0</v>
      </c>
      <c r="AF429" s="82">
        <v>0</v>
      </c>
      <c r="AG429" s="69">
        <v>40287</v>
      </c>
      <c r="AH429" s="84"/>
      <c r="AI429" s="69" t="s">
        <v>1984</v>
      </c>
      <c r="AJ429" s="25" t="s">
        <v>1985</v>
      </c>
      <c r="AK429" s="65"/>
      <c r="AL429" s="185" t="s">
        <v>1257</v>
      </c>
      <c r="AM429" s="85" t="s">
        <v>1298</v>
      </c>
      <c r="AN429" s="3"/>
      <c r="AO429" s="4"/>
      <c r="AP429" s="5"/>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6"/>
      <c r="CQ429" s="7"/>
      <c r="CR429" s="6"/>
      <c r="CS429" s="7"/>
      <c r="CT429" s="6"/>
      <c r="CU429" s="7"/>
      <c r="CV429" s="8">
        <f t="shared" si="54"/>
        <v>0</v>
      </c>
      <c r="CW429" s="9"/>
      <c r="CX429" s="10"/>
      <c r="CY429" s="11"/>
      <c r="CZ429" s="12"/>
      <c r="DA429" s="29"/>
      <c r="DB429" s="12"/>
      <c r="DC429" s="9"/>
      <c r="DD429" s="10"/>
      <c r="DE429" s="71"/>
      <c r="EO429" s="353" t="str">
        <f t="shared" si="49"/>
        <v>BOYACA_TIBASOSA</v>
      </c>
      <c r="EP429" s="350"/>
      <c r="EQ429" s="350" t="s">
        <v>4256</v>
      </c>
      <c r="ER429" s="358" t="s">
        <v>4257</v>
      </c>
      <c r="ES429" s="350" t="s">
        <v>5078</v>
      </c>
      <c r="ET429" s="350" t="s">
        <v>6209</v>
      </c>
      <c r="EU429" s="350" t="str">
        <f t="shared" si="56"/>
        <v>Cauca_Totoro</v>
      </c>
    </row>
    <row r="430" spans="1:151" ht="25.5" x14ac:dyDescent="0.2">
      <c r="A430" s="242">
        <v>40285</v>
      </c>
      <c r="B430" s="107" t="s">
        <v>828</v>
      </c>
      <c r="C430" s="107" t="s">
        <v>621</v>
      </c>
      <c r="D430" s="427" t="s">
        <v>2209</v>
      </c>
      <c r="E430" s="107" t="str">
        <f>VLOOKUP(B430&amp;C430,Divipola!$C$2:$F$1138,4,FALSE)</f>
        <v>15001</v>
      </c>
      <c r="F430" s="330"/>
      <c r="G430" s="224"/>
      <c r="H430" s="75"/>
      <c r="I430" s="75"/>
      <c r="J430" s="75">
        <v>80</v>
      </c>
      <c r="K430" s="75">
        <v>16</v>
      </c>
      <c r="L430" s="75"/>
      <c r="M430" s="75">
        <v>16</v>
      </c>
      <c r="N430" s="75"/>
      <c r="O430" s="75"/>
      <c r="P430" s="75"/>
      <c r="Q430" s="75"/>
      <c r="R430" s="75"/>
      <c r="S430" s="75"/>
      <c r="T430" s="75">
        <v>1</v>
      </c>
      <c r="U430" s="75"/>
      <c r="V430" s="76"/>
      <c r="W430" s="205"/>
      <c r="X430" s="1"/>
      <c r="Y430" s="78">
        <f t="shared" si="50"/>
        <v>0</v>
      </c>
      <c r="Z430" s="78">
        <f t="shared" si="51"/>
        <v>0</v>
      </c>
      <c r="AA430" s="78">
        <f t="shared" si="52"/>
        <v>0</v>
      </c>
      <c r="AB430" s="78">
        <f t="shared" si="53"/>
        <v>0</v>
      </c>
      <c r="AC430" s="78"/>
      <c r="AD430" s="78">
        <v>0</v>
      </c>
      <c r="AE430" s="80">
        <f t="shared" si="55"/>
        <v>0</v>
      </c>
      <c r="AF430" s="82">
        <v>0</v>
      </c>
      <c r="AG430" s="69">
        <v>40286</v>
      </c>
      <c r="AH430" s="84"/>
      <c r="AI430" s="69" t="s">
        <v>1984</v>
      </c>
      <c r="AJ430" s="25" t="s">
        <v>1985</v>
      </c>
      <c r="AK430" s="65"/>
      <c r="AL430" s="185" t="s">
        <v>1257</v>
      </c>
      <c r="AM430" s="85" t="s">
        <v>1295</v>
      </c>
      <c r="AN430" s="3"/>
      <c r="AO430" s="4"/>
      <c r="AP430" s="5"/>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6"/>
      <c r="CQ430" s="7"/>
      <c r="CR430" s="6"/>
      <c r="CS430" s="7"/>
      <c r="CT430" s="6"/>
      <c r="CU430" s="7"/>
      <c r="CV430" s="8">
        <f t="shared" si="54"/>
        <v>0</v>
      </c>
      <c r="CW430" s="9"/>
      <c r="CX430" s="10"/>
      <c r="CY430" s="11"/>
      <c r="CZ430" s="12"/>
      <c r="DA430" s="29"/>
      <c r="DB430" s="12"/>
      <c r="DC430" s="9"/>
      <c r="DD430" s="10"/>
      <c r="DE430" s="71"/>
      <c r="EO430" s="353" t="str">
        <f t="shared" si="49"/>
        <v>BOYACA_TUNJA</v>
      </c>
      <c r="EP430" s="350"/>
      <c r="EQ430" s="350" t="s">
        <v>4256</v>
      </c>
      <c r="ER430" s="358" t="s">
        <v>4257</v>
      </c>
      <c r="ES430" s="350" t="s">
        <v>5079</v>
      </c>
      <c r="ET430" s="350" t="s">
        <v>6210</v>
      </c>
      <c r="EU430" s="350" t="str">
        <f t="shared" si="56"/>
        <v>Cauca_Villa Rica</v>
      </c>
    </row>
    <row r="431" spans="1:151" ht="38.25" x14ac:dyDescent="0.2">
      <c r="A431" s="242">
        <v>40285</v>
      </c>
      <c r="B431" s="107" t="s">
        <v>1336</v>
      </c>
      <c r="C431" s="107" t="s">
        <v>1732</v>
      </c>
      <c r="D431" s="427" t="s">
        <v>2209</v>
      </c>
      <c r="E431" s="107" t="str">
        <f>VLOOKUP(B431&amp;C431,Divipola!$C$2:$F$1138,4,FALSE)</f>
        <v>54001</v>
      </c>
      <c r="F431" s="330"/>
      <c r="G431" s="224"/>
      <c r="H431" s="75"/>
      <c r="I431" s="75"/>
      <c r="J431" s="75"/>
      <c r="K431" s="75"/>
      <c r="L431" s="75"/>
      <c r="M431" s="75"/>
      <c r="N431" s="75">
        <v>1</v>
      </c>
      <c r="O431" s="75"/>
      <c r="P431" s="75"/>
      <c r="Q431" s="75"/>
      <c r="R431" s="75"/>
      <c r="S431" s="75"/>
      <c r="T431" s="75"/>
      <c r="U431" s="75"/>
      <c r="V431" s="76"/>
      <c r="W431" s="205"/>
      <c r="X431" s="1"/>
      <c r="Y431" s="78">
        <f t="shared" si="50"/>
        <v>0</v>
      </c>
      <c r="Z431" s="78">
        <f t="shared" si="51"/>
        <v>0</v>
      </c>
      <c r="AA431" s="78">
        <f t="shared" si="52"/>
        <v>0</v>
      </c>
      <c r="AB431" s="78">
        <f t="shared" si="53"/>
        <v>0</v>
      </c>
      <c r="AC431" s="78"/>
      <c r="AD431" s="78">
        <v>0</v>
      </c>
      <c r="AE431" s="80">
        <f t="shared" si="55"/>
        <v>0</v>
      </c>
      <c r="AF431" s="82">
        <v>0</v>
      </c>
      <c r="AG431" s="69">
        <v>40286</v>
      </c>
      <c r="AH431" s="84"/>
      <c r="AI431" s="69" t="s">
        <v>1984</v>
      </c>
      <c r="AJ431" s="25" t="s">
        <v>1985</v>
      </c>
      <c r="AK431" s="65"/>
      <c r="AL431" s="185" t="s">
        <v>1257</v>
      </c>
      <c r="AM431" s="85" t="s">
        <v>622</v>
      </c>
      <c r="AN431" s="3"/>
      <c r="AO431" s="4"/>
      <c r="AP431" s="5"/>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6"/>
      <c r="CQ431" s="7"/>
      <c r="CR431" s="6"/>
      <c r="CS431" s="7"/>
      <c r="CT431" s="6"/>
      <c r="CU431" s="7"/>
      <c r="CV431" s="8">
        <f t="shared" si="54"/>
        <v>0</v>
      </c>
      <c r="CW431" s="9"/>
      <c r="CX431" s="10"/>
      <c r="CY431" s="11"/>
      <c r="CZ431" s="12"/>
      <c r="DA431" s="29"/>
      <c r="DB431" s="12"/>
      <c r="DC431" s="9"/>
      <c r="DD431" s="10"/>
      <c r="DE431" s="71"/>
      <c r="EO431" s="353" t="str">
        <f t="shared" si="49"/>
        <v>NORTE DE SANTANDER_CUCUTA</v>
      </c>
      <c r="EP431" s="350"/>
      <c r="EQ431" s="350" t="s">
        <v>4280</v>
      </c>
      <c r="ER431" s="358" t="s">
        <v>4281</v>
      </c>
      <c r="ES431" s="350" t="s">
        <v>5080</v>
      </c>
      <c r="ET431" s="350" t="s">
        <v>6211</v>
      </c>
      <c r="EU431" s="350" t="str">
        <f t="shared" si="56"/>
        <v>Cesar_Valledupar</v>
      </c>
    </row>
    <row r="432" spans="1:151" ht="38.25" x14ac:dyDescent="0.2">
      <c r="A432" s="242">
        <v>40286</v>
      </c>
      <c r="B432" s="107" t="s">
        <v>2007</v>
      </c>
      <c r="C432" s="107" t="s">
        <v>2191</v>
      </c>
      <c r="D432" s="427" t="s">
        <v>837</v>
      </c>
      <c r="E432" s="107" t="str">
        <f>VLOOKUP(B432&amp;C432,Divipola!$C$2:$F$1138,4,FALSE)</f>
        <v>25596</v>
      </c>
      <c r="F432" s="330"/>
      <c r="G432" s="224"/>
      <c r="H432" s="75"/>
      <c r="I432" s="75"/>
      <c r="J432" s="75">
        <f>181*5</f>
        <v>905</v>
      </c>
      <c r="K432" s="75">
        <v>181</v>
      </c>
      <c r="L432" s="75"/>
      <c r="M432" s="75">
        <v>181</v>
      </c>
      <c r="N432" s="75"/>
      <c r="O432" s="75"/>
      <c r="P432" s="75"/>
      <c r="Q432" s="75"/>
      <c r="R432" s="75"/>
      <c r="S432" s="75"/>
      <c r="T432" s="75"/>
      <c r="U432" s="75"/>
      <c r="V432" s="76"/>
      <c r="W432" s="205"/>
      <c r="X432" s="1"/>
      <c r="Y432" s="78">
        <f t="shared" si="50"/>
        <v>0</v>
      </c>
      <c r="Z432" s="78">
        <f t="shared" si="51"/>
        <v>0</v>
      </c>
      <c r="AA432" s="78">
        <f t="shared" si="52"/>
        <v>0</v>
      </c>
      <c r="AB432" s="78">
        <f t="shared" si="53"/>
        <v>0</v>
      </c>
      <c r="AC432" s="78"/>
      <c r="AD432" s="78">
        <v>0</v>
      </c>
      <c r="AE432" s="80">
        <f t="shared" si="55"/>
        <v>0</v>
      </c>
      <c r="AF432" s="82">
        <v>0</v>
      </c>
      <c r="AG432" s="69">
        <v>40287</v>
      </c>
      <c r="AH432" s="84"/>
      <c r="AI432" s="69" t="s">
        <v>1984</v>
      </c>
      <c r="AJ432" s="25" t="s">
        <v>1985</v>
      </c>
      <c r="AK432" s="65"/>
      <c r="AL432" s="185" t="s">
        <v>1257</v>
      </c>
      <c r="AM432" s="85" t="s">
        <v>109</v>
      </c>
      <c r="AN432" s="3"/>
      <c r="AO432" s="4"/>
      <c r="AP432" s="5"/>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6"/>
      <c r="CQ432" s="7"/>
      <c r="CR432" s="6"/>
      <c r="CS432" s="7"/>
      <c r="CT432" s="6"/>
      <c r="CU432" s="7"/>
      <c r="CV432" s="8">
        <f t="shared" si="54"/>
        <v>0</v>
      </c>
      <c r="CW432" s="9"/>
      <c r="CX432" s="10"/>
      <c r="CY432" s="11"/>
      <c r="CZ432" s="12"/>
      <c r="DA432" s="29"/>
      <c r="DB432" s="12"/>
      <c r="DC432" s="9"/>
      <c r="DD432" s="10"/>
      <c r="DE432" s="71"/>
      <c r="EO432" s="353" t="str">
        <f t="shared" si="49"/>
        <v>CUNDINAMARCA_QUIPILE</v>
      </c>
      <c r="EP432" s="350"/>
      <c r="EQ432" s="350" t="s">
        <v>4280</v>
      </c>
      <c r="ER432" s="358" t="s">
        <v>4281</v>
      </c>
      <c r="ES432" s="350" t="s">
        <v>5081</v>
      </c>
      <c r="ET432" s="350" t="s">
        <v>6212</v>
      </c>
      <c r="EU432" s="350" t="str">
        <f t="shared" si="56"/>
        <v>Cesar_Aguachica</v>
      </c>
    </row>
    <row r="433" spans="1:151" ht="25.5" x14ac:dyDescent="0.2">
      <c r="A433" s="242">
        <v>40287</v>
      </c>
      <c r="B433" s="107" t="s">
        <v>828</v>
      </c>
      <c r="C433" s="107" t="s">
        <v>2359</v>
      </c>
      <c r="D433" s="427" t="s">
        <v>2209</v>
      </c>
      <c r="E433" s="107" t="str">
        <f>VLOOKUP(B433&amp;C433,Divipola!$C$2:$F$1138,4,FALSE)</f>
        <v>15401</v>
      </c>
      <c r="F433" s="330"/>
      <c r="G433" s="224"/>
      <c r="H433" s="75"/>
      <c r="I433" s="75"/>
      <c r="J433" s="75">
        <v>35</v>
      </c>
      <c r="K433" s="75">
        <v>7</v>
      </c>
      <c r="L433" s="75"/>
      <c r="M433" s="75">
        <v>7</v>
      </c>
      <c r="N433" s="75"/>
      <c r="O433" s="75"/>
      <c r="P433" s="75"/>
      <c r="Q433" s="75"/>
      <c r="R433" s="75"/>
      <c r="S433" s="75"/>
      <c r="T433" s="75"/>
      <c r="U433" s="75"/>
      <c r="V433" s="76"/>
      <c r="W433" s="205"/>
      <c r="X433" s="1"/>
      <c r="Y433" s="78">
        <f t="shared" si="50"/>
        <v>0</v>
      </c>
      <c r="Z433" s="78">
        <f t="shared" si="51"/>
        <v>0</v>
      </c>
      <c r="AA433" s="78">
        <f t="shared" si="52"/>
        <v>0</v>
      </c>
      <c r="AB433" s="78">
        <f t="shared" si="53"/>
        <v>0</v>
      </c>
      <c r="AC433" s="78"/>
      <c r="AD433" s="78">
        <v>0</v>
      </c>
      <c r="AE433" s="80">
        <f t="shared" si="55"/>
        <v>0</v>
      </c>
      <c r="AF433" s="82">
        <v>0</v>
      </c>
      <c r="AG433" s="69">
        <v>40290</v>
      </c>
      <c r="AH433" s="84"/>
      <c r="AI433" s="69" t="s">
        <v>1984</v>
      </c>
      <c r="AJ433" s="25" t="s">
        <v>1985</v>
      </c>
      <c r="AK433" s="65"/>
      <c r="AL433" s="185" t="s">
        <v>1257</v>
      </c>
      <c r="AM433" s="85" t="s">
        <v>1542</v>
      </c>
      <c r="AN433" s="3"/>
      <c r="AO433" s="4"/>
      <c r="AP433" s="5"/>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6"/>
      <c r="CQ433" s="7"/>
      <c r="CR433" s="6"/>
      <c r="CS433" s="7"/>
      <c r="CT433" s="6"/>
      <c r="CU433" s="7"/>
      <c r="CV433" s="8">
        <f t="shared" si="54"/>
        <v>0</v>
      </c>
      <c r="CW433" s="9"/>
      <c r="CX433" s="10"/>
      <c r="CY433" s="11"/>
      <c r="CZ433" s="12"/>
      <c r="DA433" s="29"/>
      <c r="DB433" s="12"/>
      <c r="DC433" s="9"/>
      <c r="DD433" s="10"/>
      <c r="DE433" s="71"/>
      <c r="EO433" s="353" t="str">
        <f t="shared" si="49"/>
        <v>BOYACA_LA VICTORIA</v>
      </c>
      <c r="EP433" s="350"/>
      <c r="EQ433" s="350" t="s">
        <v>4280</v>
      </c>
      <c r="ER433" s="358" t="s">
        <v>4281</v>
      </c>
      <c r="ES433" s="350" t="s">
        <v>5082</v>
      </c>
      <c r="ET433" s="350" t="s">
        <v>6213</v>
      </c>
      <c r="EU433" s="350" t="str">
        <f t="shared" si="56"/>
        <v>Cesar_Agustin Codazzi</v>
      </c>
    </row>
    <row r="434" spans="1:151" ht="38.25" x14ac:dyDescent="0.2">
      <c r="A434" s="242">
        <v>40287</v>
      </c>
      <c r="B434" s="107" t="s">
        <v>828</v>
      </c>
      <c r="C434" s="107" t="s">
        <v>2364</v>
      </c>
      <c r="D434" s="427" t="s">
        <v>837</v>
      </c>
      <c r="E434" s="107" t="str">
        <f>VLOOKUP(B434&amp;C434,Divipola!$C$2:$F$1138,4,FALSE)</f>
        <v>15572</v>
      </c>
      <c r="F434" s="330"/>
      <c r="G434" s="224"/>
      <c r="H434" s="75"/>
      <c r="I434" s="75"/>
      <c r="J434" s="75">
        <v>75</v>
      </c>
      <c r="K434" s="75">
        <v>15</v>
      </c>
      <c r="L434" s="75"/>
      <c r="M434" s="75"/>
      <c r="N434" s="75"/>
      <c r="O434" s="75"/>
      <c r="P434" s="75"/>
      <c r="Q434" s="75"/>
      <c r="R434" s="75"/>
      <c r="S434" s="75"/>
      <c r="T434" s="75"/>
      <c r="U434" s="75"/>
      <c r="V434" s="76"/>
      <c r="W434" s="205"/>
      <c r="X434" s="1"/>
      <c r="Y434" s="78">
        <f t="shared" si="50"/>
        <v>0</v>
      </c>
      <c r="Z434" s="78">
        <f t="shared" si="51"/>
        <v>0</v>
      </c>
      <c r="AA434" s="78">
        <f t="shared" si="52"/>
        <v>0</v>
      </c>
      <c r="AB434" s="78">
        <f t="shared" si="53"/>
        <v>0</v>
      </c>
      <c r="AC434" s="78"/>
      <c r="AD434" s="78">
        <v>0</v>
      </c>
      <c r="AE434" s="80">
        <f t="shared" si="55"/>
        <v>0</v>
      </c>
      <c r="AF434" s="82">
        <v>0</v>
      </c>
      <c r="AG434" s="69">
        <v>40290</v>
      </c>
      <c r="AH434" s="84"/>
      <c r="AI434" s="69" t="s">
        <v>1984</v>
      </c>
      <c r="AJ434" s="25" t="s">
        <v>1985</v>
      </c>
      <c r="AK434" s="65"/>
      <c r="AL434" s="185" t="s">
        <v>1257</v>
      </c>
      <c r="AM434" s="85" t="s">
        <v>1108</v>
      </c>
      <c r="AN434" s="3"/>
      <c r="AO434" s="4"/>
      <c r="AP434" s="5"/>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6"/>
      <c r="CQ434" s="7"/>
      <c r="CR434" s="6"/>
      <c r="CS434" s="7"/>
      <c r="CT434" s="6"/>
      <c r="CU434" s="7"/>
      <c r="CV434" s="8">
        <f t="shared" si="54"/>
        <v>0</v>
      </c>
      <c r="CW434" s="9"/>
      <c r="CX434" s="10"/>
      <c r="CY434" s="11"/>
      <c r="CZ434" s="12"/>
      <c r="DA434" s="29"/>
      <c r="DB434" s="12"/>
      <c r="DC434" s="9"/>
      <c r="DD434" s="10"/>
      <c r="DE434" s="71"/>
      <c r="EO434" s="353" t="str">
        <f t="shared" si="49"/>
        <v>BOYACA_PUERTO BOYACA</v>
      </c>
      <c r="EP434" s="350"/>
      <c r="EQ434" s="350" t="s">
        <v>4280</v>
      </c>
      <c r="ER434" s="358" t="s">
        <v>4281</v>
      </c>
      <c r="ES434" s="350" t="s">
        <v>5083</v>
      </c>
      <c r="ET434" s="350" t="s">
        <v>6214</v>
      </c>
      <c r="EU434" s="350" t="str">
        <f t="shared" si="56"/>
        <v>Cesar_Astrea</v>
      </c>
    </row>
    <row r="435" spans="1:151" ht="25.5" x14ac:dyDescent="0.2">
      <c r="A435" s="242">
        <v>40287</v>
      </c>
      <c r="B435" s="107" t="s">
        <v>2791</v>
      </c>
      <c r="C435" s="107" t="s">
        <v>2390</v>
      </c>
      <c r="D435" s="427" t="s">
        <v>837</v>
      </c>
      <c r="E435" s="107" t="str">
        <f>VLOOKUP(B435&amp;C435,Divipola!$C$2:$F$1138,4,FALSE)</f>
        <v>73504</v>
      </c>
      <c r="F435" s="330"/>
      <c r="G435" s="224"/>
      <c r="H435" s="75"/>
      <c r="I435" s="75"/>
      <c r="J435" s="75"/>
      <c r="K435" s="75"/>
      <c r="L435" s="75"/>
      <c r="M435" s="75"/>
      <c r="N435" s="75"/>
      <c r="O435" s="75"/>
      <c r="P435" s="75"/>
      <c r="Q435" s="75"/>
      <c r="R435" s="75"/>
      <c r="S435" s="75"/>
      <c r="T435" s="75"/>
      <c r="U435" s="75"/>
      <c r="V435" s="76"/>
      <c r="W435" s="205"/>
      <c r="X435" s="1"/>
      <c r="Y435" s="78">
        <f t="shared" si="50"/>
        <v>0</v>
      </c>
      <c r="Z435" s="78">
        <f t="shared" si="51"/>
        <v>0</v>
      </c>
      <c r="AA435" s="78">
        <f t="shared" si="52"/>
        <v>0</v>
      </c>
      <c r="AB435" s="78">
        <f t="shared" si="53"/>
        <v>0</v>
      </c>
      <c r="AC435" s="78"/>
      <c r="AD435" s="78">
        <v>0</v>
      </c>
      <c r="AE435" s="80">
        <f t="shared" si="55"/>
        <v>0</v>
      </c>
      <c r="AF435" s="82">
        <v>0</v>
      </c>
      <c r="AG435" s="69">
        <v>40290</v>
      </c>
      <c r="AH435" s="84"/>
      <c r="AI435" s="69" t="s">
        <v>1984</v>
      </c>
      <c r="AJ435" s="25" t="s">
        <v>1985</v>
      </c>
      <c r="AK435" s="65"/>
      <c r="AL435" s="185" t="s">
        <v>1257</v>
      </c>
      <c r="AM435" s="85" t="s">
        <v>2391</v>
      </c>
      <c r="AN435" s="3"/>
      <c r="AO435" s="4"/>
      <c r="AP435" s="5"/>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6"/>
      <c r="CQ435" s="7"/>
      <c r="CR435" s="6"/>
      <c r="CS435" s="7"/>
      <c r="CT435" s="6"/>
      <c r="CU435" s="7"/>
      <c r="CV435" s="8">
        <f t="shared" si="54"/>
        <v>0</v>
      </c>
      <c r="CW435" s="9"/>
      <c r="CX435" s="10"/>
      <c r="CY435" s="11"/>
      <c r="CZ435" s="12"/>
      <c r="DA435" s="29"/>
      <c r="DB435" s="12"/>
      <c r="DC435" s="9"/>
      <c r="DD435" s="10"/>
      <c r="DE435" s="71"/>
      <c r="EO435" s="353" t="str">
        <f t="shared" si="49"/>
        <v>TOLIMA_ORTEGA</v>
      </c>
      <c r="EP435" s="350"/>
      <c r="EQ435" s="350" t="s">
        <v>4280</v>
      </c>
      <c r="ER435" s="358" t="s">
        <v>4281</v>
      </c>
      <c r="ES435" s="350" t="s">
        <v>5084</v>
      </c>
      <c r="ET435" s="350" t="s">
        <v>6215</v>
      </c>
      <c r="EU435" s="350" t="str">
        <f t="shared" si="56"/>
        <v>Cesar_Becerril</v>
      </c>
    </row>
    <row r="436" spans="1:151" ht="25.5" x14ac:dyDescent="0.2">
      <c r="A436" s="242">
        <v>40287</v>
      </c>
      <c r="B436" s="107" t="s">
        <v>2791</v>
      </c>
      <c r="C436" s="107" t="s">
        <v>1997</v>
      </c>
      <c r="D436" s="427" t="s">
        <v>837</v>
      </c>
      <c r="E436" s="107" t="str">
        <f>VLOOKUP(B436&amp;C436,Divipola!$C$2:$F$1138,4,FALSE)</f>
        <v>73616</v>
      </c>
      <c r="F436" s="330"/>
      <c r="G436" s="224"/>
      <c r="H436" s="75"/>
      <c r="I436" s="75"/>
      <c r="J436" s="75">
        <v>167</v>
      </c>
      <c r="K436" s="75">
        <v>33</v>
      </c>
      <c r="L436" s="75"/>
      <c r="M436" s="75">
        <v>33</v>
      </c>
      <c r="N436" s="75"/>
      <c r="O436" s="75"/>
      <c r="P436" s="75"/>
      <c r="Q436" s="75"/>
      <c r="R436" s="75"/>
      <c r="S436" s="75"/>
      <c r="T436" s="75"/>
      <c r="U436" s="75"/>
      <c r="V436" s="76"/>
      <c r="W436" s="205"/>
      <c r="X436" s="1"/>
      <c r="Y436" s="78">
        <f t="shared" si="50"/>
        <v>0</v>
      </c>
      <c r="Z436" s="78">
        <f t="shared" si="51"/>
        <v>0</v>
      </c>
      <c r="AA436" s="78">
        <f t="shared" si="52"/>
        <v>0</v>
      </c>
      <c r="AB436" s="78">
        <f t="shared" si="53"/>
        <v>0</v>
      </c>
      <c r="AC436" s="78"/>
      <c r="AD436" s="78">
        <v>0</v>
      </c>
      <c r="AE436" s="80">
        <f t="shared" si="55"/>
        <v>0</v>
      </c>
      <c r="AF436" s="82">
        <v>0</v>
      </c>
      <c r="AG436" s="69">
        <v>40291</v>
      </c>
      <c r="AH436" s="84"/>
      <c r="AI436" s="69" t="s">
        <v>1984</v>
      </c>
      <c r="AJ436" s="25" t="s">
        <v>1985</v>
      </c>
      <c r="AK436" s="65"/>
      <c r="AL436" s="185" t="s">
        <v>1257</v>
      </c>
      <c r="AM436" s="85" t="s">
        <v>1306</v>
      </c>
      <c r="AN436" s="3"/>
      <c r="AO436" s="4"/>
      <c r="AP436" s="5"/>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6"/>
      <c r="CQ436" s="7"/>
      <c r="CR436" s="6"/>
      <c r="CS436" s="7"/>
      <c r="CT436" s="6"/>
      <c r="CU436" s="7"/>
      <c r="CV436" s="8">
        <f t="shared" si="54"/>
        <v>0</v>
      </c>
      <c r="CW436" s="9"/>
      <c r="CX436" s="10"/>
      <c r="CY436" s="11"/>
      <c r="CZ436" s="12"/>
      <c r="DA436" s="29"/>
      <c r="DB436" s="12"/>
      <c r="DC436" s="9"/>
      <c r="DD436" s="10"/>
      <c r="DE436" s="71"/>
      <c r="EO436" s="353" t="str">
        <f t="shared" si="49"/>
        <v>TOLIMA_RIOBLANCO</v>
      </c>
      <c r="EP436" s="350"/>
      <c r="EQ436" s="350" t="s">
        <v>4280</v>
      </c>
      <c r="ER436" s="358" t="s">
        <v>4281</v>
      </c>
      <c r="ES436" s="350" t="s">
        <v>5085</v>
      </c>
      <c r="ET436" s="350" t="s">
        <v>6216</v>
      </c>
      <c r="EU436" s="350" t="str">
        <f t="shared" si="56"/>
        <v>Cesar_Bosconia</v>
      </c>
    </row>
    <row r="437" spans="1:151" ht="45" x14ac:dyDescent="0.2">
      <c r="A437" s="242">
        <v>40288</v>
      </c>
      <c r="B437" s="107" t="s">
        <v>2425</v>
      </c>
      <c r="C437" s="107" t="s">
        <v>1312</v>
      </c>
      <c r="D437" s="427" t="s">
        <v>837</v>
      </c>
      <c r="E437" s="107" t="str">
        <f>VLOOKUP(B437&amp;C437,Divipola!$C$2:$F$1138,4,FALSE)</f>
        <v>27580</v>
      </c>
      <c r="F437" s="330"/>
      <c r="G437" s="224"/>
      <c r="H437" s="75"/>
      <c r="I437" s="75"/>
      <c r="J437" s="75">
        <f>95*5</f>
        <v>475</v>
      </c>
      <c r="K437" s="75">
        <v>95</v>
      </c>
      <c r="L437" s="75"/>
      <c r="M437" s="75"/>
      <c r="N437" s="75"/>
      <c r="O437" s="75"/>
      <c r="P437" s="75"/>
      <c r="Q437" s="75"/>
      <c r="R437" s="75"/>
      <c r="S437" s="75"/>
      <c r="T437" s="75"/>
      <c r="U437" s="75"/>
      <c r="V437" s="76"/>
      <c r="W437" s="205"/>
      <c r="X437" s="1">
        <v>40374</v>
      </c>
      <c r="Y437" s="78">
        <f t="shared" si="50"/>
        <v>16461030</v>
      </c>
      <c r="Z437" s="78">
        <f t="shared" si="51"/>
        <v>16530000</v>
      </c>
      <c r="AA437" s="78">
        <f t="shared" si="52"/>
        <v>22800000</v>
      </c>
      <c r="AB437" s="78">
        <f t="shared" si="53"/>
        <v>0</v>
      </c>
      <c r="AC437" s="78">
        <v>69908800</v>
      </c>
      <c r="AD437" s="78">
        <v>0</v>
      </c>
      <c r="AE437" s="80">
        <f t="shared" si="55"/>
        <v>125699830</v>
      </c>
      <c r="AF437" s="82">
        <v>0</v>
      </c>
      <c r="AG437" s="69">
        <v>40340</v>
      </c>
      <c r="AH437" s="84">
        <v>98202</v>
      </c>
      <c r="AI437" s="69" t="s">
        <v>2009</v>
      </c>
      <c r="AJ437" s="25" t="s">
        <v>2010</v>
      </c>
      <c r="AK437" s="65">
        <v>204</v>
      </c>
      <c r="AL437" s="185" t="s">
        <v>2182</v>
      </c>
      <c r="AM437" s="97" t="s">
        <v>186</v>
      </c>
      <c r="AN437" s="3"/>
      <c r="AO437" s="4"/>
      <c r="AP437" s="5"/>
      <c r="AQ437" s="4"/>
      <c r="AR437" s="4"/>
      <c r="AS437" s="4"/>
      <c r="AT437" s="4"/>
      <c r="AU437" s="4"/>
      <c r="AV437" s="4"/>
      <c r="AW437" s="4"/>
      <c r="AX437" s="4"/>
      <c r="AY437" s="4"/>
      <c r="AZ437" s="4">
        <v>285</v>
      </c>
      <c r="BA437" s="4">
        <f>285*57758</f>
        <v>16461030</v>
      </c>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6"/>
      <c r="CQ437" s="7"/>
      <c r="CR437" s="6"/>
      <c r="CS437" s="7"/>
      <c r="CT437" s="6"/>
      <c r="CU437" s="7"/>
      <c r="CV437" s="8">
        <f t="shared" si="54"/>
        <v>16461030</v>
      </c>
      <c r="CW437" s="9"/>
      <c r="CX437" s="10"/>
      <c r="CY437" s="11">
        <v>190</v>
      </c>
      <c r="CZ437" s="12">
        <f>190*87000</f>
        <v>16530000</v>
      </c>
      <c r="DA437" s="29"/>
      <c r="DB437" s="12"/>
      <c r="DC437" s="9">
        <v>1000</v>
      </c>
      <c r="DD437" s="10">
        <f>1000*22800</f>
        <v>22800000</v>
      </c>
      <c r="DE437" s="71"/>
      <c r="EO437" s="353" t="str">
        <f t="shared" si="49"/>
        <v>CHOCO_RIO IRO</v>
      </c>
      <c r="EP437" s="350"/>
      <c r="EQ437" s="350" t="s">
        <v>4280</v>
      </c>
      <c r="ER437" s="358" t="s">
        <v>4281</v>
      </c>
      <c r="ES437" s="350" t="s">
        <v>5086</v>
      </c>
      <c r="ET437" s="350" t="s">
        <v>6217</v>
      </c>
      <c r="EU437" s="350" t="str">
        <f t="shared" si="56"/>
        <v>Cesar_Chimichagua</v>
      </c>
    </row>
    <row r="438" spans="1:151" ht="48" x14ac:dyDescent="0.2">
      <c r="A438" s="242">
        <v>40288</v>
      </c>
      <c r="B438" s="107" t="s">
        <v>2427</v>
      </c>
      <c r="C438" s="107" t="s">
        <v>1303</v>
      </c>
      <c r="D438" s="427" t="s">
        <v>837</v>
      </c>
      <c r="E438" s="107" t="str">
        <f>VLOOKUP(B438&amp;C438,Divipola!$C$2:$F$1138,4,FALSE)</f>
        <v>68298</v>
      </c>
      <c r="F438" s="330"/>
      <c r="G438" s="277"/>
      <c r="H438" s="75"/>
      <c r="I438" s="75"/>
      <c r="J438" s="75">
        <v>300</v>
      </c>
      <c r="K438" s="75">
        <v>60</v>
      </c>
      <c r="L438" s="75"/>
      <c r="M438" s="75">
        <v>10</v>
      </c>
      <c r="N438" s="75"/>
      <c r="O438" s="75"/>
      <c r="P438" s="75"/>
      <c r="Q438" s="75"/>
      <c r="R438" s="75"/>
      <c r="S438" s="75"/>
      <c r="T438" s="75">
        <v>1</v>
      </c>
      <c r="U438" s="75"/>
      <c r="V438" s="76">
        <v>130</v>
      </c>
      <c r="W438" s="205"/>
      <c r="X438" s="1"/>
      <c r="Y438" s="78">
        <f t="shared" si="50"/>
        <v>0</v>
      </c>
      <c r="Z438" s="78">
        <f t="shared" si="51"/>
        <v>0</v>
      </c>
      <c r="AA438" s="78">
        <f t="shared" si="52"/>
        <v>0</v>
      </c>
      <c r="AB438" s="78">
        <f t="shared" si="53"/>
        <v>0</v>
      </c>
      <c r="AC438" s="78"/>
      <c r="AD438" s="78">
        <v>0</v>
      </c>
      <c r="AE438" s="80">
        <f t="shared" si="55"/>
        <v>0</v>
      </c>
      <c r="AF438" s="82">
        <v>0</v>
      </c>
      <c r="AG438" s="69">
        <v>40292</v>
      </c>
      <c r="AH438" s="84"/>
      <c r="AI438" s="69" t="s">
        <v>1984</v>
      </c>
      <c r="AJ438" s="25" t="s">
        <v>1985</v>
      </c>
      <c r="AK438" s="65"/>
      <c r="AL438" s="185" t="s">
        <v>1257</v>
      </c>
      <c r="AM438" s="85" t="s">
        <v>2754</v>
      </c>
      <c r="AN438" s="3"/>
      <c r="AO438" s="4"/>
      <c r="AP438" s="5"/>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6"/>
      <c r="CQ438" s="7"/>
      <c r="CR438" s="6"/>
      <c r="CS438" s="7"/>
      <c r="CT438" s="6"/>
      <c r="CU438" s="7"/>
      <c r="CV438" s="8">
        <f t="shared" si="54"/>
        <v>0</v>
      </c>
      <c r="CW438" s="9"/>
      <c r="CX438" s="10"/>
      <c r="CY438" s="11"/>
      <c r="CZ438" s="12"/>
      <c r="DA438" s="29"/>
      <c r="DB438" s="12"/>
      <c r="DC438" s="9"/>
      <c r="DD438" s="10"/>
      <c r="DE438" s="71"/>
      <c r="EO438" s="353" t="str">
        <f t="shared" si="49"/>
        <v>SANTANDER_GAMBITA</v>
      </c>
      <c r="EP438" s="350"/>
      <c r="EQ438" s="350" t="s">
        <v>4280</v>
      </c>
      <c r="ER438" s="358" t="s">
        <v>4281</v>
      </c>
      <c r="ES438" s="350" t="s">
        <v>5087</v>
      </c>
      <c r="ET438" s="350" t="s">
        <v>6218</v>
      </c>
      <c r="EU438" s="350" t="str">
        <f t="shared" si="56"/>
        <v>Cesar_Chiriguana</v>
      </c>
    </row>
    <row r="439" spans="1:151" ht="25.5" x14ac:dyDescent="0.2">
      <c r="A439" s="242">
        <v>40289</v>
      </c>
      <c r="B439" s="107" t="s">
        <v>2756</v>
      </c>
      <c r="C439" s="107" t="s">
        <v>2756</v>
      </c>
      <c r="D439" s="427" t="s">
        <v>2209</v>
      </c>
      <c r="E439" s="107" t="str">
        <f>VLOOKUP(B439&amp;C439,Divipola!$C$2:$F$1138,4,FALSE)</f>
        <v>81001</v>
      </c>
      <c r="F439" s="330"/>
      <c r="G439" s="224"/>
      <c r="H439" s="75">
        <v>1</v>
      </c>
      <c r="I439" s="75"/>
      <c r="J439" s="75">
        <v>165</v>
      </c>
      <c r="K439" s="75">
        <v>33</v>
      </c>
      <c r="L439" s="75"/>
      <c r="M439" s="75"/>
      <c r="N439" s="75"/>
      <c r="O439" s="75"/>
      <c r="P439" s="75"/>
      <c r="Q439" s="75"/>
      <c r="R439" s="75"/>
      <c r="S439" s="75"/>
      <c r="T439" s="75"/>
      <c r="U439" s="75"/>
      <c r="V439" s="76"/>
      <c r="W439" s="205"/>
      <c r="X439" s="1"/>
      <c r="Y439" s="78">
        <f t="shared" si="50"/>
        <v>0</v>
      </c>
      <c r="Z439" s="78">
        <f t="shared" si="51"/>
        <v>0</v>
      </c>
      <c r="AA439" s="78">
        <f t="shared" si="52"/>
        <v>0</v>
      </c>
      <c r="AB439" s="78">
        <f t="shared" si="53"/>
        <v>0</v>
      </c>
      <c r="AC439" s="78"/>
      <c r="AD439" s="78">
        <v>0</v>
      </c>
      <c r="AE439" s="80">
        <f t="shared" si="55"/>
        <v>0</v>
      </c>
      <c r="AF439" s="82">
        <v>0</v>
      </c>
      <c r="AG439" s="69">
        <v>40290</v>
      </c>
      <c r="AH439" s="84"/>
      <c r="AI439" s="69" t="s">
        <v>1984</v>
      </c>
      <c r="AJ439" s="25" t="s">
        <v>1985</v>
      </c>
      <c r="AK439" s="65"/>
      <c r="AL439" s="185" t="s">
        <v>1257</v>
      </c>
      <c r="AM439" s="85" t="s">
        <v>1358</v>
      </c>
      <c r="AN439" s="3"/>
      <c r="AO439" s="4"/>
      <c r="AP439" s="5"/>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6"/>
      <c r="CQ439" s="7"/>
      <c r="CR439" s="6"/>
      <c r="CS439" s="7"/>
      <c r="CT439" s="6"/>
      <c r="CU439" s="7"/>
      <c r="CV439" s="8">
        <f t="shared" si="54"/>
        <v>0</v>
      </c>
      <c r="CW439" s="9"/>
      <c r="CX439" s="10"/>
      <c r="CY439" s="11"/>
      <c r="CZ439" s="12"/>
      <c r="DA439" s="29"/>
      <c r="DB439" s="12"/>
      <c r="DC439" s="9"/>
      <c r="DD439" s="10"/>
      <c r="DE439" s="71"/>
      <c r="EO439" s="353" t="str">
        <f t="shared" si="49"/>
        <v>ARAUCA_ARAUCA</v>
      </c>
      <c r="EP439" s="350"/>
      <c r="EQ439" s="350" t="s">
        <v>4280</v>
      </c>
      <c r="ER439" s="358" t="s">
        <v>4281</v>
      </c>
      <c r="ES439" s="350" t="s">
        <v>5088</v>
      </c>
      <c r="ET439" s="350" t="s">
        <v>6219</v>
      </c>
      <c r="EU439" s="350" t="str">
        <f t="shared" si="56"/>
        <v>Cesar_Curumani</v>
      </c>
    </row>
    <row r="440" spans="1:151" ht="38.25" x14ac:dyDescent="0.2">
      <c r="A440" s="242">
        <v>40289</v>
      </c>
      <c r="B440" s="107" t="s">
        <v>1951</v>
      </c>
      <c r="C440" s="107" t="s">
        <v>1989</v>
      </c>
      <c r="D440" s="427" t="s">
        <v>2307</v>
      </c>
      <c r="E440" s="107" t="str">
        <f>VLOOKUP(B440&amp;C440,Divipola!$C$2:$F$1138,4,FALSE)</f>
        <v>08001</v>
      </c>
      <c r="F440" s="330"/>
      <c r="G440" s="224"/>
      <c r="H440" s="75"/>
      <c r="I440" s="75"/>
      <c r="J440" s="75">
        <v>16</v>
      </c>
      <c r="K440" s="75">
        <v>3</v>
      </c>
      <c r="L440" s="75"/>
      <c r="M440" s="75">
        <v>3</v>
      </c>
      <c r="N440" s="75"/>
      <c r="O440" s="75"/>
      <c r="P440" s="75"/>
      <c r="Q440" s="75"/>
      <c r="R440" s="75"/>
      <c r="S440" s="75"/>
      <c r="T440" s="75"/>
      <c r="U440" s="75"/>
      <c r="V440" s="76"/>
      <c r="W440" s="205"/>
      <c r="X440" s="1"/>
      <c r="Y440" s="78">
        <f t="shared" si="50"/>
        <v>0</v>
      </c>
      <c r="Z440" s="78">
        <f t="shared" si="51"/>
        <v>0</v>
      </c>
      <c r="AA440" s="78">
        <f t="shared" si="52"/>
        <v>0</v>
      </c>
      <c r="AB440" s="78">
        <f t="shared" si="53"/>
        <v>0</v>
      </c>
      <c r="AC440" s="78"/>
      <c r="AD440" s="78">
        <v>0</v>
      </c>
      <c r="AE440" s="80">
        <f t="shared" si="55"/>
        <v>0</v>
      </c>
      <c r="AF440" s="82">
        <v>0</v>
      </c>
      <c r="AG440" s="69">
        <v>40290</v>
      </c>
      <c r="AH440" s="84"/>
      <c r="AI440" s="69" t="s">
        <v>1984</v>
      </c>
      <c r="AJ440" s="25" t="s">
        <v>1985</v>
      </c>
      <c r="AK440" s="65"/>
      <c r="AL440" s="185" t="s">
        <v>1257</v>
      </c>
      <c r="AM440" s="85" t="s">
        <v>1359</v>
      </c>
      <c r="AN440" s="3"/>
      <c r="AO440" s="4"/>
      <c r="AP440" s="5"/>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6"/>
      <c r="CQ440" s="7"/>
      <c r="CR440" s="6"/>
      <c r="CS440" s="7"/>
      <c r="CT440" s="6"/>
      <c r="CU440" s="7"/>
      <c r="CV440" s="8">
        <f t="shared" si="54"/>
        <v>0</v>
      </c>
      <c r="CW440" s="9"/>
      <c r="CX440" s="10"/>
      <c r="CY440" s="11"/>
      <c r="CZ440" s="12"/>
      <c r="DA440" s="29"/>
      <c r="DB440" s="12"/>
      <c r="DC440" s="9"/>
      <c r="DD440" s="10"/>
      <c r="DE440" s="71"/>
      <c r="EO440" s="353" t="str">
        <f t="shared" si="49"/>
        <v>ATLANTICO_BARRANQUILLA</v>
      </c>
      <c r="EP440" s="350"/>
      <c r="EQ440" s="350" t="s">
        <v>4280</v>
      </c>
      <c r="ER440" s="358" t="s">
        <v>4281</v>
      </c>
      <c r="ES440" s="350" t="s">
        <v>5089</v>
      </c>
      <c r="ET440" s="350" t="s">
        <v>6220</v>
      </c>
      <c r="EU440" s="350" t="str">
        <f t="shared" si="56"/>
        <v>Cesar_El Copey</v>
      </c>
    </row>
    <row r="441" spans="1:151" ht="25.5" x14ac:dyDescent="0.2">
      <c r="A441" s="242">
        <v>40289</v>
      </c>
      <c r="B441" s="107" t="s">
        <v>828</v>
      </c>
      <c r="C441" s="107" t="s">
        <v>2365</v>
      </c>
      <c r="D441" s="427" t="s">
        <v>2209</v>
      </c>
      <c r="E441" s="107" t="str">
        <f>VLOOKUP(B441&amp;C441,Divipola!$C$2:$F$1138,4,FALSE)</f>
        <v>15580</v>
      </c>
      <c r="F441" s="330"/>
      <c r="G441" s="224"/>
      <c r="H441" s="75"/>
      <c r="I441" s="75"/>
      <c r="J441" s="75">
        <v>125</v>
      </c>
      <c r="K441" s="75">
        <v>25</v>
      </c>
      <c r="L441" s="75"/>
      <c r="M441" s="75">
        <v>25</v>
      </c>
      <c r="N441" s="75"/>
      <c r="O441" s="75"/>
      <c r="P441" s="75"/>
      <c r="Q441" s="75"/>
      <c r="R441" s="75"/>
      <c r="S441" s="75"/>
      <c r="T441" s="75"/>
      <c r="U441" s="75"/>
      <c r="V441" s="76"/>
      <c r="W441" s="205"/>
      <c r="X441" s="1"/>
      <c r="Y441" s="78">
        <f t="shared" si="50"/>
        <v>0</v>
      </c>
      <c r="Z441" s="78">
        <f t="shared" si="51"/>
        <v>0</v>
      </c>
      <c r="AA441" s="78">
        <f t="shared" si="52"/>
        <v>0</v>
      </c>
      <c r="AB441" s="78">
        <f t="shared" si="53"/>
        <v>0</v>
      </c>
      <c r="AC441" s="78"/>
      <c r="AD441" s="78">
        <v>0</v>
      </c>
      <c r="AE441" s="80">
        <f t="shared" si="55"/>
        <v>0</v>
      </c>
      <c r="AF441" s="82">
        <v>0</v>
      </c>
      <c r="AG441" s="69">
        <v>40292</v>
      </c>
      <c r="AH441" s="84"/>
      <c r="AI441" s="69" t="s">
        <v>1984</v>
      </c>
      <c r="AJ441" s="25" t="s">
        <v>1985</v>
      </c>
      <c r="AK441" s="65"/>
      <c r="AL441" s="185" t="s">
        <v>1257</v>
      </c>
      <c r="AM441" s="85" t="s">
        <v>1300</v>
      </c>
      <c r="AN441" s="3"/>
      <c r="AO441" s="4"/>
      <c r="AP441" s="5"/>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6"/>
      <c r="CQ441" s="7"/>
      <c r="CR441" s="6"/>
      <c r="CS441" s="7"/>
      <c r="CT441" s="6"/>
      <c r="CU441" s="7"/>
      <c r="CV441" s="8">
        <f t="shared" si="54"/>
        <v>0</v>
      </c>
      <c r="CW441" s="9"/>
      <c r="CX441" s="10"/>
      <c r="CY441" s="11"/>
      <c r="CZ441" s="12"/>
      <c r="DA441" s="29"/>
      <c r="DB441" s="12"/>
      <c r="DC441" s="9"/>
      <c r="DD441" s="10"/>
      <c r="DE441" s="71"/>
      <c r="EO441" s="353" t="str">
        <f t="shared" si="49"/>
        <v>BOYACA_QUIPAMA</v>
      </c>
      <c r="EP441" s="350"/>
      <c r="EQ441" s="350" t="s">
        <v>4280</v>
      </c>
      <c r="ER441" s="358" t="s">
        <v>4281</v>
      </c>
      <c r="ES441" s="350" t="s">
        <v>5090</v>
      </c>
      <c r="ET441" s="350" t="s">
        <v>6221</v>
      </c>
      <c r="EU441" s="350" t="str">
        <f t="shared" si="56"/>
        <v>Cesar_El Paso</v>
      </c>
    </row>
    <row r="442" spans="1:151" ht="63.75" x14ac:dyDescent="0.2">
      <c r="A442" s="242">
        <v>40289</v>
      </c>
      <c r="B442" s="107" t="s">
        <v>2245</v>
      </c>
      <c r="C442" s="107" t="s">
        <v>4514</v>
      </c>
      <c r="D442" s="427" t="s">
        <v>2209</v>
      </c>
      <c r="E442" s="107" t="str">
        <f>VLOOKUP(B442&amp;C442,Divipola!$C$2:$F$1138,4,FALSE)</f>
        <v>52835</v>
      </c>
      <c r="F442" s="330"/>
      <c r="G442" s="224"/>
      <c r="H442" s="75"/>
      <c r="I442" s="75"/>
      <c r="J442" s="75">
        <f>40*5</f>
        <v>200</v>
      </c>
      <c r="K442" s="75">
        <v>40</v>
      </c>
      <c r="L442" s="75"/>
      <c r="M442" s="75">
        <v>40</v>
      </c>
      <c r="N442" s="75"/>
      <c r="O442" s="75"/>
      <c r="P442" s="75"/>
      <c r="Q442" s="75"/>
      <c r="R442" s="75"/>
      <c r="S442" s="75"/>
      <c r="T442" s="75"/>
      <c r="U442" s="75"/>
      <c r="V442" s="76"/>
      <c r="W442" s="205"/>
      <c r="X442" s="1">
        <v>40333</v>
      </c>
      <c r="Y442" s="78">
        <f t="shared" si="50"/>
        <v>1540000</v>
      </c>
      <c r="Z442" s="78">
        <f t="shared" si="51"/>
        <v>3400000</v>
      </c>
      <c r="AA442" s="78">
        <f t="shared" si="52"/>
        <v>12337500</v>
      </c>
      <c r="AB442" s="78">
        <f t="shared" si="53"/>
        <v>0</v>
      </c>
      <c r="AC442" s="78"/>
      <c r="AD442" s="78">
        <v>0</v>
      </c>
      <c r="AE442" s="80">
        <f t="shared" si="55"/>
        <v>17277500</v>
      </c>
      <c r="AF442" s="82">
        <v>0</v>
      </c>
      <c r="AG442" s="69">
        <v>40311</v>
      </c>
      <c r="AH442" s="84">
        <v>97492</v>
      </c>
      <c r="AI442" s="69" t="s">
        <v>2009</v>
      </c>
      <c r="AJ442" s="25" t="s">
        <v>2010</v>
      </c>
      <c r="AK442" s="65">
        <v>149</v>
      </c>
      <c r="AL442" s="185" t="s">
        <v>2182</v>
      </c>
      <c r="AM442" s="85" t="s">
        <v>1104</v>
      </c>
      <c r="AN442" s="3"/>
      <c r="AO442" s="4"/>
      <c r="AP442" s="5"/>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6">
        <v>40</v>
      </c>
      <c r="CQ442" s="7">
        <f>40*38500</f>
        <v>1540000</v>
      </c>
      <c r="CR442" s="6"/>
      <c r="CS442" s="7"/>
      <c r="CT442" s="6"/>
      <c r="CU442" s="7"/>
      <c r="CV442" s="8">
        <f t="shared" si="54"/>
        <v>1540000</v>
      </c>
      <c r="CW442" s="9"/>
      <c r="CX442" s="10"/>
      <c r="CY442" s="11">
        <v>40</v>
      </c>
      <c r="CZ442" s="12">
        <f>40*85000</f>
        <v>3400000</v>
      </c>
      <c r="DA442" s="29"/>
      <c r="DB442" s="12"/>
      <c r="DC442" s="9">
        <f>250+150+75</f>
        <v>475</v>
      </c>
      <c r="DD442" s="10">
        <f>250*22000+150*30000+75*28500+1000*200</f>
        <v>12337500</v>
      </c>
      <c r="DE442" s="71"/>
      <c r="DF442" s="23" t="s">
        <v>964</v>
      </c>
      <c r="EO442" s="353" t="str">
        <f t="shared" ref="EO442:EO499" si="57">B442&amp;"_"&amp;C442</f>
        <v>NARIÑO_SAN ANDRES DE TUMACO</v>
      </c>
      <c r="EP442" s="350"/>
      <c r="EQ442" s="350" t="s">
        <v>4280</v>
      </c>
      <c r="ER442" s="358" t="s">
        <v>4281</v>
      </c>
      <c r="ES442" s="350" t="s">
        <v>5091</v>
      </c>
      <c r="ET442" s="350" t="s">
        <v>6222</v>
      </c>
      <c r="EU442" s="350" t="str">
        <f t="shared" si="56"/>
        <v>Cesar_Gamarra</v>
      </c>
    </row>
    <row r="443" spans="1:151" ht="51" x14ac:dyDescent="0.2">
      <c r="A443" s="242">
        <v>40289</v>
      </c>
      <c r="B443" s="107" t="s">
        <v>1336</v>
      </c>
      <c r="C443" s="107" t="s">
        <v>1360</v>
      </c>
      <c r="D443" s="427" t="s">
        <v>2209</v>
      </c>
      <c r="E443" s="107" t="str">
        <f>VLOOKUP(B443&amp;C443,Divipola!$C$2:$F$1138,4,FALSE)</f>
        <v>54099</v>
      </c>
      <c r="F443" s="330"/>
      <c r="G443" s="224"/>
      <c r="H443" s="75"/>
      <c r="I443" s="75"/>
      <c r="J443" s="75">
        <v>5</v>
      </c>
      <c r="K443" s="75">
        <v>1</v>
      </c>
      <c r="L443" s="75"/>
      <c r="M443" s="75"/>
      <c r="N443" s="75"/>
      <c r="O443" s="75"/>
      <c r="P443" s="75"/>
      <c r="Q443" s="75"/>
      <c r="R443" s="75"/>
      <c r="S443" s="75"/>
      <c r="T443" s="75"/>
      <c r="U443" s="75"/>
      <c r="V443" s="76"/>
      <c r="W443" s="205" t="s">
        <v>1562</v>
      </c>
      <c r="X443" s="1"/>
      <c r="Y443" s="78">
        <f t="shared" si="50"/>
        <v>0</v>
      </c>
      <c r="Z443" s="78">
        <f t="shared" si="51"/>
        <v>0</v>
      </c>
      <c r="AA443" s="78">
        <f t="shared" si="52"/>
        <v>0</v>
      </c>
      <c r="AB443" s="78">
        <f t="shared" si="53"/>
        <v>0</v>
      </c>
      <c r="AC443" s="78"/>
      <c r="AD443" s="78">
        <v>0</v>
      </c>
      <c r="AE443" s="80">
        <f t="shared" si="55"/>
        <v>0</v>
      </c>
      <c r="AF443" s="82">
        <v>0</v>
      </c>
      <c r="AG443" s="69">
        <v>40290</v>
      </c>
      <c r="AH443" s="84"/>
      <c r="AI443" s="69" t="s">
        <v>1984</v>
      </c>
      <c r="AJ443" s="25" t="s">
        <v>1985</v>
      </c>
      <c r="AK443" s="65"/>
      <c r="AL443" s="185" t="s">
        <v>1257</v>
      </c>
      <c r="AM443" s="85" t="s">
        <v>1563</v>
      </c>
      <c r="AN443" s="3"/>
      <c r="AO443" s="4"/>
      <c r="AP443" s="5"/>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6"/>
      <c r="CQ443" s="7"/>
      <c r="CR443" s="6"/>
      <c r="CS443" s="7"/>
      <c r="CT443" s="6"/>
      <c r="CU443" s="7"/>
      <c r="CV443" s="8">
        <f t="shared" si="54"/>
        <v>0</v>
      </c>
      <c r="CW443" s="9"/>
      <c r="CX443" s="10"/>
      <c r="CY443" s="11"/>
      <c r="CZ443" s="12"/>
      <c r="DA443" s="29"/>
      <c r="DB443" s="12"/>
      <c r="DC443" s="9"/>
      <c r="DD443" s="10"/>
      <c r="DE443" s="71"/>
      <c r="EO443" s="353" t="str">
        <f t="shared" si="57"/>
        <v>NORTE DE SANTANDER_BOCHALEMA</v>
      </c>
      <c r="EP443" s="350"/>
      <c r="EQ443" s="350" t="s">
        <v>4280</v>
      </c>
      <c r="ER443" s="358" t="s">
        <v>4281</v>
      </c>
      <c r="ES443" s="350" t="s">
        <v>5092</v>
      </c>
      <c r="ET443" s="350" t="s">
        <v>6223</v>
      </c>
      <c r="EU443" s="350" t="str">
        <f t="shared" si="56"/>
        <v>Cesar_Gonzalez</v>
      </c>
    </row>
    <row r="444" spans="1:151" ht="38.25" x14ac:dyDescent="0.2">
      <c r="A444" s="242">
        <v>40289</v>
      </c>
      <c r="B444" s="107" t="s">
        <v>1336</v>
      </c>
      <c r="C444" s="107" t="s">
        <v>1732</v>
      </c>
      <c r="D444" s="427" t="s">
        <v>2209</v>
      </c>
      <c r="E444" s="107" t="str">
        <f>VLOOKUP(B444&amp;C444,Divipola!$C$2:$F$1138,4,FALSE)</f>
        <v>54001</v>
      </c>
      <c r="F444" s="330"/>
      <c r="G444" s="224"/>
      <c r="H444" s="75"/>
      <c r="I444" s="75"/>
      <c r="J444" s="75">
        <v>15</v>
      </c>
      <c r="K444" s="75">
        <v>3</v>
      </c>
      <c r="L444" s="75"/>
      <c r="M444" s="75">
        <v>3</v>
      </c>
      <c r="N444" s="75"/>
      <c r="O444" s="75"/>
      <c r="P444" s="75"/>
      <c r="Q444" s="75"/>
      <c r="R444" s="75"/>
      <c r="S444" s="75"/>
      <c r="T444" s="75"/>
      <c r="U444" s="75"/>
      <c r="V444" s="76"/>
      <c r="W444" s="205" t="s">
        <v>842</v>
      </c>
      <c r="X444" s="1"/>
      <c r="Y444" s="78">
        <f t="shared" si="50"/>
        <v>0</v>
      </c>
      <c r="Z444" s="78">
        <f t="shared" si="51"/>
        <v>0</v>
      </c>
      <c r="AA444" s="78">
        <f t="shared" si="52"/>
        <v>0</v>
      </c>
      <c r="AB444" s="78">
        <f t="shared" si="53"/>
        <v>0</v>
      </c>
      <c r="AC444" s="78"/>
      <c r="AD444" s="78">
        <v>0</v>
      </c>
      <c r="AE444" s="80">
        <f t="shared" si="55"/>
        <v>0</v>
      </c>
      <c r="AF444" s="82">
        <v>0</v>
      </c>
      <c r="AG444" s="69">
        <v>40291</v>
      </c>
      <c r="AH444" s="84"/>
      <c r="AI444" s="69" t="s">
        <v>1984</v>
      </c>
      <c r="AJ444" s="25" t="s">
        <v>1985</v>
      </c>
      <c r="AK444" s="65"/>
      <c r="AL444" s="185" t="s">
        <v>1257</v>
      </c>
      <c r="AM444" s="85" t="s">
        <v>841</v>
      </c>
      <c r="AN444" s="3"/>
      <c r="AO444" s="4"/>
      <c r="AP444" s="5"/>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6"/>
      <c r="CQ444" s="7"/>
      <c r="CR444" s="6"/>
      <c r="CS444" s="7"/>
      <c r="CT444" s="6"/>
      <c r="CU444" s="7"/>
      <c r="CV444" s="8">
        <f t="shared" si="54"/>
        <v>0</v>
      </c>
      <c r="CW444" s="9"/>
      <c r="CX444" s="10"/>
      <c r="CY444" s="11"/>
      <c r="CZ444" s="12"/>
      <c r="DA444" s="29"/>
      <c r="DB444" s="12"/>
      <c r="DC444" s="9"/>
      <c r="DD444" s="10"/>
      <c r="DE444" s="71"/>
      <c r="EO444" s="353" t="str">
        <f t="shared" si="57"/>
        <v>NORTE DE SANTANDER_CUCUTA</v>
      </c>
      <c r="EP444" s="350"/>
      <c r="EQ444" s="350" t="s">
        <v>4280</v>
      </c>
      <c r="ER444" s="358" t="s">
        <v>4281</v>
      </c>
      <c r="ES444" s="350" t="s">
        <v>5093</v>
      </c>
      <c r="ET444" s="350" t="s">
        <v>6224</v>
      </c>
      <c r="EU444" s="350" t="str">
        <f t="shared" si="56"/>
        <v>Cesar_La Gloria</v>
      </c>
    </row>
    <row r="445" spans="1:151" ht="45" x14ac:dyDescent="0.2">
      <c r="A445" s="242">
        <v>40289</v>
      </c>
      <c r="B445" s="107" t="s">
        <v>2427</v>
      </c>
      <c r="C445" s="107" t="s">
        <v>1969</v>
      </c>
      <c r="D445" s="427" t="s">
        <v>2209</v>
      </c>
      <c r="E445" s="107" t="str">
        <f>VLOOKUP(B445&amp;C445,Divipola!$C$2:$F$1138,4,FALSE)</f>
        <v>68147</v>
      </c>
      <c r="F445" s="330"/>
      <c r="G445" s="277"/>
      <c r="H445" s="75"/>
      <c r="I445" s="75"/>
      <c r="J445" s="75">
        <f>60*5</f>
        <v>300</v>
      </c>
      <c r="K445" s="75">
        <v>60</v>
      </c>
      <c r="L445" s="75"/>
      <c r="M445" s="75">
        <v>4</v>
      </c>
      <c r="N445" s="75"/>
      <c r="O445" s="75"/>
      <c r="P445" s="75"/>
      <c r="Q445" s="75"/>
      <c r="R445" s="75"/>
      <c r="S445" s="75"/>
      <c r="T445" s="75">
        <v>1</v>
      </c>
      <c r="U445" s="75"/>
      <c r="V445" s="76"/>
      <c r="W445" s="205"/>
      <c r="X445" s="1"/>
      <c r="Y445" s="78">
        <f t="shared" si="50"/>
        <v>0</v>
      </c>
      <c r="Z445" s="78">
        <f t="shared" si="51"/>
        <v>0</v>
      </c>
      <c r="AA445" s="78">
        <f t="shared" si="52"/>
        <v>0</v>
      </c>
      <c r="AB445" s="78">
        <f t="shared" si="53"/>
        <v>0</v>
      </c>
      <c r="AC445" s="78"/>
      <c r="AD445" s="78">
        <v>0</v>
      </c>
      <c r="AE445" s="80">
        <f t="shared" si="55"/>
        <v>0</v>
      </c>
      <c r="AF445" s="82">
        <v>0</v>
      </c>
      <c r="AG445" s="69">
        <v>40312</v>
      </c>
      <c r="AH445" s="84">
        <v>97529</v>
      </c>
      <c r="AI445" s="69" t="s">
        <v>2009</v>
      </c>
      <c r="AJ445" s="25" t="s">
        <v>2010</v>
      </c>
      <c r="AK445" s="65"/>
      <c r="AL445" s="185" t="s">
        <v>2182</v>
      </c>
      <c r="AM445" s="97" t="s">
        <v>1767</v>
      </c>
      <c r="AN445" s="3"/>
      <c r="AO445" s="4"/>
      <c r="AP445" s="5"/>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6"/>
      <c r="CQ445" s="7"/>
      <c r="CR445" s="6"/>
      <c r="CS445" s="7"/>
      <c r="CT445" s="6"/>
      <c r="CU445" s="7"/>
      <c r="CV445" s="8">
        <f t="shared" si="54"/>
        <v>0</v>
      </c>
      <c r="CW445" s="9"/>
      <c r="CX445" s="10"/>
      <c r="CY445" s="11"/>
      <c r="CZ445" s="12"/>
      <c r="DA445" s="29"/>
      <c r="DB445" s="12"/>
      <c r="DC445" s="9"/>
      <c r="DD445" s="10"/>
      <c r="DE445" s="71"/>
      <c r="EO445" s="353" t="str">
        <f t="shared" si="57"/>
        <v>SANTANDER_CAPITANEJO</v>
      </c>
      <c r="EP445" s="350"/>
      <c r="EQ445" s="350" t="s">
        <v>4280</v>
      </c>
      <c r="ER445" s="358" t="s">
        <v>4281</v>
      </c>
      <c r="ES445" s="350" t="s">
        <v>5094</v>
      </c>
      <c r="ET445" s="350" t="s">
        <v>6225</v>
      </c>
      <c r="EU445" s="350" t="str">
        <f t="shared" si="56"/>
        <v>Cesar_La Jagua de Ibirico</v>
      </c>
    </row>
    <row r="446" spans="1:151" ht="51" x14ac:dyDescent="0.2">
      <c r="A446" s="242">
        <v>40289</v>
      </c>
      <c r="B446" s="107" t="s">
        <v>2427</v>
      </c>
      <c r="C446" s="107" t="s">
        <v>4549</v>
      </c>
      <c r="D446" s="427" t="s">
        <v>2209</v>
      </c>
      <c r="E446" s="107" t="str">
        <f>VLOOKUP(B446&amp;C446,Divipola!$C$2:$F$1138,4,FALSE)</f>
        <v>68245</v>
      </c>
      <c r="F446" s="330"/>
      <c r="G446" s="277"/>
      <c r="H446" s="75"/>
      <c r="I446" s="75"/>
      <c r="J446" s="75">
        <v>50</v>
      </c>
      <c r="K446" s="75">
        <v>10</v>
      </c>
      <c r="L446" s="75">
        <v>10</v>
      </c>
      <c r="M446" s="75"/>
      <c r="N446" s="75"/>
      <c r="O446" s="75"/>
      <c r="P446" s="75">
        <v>2</v>
      </c>
      <c r="Q446" s="75">
        <v>3</v>
      </c>
      <c r="R446" s="75"/>
      <c r="S446" s="75"/>
      <c r="T446" s="75"/>
      <c r="U446" s="75"/>
      <c r="V446" s="76"/>
      <c r="W446" s="205"/>
      <c r="X446" s="1"/>
      <c r="Y446" s="78">
        <f t="shared" si="50"/>
        <v>0</v>
      </c>
      <c r="Z446" s="78">
        <f t="shared" si="51"/>
        <v>0</v>
      </c>
      <c r="AA446" s="78">
        <f t="shared" si="52"/>
        <v>0</v>
      </c>
      <c r="AB446" s="78">
        <f t="shared" si="53"/>
        <v>0</v>
      </c>
      <c r="AC446" s="78"/>
      <c r="AD446" s="78">
        <v>0</v>
      </c>
      <c r="AE446" s="80">
        <f t="shared" si="55"/>
        <v>0</v>
      </c>
      <c r="AF446" s="82">
        <v>0</v>
      </c>
      <c r="AG446" s="69">
        <v>40312</v>
      </c>
      <c r="AH446" s="84">
        <v>97529</v>
      </c>
      <c r="AI446" s="69" t="s">
        <v>2009</v>
      </c>
      <c r="AJ446" s="25" t="s">
        <v>2010</v>
      </c>
      <c r="AK446" s="65"/>
      <c r="AL446" s="185" t="s">
        <v>2182</v>
      </c>
      <c r="AM446" s="97" t="s">
        <v>1767</v>
      </c>
      <c r="AN446" s="3"/>
      <c r="AO446" s="4"/>
      <c r="AP446" s="5"/>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6"/>
      <c r="CQ446" s="7"/>
      <c r="CR446" s="6"/>
      <c r="CS446" s="7"/>
      <c r="CT446" s="6"/>
      <c r="CU446" s="7"/>
      <c r="CV446" s="8">
        <f t="shared" si="54"/>
        <v>0</v>
      </c>
      <c r="CW446" s="9"/>
      <c r="CX446" s="10"/>
      <c r="CY446" s="11"/>
      <c r="CZ446" s="12"/>
      <c r="DA446" s="29"/>
      <c r="DB446" s="12"/>
      <c r="DC446" s="9"/>
      <c r="DD446" s="10"/>
      <c r="DE446" s="71"/>
      <c r="EO446" s="353" t="str">
        <f t="shared" si="57"/>
        <v>SANTANDER_EL GUACAMAYO</v>
      </c>
      <c r="EP446" s="350"/>
      <c r="EQ446" s="350" t="s">
        <v>4280</v>
      </c>
      <c r="ER446" s="358" t="s">
        <v>4281</v>
      </c>
      <c r="ES446" s="350" t="s">
        <v>5095</v>
      </c>
      <c r="ET446" s="350" t="s">
        <v>6226</v>
      </c>
      <c r="EU446" s="350" t="str">
        <f t="shared" si="56"/>
        <v>Cesar_Manaure</v>
      </c>
    </row>
    <row r="447" spans="1:151" ht="63.75" x14ac:dyDescent="0.2">
      <c r="A447" s="242">
        <v>40289</v>
      </c>
      <c r="B447" s="107" t="s">
        <v>2427</v>
      </c>
      <c r="C447" s="107" t="s">
        <v>1766</v>
      </c>
      <c r="D447" s="427" t="s">
        <v>2209</v>
      </c>
      <c r="E447" s="107" t="e">
        <f>VLOOKUP(B447&amp;C447,Divipola!$C$2:$F$1138,4,FALSE)</f>
        <v>#N/A</v>
      </c>
      <c r="F447" s="330"/>
      <c r="G447" s="277"/>
      <c r="H447" s="75"/>
      <c r="I447" s="75"/>
      <c r="J447" s="75"/>
      <c r="K447" s="75"/>
      <c r="L447" s="75"/>
      <c r="M447" s="75"/>
      <c r="N447" s="75"/>
      <c r="O447" s="75"/>
      <c r="P447" s="75"/>
      <c r="Q447" s="75"/>
      <c r="R447" s="75"/>
      <c r="S447" s="75"/>
      <c r="T447" s="75"/>
      <c r="U447" s="75"/>
      <c r="V447" s="76"/>
      <c r="W447" s="205"/>
      <c r="X447" s="1">
        <v>40354</v>
      </c>
      <c r="Y447" s="78">
        <f t="shared" si="50"/>
        <v>51066400</v>
      </c>
      <c r="Z447" s="78">
        <f t="shared" si="51"/>
        <v>59500000</v>
      </c>
      <c r="AA447" s="78">
        <f t="shared" si="52"/>
        <v>19836000</v>
      </c>
      <c r="AB447" s="78">
        <f t="shared" si="53"/>
        <v>0</v>
      </c>
      <c r="AC447" s="78"/>
      <c r="AD447" s="78">
        <v>0</v>
      </c>
      <c r="AE447" s="80">
        <f t="shared" si="55"/>
        <v>130402400</v>
      </c>
      <c r="AF447" s="82">
        <v>0</v>
      </c>
      <c r="AG447" s="69">
        <v>40312</v>
      </c>
      <c r="AH447" s="84">
        <v>97529</v>
      </c>
      <c r="AI447" s="69" t="s">
        <v>2009</v>
      </c>
      <c r="AJ447" s="25" t="s">
        <v>2010</v>
      </c>
      <c r="AK447" s="88" t="s">
        <v>2049</v>
      </c>
      <c r="AL447" s="185" t="s">
        <v>2182</v>
      </c>
      <c r="AM447" s="85" t="s">
        <v>1727</v>
      </c>
      <c r="AN447" s="3"/>
      <c r="AO447" s="4"/>
      <c r="AP447" s="5"/>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6">
        <v>700</v>
      </c>
      <c r="CQ447" s="7">
        <f>700*36952</f>
        <v>25866400</v>
      </c>
      <c r="CR447" s="6">
        <v>700</v>
      </c>
      <c r="CS447" s="7">
        <f>700*36000</f>
        <v>25200000</v>
      </c>
      <c r="CT447" s="6"/>
      <c r="CU447" s="7"/>
      <c r="CV447" s="8">
        <f t="shared" si="54"/>
        <v>51066400</v>
      </c>
      <c r="CW447" s="9"/>
      <c r="CX447" s="10"/>
      <c r="CY447" s="11">
        <v>700</v>
      </c>
      <c r="CZ447" s="12">
        <f>700*85000</f>
        <v>59500000</v>
      </c>
      <c r="DA447" s="29"/>
      <c r="DB447" s="12"/>
      <c r="DC447" s="9">
        <v>1000</v>
      </c>
      <c r="DD447" s="10">
        <f>1000*18792+2000*522</f>
        <v>19836000</v>
      </c>
      <c r="DE447" s="71"/>
      <c r="EO447" s="353" t="str">
        <f t="shared" si="57"/>
        <v>SANTANDER_GUACAMAYO/CAPITANEJO/OIBA</v>
      </c>
      <c r="EP447" s="350"/>
      <c r="EQ447" s="350" t="s">
        <v>4280</v>
      </c>
      <c r="ER447" s="358" t="s">
        <v>4281</v>
      </c>
      <c r="ES447" s="350" t="s">
        <v>5096</v>
      </c>
      <c r="ET447" s="350" t="s">
        <v>6227</v>
      </c>
      <c r="EU447" s="350" t="str">
        <f t="shared" si="56"/>
        <v>Cesar_Pailitas</v>
      </c>
    </row>
    <row r="448" spans="1:151" ht="45" x14ac:dyDescent="0.2">
      <c r="A448" s="242">
        <v>40289</v>
      </c>
      <c r="B448" s="107" t="s">
        <v>2427</v>
      </c>
      <c r="C448" s="107" t="s">
        <v>1970</v>
      </c>
      <c r="D448" s="427" t="s">
        <v>2209</v>
      </c>
      <c r="E448" s="107" t="str">
        <f>VLOOKUP(B448&amp;C448,Divipola!$C$2:$F$1138,4,FALSE)</f>
        <v>68500</v>
      </c>
      <c r="F448" s="330"/>
      <c r="G448" s="277"/>
      <c r="H448" s="75"/>
      <c r="I448" s="75"/>
      <c r="J448" s="75">
        <f>64*5</f>
        <v>320</v>
      </c>
      <c r="K448" s="75">
        <v>64</v>
      </c>
      <c r="L448" s="75"/>
      <c r="M448" s="75">
        <v>64</v>
      </c>
      <c r="N448" s="75">
        <v>1</v>
      </c>
      <c r="O448" s="75"/>
      <c r="P448" s="75"/>
      <c r="Q448" s="75">
        <v>1</v>
      </c>
      <c r="R448" s="75"/>
      <c r="S448" s="75"/>
      <c r="T448" s="75">
        <v>2</v>
      </c>
      <c r="U448" s="75"/>
      <c r="V448" s="76">
        <v>130</v>
      </c>
      <c r="W448" s="205"/>
      <c r="X448" s="1"/>
      <c r="Y448" s="78">
        <f t="shared" si="50"/>
        <v>0</v>
      </c>
      <c r="Z448" s="78">
        <f t="shared" si="51"/>
        <v>0</v>
      </c>
      <c r="AA448" s="78">
        <f t="shared" si="52"/>
        <v>0</v>
      </c>
      <c r="AB448" s="78">
        <f t="shared" si="53"/>
        <v>0</v>
      </c>
      <c r="AC448" s="78"/>
      <c r="AD448" s="78">
        <v>0</v>
      </c>
      <c r="AE448" s="80">
        <f t="shared" si="55"/>
        <v>0</v>
      </c>
      <c r="AF448" s="82">
        <v>0</v>
      </c>
      <c r="AG448" s="69">
        <v>40312</v>
      </c>
      <c r="AH448" s="84">
        <v>97529</v>
      </c>
      <c r="AI448" s="69" t="s">
        <v>2009</v>
      </c>
      <c r="AJ448" s="25" t="s">
        <v>2010</v>
      </c>
      <c r="AK448" s="65"/>
      <c r="AL448" s="185" t="s">
        <v>2182</v>
      </c>
      <c r="AM448" s="97" t="s">
        <v>1767</v>
      </c>
      <c r="AN448" s="3"/>
      <c r="AO448" s="4"/>
      <c r="AP448" s="5"/>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6"/>
      <c r="CQ448" s="7"/>
      <c r="CR448" s="6"/>
      <c r="CS448" s="7"/>
      <c r="CT448" s="6"/>
      <c r="CU448" s="7"/>
      <c r="CV448" s="8">
        <f t="shared" si="54"/>
        <v>0</v>
      </c>
      <c r="CW448" s="9"/>
      <c r="CX448" s="10"/>
      <c r="CY448" s="11"/>
      <c r="CZ448" s="12"/>
      <c r="DA448" s="29"/>
      <c r="DB448" s="12"/>
      <c r="DC448" s="9"/>
      <c r="DD448" s="10"/>
      <c r="DE448" s="71"/>
      <c r="EO448" s="353" t="str">
        <f t="shared" si="57"/>
        <v>SANTANDER_OIBA</v>
      </c>
      <c r="EP448" s="350"/>
      <c r="EQ448" s="350" t="s">
        <v>4280</v>
      </c>
      <c r="ER448" s="358" t="s">
        <v>4281</v>
      </c>
      <c r="ES448" s="350" t="s">
        <v>5097</v>
      </c>
      <c r="ET448" s="350" t="s">
        <v>6228</v>
      </c>
      <c r="EU448" s="350" t="str">
        <f t="shared" si="56"/>
        <v>Cesar_Pelaya</v>
      </c>
    </row>
    <row r="449" spans="1:151" ht="51" x14ac:dyDescent="0.2">
      <c r="A449" s="242">
        <v>40289</v>
      </c>
      <c r="B449" s="107" t="s">
        <v>1462</v>
      </c>
      <c r="C449" s="107" t="s">
        <v>2040</v>
      </c>
      <c r="D449" s="427" t="s">
        <v>2209</v>
      </c>
      <c r="E449" s="107" t="str">
        <f>VLOOKUP(B449&amp;C449,Divipola!$C$2:$F$1138,4,FALSE)</f>
        <v>76275</v>
      </c>
      <c r="F449" s="330"/>
      <c r="G449" s="224"/>
      <c r="H449" s="75"/>
      <c r="I449" s="75"/>
      <c r="J449" s="75">
        <v>30</v>
      </c>
      <c r="K449" s="75">
        <v>6</v>
      </c>
      <c r="L449" s="75"/>
      <c r="M449" s="75">
        <v>6</v>
      </c>
      <c r="N449" s="75"/>
      <c r="O449" s="75"/>
      <c r="P449" s="75"/>
      <c r="Q449" s="75"/>
      <c r="R449" s="75"/>
      <c r="S449" s="75"/>
      <c r="T449" s="75"/>
      <c r="U449" s="75"/>
      <c r="V449" s="76"/>
      <c r="W449" s="205"/>
      <c r="X449" s="1"/>
      <c r="Y449" s="78">
        <f t="shared" si="50"/>
        <v>0</v>
      </c>
      <c r="Z449" s="78">
        <f t="shared" si="51"/>
        <v>0</v>
      </c>
      <c r="AA449" s="78">
        <f t="shared" si="52"/>
        <v>0</v>
      </c>
      <c r="AB449" s="78">
        <f t="shared" si="53"/>
        <v>0</v>
      </c>
      <c r="AC449" s="78"/>
      <c r="AD449" s="78">
        <v>0</v>
      </c>
      <c r="AE449" s="80">
        <f t="shared" si="55"/>
        <v>0</v>
      </c>
      <c r="AF449" s="82">
        <v>0</v>
      </c>
      <c r="AG449" s="69">
        <v>40291</v>
      </c>
      <c r="AH449" s="84"/>
      <c r="AI449" s="69" t="s">
        <v>1984</v>
      </c>
      <c r="AJ449" s="25" t="s">
        <v>1985</v>
      </c>
      <c r="AK449" s="65"/>
      <c r="AL449" s="185" t="s">
        <v>1257</v>
      </c>
      <c r="AM449" s="85" t="s">
        <v>843</v>
      </c>
      <c r="AN449" s="3"/>
      <c r="AO449" s="4"/>
      <c r="AP449" s="5"/>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6"/>
      <c r="CQ449" s="7"/>
      <c r="CR449" s="6"/>
      <c r="CS449" s="7"/>
      <c r="CT449" s="6"/>
      <c r="CU449" s="7"/>
      <c r="CV449" s="8">
        <f t="shared" si="54"/>
        <v>0</v>
      </c>
      <c r="CW449" s="9"/>
      <c r="CX449" s="10"/>
      <c r="CY449" s="11"/>
      <c r="CZ449" s="12"/>
      <c r="DA449" s="29"/>
      <c r="DB449" s="12"/>
      <c r="DC449" s="9"/>
      <c r="DD449" s="10"/>
      <c r="DE449" s="71"/>
      <c r="EO449" s="353" t="str">
        <f t="shared" si="57"/>
        <v>VALLE DEL CAUCA_FLORIDA</v>
      </c>
      <c r="EP449" s="350"/>
      <c r="EQ449" s="350" t="s">
        <v>4280</v>
      </c>
      <c r="ER449" s="358" t="s">
        <v>4281</v>
      </c>
      <c r="ES449" s="350" t="s">
        <v>5098</v>
      </c>
      <c r="ET449" s="350" t="s">
        <v>6229</v>
      </c>
      <c r="EU449" s="350" t="str">
        <f t="shared" si="56"/>
        <v>Cesar_Pueblo Bello</v>
      </c>
    </row>
    <row r="450" spans="1:151" ht="60" x14ac:dyDescent="0.2">
      <c r="A450" s="242">
        <v>40290</v>
      </c>
      <c r="B450" s="107" t="s">
        <v>2427</v>
      </c>
      <c r="C450" s="107" t="s">
        <v>4549</v>
      </c>
      <c r="D450" s="427" t="s">
        <v>1387</v>
      </c>
      <c r="E450" s="107" t="str">
        <f>VLOOKUP(B450&amp;C450,Divipola!$C$2:$F$1138,4,FALSE)</f>
        <v>68245</v>
      </c>
      <c r="F450" s="330"/>
      <c r="G450" s="224"/>
      <c r="H450" s="75"/>
      <c r="I450" s="75"/>
      <c r="J450" s="75">
        <f>180*5</f>
        <v>900</v>
      </c>
      <c r="K450" s="75">
        <v>180</v>
      </c>
      <c r="L450" s="75">
        <v>180</v>
      </c>
      <c r="M450" s="75"/>
      <c r="N450" s="75"/>
      <c r="O450" s="75"/>
      <c r="P450" s="75"/>
      <c r="Q450" s="75"/>
      <c r="R450" s="75"/>
      <c r="S450" s="75"/>
      <c r="T450" s="75">
        <v>3</v>
      </c>
      <c r="U450" s="75"/>
      <c r="V450" s="76"/>
      <c r="W450" s="205"/>
      <c r="X450" s="1">
        <v>40339</v>
      </c>
      <c r="Y450" s="78">
        <f t="shared" si="50"/>
        <v>0</v>
      </c>
      <c r="Z450" s="78">
        <f t="shared" si="51"/>
        <v>0</v>
      </c>
      <c r="AA450" s="78">
        <f t="shared" si="52"/>
        <v>0</v>
      </c>
      <c r="AB450" s="78">
        <f t="shared" si="53"/>
        <v>0</v>
      </c>
      <c r="AC450" s="78"/>
      <c r="AD450" s="78">
        <f>42000000+4000000</f>
        <v>46000000</v>
      </c>
      <c r="AE450" s="80">
        <f t="shared" si="55"/>
        <v>46000000</v>
      </c>
      <c r="AF450" s="82">
        <v>0</v>
      </c>
      <c r="AG450" s="69">
        <v>40332</v>
      </c>
      <c r="AH450" s="84">
        <v>98013</v>
      </c>
      <c r="AI450" s="69" t="s">
        <v>2009</v>
      </c>
      <c r="AJ450" s="25" t="s">
        <v>2010</v>
      </c>
      <c r="AK450" s="65">
        <v>305</v>
      </c>
      <c r="AL450" s="185" t="s">
        <v>147</v>
      </c>
      <c r="AM450" s="85" t="s">
        <v>150</v>
      </c>
      <c r="AN450" s="3"/>
      <c r="AO450" s="4"/>
      <c r="AP450" s="5"/>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6"/>
      <c r="CQ450" s="7"/>
      <c r="CR450" s="6"/>
      <c r="CS450" s="7"/>
      <c r="CT450" s="6"/>
      <c r="CU450" s="7"/>
      <c r="CV450" s="8">
        <f t="shared" si="54"/>
        <v>0</v>
      </c>
      <c r="CW450" s="9"/>
      <c r="CX450" s="10"/>
      <c r="CY450" s="11"/>
      <c r="CZ450" s="12"/>
      <c r="DA450" s="29"/>
      <c r="DB450" s="12"/>
      <c r="DC450" s="9"/>
      <c r="DD450" s="10"/>
      <c r="DE450" s="71">
        <v>2</v>
      </c>
      <c r="EO450" s="353" t="str">
        <f t="shared" si="57"/>
        <v>SANTANDER_EL GUACAMAYO</v>
      </c>
      <c r="EP450" s="350"/>
      <c r="EQ450" s="350" t="s">
        <v>4280</v>
      </c>
      <c r="ER450" s="358" t="s">
        <v>4281</v>
      </c>
      <c r="ES450" s="350" t="s">
        <v>5099</v>
      </c>
      <c r="ET450" s="350" t="s">
        <v>6230</v>
      </c>
      <c r="EU450" s="350" t="str">
        <f t="shared" si="56"/>
        <v>Cesar_Rio de Oro</v>
      </c>
    </row>
    <row r="451" spans="1:151" ht="60" x14ac:dyDescent="0.2">
      <c r="A451" s="242">
        <v>40290</v>
      </c>
      <c r="B451" s="107" t="s">
        <v>2427</v>
      </c>
      <c r="C451" s="107" t="s">
        <v>4549</v>
      </c>
      <c r="D451" s="427" t="s">
        <v>2307</v>
      </c>
      <c r="E451" s="107" t="str">
        <f>VLOOKUP(B451&amp;C451,Divipola!$C$2:$F$1138,4,FALSE)</f>
        <v>68245</v>
      </c>
      <c r="F451" s="330"/>
      <c r="G451" s="277"/>
      <c r="H451" s="75"/>
      <c r="I451" s="75"/>
      <c r="J451" s="75">
        <f>15*4.5</f>
        <v>67.5</v>
      </c>
      <c r="K451" s="75">
        <v>15</v>
      </c>
      <c r="L451" s="75"/>
      <c r="M451" s="75"/>
      <c r="N451" s="75">
        <v>1</v>
      </c>
      <c r="O451" s="75"/>
      <c r="P451" s="75"/>
      <c r="Q451" s="75"/>
      <c r="R451" s="75"/>
      <c r="S451" s="75"/>
      <c r="T451" s="75"/>
      <c r="U451" s="75"/>
      <c r="V451" s="76"/>
      <c r="W451" s="205"/>
      <c r="X451" s="1">
        <v>40339</v>
      </c>
      <c r="Y451" s="78">
        <f t="shared" ref="Y451:Y514" si="58">CV451</f>
        <v>0</v>
      </c>
      <c r="Z451" s="78">
        <f t="shared" ref="Z451:Z514" si="59">CZ451</f>
        <v>0</v>
      </c>
      <c r="AA451" s="78">
        <f t="shared" ref="AA451:AA514" si="60">DB451+DD451</f>
        <v>0</v>
      </c>
      <c r="AB451" s="78">
        <f t="shared" ref="AB451:AB514" si="61">CX451</f>
        <v>0</v>
      </c>
      <c r="AC451" s="78"/>
      <c r="AD451" s="78">
        <f>15000000+7500000+6400000</f>
        <v>28900000</v>
      </c>
      <c r="AE451" s="80">
        <f t="shared" si="55"/>
        <v>28900000</v>
      </c>
      <c r="AF451" s="82">
        <v>0</v>
      </c>
      <c r="AG451" s="69">
        <v>40332</v>
      </c>
      <c r="AH451" s="84">
        <v>98013</v>
      </c>
      <c r="AI451" s="69" t="s">
        <v>2009</v>
      </c>
      <c r="AJ451" s="25" t="s">
        <v>2010</v>
      </c>
      <c r="AK451" s="65">
        <v>305</v>
      </c>
      <c r="AL451" s="185" t="s">
        <v>148</v>
      </c>
      <c r="AM451" s="85" t="s">
        <v>149</v>
      </c>
      <c r="AN451" s="3"/>
      <c r="AO451" s="4"/>
      <c r="AP451" s="5"/>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6"/>
      <c r="CQ451" s="7"/>
      <c r="CR451" s="6"/>
      <c r="CS451" s="7"/>
      <c r="CT451" s="6"/>
      <c r="CU451" s="7"/>
      <c r="CV451" s="8">
        <f t="shared" ref="CV451:CV514" si="62">AO451+AQ451+AS451+AU451+AW451+AY451+BA451+BC451+BE451+BG451+BI451+BK451+BM451+BO451+BQ451+BS451+BU451+BW451+BY451+CA451+CC451+CE451+CG451+CI451+CK451+CM451+CO451+CQ451+CS451+CU451</f>
        <v>0</v>
      </c>
      <c r="CW451" s="9"/>
      <c r="CX451" s="10"/>
      <c r="CY451" s="11"/>
      <c r="CZ451" s="12"/>
      <c r="DA451" s="29"/>
      <c r="DB451" s="12"/>
      <c r="DC451" s="9"/>
      <c r="DD451" s="10"/>
      <c r="DE451" s="71">
        <v>4</v>
      </c>
      <c r="EO451" s="353" t="str">
        <f t="shared" si="57"/>
        <v>SANTANDER_EL GUACAMAYO</v>
      </c>
      <c r="EP451" s="350"/>
      <c r="EQ451" s="350" t="s">
        <v>4280</v>
      </c>
      <c r="ER451" s="358" t="s">
        <v>4281</v>
      </c>
      <c r="ES451" s="350" t="s">
        <v>5100</v>
      </c>
      <c r="ET451" s="350" t="s">
        <v>6231</v>
      </c>
      <c r="EU451" s="350" t="str">
        <f t="shared" si="56"/>
        <v>Cesar_La Paz</v>
      </c>
    </row>
    <row r="452" spans="1:151" ht="60" x14ac:dyDescent="0.2">
      <c r="A452" s="242">
        <v>40290</v>
      </c>
      <c r="B452" s="107" t="s">
        <v>2791</v>
      </c>
      <c r="C452" s="107" t="s">
        <v>1097</v>
      </c>
      <c r="D452" s="427" t="s">
        <v>2209</v>
      </c>
      <c r="E452" s="107" t="str">
        <f>VLOOKUP(B452&amp;C452,Divipola!$C$2:$F$1138,4,FALSE)</f>
        <v>73152</v>
      </c>
      <c r="F452" s="330"/>
      <c r="G452" s="224"/>
      <c r="H452" s="75"/>
      <c r="I452" s="75"/>
      <c r="J452" s="75">
        <v>180</v>
      </c>
      <c r="K452" s="75">
        <v>35</v>
      </c>
      <c r="L452" s="75"/>
      <c r="M452" s="75">
        <v>35</v>
      </c>
      <c r="N452" s="75"/>
      <c r="O452" s="75"/>
      <c r="P452" s="75"/>
      <c r="Q452" s="75"/>
      <c r="R452" s="75"/>
      <c r="S452" s="75"/>
      <c r="T452" s="75">
        <v>1</v>
      </c>
      <c r="U452" s="75">
        <v>5</v>
      </c>
      <c r="V452" s="76"/>
      <c r="W452" s="205"/>
      <c r="X452" s="1"/>
      <c r="Y452" s="78">
        <f t="shared" si="58"/>
        <v>0</v>
      </c>
      <c r="Z452" s="78">
        <f t="shared" si="59"/>
        <v>0</v>
      </c>
      <c r="AA452" s="78">
        <f t="shared" si="60"/>
        <v>0</v>
      </c>
      <c r="AB452" s="78">
        <f t="shared" si="61"/>
        <v>0</v>
      </c>
      <c r="AC452" s="78"/>
      <c r="AD452" s="78">
        <v>0</v>
      </c>
      <c r="AE452" s="80">
        <f t="shared" si="55"/>
        <v>0</v>
      </c>
      <c r="AF452" s="82">
        <v>0</v>
      </c>
      <c r="AG452" s="69">
        <v>40291</v>
      </c>
      <c r="AH452" s="84"/>
      <c r="AI452" s="69" t="s">
        <v>1984</v>
      </c>
      <c r="AJ452" s="25" t="s">
        <v>1985</v>
      </c>
      <c r="AK452" s="65"/>
      <c r="AL452" s="185" t="s">
        <v>1257</v>
      </c>
      <c r="AM452" s="85" t="s">
        <v>1393</v>
      </c>
      <c r="AN452" s="3"/>
      <c r="AO452" s="4"/>
      <c r="AP452" s="5"/>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6"/>
      <c r="CQ452" s="7"/>
      <c r="CR452" s="6"/>
      <c r="CS452" s="7"/>
      <c r="CT452" s="6"/>
      <c r="CU452" s="7"/>
      <c r="CV452" s="8">
        <f t="shared" si="62"/>
        <v>0</v>
      </c>
      <c r="CW452" s="9"/>
      <c r="CX452" s="10"/>
      <c r="CY452" s="11"/>
      <c r="CZ452" s="12"/>
      <c r="DA452" s="29"/>
      <c r="DB452" s="12"/>
      <c r="DC452" s="9"/>
      <c r="DD452" s="10"/>
      <c r="DE452" s="71"/>
      <c r="EO452" s="353" t="str">
        <f t="shared" si="57"/>
        <v>TOLIMA_CASABIANCA</v>
      </c>
      <c r="EP452" s="350"/>
      <c r="EQ452" s="350" t="s">
        <v>4280</v>
      </c>
      <c r="ER452" s="358" t="s">
        <v>4281</v>
      </c>
      <c r="ES452" s="350" t="s">
        <v>5101</v>
      </c>
      <c r="ET452" s="350" t="s">
        <v>6232</v>
      </c>
      <c r="EU452" s="350" t="str">
        <f t="shared" si="56"/>
        <v>Cesar_San Alberto</v>
      </c>
    </row>
    <row r="453" spans="1:151" ht="25.5" x14ac:dyDescent="0.2">
      <c r="A453" s="242">
        <v>40292</v>
      </c>
      <c r="B453" s="107" t="s">
        <v>2401</v>
      </c>
      <c r="C453" s="107" t="s">
        <v>2747</v>
      </c>
      <c r="D453" s="427" t="s">
        <v>1721</v>
      </c>
      <c r="E453" s="107" t="str">
        <f>VLOOKUP(B453&amp;C453,Divipola!$C$2:$F$1138,4,FALSE)</f>
        <v>05001</v>
      </c>
      <c r="F453" s="330"/>
      <c r="G453" s="224"/>
      <c r="H453" s="75"/>
      <c r="I453" s="75"/>
      <c r="J453" s="75">
        <v>15</v>
      </c>
      <c r="K453" s="75">
        <v>3</v>
      </c>
      <c r="L453" s="75">
        <v>3</v>
      </c>
      <c r="M453" s="75"/>
      <c r="N453" s="75"/>
      <c r="O453" s="75"/>
      <c r="P453" s="75"/>
      <c r="Q453" s="75"/>
      <c r="R453" s="75"/>
      <c r="S453" s="75"/>
      <c r="T453" s="75"/>
      <c r="U453" s="75"/>
      <c r="V453" s="76"/>
      <c r="W453" s="205"/>
      <c r="X453" s="1"/>
      <c r="Y453" s="78">
        <f t="shared" si="58"/>
        <v>0</v>
      </c>
      <c r="Z453" s="78">
        <f t="shared" si="59"/>
        <v>0</v>
      </c>
      <c r="AA453" s="78">
        <f t="shared" si="60"/>
        <v>0</v>
      </c>
      <c r="AB453" s="78">
        <f t="shared" si="61"/>
        <v>0</v>
      </c>
      <c r="AC453" s="78"/>
      <c r="AD453" s="78">
        <v>0</v>
      </c>
      <c r="AE453" s="80">
        <f t="shared" si="55"/>
        <v>0</v>
      </c>
      <c r="AF453" s="82">
        <v>0</v>
      </c>
      <c r="AG453" s="69">
        <v>40292</v>
      </c>
      <c r="AH453" s="84"/>
      <c r="AI453" s="69" t="s">
        <v>1984</v>
      </c>
      <c r="AJ453" s="25" t="s">
        <v>1985</v>
      </c>
      <c r="AK453" s="65"/>
      <c r="AL453" s="185" t="s">
        <v>1257</v>
      </c>
      <c r="AM453" s="85" t="s">
        <v>2755</v>
      </c>
      <c r="AN453" s="3"/>
      <c r="AO453" s="4"/>
      <c r="AP453" s="5"/>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6"/>
      <c r="CQ453" s="7"/>
      <c r="CR453" s="6"/>
      <c r="CS453" s="7"/>
      <c r="CT453" s="6"/>
      <c r="CU453" s="7"/>
      <c r="CV453" s="8">
        <f t="shared" si="62"/>
        <v>0</v>
      </c>
      <c r="CW453" s="9"/>
      <c r="CX453" s="10"/>
      <c r="CY453" s="11"/>
      <c r="CZ453" s="12"/>
      <c r="DA453" s="29"/>
      <c r="DB453" s="12"/>
      <c r="DC453" s="9"/>
      <c r="DD453" s="10"/>
      <c r="DE453" s="71"/>
      <c r="EO453" s="353" t="str">
        <f t="shared" si="57"/>
        <v>ANTIOQUIA_MEDELLIN</v>
      </c>
      <c r="EP453" s="350"/>
      <c r="EQ453" s="350" t="s">
        <v>4280</v>
      </c>
      <c r="ER453" s="358" t="s">
        <v>4281</v>
      </c>
      <c r="ES453" s="350" t="s">
        <v>5102</v>
      </c>
      <c r="ET453" s="350" t="s">
        <v>6233</v>
      </c>
      <c r="EU453" s="350" t="str">
        <f t="shared" si="56"/>
        <v>Cesar_San Diego</v>
      </c>
    </row>
    <row r="454" spans="1:151" ht="63.75" x14ac:dyDescent="0.2">
      <c r="A454" s="242">
        <v>40293</v>
      </c>
      <c r="B454" s="107" t="s">
        <v>2245</v>
      </c>
      <c r="C454" s="107" t="s">
        <v>4514</v>
      </c>
      <c r="D454" s="427" t="s">
        <v>837</v>
      </c>
      <c r="E454" s="107" t="str">
        <f>VLOOKUP(B454&amp;C454,Divipola!$C$2:$F$1138,4,FALSE)</f>
        <v>52835</v>
      </c>
      <c r="F454" s="330"/>
      <c r="G454" s="224"/>
      <c r="H454" s="75"/>
      <c r="I454" s="75"/>
      <c r="J454" s="75">
        <v>200</v>
      </c>
      <c r="K454" s="75">
        <v>40</v>
      </c>
      <c r="L454" s="75"/>
      <c r="M454" s="75">
        <v>40</v>
      </c>
      <c r="N454" s="75"/>
      <c r="O454" s="75"/>
      <c r="P454" s="75"/>
      <c r="Q454" s="75"/>
      <c r="R454" s="75"/>
      <c r="S454" s="75"/>
      <c r="T454" s="75"/>
      <c r="U454" s="75"/>
      <c r="V454" s="76"/>
      <c r="W454" s="205"/>
      <c r="X454" s="1">
        <v>40333</v>
      </c>
      <c r="Y454" s="78">
        <f t="shared" si="58"/>
        <v>1540000</v>
      </c>
      <c r="Z454" s="78">
        <f t="shared" si="59"/>
        <v>3400000</v>
      </c>
      <c r="AA454" s="78">
        <f t="shared" si="60"/>
        <v>0</v>
      </c>
      <c r="AB454" s="78">
        <f t="shared" si="61"/>
        <v>0</v>
      </c>
      <c r="AC454" s="78"/>
      <c r="AD454" s="78">
        <v>0</v>
      </c>
      <c r="AE454" s="80">
        <f t="shared" si="55"/>
        <v>4940000</v>
      </c>
      <c r="AF454" s="82">
        <v>0</v>
      </c>
      <c r="AG454" s="69">
        <v>40311</v>
      </c>
      <c r="AH454" s="84">
        <v>97492</v>
      </c>
      <c r="AI454" s="69" t="s">
        <v>2009</v>
      </c>
      <c r="AJ454" s="25" t="s">
        <v>2010</v>
      </c>
      <c r="AK454" s="65">
        <v>149</v>
      </c>
      <c r="AL454" s="185" t="s">
        <v>2182</v>
      </c>
      <c r="AM454" s="85" t="s">
        <v>2676</v>
      </c>
      <c r="AN454" s="3"/>
      <c r="AO454" s="4"/>
      <c r="AP454" s="5"/>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6">
        <v>40</v>
      </c>
      <c r="CQ454" s="7">
        <f>40*38500</f>
        <v>1540000</v>
      </c>
      <c r="CR454" s="6"/>
      <c r="CS454" s="7"/>
      <c r="CT454" s="6"/>
      <c r="CU454" s="7"/>
      <c r="CV454" s="8">
        <f t="shared" si="62"/>
        <v>1540000</v>
      </c>
      <c r="CW454" s="9"/>
      <c r="CX454" s="10"/>
      <c r="CY454" s="11">
        <v>40</v>
      </c>
      <c r="CZ454" s="12">
        <f>40*85000</f>
        <v>3400000</v>
      </c>
      <c r="DA454" s="29"/>
      <c r="DB454" s="12"/>
      <c r="DC454" s="9"/>
      <c r="DD454" s="10"/>
      <c r="DE454" s="71"/>
      <c r="EO454" s="353" t="str">
        <f t="shared" si="57"/>
        <v>NARIÑO_SAN ANDRES DE TUMACO</v>
      </c>
      <c r="EP454" s="350"/>
      <c r="EQ454" s="350" t="s">
        <v>4280</v>
      </c>
      <c r="ER454" s="358" t="s">
        <v>4281</v>
      </c>
      <c r="ES454" s="350" t="s">
        <v>5103</v>
      </c>
      <c r="ET454" s="350" t="s">
        <v>6234</v>
      </c>
      <c r="EU454" s="350" t="str">
        <f t="shared" si="56"/>
        <v>Cesar_San Martin</v>
      </c>
    </row>
    <row r="455" spans="1:151" ht="36" x14ac:dyDescent="0.2">
      <c r="A455" s="242">
        <v>40293</v>
      </c>
      <c r="B455" s="107" t="s">
        <v>2791</v>
      </c>
      <c r="C455" s="107" t="s">
        <v>1979</v>
      </c>
      <c r="D455" s="427" t="s">
        <v>2209</v>
      </c>
      <c r="E455" s="107" t="str">
        <f>VLOOKUP(B455&amp;C455,Divipola!$C$2:$F$1138,4,FALSE)</f>
        <v>73268</v>
      </c>
      <c r="F455" s="330"/>
      <c r="G455" s="224"/>
      <c r="H455" s="75"/>
      <c r="I455" s="75"/>
      <c r="J455" s="75">
        <v>1500</v>
      </c>
      <c r="K455" s="75">
        <v>500</v>
      </c>
      <c r="L455" s="75"/>
      <c r="M455" s="75">
        <v>500</v>
      </c>
      <c r="N455" s="75"/>
      <c r="O455" s="75"/>
      <c r="P455" s="75"/>
      <c r="Q455" s="75"/>
      <c r="R455" s="75"/>
      <c r="S455" s="75"/>
      <c r="T455" s="75"/>
      <c r="U455" s="75"/>
      <c r="V455" s="76"/>
      <c r="W455" s="205"/>
      <c r="X455" s="1"/>
      <c r="Y455" s="78">
        <f t="shared" si="58"/>
        <v>0</v>
      </c>
      <c r="Z455" s="78">
        <f t="shared" si="59"/>
        <v>0</v>
      </c>
      <c r="AA455" s="78">
        <f t="shared" si="60"/>
        <v>0</v>
      </c>
      <c r="AB455" s="78">
        <f t="shared" si="61"/>
        <v>0</v>
      </c>
      <c r="AC455" s="78"/>
      <c r="AD455" s="78">
        <v>0</v>
      </c>
      <c r="AE455" s="80">
        <f t="shared" si="55"/>
        <v>0</v>
      </c>
      <c r="AF455" s="82">
        <v>0</v>
      </c>
      <c r="AG455" s="69">
        <v>40295</v>
      </c>
      <c r="AH455" s="84"/>
      <c r="AI455" s="69" t="s">
        <v>1984</v>
      </c>
      <c r="AJ455" s="25" t="s">
        <v>1985</v>
      </c>
      <c r="AK455" s="65"/>
      <c r="AL455" s="185" t="s">
        <v>1257</v>
      </c>
      <c r="AM455" s="85" t="s">
        <v>630</v>
      </c>
      <c r="AN455" s="3"/>
      <c r="AO455" s="4"/>
      <c r="AP455" s="5"/>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6"/>
      <c r="CQ455" s="7"/>
      <c r="CR455" s="6"/>
      <c r="CS455" s="7"/>
      <c r="CT455" s="6"/>
      <c r="CU455" s="7"/>
      <c r="CV455" s="8">
        <f t="shared" si="62"/>
        <v>0</v>
      </c>
      <c r="CW455" s="9"/>
      <c r="CX455" s="10"/>
      <c r="CY455" s="11"/>
      <c r="CZ455" s="12"/>
      <c r="DA455" s="29"/>
      <c r="DB455" s="12"/>
      <c r="DC455" s="9"/>
      <c r="DD455" s="10"/>
      <c r="DE455" s="71"/>
      <c r="EO455" s="353" t="str">
        <f t="shared" si="57"/>
        <v>TOLIMA_ESPINAL</v>
      </c>
      <c r="EP455" s="350"/>
      <c r="EQ455" s="350" t="s">
        <v>4280</v>
      </c>
      <c r="ER455" s="358" t="s">
        <v>4281</v>
      </c>
      <c r="ES455" s="350" t="s">
        <v>5104</v>
      </c>
      <c r="ET455" s="350" t="s">
        <v>6235</v>
      </c>
      <c r="EU455" s="350" t="str">
        <f t="shared" si="56"/>
        <v>Cesar_Tamalameque</v>
      </c>
    </row>
    <row r="456" spans="1:151" ht="48" x14ac:dyDescent="0.2">
      <c r="A456" s="242">
        <v>40294</v>
      </c>
      <c r="B456" s="107" t="s">
        <v>828</v>
      </c>
      <c r="C456" s="107" t="s">
        <v>2364</v>
      </c>
      <c r="D456" s="427" t="s">
        <v>2209</v>
      </c>
      <c r="E456" s="107" t="str">
        <f>VLOOKUP(B456&amp;C456,Divipola!$C$2:$F$1138,4,FALSE)</f>
        <v>15572</v>
      </c>
      <c r="F456" s="330"/>
      <c r="G456" s="224"/>
      <c r="H456" s="75"/>
      <c r="I456" s="75"/>
      <c r="J456" s="75">
        <f>12*5</f>
        <v>60</v>
      </c>
      <c r="K456" s="75">
        <v>12</v>
      </c>
      <c r="L456" s="75"/>
      <c r="M456" s="75"/>
      <c r="N456" s="75"/>
      <c r="O456" s="75"/>
      <c r="P456" s="75"/>
      <c r="Q456" s="75"/>
      <c r="R456" s="75"/>
      <c r="S456" s="75"/>
      <c r="T456" s="75"/>
      <c r="U456" s="75"/>
      <c r="V456" s="76"/>
      <c r="W456" s="205"/>
      <c r="X456" s="1"/>
      <c r="Y456" s="78">
        <f t="shared" si="58"/>
        <v>0</v>
      </c>
      <c r="Z456" s="78">
        <f t="shared" si="59"/>
        <v>0</v>
      </c>
      <c r="AA456" s="78">
        <f t="shared" si="60"/>
        <v>0</v>
      </c>
      <c r="AB456" s="78">
        <f t="shared" si="61"/>
        <v>0</v>
      </c>
      <c r="AC456" s="78"/>
      <c r="AD456" s="78">
        <v>0</v>
      </c>
      <c r="AE456" s="80">
        <f t="shared" si="55"/>
        <v>0</v>
      </c>
      <c r="AF456" s="82">
        <v>0</v>
      </c>
      <c r="AG456" s="69">
        <v>40303</v>
      </c>
      <c r="AH456" s="84">
        <v>97262</v>
      </c>
      <c r="AI456" s="69" t="s">
        <v>1984</v>
      </c>
      <c r="AJ456" s="25" t="s">
        <v>1985</v>
      </c>
      <c r="AK456" s="65"/>
      <c r="AL456" s="185" t="s">
        <v>1257</v>
      </c>
      <c r="AM456" s="85" t="s">
        <v>2193</v>
      </c>
      <c r="AN456" s="3"/>
      <c r="AO456" s="4"/>
      <c r="AP456" s="5"/>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6"/>
      <c r="CQ456" s="7"/>
      <c r="CR456" s="6"/>
      <c r="CS456" s="7"/>
      <c r="CT456" s="6"/>
      <c r="CU456" s="7"/>
      <c r="CV456" s="8">
        <f t="shared" si="62"/>
        <v>0</v>
      </c>
      <c r="CW456" s="9"/>
      <c r="CX456" s="10"/>
      <c r="CY456" s="11"/>
      <c r="CZ456" s="12"/>
      <c r="DA456" s="29"/>
      <c r="DB456" s="12"/>
      <c r="DC456" s="9"/>
      <c r="DD456" s="10"/>
      <c r="DE456" s="71"/>
      <c r="EO456" s="353" t="str">
        <f t="shared" si="57"/>
        <v>BOYACA_PUERTO BOYACA</v>
      </c>
      <c r="EP456" s="350"/>
      <c r="EQ456" s="350" t="s">
        <v>4295</v>
      </c>
      <c r="ER456" s="358" t="s">
        <v>4296</v>
      </c>
      <c r="ES456" s="350" t="s">
        <v>5105</v>
      </c>
      <c r="ET456" s="350" t="s">
        <v>6236</v>
      </c>
      <c r="EU456" s="350" t="str">
        <f t="shared" si="56"/>
        <v>Cordoba_Monteria</v>
      </c>
    </row>
    <row r="457" spans="1:151" ht="63.75" x14ac:dyDescent="0.2">
      <c r="A457" s="242">
        <v>40294</v>
      </c>
      <c r="B457" s="107" t="s">
        <v>2007</v>
      </c>
      <c r="C457" s="107" t="s">
        <v>2677</v>
      </c>
      <c r="D457" s="427" t="s">
        <v>1721</v>
      </c>
      <c r="E457" s="107" t="str">
        <f>VLOOKUP(B457&amp;C457,Divipola!$C$2:$F$1138,4,FALSE)</f>
        <v>25658</v>
      </c>
      <c r="F457" s="330"/>
      <c r="G457" s="224">
        <v>1</v>
      </c>
      <c r="H457" s="75"/>
      <c r="I457" s="75"/>
      <c r="J457" s="75"/>
      <c r="K457" s="75"/>
      <c r="L457" s="75"/>
      <c r="M457" s="75"/>
      <c r="N457" s="75"/>
      <c r="O457" s="75"/>
      <c r="P457" s="75"/>
      <c r="Q457" s="75"/>
      <c r="R457" s="75"/>
      <c r="S457" s="75"/>
      <c r="T457" s="75"/>
      <c r="U457" s="75"/>
      <c r="V457" s="76"/>
      <c r="W457" s="205"/>
      <c r="X457" s="1"/>
      <c r="Y457" s="78">
        <f t="shared" si="58"/>
        <v>0</v>
      </c>
      <c r="Z457" s="78">
        <f t="shared" si="59"/>
        <v>0</v>
      </c>
      <c r="AA457" s="78">
        <f t="shared" si="60"/>
        <v>0</v>
      </c>
      <c r="AB457" s="78">
        <f t="shared" si="61"/>
        <v>0</v>
      </c>
      <c r="AC457" s="78"/>
      <c r="AD457" s="78">
        <v>0</v>
      </c>
      <c r="AE457" s="80">
        <f t="shared" ref="AE457:AE520" si="63">Y457+Z457+AA457+AB457+AC457+AD457</f>
        <v>0</v>
      </c>
      <c r="AF457" s="82">
        <v>0</v>
      </c>
      <c r="AG457" s="69">
        <v>40295</v>
      </c>
      <c r="AH457" s="84"/>
      <c r="AI457" s="69" t="s">
        <v>1984</v>
      </c>
      <c r="AJ457" s="25" t="s">
        <v>1985</v>
      </c>
      <c r="AK457" s="65"/>
      <c r="AL457" s="185" t="s">
        <v>1257</v>
      </c>
      <c r="AM457" s="85" t="s">
        <v>2678</v>
      </c>
      <c r="AN457" s="3"/>
      <c r="AO457" s="4"/>
      <c r="AP457" s="5"/>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6"/>
      <c r="CQ457" s="7"/>
      <c r="CR457" s="6"/>
      <c r="CS457" s="7"/>
      <c r="CT457" s="6"/>
      <c r="CU457" s="7"/>
      <c r="CV457" s="8">
        <f t="shared" si="62"/>
        <v>0</v>
      </c>
      <c r="CW457" s="9"/>
      <c r="CX457" s="10"/>
      <c r="CY457" s="11"/>
      <c r="CZ457" s="12"/>
      <c r="DA457" s="29"/>
      <c r="DB457" s="12"/>
      <c r="DC457" s="9"/>
      <c r="DD457" s="10"/>
      <c r="DE457" s="71"/>
      <c r="EO457" s="353" t="str">
        <f t="shared" si="57"/>
        <v>CUNDINAMARCA_SAN FRANCISCO</v>
      </c>
      <c r="EP457" s="350"/>
      <c r="EQ457" s="350" t="s">
        <v>4295</v>
      </c>
      <c r="ER457" s="358" t="s">
        <v>4296</v>
      </c>
      <c r="ES457" s="350" t="s">
        <v>5106</v>
      </c>
      <c r="ET457" s="350" t="s">
        <v>6237</v>
      </c>
      <c r="EU457" s="350" t="str">
        <f t="shared" si="56"/>
        <v>Cordoba_Ayapel</v>
      </c>
    </row>
    <row r="458" spans="1:151" ht="45" x14ac:dyDescent="0.2">
      <c r="A458" s="242">
        <v>40294</v>
      </c>
      <c r="B458" s="107" t="s">
        <v>2372</v>
      </c>
      <c r="C458" s="107" t="s">
        <v>2393</v>
      </c>
      <c r="D458" s="427" t="s">
        <v>2209</v>
      </c>
      <c r="E458" s="107" t="str">
        <f>VLOOKUP(B458&amp;C458,Divipola!$C$2:$F$1138,4,FALSE)</f>
        <v>70429</v>
      </c>
      <c r="F458" s="330"/>
      <c r="G458" s="224"/>
      <c r="H458" s="75"/>
      <c r="I458" s="75"/>
      <c r="J458" s="75">
        <f>215+135</f>
        <v>350</v>
      </c>
      <c r="K458" s="75">
        <f>43+27</f>
        <v>70</v>
      </c>
      <c r="L458" s="75">
        <v>6</v>
      </c>
      <c r="M458" s="75">
        <f>43+27</f>
        <v>70</v>
      </c>
      <c r="N458" s="75"/>
      <c r="O458" s="75"/>
      <c r="P458" s="75"/>
      <c r="Q458" s="75"/>
      <c r="R458" s="75"/>
      <c r="S458" s="75"/>
      <c r="T458" s="75"/>
      <c r="U458" s="75"/>
      <c r="V458" s="76"/>
      <c r="W458" s="205"/>
      <c r="X458" s="1">
        <v>40368</v>
      </c>
      <c r="Y458" s="78">
        <f t="shared" si="58"/>
        <v>0</v>
      </c>
      <c r="Z458" s="78">
        <f t="shared" si="59"/>
        <v>0</v>
      </c>
      <c r="AA458" s="78">
        <f t="shared" si="60"/>
        <v>19430800</v>
      </c>
      <c r="AB458" s="78">
        <f t="shared" si="61"/>
        <v>0</v>
      </c>
      <c r="AC458" s="78"/>
      <c r="AD458" s="78">
        <v>0</v>
      </c>
      <c r="AE458" s="80">
        <f t="shared" si="63"/>
        <v>19430800</v>
      </c>
      <c r="AF458" s="82">
        <v>0</v>
      </c>
      <c r="AG458" s="69">
        <v>40330</v>
      </c>
      <c r="AH458" s="84">
        <v>97922</v>
      </c>
      <c r="AI458" s="69" t="s">
        <v>2009</v>
      </c>
      <c r="AJ458" s="25" t="s">
        <v>2010</v>
      </c>
      <c r="AK458" s="65">
        <v>195</v>
      </c>
      <c r="AL458" s="185" t="s">
        <v>2182</v>
      </c>
      <c r="AM458" s="85" t="s">
        <v>2398</v>
      </c>
      <c r="AN458" s="3"/>
      <c r="AO458" s="4"/>
      <c r="AP458" s="5"/>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6"/>
      <c r="CQ458" s="7"/>
      <c r="CR458" s="6"/>
      <c r="CS458" s="7"/>
      <c r="CT458" s="6"/>
      <c r="CU458" s="7"/>
      <c r="CV458" s="8">
        <f t="shared" si="62"/>
        <v>0</v>
      </c>
      <c r="CW458" s="9"/>
      <c r="CX458" s="10"/>
      <c r="CY458" s="11"/>
      <c r="CZ458" s="12"/>
      <c r="DA458" s="29"/>
      <c r="DB458" s="12"/>
      <c r="DC458" s="9">
        <v>850</v>
      </c>
      <c r="DD458" s="10">
        <f>850*22000+2100*348</f>
        <v>19430800</v>
      </c>
      <c r="DE458" s="71"/>
      <c r="EO458" s="353" t="str">
        <f t="shared" si="57"/>
        <v>SUCRE_MAJAGUAL</v>
      </c>
      <c r="EP458" s="350"/>
      <c r="EQ458" s="350" t="s">
        <v>4295</v>
      </c>
      <c r="ER458" s="358" t="s">
        <v>4296</v>
      </c>
      <c r="ES458" s="350" t="s">
        <v>5107</v>
      </c>
      <c r="ET458" s="350" t="s">
        <v>6030</v>
      </c>
      <c r="EU458" s="350" t="str">
        <f t="shared" si="56"/>
        <v>Cordoba_Buenavista</v>
      </c>
    </row>
    <row r="459" spans="1:151" ht="36" x14ac:dyDescent="0.2">
      <c r="A459" s="242">
        <v>40294</v>
      </c>
      <c r="B459" s="107" t="s">
        <v>2791</v>
      </c>
      <c r="C459" s="107" t="s">
        <v>264</v>
      </c>
      <c r="D459" s="427" t="s">
        <v>837</v>
      </c>
      <c r="E459" s="107" t="str">
        <f>VLOOKUP(B459&amp;C459,Divipola!$C$2:$F$1138,4,FALSE)</f>
        <v>73319</v>
      </c>
      <c r="F459" s="330"/>
      <c r="G459" s="224"/>
      <c r="H459" s="75"/>
      <c r="I459" s="75"/>
      <c r="J459" s="75">
        <v>163</v>
      </c>
      <c r="K459" s="75">
        <v>34</v>
      </c>
      <c r="L459" s="75"/>
      <c r="M459" s="75">
        <v>34</v>
      </c>
      <c r="N459" s="75"/>
      <c r="O459" s="75"/>
      <c r="P459" s="75"/>
      <c r="Q459" s="75"/>
      <c r="R459" s="75"/>
      <c r="S459" s="75"/>
      <c r="T459" s="75"/>
      <c r="U459" s="75"/>
      <c r="V459" s="76"/>
      <c r="W459" s="205"/>
      <c r="X459" s="1"/>
      <c r="Y459" s="78">
        <f t="shared" si="58"/>
        <v>0</v>
      </c>
      <c r="Z459" s="78">
        <f t="shared" si="59"/>
        <v>0</v>
      </c>
      <c r="AA459" s="78">
        <f t="shared" si="60"/>
        <v>0</v>
      </c>
      <c r="AB459" s="78">
        <f t="shared" si="61"/>
        <v>0</v>
      </c>
      <c r="AC459" s="78"/>
      <c r="AD459" s="78">
        <v>0</v>
      </c>
      <c r="AE459" s="80">
        <f t="shared" si="63"/>
        <v>0</v>
      </c>
      <c r="AF459" s="82">
        <v>0</v>
      </c>
      <c r="AG459" s="69">
        <v>40295</v>
      </c>
      <c r="AH459" s="84"/>
      <c r="AI459" s="69" t="s">
        <v>1984</v>
      </c>
      <c r="AJ459" s="25" t="s">
        <v>1985</v>
      </c>
      <c r="AK459" s="65"/>
      <c r="AL459" s="185" t="s">
        <v>1257</v>
      </c>
      <c r="AM459" s="85" t="s">
        <v>641</v>
      </c>
      <c r="AN459" s="3"/>
      <c r="AO459" s="4"/>
      <c r="AP459" s="5"/>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6"/>
      <c r="CQ459" s="7"/>
      <c r="CR459" s="6"/>
      <c r="CS459" s="7"/>
      <c r="CT459" s="6"/>
      <c r="CU459" s="7"/>
      <c r="CV459" s="8">
        <f t="shared" si="62"/>
        <v>0</v>
      </c>
      <c r="CW459" s="9"/>
      <c r="CX459" s="10"/>
      <c r="CY459" s="11"/>
      <c r="CZ459" s="12"/>
      <c r="DA459" s="29"/>
      <c r="DB459" s="12"/>
      <c r="DC459" s="9"/>
      <c r="DD459" s="10"/>
      <c r="DE459" s="71"/>
      <c r="EO459" s="353" t="str">
        <f t="shared" si="57"/>
        <v>TOLIMA_GUAMO</v>
      </c>
      <c r="EP459" s="350"/>
      <c r="EQ459" s="350" t="s">
        <v>4295</v>
      </c>
      <c r="ER459" s="358" t="s">
        <v>4296</v>
      </c>
      <c r="ES459" s="350" t="s">
        <v>5108</v>
      </c>
      <c r="ET459" s="350" t="s">
        <v>6238</v>
      </c>
      <c r="EU459" s="350" t="str">
        <f t="shared" si="56"/>
        <v>Cordoba_Canalete</v>
      </c>
    </row>
    <row r="460" spans="1:151" ht="38.25" x14ac:dyDescent="0.2">
      <c r="A460" s="246">
        <v>40295</v>
      </c>
      <c r="B460" s="238" t="s">
        <v>2401</v>
      </c>
      <c r="C460" s="238" t="s">
        <v>2210</v>
      </c>
      <c r="D460" s="431" t="s">
        <v>837</v>
      </c>
      <c r="E460" s="107" t="str">
        <f>VLOOKUP(B460&amp;C460,Divipola!$C$2:$F$1138,4,FALSE)</f>
        <v>05172</v>
      </c>
      <c r="F460" s="334"/>
      <c r="G460" s="224"/>
      <c r="H460" s="75"/>
      <c r="I460" s="75"/>
      <c r="J460" s="75">
        <v>385</v>
      </c>
      <c r="K460" s="75">
        <v>77</v>
      </c>
      <c r="L460" s="75"/>
      <c r="M460" s="75">
        <v>77</v>
      </c>
      <c r="N460" s="75"/>
      <c r="O460" s="75"/>
      <c r="P460" s="75"/>
      <c r="Q460" s="75"/>
      <c r="R460" s="75"/>
      <c r="S460" s="75"/>
      <c r="T460" s="75"/>
      <c r="U460" s="75"/>
      <c r="V460" s="76"/>
      <c r="W460" s="205"/>
      <c r="X460" s="1"/>
      <c r="Y460" s="78">
        <f t="shared" si="58"/>
        <v>0</v>
      </c>
      <c r="Z460" s="78">
        <f t="shared" si="59"/>
        <v>0</v>
      </c>
      <c r="AA460" s="78">
        <f t="shared" si="60"/>
        <v>0</v>
      </c>
      <c r="AB460" s="78">
        <f t="shared" si="61"/>
        <v>0</v>
      </c>
      <c r="AC460" s="78"/>
      <c r="AD460" s="78">
        <v>0</v>
      </c>
      <c r="AE460" s="80">
        <f t="shared" si="63"/>
        <v>0</v>
      </c>
      <c r="AF460" s="82">
        <v>0</v>
      </c>
      <c r="AG460" s="69">
        <v>40296</v>
      </c>
      <c r="AH460" s="84"/>
      <c r="AI460" s="69" t="s">
        <v>1984</v>
      </c>
      <c r="AJ460" s="25" t="s">
        <v>1985</v>
      </c>
      <c r="AK460" s="65"/>
      <c r="AL460" s="185" t="s">
        <v>1257</v>
      </c>
      <c r="AM460" s="85" t="s">
        <v>2318</v>
      </c>
      <c r="AN460" s="3"/>
      <c r="AO460" s="4"/>
      <c r="AP460" s="5"/>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6"/>
      <c r="CQ460" s="7"/>
      <c r="CR460" s="6"/>
      <c r="CS460" s="7"/>
      <c r="CT460" s="6"/>
      <c r="CU460" s="7"/>
      <c r="CV460" s="8">
        <f t="shared" si="62"/>
        <v>0</v>
      </c>
      <c r="CW460" s="9"/>
      <c r="CX460" s="10"/>
      <c r="CY460" s="11"/>
      <c r="CZ460" s="12"/>
      <c r="DA460" s="29"/>
      <c r="DB460" s="12"/>
      <c r="DC460" s="9"/>
      <c r="DD460" s="10"/>
      <c r="DE460" s="71"/>
      <c r="EO460" s="353" t="str">
        <f t="shared" si="57"/>
        <v>ANTIOQUIA_CHIGORODO</v>
      </c>
      <c r="EP460" s="350"/>
      <c r="EQ460" s="350" t="s">
        <v>4295</v>
      </c>
      <c r="ER460" s="358" t="s">
        <v>4296</v>
      </c>
      <c r="ES460" s="350" t="s">
        <v>5110</v>
      </c>
      <c r="ET460" s="350" t="s">
        <v>6239</v>
      </c>
      <c r="EU460" s="350" t="str">
        <f t="shared" si="56"/>
        <v>Cordoba_Chima</v>
      </c>
    </row>
    <row r="461" spans="1:151" ht="38.25" x14ac:dyDescent="0.2">
      <c r="A461" s="246">
        <v>40295</v>
      </c>
      <c r="B461" s="238" t="s">
        <v>2401</v>
      </c>
      <c r="C461" s="238" t="s">
        <v>891</v>
      </c>
      <c r="D461" s="431" t="s">
        <v>2209</v>
      </c>
      <c r="E461" s="107" t="str">
        <f>VLOOKUP(B461&amp;C461,Divipola!$C$2:$F$1138,4,FALSE)</f>
        <v>05585</v>
      </c>
      <c r="F461" s="334"/>
      <c r="G461" s="224"/>
      <c r="H461" s="75"/>
      <c r="I461" s="75"/>
      <c r="J461" s="75">
        <v>1186</v>
      </c>
      <c r="K461" s="75">
        <v>330</v>
      </c>
      <c r="L461" s="75">
        <v>37</v>
      </c>
      <c r="M461" s="75">
        <v>5</v>
      </c>
      <c r="N461" s="75"/>
      <c r="O461" s="75"/>
      <c r="P461" s="75"/>
      <c r="Q461" s="75"/>
      <c r="R461" s="75"/>
      <c r="S461" s="75"/>
      <c r="T461" s="75"/>
      <c r="U461" s="75"/>
      <c r="V461" s="76"/>
      <c r="W461" s="205"/>
      <c r="X461" s="1"/>
      <c r="Y461" s="78">
        <f t="shared" si="58"/>
        <v>0</v>
      </c>
      <c r="Z461" s="78">
        <f t="shared" si="59"/>
        <v>0</v>
      </c>
      <c r="AA461" s="78">
        <f t="shared" si="60"/>
        <v>0</v>
      </c>
      <c r="AB461" s="78">
        <f t="shared" si="61"/>
        <v>0</v>
      </c>
      <c r="AC461" s="78"/>
      <c r="AD461" s="78">
        <v>0</v>
      </c>
      <c r="AE461" s="80">
        <f t="shared" si="63"/>
        <v>0</v>
      </c>
      <c r="AF461" s="82">
        <v>0</v>
      </c>
      <c r="AG461" s="69">
        <v>40296</v>
      </c>
      <c r="AH461" s="84"/>
      <c r="AI461" s="69" t="s">
        <v>1984</v>
      </c>
      <c r="AJ461" s="25" t="s">
        <v>1985</v>
      </c>
      <c r="AK461" s="65"/>
      <c r="AL461" s="185" t="s">
        <v>1257</v>
      </c>
      <c r="AM461" s="85" t="s">
        <v>892</v>
      </c>
      <c r="AN461" s="3"/>
      <c r="AO461" s="4"/>
      <c r="AP461" s="5"/>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6"/>
      <c r="CQ461" s="7"/>
      <c r="CR461" s="6"/>
      <c r="CS461" s="7"/>
      <c r="CT461" s="6"/>
      <c r="CU461" s="7"/>
      <c r="CV461" s="8">
        <f t="shared" si="62"/>
        <v>0</v>
      </c>
      <c r="CW461" s="9"/>
      <c r="CX461" s="10"/>
      <c r="CY461" s="11"/>
      <c r="CZ461" s="12"/>
      <c r="DA461" s="29"/>
      <c r="DB461" s="12"/>
      <c r="DC461" s="9"/>
      <c r="DD461" s="10"/>
      <c r="DE461" s="71"/>
      <c r="EO461" s="353" t="str">
        <f t="shared" si="57"/>
        <v>ANTIOQUIA_PUERTO NARE</v>
      </c>
      <c r="EP461" s="350"/>
      <c r="EQ461" s="350" t="s">
        <v>4295</v>
      </c>
      <c r="ER461" s="358" t="s">
        <v>4296</v>
      </c>
      <c r="ES461" s="350" t="s">
        <v>5111</v>
      </c>
      <c r="ET461" s="350" t="s">
        <v>6240</v>
      </c>
      <c r="EU461" s="350" t="str">
        <f t="shared" si="56"/>
        <v>Cordoba_Chinu</v>
      </c>
    </row>
    <row r="462" spans="1:151" ht="38.25" x14ac:dyDescent="0.2">
      <c r="A462" s="242">
        <v>40295</v>
      </c>
      <c r="B462" s="107" t="s">
        <v>6305</v>
      </c>
      <c r="C462" s="107" t="s">
        <v>6305</v>
      </c>
      <c r="D462" s="427" t="s">
        <v>2352</v>
      </c>
      <c r="E462" s="107" t="str">
        <f>VLOOKUP(B462&amp;C462,Divipola!$C$2:$F$1138,4,FALSE)</f>
        <v>11001</v>
      </c>
      <c r="F462" s="330"/>
      <c r="G462" s="224"/>
      <c r="H462" s="75"/>
      <c r="I462" s="75"/>
      <c r="J462" s="75">
        <v>5</v>
      </c>
      <c r="K462" s="75">
        <v>1</v>
      </c>
      <c r="L462" s="75">
        <v>1</v>
      </c>
      <c r="M462" s="75"/>
      <c r="N462" s="75"/>
      <c r="O462" s="75"/>
      <c r="P462" s="75"/>
      <c r="Q462" s="75"/>
      <c r="R462" s="75"/>
      <c r="S462" s="75"/>
      <c r="T462" s="75"/>
      <c r="U462" s="75"/>
      <c r="V462" s="76"/>
      <c r="W462" s="205"/>
      <c r="X462" s="1"/>
      <c r="Y462" s="78">
        <f t="shared" si="58"/>
        <v>0</v>
      </c>
      <c r="Z462" s="78">
        <f t="shared" si="59"/>
        <v>0</v>
      </c>
      <c r="AA462" s="78">
        <f t="shared" si="60"/>
        <v>0</v>
      </c>
      <c r="AB462" s="78">
        <f t="shared" si="61"/>
        <v>0</v>
      </c>
      <c r="AC462" s="78"/>
      <c r="AD462" s="78">
        <v>0</v>
      </c>
      <c r="AE462" s="80">
        <f t="shared" si="63"/>
        <v>0</v>
      </c>
      <c r="AF462" s="82">
        <v>0</v>
      </c>
      <c r="AG462" s="69">
        <v>40296</v>
      </c>
      <c r="AH462" s="84"/>
      <c r="AI462" s="69" t="s">
        <v>1984</v>
      </c>
      <c r="AJ462" s="25" t="s">
        <v>1985</v>
      </c>
      <c r="AK462" s="65"/>
      <c r="AL462" s="185" t="s">
        <v>1257</v>
      </c>
      <c r="AM462" s="85" t="s">
        <v>890</v>
      </c>
      <c r="AN462" s="3"/>
      <c r="AO462" s="4"/>
      <c r="AP462" s="5"/>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6"/>
      <c r="CQ462" s="7"/>
      <c r="CR462" s="6"/>
      <c r="CS462" s="7"/>
      <c r="CT462" s="6"/>
      <c r="CU462" s="7"/>
      <c r="CV462" s="8">
        <f t="shared" si="62"/>
        <v>0</v>
      </c>
      <c r="CW462" s="9"/>
      <c r="CX462" s="10"/>
      <c r="CY462" s="11"/>
      <c r="CZ462" s="12"/>
      <c r="DA462" s="29"/>
      <c r="DB462" s="12"/>
      <c r="DC462" s="9"/>
      <c r="DD462" s="10"/>
      <c r="DE462" s="71"/>
      <c r="EO462" s="353" t="str">
        <f t="shared" si="57"/>
        <v>BOGOTA, D.C._BOGOTA, D.C.</v>
      </c>
      <c r="EP462" s="350"/>
      <c r="EQ462" s="350" t="s">
        <v>4295</v>
      </c>
      <c r="ER462" s="358" t="s">
        <v>4296</v>
      </c>
      <c r="ES462" s="350" t="s">
        <v>5112</v>
      </c>
      <c r="ET462" s="350" t="s">
        <v>6241</v>
      </c>
      <c r="EU462" s="350" t="str">
        <f t="shared" si="56"/>
        <v>Cordoba_Cienaga de Oro</v>
      </c>
    </row>
    <row r="463" spans="1:151" ht="25.5" x14ac:dyDescent="0.2">
      <c r="A463" s="242">
        <v>40295</v>
      </c>
      <c r="B463" s="222" t="s">
        <v>1333</v>
      </c>
      <c r="C463" s="222" t="s">
        <v>2504</v>
      </c>
      <c r="D463" s="430" t="s">
        <v>837</v>
      </c>
      <c r="E463" s="107" t="str">
        <f>VLOOKUP(B463&amp;C463,Divipola!$C$2:$F$1138,4,FALSE)</f>
        <v>41530</v>
      </c>
      <c r="F463" s="333"/>
      <c r="G463" s="221"/>
      <c r="H463" s="157"/>
      <c r="I463" s="157"/>
      <c r="J463" s="157">
        <v>25</v>
      </c>
      <c r="K463" s="157">
        <v>5</v>
      </c>
      <c r="L463" s="157"/>
      <c r="M463" s="157">
        <v>5</v>
      </c>
      <c r="N463" s="157"/>
      <c r="O463" s="157"/>
      <c r="P463" s="157"/>
      <c r="Q463" s="157"/>
      <c r="R463" s="157"/>
      <c r="S463" s="157"/>
      <c r="T463" s="157"/>
      <c r="U463" s="157"/>
      <c r="V463" s="158"/>
      <c r="W463" s="182"/>
      <c r="X463" s="1"/>
      <c r="Y463" s="78">
        <f t="shared" si="58"/>
        <v>0</v>
      </c>
      <c r="Z463" s="78">
        <f t="shared" si="59"/>
        <v>0</v>
      </c>
      <c r="AA463" s="78">
        <f t="shared" si="60"/>
        <v>0</v>
      </c>
      <c r="AB463" s="78">
        <f t="shared" si="61"/>
        <v>0</v>
      </c>
      <c r="AC463" s="78"/>
      <c r="AD463" s="78">
        <v>0</v>
      </c>
      <c r="AE463" s="80">
        <f t="shared" si="63"/>
        <v>0</v>
      </c>
      <c r="AF463" s="82">
        <v>0</v>
      </c>
      <c r="AG463" s="69">
        <v>40581</v>
      </c>
      <c r="AH463" s="84"/>
      <c r="AI463" s="69" t="s">
        <v>1984</v>
      </c>
      <c r="AJ463" s="25" t="s">
        <v>1985</v>
      </c>
      <c r="AK463" s="65"/>
      <c r="AL463" s="176" t="s">
        <v>1257</v>
      </c>
      <c r="AM463" s="173" t="s">
        <v>349</v>
      </c>
      <c r="AN463" s="159"/>
      <c r="AO463" s="160"/>
      <c r="AP463" s="161"/>
      <c r="AQ463" s="160"/>
      <c r="AR463" s="160"/>
      <c r="AS463" s="160"/>
      <c r="AT463" s="160"/>
      <c r="AU463" s="160"/>
      <c r="AV463" s="160"/>
      <c r="AW463" s="160"/>
      <c r="AX463" s="160"/>
      <c r="AY463" s="160"/>
      <c r="AZ463" s="160"/>
      <c r="BA463" s="160"/>
      <c r="BB463" s="160"/>
      <c r="BC463" s="160"/>
      <c r="BD463" s="160"/>
      <c r="BE463" s="160"/>
      <c r="BF463" s="160"/>
      <c r="BG463" s="160"/>
      <c r="BH463" s="160"/>
      <c r="BI463" s="160"/>
      <c r="BJ463" s="160"/>
      <c r="BK463" s="160"/>
      <c r="BL463" s="160"/>
      <c r="BM463" s="160"/>
      <c r="BN463" s="160"/>
      <c r="BO463" s="160"/>
      <c r="BP463" s="160"/>
      <c r="BQ463" s="160"/>
      <c r="BR463" s="160"/>
      <c r="BS463" s="160"/>
      <c r="BT463" s="160"/>
      <c r="BU463" s="160"/>
      <c r="BV463" s="160"/>
      <c r="BW463" s="160"/>
      <c r="BX463" s="160"/>
      <c r="BY463" s="160"/>
      <c r="BZ463" s="160"/>
      <c r="CA463" s="160"/>
      <c r="CB463" s="160"/>
      <c r="CC463" s="160"/>
      <c r="CD463" s="160"/>
      <c r="CE463" s="160"/>
      <c r="CF463" s="160"/>
      <c r="CG463" s="160"/>
      <c r="CH463" s="160"/>
      <c r="CI463" s="160"/>
      <c r="CJ463" s="160"/>
      <c r="CK463" s="160"/>
      <c r="CL463" s="160"/>
      <c r="CM463" s="160"/>
      <c r="CN463" s="160"/>
      <c r="CO463" s="160"/>
      <c r="CP463" s="162"/>
      <c r="CQ463" s="163"/>
      <c r="CR463" s="162"/>
      <c r="CS463" s="163"/>
      <c r="CT463" s="162"/>
      <c r="CU463" s="163"/>
      <c r="CV463" s="164">
        <f t="shared" si="62"/>
        <v>0</v>
      </c>
      <c r="CW463" s="165"/>
      <c r="CX463" s="166"/>
      <c r="CY463" s="167"/>
      <c r="CZ463" s="168"/>
      <c r="DA463" s="169"/>
      <c r="DB463" s="168"/>
      <c r="DC463" s="165"/>
      <c r="DD463" s="166"/>
      <c r="DE463" s="71"/>
      <c r="DF463" s="170"/>
      <c r="EO463" s="353" t="str">
        <f t="shared" si="57"/>
        <v>HUILA_PALESTINA</v>
      </c>
      <c r="EP463" s="350"/>
      <c r="EQ463" s="350" t="s">
        <v>4295</v>
      </c>
      <c r="ER463" s="358" t="s">
        <v>4296</v>
      </c>
      <c r="ES463" s="350" t="s">
        <v>5113</v>
      </c>
      <c r="ET463" s="350" t="s">
        <v>6242</v>
      </c>
      <c r="EU463" s="350" t="str">
        <f t="shared" si="56"/>
        <v>Cordoba_Cotorra</v>
      </c>
    </row>
    <row r="464" spans="1:151" ht="25.5" x14ac:dyDescent="0.2">
      <c r="A464" s="242">
        <v>40295</v>
      </c>
      <c r="B464" s="107" t="s">
        <v>708</v>
      </c>
      <c r="C464" s="107" t="s">
        <v>2188</v>
      </c>
      <c r="D464" s="427" t="s">
        <v>837</v>
      </c>
      <c r="E464" s="107" t="str">
        <f>VLOOKUP(B464&amp;C464,Divipola!$C$2:$F$1138,4,FALSE)</f>
        <v>50689</v>
      </c>
      <c r="F464" s="330"/>
      <c r="G464" s="224"/>
      <c r="H464" s="75"/>
      <c r="I464" s="75"/>
      <c r="J464" s="75">
        <v>20</v>
      </c>
      <c r="K464" s="75">
        <v>5</v>
      </c>
      <c r="L464" s="75"/>
      <c r="M464" s="75">
        <v>5</v>
      </c>
      <c r="N464" s="75"/>
      <c r="O464" s="75"/>
      <c r="P464" s="75"/>
      <c r="Q464" s="75"/>
      <c r="R464" s="75"/>
      <c r="S464" s="75"/>
      <c r="T464" s="75"/>
      <c r="U464" s="75"/>
      <c r="V464" s="76"/>
      <c r="W464" s="205"/>
      <c r="X464" s="1"/>
      <c r="Y464" s="78">
        <f t="shared" si="58"/>
        <v>0</v>
      </c>
      <c r="Z464" s="78">
        <f t="shared" si="59"/>
        <v>0</v>
      </c>
      <c r="AA464" s="78">
        <f t="shared" si="60"/>
        <v>0</v>
      </c>
      <c r="AB464" s="78">
        <f t="shared" si="61"/>
        <v>0</v>
      </c>
      <c r="AC464" s="78"/>
      <c r="AD464" s="78">
        <v>0</v>
      </c>
      <c r="AE464" s="80">
        <f t="shared" si="63"/>
        <v>0</v>
      </c>
      <c r="AF464" s="82">
        <v>0</v>
      </c>
      <c r="AG464" s="69">
        <v>40302</v>
      </c>
      <c r="AH464" s="84"/>
      <c r="AI464" s="69" t="s">
        <v>1984</v>
      </c>
      <c r="AJ464" s="25" t="s">
        <v>1985</v>
      </c>
      <c r="AK464" s="65"/>
      <c r="AL464" s="185" t="s">
        <v>1257</v>
      </c>
      <c r="AM464" s="85" t="s">
        <v>632</v>
      </c>
      <c r="AN464" s="3"/>
      <c r="AO464" s="4"/>
      <c r="AP464" s="5"/>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6"/>
      <c r="CQ464" s="7"/>
      <c r="CR464" s="6"/>
      <c r="CS464" s="7"/>
      <c r="CT464" s="6"/>
      <c r="CU464" s="7"/>
      <c r="CV464" s="8">
        <f t="shared" si="62"/>
        <v>0</v>
      </c>
      <c r="CW464" s="9"/>
      <c r="CX464" s="10"/>
      <c r="CY464" s="11"/>
      <c r="CZ464" s="12"/>
      <c r="DA464" s="29"/>
      <c r="DB464" s="12"/>
      <c r="DC464" s="9"/>
      <c r="DD464" s="10"/>
      <c r="DE464" s="71"/>
      <c r="EO464" s="353" t="str">
        <f t="shared" si="57"/>
        <v>META_SAN MARTIN</v>
      </c>
      <c r="EP464" s="350"/>
      <c r="EQ464" s="350" t="s">
        <v>4295</v>
      </c>
      <c r="ER464" s="358" t="s">
        <v>4296</v>
      </c>
      <c r="ES464" s="350" t="s">
        <v>5114</v>
      </c>
      <c r="ET464" s="350" t="s">
        <v>6243</v>
      </c>
      <c r="EU464" s="350" t="str">
        <f t="shared" si="56"/>
        <v>Cordoba_La Apartada</v>
      </c>
    </row>
    <row r="465" spans="1:151" ht="25.5" x14ac:dyDescent="0.2">
      <c r="A465" s="242">
        <v>40296</v>
      </c>
      <c r="B465" s="107" t="s">
        <v>2401</v>
      </c>
      <c r="C465" s="107" t="s">
        <v>289</v>
      </c>
      <c r="D465" s="427" t="s">
        <v>1721</v>
      </c>
      <c r="E465" s="107" t="str">
        <f>VLOOKUP(B465&amp;C465,Divipola!$C$2:$F$1138,4,FALSE)</f>
        <v>05129</v>
      </c>
      <c r="F465" s="330"/>
      <c r="G465" s="224"/>
      <c r="H465" s="75"/>
      <c r="I465" s="75"/>
      <c r="J465" s="75">
        <v>5</v>
      </c>
      <c r="K465" s="75">
        <v>1</v>
      </c>
      <c r="L465" s="75">
        <v>1</v>
      </c>
      <c r="M465" s="75"/>
      <c r="N465" s="75"/>
      <c r="O465" s="75"/>
      <c r="P465" s="75"/>
      <c r="Q465" s="75"/>
      <c r="R465" s="75"/>
      <c r="S465" s="75"/>
      <c r="T465" s="75"/>
      <c r="U465" s="75"/>
      <c r="V465" s="76"/>
      <c r="W465" s="205"/>
      <c r="X465" s="1"/>
      <c r="Y465" s="78">
        <f t="shared" si="58"/>
        <v>0</v>
      </c>
      <c r="Z465" s="78">
        <f t="shared" si="59"/>
        <v>0</v>
      </c>
      <c r="AA465" s="78">
        <f t="shared" si="60"/>
        <v>0</v>
      </c>
      <c r="AB465" s="78">
        <f t="shared" si="61"/>
        <v>0</v>
      </c>
      <c r="AC465" s="78"/>
      <c r="AD465" s="78">
        <v>0</v>
      </c>
      <c r="AE465" s="80">
        <f t="shared" si="63"/>
        <v>0</v>
      </c>
      <c r="AF465" s="82">
        <v>0</v>
      </c>
      <c r="AG465" s="69">
        <v>40297</v>
      </c>
      <c r="AH465" s="84"/>
      <c r="AI465" s="69" t="s">
        <v>1984</v>
      </c>
      <c r="AJ465" s="25" t="s">
        <v>1985</v>
      </c>
      <c r="AK465" s="65"/>
      <c r="AL465" s="185" t="s">
        <v>1257</v>
      </c>
      <c r="AM465" s="85" t="s">
        <v>2317</v>
      </c>
      <c r="AN465" s="3"/>
      <c r="AO465" s="4"/>
      <c r="AP465" s="5"/>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6"/>
      <c r="CQ465" s="7"/>
      <c r="CR465" s="6"/>
      <c r="CS465" s="7"/>
      <c r="CT465" s="6"/>
      <c r="CU465" s="7"/>
      <c r="CV465" s="8">
        <f t="shared" si="62"/>
        <v>0</v>
      </c>
      <c r="CW465" s="9"/>
      <c r="CX465" s="10"/>
      <c r="CY465" s="11"/>
      <c r="CZ465" s="12"/>
      <c r="DA465" s="29"/>
      <c r="DB465" s="12"/>
      <c r="DC465" s="9"/>
      <c r="DD465" s="10"/>
      <c r="DE465" s="71"/>
      <c r="EO465" s="353" t="str">
        <f t="shared" si="57"/>
        <v>ANTIOQUIA_CALDAS</v>
      </c>
      <c r="EP465" s="350"/>
      <c r="EQ465" s="350" t="s">
        <v>4295</v>
      </c>
      <c r="ER465" s="358" t="s">
        <v>4296</v>
      </c>
      <c r="ES465" s="350" t="s">
        <v>5115</v>
      </c>
      <c r="ET465" s="350" t="s">
        <v>6244</v>
      </c>
      <c r="EU465" s="350" t="str">
        <f t="shared" si="56"/>
        <v>Cordoba_Lorica</v>
      </c>
    </row>
    <row r="466" spans="1:151" ht="25.5" x14ac:dyDescent="0.2">
      <c r="A466" s="242">
        <v>40296</v>
      </c>
      <c r="B466" s="107" t="s">
        <v>2791</v>
      </c>
      <c r="C466" s="107" t="s">
        <v>888</v>
      </c>
      <c r="D466" s="427" t="s">
        <v>837</v>
      </c>
      <c r="E466" s="107" t="str">
        <f>VLOOKUP(B466&amp;C466,Divipola!$C$2:$F$1138,4,FALSE)</f>
        <v>73217</v>
      </c>
      <c r="F466" s="330"/>
      <c r="G466" s="224"/>
      <c r="H466" s="75"/>
      <c r="I466" s="75"/>
      <c r="J466" s="75">
        <v>9</v>
      </c>
      <c r="K466" s="75">
        <v>2</v>
      </c>
      <c r="L466" s="75"/>
      <c r="M466" s="75"/>
      <c r="N466" s="75"/>
      <c r="O466" s="75"/>
      <c r="P466" s="75"/>
      <c r="Q466" s="75"/>
      <c r="R466" s="75"/>
      <c r="S466" s="75"/>
      <c r="T466" s="75"/>
      <c r="U466" s="75"/>
      <c r="V466" s="76"/>
      <c r="W466" s="205"/>
      <c r="X466" s="1"/>
      <c r="Y466" s="78">
        <f t="shared" si="58"/>
        <v>0</v>
      </c>
      <c r="Z466" s="78">
        <f t="shared" si="59"/>
        <v>0</v>
      </c>
      <c r="AA466" s="78">
        <f t="shared" si="60"/>
        <v>0</v>
      </c>
      <c r="AB466" s="78">
        <f t="shared" si="61"/>
        <v>0</v>
      </c>
      <c r="AC466" s="78"/>
      <c r="AD466" s="78">
        <v>0</v>
      </c>
      <c r="AE466" s="80">
        <f t="shared" si="63"/>
        <v>0</v>
      </c>
      <c r="AF466" s="82">
        <v>0</v>
      </c>
      <c r="AG466" s="69">
        <v>40296</v>
      </c>
      <c r="AH466" s="84"/>
      <c r="AI466" s="69" t="s">
        <v>1984</v>
      </c>
      <c r="AJ466" s="25" t="s">
        <v>1985</v>
      </c>
      <c r="AK466" s="65"/>
      <c r="AL466" s="185" t="s">
        <v>1257</v>
      </c>
      <c r="AM466" s="85" t="s">
        <v>889</v>
      </c>
      <c r="AN466" s="3"/>
      <c r="AO466" s="4"/>
      <c r="AP466" s="5"/>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6"/>
      <c r="CQ466" s="7"/>
      <c r="CR466" s="6"/>
      <c r="CS466" s="7"/>
      <c r="CT466" s="6"/>
      <c r="CU466" s="7"/>
      <c r="CV466" s="8">
        <f t="shared" si="62"/>
        <v>0</v>
      </c>
      <c r="CW466" s="9"/>
      <c r="CX466" s="10"/>
      <c r="CY466" s="11"/>
      <c r="CZ466" s="12"/>
      <c r="DA466" s="29"/>
      <c r="DB466" s="12"/>
      <c r="DC466" s="9"/>
      <c r="DD466" s="10"/>
      <c r="DE466" s="71"/>
      <c r="EO466" s="353" t="str">
        <f t="shared" si="57"/>
        <v>TOLIMA_COYAIMA</v>
      </c>
      <c r="EP466" s="350"/>
      <c r="EQ466" s="350" t="s">
        <v>4295</v>
      </c>
      <c r="ER466" s="358" t="s">
        <v>4296</v>
      </c>
      <c r="ES466" s="350" t="s">
        <v>5117</v>
      </c>
      <c r="ET466" s="350" t="s">
        <v>6245</v>
      </c>
      <c r="EU466" s="350" t="str">
        <f t="shared" si="56"/>
        <v>Cordoba_Momil</v>
      </c>
    </row>
    <row r="467" spans="1:151" ht="56.25" x14ac:dyDescent="0.2">
      <c r="A467" s="242">
        <v>40296</v>
      </c>
      <c r="B467" s="107" t="s">
        <v>1462</v>
      </c>
      <c r="C467" s="107" t="s">
        <v>609</v>
      </c>
      <c r="D467" s="427" t="s">
        <v>837</v>
      </c>
      <c r="E467" s="107" t="str">
        <f>VLOOKUP(B467&amp;C467,Divipola!$C$2:$F$1138,4,FALSE)</f>
        <v>76364</v>
      </c>
      <c r="F467" s="330"/>
      <c r="G467" s="224"/>
      <c r="H467" s="75"/>
      <c r="I467" s="75"/>
      <c r="J467" s="75">
        <v>750</v>
      </c>
      <c r="K467" s="75">
        <v>150</v>
      </c>
      <c r="L467" s="75"/>
      <c r="M467" s="75">
        <v>150</v>
      </c>
      <c r="N467" s="75"/>
      <c r="O467" s="75"/>
      <c r="P467" s="75"/>
      <c r="Q467" s="75"/>
      <c r="R467" s="75"/>
      <c r="S467" s="75"/>
      <c r="T467" s="75"/>
      <c r="U467" s="75"/>
      <c r="V467" s="76"/>
      <c r="W467" s="205" t="s">
        <v>1839</v>
      </c>
      <c r="X467" s="1"/>
      <c r="Y467" s="78">
        <f t="shared" si="58"/>
        <v>0</v>
      </c>
      <c r="Z467" s="78">
        <f t="shared" si="59"/>
        <v>0</v>
      </c>
      <c r="AA467" s="78">
        <f t="shared" si="60"/>
        <v>0</v>
      </c>
      <c r="AB467" s="78">
        <f t="shared" si="61"/>
        <v>0</v>
      </c>
      <c r="AC467" s="78"/>
      <c r="AD467" s="78">
        <v>0</v>
      </c>
      <c r="AE467" s="80">
        <f t="shared" si="63"/>
        <v>0</v>
      </c>
      <c r="AF467" s="82">
        <v>0</v>
      </c>
      <c r="AG467" s="69">
        <v>40297</v>
      </c>
      <c r="AH467" s="84">
        <v>50268</v>
      </c>
      <c r="AI467" s="69" t="s">
        <v>2009</v>
      </c>
      <c r="AJ467" s="25" t="s">
        <v>1196</v>
      </c>
      <c r="AK467" s="65"/>
      <c r="AL467" s="185" t="s">
        <v>1684</v>
      </c>
      <c r="AM467" s="85" t="s">
        <v>1840</v>
      </c>
      <c r="AN467" s="3"/>
      <c r="AO467" s="4"/>
      <c r="AP467" s="5"/>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6"/>
      <c r="CQ467" s="7"/>
      <c r="CR467" s="6"/>
      <c r="CS467" s="7"/>
      <c r="CT467" s="6"/>
      <c r="CU467" s="7"/>
      <c r="CV467" s="8">
        <f t="shared" si="62"/>
        <v>0</v>
      </c>
      <c r="CW467" s="9"/>
      <c r="CX467" s="10"/>
      <c r="CY467" s="11"/>
      <c r="CZ467" s="12"/>
      <c r="DA467" s="29"/>
      <c r="DB467" s="12"/>
      <c r="DC467" s="9"/>
      <c r="DD467" s="10"/>
      <c r="DE467" s="71"/>
      <c r="EO467" s="353" t="str">
        <f t="shared" si="57"/>
        <v>VALLE DEL CAUCA_JAMUNDI</v>
      </c>
      <c r="EP467" s="350"/>
      <c r="EQ467" s="350" t="s">
        <v>4295</v>
      </c>
      <c r="ER467" s="358" t="s">
        <v>4296</v>
      </c>
      <c r="ES467" s="350" t="s">
        <v>5118</v>
      </c>
      <c r="ET467" s="350" t="s">
        <v>3739</v>
      </c>
      <c r="EU467" s="350" t="str">
        <f t="shared" si="56"/>
        <v>Cordoba_Montelibano</v>
      </c>
    </row>
    <row r="468" spans="1:151" ht="25.5" x14ac:dyDescent="0.2">
      <c r="A468" s="242">
        <v>40297</v>
      </c>
      <c r="B468" s="107" t="s">
        <v>1951</v>
      </c>
      <c r="C468" s="107" t="s">
        <v>678</v>
      </c>
      <c r="D468" s="427" t="s">
        <v>837</v>
      </c>
      <c r="E468" s="107" t="str">
        <f>VLOOKUP(B468&amp;C468,Divipola!$C$2:$F$1138,4,FALSE)</f>
        <v>08758</v>
      </c>
      <c r="F468" s="330"/>
      <c r="G468" s="224"/>
      <c r="H468" s="75"/>
      <c r="I468" s="75"/>
      <c r="J468" s="75"/>
      <c r="K468" s="75"/>
      <c r="L468" s="75"/>
      <c r="M468" s="75"/>
      <c r="N468" s="75"/>
      <c r="O468" s="75"/>
      <c r="P468" s="75"/>
      <c r="Q468" s="75"/>
      <c r="R468" s="75"/>
      <c r="S468" s="75"/>
      <c r="T468" s="75">
        <v>1</v>
      </c>
      <c r="U468" s="75"/>
      <c r="V468" s="76"/>
      <c r="W468" s="205"/>
      <c r="X468" s="1"/>
      <c r="Y468" s="78">
        <f t="shared" si="58"/>
        <v>0</v>
      </c>
      <c r="Z468" s="78">
        <f t="shared" si="59"/>
        <v>0</v>
      </c>
      <c r="AA468" s="78">
        <f t="shared" si="60"/>
        <v>0</v>
      </c>
      <c r="AB468" s="78">
        <f t="shared" si="61"/>
        <v>0</v>
      </c>
      <c r="AC468" s="78"/>
      <c r="AD468" s="78">
        <v>0</v>
      </c>
      <c r="AE468" s="80">
        <f t="shared" si="63"/>
        <v>0</v>
      </c>
      <c r="AF468" s="82">
        <v>0</v>
      </c>
      <c r="AG468" s="69">
        <v>40298</v>
      </c>
      <c r="AH468" s="84"/>
      <c r="AI468" s="69" t="s">
        <v>1984</v>
      </c>
      <c r="AJ468" s="25" t="s">
        <v>1985</v>
      </c>
      <c r="AK468" s="65"/>
      <c r="AL468" s="185" t="s">
        <v>1257</v>
      </c>
      <c r="AM468" s="172" t="s">
        <v>679</v>
      </c>
      <c r="AN468" s="3"/>
      <c r="AO468" s="4"/>
      <c r="AP468" s="5"/>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6"/>
      <c r="CQ468" s="7"/>
      <c r="CR468" s="6"/>
      <c r="CS468" s="7"/>
      <c r="CT468" s="6"/>
      <c r="CU468" s="7"/>
      <c r="CV468" s="8">
        <f t="shared" si="62"/>
        <v>0</v>
      </c>
      <c r="CW468" s="9"/>
      <c r="CX468" s="10"/>
      <c r="CY468" s="11"/>
      <c r="CZ468" s="12"/>
      <c r="DA468" s="29"/>
      <c r="DB468" s="12"/>
      <c r="DC468" s="9"/>
      <c r="DD468" s="10"/>
      <c r="DE468" s="71"/>
      <c r="DF468" s="23">
        <v>1026</v>
      </c>
      <c r="EO468" s="353" t="str">
        <f t="shared" si="57"/>
        <v>ATLANTICO_SOLEDAD</v>
      </c>
      <c r="EP468" s="350"/>
      <c r="EQ468" s="350" t="s">
        <v>4295</v>
      </c>
      <c r="ER468" s="358" t="s">
        <v>4296</v>
      </c>
      <c r="ES468" s="350" t="s">
        <v>5119</v>
      </c>
      <c r="ET468" s="350" t="s">
        <v>6246</v>
      </c>
      <c r="EU468" s="350" t="str">
        <f t="shared" si="56"/>
        <v>Cordoba_Moñitos</v>
      </c>
    </row>
    <row r="469" spans="1:151" ht="38.25" x14ac:dyDescent="0.2">
      <c r="A469" s="242">
        <v>40297.475694444445</v>
      </c>
      <c r="B469" s="107" t="s">
        <v>6305</v>
      </c>
      <c r="C469" s="107" t="s">
        <v>6305</v>
      </c>
      <c r="D469" s="430" t="s">
        <v>2307</v>
      </c>
      <c r="E469" s="107" t="str">
        <f>VLOOKUP(B469&amp;C469,Divipola!$C$2:$F$1138,4,FALSE)</f>
        <v>11001</v>
      </c>
      <c r="F469" s="333"/>
      <c r="G469" s="221">
        <v>1</v>
      </c>
      <c r="H469" s="157">
        <v>9</v>
      </c>
      <c r="I469" s="157"/>
      <c r="J469" s="157">
        <v>373</v>
      </c>
      <c r="K469" s="414">
        <v>77</v>
      </c>
      <c r="L469" s="157"/>
      <c r="M469" s="157"/>
      <c r="N469" s="157"/>
      <c r="O469" s="157"/>
      <c r="P469" s="157"/>
      <c r="Q469" s="157"/>
      <c r="R469" s="157"/>
      <c r="S469" s="157"/>
      <c r="T469" s="157"/>
      <c r="U469" s="157"/>
      <c r="V469" s="158"/>
      <c r="W469" s="182"/>
      <c r="X469" s="1"/>
      <c r="Y469" s="78">
        <f t="shared" si="58"/>
        <v>0</v>
      </c>
      <c r="Z469" s="78">
        <f t="shared" si="59"/>
        <v>0</v>
      </c>
      <c r="AA469" s="78">
        <f t="shared" si="60"/>
        <v>0</v>
      </c>
      <c r="AB469" s="78">
        <f t="shared" si="61"/>
        <v>0</v>
      </c>
      <c r="AC469" s="78"/>
      <c r="AD469" s="78">
        <v>0</v>
      </c>
      <c r="AE469" s="80">
        <f t="shared" si="63"/>
        <v>0</v>
      </c>
      <c r="AF469" s="82">
        <v>0</v>
      </c>
      <c r="AG469" s="306">
        <v>40624</v>
      </c>
      <c r="AH469" s="307"/>
      <c r="AI469" s="306" t="s">
        <v>1984</v>
      </c>
      <c r="AJ469" s="308" t="s">
        <v>1985</v>
      </c>
      <c r="AK469" s="309"/>
      <c r="AL469" s="310" t="s">
        <v>1257</v>
      </c>
      <c r="AM469" s="419" t="s">
        <v>3747</v>
      </c>
      <c r="AN469" s="159"/>
      <c r="AO469" s="160"/>
      <c r="AP469" s="161"/>
      <c r="AQ469" s="160"/>
      <c r="AR469" s="160"/>
      <c r="AS469" s="160"/>
      <c r="AT469" s="160"/>
      <c r="AU469" s="160"/>
      <c r="AV469" s="160"/>
      <c r="AW469" s="160"/>
      <c r="AX469" s="160"/>
      <c r="AY469" s="160"/>
      <c r="AZ469" s="160"/>
      <c r="BA469" s="160"/>
      <c r="BB469" s="160"/>
      <c r="BC469" s="160"/>
      <c r="BD469" s="160"/>
      <c r="BE469" s="160"/>
      <c r="BF469" s="160"/>
      <c r="BG469" s="160"/>
      <c r="BH469" s="160"/>
      <c r="BI469" s="160"/>
      <c r="BJ469" s="160"/>
      <c r="BK469" s="160"/>
      <c r="BL469" s="160"/>
      <c r="BM469" s="160"/>
      <c r="BN469" s="160"/>
      <c r="BO469" s="160"/>
      <c r="BP469" s="160"/>
      <c r="BQ469" s="160"/>
      <c r="BR469" s="160"/>
      <c r="BS469" s="160"/>
      <c r="BT469" s="160"/>
      <c r="BU469" s="160"/>
      <c r="BV469" s="160"/>
      <c r="BW469" s="160"/>
      <c r="BX469" s="160"/>
      <c r="BY469" s="160"/>
      <c r="BZ469" s="160"/>
      <c r="CA469" s="160"/>
      <c r="CB469" s="160"/>
      <c r="CC469" s="160"/>
      <c r="CD469" s="160"/>
      <c r="CE469" s="160"/>
      <c r="CF469" s="160"/>
      <c r="CG469" s="160"/>
      <c r="CH469" s="160"/>
      <c r="CI469" s="160"/>
      <c r="CJ469" s="160"/>
      <c r="CK469" s="160"/>
      <c r="CL469" s="160"/>
      <c r="CM469" s="160"/>
      <c r="CN469" s="160"/>
      <c r="CO469" s="160"/>
      <c r="CP469" s="162"/>
      <c r="CQ469" s="163"/>
      <c r="CR469" s="162"/>
      <c r="CS469" s="163"/>
      <c r="CT469" s="162"/>
      <c r="CU469" s="163"/>
      <c r="CV469" s="164">
        <f t="shared" si="62"/>
        <v>0</v>
      </c>
      <c r="CW469" s="165"/>
      <c r="CX469" s="166"/>
      <c r="CY469" s="167"/>
      <c r="CZ469" s="168"/>
      <c r="DA469" s="169"/>
      <c r="DB469" s="168"/>
      <c r="DC469" s="165"/>
      <c r="DD469" s="166"/>
      <c r="DE469" s="71"/>
      <c r="DF469" s="170"/>
      <c r="EO469" s="353" t="str">
        <f t="shared" si="57"/>
        <v>BOGOTA, D.C._BOGOTA, D.C.</v>
      </c>
      <c r="EP469" s="350"/>
      <c r="EQ469" s="350" t="s">
        <v>4295</v>
      </c>
      <c r="ER469" s="358" t="s">
        <v>4296</v>
      </c>
      <c r="ES469" s="350" t="s">
        <v>5120</v>
      </c>
      <c r="ET469" s="350" t="s">
        <v>6247</v>
      </c>
      <c r="EU469" s="350" t="str">
        <f t="shared" si="56"/>
        <v>Cordoba_Planeta Rica</v>
      </c>
    </row>
    <row r="470" spans="1:151" ht="38.25" x14ac:dyDescent="0.2">
      <c r="A470" s="242">
        <v>40298</v>
      </c>
      <c r="B470" s="107" t="s">
        <v>1951</v>
      </c>
      <c r="C470" s="107" t="s">
        <v>1989</v>
      </c>
      <c r="D470" s="427" t="s">
        <v>837</v>
      </c>
      <c r="E470" s="107" t="str">
        <f>VLOOKUP(B470&amp;C470,Divipola!$C$2:$F$1138,4,FALSE)</f>
        <v>08001</v>
      </c>
      <c r="F470" s="330"/>
      <c r="G470" s="224"/>
      <c r="H470" s="75"/>
      <c r="I470" s="75"/>
      <c r="J470" s="75">
        <v>75</v>
      </c>
      <c r="K470" s="75">
        <v>15</v>
      </c>
      <c r="L470" s="75"/>
      <c r="M470" s="75">
        <v>15</v>
      </c>
      <c r="N470" s="75"/>
      <c r="O470" s="75"/>
      <c r="P470" s="75"/>
      <c r="Q470" s="75"/>
      <c r="R470" s="75"/>
      <c r="S470" s="75"/>
      <c r="T470" s="75"/>
      <c r="U470" s="75"/>
      <c r="V470" s="76"/>
      <c r="W470" s="205"/>
      <c r="X470" s="1"/>
      <c r="Y470" s="78">
        <f t="shared" si="58"/>
        <v>0</v>
      </c>
      <c r="Z470" s="78">
        <f t="shared" si="59"/>
        <v>0</v>
      </c>
      <c r="AA470" s="78">
        <f t="shared" si="60"/>
        <v>0</v>
      </c>
      <c r="AB470" s="78">
        <f t="shared" si="61"/>
        <v>0</v>
      </c>
      <c r="AC470" s="78"/>
      <c r="AD470" s="78">
        <v>0</v>
      </c>
      <c r="AE470" s="80">
        <f t="shared" si="63"/>
        <v>0</v>
      </c>
      <c r="AF470" s="82">
        <v>0</v>
      </c>
      <c r="AG470" s="69">
        <v>40301</v>
      </c>
      <c r="AH470" s="84"/>
      <c r="AI470" s="69" t="s">
        <v>1984</v>
      </c>
      <c r="AJ470" s="25" t="s">
        <v>1985</v>
      </c>
      <c r="AK470" s="65"/>
      <c r="AL470" s="185" t="s">
        <v>1257</v>
      </c>
      <c r="AM470" s="85" t="s">
        <v>2486</v>
      </c>
      <c r="AN470" s="3"/>
      <c r="AO470" s="4"/>
      <c r="AP470" s="5"/>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6"/>
      <c r="CQ470" s="7"/>
      <c r="CR470" s="6"/>
      <c r="CS470" s="7"/>
      <c r="CT470" s="6"/>
      <c r="CU470" s="7"/>
      <c r="CV470" s="8">
        <f t="shared" si="62"/>
        <v>0</v>
      </c>
      <c r="CW470" s="9"/>
      <c r="CX470" s="10"/>
      <c r="CY470" s="11"/>
      <c r="CZ470" s="12"/>
      <c r="DA470" s="29"/>
      <c r="DB470" s="12"/>
      <c r="DC470" s="9"/>
      <c r="DD470" s="10"/>
      <c r="DE470" s="71"/>
      <c r="EO470" s="353" t="str">
        <f t="shared" si="57"/>
        <v>ATLANTICO_BARRANQUILLA</v>
      </c>
      <c r="EP470" s="350"/>
      <c r="EQ470" s="350" t="s">
        <v>4295</v>
      </c>
      <c r="ER470" s="358" t="s">
        <v>4296</v>
      </c>
      <c r="ES470" s="350" t="s">
        <v>5121</v>
      </c>
      <c r="ET470" s="350" t="s">
        <v>6248</v>
      </c>
      <c r="EU470" s="350" t="str">
        <f t="shared" si="56"/>
        <v>Cordoba_Pueblo Nuevo</v>
      </c>
    </row>
    <row r="471" spans="1:151" ht="84" x14ac:dyDescent="0.2">
      <c r="A471" s="242">
        <v>40298</v>
      </c>
      <c r="B471" s="107" t="s">
        <v>3112</v>
      </c>
      <c r="C471" s="107" t="s">
        <v>2019</v>
      </c>
      <c r="D471" s="427" t="s">
        <v>837</v>
      </c>
      <c r="E471" s="107" t="str">
        <f>VLOOKUP(B471&amp;C471,Divipola!$C$2:$F$1138,4,FALSE)</f>
        <v>18592</v>
      </c>
      <c r="F471" s="330"/>
      <c r="G471" s="224"/>
      <c r="H471" s="75"/>
      <c r="I471" s="75"/>
      <c r="J471" s="75">
        <f>113*5</f>
        <v>565</v>
      </c>
      <c r="K471" s="75">
        <f>120-7</f>
        <v>113</v>
      </c>
      <c r="L471" s="75"/>
      <c r="M471" s="75">
        <v>113</v>
      </c>
      <c r="N471" s="75"/>
      <c r="O471" s="75"/>
      <c r="P471" s="75"/>
      <c r="Q471" s="75"/>
      <c r="R471" s="75"/>
      <c r="S471" s="75"/>
      <c r="T471" s="75"/>
      <c r="U471" s="75"/>
      <c r="V471" s="76"/>
      <c r="W471" s="205"/>
      <c r="X471" s="1">
        <v>40340</v>
      </c>
      <c r="Y471" s="78">
        <f t="shared" si="58"/>
        <v>0</v>
      </c>
      <c r="Z471" s="78">
        <f t="shared" si="59"/>
        <v>0</v>
      </c>
      <c r="AA471" s="78">
        <f t="shared" si="60"/>
        <v>0</v>
      </c>
      <c r="AB471" s="78">
        <f t="shared" si="61"/>
        <v>0</v>
      </c>
      <c r="AC471" s="78">
        <f>300*24940+12*40368+41*42804+36*93032+6*164720+600*18560</f>
        <v>25194852</v>
      </c>
      <c r="AD471" s="78">
        <v>0</v>
      </c>
      <c r="AE471" s="80">
        <f t="shared" si="63"/>
        <v>25194852</v>
      </c>
      <c r="AF471" s="82">
        <v>0</v>
      </c>
      <c r="AG471" s="69">
        <v>40312</v>
      </c>
      <c r="AH471" s="84">
        <v>97541</v>
      </c>
      <c r="AI471" s="69" t="s">
        <v>2009</v>
      </c>
      <c r="AJ471" s="25" t="s">
        <v>2010</v>
      </c>
      <c r="AK471" s="65">
        <v>154</v>
      </c>
      <c r="AL471" s="185" t="s">
        <v>2182</v>
      </c>
      <c r="AM471" s="85" t="s">
        <v>2336</v>
      </c>
      <c r="AN471" s="3"/>
      <c r="AO471" s="4"/>
      <c r="AP471" s="5"/>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6"/>
      <c r="CQ471" s="7"/>
      <c r="CR471" s="6"/>
      <c r="CS471" s="7"/>
      <c r="CT471" s="6"/>
      <c r="CU471" s="7"/>
      <c r="CV471" s="8">
        <f t="shared" si="62"/>
        <v>0</v>
      </c>
      <c r="CW471" s="9"/>
      <c r="CX471" s="10"/>
      <c r="CY471" s="11"/>
      <c r="CZ471" s="12"/>
      <c r="DA471" s="29"/>
      <c r="DB471" s="12"/>
      <c r="DC471" s="9"/>
      <c r="DD471" s="10"/>
      <c r="DE471" s="71"/>
      <c r="EO471" s="353" t="str">
        <f t="shared" si="57"/>
        <v>CAQUETA_PUERTO RICO</v>
      </c>
      <c r="EP471" s="350"/>
      <c r="EQ471" s="350" t="s">
        <v>4295</v>
      </c>
      <c r="ER471" s="358" t="s">
        <v>4296</v>
      </c>
      <c r="ES471" s="350" t="s">
        <v>5122</v>
      </c>
      <c r="ET471" s="350" t="s">
        <v>6249</v>
      </c>
      <c r="EU471" s="350" t="str">
        <f t="shared" si="56"/>
        <v>Cordoba_Puerto Escondido</v>
      </c>
    </row>
    <row r="472" spans="1:151" ht="38.25" x14ac:dyDescent="0.2">
      <c r="A472" s="242">
        <v>40298</v>
      </c>
      <c r="B472" s="107" t="s">
        <v>2007</v>
      </c>
      <c r="C472" s="107" t="s">
        <v>625</v>
      </c>
      <c r="D472" s="427" t="s">
        <v>837</v>
      </c>
      <c r="E472" s="107" t="str">
        <f>VLOOKUP(B472&amp;C472,Divipola!$C$2:$F$1138,4,FALSE)</f>
        <v>25438</v>
      </c>
      <c r="F472" s="330"/>
      <c r="G472" s="224"/>
      <c r="H472" s="75"/>
      <c r="I472" s="75"/>
      <c r="J472" s="75">
        <v>16</v>
      </c>
      <c r="K472" s="75">
        <v>2</v>
      </c>
      <c r="L472" s="75"/>
      <c r="M472" s="75">
        <v>2</v>
      </c>
      <c r="N472" s="75">
        <v>1</v>
      </c>
      <c r="O472" s="75"/>
      <c r="P472" s="75"/>
      <c r="Q472" s="75"/>
      <c r="R472" s="75"/>
      <c r="S472" s="75"/>
      <c r="T472" s="75">
        <v>1</v>
      </c>
      <c r="U472" s="75"/>
      <c r="V472" s="76"/>
      <c r="W472" s="205"/>
      <c r="X472" s="1"/>
      <c r="Y472" s="78">
        <f t="shared" si="58"/>
        <v>0</v>
      </c>
      <c r="Z472" s="78">
        <f t="shared" si="59"/>
        <v>0</v>
      </c>
      <c r="AA472" s="78">
        <f t="shared" si="60"/>
        <v>0</v>
      </c>
      <c r="AB472" s="78">
        <f t="shared" si="61"/>
        <v>0</v>
      </c>
      <c r="AC472" s="78"/>
      <c r="AD472" s="78">
        <v>0</v>
      </c>
      <c r="AE472" s="80">
        <f t="shared" si="63"/>
        <v>0</v>
      </c>
      <c r="AF472" s="82">
        <v>0</v>
      </c>
      <c r="AG472" s="69">
        <v>40302</v>
      </c>
      <c r="AH472" s="84"/>
      <c r="AI472" s="69" t="s">
        <v>1984</v>
      </c>
      <c r="AJ472" s="25" t="s">
        <v>1985</v>
      </c>
      <c r="AK472" s="65"/>
      <c r="AL472" s="185" t="s">
        <v>1257</v>
      </c>
      <c r="AM472" s="85" t="s">
        <v>1225</v>
      </c>
      <c r="AN472" s="3"/>
      <c r="AO472" s="4"/>
      <c r="AP472" s="5"/>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6"/>
      <c r="CQ472" s="7"/>
      <c r="CR472" s="6"/>
      <c r="CS472" s="7"/>
      <c r="CT472" s="6"/>
      <c r="CU472" s="7"/>
      <c r="CV472" s="8">
        <f t="shared" si="62"/>
        <v>0</v>
      </c>
      <c r="CW472" s="9"/>
      <c r="CX472" s="10"/>
      <c r="CY472" s="11"/>
      <c r="CZ472" s="12"/>
      <c r="DA472" s="29"/>
      <c r="DB472" s="12"/>
      <c r="DC472" s="9"/>
      <c r="DD472" s="10"/>
      <c r="DE472" s="71"/>
      <c r="EO472" s="353" t="str">
        <f t="shared" si="57"/>
        <v>CUNDINAMARCA_MEDINA</v>
      </c>
      <c r="EP472" s="350"/>
      <c r="EQ472" s="350" t="s">
        <v>4295</v>
      </c>
      <c r="ER472" s="358" t="s">
        <v>4296</v>
      </c>
      <c r="ES472" s="350" t="s">
        <v>5123</v>
      </c>
      <c r="ET472" s="350" t="s">
        <v>6250</v>
      </c>
      <c r="EU472" s="350" t="str">
        <f t="shared" si="56"/>
        <v>Cordoba_Puerto Libertador</v>
      </c>
    </row>
    <row r="473" spans="1:151" ht="38.25" x14ac:dyDescent="0.2">
      <c r="A473" s="242">
        <v>40298</v>
      </c>
      <c r="B473" s="107" t="s">
        <v>2245</v>
      </c>
      <c r="C473" s="107" t="s">
        <v>2484</v>
      </c>
      <c r="D473" s="427" t="s">
        <v>2352</v>
      </c>
      <c r="E473" s="107" t="str">
        <f>VLOOKUP(B473&amp;C473,Divipola!$C$2:$F$1138,4,FALSE)</f>
        <v>52490</v>
      </c>
      <c r="F473" s="330"/>
      <c r="G473" s="224"/>
      <c r="H473" s="75">
        <v>2</v>
      </c>
      <c r="I473" s="75"/>
      <c r="J473" s="75"/>
      <c r="K473" s="75"/>
      <c r="L473" s="75"/>
      <c r="M473" s="75"/>
      <c r="N473" s="75"/>
      <c r="O473" s="75"/>
      <c r="P473" s="75">
        <v>1</v>
      </c>
      <c r="Q473" s="75"/>
      <c r="R473" s="75"/>
      <c r="S473" s="75"/>
      <c r="T473" s="75"/>
      <c r="U473" s="75"/>
      <c r="V473" s="76"/>
      <c r="W473" s="205"/>
      <c r="X473" s="1"/>
      <c r="Y473" s="78">
        <f t="shared" si="58"/>
        <v>0</v>
      </c>
      <c r="Z473" s="78">
        <f t="shared" si="59"/>
        <v>0</v>
      </c>
      <c r="AA473" s="78">
        <f t="shared" si="60"/>
        <v>0</v>
      </c>
      <c r="AB473" s="78">
        <f t="shared" si="61"/>
        <v>0</v>
      </c>
      <c r="AC473" s="78"/>
      <c r="AD473" s="78">
        <v>0</v>
      </c>
      <c r="AE473" s="80">
        <f t="shared" si="63"/>
        <v>0</v>
      </c>
      <c r="AF473" s="82">
        <v>0</v>
      </c>
      <c r="AG473" s="69">
        <v>40301</v>
      </c>
      <c r="AH473" s="84"/>
      <c r="AI473" s="69" t="s">
        <v>1984</v>
      </c>
      <c r="AJ473" s="25" t="s">
        <v>1985</v>
      </c>
      <c r="AK473" s="65"/>
      <c r="AL473" s="185" t="s">
        <v>1257</v>
      </c>
      <c r="AM473" s="85" t="s">
        <v>2482</v>
      </c>
      <c r="AN473" s="3"/>
      <c r="AO473" s="4"/>
      <c r="AP473" s="5"/>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6"/>
      <c r="CQ473" s="7"/>
      <c r="CR473" s="6"/>
      <c r="CS473" s="7"/>
      <c r="CT473" s="6"/>
      <c r="CU473" s="7"/>
      <c r="CV473" s="8">
        <f t="shared" si="62"/>
        <v>0</v>
      </c>
      <c r="CW473" s="9"/>
      <c r="CX473" s="10"/>
      <c r="CY473" s="11"/>
      <c r="CZ473" s="12"/>
      <c r="DA473" s="29"/>
      <c r="DB473" s="12"/>
      <c r="DC473" s="9"/>
      <c r="DD473" s="10"/>
      <c r="DE473" s="71"/>
      <c r="EO473" s="353" t="str">
        <f t="shared" si="57"/>
        <v>NARIÑO_OLAYA HERRERA</v>
      </c>
      <c r="EP473" s="350"/>
      <c r="EQ473" s="350" t="s">
        <v>4295</v>
      </c>
      <c r="ER473" s="358" t="s">
        <v>4296</v>
      </c>
      <c r="ES473" s="350" t="s">
        <v>5124</v>
      </c>
      <c r="ET473" s="350" t="s">
        <v>6251</v>
      </c>
      <c r="EU473" s="350" t="str">
        <f t="shared" si="56"/>
        <v>Cordoba_Purisima</v>
      </c>
    </row>
    <row r="474" spans="1:151" ht="38.25" x14ac:dyDescent="0.2">
      <c r="A474" s="242">
        <v>40298</v>
      </c>
      <c r="B474" s="107" t="s">
        <v>2427</v>
      </c>
      <c r="C474" s="107" t="s">
        <v>2480</v>
      </c>
      <c r="D474" s="427" t="s">
        <v>837</v>
      </c>
      <c r="E474" s="107" t="str">
        <f>VLOOKUP(B474&amp;C474,Divipola!$C$2:$F$1138,4,FALSE)</f>
        <v>68575</v>
      </c>
      <c r="F474" s="330"/>
      <c r="G474" s="277"/>
      <c r="H474" s="75"/>
      <c r="I474" s="75"/>
      <c r="J474" s="75">
        <v>140</v>
      </c>
      <c r="K474" s="75">
        <v>29</v>
      </c>
      <c r="L474" s="75"/>
      <c r="M474" s="75">
        <v>28</v>
      </c>
      <c r="N474" s="75"/>
      <c r="O474" s="75"/>
      <c r="P474" s="75"/>
      <c r="Q474" s="75"/>
      <c r="R474" s="75"/>
      <c r="S474" s="75"/>
      <c r="T474" s="75"/>
      <c r="U474" s="75"/>
      <c r="V474" s="76"/>
      <c r="W474" s="205"/>
      <c r="X474" s="1"/>
      <c r="Y474" s="78">
        <f t="shared" si="58"/>
        <v>0</v>
      </c>
      <c r="Z474" s="78">
        <f t="shared" si="59"/>
        <v>0</v>
      </c>
      <c r="AA474" s="78">
        <f t="shared" si="60"/>
        <v>0</v>
      </c>
      <c r="AB474" s="78">
        <f t="shared" si="61"/>
        <v>0</v>
      </c>
      <c r="AC474" s="78"/>
      <c r="AD474" s="78">
        <v>0</v>
      </c>
      <c r="AE474" s="80">
        <f t="shared" si="63"/>
        <v>0</v>
      </c>
      <c r="AF474" s="82">
        <v>0</v>
      </c>
      <c r="AG474" s="69">
        <v>40301</v>
      </c>
      <c r="AH474" s="84"/>
      <c r="AI474" s="69" t="s">
        <v>2009</v>
      </c>
      <c r="AJ474" s="25" t="s">
        <v>2010</v>
      </c>
      <c r="AK474" s="65"/>
      <c r="AL474" s="214" t="s">
        <v>1183</v>
      </c>
      <c r="AM474" s="85" t="s">
        <v>2481</v>
      </c>
      <c r="AN474" s="3"/>
      <c r="AO474" s="4"/>
      <c r="AP474" s="5"/>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6"/>
      <c r="CQ474" s="7"/>
      <c r="CR474" s="6"/>
      <c r="CS474" s="7"/>
      <c r="CT474" s="6"/>
      <c r="CU474" s="7"/>
      <c r="CV474" s="8">
        <f t="shared" si="62"/>
        <v>0</v>
      </c>
      <c r="CW474" s="9"/>
      <c r="CX474" s="10"/>
      <c r="CY474" s="11"/>
      <c r="CZ474" s="12"/>
      <c r="DA474" s="29"/>
      <c r="DB474" s="12"/>
      <c r="DC474" s="9"/>
      <c r="DD474" s="10"/>
      <c r="DE474" s="71"/>
      <c r="EO474" s="353" t="str">
        <f t="shared" si="57"/>
        <v>SANTANDER_PUERTO WILCHES</v>
      </c>
      <c r="EP474" s="350"/>
      <c r="EQ474" s="350" t="s">
        <v>4295</v>
      </c>
      <c r="ER474" s="358" t="s">
        <v>4296</v>
      </c>
      <c r="ES474" s="350" t="s">
        <v>5125</v>
      </c>
      <c r="ET474" s="350" t="s">
        <v>6252</v>
      </c>
      <c r="EU474" s="350" t="str">
        <f t="shared" ref="EU474:EU531" si="64">ER474&amp;"_"&amp;ET474</f>
        <v>Cordoba_Sahagun</v>
      </c>
    </row>
    <row r="475" spans="1:151" ht="38.25" x14ac:dyDescent="0.2">
      <c r="A475" s="242">
        <v>40299</v>
      </c>
      <c r="B475" s="107" t="s">
        <v>1951</v>
      </c>
      <c r="C475" s="107" t="s">
        <v>1989</v>
      </c>
      <c r="D475" s="427" t="s">
        <v>837</v>
      </c>
      <c r="E475" s="107" t="str">
        <f>VLOOKUP(B475&amp;C475,Divipola!$C$2:$F$1138,4,FALSE)</f>
        <v>08001</v>
      </c>
      <c r="F475" s="330"/>
      <c r="G475" s="224"/>
      <c r="H475" s="75"/>
      <c r="I475" s="75"/>
      <c r="J475" s="75">
        <v>5</v>
      </c>
      <c r="K475" s="75">
        <v>1</v>
      </c>
      <c r="L475" s="75">
        <v>1</v>
      </c>
      <c r="M475" s="75"/>
      <c r="N475" s="75"/>
      <c r="O475" s="75"/>
      <c r="P475" s="75"/>
      <c r="Q475" s="75"/>
      <c r="R475" s="75"/>
      <c r="S475" s="75"/>
      <c r="T475" s="75"/>
      <c r="U475" s="75"/>
      <c r="V475" s="76"/>
      <c r="W475" s="205"/>
      <c r="X475" s="1"/>
      <c r="Y475" s="78">
        <f t="shared" si="58"/>
        <v>0</v>
      </c>
      <c r="Z475" s="78">
        <f t="shared" si="59"/>
        <v>0</v>
      </c>
      <c r="AA475" s="78">
        <f t="shared" si="60"/>
        <v>0</v>
      </c>
      <c r="AB475" s="78">
        <f t="shared" si="61"/>
        <v>0</v>
      </c>
      <c r="AC475" s="78"/>
      <c r="AD475" s="78">
        <v>0</v>
      </c>
      <c r="AE475" s="80">
        <f t="shared" si="63"/>
        <v>0</v>
      </c>
      <c r="AF475" s="82">
        <v>0</v>
      </c>
      <c r="AG475" s="69">
        <v>40301</v>
      </c>
      <c r="AH475" s="84"/>
      <c r="AI475" s="69" t="s">
        <v>1984</v>
      </c>
      <c r="AJ475" s="25" t="s">
        <v>1985</v>
      </c>
      <c r="AK475" s="65"/>
      <c r="AL475" s="185" t="s">
        <v>1257</v>
      </c>
      <c r="AM475" s="85" t="s">
        <v>2487</v>
      </c>
      <c r="AN475" s="3"/>
      <c r="AO475" s="4"/>
      <c r="AP475" s="5"/>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6"/>
      <c r="CQ475" s="7"/>
      <c r="CR475" s="6"/>
      <c r="CS475" s="7"/>
      <c r="CT475" s="6"/>
      <c r="CU475" s="7"/>
      <c r="CV475" s="8">
        <f t="shared" si="62"/>
        <v>0</v>
      </c>
      <c r="CW475" s="9"/>
      <c r="CX475" s="10"/>
      <c r="CY475" s="11"/>
      <c r="CZ475" s="12"/>
      <c r="DA475" s="29"/>
      <c r="DB475" s="12"/>
      <c r="DC475" s="9"/>
      <c r="DD475" s="10"/>
      <c r="DE475" s="71"/>
      <c r="EO475" s="353" t="str">
        <f t="shared" si="57"/>
        <v>ATLANTICO_BARRANQUILLA</v>
      </c>
      <c r="EP475" s="350"/>
      <c r="EQ475" s="350" t="s">
        <v>4295</v>
      </c>
      <c r="ER475" s="358" t="s">
        <v>4296</v>
      </c>
      <c r="ES475" s="350" t="s">
        <v>5126</v>
      </c>
      <c r="ET475" s="350" t="s">
        <v>6253</v>
      </c>
      <c r="EU475" s="350" t="str">
        <f t="shared" si="64"/>
        <v>Cordoba_San Andres Sotavento</v>
      </c>
    </row>
    <row r="476" spans="1:151" ht="96" x14ac:dyDescent="0.2">
      <c r="A476" s="242">
        <v>40299</v>
      </c>
      <c r="B476" s="107" t="s">
        <v>2425</v>
      </c>
      <c r="C476" s="107" t="s">
        <v>2426</v>
      </c>
      <c r="D476" s="427" t="s">
        <v>882</v>
      </c>
      <c r="E476" s="107" t="str">
        <f>VLOOKUP(B476&amp;C476,Divipola!$C$2:$F$1138,4,FALSE)</f>
        <v>27075</v>
      </c>
      <c r="F476" s="330"/>
      <c r="G476" s="224"/>
      <c r="H476" s="75"/>
      <c r="I476" s="75"/>
      <c r="J476" s="75">
        <f>728*4</f>
        <v>2912</v>
      </c>
      <c r="K476" s="75">
        <v>728</v>
      </c>
      <c r="L476" s="75"/>
      <c r="M476" s="75">
        <v>728</v>
      </c>
      <c r="N476" s="75"/>
      <c r="O476" s="75"/>
      <c r="P476" s="75"/>
      <c r="Q476" s="75">
        <v>1</v>
      </c>
      <c r="R476" s="75"/>
      <c r="S476" s="75"/>
      <c r="T476" s="75"/>
      <c r="U476" s="75"/>
      <c r="V476" s="76"/>
      <c r="W476" s="205"/>
      <c r="X476" s="1">
        <v>40480</v>
      </c>
      <c r="Y476" s="78">
        <f t="shared" si="58"/>
        <v>0</v>
      </c>
      <c r="Z476" s="78">
        <f t="shared" si="59"/>
        <v>0</v>
      </c>
      <c r="AA476" s="78">
        <f t="shared" si="60"/>
        <v>0</v>
      </c>
      <c r="AB476" s="78">
        <f t="shared" si="61"/>
        <v>0</v>
      </c>
      <c r="AC476" s="78"/>
      <c r="AD476" s="78">
        <v>35000000</v>
      </c>
      <c r="AE476" s="80">
        <f t="shared" si="63"/>
        <v>35000000</v>
      </c>
      <c r="AF476" s="82">
        <v>0</v>
      </c>
      <c r="AG476" s="69">
        <v>40338</v>
      </c>
      <c r="AH476" s="84">
        <v>98143</v>
      </c>
      <c r="AI476" s="69" t="s">
        <v>2009</v>
      </c>
      <c r="AJ476" s="25" t="s">
        <v>2010</v>
      </c>
      <c r="AK476" s="65">
        <v>40495</v>
      </c>
      <c r="AL476" s="185" t="s">
        <v>2182</v>
      </c>
      <c r="AM476" s="97" t="s">
        <v>2061</v>
      </c>
      <c r="AN476" s="3"/>
      <c r="AO476" s="4"/>
      <c r="AP476" s="5"/>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6"/>
      <c r="CQ476" s="7"/>
      <c r="CR476" s="6"/>
      <c r="CS476" s="7"/>
      <c r="CT476" s="6"/>
      <c r="CU476" s="7"/>
      <c r="CV476" s="8">
        <f t="shared" si="62"/>
        <v>0</v>
      </c>
      <c r="CW476" s="9"/>
      <c r="CX476" s="10"/>
      <c r="CY476" s="11"/>
      <c r="CZ476" s="12"/>
      <c r="DA476" s="29"/>
      <c r="DB476" s="12"/>
      <c r="DC476" s="9"/>
      <c r="DD476" s="10"/>
      <c r="DE476" s="71" t="s">
        <v>2058</v>
      </c>
      <c r="EO476" s="353" t="str">
        <f t="shared" si="57"/>
        <v>CHOCO_BAHIA SOLANO</v>
      </c>
      <c r="EP476" s="350"/>
      <c r="EQ476" s="350" t="s">
        <v>4295</v>
      </c>
      <c r="ER476" s="358" t="s">
        <v>4296</v>
      </c>
      <c r="ES476" s="350" t="s">
        <v>5127</v>
      </c>
      <c r="ET476" s="350" t="s">
        <v>6254</v>
      </c>
      <c r="EU476" s="350" t="str">
        <f t="shared" si="64"/>
        <v>Cordoba_San Antero</v>
      </c>
    </row>
    <row r="477" spans="1:151" ht="48" x14ac:dyDescent="0.2">
      <c r="A477" s="242">
        <v>40299</v>
      </c>
      <c r="B477" s="236" t="s">
        <v>2425</v>
      </c>
      <c r="C477" s="236" t="s">
        <v>1310</v>
      </c>
      <c r="D477" s="433" t="s">
        <v>837</v>
      </c>
      <c r="E477" s="107" t="str">
        <f>VLOOKUP(B477&amp;C477,Divipola!$C$2:$F$1138,4,FALSE)</f>
        <v>27491</v>
      </c>
      <c r="F477" s="335"/>
      <c r="G477" s="221"/>
      <c r="H477" s="157"/>
      <c r="I477" s="157"/>
      <c r="J477" s="157"/>
      <c r="K477" s="157"/>
      <c r="L477" s="157"/>
      <c r="M477" s="157"/>
      <c r="N477" s="157"/>
      <c r="O477" s="157"/>
      <c r="P477" s="157"/>
      <c r="Q477" s="157"/>
      <c r="R477" s="157"/>
      <c r="S477" s="157"/>
      <c r="T477" s="157"/>
      <c r="U477" s="157"/>
      <c r="V477" s="158"/>
      <c r="W477" s="182"/>
      <c r="X477" s="1">
        <v>40417</v>
      </c>
      <c r="Y477" s="78">
        <f t="shared" si="58"/>
        <v>0</v>
      </c>
      <c r="Z477" s="78">
        <f t="shared" si="59"/>
        <v>0</v>
      </c>
      <c r="AA477" s="78">
        <f t="shared" si="60"/>
        <v>0</v>
      </c>
      <c r="AB477" s="78">
        <f t="shared" si="61"/>
        <v>0</v>
      </c>
      <c r="AC477" s="78"/>
      <c r="AD477" s="78">
        <v>57500000</v>
      </c>
      <c r="AE477" s="80">
        <f t="shared" si="63"/>
        <v>57500000</v>
      </c>
      <c r="AF477" s="82">
        <v>0</v>
      </c>
      <c r="AG477" s="69">
        <v>40338</v>
      </c>
      <c r="AH477" s="94" t="s">
        <v>185</v>
      </c>
      <c r="AI477" s="69" t="s">
        <v>2009</v>
      </c>
      <c r="AJ477" s="25" t="s">
        <v>2010</v>
      </c>
      <c r="AK477" s="65"/>
      <c r="AL477" s="176" t="s">
        <v>2182</v>
      </c>
      <c r="AM477" s="177" t="s">
        <v>6312</v>
      </c>
      <c r="AN477" s="159"/>
      <c r="AO477" s="160"/>
      <c r="AP477" s="161"/>
      <c r="AQ477" s="160"/>
      <c r="AR477" s="160"/>
      <c r="AS477" s="160"/>
      <c r="AT477" s="160"/>
      <c r="AU477" s="160"/>
      <c r="AV477" s="160"/>
      <c r="AW477" s="160"/>
      <c r="AX477" s="160"/>
      <c r="AY477" s="160"/>
      <c r="AZ477" s="160"/>
      <c r="BA477" s="160"/>
      <c r="BB477" s="160"/>
      <c r="BC477" s="160"/>
      <c r="BD477" s="160"/>
      <c r="BE477" s="160"/>
      <c r="BF477" s="160"/>
      <c r="BG477" s="160"/>
      <c r="BH477" s="160"/>
      <c r="BI477" s="160"/>
      <c r="BJ477" s="160"/>
      <c r="BK477" s="160"/>
      <c r="BL477" s="160"/>
      <c r="BM477" s="160"/>
      <c r="BN477" s="160"/>
      <c r="BO477" s="160"/>
      <c r="BP477" s="160"/>
      <c r="BQ477" s="160"/>
      <c r="BR477" s="160"/>
      <c r="BS477" s="160"/>
      <c r="BT477" s="160"/>
      <c r="BU477" s="160"/>
      <c r="BV477" s="160"/>
      <c r="BW477" s="160"/>
      <c r="BX477" s="160"/>
      <c r="BY477" s="160"/>
      <c r="BZ477" s="160"/>
      <c r="CA477" s="160"/>
      <c r="CB477" s="160"/>
      <c r="CC477" s="160"/>
      <c r="CD477" s="160"/>
      <c r="CE477" s="160"/>
      <c r="CF477" s="160"/>
      <c r="CG477" s="160"/>
      <c r="CH477" s="160"/>
      <c r="CI477" s="160"/>
      <c r="CJ477" s="160"/>
      <c r="CK477" s="160"/>
      <c r="CL477" s="160"/>
      <c r="CM477" s="160"/>
      <c r="CN477" s="160"/>
      <c r="CO477" s="160"/>
      <c r="CP477" s="162"/>
      <c r="CQ477" s="163"/>
      <c r="CR477" s="162"/>
      <c r="CS477" s="163"/>
      <c r="CT477" s="162"/>
      <c r="CU477" s="163"/>
      <c r="CV477" s="164">
        <f t="shared" si="62"/>
        <v>0</v>
      </c>
      <c r="CW477" s="165"/>
      <c r="CX477" s="166"/>
      <c r="CY477" s="167"/>
      <c r="CZ477" s="168"/>
      <c r="DA477" s="169"/>
      <c r="DB477" s="168"/>
      <c r="DC477" s="165"/>
      <c r="DD477" s="166"/>
      <c r="DE477" s="71">
        <v>2</v>
      </c>
      <c r="DF477" s="170"/>
      <c r="EO477" s="353" t="str">
        <f t="shared" si="57"/>
        <v>CHOCO_NOVITA</v>
      </c>
      <c r="EP477" s="350"/>
      <c r="EQ477" s="350" t="s">
        <v>4295</v>
      </c>
      <c r="ER477" s="358" t="s">
        <v>4296</v>
      </c>
      <c r="ES477" s="350" t="s">
        <v>5129</v>
      </c>
      <c r="ET477" s="350" t="s">
        <v>5916</v>
      </c>
      <c r="EU477" s="350" t="str">
        <f t="shared" si="64"/>
        <v>Cordoba_San Carlos</v>
      </c>
    </row>
    <row r="478" spans="1:151" ht="240" x14ac:dyDescent="0.2">
      <c r="A478" s="242">
        <v>40299</v>
      </c>
      <c r="B478" s="107" t="s">
        <v>2425</v>
      </c>
      <c r="C478" s="107" t="s">
        <v>2483</v>
      </c>
      <c r="D478" s="427" t="s">
        <v>1721</v>
      </c>
      <c r="E478" s="107" t="str">
        <f>VLOOKUP(B478&amp;C478,Divipola!$C$2:$F$1138,4,FALSE)</f>
        <v>27615</v>
      </c>
      <c r="F478" s="330"/>
      <c r="G478" s="224"/>
      <c r="H478" s="75">
        <v>2</v>
      </c>
      <c r="I478" s="75"/>
      <c r="J478" s="75">
        <v>242</v>
      </c>
      <c r="K478" s="75">
        <v>64</v>
      </c>
      <c r="L478" s="75">
        <v>46</v>
      </c>
      <c r="M478" s="75"/>
      <c r="N478" s="75"/>
      <c r="O478" s="75"/>
      <c r="P478" s="75"/>
      <c r="Q478" s="75"/>
      <c r="R478" s="75"/>
      <c r="S478" s="75"/>
      <c r="T478" s="75"/>
      <c r="U478" s="75"/>
      <c r="V478" s="76"/>
      <c r="W478" s="205"/>
      <c r="X478" s="1">
        <v>40312</v>
      </c>
      <c r="Y478" s="78">
        <f t="shared" si="58"/>
        <v>13422780</v>
      </c>
      <c r="Z478" s="78">
        <f t="shared" si="59"/>
        <v>30450000</v>
      </c>
      <c r="AA478" s="78">
        <f t="shared" si="60"/>
        <v>0</v>
      </c>
      <c r="AB478" s="78">
        <f t="shared" si="61"/>
        <v>0</v>
      </c>
      <c r="AC478" s="78"/>
      <c r="AD478" s="78">
        <f>300000000+552805700+373213400</f>
        <v>1226019100</v>
      </c>
      <c r="AE478" s="80">
        <f t="shared" si="63"/>
        <v>1269891880</v>
      </c>
      <c r="AF478" s="82">
        <f>1500000000-300000000-43872780-552805700</f>
        <v>603321520</v>
      </c>
      <c r="AG478" s="69">
        <v>40308</v>
      </c>
      <c r="AH478" s="84">
        <v>97348</v>
      </c>
      <c r="AI478" s="69" t="s">
        <v>2009</v>
      </c>
      <c r="AJ478" s="25" t="s">
        <v>2010</v>
      </c>
      <c r="AK478" s="88" t="s">
        <v>2956</v>
      </c>
      <c r="AL478" s="185" t="s">
        <v>1316</v>
      </c>
      <c r="AM478" s="85" t="s">
        <v>2958</v>
      </c>
      <c r="AN478" s="3"/>
      <c r="AO478" s="4"/>
      <c r="AP478" s="5"/>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6">
        <v>180</v>
      </c>
      <c r="CQ478" s="7">
        <f>180*36595</f>
        <v>6587100</v>
      </c>
      <c r="CR478" s="6">
        <v>180</v>
      </c>
      <c r="CS478" s="7">
        <f>180*37976</f>
        <v>6835680</v>
      </c>
      <c r="CT478" s="6"/>
      <c r="CU478" s="7"/>
      <c r="CV478" s="8">
        <f t="shared" si="62"/>
        <v>13422780</v>
      </c>
      <c r="CW478" s="9"/>
      <c r="CX478" s="10"/>
      <c r="CY478" s="11">
        <v>350</v>
      </c>
      <c r="CZ478" s="12">
        <f>350*87000</f>
        <v>30450000</v>
      </c>
      <c r="DA478" s="29"/>
      <c r="DB478" s="12"/>
      <c r="DC478" s="9"/>
      <c r="DD478" s="10"/>
      <c r="DE478" s="89" t="s">
        <v>2957</v>
      </c>
      <c r="EO478" s="353" t="str">
        <f t="shared" si="57"/>
        <v>CHOCO_RIOSUCIO</v>
      </c>
      <c r="EP478" s="350"/>
      <c r="EQ478" s="350" t="s">
        <v>4295</v>
      </c>
      <c r="ER478" s="358" t="s">
        <v>4296</v>
      </c>
      <c r="ES478" s="350" t="s">
        <v>5783</v>
      </c>
      <c r="ET478" s="350" t="s">
        <v>6255</v>
      </c>
      <c r="EU478" s="350" t="str">
        <f t="shared" si="64"/>
        <v>Cordoba_San Jose de Ure</v>
      </c>
    </row>
    <row r="479" spans="1:151" ht="38.25" x14ac:dyDescent="0.2">
      <c r="A479" s="242">
        <v>40299</v>
      </c>
      <c r="B479" s="107" t="s">
        <v>832</v>
      </c>
      <c r="C479" s="107" t="s">
        <v>4657</v>
      </c>
      <c r="D479" s="427" t="s">
        <v>837</v>
      </c>
      <c r="E479" s="107" t="str">
        <f>VLOOKUP(B479&amp;C479,Divipola!$C$2:$F$1138,4,FALSE)</f>
        <v>86885</v>
      </c>
      <c r="F479" s="330"/>
      <c r="G479" s="224"/>
      <c r="H479" s="75"/>
      <c r="I479" s="75"/>
      <c r="J479" s="75">
        <v>125</v>
      </c>
      <c r="K479" s="75">
        <v>25</v>
      </c>
      <c r="L479" s="75"/>
      <c r="M479" s="75">
        <v>25</v>
      </c>
      <c r="N479" s="75"/>
      <c r="O479" s="75"/>
      <c r="P479" s="75"/>
      <c r="Q479" s="75"/>
      <c r="R479" s="75"/>
      <c r="S479" s="75"/>
      <c r="T479" s="75"/>
      <c r="U479" s="75"/>
      <c r="V479" s="76"/>
      <c r="W479" s="205"/>
      <c r="X479" s="1"/>
      <c r="Y479" s="78">
        <f t="shared" si="58"/>
        <v>0</v>
      </c>
      <c r="Z479" s="78">
        <f t="shared" si="59"/>
        <v>0</v>
      </c>
      <c r="AA479" s="78">
        <f t="shared" si="60"/>
        <v>0</v>
      </c>
      <c r="AB479" s="78">
        <f t="shared" si="61"/>
        <v>0</v>
      </c>
      <c r="AC479" s="78"/>
      <c r="AD479" s="78">
        <v>0</v>
      </c>
      <c r="AE479" s="80">
        <f t="shared" si="63"/>
        <v>0</v>
      </c>
      <c r="AF479" s="82">
        <v>0</v>
      </c>
      <c r="AG479" s="69">
        <v>40301</v>
      </c>
      <c r="AH479" s="84"/>
      <c r="AI479" s="69" t="s">
        <v>1984</v>
      </c>
      <c r="AJ479" s="25" t="s">
        <v>1985</v>
      </c>
      <c r="AK479" s="65"/>
      <c r="AL479" s="185" t="s">
        <v>1257</v>
      </c>
      <c r="AM479" s="85" t="s">
        <v>633</v>
      </c>
      <c r="AN479" s="3"/>
      <c r="AO479" s="4"/>
      <c r="AP479" s="5"/>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6"/>
      <c r="CQ479" s="7"/>
      <c r="CR479" s="6"/>
      <c r="CS479" s="7"/>
      <c r="CT479" s="6"/>
      <c r="CU479" s="7"/>
      <c r="CV479" s="8">
        <f t="shared" si="62"/>
        <v>0</v>
      </c>
      <c r="CW479" s="9"/>
      <c r="CX479" s="10"/>
      <c r="CY479" s="11"/>
      <c r="CZ479" s="12"/>
      <c r="DA479" s="29"/>
      <c r="DB479" s="12"/>
      <c r="DC479" s="9"/>
      <c r="DD479" s="10"/>
      <c r="DE479" s="71"/>
      <c r="EO479" s="353" t="str">
        <f t="shared" si="57"/>
        <v>PUTUMAYO_VILLAGARZON</v>
      </c>
      <c r="EP479" s="350"/>
      <c r="EQ479" s="350" t="s">
        <v>4295</v>
      </c>
      <c r="ER479" s="358" t="s">
        <v>4296</v>
      </c>
      <c r="ES479" s="350" t="s">
        <v>5130</v>
      </c>
      <c r="ET479" s="350" t="s">
        <v>6256</v>
      </c>
      <c r="EU479" s="350" t="str">
        <f t="shared" si="64"/>
        <v>Cordoba_San Pelayo</v>
      </c>
    </row>
    <row r="480" spans="1:151" ht="51" x14ac:dyDescent="0.2">
      <c r="A480" s="242">
        <v>40299</v>
      </c>
      <c r="B480" s="222" t="s">
        <v>2012</v>
      </c>
      <c r="C480" s="222" t="s">
        <v>2118</v>
      </c>
      <c r="D480" s="430" t="s">
        <v>2307</v>
      </c>
      <c r="E480" s="107" t="str">
        <f>VLOOKUP(B480&amp;C480,Divipola!$C$2:$F$1138,4,FALSE)</f>
        <v>66682</v>
      </c>
      <c r="F480" s="333"/>
      <c r="G480" s="221"/>
      <c r="H480" s="157"/>
      <c r="I480" s="157"/>
      <c r="J480" s="157">
        <v>136</v>
      </c>
      <c r="K480" s="157">
        <v>34</v>
      </c>
      <c r="L480" s="157"/>
      <c r="M480" s="157"/>
      <c r="N480" s="157"/>
      <c r="O480" s="157"/>
      <c r="P480" s="157"/>
      <c r="Q480" s="157"/>
      <c r="R480" s="157"/>
      <c r="S480" s="157"/>
      <c r="T480" s="157"/>
      <c r="U480" s="157"/>
      <c r="V480" s="158"/>
      <c r="W480" s="182"/>
      <c r="X480" s="1"/>
      <c r="Y480" s="78">
        <f t="shared" si="58"/>
        <v>0</v>
      </c>
      <c r="Z480" s="78">
        <f t="shared" si="59"/>
        <v>0</v>
      </c>
      <c r="AA480" s="78">
        <f t="shared" si="60"/>
        <v>0</v>
      </c>
      <c r="AB480" s="78">
        <f t="shared" si="61"/>
        <v>0</v>
      </c>
      <c r="AC480" s="78"/>
      <c r="AD480" s="78">
        <v>0</v>
      </c>
      <c r="AE480" s="80">
        <f t="shared" si="63"/>
        <v>0</v>
      </c>
      <c r="AF480" s="82">
        <v>0</v>
      </c>
      <c r="AG480" s="69">
        <v>40624</v>
      </c>
      <c r="AH480" s="84"/>
      <c r="AI480" s="69" t="s">
        <v>1984</v>
      </c>
      <c r="AJ480" s="25" t="s">
        <v>1985</v>
      </c>
      <c r="AK480" s="65"/>
      <c r="AL480" s="176" t="s">
        <v>1257</v>
      </c>
      <c r="AM480" s="173" t="s">
        <v>457</v>
      </c>
      <c r="AN480" s="159"/>
      <c r="AO480" s="160"/>
      <c r="AP480" s="161"/>
      <c r="AQ480" s="160"/>
      <c r="AR480" s="160"/>
      <c r="AS480" s="160"/>
      <c r="AT480" s="160"/>
      <c r="AU480" s="160"/>
      <c r="AV480" s="160"/>
      <c r="AW480" s="160"/>
      <c r="AX480" s="160"/>
      <c r="AY480" s="160"/>
      <c r="AZ480" s="160"/>
      <c r="BA480" s="160"/>
      <c r="BB480" s="160"/>
      <c r="BC480" s="160"/>
      <c r="BD480" s="160"/>
      <c r="BE480" s="160"/>
      <c r="BF480" s="160"/>
      <c r="BG480" s="160"/>
      <c r="BH480" s="160"/>
      <c r="BI480" s="160"/>
      <c r="BJ480" s="160"/>
      <c r="BK480" s="160"/>
      <c r="BL480" s="160"/>
      <c r="BM480" s="160"/>
      <c r="BN480" s="160"/>
      <c r="BO480" s="160"/>
      <c r="BP480" s="160"/>
      <c r="BQ480" s="160"/>
      <c r="BR480" s="160"/>
      <c r="BS480" s="160"/>
      <c r="BT480" s="160"/>
      <c r="BU480" s="160"/>
      <c r="BV480" s="160"/>
      <c r="BW480" s="160"/>
      <c r="BX480" s="160"/>
      <c r="BY480" s="160"/>
      <c r="BZ480" s="160"/>
      <c r="CA480" s="160"/>
      <c r="CB480" s="160"/>
      <c r="CC480" s="160"/>
      <c r="CD480" s="160"/>
      <c r="CE480" s="160"/>
      <c r="CF480" s="160"/>
      <c r="CG480" s="160"/>
      <c r="CH480" s="160"/>
      <c r="CI480" s="160"/>
      <c r="CJ480" s="160"/>
      <c r="CK480" s="160"/>
      <c r="CL480" s="160"/>
      <c r="CM480" s="160"/>
      <c r="CN480" s="160"/>
      <c r="CO480" s="160"/>
      <c r="CP480" s="162"/>
      <c r="CQ480" s="163"/>
      <c r="CR480" s="162"/>
      <c r="CS480" s="163"/>
      <c r="CT480" s="162"/>
      <c r="CU480" s="163"/>
      <c r="CV480" s="164">
        <f t="shared" si="62"/>
        <v>0</v>
      </c>
      <c r="CW480" s="165"/>
      <c r="CX480" s="166"/>
      <c r="CY480" s="167"/>
      <c r="CZ480" s="168"/>
      <c r="DA480" s="169"/>
      <c r="DB480" s="168"/>
      <c r="DC480" s="165"/>
      <c r="DD480" s="166"/>
      <c r="DE480" s="71"/>
      <c r="DF480" s="170"/>
      <c r="EO480" s="353" t="str">
        <f t="shared" si="57"/>
        <v>RISARALDA_SANTA ROSA DE CABAL</v>
      </c>
      <c r="EP480" s="350"/>
      <c r="EQ480" s="350" t="s">
        <v>4295</v>
      </c>
      <c r="ER480" s="358" t="s">
        <v>4296</v>
      </c>
      <c r="ES480" s="350" t="s">
        <v>5131</v>
      </c>
      <c r="ET480" s="350" t="s">
        <v>6257</v>
      </c>
      <c r="EU480" s="350" t="str">
        <f t="shared" si="64"/>
        <v>Cordoba_Tierralta</v>
      </c>
    </row>
    <row r="481" spans="1:151" ht="38.25" x14ac:dyDescent="0.2">
      <c r="A481" s="242">
        <v>40300</v>
      </c>
      <c r="B481" s="107" t="s">
        <v>1951</v>
      </c>
      <c r="C481" s="107" t="s">
        <v>1989</v>
      </c>
      <c r="D481" s="427" t="s">
        <v>2307</v>
      </c>
      <c r="E481" s="107" t="str">
        <f>VLOOKUP(B481&amp;C481,Divipola!$C$2:$F$1138,4,FALSE)</f>
        <v>08001</v>
      </c>
      <c r="F481" s="330"/>
      <c r="G481" s="224"/>
      <c r="H481" s="75"/>
      <c r="I481" s="75"/>
      <c r="J481" s="75">
        <v>5</v>
      </c>
      <c r="K481" s="75">
        <v>1</v>
      </c>
      <c r="L481" s="75">
        <v>1</v>
      </c>
      <c r="M481" s="75"/>
      <c r="N481" s="75"/>
      <c r="O481" s="75"/>
      <c r="P481" s="75"/>
      <c r="Q481" s="75"/>
      <c r="R481" s="75"/>
      <c r="S481" s="75"/>
      <c r="T481" s="75"/>
      <c r="U481" s="75"/>
      <c r="V481" s="76"/>
      <c r="W481" s="205"/>
      <c r="X481" s="1"/>
      <c r="Y481" s="78">
        <f t="shared" si="58"/>
        <v>0</v>
      </c>
      <c r="Z481" s="78">
        <f t="shared" si="59"/>
        <v>0</v>
      </c>
      <c r="AA481" s="78">
        <f t="shared" si="60"/>
        <v>0</v>
      </c>
      <c r="AB481" s="78">
        <f t="shared" si="61"/>
        <v>0</v>
      </c>
      <c r="AC481" s="78"/>
      <c r="AD481" s="78">
        <v>0</v>
      </c>
      <c r="AE481" s="80">
        <f t="shared" si="63"/>
        <v>0</v>
      </c>
      <c r="AF481" s="82">
        <v>0</v>
      </c>
      <c r="AG481" s="69">
        <v>40301</v>
      </c>
      <c r="AH481" s="84"/>
      <c r="AI481" s="69" t="s">
        <v>1984</v>
      </c>
      <c r="AJ481" s="25" t="s">
        <v>1985</v>
      </c>
      <c r="AK481" s="65"/>
      <c r="AL481" s="185" t="s">
        <v>1257</v>
      </c>
      <c r="AM481" s="85" t="s">
        <v>2488</v>
      </c>
      <c r="AN481" s="3"/>
      <c r="AO481" s="4"/>
      <c r="AP481" s="5"/>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6"/>
      <c r="CQ481" s="7"/>
      <c r="CR481" s="6"/>
      <c r="CS481" s="7"/>
      <c r="CT481" s="6"/>
      <c r="CU481" s="7"/>
      <c r="CV481" s="8">
        <f t="shared" si="62"/>
        <v>0</v>
      </c>
      <c r="CW481" s="9"/>
      <c r="CX481" s="10"/>
      <c r="CY481" s="11"/>
      <c r="CZ481" s="12"/>
      <c r="DA481" s="29"/>
      <c r="DB481" s="12"/>
      <c r="DC481" s="9"/>
      <c r="DD481" s="10"/>
      <c r="DE481" s="71"/>
      <c r="EO481" s="353" t="str">
        <f t="shared" si="57"/>
        <v>ATLANTICO_BARRANQUILLA</v>
      </c>
      <c r="EP481" s="350"/>
      <c r="EQ481" s="350" t="s">
        <v>4295</v>
      </c>
      <c r="ER481" s="358" t="s">
        <v>4296</v>
      </c>
      <c r="ES481" s="350" t="s">
        <v>5782</v>
      </c>
      <c r="ET481" s="350" t="s">
        <v>6258</v>
      </c>
      <c r="EU481" s="350" t="str">
        <f t="shared" si="64"/>
        <v>Cordoba_Tuchin</v>
      </c>
    </row>
    <row r="482" spans="1:151" ht="60" x14ac:dyDescent="0.2">
      <c r="A482" s="242">
        <v>40300</v>
      </c>
      <c r="B482" s="107" t="s">
        <v>828</v>
      </c>
      <c r="C482" s="107" t="s">
        <v>621</v>
      </c>
      <c r="D482" s="427" t="s">
        <v>837</v>
      </c>
      <c r="E482" s="107" t="str">
        <f>VLOOKUP(B482&amp;C482,Divipola!$C$2:$F$1138,4,FALSE)</f>
        <v>15001</v>
      </c>
      <c r="F482" s="330"/>
      <c r="G482" s="224"/>
      <c r="H482" s="75"/>
      <c r="I482" s="75"/>
      <c r="J482" s="75">
        <v>125</v>
      </c>
      <c r="K482" s="75">
        <v>25</v>
      </c>
      <c r="L482" s="75"/>
      <c r="M482" s="75">
        <v>25</v>
      </c>
      <c r="N482" s="75"/>
      <c r="O482" s="75"/>
      <c r="P482" s="75"/>
      <c r="Q482" s="75"/>
      <c r="R482" s="75"/>
      <c r="S482" s="75"/>
      <c r="T482" s="75"/>
      <c r="U482" s="75"/>
      <c r="V482" s="76"/>
      <c r="W482" s="205"/>
      <c r="X482" s="1"/>
      <c r="Y482" s="78">
        <f t="shared" si="58"/>
        <v>0</v>
      </c>
      <c r="Z482" s="78">
        <f t="shared" si="59"/>
        <v>0</v>
      </c>
      <c r="AA482" s="78">
        <f t="shared" si="60"/>
        <v>0</v>
      </c>
      <c r="AB482" s="78">
        <f t="shared" si="61"/>
        <v>0</v>
      </c>
      <c r="AC482" s="78"/>
      <c r="AD482" s="78">
        <v>0</v>
      </c>
      <c r="AE482" s="80">
        <f t="shared" si="63"/>
        <v>0</v>
      </c>
      <c r="AF482" s="82">
        <v>0</v>
      </c>
      <c r="AG482" s="69">
        <v>40301</v>
      </c>
      <c r="AH482" s="84"/>
      <c r="AI482" s="69" t="s">
        <v>1984</v>
      </c>
      <c r="AJ482" s="25" t="s">
        <v>1985</v>
      </c>
      <c r="AK482" s="65"/>
      <c r="AL482" s="185" t="s">
        <v>1257</v>
      </c>
      <c r="AM482" s="85" t="s">
        <v>2485</v>
      </c>
      <c r="AN482" s="3"/>
      <c r="AO482" s="4"/>
      <c r="AP482" s="5"/>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6"/>
      <c r="CQ482" s="7"/>
      <c r="CR482" s="6"/>
      <c r="CS482" s="7"/>
      <c r="CT482" s="6"/>
      <c r="CU482" s="7"/>
      <c r="CV482" s="8">
        <f t="shared" si="62"/>
        <v>0</v>
      </c>
      <c r="CW482" s="9"/>
      <c r="CX482" s="10"/>
      <c r="CY482" s="11"/>
      <c r="CZ482" s="12"/>
      <c r="DA482" s="29"/>
      <c r="DB482" s="12"/>
      <c r="DC482" s="9"/>
      <c r="DD482" s="10"/>
      <c r="DE482" s="71"/>
      <c r="EO482" s="353" t="str">
        <f t="shared" si="57"/>
        <v>BOYACA_TUNJA</v>
      </c>
      <c r="EP482" s="350"/>
      <c r="EQ482" s="350" t="s">
        <v>4295</v>
      </c>
      <c r="ER482" s="358" t="s">
        <v>4296</v>
      </c>
      <c r="ES482" s="350" t="s">
        <v>5132</v>
      </c>
      <c r="ET482" s="350" t="s">
        <v>6259</v>
      </c>
      <c r="EU482" s="350" t="str">
        <f t="shared" si="64"/>
        <v>Cordoba_Valencia</v>
      </c>
    </row>
    <row r="483" spans="1:151" ht="60" x14ac:dyDescent="0.2">
      <c r="A483" s="242">
        <v>40300</v>
      </c>
      <c r="B483" s="107" t="s">
        <v>2007</v>
      </c>
      <c r="C483" s="107" t="s">
        <v>626</v>
      </c>
      <c r="D483" s="427" t="s">
        <v>837</v>
      </c>
      <c r="E483" s="107" t="str">
        <f>VLOOKUP(B483&amp;C483,Divipola!$C$2:$F$1138,4,FALSE)</f>
        <v>25290</v>
      </c>
      <c r="F483" s="330"/>
      <c r="G483" s="224"/>
      <c r="H483" s="75"/>
      <c r="I483" s="75"/>
      <c r="J483" s="75">
        <v>55</v>
      </c>
      <c r="K483" s="75">
        <v>11</v>
      </c>
      <c r="L483" s="75"/>
      <c r="M483" s="75">
        <v>11</v>
      </c>
      <c r="N483" s="75"/>
      <c r="O483" s="75"/>
      <c r="P483" s="75"/>
      <c r="Q483" s="75"/>
      <c r="R483" s="75"/>
      <c r="S483" s="75"/>
      <c r="T483" s="75"/>
      <c r="U483" s="75"/>
      <c r="V483" s="76"/>
      <c r="W483" s="205"/>
      <c r="X483" s="1"/>
      <c r="Y483" s="78">
        <f t="shared" si="58"/>
        <v>0</v>
      </c>
      <c r="Z483" s="78">
        <f t="shared" si="59"/>
        <v>0</v>
      </c>
      <c r="AA483" s="78">
        <f t="shared" si="60"/>
        <v>0</v>
      </c>
      <c r="AB483" s="78">
        <f t="shared" si="61"/>
        <v>0</v>
      </c>
      <c r="AC483" s="78"/>
      <c r="AD483" s="78">
        <v>0</v>
      </c>
      <c r="AE483" s="80">
        <f t="shared" si="63"/>
        <v>0</v>
      </c>
      <c r="AF483" s="82">
        <v>0</v>
      </c>
      <c r="AG483" s="69">
        <v>40302</v>
      </c>
      <c r="AH483" s="84"/>
      <c r="AI483" s="69" t="s">
        <v>1984</v>
      </c>
      <c r="AJ483" s="25" t="s">
        <v>1985</v>
      </c>
      <c r="AK483" s="65"/>
      <c r="AL483" s="185" t="s">
        <v>1257</v>
      </c>
      <c r="AM483" s="85" t="s">
        <v>627</v>
      </c>
      <c r="AN483" s="3"/>
      <c r="AO483" s="4"/>
      <c r="AP483" s="5"/>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6"/>
      <c r="CQ483" s="7"/>
      <c r="CR483" s="6"/>
      <c r="CS483" s="7"/>
      <c r="CT483" s="6"/>
      <c r="CU483" s="7"/>
      <c r="CV483" s="8">
        <f t="shared" si="62"/>
        <v>0</v>
      </c>
      <c r="CW483" s="9"/>
      <c r="CX483" s="10"/>
      <c r="CY483" s="11"/>
      <c r="CZ483" s="12"/>
      <c r="DA483" s="29"/>
      <c r="DB483" s="12"/>
      <c r="DC483" s="9"/>
      <c r="DD483" s="10"/>
      <c r="DE483" s="71"/>
      <c r="EO483" s="353" t="str">
        <f t="shared" si="57"/>
        <v>CUNDINAMARCA_FUSAGASUGA</v>
      </c>
      <c r="EP483" s="350"/>
      <c r="EQ483" s="350" t="s">
        <v>4311</v>
      </c>
      <c r="ER483" s="358" t="s">
        <v>6260</v>
      </c>
      <c r="ES483" s="350" t="s">
        <v>5133</v>
      </c>
      <c r="ET483" s="350" t="s">
        <v>6261</v>
      </c>
      <c r="EU483" s="350" t="str">
        <f t="shared" si="64"/>
        <v>Cundinamarca_Agua de Dios</v>
      </c>
    </row>
    <row r="484" spans="1:151" ht="48" x14ac:dyDescent="0.2">
      <c r="A484" s="242">
        <v>40300</v>
      </c>
      <c r="B484" s="107" t="s">
        <v>1333</v>
      </c>
      <c r="C484" s="107" t="s">
        <v>2680</v>
      </c>
      <c r="D484" s="427" t="s">
        <v>2209</v>
      </c>
      <c r="E484" s="107" t="str">
        <f>VLOOKUP(B484&amp;C484,Divipola!$C$2:$F$1138,4,FALSE)</f>
        <v>41306</v>
      </c>
      <c r="F484" s="330"/>
      <c r="G484" s="224"/>
      <c r="H484" s="75"/>
      <c r="I484" s="75"/>
      <c r="J484" s="75"/>
      <c r="K484" s="75"/>
      <c r="L484" s="75"/>
      <c r="M484" s="75"/>
      <c r="N484" s="75">
        <v>1</v>
      </c>
      <c r="O484" s="75"/>
      <c r="P484" s="75"/>
      <c r="Q484" s="75"/>
      <c r="R484" s="75"/>
      <c r="S484" s="75"/>
      <c r="T484" s="75"/>
      <c r="U484" s="75"/>
      <c r="V484" s="76"/>
      <c r="W484" s="205"/>
      <c r="X484" s="1"/>
      <c r="Y484" s="78">
        <f t="shared" si="58"/>
        <v>0</v>
      </c>
      <c r="Z484" s="78">
        <f t="shared" si="59"/>
        <v>0</v>
      </c>
      <c r="AA484" s="78">
        <f t="shared" si="60"/>
        <v>0</v>
      </c>
      <c r="AB484" s="78">
        <f t="shared" si="61"/>
        <v>0</v>
      </c>
      <c r="AC484" s="78"/>
      <c r="AD484" s="78">
        <v>0</v>
      </c>
      <c r="AE484" s="80">
        <f t="shared" si="63"/>
        <v>0</v>
      </c>
      <c r="AF484" s="82">
        <v>0</v>
      </c>
      <c r="AG484" s="69">
        <v>40301</v>
      </c>
      <c r="AH484" s="84"/>
      <c r="AI484" s="69" t="s">
        <v>1984</v>
      </c>
      <c r="AJ484" s="25" t="s">
        <v>1985</v>
      </c>
      <c r="AK484" s="65"/>
      <c r="AL484" s="185" t="s">
        <v>1257</v>
      </c>
      <c r="AM484" s="85" t="s">
        <v>2489</v>
      </c>
      <c r="AN484" s="3"/>
      <c r="AO484" s="4"/>
      <c r="AP484" s="5"/>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6"/>
      <c r="CQ484" s="7"/>
      <c r="CR484" s="6"/>
      <c r="CS484" s="7"/>
      <c r="CT484" s="6"/>
      <c r="CU484" s="7"/>
      <c r="CV484" s="8">
        <f t="shared" si="62"/>
        <v>0</v>
      </c>
      <c r="CW484" s="9"/>
      <c r="CX484" s="10"/>
      <c r="CY484" s="11"/>
      <c r="CZ484" s="12"/>
      <c r="DA484" s="29"/>
      <c r="DB484" s="12"/>
      <c r="DC484" s="9"/>
      <c r="DD484" s="10"/>
      <c r="DE484" s="71"/>
      <c r="EO484" s="353" t="str">
        <f t="shared" si="57"/>
        <v>HUILA_GIGANTE</v>
      </c>
      <c r="EP484" s="350"/>
      <c r="EQ484" s="350" t="s">
        <v>4311</v>
      </c>
      <c r="ER484" s="358" t="s">
        <v>6260</v>
      </c>
      <c r="ES484" s="350" t="s">
        <v>5134</v>
      </c>
      <c r="ET484" s="350" t="s">
        <v>6262</v>
      </c>
      <c r="EU484" s="350" t="str">
        <f t="shared" si="64"/>
        <v>Cundinamarca_Alban</v>
      </c>
    </row>
    <row r="485" spans="1:151" ht="51" x14ac:dyDescent="0.2">
      <c r="A485" s="242">
        <v>40300</v>
      </c>
      <c r="B485" s="107" t="s">
        <v>1462</v>
      </c>
      <c r="C485" s="107" t="s">
        <v>4619</v>
      </c>
      <c r="D485" s="427" t="s">
        <v>837</v>
      </c>
      <c r="E485" s="107" t="str">
        <f>VLOOKUP(B485&amp;C485,Divipola!$C$2:$F$1138,4,FALSE)</f>
        <v>76126</v>
      </c>
      <c r="F485" s="330"/>
      <c r="G485" s="224"/>
      <c r="H485" s="75"/>
      <c r="I485" s="75"/>
      <c r="J485" s="75">
        <v>15</v>
      </c>
      <c r="K485" s="75">
        <v>3</v>
      </c>
      <c r="L485" s="75"/>
      <c r="M485" s="75">
        <v>3</v>
      </c>
      <c r="N485" s="75"/>
      <c r="O485" s="75"/>
      <c r="P485" s="75"/>
      <c r="Q485" s="75"/>
      <c r="R485" s="75"/>
      <c r="S485" s="75"/>
      <c r="T485" s="75"/>
      <c r="U485" s="75"/>
      <c r="V485" s="76"/>
      <c r="W485" s="205"/>
      <c r="X485" s="1"/>
      <c r="Y485" s="78">
        <f t="shared" si="58"/>
        <v>0</v>
      </c>
      <c r="Z485" s="78">
        <f t="shared" si="59"/>
        <v>0</v>
      </c>
      <c r="AA485" s="78">
        <f t="shared" si="60"/>
        <v>0</v>
      </c>
      <c r="AB485" s="78">
        <f t="shared" si="61"/>
        <v>0</v>
      </c>
      <c r="AC485" s="78"/>
      <c r="AD485" s="78">
        <v>0</v>
      </c>
      <c r="AE485" s="80">
        <f t="shared" si="63"/>
        <v>0</v>
      </c>
      <c r="AF485" s="82">
        <v>0</v>
      </c>
      <c r="AG485" s="69">
        <v>40301</v>
      </c>
      <c r="AH485" s="84"/>
      <c r="AI485" s="69" t="s">
        <v>1984</v>
      </c>
      <c r="AJ485" s="25" t="s">
        <v>1985</v>
      </c>
      <c r="AK485" s="65"/>
      <c r="AL485" s="185" t="s">
        <v>1257</v>
      </c>
      <c r="AM485" s="85" t="s">
        <v>1268</v>
      </c>
      <c r="AN485" s="3"/>
      <c r="AO485" s="4"/>
      <c r="AP485" s="5"/>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6"/>
      <c r="CQ485" s="7"/>
      <c r="CR485" s="6"/>
      <c r="CS485" s="7"/>
      <c r="CT485" s="6"/>
      <c r="CU485" s="7"/>
      <c r="CV485" s="8">
        <f t="shared" si="62"/>
        <v>0</v>
      </c>
      <c r="CW485" s="9"/>
      <c r="CX485" s="10"/>
      <c r="CY485" s="11"/>
      <c r="CZ485" s="12"/>
      <c r="DA485" s="29"/>
      <c r="DB485" s="12"/>
      <c r="DC485" s="9"/>
      <c r="DD485" s="10"/>
      <c r="DE485" s="71"/>
      <c r="EO485" s="353" t="str">
        <f t="shared" si="57"/>
        <v>VALLE DEL CAUCA_CALIMA</v>
      </c>
      <c r="EP485" s="350"/>
      <c r="EQ485" s="350" t="s">
        <v>4311</v>
      </c>
      <c r="ER485" s="358" t="s">
        <v>6260</v>
      </c>
      <c r="ES485" s="350" t="s">
        <v>5135</v>
      </c>
      <c r="ET485" s="350" t="s">
        <v>6263</v>
      </c>
      <c r="EU485" s="350" t="str">
        <f t="shared" si="64"/>
        <v>Cundinamarca_Anapoima</v>
      </c>
    </row>
    <row r="486" spans="1:151" ht="51" x14ac:dyDescent="0.2">
      <c r="A486" s="242">
        <v>40300</v>
      </c>
      <c r="B486" s="107" t="s">
        <v>1462</v>
      </c>
      <c r="C486" s="107" t="s">
        <v>865</v>
      </c>
      <c r="D486" s="427" t="s">
        <v>2307</v>
      </c>
      <c r="E486" s="107" t="str">
        <f>VLOOKUP(B486&amp;C486,Divipola!$C$2:$F$1138,4,FALSE)</f>
        <v>76243</v>
      </c>
      <c r="F486" s="330"/>
      <c r="G486" s="224"/>
      <c r="H486" s="75"/>
      <c r="I486" s="75"/>
      <c r="J486" s="75"/>
      <c r="K486" s="75"/>
      <c r="L486" s="75"/>
      <c r="M486" s="75"/>
      <c r="N486" s="75">
        <v>1</v>
      </c>
      <c r="O486" s="75"/>
      <c r="P486" s="75"/>
      <c r="Q486" s="75"/>
      <c r="R486" s="75"/>
      <c r="S486" s="75"/>
      <c r="T486" s="75"/>
      <c r="U486" s="75"/>
      <c r="V486" s="76"/>
      <c r="W486" s="205"/>
      <c r="X486" s="1"/>
      <c r="Y486" s="78">
        <f t="shared" si="58"/>
        <v>0</v>
      </c>
      <c r="Z486" s="78">
        <f t="shared" si="59"/>
        <v>0</v>
      </c>
      <c r="AA486" s="78">
        <f t="shared" si="60"/>
        <v>0</v>
      </c>
      <c r="AB486" s="78">
        <f t="shared" si="61"/>
        <v>0</v>
      </c>
      <c r="AC486" s="78"/>
      <c r="AD486" s="78">
        <v>0</v>
      </c>
      <c r="AE486" s="80">
        <f t="shared" si="63"/>
        <v>0</v>
      </c>
      <c r="AF486" s="82">
        <v>0</v>
      </c>
      <c r="AG486" s="69">
        <v>40301</v>
      </c>
      <c r="AH486" s="84"/>
      <c r="AI486" s="69" t="s">
        <v>1984</v>
      </c>
      <c r="AJ486" s="25" t="s">
        <v>1985</v>
      </c>
      <c r="AK486" s="65"/>
      <c r="AL486" s="185" t="s">
        <v>1257</v>
      </c>
      <c r="AM486" s="85" t="s">
        <v>866</v>
      </c>
      <c r="AN486" s="3"/>
      <c r="AO486" s="4"/>
      <c r="AP486" s="5"/>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6"/>
      <c r="CQ486" s="7"/>
      <c r="CR486" s="6"/>
      <c r="CS486" s="7"/>
      <c r="CT486" s="6"/>
      <c r="CU486" s="7"/>
      <c r="CV486" s="8">
        <f t="shared" si="62"/>
        <v>0</v>
      </c>
      <c r="CW486" s="9"/>
      <c r="CX486" s="10"/>
      <c r="CY486" s="11"/>
      <c r="CZ486" s="12"/>
      <c r="DA486" s="29"/>
      <c r="DB486" s="12"/>
      <c r="DC486" s="9"/>
      <c r="DD486" s="10"/>
      <c r="DE486" s="71"/>
      <c r="EO486" s="353" t="str">
        <f t="shared" si="57"/>
        <v>VALLE DEL CAUCA_EL AGUILA</v>
      </c>
      <c r="EP486" s="350"/>
      <c r="EQ486" s="350" t="s">
        <v>4311</v>
      </c>
      <c r="ER486" s="358" t="s">
        <v>6260</v>
      </c>
      <c r="ES486" s="350" t="s">
        <v>5137</v>
      </c>
      <c r="ET486" s="350" t="s">
        <v>6264</v>
      </c>
      <c r="EU486" s="350" t="str">
        <f t="shared" si="64"/>
        <v>Cundinamarca_Arbelaez</v>
      </c>
    </row>
    <row r="487" spans="1:151" ht="51" x14ac:dyDescent="0.2">
      <c r="A487" s="242">
        <v>40300</v>
      </c>
      <c r="B487" s="107" t="s">
        <v>1462</v>
      </c>
      <c r="C487" s="107" t="s">
        <v>1386</v>
      </c>
      <c r="D487" s="427" t="s">
        <v>837</v>
      </c>
      <c r="E487" s="107" t="str">
        <f>VLOOKUP(B487&amp;C487,Divipola!$C$2:$F$1138,4,FALSE)</f>
        <v>76895</v>
      </c>
      <c r="F487" s="330"/>
      <c r="G487" s="224"/>
      <c r="H487" s="75"/>
      <c r="I487" s="75"/>
      <c r="J487" s="75">
        <v>35</v>
      </c>
      <c r="K487" s="75">
        <v>7</v>
      </c>
      <c r="L487" s="75"/>
      <c r="M487" s="75">
        <v>7</v>
      </c>
      <c r="N487" s="75"/>
      <c r="O487" s="75"/>
      <c r="P487" s="75"/>
      <c r="Q487" s="75"/>
      <c r="R487" s="75"/>
      <c r="S487" s="75"/>
      <c r="T487" s="75"/>
      <c r="U487" s="75"/>
      <c r="V487" s="76"/>
      <c r="W487" s="205"/>
      <c r="X487" s="1"/>
      <c r="Y487" s="78">
        <f t="shared" si="58"/>
        <v>0</v>
      </c>
      <c r="Z487" s="78">
        <f t="shared" si="59"/>
        <v>0</v>
      </c>
      <c r="AA487" s="78">
        <f t="shared" si="60"/>
        <v>0</v>
      </c>
      <c r="AB487" s="78">
        <f t="shared" si="61"/>
        <v>0</v>
      </c>
      <c r="AC487" s="78"/>
      <c r="AD487" s="78">
        <v>0</v>
      </c>
      <c r="AE487" s="80">
        <f t="shared" si="63"/>
        <v>0</v>
      </c>
      <c r="AF487" s="82">
        <v>0</v>
      </c>
      <c r="AG487" s="69">
        <v>40301</v>
      </c>
      <c r="AH487" s="84"/>
      <c r="AI487" s="69" t="s">
        <v>1984</v>
      </c>
      <c r="AJ487" s="25" t="s">
        <v>1985</v>
      </c>
      <c r="AK487" s="65"/>
      <c r="AL487" s="185" t="s">
        <v>1257</v>
      </c>
      <c r="AM487" s="85" t="s">
        <v>864</v>
      </c>
      <c r="AN487" s="3"/>
      <c r="AO487" s="4"/>
      <c r="AP487" s="5"/>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6"/>
      <c r="CQ487" s="7"/>
      <c r="CR487" s="6"/>
      <c r="CS487" s="7"/>
      <c r="CT487" s="6"/>
      <c r="CU487" s="7"/>
      <c r="CV487" s="8">
        <f t="shared" si="62"/>
        <v>0</v>
      </c>
      <c r="CW487" s="9"/>
      <c r="CX487" s="10"/>
      <c r="CY487" s="11"/>
      <c r="CZ487" s="12"/>
      <c r="DA487" s="29"/>
      <c r="DB487" s="12"/>
      <c r="DC487" s="9"/>
      <c r="DD487" s="10"/>
      <c r="DE487" s="71"/>
      <c r="EO487" s="353" t="str">
        <f t="shared" si="57"/>
        <v>VALLE DEL CAUCA_ZARZAL</v>
      </c>
      <c r="EP487" s="350"/>
      <c r="EQ487" s="350" t="s">
        <v>4311</v>
      </c>
      <c r="ER487" s="358" t="s">
        <v>6260</v>
      </c>
      <c r="ES487" s="350" t="s">
        <v>5138</v>
      </c>
      <c r="ET487" s="350" t="s">
        <v>6265</v>
      </c>
      <c r="EU487" s="350" t="str">
        <f t="shared" si="64"/>
        <v>Cundinamarca_Beltran</v>
      </c>
    </row>
    <row r="488" spans="1:151" ht="38.25" x14ac:dyDescent="0.2">
      <c r="A488" s="246">
        <v>40301</v>
      </c>
      <c r="B488" s="238" t="s">
        <v>2401</v>
      </c>
      <c r="C488" s="238" t="s">
        <v>1304</v>
      </c>
      <c r="D488" s="431" t="s">
        <v>1993</v>
      </c>
      <c r="E488" s="107" t="str">
        <f>VLOOKUP(B488&amp;C488,Divipola!$C$2:$F$1138,4,FALSE)</f>
        <v>05667</v>
      </c>
      <c r="F488" s="334"/>
      <c r="G488" s="224">
        <v>3</v>
      </c>
      <c r="H488" s="75">
        <v>63</v>
      </c>
      <c r="I488" s="75"/>
      <c r="J488" s="75"/>
      <c r="K488" s="75"/>
      <c r="L488" s="75"/>
      <c r="M488" s="75"/>
      <c r="N488" s="75"/>
      <c r="O488" s="75"/>
      <c r="P488" s="75"/>
      <c r="Q488" s="75"/>
      <c r="R488" s="75"/>
      <c r="S488" s="75"/>
      <c r="T488" s="75"/>
      <c r="U488" s="75"/>
      <c r="V488" s="76"/>
      <c r="W488" s="205"/>
      <c r="X488" s="1"/>
      <c r="Y488" s="78">
        <f t="shared" si="58"/>
        <v>0</v>
      </c>
      <c r="Z488" s="78">
        <f t="shared" si="59"/>
        <v>0</v>
      </c>
      <c r="AA488" s="78">
        <f t="shared" si="60"/>
        <v>0</v>
      </c>
      <c r="AB488" s="78">
        <f t="shared" si="61"/>
        <v>0</v>
      </c>
      <c r="AC488" s="78"/>
      <c r="AD488" s="78">
        <v>0</v>
      </c>
      <c r="AE488" s="80">
        <f t="shared" si="63"/>
        <v>0</v>
      </c>
      <c r="AF488" s="82">
        <v>0</v>
      </c>
      <c r="AG488" s="69">
        <v>40302</v>
      </c>
      <c r="AH488" s="84"/>
      <c r="AI488" s="69" t="s">
        <v>1984</v>
      </c>
      <c r="AJ488" s="25" t="s">
        <v>1985</v>
      </c>
      <c r="AK488" s="65"/>
      <c r="AL488" s="185" t="s">
        <v>1257</v>
      </c>
      <c r="AM488" s="85" t="s">
        <v>1305</v>
      </c>
      <c r="AN488" s="3"/>
      <c r="AO488" s="4"/>
      <c r="AP488" s="5"/>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6"/>
      <c r="CQ488" s="7"/>
      <c r="CR488" s="6"/>
      <c r="CS488" s="7"/>
      <c r="CT488" s="6"/>
      <c r="CU488" s="7"/>
      <c r="CV488" s="8">
        <f t="shared" si="62"/>
        <v>0</v>
      </c>
      <c r="CW488" s="9"/>
      <c r="CX488" s="10"/>
      <c r="CY488" s="11"/>
      <c r="CZ488" s="12"/>
      <c r="DA488" s="29"/>
      <c r="DB488" s="12"/>
      <c r="DC488" s="9"/>
      <c r="DD488" s="10"/>
      <c r="DE488" s="71"/>
      <c r="EO488" s="353" t="str">
        <f t="shared" si="57"/>
        <v>ANTIOQUIA_SAN RAFAEL</v>
      </c>
      <c r="EP488" s="350"/>
      <c r="EQ488" s="350" t="s">
        <v>4311</v>
      </c>
      <c r="ER488" s="358" t="s">
        <v>6260</v>
      </c>
      <c r="ES488" s="350" t="s">
        <v>5139</v>
      </c>
      <c r="ET488" s="350" t="s">
        <v>6266</v>
      </c>
      <c r="EU488" s="350" t="str">
        <f t="shared" si="64"/>
        <v>Cundinamarca_Bituima</v>
      </c>
    </row>
    <row r="489" spans="1:151" ht="72" x14ac:dyDescent="0.2">
      <c r="A489" s="246">
        <v>40301</v>
      </c>
      <c r="B489" s="238" t="s">
        <v>2401</v>
      </c>
      <c r="C489" s="238" t="s">
        <v>1582</v>
      </c>
      <c r="D489" s="431" t="s">
        <v>837</v>
      </c>
      <c r="E489" s="107" t="str">
        <f>VLOOKUP(B489&amp;C489,Divipola!$C$2:$F$1138,4,FALSE)</f>
        <v>05895</v>
      </c>
      <c r="F489" s="334"/>
      <c r="G489" s="224"/>
      <c r="H489" s="75"/>
      <c r="I489" s="75"/>
      <c r="J489" s="75">
        <f>1848-1500</f>
        <v>348</v>
      </c>
      <c r="K489" s="75">
        <v>51</v>
      </c>
      <c r="L489" s="75">
        <v>3</v>
      </c>
      <c r="M489" s="75">
        <v>31</v>
      </c>
      <c r="N489" s="75"/>
      <c r="O489" s="75"/>
      <c r="P489" s="75"/>
      <c r="Q489" s="75"/>
      <c r="R489" s="75"/>
      <c r="S489" s="75"/>
      <c r="T489" s="75"/>
      <c r="U489" s="75"/>
      <c r="V489" s="76"/>
      <c r="W489" s="205"/>
      <c r="X489" s="1"/>
      <c r="Y489" s="78">
        <f t="shared" si="58"/>
        <v>0</v>
      </c>
      <c r="Z489" s="78">
        <f t="shared" si="59"/>
        <v>0</v>
      </c>
      <c r="AA489" s="78">
        <f t="shared" si="60"/>
        <v>0</v>
      </c>
      <c r="AB489" s="78">
        <f t="shared" si="61"/>
        <v>0</v>
      </c>
      <c r="AC489" s="78"/>
      <c r="AD489" s="78">
        <v>0</v>
      </c>
      <c r="AE489" s="80">
        <f t="shared" si="63"/>
        <v>0</v>
      </c>
      <c r="AF489" s="82">
        <v>0</v>
      </c>
      <c r="AG489" s="69">
        <v>40302</v>
      </c>
      <c r="AH489" s="84"/>
      <c r="AI489" s="69" t="s">
        <v>1984</v>
      </c>
      <c r="AJ489" s="25" t="s">
        <v>1985</v>
      </c>
      <c r="AK489" s="65"/>
      <c r="AL489" s="185" t="s">
        <v>1257</v>
      </c>
      <c r="AM489" s="85" t="s">
        <v>2772</v>
      </c>
      <c r="AN489" s="3"/>
      <c r="AO489" s="4"/>
      <c r="AP489" s="5"/>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6"/>
      <c r="CQ489" s="7"/>
      <c r="CR489" s="6"/>
      <c r="CS489" s="7"/>
      <c r="CT489" s="6"/>
      <c r="CU489" s="7"/>
      <c r="CV489" s="8">
        <f t="shared" si="62"/>
        <v>0</v>
      </c>
      <c r="CW489" s="9"/>
      <c r="CX489" s="10"/>
      <c r="CY489" s="11"/>
      <c r="CZ489" s="12"/>
      <c r="DA489" s="29"/>
      <c r="DB489" s="12"/>
      <c r="DC489" s="9"/>
      <c r="DD489" s="10"/>
      <c r="DE489" s="71"/>
      <c r="EO489" s="353" t="str">
        <f t="shared" si="57"/>
        <v>ANTIOQUIA_ZARAGOZA</v>
      </c>
      <c r="EP489" s="350"/>
      <c r="EQ489" s="350" t="s">
        <v>4311</v>
      </c>
      <c r="ER489" s="358" t="s">
        <v>6260</v>
      </c>
      <c r="ES489" s="350" t="s">
        <v>5140</v>
      </c>
      <c r="ET489" s="350" t="s">
        <v>6267</v>
      </c>
      <c r="EU489" s="350" t="str">
        <f t="shared" si="64"/>
        <v>Cundinamarca_Bojaca</v>
      </c>
    </row>
    <row r="490" spans="1:151" ht="60" x14ac:dyDescent="0.2">
      <c r="A490" s="242">
        <v>40301</v>
      </c>
      <c r="B490" s="107" t="s">
        <v>1951</v>
      </c>
      <c r="C490" s="107" t="s">
        <v>2008</v>
      </c>
      <c r="D490" s="427" t="s">
        <v>837</v>
      </c>
      <c r="E490" s="107">
        <f>VLOOKUP(B490&amp;C490,Divipola!$C$2:$F$1138,4,FALSE)</f>
        <v>8</v>
      </c>
      <c r="F490" s="330"/>
      <c r="G490" s="224"/>
      <c r="H490" s="75"/>
      <c r="I490" s="75"/>
      <c r="J490" s="75"/>
      <c r="K490" s="75"/>
      <c r="L490" s="75"/>
      <c r="M490" s="75"/>
      <c r="N490" s="75"/>
      <c r="O490" s="75"/>
      <c r="P490" s="75"/>
      <c r="Q490" s="75"/>
      <c r="R490" s="75"/>
      <c r="S490" s="75"/>
      <c r="T490" s="75"/>
      <c r="U490" s="75"/>
      <c r="V490" s="76"/>
      <c r="W490" s="205"/>
      <c r="X490" s="1">
        <v>40339</v>
      </c>
      <c r="Y490" s="78">
        <f t="shared" si="58"/>
        <v>0</v>
      </c>
      <c r="Z490" s="78">
        <f t="shared" si="59"/>
        <v>0</v>
      </c>
      <c r="AA490" s="78">
        <f t="shared" si="60"/>
        <v>0</v>
      </c>
      <c r="AB490" s="78">
        <f t="shared" si="61"/>
        <v>45124000</v>
      </c>
      <c r="AC490" s="78">
        <f>200000*522+20000*174</f>
        <v>107880000</v>
      </c>
      <c r="AD490" s="78">
        <v>0</v>
      </c>
      <c r="AE490" s="80">
        <f t="shared" si="63"/>
        <v>153004000</v>
      </c>
      <c r="AF490" s="82">
        <v>0</v>
      </c>
      <c r="AG490" s="69">
        <v>40301</v>
      </c>
      <c r="AH490" s="84">
        <v>97211</v>
      </c>
      <c r="AI490" s="69" t="s">
        <v>2009</v>
      </c>
      <c r="AJ490" s="25" t="s">
        <v>2010</v>
      </c>
      <c r="AK490" s="88" t="s">
        <v>153</v>
      </c>
      <c r="AL490" s="185" t="s">
        <v>2182</v>
      </c>
      <c r="AM490" s="85" t="s">
        <v>2206</v>
      </c>
      <c r="AN490" s="3"/>
      <c r="AO490" s="4"/>
      <c r="AP490" s="5"/>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6"/>
      <c r="CQ490" s="7"/>
      <c r="CR490" s="6"/>
      <c r="CS490" s="7"/>
      <c r="CT490" s="6"/>
      <c r="CU490" s="7"/>
      <c r="CV490" s="8">
        <f t="shared" si="62"/>
        <v>0</v>
      </c>
      <c r="CW490" s="9">
        <v>50000</v>
      </c>
      <c r="CX490" s="10">
        <f>50000*902.48</f>
        <v>45124000</v>
      </c>
      <c r="CY490" s="11"/>
      <c r="CZ490" s="12"/>
      <c r="DA490" s="29"/>
      <c r="DB490" s="12"/>
      <c r="DC490" s="9"/>
      <c r="DD490" s="10"/>
      <c r="DE490" s="71"/>
      <c r="EO490" s="353" t="str">
        <f t="shared" si="57"/>
        <v>ATLANTICO_DEPARTAMENTO</v>
      </c>
      <c r="EP490" s="350"/>
      <c r="EQ490" s="350" t="s">
        <v>4311</v>
      </c>
      <c r="ER490" s="358" t="s">
        <v>6260</v>
      </c>
      <c r="ES490" s="350" t="s">
        <v>5141</v>
      </c>
      <c r="ET490" s="350" t="s">
        <v>6268</v>
      </c>
      <c r="EU490" s="350" t="str">
        <f t="shared" si="64"/>
        <v>Cundinamarca_Cabrera</v>
      </c>
    </row>
    <row r="491" spans="1:151" ht="96" x14ac:dyDescent="0.2">
      <c r="A491" s="242">
        <v>40301</v>
      </c>
      <c r="B491" s="107" t="s">
        <v>708</v>
      </c>
      <c r="C491" s="107" t="s">
        <v>1738</v>
      </c>
      <c r="D491" s="427" t="s">
        <v>882</v>
      </c>
      <c r="E491" s="107" t="str">
        <f>VLOOKUP(B491&amp;C491,Divipola!$C$2:$F$1138,4,FALSE)</f>
        <v>50400</v>
      </c>
      <c r="F491" s="330"/>
      <c r="G491" s="224"/>
      <c r="H491" s="75"/>
      <c r="I491" s="75"/>
      <c r="J491" s="75"/>
      <c r="K491" s="75"/>
      <c r="L491" s="75"/>
      <c r="M491" s="75"/>
      <c r="N491" s="75"/>
      <c r="O491" s="75"/>
      <c r="P491" s="75"/>
      <c r="Q491" s="75"/>
      <c r="R491" s="75"/>
      <c r="S491" s="75"/>
      <c r="T491" s="75">
        <v>1</v>
      </c>
      <c r="U491" s="75"/>
      <c r="V491" s="76"/>
      <c r="W491" s="205"/>
      <c r="X491" s="1">
        <v>40344</v>
      </c>
      <c r="Y491" s="78">
        <f t="shared" si="58"/>
        <v>0</v>
      </c>
      <c r="Z491" s="78">
        <f t="shared" si="59"/>
        <v>0</v>
      </c>
      <c r="AA491" s="78">
        <f t="shared" si="60"/>
        <v>0</v>
      </c>
      <c r="AB491" s="78">
        <f t="shared" si="61"/>
        <v>0</v>
      </c>
      <c r="AC491" s="78"/>
      <c r="AD491" s="78">
        <v>110000000</v>
      </c>
      <c r="AE491" s="80">
        <f t="shared" si="63"/>
        <v>110000000</v>
      </c>
      <c r="AF491" s="82">
        <v>0</v>
      </c>
      <c r="AG491" s="69">
        <v>40333</v>
      </c>
      <c r="AH491" s="84">
        <v>98078</v>
      </c>
      <c r="AI491" s="69" t="s">
        <v>2009</v>
      </c>
      <c r="AJ491" s="25" t="s">
        <v>2010</v>
      </c>
      <c r="AK491" s="65">
        <v>309</v>
      </c>
      <c r="AL491" s="185" t="s">
        <v>104</v>
      </c>
      <c r="AM491" s="97" t="s">
        <v>1990</v>
      </c>
      <c r="AN491" s="3"/>
      <c r="AO491" s="4"/>
      <c r="AP491" s="5"/>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6"/>
      <c r="CQ491" s="7"/>
      <c r="CR491" s="6"/>
      <c r="CS491" s="7"/>
      <c r="CT491" s="6"/>
      <c r="CU491" s="7"/>
      <c r="CV491" s="8">
        <f t="shared" si="62"/>
        <v>0</v>
      </c>
      <c r="CW491" s="9"/>
      <c r="CX491" s="10"/>
      <c r="CY491" s="11"/>
      <c r="CZ491" s="12"/>
      <c r="DA491" s="29"/>
      <c r="DB491" s="12"/>
      <c r="DC491" s="9"/>
      <c r="DD491" s="10"/>
      <c r="DE491" s="71">
        <v>4</v>
      </c>
      <c r="DF491" s="23">
        <v>1108</v>
      </c>
      <c r="EO491" s="353" t="str">
        <f t="shared" si="57"/>
        <v>META_LEJANIAS</v>
      </c>
      <c r="EP491" s="350"/>
      <c r="EQ491" s="350" t="s">
        <v>4311</v>
      </c>
      <c r="ER491" s="358" t="s">
        <v>6260</v>
      </c>
      <c r="ES491" s="350" t="s">
        <v>5142</v>
      </c>
      <c r="ET491" s="350" t="s">
        <v>6269</v>
      </c>
      <c r="EU491" s="350" t="str">
        <f t="shared" si="64"/>
        <v>Cundinamarca_Cachipay</v>
      </c>
    </row>
    <row r="492" spans="1:151" ht="63.75" x14ac:dyDescent="0.2">
      <c r="A492" s="242">
        <v>40301</v>
      </c>
      <c r="B492" s="107" t="s">
        <v>2245</v>
      </c>
      <c r="C492" s="107" t="s">
        <v>4514</v>
      </c>
      <c r="D492" s="427" t="s">
        <v>837</v>
      </c>
      <c r="E492" s="107" t="str">
        <f>VLOOKUP(B492&amp;C492,Divipola!$C$2:$F$1138,4,FALSE)</f>
        <v>52835</v>
      </c>
      <c r="F492" s="330"/>
      <c r="G492" s="224"/>
      <c r="H492" s="75"/>
      <c r="I492" s="75"/>
      <c r="J492" s="75">
        <v>150</v>
      </c>
      <c r="K492" s="75">
        <v>30</v>
      </c>
      <c r="L492" s="75"/>
      <c r="M492" s="75">
        <v>330</v>
      </c>
      <c r="N492" s="75"/>
      <c r="O492" s="75"/>
      <c r="P492" s="75"/>
      <c r="Q492" s="75"/>
      <c r="R492" s="75"/>
      <c r="S492" s="75"/>
      <c r="T492" s="75"/>
      <c r="U492" s="75"/>
      <c r="V492" s="76"/>
      <c r="W492" s="205"/>
      <c r="X492" s="1"/>
      <c r="Y492" s="78">
        <f t="shared" si="58"/>
        <v>0</v>
      </c>
      <c r="Z492" s="78">
        <f t="shared" si="59"/>
        <v>0</v>
      </c>
      <c r="AA492" s="78">
        <f t="shared" si="60"/>
        <v>0</v>
      </c>
      <c r="AB492" s="78">
        <f t="shared" si="61"/>
        <v>0</v>
      </c>
      <c r="AC492" s="78"/>
      <c r="AD492" s="78">
        <v>0</v>
      </c>
      <c r="AE492" s="80">
        <f t="shared" si="63"/>
        <v>0</v>
      </c>
      <c r="AF492" s="82">
        <v>0</v>
      </c>
      <c r="AG492" s="69">
        <v>40301</v>
      </c>
      <c r="AH492" s="84"/>
      <c r="AI492" s="69" t="s">
        <v>1984</v>
      </c>
      <c r="AJ492" s="25" t="s">
        <v>1985</v>
      </c>
      <c r="AK492" s="65"/>
      <c r="AL492" s="185" t="s">
        <v>1257</v>
      </c>
      <c r="AM492" s="85" t="s">
        <v>624</v>
      </c>
      <c r="AN492" s="3"/>
      <c r="AO492" s="4"/>
      <c r="AP492" s="5"/>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6"/>
      <c r="CQ492" s="7"/>
      <c r="CR492" s="6"/>
      <c r="CS492" s="7"/>
      <c r="CT492" s="6"/>
      <c r="CU492" s="7"/>
      <c r="CV492" s="8">
        <f t="shared" si="62"/>
        <v>0</v>
      </c>
      <c r="CW492" s="9"/>
      <c r="CX492" s="10"/>
      <c r="CY492" s="11"/>
      <c r="CZ492" s="12"/>
      <c r="DA492" s="29"/>
      <c r="DB492" s="12"/>
      <c r="DC492" s="9"/>
      <c r="DD492" s="10"/>
      <c r="DE492" s="71"/>
      <c r="EO492" s="353" t="str">
        <f t="shared" si="57"/>
        <v>NARIÑO_SAN ANDRES DE TUMACO</v>
      </c>
      <c r="EP492" s="350"/>
      <c r="EQ492" s="350" t="s">
        <v>4311</v>
      </c>
      <c r="ER492" s="358" t="s">
        <v>6260</v>
      </c>
      <c r="ES492" s="350" t="s">
        <v>5143</v>
      </c>
      <c r="ET492" s="350" t="s">
        <v>6270</v>
      </c>
      <c r="EU492" s="350" t="str">
        <f t="shared" si="64"/>
        <v>Cundinamarca_Cajica</v>
      </c>
    </row>
    <row r="493" spans="1:151" ht="38.25" x14ac:dyDescent="0.2">
      <c r="A493" s="242">
        <v>40301</v>
      </c>
      <c r="B493" s="107" t="s">
        <v>2791</v>
      </c>
      <c r="C493" s="107" t="s">
        <v>1592</v>
      </c>
      <c r="D493" s="427" t="s">
        <v>837</v>
      </c>
      <c r="E493" s="107" t="str">
        <f>VLOOKUP(B493&amp;C493,Divipola!$C$2:$F$1138,4,FALSE)</f>
        <v>73067</v>
      </c>
      <c r="F493" s="330"/>
      <c r="G493" s="224"/>
      <c r="H493" s="75"/>
      <c r="I493" s="75"/>
      <c r="J493" s="75">
        <v>240</v>
      </c>
      <c r="K493" s="75">
        <v>60</v>
      </c>
      <c r="L493" s="75"/>
      <c r="M493" s="75"/>
      <c r="N493" s="75"/>
      <c r="O493" s="75"/>
      <c r="P493" s="75"/>
      <c r="Q493" s="75"/>
      <c r="R493" s="75"/>
      <c r="S493" s="75"/>
      <c r="T493" s="75"/>
      <c r="U493" s="75"/>
      <c r="V493" s="76"/>
      <c r="W493" s="205"/>
      <c r="X493" s="1"/>
      <c r="Y493" s="78">
        <f t="shared" si="58"/>
        <v>0</v>
      </c>
      <c r="Z493" s="78">
        <f t="shared" si="59"/>
        <v>0</v>
      </c>
      <c r="AA493" s="78">
        <f t="shared" si="60"/>
        <v>0</v>
      </c>
      <c r="AB493" s="78">
        <f t="shared" si="61"/>
        <v>0</v>
      </c>
      <c r="AC493" s="78"/>
      <c r="AD493" s="78">
        <v>0</v>
      </c>
      <c r="AE493" s="80">
        <f t="shared" si="63"/>
        <v>0</v>
      </c>
      <c r="AF493" s="82">
        <v>0</v>
      </c>
      <c r="AG493" s="69">
        <v>40301</v>
      </c>
      <c r="AH493" s="84"/>
      <c r="AI493" s="69" t="s">
        <v>1984</v>
      </c>
      <c r="AJ493" s="25" t="s">
        <v>1985</v>
      </c>
      <c r="AK493" s="65"/>
      <c r="AL493" s="185" t="s">
        <v>1257</v>
      </c>
      <c r="AM493" s="85" t="s">
        <v>108</v>
      </c>
      <c r="AN493" s="3"/>
      <c r="AO493" s="4"/>
      <c r="AP493" s="5"/>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6"/>
      <c r="CQ493" s="7"/>
      <c r="CR493" s="6"/>
      <c r="CS493" s="7"/>
      <c r="CT493" s="6"/>
      <c r="CU493" s="7"/>
      <c r="CV493" s="8">
        <f t="shared" si="62"/>
        <v>0</v>
      </c>
      <c r="CW493" s="9"/>
      <c r="CX493" s="10"/>
      <c r="CY493" s="11"/>
      <c r="CZ493" s="12"/>
      <c r="DA493" s="29"/>
      <c r="DB493" s="12"/>
      <c r="DC493" s="9"/>
      <c r="DD493" s="10"/>
      <c r="DE493" s="71"/>
      <c r="DF493" s="23">
        <v>1030</v>
      </c>
      <c r="EO493" s="353" t="str">
        <f t="shared" si="57"/>
        <v>TOLIMA_ATACO</v>
      </c>
      <c r="EP493" s="350"/>
      <c r="EQ493" s="350" t="s">
        <v>4311</v>
      </c>
      <c r="ER493" s="358" t="s">
        <v>6260</v>
      </c>
      <c r="ES493" s="350" t="s">
        <v>5144</v>
      </c>
      <c r="ET493" s="350" t="s">
        <v>6271</v>
      </c>
      <c r="EU493" s="350" t="str">
        <f t="shared" si="64"/>
        <v>Cundinamarca_Caparrapi</v>
      </c>
    </row>
    <row r="494" spans="1:151" ht="51" x14ac:dyDescent="0.2">
      <c r="A494" s="242">
        <v>40301</v>
      </c>
      <c r="B494" s="107" t="s">
        <v>1462</v>
      </c>
      <c r="C494" s="107" t="s">
        <v>1936</v>
      </c>
      <c r="D494" s="427" t="s">
        <v>837</v>
      </c>
      <c r="E494" s="107" t="str">
        <f>VLOOKUP(B494&amp;C494,Divipola!$C$2:$F$1138,4,FALSE)</f>
        <v>76828</v>
      </c>
      <c r="F494" s="330"/>
      <c r="G494" s="224"/>
      <c r="H494" s="75"/>
      <c r="I494" s="75"/>
      <c r="J494" s="75">
        <v>20</v>
      </c>
      <c r="K494" s="75">
        <v>4</v>
      </c>
      <c r="L494" s="75"/>
      <c r="M494" s="75">
        <v>4</v>
      </c>
      <c r="N494" s="75"/>
      <c r="O494" s="75"/>
      <c r="P494" s="75"/>
      <c r="Q494" s="75"/>
      <c r="R494" s="75"/>
      <c r="S494" s="75"/>
      <c r="T494" s="75"/>
      <c r="U494" s="75"/>
      <c r="V494" s="76"/>
      <c r="W494" s="205"/>
      <c r="X494" s="1"/>
      <c r="Y494" s="78">
        <f t="shared" si="58"/>
        <v>0</v>
      </c>
      <c r="Z494" s="78">
        <f t="shared" si="59"/>
        <v>0</v>
      </c>
      <c r="AA494" s="78">
        <f t="shared" si="60"/>
        <v>0</v>
      </c>
      <c r="AB494" s="78">
        <f t="shared" si="61"/>
        <v>0</v>
      </c>
      <c r="AC494" s="78"/>
      <c r="AD494" s="78">
        <v>0</v>
      </c>
      <c r="AE494" s="80">
        <f t="shared" si="63"/>
        <v>0</v>
      </c>
      <c r="AF494" s="82">
        <v>0</v>
      </c>
      <c r="AG494" s="69">
        <v>40302</v>
      </c>
      <c r="AH494" s="84"/>
      <c r="AI494" s="69" t="s">
        <v>1984</v>
      </c>
      <c r="AJ494" s="25" t="s">
        <v>1985</v>
      </c>
      <c r="AK494" s="65"/>
      <c r="AL494" s="185" t="s">
        <v>1257</v>
      </c>
      <c r="AM494" s="85" t="s">
        <v>1937</v>
      </c>
      <c r="AN494" s="3"/>
      <c r="AO494" s="4"/>
      <c r="AP494" s="5"/>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6"/>
      <c r="CQ494" s="7"/>
      <c r="CR494" s="6"/>
      <c r="CS494" s="7"/>
      <c r="CT494" s="6"/>
      <c r="CU494" s="7"/>
      <c r="CV494" s="8">
        <f t="shared" si="62"/>
        <v>0</v>
      </c>
      <c r="CW494" s="9"/>
      <c r="CX494" s="10"/>
      <c r="CY494" s="11"/>
      <c r="CZ494" s="12"/>
      <c r="DA494" s="29"/>
      <c r="DB494" s="12"/>
      <c r="DC494" s="9"/>
      <c r="DD494" s="10"/>
      <c r="DE494" s="71"/>
      <c r="EO494" s="353" t="str">
        <f t="shared" si="57"/>
        <v>VALLE DEL CAUCA_TRUJILLO</v>
      </c>
      <c r="EP494" s="350"/>
      <c r="EQ494" s="350" t="s">
        <v>4311</v>
      </c>
      <c r="ER494" s="358" t="s">
        <v>6260</v>
      </c>
      <c r="ES494" s="350" t="s">
        <v>5145</v>
      </c>
      <c r="ET494" s="350" t="s">
        <v>6272</v>
      </c>
      <c r="EU494" s="350" t="str">
        <f t="shared" si="64"/>
        <v>Cundinamarca_Caqueza</v>
      </c>
    </row>
    <row r="495" spans="1:151" ht="38.25" x14ac:dyDescent="0.2">
      <c r="A495" s="242">
        <v>40301.326388888891</v>
      </c>
      <c r="B495" s="107" t="s">
        <v>6305</v>
      </c>
      <c r="C495" s="107" t="s">
        <v>6305</v>
      </c>
      <c r="D495" s="430" t="s">
        <v>2307</v>
      </c>
      <c r="E495" s="107" t="str">
        <f>VLOOKUP(B495&amp;C495,Divipola!$C$2:$F$1138,4,FALSE)</f>
        <v>11001</v>
      </c>
      <c r="F495" s="333"/>
      <c r="G495" s="221"/>
      <c r="H495" s="157"/>
      <c r="I495" s="157"/>
      <c r="J495" s="157">
        <v>1015</v>
      </c>
      <c r="K495" s="414">
        <v>214</v>
      </c>
      <c r="L495" s="157"/>
      <c r="M495" s="157"/>
      <c r="N495" s="157"/>
      <c r="O495" s="157"/>
      <c r="P495" s="157"/>
      <c r="Q495" s="157"/>
      <c r="R495" s="157"/>
      <c r="S495" s="157"/>
      <c r="T495" s="157"/>
      <c r="U495" s="157"/>
      <c r="V495" s="158"/>
      <c r="W495" s="182"/>
      <c r="X495" s="1"/>
      <c r="Y495" s="78">
        <f t="shared" si="58"/>
        <v>0</v>
      </c>
      <c r="Z495" s="78">
        <f t="shared" si="59"/>
        <v>0</v>
      </c>
      <c r="AA495" s="78">
        <f t="shared" si="60"/>
        <v>0</v>
      </c>
      <c r="AB495" s="78">
        <f t="shared" si="61"/>
        <v>0</v>
      </c>
      <c r="AC495" s="78"/>
      <c r="AD495" s="78">
        <v>0</v>
      </c>
      <c r="AE495" s="80">
        <f t="shared" si="63"/>
        <v>0</v>
      </c>
      <c r="AF495" s="82">
        <v>0</v>
      </c>
      <c r="AG495" s="306">
        <v>40624</v>
      </c>
      <c r="AH495" s="307"/>
      <c r="AI495" s="306" t="s">
        <v>1984</v>
      </c>
      <c r="AJ495" s="308" t="s">
        <v>1985</v>
      </c>
      <c r="AK495" s="309"/>
      <c r="AL495" s="310" t="s">
        <v>1257</v>
      </c>
      <c r="AM495" s="419" t="s">
        <v>3747</v>
      </c>
      <c r="AN495" s="159"/>
      <c r="AO495" s="160"/>
      <c r="AP495" s="161"/>
      <c r="AQ495" s="160"/>
      <c r="AR495" s="160"/>
      <c r="AS495" s="160"/>
      <c r="AT495" s="160"/>
      <c r="AU495" s="160"/>
      <c r="AV495" s="160"/>
      <c r="AW495" s="160"/>
      <c r="AX495" s="160"/>
      <c r="AY495" s="160"/>
      <c r="AZ495" s="160"/>
      <c r="BA495" s="160"/>
      <c r="BB495" s="160"/>
      <c r="BC495" s="160"/>
      <c r="BD495" s="160"/>
      <c r="BE495" s="160"/>
      <c r="BF495" s="160"/>
      <c r="BG495" s="160"/>
      <c r="BH495" s="160"/>
      <c r="BI495" s="160"/>
      <c r="BJ495" s="160"/>
      <c r="BK495" s="160"/>
      <c r="BL495" s="160"/>
      <c r="BM495" s="160"/>
      <c r="BN495" s="160"/>
      <c r="BO495" s="160"/>
      <c r="BP495" s="160"/>
      <c r="BQ495" s="160"/>
      <c r="BR495" s="160"/>
      <c r="BS495" s="160"/>
      <c r="BT495" s="160"/>
      <c r="BU495" s="160"/>
      <c r="BV495" s="160"/>
      <c r="BW495" s="160"/>
      <c r="BX495" s="160"/>
      <c r="BY495" s="160"/>
      <c r="BZ495" s="160"/>
      <c r="CA495" s="160"/>
      <c r="CB495" s="160"/>
      <c r="CC495" s="160"/>
      <c r="CD495" s="160"/>
      <c r="CE495" s="160"/>
      <c r="CF495" s="160"/>
      <c r="CG495" s="160"/>
      <c r="CH495" s="160"/>
      <c r="CI495" s="160"/>
      <c r="CJ495" s="160"/>
      <c r="CK495" s="160"/>
      <c r="CL495" s="160"/>
      <c r="CM495" s="160"/>
      <c r="CN495" s="160"/>
      <c r="CO495" s="160"/>
      <c r="CP495" s="162"/>
      <c r="CQ495" s="163"/>
      <c r="CR495" s="162"/>
      <c r="CS495" s="163"/>
      <c r="CT495" s="162"/>
      <c r="CU495" s="163"/>
      <c r="CV495" s="164">
        <f t="shared" si="62"/>
        <v>0</v>
      </c>
      <c r="CW495" s="165"/>
      <c r="CX495" s="166"/>
      <c r="CY495" s="167"/>
      <c r="CZ495" s="168"/>
      <c r="DA495" s="169"/>
      <c r="DB495" s="168"/>
      <c r="DC495" s="165"/>
      <c r="DD495" s="166"/>
      <c r="DE495" s="71"/>
      <c r="DF495" s="170"/>
      <c r="EO495" s="353" t="str">
        <f t="shared" si="57"/>
        <v>BOGOTA, D.C._BOGOTA, D.C.</v>
      </c>
      <c r="EP495" s="350"/>
      <c r="EQ495" s="350" t="s">
        <v>4311</v>
      </c>
      <c r="ER495" s="358" t="s">
        <v>6260</v>
      </c>
      <c r="ES495" s="350" t="s">
        <v>5146</v>
      </c>
      <c r="ET495" s="350" t="s">
        <v>6273</v>
      </c>
      <c r="EU495" s="350" t="str">
        <f t="shared" si="64"/>
        <v>Cundinamarca_Carmen de Carupa</v>
      </c>
    </row>
    <row r="496" spans="1:151" ht="45" x14ac:dyDescent="0.2">
      <c r="A496" s="242">
        <v>40302</v>
      </c>
      <c r="B496" s="107" t="s">
        <v>1719</v>
      </c>
      <c r="C496" s="107" t="s">
        <v>2432</v>
      </c>
      <c r="D496" s="427" t="s">
        <v>837</v>
      </c>
      <c r="E496" s="107" t="str">
        <f>VLOOKUP(B496&amp;C496,Divipola!$C$2:$F$1138,4,FALSE)</f>
        <v>19050</v>
      </c>
      <c r="F496" s="330"/>
      <c r="G496" s="224"/>
      <c r="H496" s="75"/>
      <c r="I496" s="75"/>
      <c r="J496" s="75">
        <f>300*5</f>
        <v>1500</v>
      </c>
      <c r="K496" s="75">
        <v>300</v>
      </c>
      <c r="L496" s="75"/>
      <c r="M496" s="75"/>
      <c r="N496" s="75">
        <v>2</v>
      </c>
      <c r="O496" s="75"/>
      <c r="P496" s="75"/>
      <c r="Q496" s="75"/>
      <c r="R496" s="75"/>
      <c r="S496" s="75"/>
      <c r="T496" s="75">
        <v>2</v>
      </c>
      <c r="U496" s="75"/>
      <c r="V496" s="76"/>
      <c r="W496" s="205"/>
      <c r="X496" s="1">
        <v>40448</v>
      </c>
      <c r="Y496" s="78">
        <f t="shared" si="58"/>
        <v>45450000</v>
      </c>
      <c r="Z496" s="78">
        <f t="shared" si="59"/>
        <v>25500000</v>
      </c>
      <c r="AA496" s="78">
        <f t="shared" si="60"/>
        <v>11826000</v>
      </c>
      <c r="AB496" s="78">
        <f t="shared" si="61"/>
        <v>0</v>
      </c>
      <c r="AC496" s="78"/>
      <c r="AD496" s="78">
        <v>0</v>
      </c>
      <c r="AE496" s="80">
        <f t="shared" si="63"/>
        <v>82776000</v>
      </c>
      <c r="AF496" s="82">
        <v>0</v>
      </c>
      <c r="AG496" s="69">
        <v>40388</v>
      </c>
      <c r="AH496" s="84">
        <v>37735</v>
      </c>
      <c r="AI496" s="69" t="s">
        <v>2009</v>
      </c>
      <c r="AJ496" s="25" t="s">
        <v>2010</v>
      </c>
      <c r="AK496" s="88" t="s">
        <v>1759</v>
      </c>
      <c r="AL496" s="185" t="s">
        <v>2182</v>
      </c>
      <c r="AM496" s="85" t="s">
        <v>1031</v>
      </c>
      <c r="AN496" s="3"/>
      <c r="AO496" s="4"/>
      <c r="AP496" s="5"/>
      <c r="AQ496" s="4"/>
      <c r="AR496" s="4"/>
      <c r="AS496" s="4"/>
      <c r="AT496" s="4"/>
      <c r="AU496" s="4"/>
      <c r="AV496" s="4"/>
      <c r="AW496" s="4"/>
      <c r="AX496" s="4"/>
      <c r="AY496" s="4"/>
      <c r="AZ496" s="4">
        <v>300</v>
      </c>
      <c r="BA496" s="4">
        <f>300*56000</f>
        <v>16800000</v>
      </c>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v>300</v>
      </c>
      <c r="CK496" s="4">
        <f>300*21000</f>
        <v>6300000</v>
      </c>
      <c r="CL496" s="4"/>
      <c r="CM496" s="4"/>
      <c r="CN496" s="4"/>
      <c r="CO496" s="4"/>
      <c r="CP496" s="6">
        <v>300</v>
      </c>
      <c r="CQ496" s="7">
        <f>300*38500</f>
        <v>11550000</v>
      </c>
      <c r="CR496" s="6">
        <v>300</v>
      </c>
      <c r="CS496" s="7">
        <f>300*36000</f>
        <v>10800000</v>
      </c>
      <c r="CT496" s="6"/>
      <c r="CU496" s="7"/>
      <c r="CV496" s="8">
        <f t="shared" si="62"/>
        <v>45450000</v>
      </c>
      <c r="CW496" s="9"/>
      <c r="CX496" s="10"/>
      <c r="CY496" s="11">
        <v>300</v>
      </c>
      <c r="CZ496" s="12">
        <f>300*85000</f>
        <v>25500000</v>
      </c>
      <c r="DA496" s="29"/>
      <c r="DB496" s="12"/>
      <c r="DC496" s="9">
        <v>500</v>
      </c>
      <c r="DD496" s="10">
        <f>500*23652</f>
        <v>11826000</v>
      </c>
      <c r="DE496" s="71"/>
      <c r="EO496" s="353" t="str">
        <f t="shared" si="57"/>
        <v>CAUCA_ARGELIA</v>
      </c>
      <c r="EP496" s="350"/>
      <c r="EQ496" s="350" t="s">
        <v>4311</v>
      </c>
      <c r="ER496" s="358" t="s">
        <v>6260</v>
      </c>
      <c r="ES496" s="350" t="s">
        <v>5147</v>
      </c>
      <c r="ET496" s="350" t="s">
        <v>6274</v>
      </c>
      <c r="EU496" s="350" t="str">
        <f t="shared" si="64"/>
        <v>Cundinamarca_Chaguani</v>
      </c>
    </row>
    <row r="497" spans="1:151" ht="288" x14ac:dyDescent="0.2">
      <c r="A497" s="242">
        <v>40302</v>
      </c>
      <c r="B497" s="107" t="s">
        <v>2245</v>
      </c>
      <c r="C497" s="107" t="s">
        <v>4514</v>
      </c>
      <c r="D497" s="427" t="s">
        <v>837</v>
      </c>
      <c r="E497" s="107" t="str">
        <f>VLOOKUP(B497&amp;C497,Divipola!$C$2:$F$1138,4,FALSE)</f>
        <v>52835</v>
      </c>
      <c r="F497" s="330"/>
      <c r="G497" s="224"/>
      <c r="H497" s="75"/>
      <c r="I497" s="75"/>
      <c r="J497" s="75">
        <v>9270</v>
      </c>
      <c r="K497" s="75">
        <v>1859</v>
      </c>
      <c r="L497" s="75"/>
      <c r="M497" s="75">
        <v>1360</v>
      </c>
      <c r="N497" s="75"/>
      <c r="O497" s="75"/>
      <c r="P497" s="75"/>
      <c r="Q497" s="75"/>
      <c r="R497" s="75"/>
      <c r="S497" s="75"/>
      <c r="T497" s="75"/>
      <c r="U497" s="75"/>
      <c r="V497" s="76"/>
      <c r="W497" s="205"/>
      <c r="X497" s="1">
        <v>40366</v>
      </c>
      <c r="Y497" s="78">
        <f t="shared" si="58"/>
        <v>0</v>
      </c>
      <c r="Z497" s="78">
        <f t="shared" si="59"/>
        <v>158015000</v>
      </c>
      <c r="AA497" s="78">
        <f t="shared" si="60"/>
        <v>0</v>
      </c>
      <c r="AB497" s="78">
        <f t="shared" si="61"/>
        <v>0</v>
      </c>
      <c r="AC497" s="78"/>
      <c r="AD497" s="78">
        <v>0</v>
      </c>
      <c r="AE497" s="80">
        <f t="shared" si="63"/>
        <v>158015000</v>
      </c>
      <c r="AF497" s="82">
        <v>0</v>
      </c>
      <c r="AG497" s="69">
        <v>40337</v>
      </c>
      <c r="AH497" s="84">
        <v>98079</v>
      </c>
      <c r="AI497" s="69" t="s">
        <v>2009</v>
      </c>
      <c r="AJ497" s="25" t="s">
        <v>2010</v>
      </c>
      <c r="AK497" s="65">
        <v>193</v>
      </c>
      <c r="AL497" s="185" t="s">
        <v>1831</v>
      </c>
      <c r="AM497" s="85" t="s">
        <v>1223</v>
      </c>
      <c r="AN497" s="3"/>
      <c r="AO497" s="4"/>
      <c r="AP497" s="5"/>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6"/>
      <c r="CQ497" s="7"/>
      <c r="CR497" s="6"/>
      <c r="CS497" s="7"/>
      <c r="CT497" s="6"/>
      <c r="CU497" s="7"/>
      <c r="CV497" s="8">
        <f t="shared" si="62"/>
        <v>0</v>
      </c>
      <c r="CW497" s="9"/>
      <c r="CX497" s="10"/>
      <c r="CY497" s="11">
        <v>1859</v>
      </c>
      <c r="CZ497" s="12">
        <f>1859*85000</f>
        <v>158015000</v>
      </c>
      <c r="DA497" s="29"/>
      <c r="DB497" s="12"/>
      <c r="DC497" s="9"/>
      <c r="DD497" s="10"/>
      <c r="DE497" s="71"/>
      <c r="EO497" s="353" t="str">
        <f t="shared" si="57"/>
        <v>NARIÑO_SAN ANDRES DE TUMACO</v>
      </c>
      <c r="EP497" s="350"/>
      <c r="EQ497" s="350" t="s">
        <v>4311</v>
      </c>
      <c r="ER497" s="358" t="s">
        <v>6260</v>
      </c>
      <c r="ES497" s="350" t="s">
        <v>5148</v>
      </c>
      <c r="ET497" s="350" t="s">
        <v>6275</v>
      </c>
      <c r="EU497" s="350" t="str">
        <f t="shared" si="64"/>
        <v>Cundinamarca_Chia</v>
      </c>
    </row>
    <row r="498" spans="1:151" ht="38.25" x14ac:dyDescent="0.2">
      <c r="A498" s="242">
        <v>40302</v>
      </c>
      <c r="B498" s="107" t="s">
        <v>2012</v>
      </c>
      <c r="C498" s="107" t="s">
        <v>1938</v>
      </c>
      <c r="D498" s="427" t="s">
        <v>837</v>
      </c>
      <c r="E498" s="107" t="str">
        <f>VLOOKUP(B498&amp;C498,Divipola!$C$2:$F$1138,4,FALSE)</f>
        <v>66687</v>
      </c>
      <c r="F498" s="330"/>
      <c r="G498" s="224"/>
      <c r="H498" s="75"/>
      <c r="I498" s="75"/>
      <c r="J498" s="75">
        <v>15</v>
      </c>
      <c r="K498" s="75">
        <v>3</v>
      </c>
      <c r="L498" s="75">
        <v>3</v>
      </c>
      <c r="M498" s="75"/>
      <c r="N498" s="75"/>
      <c r="O498" s="75"/>
      <c r="P498" s="75"/>
      <c r="Q498" s="75"/>
      <c r="R498" s="75"/>
      <c r="S498" s="75"/>
      <c r="T498" s="75"/>
      <c r="U498" s="75"/>
      <c r="V498" s="76"/>
      <c r="W498" s="205"/>
      <c r="X498" s="1"/>
      <c r="Y498" s="78">
        <f t="shared" si="58"/>
        <v>0</v>
      </c>
      <c r="Z498" s="78">
        <f t="shared" si="59"/>
        <v>0</v>
      </c>
      <c r="AA498" s="78">
        <f t="shared" si="60"/>
        <v>0</v>
      </c>
      <c r="AB498" s="78">
        <f t="shared" si="61"/>
        <v>0</v>
      </c>
      <c r="AC498" s="78"/>
      <c r="AD498" s="78">
        <v>0</v>
      </c>
      <c r="AE498" s="80">
        <f t="shared" si="63"/>
        <v>0</v>
      </c>
      <c r="AF498" s="82">
        <v>0</v>
      </c>
      <c r="AG498" s="69">
        <v>40302</v>
      </c>
      <c r="AH498" s="84"/>
      <c r="AI498" s="69" t="s">
        <v>1984</v>
      </c>
      <c r="AJ498" s="25" t="s">
        <v>1985</v>
      </c>
      <c r="AK498" s="65"/>
      <c r="AL498" s="185" t="s">
        <v>1257</v>
      </c>
      <c r="AM498" s="85" t="s">
        <v>1939</v>
      </c>
      <c r="AN498" s="3"/>
      <c r="AO498" s="4"/>
      <c r="AP498" s="5"/>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6"/>
      <c r="CQ498" s="7"/>
      <c r="CR498" s="6"/>
      <c r="CS498" s="7"/>
      <c r="CT498" s="6"/>
      <c r="CU498" s="7"/>
      <c r="CV498" s="8">
        <f t="shared" si="62"/>
        <v>0</v>
      </c>
      <c r="CW498" s="9"/>
      <c r="CX498" s="10"/>
      <c r="CY498" s="11"/>
      <c r="CZ498" s="12"/>
      <c r="DA498" s="29"/>
      <c r="DB498" s="12"/>
      <c r="DC498" s="9"/>
      <c r="DD498" s="10"/>
      <c r="DE498" s="71"/>
      <c r="EO498" s="353" t="str">
        <f t="shared" si="57"/>
        <v>RISARALDA_SANTUARIO</v>
      </c>
      <c r="EP498" s="350"/>
      <c r="EQ498" s="350" t="s">
        <v>4311</v>
      </c>
      <c r="ER498" s="358" t="s">
        <v>6260</v>
      </c>
      <c r="ES498" s="350" t="s">
        <v>5151</v>
      </c>
      <c r="ET498" s="350" t="s">
        <v>6276</v>
      </c>
      <c r="EU498" s="350" t="str">
        <f t="shared" si="64"/>
        <v>Cundinamarca_Choconta</v>
      </c>
    </row>
    <row r="499" spans="1:151" ht="38.25" x14ac:dyDescent="0.2">
      <c r="A499" s="242">
        <v>40302</v>
      </c>
      <c r="B499" s="107" t="s">
        <v>2427</v>
      </c>
      <c r="C499" s="107" t="s">
        <v>628</v>
      </c>
      <c r="D499" s="427" t="s">
        <v>2307</v>
      </c>
      <c r="E499" s="107" t="str">
        <f>VLOOKUP(B499&amp;C499,Divipola!$C$2:$F$1138,4,FALSE)</f>
        <v>68001</v>
      </c>
      <c r="F499" s="330"/>
      <c r="G499" s="277">
        <v>1</v>
      </c>
      <c r="H499" s="75"/>
      <c r="I499" s="75"/>
      <c r="J499" s="75"/>
      <c r="K499" s="75"/>
      <c r="L499" s="75"/>
      <c r="M499" s="75"/>
      <c r="N499" s="75"/>
      <c r="O499" s="75"/>
      <c r="P499" s="75"/>
      <c r="Q499" s="75"/>
      <c r="R499" s="75"/>
      <c r="S499" s="75"/>
      <c r="T499" s="75"/>
      <c r="U499" s="75"/>
      <c r="V499" s="76"/>
      <c r="W499" s="205"/>
      <c r="X499" s="1"/>
      <c r="Y499" s="78">
        <f t="shared" si="58"/>
        <v>0</v>
      </c>
      <c r="Z499" s="78">
        <f t="shared" si="59"/>
        <v>0</v>
      </c>
      <c r="AA499" s="78">
        <f t="shared" si="60"/>
        <v>0</v>
      </c>
      <c r="AB499" s="78">
        <f t="shared" si="61"/>
        <v>0</v>
      </c>
      <c r="AC499" s="78"/>
      <c r="AD499" s="78">
        <v>0</v>
      </c>
      <c r="AE499" s="80">
        <f t="shared" si="63"/>
        <v>0</v>
      </c>
      <c r="AF499" s="82">
        <v>0</v>
      </c>
      <c r="AG499" s="69">
        <v>40302</v>
      </c>
      <c r="AH499" s="84"/>
      <c r="AI499" s="69" t="s">
        <v>1984</v>
      </c>
      <c r="AJ499" s="25" t="s">
        <v>1985</v>
      </c>
      <c r="AK499" s="65"/>
      <c r="AL499" s="185" t="s">
        <v>1257</v>
      </c>
      <c r="AM499" s="85" t="s">
        <v>107</v>
      </c>
      <c r="AN499" s="3"/>
      <c r="AO499" s="4"/>
      <c r="AP499" s="5"/>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6"/>
      <c r="CQ499" s="7"/>
      <c r="CR499" s="6"/>
      <c r="CS499" s="7"/>
      <c r="CT499" s="6"/>
      <c r="CU499" s="7"/>
      <c r="CV499" s="8">
        <f t="shared" si="62"/>
        <v>0</v>
      </c>
      <c r="CW499" s="9"/>
      <c r="CX499" s="10"/>
      <c r="CY499" s="11"/>
      <c r="CZ499" s="12"/>
      <c r="DA499" s="29"/>
      <c r="DB499" s="12"/>
      <c r="DC499" s="9"/>
      <c r="DD499" s="10"/>
      <c r="DE499" s="71"/>
      <c r="EO499" s="353" t="str">
        <f t="shared" si="57"/>
        <v>SANTANDER_BUCARAMANGA</v>
      </c>
      <c r="EP499" s="350"/>
      <c r="EQ499" s="350" t="s">
        <v>4311</v>
      </c>
      <c r="ER499" s="358" t="s">
        <v>6260</v>
      </c>
      <c r="ES499" s="350" t="s">
        <v>5152</v>
      </c>
      <c r="ET499" s="350" t="s">
        <v>6277</v>
      </c>
      <c r="EU499" s="350" t="str">
        <f t="shared" si="64"/>
        <v>Cundinamarca_Cogua</v>
      </c>
    </row>
    <row r="500" spans="1:151" ht="25.5" x14ac:dyDescent="0.2">
      <c r="A500" s="242">
        <v>40302</v>
      </c>
      <c r="B500" s="107" t="s">
        <v>2791</v>
      </c>
      <c r="C500" s="107" t="s">
        <v>962</v>
      </c>
      <c r="D500" s="427" t="s">
        <v>2307</v>
      </c>
      <c r="E500" s="107" t="str">
        <f>VLOOKUP(B500&amp;C500,Divipola!$C$2:$F$1138,4,FALSE)</f>
        <v>73555</v>
      </c>
      <c r="F500" s="330"/>
      <c r="G500" s="224"/>
      <c r="H500" s="75"/>
      <c r="I500" s="75"/>
      <c r="J500" s="75"/>
      <c r="K500" s="75"/>
      <c r="L500" s="75"/>
      <c r="M500" s="75"/>
      <c r="N500" s="75">
        <v>1</v>
      </c>
      <c r="O500" s="75"/>
      <c r="P500" s="75"/>
      <c r="Q500" s="75"/>
      <c r="R500" s="75"/>
      <c r="S500" s="75"/>
      <c r="T500" s="75"/>
      <c r="U500" s="75"/>
      <c r="V500" s="76"/>
      <c r="W500" s="205"/>
      <c r="X500" s="1"/>
      <c r="Y500" s="78">
        <f t="shared" si="58"/>
        <v>0</v>
      </c>
      <c r="Z500" s="78">
        <f t="shared" si="59"/>
        <v>0</v>
      </c>
      <c r="AA500" s="78">
        <f t="shared" si="60"/>
        <v>0</v>
      </c>
      <c r="AB500" s="78">
        <f t="shared" si="61"/>
        <v>0</v>
      </c>
      <c r="AC500" s="78"/>
      <c r="AD500" s="78">
        <v>0</v>
      </c>
      <c r="AE500" s="80">
        <f t="shared" si="63"/>
        <v>0</v>
      </c>
      <c r="AF500" s="82">
        <v>0</v>
      </c>
      <c r="AG500" s="69">
        <v>40302</v>
      </c>
      <c r="AH500" s="84"/>
      <c r="AI500" s="69" t="s">
        <v>1984</v>
      </c>
      <c r="AJ500" s="25" t="s">
        <v>1985</v>
      </c>
      <c r="AK500" s="65"/>
      <c r="AL500" s="185" t="s">
        <v>1257</v>
      </c>
      <c r="AM500" s="85" t="s">
        <v>1581</v>
      </c>
      <c r="AN500" s="3"/>
      <c r="AO500" s="4"/>
      <c r="AP500" s="5"/>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6"/>
      <c r="CQ500" s="7"/>
      <c r="CR500" s="6"/>
      <c r="CS500" s="7"/>
      <c r="CT500" s="6"/>
      <c r="CU500" s="7"/>
      <c r="CV500" s="8">
        <f t="shared" si="62"/>
        <v>0</v>
      </c>
      <c r="CW500" s="9"/>
      <c r="CX500" s="10"/>
      <c r="CY500" s="11"/>
      <c r="CZ500" s="12"/>
      <c r="DA500" s="29"/>
      <c r="DB500" s="12"/>
      <c r="DC500" s="9"/>
      <c r="DD500" s="10"/>
      <c r="DE500" s="71"/>
      <c r="EO500" s="353" t="str">
        <f t="shared" ref="EO500:EO559" si="65">B500&amp;"_"&amp;C500</f>
        <v>TOLIMA_PLANADAS</v>
      </c>
      <c r="EP500" s="350"/>
      <c r="EQ500" s="350" t="s">
        <v>4311</v>
      </c>
      <c r="ER500" s="358" t="s">
        <v>6260</v>
      </c>
      <c r="ES500" s="350" t="s">
        <v>5153</v>
      </c>
      <c r="ET500" s="350" t="s">
        <v>6278</v>
      </c>
      <c r="EU500" s="350" t="str">
        <f t="shared" si="64"/>
        <v>Cundinamarca_Cota</v>
      </c>
    </row>
    <row r="501" spans="1:151" ht="51" x14ac:dyDescent="0.2">
      <c r="A501" s="242">
        <v>40302</v>
      </c>
      <c r="B501" s="107" t="s">
        <v>1462</v>
      </c>
      <c r="C501" s="107" t="s">
        <v>4615</v>
      </c>
      <c r="D501" s="427" t="s">
        <v>837</v>
      </c>
      <c r="E501" s="107" t="str">
        <f>VLOOKUP(B501&amp;C501,Divipola!$C$2:$F$1138,4,FALSE)</f>
        <v>76001</v>
      </c>
      <c r="F501" s="330"/>
      <c r="G501" s="224"/>
      <c r="H501" s="75"/>
      <c r="I501" s="75"/>
      <c r="J501" s="75">
        <f>1000*5</f>
        <v>5000</v>
      </c>
      <c r="K501" s="75">
        <v>1000</v>
      </c>
      <c r="L501" s="75"/>
      <c r="M501" s="75">
        <v>1000</v>
      </c>
      <c r="N501" s="75"/>
      <c r="O501" s="75"/>
      <c r="P501" s="75"/>
      <c r="Q501" s="75"/>
      <c r="R501" s="75"/>
      <c r="S501" s="75"/>
      <c r="T501" s="75"/>
      <c r="U501" s="75"/>
      <c r="V501" s="76"/>
      <c r="W501" s="205"/>
      <c r="X501" s="1"/>
      <c r="Y501" s="78">
        <f t="shared" si="58"/>
        <v>0</v>
      </c>
      <c r="Z501" s="78">
        <f t="shared" si="59"/>
        <v>0</v>
      </c>
      <c r="AA501" s="78">
        <f t="shared" si="60"/>
        <v>0</v>
      </c>
      <c r="AB501" s="78">
        <f t="shared" si="61"/>
        <v>0</v>
      </c>
      <c r="AC501" s="78"/>
      <c r="AD501" s="78">
        <v>0</v>
      </c>
      <c r="AE501" s="80">
        <f t="shared" si="63"/>
        <v>0</v>
      </c>
      <c r="AF501" s="82">
        <v>0</v>
      </c>
      <c r="AG501" s="69">
        <v>40302</v>
      </c>
      <c r="AH501" s="84"/>
      <c r="AI501" s="69" t="s">
        <v>1984</v>
      </c>
      <c r="AJ501" s="25" t="s">
        <v>1985</v>
      </c>
      <c r="AK501" s="65"/>
      <c r="AL501" s="185" t="s">
        <v>1257</v>
      </c>
      <c r="AM501" s="85" t="s">
        <v>1224</v>
      </c>
      <c r="AN501" s="3"/>
      <c r="AO501" s="4"/>
      <c r="AP501" s="5"/>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6"/>
      <c r="CQ501" s="7"/>
      <c r="CR501" s="6"/>
      <c r="CS501" s="7"/>
      <c r="CT501" s="6"/>
      <c r="CU501" s="7"/>
      <c r="CV501" s="8">
        <f t="shared" si="62"/>
        <v>0</v>
      </c>
      <c r="CW501" s="9"/>
      <c r="CX501" s="10"/>
      <c r="CY501" s="11"/>
      <c r="CZ501" s="12"/>
      <c r="DA501" s="29"/>
      <c r="DB501" s="12"/>
      <c r="DC501" s="9"/>
      <c r="DD501" s="10"/>
      <c r="DE501" s="71"/>
      <c r="EO501" s="353" t="str">
        <f t="shared" si="65"/>
        <v>VALLE DEL CAUCA_CALI</v>
      </c>
      <c r="EP501" s="350"/>
      <c r="EQ501" s="350" t="s">
        <v>4311</v>
      </c>
      <c r="ER501" s="358" t="s">
        <v>6260</v>
      </c>
      <c r="ES501" s="350" t="s">
        <v>5154</v>
      </c>
      <c r="ET501" s="350" t="s">
        <v>6279</v>
      </c>
      <c r="EU501" s="350" t="str">
        <f t="shared" si="64"/>
        <v>Cundinamarca_Cucunuba</v>
      </c>
    </row>
    <row r="502" spans="1:151" ht="38.25" x14ac:dyDescent="0.2">
      <c r="A502" s="242">
        <v>40302.368055555555</v>
      </c>
      <c r="B502" s="107" t="s">
        <v>6305</v>
      </c>
      <c r="C502" s="107" t="s">
        <v>6305</v>
      </c>
      <c r="D502" s="430" t="s">
        <v>2307</v>
      </c>
      <c r="E502" s="107" t="str">
        <f>VLOOKUP(B502&amp;C502,Divipola!$C$2:$F$1138,4,FALSE)</f>
        <v>11001</v>
      </c>
      <c r="F502" s="333"/>
      <c r="G502" s="221"/>
      <c r="H502" s="157"/>
      <c r="I502" s="157"/>
      <c r="J502" s="157">
        <v>19</v>
      </c>
      <c r="K502" s="414">
        <v>5</v>
      </c>
      <c r="L502" s="157"/>
      <c r="M502" s="157"/>
      <c r="N502" s="157"/>
      <c r="O502" s="157"/>
      <c r="P502" s="157"/>
      <c r="Q502" s="157"/>
      <c r="R502" s="157"/>
      <c r="S502" s="157"/>
      <c r="T502" s="157"/>
      <c r="U502" s="157"/>
      <c r="V502" s="158"/>
      <c r="W502" s="182"/>
      <c r="X502" s="1"/>
      <c r="Y502" s="78">
        <f t="shared" si="58"/>
        <v>0</v>
      </c>
      <c r="Z502" s="78">
        <f t="shared" si="59"/>
        <v>0</v>
      </c>
      <c r="AA502" s="78">
        <f t="shared" si="60"/>
        <v>0</v>
      </c>
      <c r="AB502" s="78">
        <f t="shared" si="61"/>
        <v>0</v>
      </c>
      <c r="AC502" s="78"/>
      <c r="AD502" s="78">
        <v>0</v>
      </c>
      <c r="AE502" s="80">
        <f t="shared" si="63"/>
        <v>0</v>
      </c>
      <c r="AF502" s="82">
        <v>0</v>
      </c>
      <c r="AG502" s="306">
        <v>40624</v>
      </c>
      <c r="AH502" s="307"/>
      <c r="AI502" s="306" t="s">
        <v>1984</v>
      </c>
      <c r="AJ502" s="308" t="s">
        <v>1985</v>
      </c>
      <c r="AK502" s="309"/>
      <c r="AL502" s="310" t="s">
        <v>1257</v>
      </c>
      <c r="AM502" s="419" t="s">
        <v>3748</v>
      </c>
      <c r="AN502" s="159"/>
      <c r="AO502" s="160"/>
      <c r="AP502" s="161"/>
      <c r="AQ502" s="160"/>
      <c r="AR502" s="160"/>
      <c r="AS502" s="160"/>
      <c r="AT502" s="160"/>
      <c r="AU502" s="160"/>
      <c r="AV502" s="160"/>
      <c r="AW502" s="160"/>
      <c r="AX502" s="160"/>
      <c r="AY502" s="160"/>
      <c r="AZ502" s="160"/>
      <c r="BA502" s="160"/>
      <c r="BB502" s="160"/>
      <c r="BC502" s="160"/>
      <c r="BD502" s="160"/>
      <c r="BE502" s="160"/>
      <c r="BF502" s="160"/>
      <c r="BG502" s="160"/>
      <c r="BH502" s="160"/>
      <c r="BI502" s="160"/>
      <c r="BJ502" s="160"/>
      <c r="BK502" s="160"/>
      <c r="BL502" s="160"/>
      <c r="BM502" s="160"/>
      <c r="BN502" s="160"/>
      <c r="BO502" s="160"/>
      <c r="BP502" s="160"/>
      <c r="BQ502" s="160"/>
      <c r="BR502" s="160"/>
      <c r="BS502" s="160"/>
      <c r="BT502" s="160"/>
      <c r="BU502" s="160"/>
      <c r="BV502" s="160"/>
      <c r="BW502" s="160"/>
      <c r="BX502" s="160"/>
      <c r="BY502" s="160"/>
      <c r="BZ502" s="160"/>
      <c r="CA502" s="160"/>
      <c r="CB502" s="160"/>
      <c r="CC502" s="160"/>
      <c r="CD502" s="160"/>
      <c r="CE502" s="160"/>
      <c r="CF502" s="160"/>
      <c r="CG502" s="160"/>
      <c r="CH502" s="160"/>
      <c r="CI502" s="160"/>
      <c r="CJ502" s="160"/>
      <c r="CK502" s="160"/>
      <c r="CL502" s="160"/>
      <c r="CM502" s="160"/>
      <c r="CN502" s="160"/>
      <c r="CO502" s="160"/>
      <c r="CP502" s="162"/>
      <c r="CQ502" s="163"/>
      <c r="CR502" s="162"/>
      <c r="CS502" s="163"/>
      <c r="CT502" s="162"/>
      <c r="CU502" s="163"/>
      <c r="CV502" s="164">
        <f t="shared" si="62"/>
        <v>0</v>
      </c>
      <c r="CW502" s="165"/>
      <c r="CX502" s="166"/>
      <c r="CY502" s="167"/>
      <c r="CZ502" s="168"/>
      <c r="DA502" s="169"/>
      <c r="DB502" s="168"/>
      <c r="DC502" s="165"/>
      <c r="DD502" s="166"/>
      <c r="DE502" s="71"/>
      <c r="DF502" s="170"/>
      <c r="EO502" s="353" t="str">
        <f t="shared" si="65"/>
        <v>BOGOTA, D.C._BOGOTA, D.C.</v>
      </c>
      <c r="EP502" s="350"/>
      <c r="EQ502" s="350" t="s">
        <v>4311</v>
      </c>
      <c r="ER502" s="358" t="s">
        <v>6260</v>
      </c>
      <c r="ES502" s="350" t="s">
        <v>5155</v>
      </c>
      <c r="ET502" s="350" t="s">
        <v>6280</v>
      </c>
      <c r="EU502" s="350" t="str">
        <f t="shared" si="64"/>
        <v>Cundinamarca_El Colegio</v>
      </c>
    </row>
    <row r="503" spans="1:151" ht="38.25" x14ac:dyDescent="0.2">
      <c r="A503" s="242">
        <v>40303</v>
      </c>
      <c r="B503" s="107" t="s">
        <v>6305</v>
      </c>
      <c r="C503" s="107" t="s">
        <v>6305</v>
      </c>
      <c r="D503" s="427" t="s">
        <v>1721</v>
      </c>
      <c r="E503" s="107" t="str">
        <f>VLOOKUP(B503&amp;C503,Divipola!$C$2:$F$1138,4,FALSE)</f>
        <v>11001</v>
      </c>
      <c r="F503" s="330"/>
      <c r="G503" s="224"/>
      <c r="H503" s="75"/>
      <c r="I503" s="75"/>
      <c r="J503" s="75">
        <v>5</v>
      </c>
      <c r="K503" s="75">
        <v>1</v>
      </c>
      <c r="L503" s="75">
        <v>1</v>
      </c>
      <c r="M503" s="75"/>
      <c r="N503" s="75"/>
      <c r="O503" s="75"/>
      <c r="P503" s="75"/>
      <c r="Q503" s="75"/>
      <c r="R503" s="75"/>
      <c r="S503" s="75"/>
      <c r="T503" s="75"/>
      <c r="U503" s="75"/>
      <c r="V503" s="76"/>
      <c r="W503" s="205" t="s">
        <v>1262</v>
      </c>
      <c r="X503" s="1"/>
      <c r="Y503" s="78">
        <f t="shared" si="58"/>
        <v>0</v>
      </c>
      <c r="Z503" s="78">
        <f t="shared" si="59"/>
        <v>0</v>
      </c>
      <c r="AA503" s="78">
        <f t="shared" si="60"/>
        <v>0</v>
      </c>
      <c r="AB503" s="78">
        <f t="shared" si="61"/>
        <v>0</v>
      </c>
      <c r="AC503" s="78"/>
      <c r="AD503" s="78">
        <v>0</v>
      </c>
      <c r="AE503" s="80">
        <f t="shared" si="63"/>
        <v>0</v>
      </c>
      <c r="AF503" s="82">
        <v>0</v>
      </c>
      <c r="AG503" s="69">
        <v>40304</v>
      </c>
      <c r="AH503" s="84"/>
      <c r="AI503" s="69" t="s">
        <v>1984</v>
      </c>
      <c r="AJ503" s="25" t="s">
        <v>1985</v>
      </c>
      <c r="AK503" s="65"/>
      <c r="AL503" s="185" t="s">
        <v>1257</v>
      </c>
      <c r="AM503" s="85" t="s">
        <v>1261</v>
      </c>
      <c r="AN503" s="3"/>
      <c r="AO503" s="4"/>
      <c r="AP503" s="5"/>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6"/>
      <c r="CQ503" s="7"/>
      <c r="CR503" s="6"/>
      <c r="CS503" s="7"/>
      <c r="CT503" s="6"/>
      <c r="CU503" s="7"/>
      <c r="CV503" s="8">
        <f t="shared" si="62"/>
        <v>0</v>
      </c>
      <c r="CW503" s="9"/>
      <c r="CX503" s="10"/>
      <c r="CY503" s="11"/>
      <c r="CZ503" s="12"/>
      <c r="DA503" s="29"/>
      <c r="DB503" s="12"/>
      <c r="DC503" s="9"/>
      <c r="DD503" s="10"/>
      <c r="DE503" s="71"/>
      <c r="EO503" s="353" t="str">
        <f t="shared" si="65"/>
        <v>BOGOTA, D.C._BOGOTA, D.C.</v>
      </c>
      <c r="EP503" s="350"/>
      <c r="EQ503" s="350" t="s">
        <v>4311</v>
      </c>
      <c r="ER503" s="358" t="s">
        <v>6260</v>
      </c>
      <c r="ES503" s="350" t="s">
        <v>5156</v>
      </c>
      <c r="ET503" s="350" t="s">
        <v>5989</v>
      </c>
      <c r="EU503" s="350" t="str">
        <f t="shared" si="64"/>
        <v>Cundinamarca_El Peñon</v>
      </c>
    </row>
    <row r="504" spans="1:151" ht="38.25" x14ac:dyDescent="0.2">
      <c r="A504" s="242">
        <v>40303</v>
      </c>
      <c r="B504" s="107" t="s">
        <v>6305</v>
      </c>
      <c r="C504" s="107" t="s">
        <v>6305</v>
      </c>
      <c r="D504" s="427" t="s">
        <v>1721</v>
      </c>
      <c r="E504" s="107" t="str">
        <f>VLOOKUP(B504&amp;C504,Divipola!$C$2:$F$1138,4,FALSE)</f>
        <v>11001</v>
      </c>
      <c r="F504" s="330"/>
      <c r="G504" s="224"/>
      <c r="H504" s="75"/>
      <c r="I504" s="75"/>
      <c r="J504" s="75">
        <v>12</v>
      </c>
      <c r="K504" s="75">
        <v>2</v>
      </c>
      <c r="L504" s="75"/>
      <c r="M504" s="75">
        <v>2</v>
      </c>
      <c r="N504" s="75"/>
      <c r="O504" s="75"/>
      <c r="P504" s="75"/>
      <c r="Q504" s="75"/>
      <c r="R504" s="75"/>
      <c r="S504" s="75"/>
      <c r="T504" s="75"/>
      <c r="U504" s="75"/>
      <c r="V504" s="76"/>
      <c r="W504" s="205"/>
      <c r="X504" s="1"/>
      <c r="Y504" s="78">
        <f t="shared" si="58"/>
        <v>0</v>
      </c>
      <c r="Z504" s="78">
        <f t="shared" si="59"/>
        <v>0</v>
      </c>
      <c r="AA504" s="78">
        <f t="shared" si="60"/>
        <v>0</v>
      </c>
      <c r="AB504" s="78">
        <f t="shared" si="61"/>
        <v>0</v>
      </c>
      <c r="AC504" s="78"/>
      <c r="AD504" s="78">
        <v>0</v>
      </c>
      <c r="AE504" s="80">
        <f t="shared" si="63"/>
        <v>0</v>
      </c>
      <c r="AF504" s="82">
        <v>0</v>
      </c>
      <c r="AG504" s="69">
        <v>40304</v>
      </c>
      <c r="AH504" s="84"/>
      <c r="AI504" s="69" t="s">
        <v>1984</v>
      </c>
      <c r="AJ504" s="25" t="s">
        <v>1985</v>
      </c>
      <c r="AK504" s="65"/>
      <c r="AL504" s="185" t="s">
        <v>1257</v>
      </c>
      <c r="AM504" s="85" t="s">
        <v>1263</v>
      </c>
      <c r="AN504" s="3"/>
      <c r="AO504" s="4"/>
      <c r="AP504" s="5"/>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6"/>
      <c r="CQ504" s="7"/>
      <c r="CR504" s="6"/>
      <c r="CS504" s="7"/>
      <c r="CT504" s="6"/>
      <c r="CU504" s="7"/>
      <c r="CV504" s="8">
        <f t="shared" si="62"/>
        <v>0</v>
      </c>
      <c r="CW504" s="9"/>
      <c r="CX504" s="10"/>
      <c r="CY504" s="11"/>
      <c r="CZ504" s="12"/>
      <c r="DA504" s="29"/>
      <c r="DB504" s="12"/>
      <c r="DC504" s="9"/>
      <c r="DD504" s="10"/>
      <c r="DE504" s="71"/>
      <c r="EO504" s="353" t="str">
        <f t="shared" si="65"/>
        <v>BOGOTA, D.C._BOGOTA, D.C.</v>
      </c>
      <c r="EP504" s="350"/>
      <c r="EQ504" s="350" t="s">
        <v>4311</v>
      </c>
      <c r="ER504" s="358" t="s">
        <v>6260</v>
      </c>
      <c r="ES504" s="350" t="s">
        <v>5157</v>
      </c>
      <c r="ET504" s="350" t="s">
        <v>6281</v>
      </c>
      <c r="EU504" s="350" t="str">
        <f t="shared" si="64"/>
        <v>Cundinamarca_El Rosal</v>
      </c>
    </row>
    <row r="505" spans="1:151" ht="48" x14ac:dyDescent="0.2">
      <c r="A505" s="242">
        <v>40303</v>
      </c>
      <c r="B505" s="107" t="s">
        <v>2425</v>
      </c>
      <c r="C505" s="107" t="s">
        <v>1311</v>
      </c>
      <c r="D505" s="427" t="s">
        <v>837</v>
      </c>
      <c r="E505" s="107" t="str">
        <f>VLOOKUP(B505&amp;C505,Divipola!$C$2:$F$1138,4,FALSE)</f>
        <v>27050</v>
      </c>
      <c r="F505" s="330"/>
      <c r="G505" s="224"/>
      <c r="H505" s="75"/>
      <c r="I505" s="75"/>
      <c r="J505" s="75">
        <v>1943</v>
      </c>
      <c r="K505" s="75">
        <v>281</v>
      </c>
      <c r="L505" s="75"/>
      <c r="M505" s="75"/>
      <c r="N505" s="75"/>
      <c r="O505" s="75"/>
      <c r="P505" s="75"/>
      <c r="Q505" s="75"/>
      <c r="R505" s="75"/>
      <c r="S505" s="75"/>
      <c r="T505" s="75"/>
      <c r="U505" s="75"/>
      <c r="V505" s="76"/>
      <c r="W505" s="205"/>
      <c r="X505" s="1">
        <v>40417</v>
      </c>
      <c r="Y505" s="78">
        <f t="shared" si="58"/>
        <v>0</v>
      </c>
      <c r="Z505" s="78">
        <f t="shared" si="59"/>
        <v>0</v>
      </c>
      <c r="AA505" s="78">
        <f t="shared" si="60"/>
        <v>0</v>
      </c>
      <c r="AB505" s="78">
        <f t="shared" si="61"/>
        <v>0</v>
      </c>
      <c r="AC505" s="78"/>
      <c r="AD505" s="78">
        <v>60050000</v>
      </c>
      <c r="AE505" s="80">
        <f t="shared" si="63"/>
        <v>60050000</v>
      </c>
      <c r="AF505" s="82">
        <v>0</v>
      </c>
      <c r="AG505" s="69">
        <v>40338</v>
      </c>
      <c r="AH505" s="84">
        <v>98121</v>
      </c>
      <c r="AI505" s="69" t="s">
        <v>2009</v>
      </c>
      <c r="AJ505" s="25" t="s">
        <v>2010</v>
      </c>
      <c r="AK505" s="65"/>
      <c r="AL505" s="185" t="s">
        <v>2182</v>
      </c>
      <c r="AM505" s="97" t="s">
        <v>6310</v>
      </c>
      <c r="AN505" s="3"/>
      <c r="AO505" s="4"/>
      <c r="AP505" s="5"/>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6"/>
      <c r="CQ505" s="7"/>
      <c r="CR505" s="6"/>
      <c r="CS505" s="7"/>
      <c r="CT505" s="6"/>
      <c r="CU505" s="7"/>
      <c r="CV505" s="8">
        <f t="shared" si="62"/>
        <v>0</v>
      </c>
      <c r="CW505" s="9"/>
      <c r="CX505" s="10"/>
      <c r="CY505" s="11"/>
      <c r="CZ505" s="12"/>
      <c r="DA505" s="29"/>
      <c r="DB505" s="12"/>
      <c r="DC505" s="9"/>
      <c r="DD505" s="10"/>
      <c r="DE505" s="71">
        <v>2</v>
      </c>
      <c r="EO505" s="353" t="str">
        <f t="shared" si="65"/>
        <v>CHOCO_ATRATO</v>
      </c>
      <c r="EP505" s="350"/>
      <c r="EQ505" s="350" t="s">
        <v>4311</v>
      </c>
      <c r="ER505" s="358" t="s">
        <v>6260</v>
      </c>
      <c r="ES505" s="350" t="s">
        <v>5158</v>
      </c>
      <c r="ET505" s="350" t="s">
        <v>6282</v>
      </c>
      <c r="EU505" s="350" t="str">
        <f t="shared" si="64"/>
        <v>Cundinamarca_Facatativa</v>
      </c>
    </row>
    <row r="506" spans="1:151" ht="72" x14ac:dyDescent="0.2">
      <c r="A506" s="242">
        <v>40303</v>
      </c>
      <c r="B506" s="107" t="s">
        <v>2007</v>
      </c>
      <c r="C506" s="107" t="s">
        <v>2740</v>
      </c>
      <c r="D506" s="427" t="s">
        <v>837</v>
      </c>
      <c r="E506" s="107" t="str">
        <f>VLOOKUP(B506&amp;C506,Divipola!$C$2:$F$1138,4,FALSE)</f>
        <v>25754</v>
      </c>
      <c r="F506" s="330"/>
      <c r="G506" s="224"/>
      <c r="H506" s="75"/>
      <c r="I506" s="75"/>
      <c r="J506" s="75">
        <v>240</v>
      </c>
      <c r="K506" s="75">
        <v>60</v>
      </c>
      <c r="L506" s="75"/>
      <c r="M506" s="75">
        <v>60</v>
      </c>
      <c r="N506" s="75"/>
      <c r="O506" s="75"/>
      <c r="P506" s="75"/>
      <c r="Q506" s="75"/>
      <c r="R506" s="75"/>
      <c r="S506" s="75"/>
      <c r="T506" s="75"/>
      <c r="U506" s="75"/>
      <c r="V506" s="76"/>
      <c r="W506" s="205" t="s">
        <v>1244</v>
      </c>
      <c r="X506" s="1"/>
      <c r="Y506" s="78">
        <f t="shared" si="58"/>
        <v>0</v>
      </c>
      <c r="Z506" s="78">
        <f t="shared" si="59"/>
        <v>0</v>
      </c>
      <c r="AA506" s="78">
        <f t="shared" si="60"/>
        <v>0</v>
      </c>
      <c r="AB506" s="78">
        <f t="shared" si="61"/>
        <v>0</v>
      </c>
      <c r="AC506" s="78"/>
      <c r="AD506" s="78">
        <v>0</v>
      </c>
      <c r="AE506" s="80">
        <f t="shared" si="63"/>
        <v>0</v>
      </c>
      <c r="AF506" s="82">
        <v>0</v>
      </c>
      <c r="AG506" s="69">
        <v>40304</v>
      </c>
      <c r="AH506" s="84"/>
      <c r="AI506" s="69" t="s">
        <v>1984</v>
      </c>
      <c r="AJ506" s="25" t="s">
        <v>1985</v>
      </c>
      <c r="AK506" s="65"/>
      <c r="AL506" s="185" t="s">
        <v>1257</v>
      </c>
      <c r="AM506" s="85" t="s">
        <v>1559</v>
      </c>
      <c r="AN506" s="3"/>
      <c r="AO506" s="4"/>
      <c r="AP506" s="5"/>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6"/>
      <c r="CQ506" s="7"/>
      <c r="CR506" s="6"/>
      <c r="CS506" s="7"/>
      <c r="CT506" s="6"/>
      <c r="CU506" s="7"/>
      <c r="CV506" s="8">
        <f t="shared" si="62"/>
        <v>0</v>
      </c>
      <c r="CW506" s="9"/>
      <c r="CX506" s="10"/>
      <c r="CY506" s="11"/>
      <c r="CZ506" s="12"/>
      <c r="DA506" s="29"/>
      <c r="DB506" s="12"/>
      <c r="DC506" s="9"/>
      <c r="DD506" s="10"/>
      <c r="DE506" s="71"/>
      <c r="EO506" s="353" t="str">
        <f t="shared" si="65"/>
        <v>CUNDINAMARCA_SOACHA</v>
      </c>
      <c r="EP506" s="350"/>
      <c r="EQ506" s="350" t="s">
        <v>4311</v>
      </c>
      <c r="ER506" s="358" t="s">
        <v>6260</v>
      </c>
      <c r="ES506" s="350" t="s">
        <v>5159</v>
      </c>
      <c r="ET506" s="350" t="s">
        <v>6283</v>
      </c>
      <c r="EU506" s="350" t="str">
        <f t="shared" si="64"/>
        <v>Cundinamarca_Fomeque</v>
      </c>
    </row>
    <row r="507" spans="1:151" ht="36" x14ac:dyDescent="0.2">
      <c r="A507" s="242">
        <v>40303</v>
      </c>
      <c r="B507" s="107" t="s">
        <v>708</v>
      </c>
      <c r="C507" s="107" t="s">
        <v>2328</v>
      </c>
      <c r="D507" s="427" t="s">
        <v>837</v>
      </c>
      <c r="E507" s="107" t="str">
        <f>VLOOKUP(B507&amp;C507,Divipola!$C$2:$F$1138,4,FALSE)</f>
        <v>50001</v>
      </c>
      <c r="F507" s="330"/>
      <c r="G507" s="224"/>
      <c r="H507" s="75"/>
      <c r="I507" s="75"/>
      <c r="J507" s="75">
        <f>23*5</f>
        <v>115</v>
      </c>
      <c r="K507" s="75">
        <f>385-362</f>
        <v>23</v>
      </c>
      <c r="L507" s="75"/>
      <c r="M507" s="75">
        <v>23</v>
      </c>
      <c r="N507" s="75"/>
      <c r="O507" s="75"/>
      <c r="P507" s="75"/>
      <c r="Q507" s="75"/>
      <c r="R507" s="75"/>
      <c r="S507" s="75"/>
      <c r="T507" s="75"/>
      <c r="U507" s="75"/>
      <c r="V507" s="76"/>
      <c r="W507" s="205"/>
      <c r="X507" s="1"/>
      <c r="Y507" s="78">
        <f t="shared" si="58"/>
        <v>0</v>
      </c>
      <c r="Z507" s="78">
        <f t="shared" si="59"/>
        <v>0</v>
      </c>
      <c r="AA507" s="78">
        <f t="shared" si="60"/>
        <v>0</v>
      </c>
      <c r="AB507" s="78">
        <f t="shared" si="61"/>
        <v>0</v>
      </c>
      <c r="AC507" s="78"/>
      <c r="AD507" s="78">
        <v>0</v>
      </c>
      <c r="AE507" s="80">
        <f t="shared" si="63"/>
        <v>0</v>
      </c>
      <c r="AF507" s="82">
        <v>0</v>
      </c>
      <c r="AG507" s="69">
        <v>40304</v>
      </c>
      <c r="AH507" s="84"/>
      <c r="AI507" s="69" t="s">
        <v>1984</v>
      </c>
      <c r="AJ507" s="25" t="s">
        <v>1985</v>
      </c>
      <c r="AK507" s="65"/>
      <c r="AL507" s="185" t="s">
        <v>1257</v>
      </c>
      <c r="AM507" s="85" t="s">
        <v>1246</v>
      </c>
      <c r="AN507" s="3"/>
      <c r="AO507" s="4"/>
      <c r="AP507" s="5"/>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6"/>
      <c r="CQ507" s="7"/>
      <c r="CR507" s="6"/>
      <c r="CS507" s="7"/>
      <c r="CT507" s="6"/>
      <c r="CU507" s="7"/>
      <c r="CV507" s="8">
        <f t="shared" si="62"/>
        <v>0</v>
      </c>
      <c r="CW507" s="9"/>
      <c r="CX507" s="10"/>
      <c r="CY507" s="11"/>
      <c r="CZ507" s="12"/>
      <c r="DA507" s="29"/>
      <c r="DB507" s="12"/>
      <c r="DC507" s="9"/>
      <c r="DD507" s="10"/>
      <c r="DE507" s="71"/>
      <c r="EO507" s="353" t="str">
        <f t="shared" si="65"/>
        <v>META_VILLAVICENCIO</v>
      </c>
      <c r="EP507" s="350"/>
      <c r="EQ507" s="350" t="s">
        <v>4311</v>
      </c>
      <c r="ER507" s="358" t="s">
        <v>6260</v>
      </c>
      <c r="ES507" s="350" t="s">
        <v>5160</v>
      </c>
      <c r="ET507" s="350" t="s">
        <v>6284</v>
      </c>
      <c r="EU507" s="350" t="str">
        <f t="shared" si="64"/>
        <v>Cundinamarca_Fosca</v>
      </c>
    </row>
    <row r="508" spans="1:151" ht="33.75" x14ac:dyDescent="0.2">
      <c r="A508" s="242">
        <v>40303</v>
      </c>
      <c r="B508" s="107" t="s">
        <v>2427</v>
      </c>
      <c r="C508" s="107" t="s">
        <v>2017</v>
      </c>
      <c r="D508" s="427" t="s">
        <v>837</v>
      </c>
      <c r="E508" s="107" t="str">
        <f>VLOOKUP(B508&amp;C508,Divipola!$C$2:$F$1138,4,FALSE)</f>
        <v>68101</v>
      </c>
      <c r="F508" s="330"/>
      <c r="G508" s="277"/>
      <c r="H508" s="75"/>
      <c r="I508" s="75"/>
      <c r="J508" s="75">
        <v>225</v>
      </c>
      <c r="K508" s="75">
        <v>45</v>
      </c>
      <c r="L508" s="75">
        <v>10</v>
      </c>
      <c r="M508" s="75">
        <v>15</v>
      </c>
      <c r="N508" s="75"/>
      <c r="O508" s="75"/>
      <c r="P508" s="75"/>
      <c r="Q508" s="75"/>
      <c r="R508" s="75"/>
      <c r="S508" s="75"/>
      <c r="T508" s="75"/>
      <c r="U508" s="75"/>
      <c r="V508" s="76">
        <v>95</v>
      </c>
      <c r="W508" s="205"/>
      <c r="X508" s="1">
        <v>40389</v>
      </c>
      <c r="Y508" s="78">
        <f t="shared" si="58"/>
        <v>0</v>
      </c>
      <c r="Z508" s="78">
        <f t="shared" si="59"/>
        <v>4250000</v>
      </c>
      <c r="AA508" s="78">
        <f t="shared" si="60"/>
        <v>0</v>
      </c>
      <c r="AB508" s="78">
        <f t="shared" si="61"/>
        <v>0</v>
      </c>
      <c r="AC508" s="78"/>
      <c r="AD508" s="78">
        <v>0</v>
      </c>
      <c r="AE508" s="80">
        <f t="shared" si="63"/>
        <v>4250000</v>
      </c>
      <c r="AF508" s="82">
        <v>0</v>
      </c>
      <c r="AG508" s="69">
        <v>40353</v>
      </c>
      <c r="AH508" s="84">
        <v>30750</v>
      </c>
      <c r="AI508" s="69" t="s">
        <v>2009</v>
      </c>
      <c r="AJ508" s="25" t="s">
        <v>2010</v>
      </c>
      <c r="AK508" s="65">
        <v>220</v>
      </c>
      <c r="AL508" s="185" t="s">
        <v>942</v>
      </c>
      <c r="AM508" s="85" t="s">
        <v>283</v>
      </c>
      <c r="AN508" s="3"/>
      <c r="AO508" s="4"/>
      <c r="AP508" s="5"/>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6"/>
      <c r="CQ508" s="7"/>
      <c r="CR508" s="6"/>
      <c r="CS508" s="7"/>
      <c r="CT508" s="6"/>
      <c r="CU508" s="7"/>
      <c r="CV508" s="8">
        <f t="shared" si="62"/>
        <v>0</v>
      </c>
      <c r="CW508" s="9"/>
      <c r="CX508" s="10"/>
      <c r="CY508" s="11">
        <v>50</v>
      </c>
      <c r="CZ508" s="12">
        <f>50*85000</f>
        <v>4250000</v>
      </c>
      <c r="DA508" s="29"/>
      <c r="DB508" s="12"/>
      <c r="DC508" s="9"/>
      <c r="DD508" s="10"/>
      <c r="DE508" s="71"/>
      <c r="EO508" s="353" t="str">
        <f t="shared" si="65"/>
        <v>SANTANDER_BOLIVAR</v>
      </c>
      <c r="EP508" s="350"/>
      <c r="EQ508" s="350" t="s">
        <v>4311</v>
      </c>
      <c r="ER508" s="358" t="s">
        <v>6260</v>
      </c>
      <c r="ES508" s="350" t="s">
        <v>5161</v>
      </c>
      <c r="ET508" s="350" t="s">
        <v>6285</v>
      </c>
      <c r="EU508" s="350" t="str">
        <f t="shared" si="64"/>
        <v>Cundinamarca_Funza</v>
      </c>
    </row>
    <row r="509" spans="1:151" ht="33.75" x14ac:dyDescent="0.2">
      <c r="A509" s="242">
        <v>40303</v>
      </c>
      <c r="B509" s="107" t="s">
        <v>2427</v>
      </c>
      <c r="C509" s="107" t="s">
        <v>1274</v>
      </c>
      <c r="D509" s="427" t="s">
        <v>837</v>
      </c>
      <c r="E509" s="107" t="str">
        <f>VLOOKUP(B509&amp;C509,Divipola!$C$2:$F$1138,4,FALSE)</f>
        <v>68152</v>
      </c>
      <c r="F509" s="330"/>
      <c r="G509" s="277"/>
      <c r="H509" s="75"/>
      <c r="I509" s="75"/>
      <c r="J509" s="75">
        <v>150</v>
      </c>
      <c r="K509" s="75">
        <v>30</v>
      </c>
      <c r="L509" s="75"/>
      <c r="M509" s="75">
        <v>9</v>
      </c>
      <c r="N509" s="75"/>
      <c r="O509" s="75"/>
      <c r="P509" s="75"/>
      <c r="Q509" s="75"/>
      <c r="R509" s="75"/>
      <c r="S509" s="75"/>
      <c r="T509" s="75"/>
      <c r="U509" s="75"/>
      <c r="V509" s="76"/>
      <c r="W509" s="205"/>
      <c r="X509" s="1">
        <v>40389</v>
      </c>
      <c r="Y509" s="78">
        <f t="shared" si="58"/>
        <v>0</v>
      </c>
      <c r="Z509" s="78">
        <f t="shared" si="59"/>
        <v>2550000</v>
      </c>
      <c r="AA509" s="78">
        <f t="shared" si="60"/>
        <v>0</v>
      </c>
      <c r="AB509" s="78">
        <f t="shared" si="61"/>
        <v>0</v>
      </c>
      <c r="AC509" s="78"/>
      <c r="AD509" s="78">
        <v>0</v>
      </c>
      <c r="AE509" s="80">
        <f t="shared" si="63"/>
        <v>2550000</v>
      </c>
      <c r="AF509" s="82">
        <v>0</v>
      </c>
      <c r="AG509" s="69">
        <v>40353</v>
      </c>
      <c r="AH509" s="84">
        <v>30750</v>
      </c>
      <c r="AI509" s="69" t="s">
        <v>2009</v>
      </c>
      <c r="AJ509" s="25" t="s">
        <v>2010</v>
      </c>
      <c r="AK509" s="65">
        <v>220</v>
      </c>
      <c r="AL509" s="185" t="s">
        <v>942</v>
      </c>
      <c r="AM509" s="85" t="s">
        <v>283</v>
      </c>
      <c r="AN509" s="3"/>
      <c r="AO509" s="4"/>
      <c r="AP509" s="5"/>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6"/>
      <c r="CQ509" s="7"/>
      <c r="CR509" s="6"/>
      <c r="CS509" s="7"/>
      <c r="CT509" s="6"/>
      <c r="CU509" s="7"/>
      <c r="CV509" s="8">
        <f t="shared" si="62"/>
        <v>0</v>
      </c>
      <c r="CW509" s="9"/>
      <c r="CX509" s="10"/>
      <c r="CY509" s="11">
        <v>30</v>
      </c>
      <c r="CZ509" s="12">
        <f>30*85000</f>
        <v>2550000</v>
      </c>
      <c r="DA509" s="29"/>
      <c r="DB509" s="12"/>
      <c r="DC509" s="9"/>
      <c r="DD509" s="10"/>
      <c r="DE509" s="71"/>
      <c r="EO509" s="353" t="str">
        <f t="shared" si="65"/>
        <v>SANTANDER_CARCASI</v>
      </c>
      <c r="EP509" s="350"/>
      <c r="EQ509" s="350" t="s">
        <v>4311</v>
      </c>
      <c r="ER509" s="358" t="s">
        <v>6260</v>
      </c>
      <c r="ES509" s="350" t="s">
        <v>5162</v>
      </c>
      <c r="ET509" s="350" t="s">
        <v>6286</v>
      </c>
      <c r="EU509" s="350" t="str">
        <f t="shared" si="64"/>
        <v>Cundinamarca_Fuquene</v>
      </c>
    </row>
    <row r="510" spans="1:151" ht="38.25" x14ac:dyDescent="0.2">
      <c r="A510" s="242">
        <v>40303</v>
      </c>
      <c r="B510" s="107" t="s">
        <v>2427</v>
      </c>
      <c r="C510" s="107" t="s">
        <v>1364</v>
      </c>
      <c r="D510" s="427" t="s">
        <v>837</v>
      </c>
      <c r="E510" s="107" t="str">
        <f>VLOOKUP(B510&amp;C510,Divipola!$C$2:$F$1138,4,FALSE)</f>
        <v>68169</v>
      </c>
      <c r="F510" s="330"/>
      <c r="G510" s="277">
        <v>1</v>
      </c>
      <c r="H510" s="75"/>
      <c r="I510" s="75"/>
      <c r="J510" s="75">
        <f>60*5</f>
        <v>300</v>
      </c>
      <c r="K510" s="75">
        <v>60</v>
      </c>
      <c r="L510" s="75"/>
      <c r="M510" s="75">
        <v>10</v>
      </c>
      <c r="N510" s="75">
        <v>3</v>
      </c>
      <c r="O510" s="75"/>
      <c r="P510" s="75"/>
      <c r="Q510" s="75"/>
      <c r="R510" s="75"/>
      <c r="S510" s="75"/>
      <c r="T510" s="75"/>
      <c r="U510" s="75"/>
      <c r="V510" s="76">
        <v>150</v>
      </c>
      <c r="W510" s="205"/>
      <c r="X510" s="1">
        <v>40389</v>
      </c>
      <c r="Y510" s="78">
        <f t="shared" si="58"/>
        <v>0</v>
      </c>
      <c r="Z510" s="78">
        <f t="shared" si="59"/>
        <v>2550000</v>
      </c>
      <c r="AA510" s="78">
        <f t="shared" si="60"/>
        <v>0</v>
      </c>
      <c r="AB510" s="78">
        <f t="shared" si="61"/>
        <v>0</v>
      </c>
      <c r="AC510" s="78"/>
      <c r="AD510" s="78">
        <v>0</v>
      </c>
      <c r="AE510" s="80">
        <f t="shared" si="63"/>
        <v>2550000</v>
      </c>
      <c r="AF510" s="82">
        <v>0</v>
      </c>
      <c r="AG510" s="69">
        <v>40353</v>
      </c>
      <c r="AH510" s="84">
        <v>30750</v>
      </c>
      <c r="AI510" s="69" t="s">
        <v>2009</v>
      </c>
      <c r="AJ510" s="25" t="s">
        <v>2010</v>
      </c>
      <c r="AK510" s="65">
        <v>220</v>
      </c>
      <c r="AL510" s="185" t="s">
        <v>942</v>
      </c>
      <c r="AM510" s="85" t="s">
        <v>283</v>
      </c>
      <c r="AN510" s="3"/>
      <c r="AO510" s="4"/>
      <c r="AP510" s="5"/>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6"/>
      <c r="CQ510" s="7"/>
      <c r="CR510" s="6"/>
      <c r="CS510" s="7"/>
      <c r="CT510" s="6"/>
      <c r="CU510" s="7"/>
      <c r="CV510" s="8">
        <f t="shared" si="62"/>
        <v>0</v>
      </c>
      <c r="CW510" s="9"/>
      <c r="CX510" s="10"/>
      <c r="CY510" s="11">
        <v>30</v>
      </c>
      <c r="CZ510" s="12">
        <f>30*85000</f>
        <v>2550000</v>
      </c>
      <c r="DA510" s="29"/>
      <c r="DB510" s="12"/>
      <c r="DC510" s="9"/>
      <c r="DD510" s="10"/>
      <c r="DE510" s="71"/>
      <c r="EO510" s="353" t="str">
        <f t="shared" si="65"/>
        <v>SANTANDER_CHARTA</v>
      </c>
      <c r="EP510" s="350"/>
      <c r="EQ510" s="350" t="s">
        <v>4311</v>
      </c>
      <c r="ER510" s="358" t="s">
        <v>6260</v>
      </c>
      <c r="ES510" s="350" t="s">
        <v>5163</v>
      </c>
      <c r="ET510" s="350" t="s">
        <v>6287</v>
      </c>
      <c r="EU510" s="350" t="str">
        <f t="shared" si="64"/>
        <v>Cundinamarca_Fusagasuga</v>
      </c>
    </row>
    <row r="511" spans="1:151" ht="72" x14ac:dyDescent="0.2">
      <c r="A511" s="242">
        <v>40303</v>
      </c>
      <c r="B511" s="107" t="s">
        <v>2427</v>
      </c>
      <c r="C511" s="107" t="s">
        <v>2773</v>
      </c>
      <c r="D511" s="427" t="s">
        <v>837</v>
      </c>
      <c r="E511" s="107" t="str">
        <f>VLOOKUP(B511&amp;C511,Divipola!$C$2:$F$1138,4,FALSE)</f>
        <v>68190</v>
      </c>
      <c r="F511" s="330"/>
      <c r="G511" s="277"/>
      <c r="H511" s="75"/>
      <c r="I511" s="75"/>
      <c r="J511" s="75">
        <f>804*5</f>
        <v>4020</v>
      </c>
      <c r="K511" s="75">
        <v>804</v>
      </c>
      <c r="L511" s="75"/>
      <c r="M511" s="75">
        <v>20</v>
      </c>
      <c r="N511" s="75">
        <v>4</v>
      </c>
      <c r="O511" s="75"/>
      <c r="P511" s="75"/>
      <c r="Q511" s="75"/>
      <c r="R511" s="75"/>
      <c r="S511" s="75"/>
      <c r="T511" s="75"/>
      <c r="U511" s="75"/>
      <c r="V511" s="76">
        <v>200</v>
      </c>
      <c r="W511" s="205" t="s">
        <v>2180</v>
      </c>
      <c r="X511" s="1">
        <v>40389</v>
      </c>
      <c r="Y511" s="78">
        <f t="shared" si="58"/>
        <v>0</v>
      </c>
      <c r="Z511" s="78">
        <f t="shared" si="59"/>
        <v>10200000</v>
      </c>
      <c r="AA511" s="78">
        <f t="shared" si="60"/>
        <v>0</v>
      </c>
      <c r="AB511" s="78">
        <f t="shared" si="61"/>
        <v>0</v>
      </c>
      <c r="AC511" s="78"/>
      <c r="AD511" s="78">
        <v>0</v>
      </c>
      <c r="AE511" s="80">
        <f t="shared" si="63"/>
        <v>10200000</v>
      </c>
      <c r="AF511" s="82">
        <v>0</v>
      </c>
      <c r="AG511" s="69">
        <v>40353</v>
      </c>
      <c r="AH511" s="84">
        <v>30750</v>
      </c>
      <c r="AI511" s="69" t="s">
        <v>2009</v>
      </c>
      <c r="AJ511" s="25" t="s">
        <v>2010</v>
      </c>
      <c r="AK511" s="65">
        <v>220</v>
      </c>
      <c r="AL511" s="185" t="s">
        <v>942</v>
      </c>
      <c r="AM511" s="85" t="s">
        <v>2774</v>
      </c>
      <c r="AN511" s="3"/>
      <c r="AO511" s="4"/>
      <c r="AP511" s="5"/>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6"/>
      <c r="CQ511" s="7"/>
      <c r="CR511" s="6"/>
      <c r="CS511" s="7"/>
      <c r="CT511" s="6"/>
      <c r="CU511" s="7"/>
      <c r="CV511" s="8">
        <f t="shared" si="62"/>
        <v>0</v>
      </c>
      <c r="CW511" s="9"/>
      <c r="CX511" s="10"/>
      <c r="CY511" s="11">
        <v>120</v>
      </c>
      <c r="CZ511" s="12">
        <f>120*85000</f>
        <v>10200000</v>
      </c>
      <c r="DA511" s="29"/>
      <c r="DB511" s="12"/>
      <c r="DC511" s="9"/>
      <c r="DD511" s="10"/>
      <c r="DE511" s="71"/>
      <c r="EO511" s="353" t="str">
        <f t="shared" si="65"/>
        <v>SANTANDER_CIMITARRA</v>
      </c>
      <c r="EP511" s="350"/>
      <c r="EQ511" s="350" t="s">
        <v>4311</v>
      </c>
      <c r="ER511" s="358" t="s">
        <v>6260</v>
      </c>
      <c r="ES511" s="350" t="s">
        <v>5164</v>
      </c>
      <c r="ET511" s="350" t="s">
        <v>6288</v>
      </c>
      <c r="EU511" s="350" t="str">
        <f t="shared" si="64"/>
        <v>Cundinamarca_Gachala</v>
      </c>
    </row>
    <row r="512" spans="1:151" ht="38.25" x14ac:dyDescent="0.2">
      <c r="A512" s="242">
        <v>40303</v>
      </c>
      <c r="B512" s="107" t="s">
        <v>2427</v>
      </c>
      <c r="C512" s="107" t="s">
        <v>1271</v>
      </c>
      <c r="D512" s="427" t="s">
        <v>837</v>
      </c>
      <c r="E512" s="107" t="str">
        <f>VLOOKUP(B512&amp;C512,Divipola!$C$2:$F$1138,4,FALSE)</f>
        <v>68211</v>
      </c>
      <c r="F512" s="330"/>
      <c r="G512" s="277"/>
      <c r="H512" s="75"/>
      <c r="I512" s="75"/>
      <c r="J512" s="75">
        <v>300</v>
      </c>
      <c r="K512" s="75">
        <v>60</v>
      </c>
      <c r="L512" s="75"/>
      <c r="M512" s="75">
        <v>20</v>
      </c>
      <c r="N512" s="75">
        <v>2</v>
      </c>
      <c r="O512" s="75"/>
      <c r="P512" s="75"/>
      <c r="Q512" s="75">
        <v>3</v>
      </c>
      <c r="R512" s="75"/>
      <c r="S512" s="75"/>
      <c r="T512" s="75"/>
      <c r="U512" s="75"/>
      <c r="V512" s="76"/>
      <c r="W512" s="205"/>
      <c r="X512" s="1">
        <v>40389</v>
      </c>
      <c r="Y512" s="78">
        <f t="shared" si="58"/>
        <v>0</v>
      </c>
      <c r="Z512" s="78">
        <f t="shared" si="59"/>
        <v>5100000</v>
      </c>
      <c r="AA512" s="78">
        <f t="shared" si="60"/>
        <v>0</v>
      </c>
      <c r="AB512" s="78">
        <f t="shared" si="61"/>
        <v>0</v>
      </c>
      <c r="AC512" s="78"/>
      <c r="AD512" s="78">
        <v>0</v>
      </c>
      <c r="AE512" s="80">
        <f t="shared" si="63"/>
        <v>5100000</v>
      </c>
      <c r="AF512" s="82">
        <v>0</v>
      </c>
      <c r="AG512" s="69">
        <v>40353</v>
      </c>
      <c r="AH512" s="84">
        <v>30750</v>
      </c>
      <c r="AI512" s="69" t="s">
        <v>2009</v>
      </c>
      <c r="AJ512" s="25" t="s">
        <v>2010</v>
      </c>
      <c r="AK512" s="65">
        <v>220</v>
      </c>
      <c r="AL512" s="185" t="s">
        <v>942</v>
      </c>
      <c r="AM512" s="85" t="s">
        <v>283</v>
      </c>
      <c r="AN512" s="3"/>
      <c r="AO512" s="4"/>
      <c r="AP512" s="5"/>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6"/>
      <c r="CQ512" s="7"/>
      <c r="CR512" s="6"/>
      <c r="CS512" s="7"/>
      <c r="CT512" s="6"/>
      <c r="CU512" s="7"/>
      <c r="CV512" s="8">
        <f t="shared" si="62"/>
        <v>0</v>
      </c>
      <c r="CW512" s="9"/>
      <c r="CX512" s="10"/>
      <c r="CY512" s="11">
        <v>60</v>
      </c>
      <c r="CZ512" s="12">
        <f>60*85000</f>
        <v>5100000</v>
      </c>
      <c r="DA512" s="29"/>
      <c r="DB512" s="12"/>
      <c r="DC512" s="9"/>
      <c r="DD512" s="10"/>
      <c r="DE512" s="71"/>
      <c r="EO512" s="353" t="str">
        <f t="shared" si="65"/>
        <v>SANTANDER_CONTRATACION</v>
      </c>
      <c r="EP512" s="350"/>
      <c r="EQ512" s="350" t="s">
        <v>4311</v>
      </c>
      <c r="ER512" s="358" t="s">
        <v>6260</v>
      </c>
      <c r="ES512" s="350" t="s">
        <v>5165</v>
      </c>
      <c r="ET512" s="350" t="s">
        <v>6289</v>
      </c>
      <c r="EU512" s="350" t="str">
        <f t="shared" si="64"/>
        <v>Cundinamarca_Gachancipa</v>
      </c>
    </row>
    <row r="513" spans="1:151" ht="33.75" x14ac:dyDescent="0.2">
      <c r="A513" s="242">
        <v>40303</v>
      </c>
      <c r="B513" s="107" t="s">
        <v>2427</v>
      </c>
      <c r="C513" s="107" t="s">
        <v>1008</v>
      </c>
      <c r="D513" s="427" t="s">
        <v>837</v>
      </c>
      <c r="E513" s="107" t="str">
        <f>VLOOKUP(B513&amp;C513,Divipola!$C$2:$F$1138,4,FALSE)</f>
        <v>68229</v>
      </c>
      <c r="F513" s="330"/>
      <c r="G513" s="277"/>
      <c r="H513" s="75"/>
      <c r="I513" s="75"/>
      <c r="J513" s="75">
        <f>60*4.5</f>
        <v>270</v>
      </c>
      <c r="K513" s="75">
        <v>60</v>
      </c>
      <c r="L513" s="75"/>
      <c r="M513" s="75">
        <v>10</v>
      </c>
      <c r="N513" s="75">
        <v>2</v>
      </c>
      <c r="O513" s="75"/>
      <c r="P513" s="75"/>
      <c r="Q513" s="75"/>
      <c r="R513" s="75"/>
      <c r="S513" s="75"/>
      <c r="T513" s="75"/>
      <c r="U513" s="75"/>
      <c r="V513" s="76"/>
      <c r="W513" s="205"/>
      <c r="X513" s="1">
        <v>40389</v>
      </c>
      <c r="Y513" s="78">
        <f t="shared" si="58"/>
        <v>0</v>
      </c>
      <c r="Z513" s="78">
        <f t="shared" si="59"/>
        <v>4250000</v>
      </c>
      <c r="AA513" s="78">
        <f t="shared" si="60"/>
        <v>0</v>
      </c>
      <c r="AB513" s="78">
        <f t="shared" si="61"/>
        <v>0</v>
      </c>
      <c r="AC513" s="78"/>
      <c r="AD513" s="78">
        <v>0</v>
      </c>
      <c r="AE513" s="80">
        <f t="shared" si="63"/>
        <v>4250000</v>
      </c>
      <c r="AF513" s="82">
        <v>0</v>
      </c>
      <c r="AG513" s="69">
        <v>40353</v>
      </c>
      <c r="AH513" s="84">
        <v>30750</v>
      </c>
      <c r="AI513" s="69" t="s">
        <v>2009</v>
      </c>
      <c r="AJ513" s="25" t="s">
        <v>2010</v>
      </c>
      <c r="AK513" s="65">
        <v>220</v>
      </c>
      <c r="AL513" s="185" t="s">
        <v>942</v>
      </c>
      <c r="AM513" s="85" t="s">
        <v>283</v>
      </c>
      <c r="AN513" s="3"/>
      <c r="AO513" s="4"/>
      <c r="AP513" s="5"/>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6"/>
      <c r="CQ513" s="7"/>
      <c r="CR513" s="6"/>
      <c r="CS513" s="7"/>
      <c r="CT513" s="6"/>
      <c r="CU513" s="7"/>
      <c r="CV513" s="8">
        <f t="shared" si="62"/>
        <v>0</v>
      </c>
      <c r="CW513" s="9"/>
      <c r="CX513" s="10"/>
      <c r="CY513" s="11">
        <v>50</v>
      </c>
      <c r="CZ513" s="12">
        <f>50*85000</f>
        <v>4250000</v>
      </c>
      <c r="DA513" s="29"/>
      <c r="DB513" s="12"/>
      <c r="DC513" s="9"/>
      <c r="DD513" s="10"/>
      <c r="DE513" s="71"/>
      <c r="EO513" s="353" t="str">
        <f t="shared" si="65"/>
        <v>SANTANDER_CURITI</v>
      </c>
      <c r="EP513" s="350"/>
      <c r="EQ513" s="350" t="s">
        <v>4311</v>
      </c>
      <c r="ER513" s="358" t="s">
        <v>6260</v>
      </c>
      <c r="ES513" s="350" t="s">
        <v>5168</v>
      </c>
      <c r="ET513" s="350" t="s">
        <v>6290</v>
      </c>
      <c r="EU513" s="350" t="str">
        <f t="shared" si="64"/>
        <v>Cundinamarca_Girardot</v>
      </c>
    </row>
    <row r="514" spans="1:151" ht="63.75" x14ac:dyDescent="0.2">
      <c r="A514" s="242">
        <v>40303</v>
      </c>
      <c r="B514" s="107" t="s">
        <v>2427</v>
      </c>
      <c r="C514" s="107" t="s">
        <v>1366</v>
      </c>
      <c r="D514" s="427" t="s">
        <v>837</v>
      </c>
      <c r="E514" s="107" t="str">
        <f>VLOOKUP(B514&amp;C514,Divipola!$C$2:$F$1138,4,FALSE)</f>
        <v>68235</v>
      </c>
      <c r="F514" s="330"/>
      <c r="G514" s="277"/>
      <c r="H514" s="75"/>
      <c r="I514" s="75"/>
      <c r="J514" s="75">
        <f>25*5</f>
        <v>125</v>
      </c>
      <c r="K514" s="75">
        <v>25</v>
      </c>
      <c r="L514" s="75"/>
      <c r="M514" s="75"/>
      <c r="N514" s="75">
        <v>3</v>
      </c>
      <c r="O514" s="75"/>
      <c r="P514" s="75"/>
      <c r="Q514" s="75"/>
      <c r="R514" s="75"/>
      <c r="S514" s="75"/>
      <c r="T514" s="75"/>
      <c r="U514" s="75"/>
      <c r="V514" s="76"/>
      <c r="W514" s="205"/>
      <c r="X514" s="1">
        <v>40389</v>
      </c>
      <c r="Y514" s="78">
        <f t="shared" si="58"/>
        <v>0</v>
      </c>
      <c r="Z514" s="78">
        <f t="shared" si="59"/>
        <v>8500000</v>
      </c>
      <c r="AA514" s="78">
        <f t="shared" si="60"/>
        <v>0</v>
      </c>
      <c r="AB514" s="78">
        <f t="shared" si="61"/>
        <v>0</v>
      </c>
      <c r="AC514" s="78"/>
      <c r="AD514" s="78">
        <v>0</v>
      </c>
      <c r="AE514" s="80">
        <f t="shared" si="63"/>
        <v>8500000</v>
      </c>
      <c r="AF514" s="82">
        <v>0</v>
      </c>
      <c r="AG514" s="69">
        <v>40353</v>
      </c>
      <c r="AH514" s="84">
        <v>30750</v>
      </c>
      <c r="AI514" s="69" t="s">
        <v>2009</v>
      </c>
      <c r="AJ514" s="25" t="s">
        <v>2010</v>
      </c>
      <c r="AK514" s="65">
        <v>220</v>
      </c>
      <c r="AL514" s="185" t="s">
        <v>942</v>
      </c>
      <c r="AM514" s="85" t="s">
        <v>283</v>
      </c>
      <c r="AN514" s="3"/>
      <c r="AO514" s="4"/>
      <c r="AP514" s="5"/>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6"/>
      <c r="CQ514" s="7"/>
      <c r="CR514" s="6"/>
      <c r="CS514" s="7"/>
      <c r="CT514" s="6"/>
      <c r="CU514" s="7"/>
      <c r="CV514" s="8">
        <f t="shared" si="62"/>
        <v>0</v>
      </c>
      <c r="CW514" s="9"/>
      <c r="CX514" s="10"/>
      <c r="CY514" s="11">
        <v>100</v>
      </c>
      <c r="CZ514" s="12">
        <f>100*85000</f>
        <v>8500000</v>
      </c>
      <c r="DA514" s="29"/>
      <c r="DB514" s="12"/>
      <c r="DC514" s="9"/>
      <c r="DD514" s="10"/>
      <c r="DE514" s="71"/>
      <c r="EO514" s="353" t="str">
        <f t="shared" si="65"/>
        <v>SANTANDER_EL CARMEN DE CHUCURI</v>
      </c>
      <c r="EP514" s="350"/>
      <c r="EQ514" s="350" t="s">
        <v>4311</v>
      </c>
      <c r="ER514" s="358" t="s">
        <v>6260</v>
      </c>
      <c r="ES514" s="350" t="s">
        <v>5169</v>
      </c>
      <c r="ET514" s="350" t="s">
        <v>5880</v>
      </c>
      <c r="EU514" s="350" t="str">
        <f t="shared" si="64"/>
        <v>Cundinamarca_Granada</v>
      </c>
    </row>
    <row r="515" spans="1:151" ht="38.25" x14ac:dyDescent="0.2">
      <c r="A515" s="242">
        <v>40303</v>
      </c>
      <c r="B515" s="107" t="s">
        <v>2427</v>
      </c>
      <c r="C515" s="107" t="s">
        <v>1365</v>
      </c>
      <c r="D515" s="427" t="s">
        <v>837</v>
      </c>
      <c r="E515" s="107" t="str">
        <f>VLOOKUP(B515&amp;C515,Divipola!$C$2:$F$1138,4,FALSE)</f>
        <v>68444</v>
      </c>
      <c r="F515" s="330"/>
      <c r="G515" s="277"/>
      <c r="H515" s="75"/>
      <c r="I515" s="75"/>
      <c r="J515" s="75">
        <v>150</v>
      </c>
      <c r="K515" s="75">
        <v>30</v>
      </c>
      <c r="L515" s="75"/>
      <c r="M515" s="75">
        <v>10</v>
      </c>
      <c r="N515" s="75">
        <v>4</v>
      </c>
      <c r="O515" s="75">
        <v>2</v>
      </c>
      <c r="P515" s="75"/>
      <c r="Q515" s="75"/>
      <c r="R515" s="75"/>
      <c r="S515" s="75"/>
      <c r="T515" s="75">
        <v>1</v>
      </c>
      <c r="U515" s="75"/>
      <c r="V515" s="76">
        <v>500</v>
      </c>
      <c r="W515" s="205"/>
      <c r="X515" s="1">
        <v>40389</v>
      </c>
      <c r="Y515" s="78">
        <f t="shared" ref="Y515:Y578" si="66">CV515</f>
        <v>0</v>
      </c>
      <c r="Z515" s="78">
        <f t="shared" ref="Z515:Z578" si="67">CZ515</f>
        <v>4250000</v>
      </c>
      <c r="AA515" s="78">
        <f t="shared" ref="AA515:AA578" si="68">DB515+DD515</f>
        <v>0</v>
      </c>
      <c r="AB515" s="78">
        <f t="shared" ref="AB515:AB578" si="69">CX515</f>
        <v>0</v>
      </c>
      <c r="AC515" s="78"/>
      <c r="AD515" s="78">
        <v>0</v>
      </c>
      <c r="AE515" s="80">
        <f t="shared" si="63"/>
        <v>4250000</v>
      </c>
      <c r="AF515" s="82">
        <v>0</v>
      </c>
      <c r="AG515" s="69">
        <v>40353</v>
      </c>
      <c r="AH515" s="84">
        <v>30750</v>
      </c>
      <c r="AI515" s="69" t="s">
        <v>2009</v>
      </c>
      <c r="AJ515" s="25" t="s">
        <v>2010</v>
      </c>
      <c r="AK515" s="65">
        <v>220</v>
      </c>
      <c r="AL515" s="185" t="s">
        <v>942</v>
      </c>
      <c r="AM515" s="85" t="s">
        <v>283</v>
      </c>
      <c r="AN515" s="3"/>
      <c r="AO515" s="4"/>
      <c r="AP515" s="5"/>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6"/>
      <c r="CQ515" s="7"/>
      <c r="CR515" s="6"/>
      <c r="CS515" s="7"/>
      <c r="CT515" s="6"/>
      <c r="CU515" s="7"/>
      <c r="CV515" s="8">
        <f t="shared" ref="CV515:CV578" si="70">AO515+AQ515+AS515+AU515+AW515+AY515+BA515+BC515+BE515+BG515+BI515+BK515+BM515+BO515+BQ515+BS515+BU515+BW515+BY515+CA515+CC515+CE515+CG515+CI515+CK515+CM515+CO515+CQ515+CS515+CU515</f>
        <v>0</v>
      </c>
      <c r="CW515" s="9"/>
      <c r="CX515" s="10"/>
      <c r="CY515" s="11">
        <v>50</v>
      </c>
      <c r="CZ515" s="12">
        <f>50*85000</f>
        <v>4250000</v>
      </c>
      <c r="DA515" s="29"/>
      <c r="DB515" s="12"/>
      <c r="DC515" s="9"/>
      <c r="DD515" s="10"/>
      <c r="DE515" s="71"/>
      <c r="EO515" s="353" t="str">
        <f t="shared" si="65"/>
        <v>SANTANDER_MATANZA</v>
      </c>
      <c r="EP515" s="350"/>
      <c r="EQ515" s="350" t="s">
        <v>4311</v>
      </c>
      <c r="ER515" s="358" t="s">
        <v>6260</v>
      </c>
      <c r="ES515" s="350" t="s">
        <v>5170</v>
      </c>
      <c r="ET515" s="350" t="s">
        <v>6291</v>
      </c>
      <c r="EU515" s="350" t="str">
        <f t="shared" si="64"/>
        <v>Cundinamarca_Guacheta</v>
      </c>
    </row>
    <row r="516" spans="1:151" ht="38.25" x14ac:dyDescent="0.2">
      <c r="A516" s="242">
        <v>40303</v>
      </c>
      <c r="B516" s="107" t="s">
        <v>2427</v>
      </c>
      <c r="C516" s="107" t="s">
        <v>2192</v>
      </c>
      <c r="D516" s="427" t="s">
        <v>2307</v>
      </c>
      <c r="E516" s="107" t="str">
        <f>VLOOKUP(B516&amp;C516,Divipola!$C$2:$F$1138,4,FALSE)</f>
        <v>68498</v>
      </c>
      <c r="F516" s="330"/>
      <c r="G516" s="277"/>
      <c r="H516" s="75"/>
      <c r="I516" s="75"/>
      <c r="J516" s="75">
        <f>50*5</f>
        <v>250</v>
      </c>
      <c r="K516" s="75">
        <v>50</v>
      </c>
      <c r="L516" s="75"/>
      <c r="M516" s="75">
        <v>20</v>
      </c>
      <c r="N516" s="75">
        <v>3</v>
      </c>
      <c r="O516" s="75">
        <v>2</v>
      </c>
      <c r="P516" s="75"/>
      <c r="Q516" s="75">
        <v>1</v>
      </c>
      <c r="R516" s="75"/>
      <c r="S516" s="75"/>
      <c r="T516" s="75"/>
      <c r="U516" s="75"/>
      <c r="V516" s="76">
        <v>250</v>
      </c>
      <c r="W516" s="205" t="s">
        <v>2180</v>
      </c>
      <c r="X516" s="1">
        <v>40389</v>
      </c>
      <c r="Y516" s="78">
        <f t="shared" si="66"/>
        <v>0</v>
      </c>
      <c r="Z516" s="78">
        <f t="shared" si="67"/>
        <v>4250000</v>
      </c>
      <c r="AA516" s="78">
        <f t="shared" si="68"/>
        <v>0</v>
      </c>
      <c r="AB516" s="78">
        <f t="shared" si="69"/>
        <v>0</v>
      </c>
      <c r="AC516" s="78"/>
      <c r="AD516" s="78">
        <v>0</v>
      </c>
      <c r="AE516" s="80">
        <f t="shared" si="63"/>
        <v>4250000</v>
      </c>
      <c r="AF516" s="82">
        <v>0</v>
      </c>
      <c r="AG516" s="69">
        <v>40353</v>
      </c>
      <c r="AH516" s="84">
        <v>30750</v>
      </c>
      <c r="AI516" s="69" t="s">
        <v>2009</v>
      </c>
      <c r="AJ516" s="25" t="s">
        <v>2010</v>
      </c>
      <c r="AK516" s="65">
        <v>220</v>
      </c>
      <c r="AL516" s="185" t="s">
        <v>942</v>
      </c>
      <c r="AM516" s="85" t="s">
        <v>283</v>
      </c>
      <c r="AN516" s="3"/>
      <c r="AO516" s="4"/>
      <c r="AP516" s="5"/>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6"/>
      <c r="CQ516" s="7"/>
      <c r="CR516" s="6"/>
      <c r="CS516" s="7"/>
      <c r="CT516" s="6"/>
      <c r="CU516" s="7"/>
      <c r="CV516" s="8">
        <f t="shared" si="70"/>
        <v>0</v>
      </c>
      <c r="CW516" s="9"/>
      <c r="CX516" s="10"/>
      <c r="CY516" s="11">
        <v>50</v>
      </c>
      <c r="CZ516" s="12">
        <f>50*85000</f>
        <v>4250000</v>
      </c>
      <c r="DA516" s="29"/>
      <c r="DB516" s="12"/>
      <c r="DC516" s="9"/>
      <c r="DD516" s="10"/>
      <c r="DE516" s="71"/>
      <c r="EO516" s="353" t="str">
        <f t="shared" si="65"/>
        <v>SANTANDER_OCAMONTE</v>
      </c>
      <c r="EP516" s="350"/>
      <c r="EQ516" s="350" t="s">
        <v>4311</v>
      </c>
      <c r="ER516" s="358" t="s">
        <v>6260</v>
      </c>
      <c r="ES516" s="350" t="s">
        <v>5171</v>
      </c>
      <c r="ET516" s="350" t="s">
        <v>6292</v>
      </c>
      <c r="EU516" s="350" t="str">
        <f t="shared" si="64"/>
        <v>Cundinamarca_Guaduas</v>
      </c>
    </row>
    <row r="517" spans="1:151" ht="51" x14ac:dyDescent="0.2">
      <c r="A517" s="242">
        <v>40303</v>
      </c>
      <c r="B517" s="107" t="s">
        <v>2427</v>
      </c>
      <c r="C517" s="107" t="s">
        <v>4567</v>
      </c>
      <c r="D517" s="427" t="s">
        <v>837</v>
      </c>
      <c r="E517" s="107" t="str">
        <f>VLOOKUP(B517&amp;C517,Divipola!$C$2:$F$1138,4,FALSE)</f>
        <v>68684</v>
      </c>
      <c r="F517" s="330"/>
      <c r="G517" s="277"/>
      <c r="H517" s="75"/>
      <c r="I517" s="75"/>
      <c r="J517" s="75">
        <v>400</v>
      </c>
      <c r="K517" s="75">
        <v>80</v>
      </c>
      <c r="L517" s="75">
        <v>4</v>
      </c>
      <c r="M517" s="75">
        <v>3</v>
      </c>
      <c r="N517" s="75">
        <v>3</v>
      </c>
      <c r="O517" s="75">
        <v>1</v>
      </c>
      <c r="P517" s="75"/>
      <c r="Q517" s="75">
        <v>1</v>
      </c>
      <c r="R517" s="75"/>
      <c r="S517" s="75"/>
      <c r="T517" s="75"/>
      <c r="U517" s="75"/>
      <c r="V517" s="76">
        <v>150</v>
      </c>
      <c r="W517" s="205" t="s">
        <v>2180</v>
      </c>
      <c r="X517" s="1">
        <v>40389</v>
      </c>
      <c r="Y517" s="78">
        <f t="shared" si="66"/>
        <v>0</v>
      </c>
      <c r="Z517" s="78">
        <f t="shared" si="67"/>
        <v>2550000</v>
      </c>
      <c r="AA517" s="78">
        <f t="shared" si="68"/>
        <v>0</v>
      </c>
      <c r="AB517" s="78">
        <f t="shared" si="69"/>
        <v>0</v>
      </c>
      <c r="AC517" s="78"/>
      <c r="AD517" s="78">
        <v>0</v>
      </c>
      <c r="AE517" s="80">
        <f t="shared" si="63"/>
        <v>2550000</v>
      </c>
      <c r="AF517" s="82">
        <v>0</v>
      </c>
      <c r="AG517" s="69">
        <v>40353</v>
      </c>
      <c r="AH517" s="84">
        <v>30750</v>
      </c>
      <c r="AI517" s="69" t="s">
        <v>2009</v>
      </c>
      <c r="AJ517" s="25" t="s">
        <v>2010</v>
      </c>
      <c r="AK517" s="65">
        <v>220</v>
      </c>
      <c r="AL517" s="185" t="s">
        <v>942</v>
      </c>
      <c r="AM517" s="85" t="s">
        <v>283</v>
      </c>
      <c r="AN517" s="3"/>
      <c r="AO517" s="4"/>
      <c r="AP517" s="5"/>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6"/>
      <c r="CQ517" s="7"/>
      <c r="CR517" s="6"/>
      <c r="CS517" s="7"/>
      <c r="CT517" s="6"/>
      <c r="CU517" s="7"/>
      <c r="CV517" s="8">
        <f t="shared" si="70"/>
        <v>0</v>
      </c>
      <c r="CW517" s="9"/>
      <c r="CX517" s="10"/>
      <c r="CY517" s="11">
        <v>30</v>
      </c>
      <c r="CZ517" s="12">
        <f>30*85000</f>
        <v>2550000</v>
      </c>
      <c r="DA517" s="29"/>
      <c r="DB517" s="12"/>
      <c r="DC517" s="9"/>
      <c r="DD517" s="10"/>
      <c r="DE517" s="71"/>
      <c r="EO517" s="353" t="str">
        <f t="shared" si="65"/>
        <v>SANTANDER_SAN JOSE DE MIRANDA</v>
      </c>
      <c r="EP517" s="350"/>
      <c r="EQ517" s="350" t="s">
        <v>4311</v>
      </c>
      <c r="ER517" s="358" t="s">
        <v>6260</v>
      </c>
      <c r="ES517" s="350" t="s">
        <v>5172</v>
      </c>
      <c r="ET517" s="350" t="s">
        <v>6293</v>
      </c>
      <c r="EU517" s="350" t="str">
        <f t="shared" si="64"/>
        <v>Cundinamarca_Guasca</v>
      </c>
    </row>
    <row r="518" spans="1:151" ht="63.75" x14ac:dyDescent="0.2">
      <c r="A518" s="242">
        <v>40303</v>
      </c>
      <c r="B518" s="107" t="s">
        <v>2427</v>
      </c>
      <c r="C518" s="107" t="s">
        <v>1272</v>
      </c>
      <c r="D518" s="427" t="s">
        <v>837</v>
      </c>
      <c r="E518" s="107" t="str">
        <f>VLOOKUP(B518&amp;C518,Divipola!$C$2:$F$1138,4,FALSE)</f>
        <v>68689</v>
      </c>
      <c r="F518" s="330"/>
      <c r="G518" s="277"/>
      <c r="H518" s="75"/>
      <c r="I518" s="75"/>
      <c r="J518" s="75">
        <f>2648-324</f>
        <v>2324</v>
      </c>
      <c r="K518" s="75">
        <v>500</v>
      </c>
      <c r="L518" s="75"/>
      <c r="M518" s="75">
        <v>100</v>
      </c>
      <c r="N518" s="75">
        <v>8</v>
      </c>
      <c r="O518" s="75"/>
      <c r="P518" s="75"/>
      <c r="Q518" s="75"/>
      <c r="R518" s="75"/>
      <c r="S518" s="75"/>
      <c r="T518" s="75"/>
      <c r="U518" s="75"/>
      <c r="V518" s="76"/>
      <c r="W518" s="205"/>
      <c r="X518" s="1">
        <v>40389</v>
      </c>
      <c r="Y518" s="78">
        <f t="shared" si="66"/>
        <v>0</v>
      </c>
      <c r="Z518" s="78">
        <f t="shared" si="67"/>
        <v>8500000</v>
      </c>
      <c r="AA518" s="78">
        <f t="shared" si="68"/>
        <v>0</v>
      </c>
      <c r="AB518" s="78">
        <f t="shared" si="69"/>
        <v>0</v>
      </c>
      <c r="AC518" s="78"/>
      <c r="AD518" s="78">
        <v>0</v>
      </c>
      <c r="AE518" s="80">
        <f t="shared" si="63"/>
        <v>8500000</v>
      </c>
      <c r="AF518" s="82">
        <v>0</v>
      </c>
      <c r="AG518" s="69">
        <v>40353</v>
      </c>
      <c r="AH518" s="84">
        <v>30750</v>
      </c>
      <c r="AI518" s="69" t="s">
        <v>2009</v>
      </c>
      <c r="AJ518" s="25" t="s">
        <v>2010</v>
      </c>
      <c r="AK518" s="65">
        <v>220</v>
      </c>
      <c r="AL518" s="185" t="s">
        <v>942</v>
      </c>
      <c r="AM518" s="85" t="s">
        <v>283</v>
      </c>
      <c r="AN518" s="3"/>
      <c r="AO518" s="4"/>
      <c r="AP518" s="5"/>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6"/>
      <c r="CQ518" s="7"/>
      <c r="CR518" s="6"/>
      <c r="CS518" s="7"/>
      <c r="CT518" s="6"/>
      <c r="CU518" s="7"/>
      <c r="CV518" s="8">
        <f t="shared" si="70"/>
        <v>0</v>
      </c>
      <c r="CW518" s="9"/>
      <c r="CX518" s="10"/>
      <c r="CY518" s="11">
        <v>100</v>
      </c>
      <c r="CZ518" s="12">
        <f>100*85000</f>
        <v>8500000</v>
      </c>
      <c r="DA518" s="29"/>
      <c r="DB518" s="12"/>
      <c r="DC518" s="9"/>
      <c r="DD518" s="10"/>
      <c r="DE518" s="71"/>
      <c r="EO518" s="353" t="str">
        <f t="shared" si="65"/>
        <v>SANTANDER_SAN VICENTE DE CHUCURI</v>
      </c>
      <c r="EP518" s="350"/>
      <c r="EQ518" s="350" t="s">
        <v>4311</v>
      </c>
      <c r="ER518" s="358" t="s">
        <v>6260</v>
      </c>
      <c r="ES518" s="350" t="s">
        <v>5173</v>
      </c>
      <c r="ET518" s="350" t="s">
        <v>6294</v>
      </c>
      <c r="EU518" s="350" t="str">
        <f t="shared" si="64"/>
        <v>Cundinamarca_Guataqui</v>
      </c>
    </row>
    <row r="519" spans="1:151" ht="38.25" x14ac:dyDescent="0.2">
      <c r="A519" s="242">
        <v>40303</v>
      </c>
      <c r="B519" s="107" t="s">
        <v>2427</v>
      </c>
      <c r="C519" s="107" t="s">
        <v>1273</v>
      </c>
      <c r="D519" s="427" t="s">
        <v>837</v>
      </c>
      <c r="E519" s="107" t="str">
        <f>VLOOKUP(B519&amp;C519,Divipola!$C$2:$F$1138,4,FALSE)</f>
        <v>68745</v>
      </c>
      <c r="F519" s="330"/>
      <c r="G519" s="277"/>
      <c r="H519" s="75"/>
      <c r="I519" s="75"/>
      <c r="J519" s="75">
        <v>400</v>
      </c>
      <c r="K519" s="75">
        <v>80</v>
      </c>
      <c r="L519" s="75"/>
      <c r="M519" s="75">
        <v>20</v>
      </c>
      <c r="N519" s="75"/>
      <c r="O519" s="75"/>
      <c r="P519" s="75"/>
      <c r="Q519" s="75"/>
      <c r="R519" s="75"/>
      <c r="S519" s="75"/>
      <c r="T519" s="75"/>
      <c r="U519" s="75"/>
      <c r="V519" s="76"/>
      <c r="W519" s="205"/>
      <c r="X519" s="1">
        <v>40389</v>
      </c>
      <c r="Y519" s="78">
        <f t="shared" si="66"/>
        <v>0</v>
      </c>
      <c r="Z519" s="78">
        <f t="shared" si="67"/>
        <v>6800000</v>
      </c>
      <c r="AA519" s="78">
        <f t="shared" si="68"/>
        <v>0</v>
      </c>
      <c r="AB519" s="78">
        <f t="shared" si="69"/>
        <v>0</v>
      </c>
      <c r="AC519" s="78"/>
      <c r="AD519" s="78">
        <v>0</v>
      </c>
      <c r="AE519" s="80">
        <f t="shared" si="63"/>
        <v>6800000</v>
      </c>
      <c r="AF519" s="82">
        <v>0</v>
      </c>
      <c r="AG519" s="69">
        <v>40353</v>
      </c>
      <c r="AH519" s="84">
        <v>30750</v>
      </c>
      <c r="AI519" s="69" t="s">
        <v>2009</v>
      </c>
      <c r="AJ519" s="25" t="s">
        <v>2010</v>
      </c>
      <c r="AK519" s="65">
        <v>220</v>
      </c>
      <c r="AL519" s="185" t="s">
        <v>942</v>
      </c>
      <c r="AM519" s="85" t="s">
        <v>283</v>
      </c>
      <c r="AN519" s="3"/>
      <c r="AO519" s="4"/>
      <c r="AP519" s="5"/>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6"/>
      <c r="CQ519" s="7"/>
      <c r="CR519" s="6"/>
      <c r="CS519" s="7"/>
      <c r="CT519" s="6"/>
      <c r="CU519" s="7"/>
      <c r="CV519" s="8">
        <f t="shared" si="70"/>
        <v>0</v>
      </c>
      <c r="CW519" s="9"/>
      <c r="CX519" s="10"/>
      <c r="CY519" s="11">
        <v>80</v>
      </c>
      <c r="CZ519" s="12">
        <f>80*85000</f>
        <v>6800000</v>
      </c>
      <c r="DA519" s="29"/>
      <c r="DB519" s="12"/>
      <c r="DC519" s="9"/>
      <c r="DD519" s="10"/>
      <c r="DE519" s="71"/>
      <c r="EO519" s="353" t="str">
        <f t="shared" si="65"/>
        <v>SANTANDER_SIMACOTA</v>
      </c>
      <c r="EP519" s="350"/>
      <c r="EQ519" s="350" t="s">
        <v>4311</v>
      </c>
      <c r="ER519" s="358" t="s">
        <v>6260</v>
      </c>
      <c r="ES519" s="350" t="s">
        <v>5174</v>
      </c>
      <c r="ET519" s="350" t="s">
        <v>6295</v>
      </c>
      <c r="EU519" s="350" t="str">
        <f t="shared" si="64"/>
        <v>Cundinamarca_Guatavita</v>
      </c>
    </row>
    <row r="520" spans="1:151" ht="38.25" x14ac:dyDescent="0.2">
      <c r="A520" s="242">
        <v>40304</v>
      </c>
      <c r="B520" s="107" t="s">
        <v>1719</v>
      </c>
      <c r="C520" s="107" t="s">
        <v>1558</v>
      </c>
      <c r="D520" s="427" t="s">
        <v>2352</v>
      </c>
      <c r="E520" s="107" t="str">
        <f>VLOOKUP(B520&amp;C520,Divipola!$C$2:$F$1138,4,FALSE)</f>
        <v>19780</v>
      </c>
      <c r="F520" s="330"/>
      <c r="G520" s="224">
        <v>1</v>
      </c>
      <c r="H520" s="75"/>
      <c r="I520" s="75"/>
      <c r="J520" s="75"/>
      <c r="K520" s="75"/>
      <c r="L520" s="75"/>
      <c r="M520" s="75"/>
      <c r="N520" s="75"/>
      <c r="O520" s="75"/>
      <c r="P520" s="75"/>
      <c r="Q520" s="75"/>
      <c r="R520" s="75"/>
      <c r="S520" s="75"/>
      <c r="T520" s="75"/>
      <c r="U520" s="75"/>
      <c r="V520" s="76"/>
      <c r="W520" s="205"/>
      <c r="X520" s="1"/>
      <c r="Y520" s="78">
        <f t="shared" si="66"/>
        <v>0</v>
      </c>
      <c r="Z520" s="78">
        <f t="shared" si="67"/>
        <v>0</v>
      </c>
      <c r="AA520" s="78">
        <f t="shared" si="68"/>
        <v>0</v>
      </c>
      <c r="AB520" s="78">
        <f t="shared" si="69"/>
        <v>0</v>
      </c>
      <c r="AC520" s="78"/>
      <c r="AD520" s="78">
        <v>0</v>
      </c>
      <c r="AE520" s="80">
        <f t="shared" si="63"/>
        <v>0</v>
      </c>
      <c r="AF520" s="82">
        <v>0</v>
      </c>
      <c r="AG520" s="69">
        <v>40306</v>
      </c>
      <c r="AH520" s="84"/>
      <c r="AI520" s="69" t="s">
        <v>1984</v>
      </c>
      <c r="AJ520" s="25" t="s">
        <v>1985</v>
      </c>
      <c r="AK520" s="65"/>
      <c r="AL520" s="185" t="s">
        <v>1257</v>
      </c>
      <c r="AM520" s="85" t="s">
        <v>980</v>
      </c>
      <c r="AN520" s="3"/>
      <c r="AO520" s="4"/>
      <c r="AP520" s="5"/>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6"/>
      <c r="CQ520" s="7"/>
      <c r="CR520" s="6"/>
      <c r="CS520" s="7"/>
      <c r="CT520" s="6"/>
      <c r="CU520" s="7"/>
      <c r="CV520" s="8">
        <f t="shared" si="70"/>
        <v>0</v>
      </c>
      <c r="CW520" s="9"/>
      <c r="CX520" s="10"/>
      <c r="CY520" s="11"/>
      <c r="CZ520" s="12"/>
      <c r="DA520" s="29"/>
      <c r="DB520" s="12"/>
      <c r="DC520" s="9"/>
      <c r="DD520" s="10"/>
      <c r="DE520" s="71"/>
      <c r="EO520" s="353" t="str">
        <f t="shared" si="65"/>
        <v>CAUCA_SUAREZ</v>
      </c>
      <c r="EP520" s="350"/>
      <c r="EQ520" s="350" t="s">
        <v>4311</v>
      </c>
      <c r="ER520" s="358" t="s">
        <v>6260</v>
      </c>
      <c r="ES520" s="350" t="s">
        <v>5175</v>
      </c>
      <c r="ET520" s="350" t="s">
        <v>6296</v>
      </c>
      <c r="EU520" s="350" t="str">
        <f t="shared" si="64"/>
        <v>Cundinamarca_Guayabal de Siquima</v>
      </c>
    </row>
    <row r="521" spans="1:151" ht="72" x14ac:dyDescent="0.2">
      <c r="A521" s="242">
        <v>40304</v>
      </c>
      <c r="B521" s="107" t="s">
        <v>2007</v>
      </c>
      <c r="C521" s="107" t="s">
        <v>1560</v>
      </c>
      <c r="D521" s="427" t="s">
        <v>2307</v>
      </c>
      <c r="E521" s="107" t="str">
        <f>VLOOKUP(B521&amp;C521,Divipola!$C$2:$F$1138,4,FALSE)</f>
        <v>25339</v>
      </c>
      <c r="F521" s="330"/>
      <c r="G521" s="224"/>
      <c r="H521" s="75"/>
      <c r="I521" s="75"/>
      <c r="J521" s="75">
        <f>20*5</f>
        <v>100</v>
      </c>
      <c r="K521" s="75">
        <v>20</v>
      </c>
      <c r="L521" s="75">
        <v>20</v>
      </c>
      <c r="M521" s="75"/>
      <c r="N521" s="75"/>
      <c r="O521" s="75"/>
      <c r="P521" s="75"/>
      <c r="Q521" s="75"/>
      <c r="R521" s="75"/>
      <c r="S521" s="75"/>
      <c r="T521" s="75"/>
      <c r="U521" s="75"/>
      <c r="V521" s="76"/>
      <c r="W521" s="205"/>
      <c r="X521" s="1">
        <v>40504</v>
      </c>
      <c r="Y521" s="78">
        <f t="shared" si="66"/>
        <v>0</v>
      </c>
      <c r="Z521" s="78">
        <f t="shared" si="67"/>
        <v>0</v>
      </c>
      <c r="AA521" s="78">
        <f t="shared" si="68"/>
        <v>0</v>
      </c>
      <c r="AB521" s="78">
        <f t="shared" si="69"/>
        <v>0</v>
      </c>
      <c r="AC521" s="78"/>
      <c r="AD521" s="78">
        <v>222814963</v>
      </c>
      <c r="AE521" s="80">
        <f t="shared" ref="AE521:AE584" si="71">Y521+Z521+AA521+AB521+AC521+AD521</f>
        <v>222814963</v>
      </c>
      <c r="AF521" s="82">
        <v>0</v>
      </c>
      <c r="AG521" s="69">
        <v>40306</v>
      </c>
      <c r="AH521" s="84"/>
      <c r="AI521" s="69" t="s">
        <v>2009</v>
      </c>
      <c r="AJ521" s="25" t="s">
        <v>2010</v>
      </c>
      <c r="AK521" s="65">
        <v>40725</v>
      </c>
      <c r="AL521" s="185" t="s">
        <v>862</v>
      </c>
      <c r="AM521" s="85" t="s">
        <v>328</v>
      </c>
      <c r="AN521" s="3"/>
      <c r="AO521" s="4"/>
      <c r="AP521" s="5"/>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6"/>
      <c r="CQ521" s="7"/>
      <c r="CR521" s="6"/>
      <c r="CS521" s="7"/>
      <c r="CT521" s="6"/>
      <c r="CU521" s="7"/>
      <c r="CV521" s="8">
        <f t="shared" si="70"/>
        <v>0</v>
      </c>
      <c r="CW521" s="9"/>
      <c r="CX521" s="10"/>
      <c r="CY521" s="11"/>
      <c r="CZ521" s="12"/>
      <c r="DA521" s="29"/>
      <c r="DB521" s="12"/>
      <c r="DC521" s="9"/>
      <c r="DD521" s="10"/>
      <c r="DE521" s="71">
        <v>8</v>
      </c>
      <c r="EO521" s="353" t="str">
        <f t="shared" si="65"/>
        <v>CUNDINAMARCA_GUTIERREZ</v>
      </c>
      <c r="EP521" s="350"/>
      <c r="EQ521" s="350" t="s">
        <v>4311</v>
      </c>
      <c r="ER521" s="358" t="s">
        <v>6260</v>
      </c>
      <c r="ES521" s="350" t="s">
        <v>5176</v>
      </c>
      <c r="ET521" s="350" t="s">
        <v>6297</v>
      </c>
      <c r="EU521" s="350" t="str">
        <f t="shared" si="64"/>
        <v>Cundinamarca_Guayabetal</v>
      </c>
    </row>
    <row r="522" spans="1:151" ht="38.25" x14ac:dyDescent="0.2">
      <c r="A522" s="242">
        <v>40304</v>
      </c>
      <c r="B522" s="107" t="s">
        <v>2007</v>
      </c>
      <c r="C522" s="107" t="s">
        <v>873</v>
      </c>
      <c r="D522" s="427" t="s">
        <v>837</v>
      </c>
      <c r="E522" s="107" t="str">
        <f>VLOOKUP(B522&amp;C522,Divipola!$C$2:$F$1138,4,FALSE)</f>
        <v>25745</v>
      </c>
      <c r="F522" s="330"/>
      <c r="G522" s="224"/>
      <c r="H522" s="75"/>
      <c r="I522" s="75"/>
      <c r="J522" s="75">
        <v>100</v>
      </c>
      <c r="K522" s="75">
        <v>20</v>
      </c>
      <c r="L522" s="75"/>
      <c r="M522" s="75">
        <v>20</v>
      </c>
      <c r="N522" s="75"/>
      <c r="O522" s="75"/>
      <c r="P522" s="75"/>
      <c r="Q522" s="75"/>
      <c r="R522" s="75"/>
      <c r="S522" s="75"/>
      <c r="T522" s="75"/>
      <c r="U522" s="75"/>
      <c r="V522" s="76"/>
      <c r="W522" s="205"/>
      <c r="X522" s="1"/>
      <c r="Y522" s="78">
        <f t="shared" si="66"/>
        <v>0</v>
      </c>
      <c r="Z522" s="78">
        <f t="shared" si="67"/>
        <v>0</v>
      </c>
      <c r="AA522" s="78">
        <f t="shared" si="68"/>
        <v>0</v>
      </c>
      <c r="AB522" s="78">
        <f t="shared" si="69"/>
        <v>0</v>
      </c>
      <c r="AC522" s="78"/>
      <c r="AD522" s="78">
        <v>0</v>
      </c>
      <c r="AE522" s="80">
        <f t="shared" si="71"/>
        <v>0</v>
      </c>
      <c r="AF522" s="82">
        <v>0</v>
      </c>
      <c r="AG522" s="69">
        <v>40304</v>
      </c>
      <c r="AH522" s="84"/>
      <c r="AI522" s="69" t="s">
        <v>1984</v>
      </c>
      <c r="AJ522" s="25" t="s">
        <v>1985</v>
      </c>
      <c r="AK522" s="65"/>
      <c r="AL522" s="185" t="s">
        <v>1257</v>
      </c>
      <c r="AM522" s="85" t="s">
        <v>1245</v>
      </c>
      <c r="AN522" s="3"/>
      <c r="AO522" s="4"/>
      <c r="AP522" s="5"/>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6"/>
      <c r="CQ522" s="7"/>
      <c r="CR522" s="6"/>
      <c r="CS522" s="7"/>
      <c r="CT522" s="6"/>
      <c r="CU522" s="7"/>
      <c r="CV522" s="8">
        <f t="shared" si="70"/>
        <v>0</v>
      </c>
      <c r="CW522" s="9"/>
      <c r="CX522" s="10"/>
      <c r="CY522" s="11"/>
      <c r="CZ522" s="12"/>
      <c r="DA522" s="29"/>
      <c r="DB522" s="12"/>
      <c r="DC522" s="9"/>
      <c r="DD522" s="10"/>
      <c r="DE522" s="71"/>
      <c r="EO522" s="353" t="str">
        <f t="shared" si="65"/>
        <v>CUNDINAMARCA_SIMIJACA</v>
      </c>
      <c r="EP522" s="350"/>
      <c r="EQ522" s="350" t="s">
        <v>4311</v>
      </c>
      <c r="ER522" s="358" t="s">
        <v>6260</v>
      </c>
      <c r="ES522" s="350" t="s">
        <v>5177</v>
      </c>
      <c r="ET522" s="350" t="s">
        <v>6298</v>
      </c>
      <c r="EU522" s="350" t="str">
        <f t="shared" si="64"/>
        <v>Cundinamarca_Gutierrez</v>
      </c>
    </row>
    <row r="523" spans="1:151" ht="38.25" x14ac:dyDescent="0.2">
      <c r="A523" s="242">
        <v>40304</v>
      </c>
      <c r="B523" s="107" t="s">
        <v>2007</v>
      </c>
      <c r="C523" s="107" t="s">
        <v>1331</v>
      </c>
      <c r="D523" s="427" t="s">
        <v>2307</v>
      </c>
      <c r="E523" s="107" t="str">
        <f>VLOOKUP(B523&amp;C523,Divipola!$C$2:$F$1138,4,FALSE)</f>
        <v>25899</v>
      </c>
      <c r="F523" s="330"/>
      <c r="G523" s="224"/>
      <c r="H523" s="75"/>
      <c r="I523" s="75"/>
      <c r="J523" s="75"/>
      <c r="K523" s="75"/>
      <c r="L523" s="75"/>
      <c r="M523" s="75"/>
      <c r="N523" s="75">
        <v>1</v>
      </c>
      <c r="O523" s="75"/>
      <c r="P523" s="75"/>
      <c r="Q523" s="75"/>
      <c r="R523" s="75"/>
      <c r="S523" s="75"/>
      <c r="T523" s="75"/>
      <c r="U523" s="75"/>
      <c r="V523" s="76"/>
      <c r="W523" s="205"/>
      <c r="X523" s="1"/>
      <c r="Y523" s="78">
        <f t="shared" si="66"/>
        <v>0</v>
      </c>
      <c r="Z523" s="78">
        <f t="shared" si="67"/>
        <v>0</v>
      </c>
      <c r="AA523" s="78">
        <f t="shared" si="68"/>
        <v>0</v>
      </c>
      <c r="AB523" s="78">
        <f t="shared" si="69"/>
        <v>0</v>
      </c>
      <c r="AC523" s="78"/>
      <c r="AD523" s="78">
        <v>0</v>
      </c>
      <c r="AE523" s="80">
        <f t="shared" si="71"/>
        <v>0</v>
      </c>
      <c r="AF523" s="82">
        <v>0</v>
      </c>
      <c r="AG523" s="69">
        <v>40306</v>
      </c>
      <c r="AH523" s="84"/>
      <c r="AI523" s="69" t="s">
        <v>1984</v>
      </c>
      <c r="AJ523" s="25" t="s">
        <v>1985</v>
      </c>
      <c r="AK523" s="65"/>
      <c r="AL523" s="185" t="s">
        <v>1257</v>
      </c>
      <c r="AM523" s="85" t="s">
        <v>1561</v>
      </c>
      <c r="AN523" s="3"/>
      <c r="AO523" s="4"/>
      <c r="AP523" s="5"/>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6"/>
      <c r="CQ523" s="7"/>
      <c r="CR523" s="6"/>
      <c r="CS523" s="7"/>
      <c r="CT523" s="6"/>
      <c r="CU523" s="7"/>
      <c r="CV523" s="8">
        <f t="shared" si="70"/>
        <v>0</v>
      </c>
      <c r="CW523" s="9"/>
      <c r="CX523" s="10"/>
      <c r="CY523" s="11"/>
      <c r="CZ523" s="12"/>
      <c r="DA523" s="29"/>
      <c r="DB523" s="12"/>
      <c r="DC523" s="9"/>
      <c r="DD523" s="10"/>
      <c r="DE523" s="71"/>
      <c r="EO523" s="353" t="str">
        <f t="shared" si="65"/>
        <v>CUNDINAMARCA_ZIPAQUIRA</v>
      </c>
      <c r="EP523" s="350"/>
      <c r="EQ523" s="350" t="s">
        <v>4311</v>
      </c>
      <c r="ER523" s="358" t="s">
        <v>6260</v>
      </c>
      <c r="ES523" s="350" t="s">
        <v>5178</v>
      </c>
      <c r="ET523" s="350" t="s">
        <v>6299</v>
      </c>
      <c r="EU523" s="350" t="str">
        <f t="shared" si="64"/>
        <v>Cundinamarca_Jerusalen</v>
      </c>
    </row>
    <row r="524" spans="1:151" ht="33" x14ac:dyDescent="0.2">
      <c r="A524" s="242">
        <v>40304</v>
      </c>
      <c r="B524" s="107" t="s">
        <v>1333</v>
      </c>
      <c r="C524" s="107" t="s">
        <v>1315</v>
      </c>
      <c r="D524" s="427" t="s">
        <v>837</v>
      </c>
      <c r="E524" s="107" t="str">
        <f>VLOOKUP(B524&amp;C524,Divipola!$C$2:$F$1138,4,FALSE)</f>
        <v>41016</v>
      </c>
      <c r="F524" s="330"/>
      <c r="G524" s="224"/>
      <c r="H524" s="75"/>
      <c r="I524" s="75"/>
      <c r="J524" s="75">
        <v>275</v>
      </c>
      <c r="K524" s="75">
        <v>55</v>
      </c>
      <c r="L524" s="75"/>
      <c r="M524" s="75"/>
      <c r="N524" s="75"/>
      <c r="O524" s="75"/>
      <c r="P524" s="75"/>
      <c r="Q524" s="75"/>
      <c r="R524" s="75"/>
      <c r="S524" s="75"/>
      <c r="T524" s="75"/>
      <c r="U524" s="75"/>
      <c r="V524" s="76"/>
      <c r="W524" s="205" t="s">
        <v>1557</v>
      </c>
      <c r="X524" s="1"/>
      <c r="Y524" s="78">
        <f t="shared" si="66"/>
        <v>0</v>
      </c>
      <c r="Z524" s="78">
        <f t="shared" si="67"/>
        <v>0</v>
      </c>
      <c r="AA524" s="78">
        <f t="shared" si="68"/>
        <v>0</v>
      </c>
      <c r="AB524" s="78">
        <f t="shared" si="69"/>
        <v>0</v>
      </c>
      <c r="AC524" s="78"/>
      <c r="AD524" s="78">
        <v>0</v>
      </c>
      <c r="AE524" s="80">
        <f t="shared" si="71"/>
        <v>0</v>
      </c>
      <c r="AF524" s="82">
        <v>0</v>
      </c>
      <c r="AG524" s="69">
        <v>40306</v>
      </c>
      <c r="AH524" s="84"/>
      <c r="AI524" s="69" t="s">
        <v>1984</v>
      </c>
      <c r="AJ524" s="25" t="s">
        <v>1985</v>
      </c>
      <c r="AK524" s="65"/>
      <c r="AL524" s="185" t="s">
        <v>1257</v>
      </c>
      <c r="AM524" s="85" t="s">
        <v>1556</v>
      </c>
      <c r="AN524" s="3"/>
      <c r="AO524" s="4"/>
      <c r="AP524" s="5"/>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6"/>
      <c r="CQ524" s="7"/>
      <c r="CR524" s="6"/>
      <c r="CS524" s="7"/>
      <c r="CT524" s="6"/>
      <c r="CU524" s="7"/>
      <c r="CV524" s="8">
        <f t="shared" si="70"/>
        <v>0</v>
      </c>
      <c r="CW524" s="9"/>
      <c r="CX524" s="10"/>
      <c r="CY524" s="11"/>
      <c r="CZ524" s="12"/>
      <c r="DA524" s="29"/>
      <c r="DB524" s="12"/>
      <c r="DC524" s="9"/>
      <c r="DD524" s="10"/>
      <c r="DE524" s="71"/>
      <c r="EO524" s="353" t="str">
        <f t="shared" si="65"/>
        <v>HUILA_AIPE</v>
      </c>
      <c r="EP524" s="350"/>
      <c r="EQ524" s="350" t="s">
        <v>4311</v>
      </c>
      <c r="ER524" s="358" t="s">
        <v>6260</v>
      </c>
      <c r="ES524" s="350" t="s">
        <v>5179</v>
      </c>
      <c r="ET524" s="350" t="s">
        <v>6300</v>
      </c>
      <c r="EU524" s="350" t="str">
        <f t="shared" si="64"/>
        <v>Cundinamarca_Junin</v>
      </c>
    </row>
    <row r="525" spans="1:151" ht="38.25" x14ac:dyDescent="0.2">
      <c r="A525" s="242">
        <v>40305</v>
      </c>
      <c r="B525" s="107" t="s">
        <v>2791</v>
      </c>
      <c r="C525" s="107" t="s">
        <v>1558</v>
      </c>
      <c r="D525" s="427" t="s">
        <v>837</v>
      </c>
      <c r="E525" s="107" t="str">
        <f>VLOOKUP(B525&amp;C525,Divipola!$C$2:$F$1138,4,FALSE)</f>
        <v>73770</v>
      </c>
      <c r="F525" s="330"/>
      <c r="G525" s="224"/>
      <c r="H525" s="75"/>
      <c r="I525" s="75"/>
      <c r="J525" s="75">
        <f>80*5</f>
        <v>400</v>
      </c>
      <c r="K525" s="75">
        <v>80</v>
      </c>
      <c r="L525" s="75"/>
      <c r="M525" s="75"/>
      <c r="N525" s="75"/>
      <c r="O525" s="75"/>
      <c r="P525" s="75"/>
      <c r="Q525" s="75">
        <v>2</v>
      </c>
      <c r="R525" s="75"/>
      <c r="S525" s="75"/>
      <c r="T525" s="75"/>
      <c r="U525" s="75"/>
      <c r="V525" s="76"/>
      <c r="W525" s="205"/>
      <c r="X525" s="1"/>
      <c r="Y525" s="78">
        <f t="shared" si="66"/>
        <v>0</v>
      </c>
      <c r="Z525" s="78">
        <f t="shared" si="67"/>
        <v>0</v>
      </c>
      <c r="AA525" s="78">
        <f t="shared" si="68"/>
        <v>0</v>
      </c>
      <c r="AB525" s="78">
        <f t="shared" si="69"/>
        <v>0</v>
      </c>
      <c r="AC525" s="78"/>
      <c r="AD525" s="78">
        <v>0</v>
      </c>
      <c r="AE525" s="80">
        <f t="shared" si="71"/>
        <v>0</v>
      </c>
      <c r="AF525" s="82">
        <v>0</v>
      </c>
      <c r="AG525" s="69">
        <v>40330</v>
      </c>
      <c r="AH525" s="84">
        <v>97944</v>
      </c>
      <c r="AI525" s="69" t="s">
        <v>1984</v>
      </c>
      <c r="AJ525" s="25" t="s">
        <v>1985</v>
      </c>
      <c r="AK525" s="65"/>
      <c r="AL525" s="185" t="s">
        <v>1257</v>
      </c>
      <c r="AM525" s="85" t="s">
        <v>3131</v>
      </c>
      <c r="AN525" s="3"/>
      <c r="AO525" s="4"/>
      <c r="AP525" s="5"/>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6"/>
      <c r="CQ525" s="7"/>
      <c r="CR525" s="6"/>
      <c r="CS525" s="7"/>
      <c r="CT525" s="6"/>
      <c r="CU525" s="7"/>
      <c r="CV525" s="8">
        <f t="shared" si="70"/>
        <v>0</v>
      </c>
      <c r="CW525" s="9"/>
      <c r="CX525" s="10"/>
      <c r="CY525" s="11"/>
      <c r="CZ525" s="12"/>
      <c r="DA525" s="29"/>
      <c r="DB525" s="12"/>
      <c r="DC525" s="9"/>
      <c r="DD525" s="10"/>
      <c r="DE525" s="71"/>
      <c r="EO525" s="353" t="str">
        <f t="shared" si="65"/>
        <v>TOLIMA_SUAREZ</v>
      </c>
      <c r="EP525" s="350"/>
      <c r="EQ525" s="350" t="s">
        <v>4311</v>
      </c>
      <c r="ER525" s="358" t="s">
        <v>6260</v>
      </c>
      <c r="ES525" s="350" t="s">
        <v>5180</v>
      </c>
      <c r="ET525" s="350" t="s">
        <v>6301</v>
      </c>
      <c r="EU525" s="350" t="str">
        <f t="shared" si="64"/>
        <v>Cundinamarca_La Calera</v>
      </c>
    </row>
    <row r="526" spans="1:151" ht="25.5" x14ac:dyDescent="0.2">
      <c r="A526" s="242">
        <v>40307</v>
      </c>
      <c r="B526" s="107" t="s">
        <v>2401</v>
      </c>
      <c r="C526" s="107" t="s">
        <v>1971</v>
      </c>
      <c r="D526" s="427" t="s">
        <v>2352</v>
      </c>
      <c r="E526" s="107" t="str">
        <f>VLOOKUP(B526&amp;C526,Divipola!$C$2:$F$1138,4,FALSE)</f>
        <v>05091</v>
      </c>
      <c r="F526" s="330"/>
      <c r="G526" s="224">
        <v>1</v>
      </c>
      <c r="H526" s="75">
        <v>8</v>
      </c>
      <c r="I526" s="75"/>
      <c r="J526" s="75"/>
      <c r="K526" s="75"/>
      <c r="L526" s="75"/>
      <c r="M526" s="75"/>
      <c r="N526" s="75"/>
      <c r="O526" s="75"/>
      <c r="P526" s="75">
        <v>1</v>
      </c>
      <c r="Q526" s="75"/>
      <c r="R526" s="75"/>
      <c r="S526" s="75"/>
      <c r="T526" s="75"/>
      <c r="U526" s="75"/>
      <c r="V526" s="76"/>
      <c r="W526" s="205"/>
      <c r="X526" s="1"/>
      <c r="Y526" s="78">
        <f t="shared" si="66"/>
        <v>0</v>
      </c>
      <c r="Z526" s="78">
        <f t="shared" si="67"/>
        <v>0</v>
      </c>
      <c r="AA526" s="78">
        <f t="shared" si="68"/>
        <v>0</v>
      </c>
      <c r="AB526" s="78">
        <f t="shared" si="69"/>
        <v>0</v>
      </c>
      <c r="AC526" s="78"/>
      <c r="AD526" s="78">
        <v>0</v>
      </c>
      <c r="AE526" s="80">
        <f t="shared" si="71"/>
        <v>0</v>
      </c>
      <c r="AF526" s="82">
        <v>0</v>
      </c>
      <c r="AG526" s="69">
        <v>40316</v>
      </c>
      <c r="AH526" s="84"/>
      <c r="AI526" s="69" t="s">
        <v>1984</v>
      </c>
      <c r="AJ526" s="25" t="s">
        <v>1985</v>
      </c>
      <c r="AK526" s="65"/>
      <c r="AL526" s="185" t="s">
        <v>1257</v>
      </c>
      <c r="AM526" s="85" t="s">
        <v>499</v>
      </c>
      <c r="AN526" s="3"/>
      <c r="AO526" s="4"/>
      <c r="AP526" s="5"/>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6"/>
      <c r="CQ526" s="7"/>
      <c r="CR526" s="6"/>
      <c r="CS526" s="7"/>
      <c r="CT526" s="6"/>
      <c r="CU526" s="7"/>
      <c r="CV526" s="8">
        <f t="shared" si="70"/>
        <v>0</v>
      </c>
      <c r="CW526" s="9"/>
      <c r="CX526" s="10"/>
      <c r="CY526" s="11"/>
      <c r="CZ526" s="12"/>
      <c r="DA526" s="29"/>
      <c r="DB526" s="12"/>
      <c r="DC526" s="9"/>
      <c r="DD526" s="10"/>
      <c r="DE526" s="71"/>
      <c r="EO526" s="353" t="str">
        <f t="shared" si="65"/>
        <v>ANTIOQUIA_BETANIA</v>
      </c>
      <c r="EP526" s="350"/>
      <c r="EQ526" s="350" t="s">
        <v>4311</v>
      </c>
      <c r="ER526" s="358" t="s">
        <v>6260</v>
      </c>
      <c r="ES526" s="350" t="s">
        <v>5181</v>
      </c>
      <c r="ET526" s="350" t="s">
        <v>6302</v>
      </c>
      <c r="EU526" s="350" t="str">
        <f t="shared" si="64"/>
        <v>Cundinamarca_La Mesa</v>
      </c>
    </row>
    <row r="527" spans="1:151" ht="38.25" x14ac:dyDescent="0.2">
      <c r="A527" s="242">
        <v>40307</v>
      </c>
      <c r="B527" s="107" t="s">
        <v>2014</v>
      </c>
      <c r="C527" s="107" t="s">
        <v>2015</v>
      </c>
      <c r="D527" s="427" t="s">
        <v>1721</v>
      </c>
      <c r="E527" s="107" t="str">
        <f>VLOOKUP(B527&amp;C527,Divipola!$C$2:$F$1138,4,FALSE)</f>
        <v>63001</v>
      </c>
      <c r="F527" s="330"/>
      <c r="G527" s="224"/>
      <c r="H527" s="75"/>
      <c r="I527" s="75"/>
      <c r="J527" s="75"/>
      <c r="K527" s="75"/>
      <c r="L527" s="75"/>
      <c r="M527" s="75"/>
      <c r="N527" s="75"/>
      <c r="O527" s="75"/>
      <c r="P527" s="75"/>
      <c r="Q527" s="75"/>
      <c r="R527" s="75"/>
      <c r="S527" s="75"/>
      <c r="T527" s="75"/>
      <c r="U527" s="75"/>
      <c r="V527" s="76"/>
      <c r="W527" s="205"/>
      <c r="X527" s="1"/>
      <c r="Y527" s="78">
        <f t="shared" si="66"/>
        <v>0</v>
      </c>
      <c r="Z527" s="78">
        <f t="shared" si="67"/>
        <v>0</v>
      </c>
      <c r="AA527" s="78">
        <f t="shared" si="68"/>
        <v>0</v>
      </c>
      <c r="AB527" s="78">
        <f t="shared" si="69"/>
        <v>0</v>
      </c>
      <c r="AC527" s="78"/>
      <c r="AD527" s="78">
        <v>0</v>
      </c>
      <c r="AE527" s="80">
        <f t="shared" si="71"/>
        <v>0</v>
      </c>
      <c r="AF527" s="82">
        <v>0</v>
      </c>
      <c r="AG527" s="69">
        <v>40309</v>
      </c>
      <c r="AH527" s="84"/>
      <c r="AI527" s="69" t="s">
        <v>1984</v>
      </c>
      <c r="AJ527" s="25" t="s">
        <v>1985</v>
      </c>
      <c r="AK527" s="65"/>
      <c r="AL527" s="185" t="s">
        <v>1257</v>
      </c>
      <c r="AM527" s="85" t="s">
        <v>982</v>
      </c>
      <c r="AN527" s="3"/>
      <c r="AO527" s="4"/>
      <c r="AP527" s="5"/>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6"/>
      <c r="CQ527" s="7"/>
      <c r="CR527" s="6"/>
      <c r="CS527" s="7"/>
      <c r="CT527" s="6"/>
      <c r="CU527" s="7"/>
      <c r="CV527" s="8">
        <f t="shared" si="70"/>
        <v>0</v>
      </c>
      <c r="CW527" s="9"/>
      <c r="CX527" s="10"/>
      <c r="CY527" s="11"/>
      <c r="CZ527" s="12"/>
      <c r="DA527" s="29"/>
      <c r="DB527" s="12"/>
      <c r="DC527" s="9"/>
      <c r="DD527" s="10"/>
      <c r="DE527" s="71"/>
      <c r="EO527" s="353" t="str">
        <f t="shared" si="65"/>
        <v>QUINDIO_ARMENIA</v>
      </c>
      <c r="EP527" s="350"/>
      <c r="EQ527" s="350" t="s">
        <v>4311</v>
      </c>
      <c r="ER527" s="358" t="s">
        <v>6260</v>
      </c>
      <c r="ES527" s="350" t="s">
        <v>5182</v>
      </c>
      <c r="ET527" s="350" t="s">
        <v>6303</v>
      </c>
      <c r="EU527" s="350" t="str">
        <f t="shared" si="64"/>
        <v>Cundinamarca_La Palma</v>
      </c>
    </row>
    <row r="528" spans="1:151" ht="36" x14ac:dyDescent="0.2">
      <c r="A528" s="242">
        <v>40307</v>
      </c>
      <c r="B528" s="107" t="s">
        <v>2014</v>
      </c>
      <c r="C528" s="107" t="s">
        <v>1992</v>
      </c>
      <c r="D528" s="427" t="s">
        <v>2209</v>
      </c>
      <c r="E528" s="107" t="str">
        <f>VLOOKUP(B528&amp;C528,Divipola!$C$2:$F$1138,4,FALSE)</f>
        <v>63401</v>
      </c>
      <c r="F528" s="330"/>
      <c r="G528" s="224">
        <v>1</v>
      </c>
      <c r="H528" s="75"/>
      <c r="I528" s="75"/>
      <c r="J528" s="75"/>
      <c r="K528" s="75"/>
      <c r="L528" s="75"/>
      <c r="M528" s="75"/>
      <c r="N528" s="75"/>
      <c r="O528" s="75"/>
      <c r="P528" s="75"/>
      <c r="Q528" s="75"/>
      <c r="R528" s="75"/>
      <c r="S528" s="75"/>
      <c r="T528" s="75"/>
      <c r="U528" s="75"/>
      <c r="V528" s="76"/>
      <c r="W528" s="205"/>
      <c r="X528" s="1"/>
      <c r="Y528" s="78">
        <f t="shared" si="66"/>
        <v>0</v>
      </c>
      <c r="Z528" s="78">
        <f t="shared" si="67"/>
        <v>0</v>
      </c>
      <c r="AA528" s="78">
        <f t="shared" si="68"/>
        <v>0</v>
      </c>
      <c r="AB528" s="78">
        <f t="shared" si="69"/>
        <v>0</v>
      </c>
      <c r="AC528" s="78"/>
      <c r="AD528" s="78">
        <v>0</v>
      </c>
      <c r="AE528" s="80">
        <f t="shared" si="71"/>
        <v>0</v>
      </c>
      <c r="AF528" s="82">
        <v>0</v>
      </c>
      <c r="AG528" s="69">
        <v>40309</v>
      </c>
      <c r="AH528" s="84"/>
      <c r="AI528" s="69" t="s">
        <v>1984</v>
      </c>
      <c r="AJ528" s="25" t="s">
        <v>1985</v>
      </c>
      <c r="AK528" s="65"/>
      <c r="AL528" s="185" t="s">
        <v>1257</v>
      </c>
      <c r="AM528" s="85" t="s">
        <v>1352</v>
      </c>
      <c r="AN528" s="3"/>
      <c r="AO528" s="4"/>
      <c r="AP528" s="5"/>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6"/>
      <c r="CQ528" s="7"/>
      <c r="CR528" s="6"/>
      <c r="CS528" s="7"/>
      <c r="CT528" s="6"/>
      <c r="CU528" s="7"/>
      <c r="CV528" s="8">
        <f t="shared" si="70"/>
        <v>0</v>
      </c>
      <c r="CW528" s="9"/>
      <c r="CX528" s="10"/>
      <c r="CY528" s="11"/>
      <c r="CZ528" s="12"/>
      <c r="DA528" s="29"/>
      <c r="DB528" s="12"/>
      <c r="DC528" s="9"/>
      <c r="DD528" s="10"/>
      <c r="DE528" s="71"/>
      <c r="EO528" s="353" t="str">
        <f t="shared" si="65"/>
        <v>QUINDIO_LA TEBAIDA</v>
      </c>
      <c r="EP528" s="350"/>
      <c r="EQ528" s="350" t="s">
        <v>4311</v>
      </c>
      <c r="ER528" s="358" t="s">
        <v>6260</v>
      </c>
      <c r="ES528" s="350" t="s">
        <v>5183</v>
      </c>
      <c r="ET528" s="350" t="s">
        <v>3191</v>
      </c>
      <c r="EU528" s="350" t="str">
        <f t="shared" si="64"/>
        <v>Cundinamarca_La Peña</v>
      </c>
    </row>
    <row r="529" spans="1:151" ht="48" x14ac:dyDescent="0.2">
      <c r="A529" s="242">
        <v>40308</v>
      </c>
      <c r="B529" s="107" t="s">
        <v>1951</v>
      </c>
      <c r="C529" s="107" t="s">
        <v>1989</v>
      </c>
      <c r="D529" s="427" t="s">
        <v>1721</v>
      </c>
      <c r="E529" s="107" t="str">
        <f>VLOOKUP(B529&amp;C529,Divipola!$C$2:$F$1138,4,FALSE)</f>
        <v>08001</v>
      </c>
      <c r="F529" s="330"/>
      <c r="G529" s="224"/>
      <c r="H529" s="75"/>
      <c r="I529" s="75"/>
      <c r="J529" s="75"/>
      <c r="K529" s="75"/>
      <c r="L529" s="75"/>
      <c r="M529" s="75"/>
      <c r="N529" s="75"/>
      <c r="O529" s="75"/>
      <c r="P529" s="75"/>
      <c r="Q529" s="75"/>
      <c r="R529" s="75"/>
      <c r="S529" s="75"/>
      <c r="T529" s="75"/>
      <c r="U529" s="75"/>
      <c r="V529" s="76"/>
      <c r="W529" s="205"/>
      <c r="X529" s="1"/>
      <c r="Y529" s="78">
        <f t="shared" si="66"/>
        <v>0</v>
      </c>
      <c r="Z529" s="78">
        <f t="shared" si="67"/>
        <v>0</v>
      </c>
      <c r="AA529" s="78">
        <f t="shared" si="68"/>
        <v>0</v>
      </c>
      <c r="AB529" s="78">
        <f t="shared" si="69"/>
        <v>0</v>
      </c>
      <c r="AC529" s="78"/>
      <c r="AD529" s="78">
        <v>0</v>
      </c>
      <c r="AE529" s="80">
        <f t="shared" si="71"/>
        <v>0</v>
      </c>
      <c r="AF529" s="82">
        <v>0</v>
      </c>
      <c r="AG529" s="69">
        <v>40309</v>
      </c>
      <c r="AH529" s="84"/>
      <c r="AI529" s="69" t="s">
        <v>1984</v>
      </c>
      <c r="AJ529" s="25" t="s">
        <v>1985</v>
      </c>
      <c r="AK529" s="65"/>
      <c r="AL529" s="185" t="s">
        <v>1257</v>
      </c>
      <c r="AM529" s="85" t="s">
        <v>981</v>
      </c>
      <c r="AN529" s="3"/>
      <c r="AO529" s="4"/>
      <c r="AP529" s="5"/>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6"/>
      <c r="CQ529" s="7"/>
      <c r="CR529" s="6"/>
      <c r="CS529" s="7"/>
      <c r="CT529" s="6"/>
      <c r="CU529" s="7"/>
      <c r="CV529" s="8">
        <f t="shared" si="70"/>
        <v>0</v>
      </c>
      <c r="CW529" s="9"/>
      <c r="CX529" s="10"/>
      <c r="CY529" s="11"/>
      <c r="CZ529" s="12"/>
      <c r="DA529" s="29"/>
      <c r="DB529" s="12"/>
      <c r="DC529" s="9"/>
      <c r="DD529" s="10"/>
      <c r="DE529" s="71"/>
      <c r="EO529" s="353" t="str">
        <f t="shared" si="65"/>
        <v>ATLANTICO_BARRANQUILLA</v>
      </c>
      <c r="EP529" s="350"/>
      <c r="EQ529" s="350" t="s">
        <v>4311</v>
      </c>
      <c r="ER529" s="358" t="s">
        <v>6260</v>
      </c>
      <c r="ES529" s="350" t="s">
        <v>5184</v>
      </c>
      <c r="ET529" s="350" t="s">
        <v>6193</v>
      </c>
      <c r="EU529" s="350" t="str">
        <f t="shared" si="64"/>
        <v>Cundinamarca_La Vega</v>
      </c>
    </row>
    <row r="530" spans="1:151" ht="51" x14ac:dyDescent="0.2">
      <c r="A530" s="242">
        <v>40308</v>
      </c>
      <c r="B530" s="107" t="s">
        <v>1336</v>
      </c>
      <c r="C530" s="107" t="s">
        <v>1350</v>
      </c>
      <c r="D530" s="427" t="s">
        <v>2331</v>
      </c>
      <c r="E530" s="107" t="str">
        <f>VLOOKUP(B530&amp;C530,Divipola!$C$2:$F$1138,4,FALSE)</f>
        <v>54223</v>
      </c>
      <c r="F530" s="330"/>
      <c r="G530" s="224">
        <v>1</v>
      </c>
      <c r="H530" s="75"/>
      <c r="I530" s="75"/>
      <c r="J530" s="75"/>
      <c r="K530" s="75"/>
      <c r="L530" s="75"/>
      <c r="M530" s="75"/>
      <c r="N530" s="75"/>
      <c r="O530" s="75"/>
      <c r="P530" s="75"/>
      <c r="Q530" s="75"/>
      <c r="R530" s="75"/>
      <c r="S530" s="75"/>
      <c r="T530" s="75"/>
      <c r="U530" s="75"/>
      <c r="V530" s="76"/>
      <c r="W530" s="205"/>
      <c r="X530" s="1"/>
      <c r="Y530" s="78">
        <f t="shared" si="66"/>
        <v>0</v>
      </c>
      <c r="Z530" s="78">
        <f t="shared" si="67"/>
        <v>0</v>
      </c>
      <c r="AA530" s="78">
        <f t="shared" si="68"/>
        <v>0</v>
      </c>
      <c r="AB530" s="78">
        <f t="shared" si="69"/>
        <v>0</v>
      </c>
      <c r="AC530" s="78"/>
      <c r="AD530" s="78">
        <v>0</v>
      </c>
      <c r="AE530" s="80">
        <f t="shared" si="71"/>
        <v>0</v>
      </c>
      <c r="AF530" s="82">
        <v>0</v>
      </c>
      <c r="AG530" s="69">
        <v>40309</v>
      </c>
      <c r="AH530" s="84"/>
      <c r="AI530" s="69" t="s">
        <v>1984</v>
      </c>
      <c r="AJ530" s="25" t="s">
        <v>1985</v>
      </c>
      <c r="AK530" s="65"/>
      <c r="AL530" s="185" t="s">
        <v>1257</v>
      </c>
      <c r="AM530" s="85" t="s">
        <v>1351</v>
      </c>
      <c r="AN530" s="3"/>
      <c r="AO530" s="4"/>
      <c r="AP530" s="5"/>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6"/>
      <c r="CQ530" s="7"/>
      <c r="CR530" s="6"/>
      <c r="CS530" s="7"/>
      <c r="CT530" s="6"/>
      <c r="CU530" s="7"/>
      <c r="CV530" s="8">
        <f t="shared" si="70"/>
        <v>0</v>
      </c>
      <c r="CW530" s="9"/>
      <c r="CX530" s="10"/>
      <c r="CY530" s="11"/>
      <c r="CZ530" s="12"/>
      <c r="DA530" s="29"/>
      <c r="DB530" s="12"/>
      <c r="DC530" s="9"/>
      <c r="DD530" s="10"/>
      <c r="DE530" s="71"/>
      <c r="EO530" s="353" t="str">
        <f t="shared" si="65"/>
        <v>NORTE DE SANTANDER_CUCUTILLA</v>
      </c>
      <c r="EP530" s="350"/>
      <c r="EQ530" s="350" t="s">
        <v>4311</v>
      </c>
      <c r="ER530" s="358" t="s">
        <v>6260</v>
      </c>
      <c r="ES530" s="350" t="s">
        <v>5185</v>
      </c>
      <c r="ET530" s="350" t="s">
        <v>3192</v>
      </c>
      <c r="EU530" s="350" t="str">
        <f t="shared" si="64"/>
        <v>Cundinamarca_Lenguazaque</v>
      </c>
    </row>
    <row r="531" spans="1:151" ht="25.5" x14ac:dyDescent="0.2">
      <c r="A531" s="242">
        <v>40308</v>
      </c>
      <c r="B531" s="222" t="s">
        <v>2012</v>
      </c>
      <c r="C531" s="222" t="s">
        <v>2761</v>
      </c>
      <c r="D531" s="430" t="s">
        <v>2307</v>
      </c>
      <c r="E531" s="107" t="str">
        <f>VLOOKUP(B531&amp;C531,Divipola!$C$2:$F$1138,4,FALSE)</f>
        <v>66045</v>
      </c>
      <c r="F531" s="333"/>
      <c r="G531" s="221"/>
      <c r="H531" s="157"/>
      <c r="I531" s="157"/>
      <c r="J531" s="157">
        <v>40</v>
      </c>
      <c r="K531" s="157">
        <v>8</v>
      </c>
      <c r="L531" s="157"/>
      <c r="M531" s="157"/>
      <c r="N531" s="157"/>
      <c r="O531" s="157"/>
      <c r="P531" s="157"/>
      <c r="Q531" s="157"/>
      <c r="R531" s="157"/>
      <c r="S531" s="157"/>
      <c r="T531" s="157"/>
      <c r="U531" s="157"/>
      <c r="V531" s="158"/>
      <c r="W531" s="182"/>
      <c r="X531" s="1"/>
      <c r="Y531" s="78">
        <f t="shared" si="66"/>
        <v>0</v>
      </c>
      <c r="Z531" s="78">
        <f t="shared" si="67"/>
        <v>0</v>
      </c>
      <c r="AA531" s="78">
        <f t="shared" si="68"/>
        <v>0</v>
      </c>
      <c r="AB531" s="78">
        <f t="shared" si="69"/>
        <v>0</v>
      </c>
      <c r="AC531" s="78"/>
      <c r="AD531" s="78">
        <v>0</v>
      </c>
      <c r="AE531" s="80">
        <f t="shared" si="71"/>
        <v>0</v>
      </c>
      <c r="AF531" s="82">
        <v>0</v>
      </c>
      <c r="AG531" s="69">
        <v>40624</v>
      </c>
      <c r="AH531" s="84"/>
      <c r="AI531" s="69" t="s">
        <v>1984</v>
      </c>
      <c r="AJ531" s="25" t="s">
        <v>1985</v>
      </c>
      <c r="AK531" s="65"/>
      <c r="AL531" s="176" t="s">
        <v>1257</v>
      </c>
      <c r="AM531" s="173" t="s">
        <v>457</v>
      </c>
      <c r="AN531" s="159"/>
      <c r="AO531" s="160"/>
      <c r="AP531" s="161"/>
      <c r="AQ531" s="160"/>
      <c r="AR531" s="160"/>
      <c r="AS531" s="160"/>
      <c r="AT531" s="160"/>
      <c r="AU531" s="160"/>
      <c r="AV531" s="160"/>
      <c r="AW531" s="160"/>
      <c r="AX531" s="160"/>
      <c r="AY531" s="160"/>
      <c r="AZ531" s="160"/>
      <c r="BA531" s="160"/>
      <c r="BB531" s="160"/>
      <c r="BC531" s="160"/>
      <c r="BD531" s="160"/>
      <c r="BE531" s="160"/>
      <c r="BF531" s="160"/>
      <c r="BG531" s="160"/>
      <c r="BH531" s="160"/>
      <c r="BI531" s="160"/>
      <c r="BJ531" s="160"/>
      <c r="BK531" s="160"/>
      <c r="BL531" s="160"/>
      <c r="BM531" s="160"/>
      <c r="BN531" s="160"/>
      <c r="BO531" s="160"/>
      <c r="BP531" s="160"/>
      <c r="BQ531" s="160"/>
      <c r="BR531" s="160"/>
      <c r="BS531" s="160"/>
      <c r="BT531" s="160"/>
      <c r="BU531" s="160"/>
      <c r="BV531" s="160"/>
      <c r="BW531" s="160"/>
      <c r="BX531" s="160"/>
      <c r="BY531" s="160"/>
      <c r="BZ531" s="160"/>
      <c r="CA531" s="160"/>
      <c r="CB531" s="160"/>
      <c r="CC531" s="160"/>
      <c r="CD531" s="160"/>
      <c r="CE531" s="160"/>
      <c r="CF531" s="160"/>
      <c r="CG531" s="160"/>
      <c r="CH531" s="160"/>
      <c r="CI531" s="160"/>
      <c r="CJ531" s="160"/>
      <c r="CK531" s="160"/>
      <c r="CL531" s="160"/>
      <c r="CM531" s="160"/>
      <c r="CN531" s="160"/>
      <c r="CO531" s="160"/>
      <c r="CP531" s="162"/>
      <c r="CQ531" s="163"/>
      <c r="CR531" s="162"/>
      <c r="CS531" s="163"/>
      <c r="CT531" s="162"/>
      <c r="CU531" s="163"/>
      <c r="CV531" s="164">
        <f t="shared" si="70"/>
        <v>0</v>
      </c>
      <c r="CW531" s="165"/>
      <c r="CX531" s="166"/>
      <c r="CY531" s="167"/>
      <c r="CZ531" s="168"/>
      <c r="DA531" s="169"/>
      <c r="DB531" s="168"/>
      <c r="DC531" s="165"/>
      <c r="DD531" s="166"/>
      <c r="DE531" s="71"/>
      <c r="DF531" s="170"/>
      <c r="EO531" s="353" t="str">
        <f t="shared" si="65"/>
        <v>RISARALDA_APIA</v>
      </c>
      <c r="EP531" s="350"/>
      <c r="EQ531" s="350" t="s">
        <v>4311</v>
      </c>
      <c r="ER531" s="358" t="s">
        <v>6260</v>
      </c>
      <c r="ES531" s="350" t="s">
        <v>5186</v>
      </c>
      <c r="ET531" s="350" t="s">
        <v>3193</v>
      </c>
      <c r="EU531" s="350" t="str">
        <f t="shared" si="64"/>
        <v>Cundinamarca_Macheta</v>
      </c>
    </row>
    <row r="532" spans="1:151" ht="45" x14ac:dyDescent="0.2">
      <c r="A532" s="242">
        <v>40308</v>
      </c>
      <c r="B532" s="107" t="s">
        <v>2791</v>
      </c>
      <c r="C532" s="107" t="s">
        <v>962</v>
      </c>
      <c r="D532" s="427" t="s">
        <v>2307</v>
      </c>
      <c r="E532" s="107" t="str">
        <f>VLOOKUP(B532&amp;C532,Divipola!$C$2:$F$1138,4,FALSE)</f>
        <v>73555</v>
      </c>
      <c r="F532" s="330"/>
      <c r="G532" s="224"/>
      <c r="H532" s="75"/>
      <c r="I532" s="75"/>
      <c r="J532" s="75">
        <v>1229</v>
      </c>
      <c r="K532" s="75">
        <v>273</v>
      </c>
      <c r="L532" s="75"/>
      <c r="M532" s="75">
        <v>164</v>
      </c>
      <c r="N532" s="75"/>
      <c r="O532" s="75"/>
      <c r="P532" s="75"/>
      <c r="Q532" s="75"/>
      <c r="R532" s="75"/>
      <c r="S532" s="75"/>
      <c r="T532" s="75"/>
      <c r="U532" s="75"/>
      <c r="V532" s="76"/>
      <c r="W532" s="205" t="s">
        <v>1349</v>
      </c>
      <c r="X532" s="1">
        <v>40354</v>
      </c>
      <c r="Y532" s="78">
        <f t="shared" si="66"/>
        <v>6001000</v>
      </c>
      <c r="Z532" s="78">
        <f t="shared" si="67"/>
        <v>1445000</v>
      </c>
      <c r="AA532" s="78">
        <f t="shared" si="68"/>
        <v>0</v>
      </c>
      <c r="AB532" s="78">
        <f t="shared" si="69"/>
        <v>0</v>
      </c>
      <c r="AC532" s="78"/>
      <c r="AD532" s="78">
        <v>0</v>
      </c>
      <c r="AE532" s="80">
        <f t="shared" si="71"/>
        <v>7446000</v>
      </c>
      <c r="AF532" s="82">
        <v>0</v>
      </c>
      <c r="AG532" s="69">
        <v>40330</v>
      </c>
      <c r="AH532" s="84">
        <v>97944</v>
      </c>
      <c r="AI532" s="69" t="s">
        <v>2009</v>
      </c>
      <c r="AJ532" s="25" t="s">
        <v>2010</v>
      </c>
      <c r="AK532" s="88" t="s">
        <v>2048</v>
      </c>
      <c r="AL532" s="185" t="s">
        <v>2182</v>
      </c>
      <c r="AM532" s="85" t="s">
        <v>983</v>
      </c>
      <c r="AN532" s="3"/>
      <c r="AO532" s="4"/>
      <c r="AP532" s="5"/>
      <c r="AQ532" s="4"/>
      <c r="AR532" s="4"/>
      <c r="AS532" s="4"/>
      <c r="AT532" s="4"/>
      <c r="AU532" s="4"/>
      <c r="AV532" s="4"/>
      <c r="AW532" s="4"/>
      <c r="AX532" s="4"/>
      <c r="AY532" s="4"/>
      <c r="AZ532" s="4">
        <v>85</v>
      </c>
      <c r="BA532" s="4">
        <f>85*56000</f>
        <v>4760000</v>
      </c>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6">
        <v>17</v>
      </c>
      <c r="CQ532" s="7">
        <f>17*37000</f>
        <v>629000</v>
      </c>
      <c r="CR532" s="6">
        <v>17</v>
      </c>
      <c r="CS532" s="7">
        <f>17*36000</f>
        <v>612000</v>
      </c>
      <c r="CT532" s="6"/>
      <c r="CU532" s="7"/>
      <c r="CV532" s="8">
        <f t="shared" si="70"/>
        <v>6001000</v>
      </c>
      <c r="CW532" s="9"/>
      <c r="CX532" s="10"/>
      <c r="CY532" s="11">
        <v>17</v>
      </c>
      <c r="CZ532" s="12">
        <f>17*85000</f>
        <v>1445000</v>
      </c>
      <c r="DA532" s="29"/>
      <c r="DB532" s="12"/>
      <c r="DC532" s="9"/>
      <c r="DD532" s="10"/>
      <c r="DE532" s="71"/>
      <c r="EO532" s="353" t="str">
        <f t="shared" si="65"/>
        <v>TOLIMA_PLANADAS</v>
      </c>
      <c r="EP532" s="350"/>
      <c r="EQ532" s="350" t="s">
        <v>4311</v>
      </c>
      <c r="ER532" s="358" t="s">
        <v>6260</v>
      </c>
      <c r="ES532" s="350" t="s">
        <v>5187</v>
      </c>
      <c r="ET532" s="350" t="s">
        <v>3194</v>
      </c>
      <c r="EU532" s="350" t="str">
        <f t="shared" ref="EU532:EU589" si="72">ER532&amp;"_"&amp;ET532</f>
        <v>Cundinamarca_Madrid</v>
      </c>
    </row>
    <row r="533" spans="1:151" s="407" customFormat="1" ht="51" x14ac:dyDescent="0.2">
      <c r="A533" s="242">
        <v>40308</v>
      </c>
      <c r="B533" s="107" t="s">
        <v>1462</v>
      </c>
      <c r="C533" s="107" t="s">
        <v>3152</v>
      </c>
      <c r="D533" s="427" t="s">
        <v>2209</v>
      </c>
      <c r="E533" s="107" t="str">
        <f>VLOOKUP(B533&amp;C533,Divipola!$C$2:$F$1138,4,FALSE)</f>
        <v>76036</v>
      </c>
      <c r="F533" s="330"/>
      <c r="G533" s="224"/>
      <c r="H533" s="75"/>
      <c r="I533" s="75"/>
      <c r="J533" s="75">
        <f>15*5</f>
        <v>75</v>
      </c>
      <c r="K533" s="75">
        <v>15</v>
      </c>
      <c r="L533" s="75"/>
      <c r="M533" s="75"/>
      <c r="N533" s="75"/>
      <c r="O533" s="75"/>
      <c r="P533" s="75"/>
      <c r="Q533" s="75"/>
      <c r="R533" s="75"/>
      <c r="S533" s="75"/>
      <c r="T533" s="75"/>
      <c r="U533" s="75"/>
      <c r="V533" s="76"/>
      <c r="W533" s="205"/>
      <c r="X533" s="1">
        <v>40330</v>
      </c>
      <c r="Y533" s="78">
        <f t="shared" si="66"/>
        <v>1680000</v>
      </c>
      <c r="Z533" s="78">
        <f t="shared" si="67"/>
        <v>1275000</v>
      </c>
      <c r="AA533" s="78">
        <f t="shared" si="68"/>
        <v>3132000</v>
      </c>
      <c r="AB533" s="78">
        <f t="shared" si="69"/>
        <v>0</v>
      </c>
      <c r="AC533" s="78"/>
      <c r="AD533" s="78">
        <v>0</v>
      </c>
      <c r="AE533" s="80">
        <f t="shared" si="71"/>
        <v>6087000</v>
      </c>
      <c r="AF533" s="82">
        <v>0</v>
      </c>
      <c r="AG533" s="69">
        <v>40317</v>
      </c>
      <c r="AH533" s="84">
        <v>97589</v>
      </c>
      <c r="AI533" s="69" t="s">
        <v>2009</v>
      </c>
      <c r="AJ533" s="25" t="s">
        <v>2010</v>
      </c>
      <c r="AK533" s="88" t="s">
        <v>2050</v>
      </c>
      <c r="AL533" s="185" t="s">
        <v>2182</v>
      </c>
      <c r="AM533" s="85" t="s">
        <v>3153</v>
      </c>
      <c r="AN533" s="3"/>
      <c r="AO533" s="4"/>
      <c r="AP533" s="5"/>
      <c r="AQ533" s="4"/>
      <c r="AR533" s="4"/>
      <c r="AS533" s="4"/>
      <c r="AT533" s="4"/>
      <c r="AU533" s="4"/>
      <c r="AV533" s="4"/>
      <c r="AW533" s="4"/>
      <c r="AX533" s="4"/>
      <c r="AY533" s="4"/>
      <c r="AZ533" s="4">
        <v>30</v>
      </c>
      <c r="BA533" s="4">
        <f>30*56000</f>
        <v>1680000</v>
      </c>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6"/>
      <c r="CQ533" s="7"/>
      <c r="CR533" s="6"/>
      <c r="CS533" s="7"/>
      <c r="CT533" s="6"/>
      <c r="CU533" s="7"/>
      <c r="CV533" s="8">
        <f t="shared" si="70"/>
        <v>1680000</v>
      </c>
      <c r="CW533" s="9"/>
      <c r="CX533" s="10"/>
      <c r="CY533" s="11">
        <v>15</v>
      </c>
      <c r="CZ533" s="12">
        <f>15*85000</f>
        <v>1275000</v>
      </c>
      <c r="DA533" s="29"/>
      <c r="DB533" s="12"/>
      <c r="DC533" s="9">
        <v>150</v>
      </c>
      <c r="DD533" s="10">
        <f>150*18792+600*522</f>
        <v>3132000</v>
      </c>
      <c r="DE533" s="71"/>
      <c r="DF533" s="23"/>
      <c r="EO533" s="408" t="str">
        <f t="shared" si="65"/>
        <v>VALLE DEL CAUCA_ANDALUCIA</v>
      </c>
      <c r="EP533" s="409"/>
      <c r="EQ533" s="409" t="s">
        <v>4311</v>
      </c>
      <c r="ER533" s="410" t="s">
        <v>6260</v>
      </c>
      <c r="ES533" s="409" t="s">
        <v>5188</v>
      </c>
      <c r="ET533" s="409" t="s">
        <v>3195</v>
      </c>
      <c r="EU533" s="409" t="str">
        <f t="shared" si="72"/>
        <v>Cundinamarca_Manta</v>
      </c>
    </row>
    <row r="534" spans="1:151" ht="36" x14ac:dyDescent="0.2">
      <c r="A534" s="242">
        <v>40309</v>
      </c>
      <c r="B534" s="107" t="s">
        <v>1189</v>
      </c>
      <c r="C534" s="107" t="s">
        <v>2414</v>
      </c>
      <c r="D534" s="427" t="s">
        <v>837</v>
      </c>
      <c r="E534" s="107" t="str">
        <f>VLOOKUP(B534&amp;C534,Divipola!$C$2:$F$1138,4,FALSE)</f>
        <v>85139</v>
      </c>
      <c r="F534" s="330"/>
      <c r="G534" s="224"/>
      <c r="H534" s="75"/>
      <c r="I534" s="75"/>
      <c r="J534" s="75">
        <v>456</v>
      </c>
      <c r="K534" s="75">
        <v>114</v>
      </c>
      <c r="L534" s="75"/>
      <c r="M534" s="75">
        <v>114</v>
      </c>
      <c r="N534" s="75"/>
      <c r="O534" s="75"/>
      <c r="P534" s="75"/>
      <c r="Q534" s="75"/>
      <c r="R534" s="75"/>
      <c r="S534" s="75"/>
      <c r="T534" s="75"/>
      <c r="U534" s="75"/>
      <c r="V534" s="76"/>
      <c r="W534" s="205"/>
      <c r="X534" s="1"/>
      <c r="Y534" s="78">
        <f t="shared" si="66"/>
        <v>0</v>
      </c>
      <c r="Z534" s="78">
        <f t="shared" si="67"/>
        <v>0</v>
      </c>
      <c r="AA534" s="78">
        <f t="shared" si="68"/>
        <v>0</v>
      </c>
      <c r="AB534" s="78">
        <f t="shared" si="69"/>
        <v>0</v>
      </c>
      <c r="AC534" s="78"/>
      <c r="AD534" s="78">
        <v>0</v>
      </c>
      <c r="AE534" s="80">
        <f t="shared" si="71"/>
        <v>0</v>
      </c>
      <c r="AF534" s="82">
        <v>0</v>
      </c>
      <c r="AG534" s="69">
        <v>40312</v>
      </c>
      <c r="AH534" s="84"/>
      <c r="AI534" s="69" t="s">
        <v>1984</v>
      </c>
      <c r="AJ534" s="25" t="s">
        <v>1985</v>
      </c>
      <c r="AK534" s="65"/>
      <c r="AL534" s="185" t="s">
        <v>1257</v>
      </c>
      <c r="AM534" s="85" t="s">
        <v>2415</v>
      </c>
      <c r="AN534" s="3"/>
      <c r="AO534" s="4"/>
      <c r="AP534" s="5"/>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6"/>
      <c r="CQ534" s="7"/>
      <c r="CR534" s="6"/>
      <c r="CS534" s="7"/>
      <c r="CT534" s="6"/>
      <c r="CU534" s="7"/>
      <c r="CV534" s="8">
        <f t="shared" si="70"/>
        <v>0</v>
      </c>
      <c r="CW534" s="9"/>
      <c r="CX534" s="10"/>
      <c r="CY534" s="11"/>
      <c r="CZ534" s="12"/>
      <c r="DA534" s="29"/>
      <c r="DB534" s="12"/>
      <c r="DC534" s="9"/>
      <c r="DD534" s="10"/>
      <c r="DE534" s="71"/>
      <c r="EO534" s="353" t="str">
        <f t="shared" si="65"/>
        <v>CASANARE_MANI</v>
      </c>
      <c r="EP534" s="350"/>
      <c r="EQ534" s="350" t="s">
        <v>4311</v>
      </c>
      <c r="ER534" s="358" t="s">
        <v>6260</v>
      </c>
      <c r="ES534" s="350" t="s">
        <v>5189</v>
      </c>
      <c r="ET534" s="350" t="s">
        <v>3196</v>
      </c>
      <c r="EU534" s="350" t="str">
        <f t="shared" si="72"/>
        <v>Cundinamarca_Medina</v>
      </c>
    </row>
    <row r="535" spans="1:151" ht="38.25" x14ac:dyDescent="0.2">
      <c r="A535" s="242">
        <v>40309</v>
      </c>
      <c r="B535" s="107" t="s">
        <v>1189</v>
      </c>
      <c r="C535" s="107" t="s">
        <v>2414</v>
      </c>
      <c r="D535" s="427" t="s">
        <v>837</v>
      </c>
      <c r="E535" s="107" t="str">
        <f>VLOOKUP(B535&amp;C535,Divipola!$C$2:$F$1138,4,FALSE)</f>
        <v>85139</v>
      </c>
      <c r="F535" s="330"/>
      <c r="G535" s="224"/>
      <c r="H535" s="75"/>
      <c r="I535" s="75"/>
      <c r="J535" s="75">
        <f>595-456-102</f>
        <v>37</v>
      </c>
      <c r="K535" s="75">
        <v>15</v>
      </c>
      <c r="L535" s="75"/>
      <c r="M535" s="75">
        <v>15</v>
      </c>
      <c r="N535" s="75"/>
      <c r="O535" s="75"/>
      <c r="P535" s="75"/>
      <c r="Q535" s="75"/>
      <c r="R535" s="75"/>
      <c r="S535" s="75"/>
      <c r="T535" s="75"/>
      <c r="U535" s="75"/>
      <c r="V535" s="76"/>
      <c r="W535" s="205"/>
      <c r="X535" s="1"/>
      <c r="Y535" s="78">
        <f t="shared" si="66"/>
        <v>0</v>
      </c>
      <c r="Z535" s="78">
        <f t="shared" si="67"/>
        <v>0</v>
      </c>
      <c r="AA535" s="78">
        <f t="shared" si="68"/>
        <v>0</v>
      </c>
      <c r="AB535" s="78">
        <f t="shared" si="69"/>
        <v>0</v>
      </c>
      <c r="AC535" s="78"/>
      <c r="AD535" s="78">
        <v>0</v>
      </c>
      <c r="AE535" s="80">
        <f t="shared" si="71"/>
        <v>0</v>
      </c>
      <c r="AF535" s="82">
        <v>0</v>
      </c>
      <c r="AG535" s="69">
        <v>40312</v>
      </c>
      <c r="AH535" s="84"/>
      <c r="AI535" s="69" t="s">
        <v>1984</v>
      </c>
      <c r="AJ535" s="25" t="s">
        <v>1985</v>
      </c>
      <c r="AK535" s="65"/>
      <c r="AL535" s="185" t="s">
        <v>1257</v>
      </c>
      <c r="AM535" s="85" t="s">
        <v>1106</v>
      </c>
      <c r="AN535" s="3"/>
      <c r="AO535" s="4"/>
      <c r="AP535" s="5"/>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6"/>
      <c r="CQ535" s="7"/>
      <c r="CR535" s="6"/>
      <c r="CS535" s="7"/>
      <c r="CT535" s="6"/>
      <c r="CU535" s="7"/>
      <c r="CV535" s="8">
        <f t="shared" si="70"/>
        <v>0</v>
      </c>
      <c r="CW535" s="9"/>
      <c r="CX535" s="10"/>
      <c r="CY535" s="11"/>
      <c r="CZ535" s="12"/>
      <c r="DA535" s="29"/>
      <c r="DB535" s="12"/>
      <c r="DC535" s="9"/>
      <c r="DD535" s="10"/>
      <c r="DE535" s="71"/>
      <c r="EO535" s="353" t="str">
        <f t="shared" si="65"/>
        <v>CASANARE_MANI</v>
      </c>
      <c r="EP535" s="350"/>
      <c r="EQ535" s="350" t="s">
        <v>4311</v>
      </c>
      <c r="ER535" s="358" t="s">
        <v>6260</v>
      </c>
      <c r="ES535" s="350" t="s">
        <v>5190</v>
      </c>
      <c r="ET535" s="350" t="s">
        <v>3197</v>
      </c>
      <c r="EU535" s="350" t="str">
        <f t="shared" si="72"/>
        <v>Cundinamarca_Mosquera</v>
      </c>
    </row>
    <row r="536" spans="1:151" ht="36" x14ac:dyDescent="0.2">
      <c r="A536" s="242">
        <v>40309</v>
      </c>
      <c r="B536" s="107" t="s">
        <v>1189</v>
      </c>
      <c r="C536" s="107" t="s">
        <v>2412</v>
      </c>
      <c r="D536" s="427" t="s">
        <v>837</v>
      </c>
      <c r="E536" s="107" t="str">
        <f>VLOOKUP(B536&amp;C536,Divipola!$C$2:$F$1138,4,FALSE)</f>
        <v>85263</v>
      </c>
      <c r="F536" s="330"/>
      <c r="G536" s="224"/>
      <c r="H536" s="75"/>
      <c r="I536" s="75"/>
      <c r="J536" s="75">
        <f>60*5</f>
        <v>300</v>
      </c>
      <c r="K536" s="75">
        <v>60</v>
      </c>
      <c r="L536" s="75"/>
      <c r="M536" s="75"/>
      <c r="N536" s="75"/>
      <c r="O536" s="75"/>
      <c r="P536" s="75"/>
      <c r="Q536" s="75"/>
      <c r="R536" s="75"/>
      <c r="S536" s="75"/>
      <c r="T536" s="75"/>
      <c r="U536" s="75"/>
      <c r="V536" s="76"/>
      <c r="W536" s="205" t="s">
        <v>2187</v>
      </c>
      <c r="X536" s="1"/>
      <c r="Y536" s="78">
        <f t="shared" si="66"/>
        <v>0</v>
      </c>
      <c r="Z536" s="78">
        <f t="shared" si="67"/>
        <v>0</v>
      </c>
      <c r="AA536" s="78">
        <f t="shared" si="68"/>
        <v>0</v>
      </c>
      <c r="AB536" s="78">
        <f t="shared" si="69"/>
        <v>0</v>
      </c>
      <c r="AC536" s="78"/>
      <c r="AD536" s="78">
        <v>0</v>
      </c>
      <c r="AE536" s="80">
        <f t="shared" si="71"/>
        <v>0</v>
      </c>
      <c r="AF536" s="82">
        <v>0</v>
      </c>
      <c r="AG536" s="69">
        <v>40312</v>
      </c>
      <c r="AH536" s="84"/>
      <c r="AI536" s="69" t="s">
        <v>1984</v>
      </c>
      <c r="AJ536" s="25" t="s">
        <v>1985</v>
      </c>
      <c r="AK536" s="65"/>
      <c r="AL536" s="185" t="s">
        <v>1257</v>
      </c>
      <c r="AM536" s="85" t="s">
        <v>2413</v>
      </c>
      <c r="AN536" s="3"/>
      <c r="AO536" s="4"/>
      <c r="AP536" s="5"/>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6"/>
      <c r="CQ536" s="7"/>
      <c r="CR536" s="6"/>
      <c r="CS536" s="7"/>
      <c r="CT536" s="6"/>
      <c r="CU536" s="7"/>
      <c r="CV536" s="8">
        <f t="shared" si="70"/>
        <v>0</v>
      </c>
      <c r="CW536" s="9"/>
      <c r="CX536" s="10"/>
      <c r="CY536" s="11"/>
      <c r="CZ536" s="12"/>
      <c r="DA536" s="29"/>
      <c r="DB536" s="12"/>
      <c r="DC536" s="9"/>
      <c r="DD536" s="10"/>
      <c r="DE536" s="71"/>
      <c r="EO536" s="353" t="str">
        <f t="shared" si="65"/>
        <v>CASANARE_PORE</v>
      </c>
      <c r="EP536" s="350"/>
      <c r="EQ536" s="350" t="s">
        <v>4311</v>
      </c>
      <c r="ER536" s="358" t="s">
        <v>6260</v>
      </c>
      <c r="ES536" s="350" t="s">
        <v>5191</v>
      </c>
      <c r="ET536" s="350" t="s">
        <v>4486</v>
      </c>
      <c r="EU536" s="350" t="str">
        <f t="shared" si="72"/>
        <v>Cundinamarca_Nariño</v>
      </c>
    </row>
    <row r="537" spans="1:151" ht="38.25" x14ac:dyDescent="0.2">
      <c r="A537" s="242">
        <v>40309</v>
      </c>
      <c r="B537" s="222" t="s">
        <v>2012</v>
      </c>
      <c r="C537" s="222" t="s">
        <v>2761</v>
      </c>
      <c r="D537" s="430" t="s">
        <v>2209</v>
      </c>
      <c r="E537" s="107" t="str">
        <f>VLOOKUP(B537&amp;C537,Divipola!$C$2:$F$1138,4,FALSE)</f>
        <v>66045</v>
      </c>
      <c r="F537" s="333"/>
      <c r="G537" s="221"/>
      <c r="H537" s="157"/>
      <c r="I537" s="157"/>
      <c r="J537" s="157">
        <v>170</v>
      </c>
      <c r="K537" s="157">
        <v>34</v>
      </c>
      <c r="L537" s="157"/>
      <c r="M537" s="157"/>
      <c r="N537" s="157"/>
      <c r="O537" s="157"/>
      <c r="P537" s="157"/>
      <c r="Q537" s="157"/>
      <c r="R537" s="157"/>
      <c r="S537" s="157"/>
      <c r="T537" s="157"/>
      <c r="U537" s="157"/>
      <c r="V537" s="158"/>
      <c r="W537" s="182"/>
      <c r="X537" s="1"/>
      <c r="Y537" s="78">
        <f t="shared" si="66"/>
        <v>0</v>
      </c>
      <c r="Z537" s="78">
        <f t="shared" si="67"/>
        <v>0</v>
      </c>
      <c r="AA537" s="78">
        <f t="shared" si="68"/>
        <v>0</v>
      </c>
      <c r="AB537" s="78">
        <f t="shared" si="69"/>
        <v>0</v>
      </c>
      <c r="AC537" s="78"/>
      <c r="AD537" s="78">
        <v>0</v>
      </c>
      <c r="AE537" s="80">
        <f t="shared" si="71"/>
        <v>0</v>
      </c>
      <c r="AF537" s="82">
        <v>0</v>
      </c>
      <c r="AG537" s="69">
        <v>40624</v>
      </c>
      <c r="AH537" s="84"/>
      <c r="AI537" s="69" t="s">
        <v>1984</v>
      </c>
      <c r="AJ537" s="25" t="s">
        <v>1985</v>
      </c>
      <c r="AK537" s="65"/>
      <c r="AL537" s="176" t="s">
        <v>1257</v>
      </c>
      <c r="AM537" s="173" t="s">
        <v>457</v>
      </c>
      <c r="AN537" s="159"/>
      <c r="AO537" s="160"/>
      <c r="AP537" s="161"/>
      <c r="AQ537" s="160"/>
      <c r="AR537" s="160"/>
      <c r="AS537" s="160"/>
      <c r="AT537" s="160"/>
      <c r="AU537" s="160"/>
      <c r="AV537" s="160"/>
      <c r="AW537" s="160"/>
      <c r="AX537" s="160"/>
      <c r="AY537" s="160"/>
      <c r="AZ537" s="160"/>
      <c r="BA537" s="160"/>
      <c r="BB537" s="160"/>
      <c r="BC537" s="160"/>
      <c r="BD537" s="160"/>
      <c r="BE537" s="160"/>
      <c r="BF537" s="160"/>
      <c r="BG537" s="160"/>
      <c r="BH537" s="160"/>
      <c r="BI537" s="160"/>
      <c r="BJ537" s="160"/>
      <c r="BK537" s="160"/>
      <c r="BL537" s="160"/>
      <c r="BM537" s="160"/>
      <c r="BN537" s="160"/>
      <c r="BO537" s="160"/>
      <c r="BP537" s="160"/>
      <c r="BQ537" s="160"/>
      <c r="BR537" s="160"/>
      <c r="BS537" s="160"/>
      <c r="BT537" s="160"/>
      <c r="BU537" s="160"/>
      <c r="BV537" s="160"/>
      <c r="BW537" s="160"/>
      <c r="BX537" s="160"/>
      <c r="BY537" s="160"/>
      <c r="BZ537" s="160"/>
      <c r="CA537" s="160"/>
      <c r="CB537" s="160"/>
      <c r="CC537" s="160"/>
      <c r="CD537" s="160"/>
      <c r="CE537" s="160"/>
      <c r="CF537" s="160"/>
      <c r="CG537" s="160"/>
      <c r="CH537" s="160"/>
      <c r="CI537" s="160"/>
      <c r="CJ537" s="160"/>
      <c r="CK537" s="160"/>
      <c r="CL537" s="160"/>
      <c r="CM537" s="160"/>
      <c r="CN537" s="160"/>
      <c r="CO537" s="160"/>
      <c r="CP537" s="162"/>
      <c r="CQ537" s="163"/>
      <c r="CR537" s="162"/>
      <c r="CS537" s="163"/>
      <c r="CT537" s="162"/>
      <c r="CU537" s="163"/>
      <c r="CV537" s="164">
        <f t="shared" si="70"/>
        <v>0</v>
      </c>
      <c r="CW537" s="165"/>
      <c r="CX537" s="166"/>
      <c r="CY537" s="167"/>
      <c r="CZ537" s="168"/>
      <c r="DA537" s="169"/>
      <c r="DB537" s="168"/>
      <c r="DC537" s="165"/>
      <c r="DD537" s="166"/>
      <c r="DE537" s="71"/>
      <c r="DF537" s="170"/>
      <c r="EO537" s="353" t="str">
        <f t="shared" si="65"/>
        <v>RISARALDA_APIA</v>
      </c>
      <c r="EP537" s="350"/>
      <c r="EQ537" s="350" t="s">
        <v>4311</v>
      </c>
      <c r="ER537" s="358" t="s">
        <v>6260</v>
      </c>
      <c r="ES537" s="350" t="s">
        <v>5192</v>
      </c>
      <c r="ET537" s="350" t="s">
        <v>3198</v>
      </c>
      <c r="EU537" s="350" t="str">
        <f t="shared" si="72"/>
        <v>Cundinamarca_Nemocon</v>
      </c>
    </row>
    <row r="538" spans="1:151" ht="63.75" x14ac:dyDescent="0.2">
      <c r="A538" s="242">
        <v>40309</v>
      </c>
      <c r="B538" s="107" t="s">
        <v>1462</v>
      </c>
      <c r="C538" s="107" t="s">
        <v>1944</v>
      </c>
      <c r="D538" s="427" t="s">
        <v>2209</v>
      </c>
      <c r="E538" s="107" t="str">
        <f>VLOOKUP(B538&amp;C538,Divipola!$C$2:$F$1138,4,FALSE)</f>
        <v>76109</v>
      </c>
      <c r="F538" s="330"/>
      <c r="G538" s="224"/>
      <c r="H538" s="75"/>
      <c r="I538" s="75"/>
      <c r="J538" s="75">
        <v>1000</v>
      </c>
      <c r="K538" s="75">
        <v>200</v>
      </c>
      <c r="L538" s="75"/>
      <c r="M538" s="75">
        <v>200</v>
      </c>
      <c r="N538" s="75"/>
      <c r="O538" s="75"/>
      <c r="P538" s="75"/>
      <c r="Q538" s="75"/>
      <c r="R538" s="75"/>
      <c r="S538" s="75"/>
      <c r="T538" s="75"/>
      <c r="U538" s="75"/>
      <c r="V538" s="76"/>
      <c r="W538" s="205"/>
      <c r="X538" s="1">
        <v>40330</v>
      </c>
      <c r="Y538" s="78">
        <f t="shared" si="66"/>
        <v>22400000</v>
      </c>
      <c r="Z538" s="78">
        <f t="shared" si="67"/>
        <v>17000000</v>
      </c>
      <c r="AA538" s="78">
        <f t="shared" si="68"/>
        <v>20880000</v>
      </c>
      <c r="AB538" s="78">
        <f t="shared" si="69"/>
        <v>0</v>
      </c>
      <c r="AC538" s="78"/>
      <c r="AD538" s="78">
        <v>0</v>
      </c>
      <c r="AE538" s="80">
        <f t="shared" si="71"/>
        <v>60280000</v>
      </c>
      <c r="AF538" s="82">
        <v>0</v>
      </c>
      <c r="AG538" s="69">
        <v>40317</v>
      </c>
      <c r="AH538" s="84">
        <v>97589</v>
      </c>
      <c r="AI538" s="69" t="s">
        <v>2009</v>
      </c>
      <c r="AJ538" s="25" t="s">
        <v>2010</v>
      </c>
      <c r="AK538" s="88" t="s">
        <v>2050</v>
      </c>
      <c r="AL538" s="185" t="s">
        <v>2182</v>
      </c>
      <c r="AM538" s="85" t="s">
        <v>714</v>
      </c>
      <c r="AN538" s="3"/>
      <c r="AO538" s="4"/>
      <c r="AP538" s="5"/>
      <c r="AQ538" s="4"/>
      <c r="AR538" s="4"/>
      <c r="AS538" s="4"/>
      <c r="AT538" s="4"/>
      <c r="AU538" s="4"/>
      <c r="AV538" s="4"/>
      <c r="AW538" s="4"/>
      <c r="AX538" s="4"/>
      <c r="AY538" s="4"/>
      <c r="AZ538" s="4">
        <v>400</v>
      </c>
      <c r="BA538" s="4">
        <f>400*56000</f>
        <v>22400000</v>
      </c>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6"/>
      <c r="CQ538" s="7"/>
      <c r="CR538" s="6"/>
      <c r="CS538" s="7"/>
      <c r="CT538" s="6"/>
      <c r="CU538" s="7"/>
      <c r="CV538" s="8">
        <f t="shared" si="70"/>
        <v>22400000</v>
      </c>
      <c r="CW538" s="9"/>
      <c r="CX538" s="10"/>
      <c r="CY538" s="11">
        <v>200</v>
      </c>
      <c r="CZ538" s="12">
        <f>200*85000</f>
        <v>17000000</v>
      </c>
      <c r="DA538" s="29"/>
      <c r="DB538" s="12"/>
      <c r="DC538" s="9">
        <v>1000</v>
      </c>
      <c r="DD538" s="10">
        <f>1000*18792+4000*522</f>
        <v>20880000</v>
      </c>
      <c r="DE538" s="71"/>
      <c r="EO538" s="353" t="str">
        <f t="shared" si="65"/>
        <v>VALLE DEL CAUCA_BUENAVENTURA</v>
      </c>
      <c r="EP538" s="350"/>
      <c r="EQ538" s="350" t="s">
        <v>4311</v>
      </c>
      <c r="ER538" s="358" t="s">
        <v>6260</v>
      </c>
      <c r="ES538" s="350" t="s">
        <v>5193</v>
      </c>
      <c r="ET538" s="350" t="s">
        <v>3199</v>
      </c>
      <c r="EU538" s="350" t="str">
        <f t="shared" si="72"/>
        <v>Cundinamarca_Nilo</v>
      </c>
    </row>
    <row r="539" spans="1:151" ht="51" x14ac:dyDescent="0.2">
      <c r="A539" s="242">
        <v>40309</v>
      </c>
      <c r="B539" s="107" t="s">
        <v>1462</v>
      </c>
      <c r="C539" s="107" t="s">
        <v>1050</v>
      </c>
      <c r="D539" s="427" t="s">
        <v>2209</v>
      </c>
      <c r="E539" s="107" t="str">
        <f>VLOOKUP(B539&amp;C539,Divipola!$C$2:$F$1138,4,FALSE)</f>
        <v>76863</v>
      </c>
      <c r="F539" s="330"/>
      <c r="G539" s="224"/>
      <c r="H539" s="75"/>
      <c r="I539" s="75"/>
      <c r="J539" s="75">
        <v>25</v>
      </c>
      <c r="K539" s="75">
        <v>5</v>
      </c>
      <c r="L539" s="75"/>
      <c r="M539" s="75">
        <v>5</v>
      </c>
      <c r="N539" s="75"/>
      <c r="O539" s="75"/>
      <c r="P539" s="75"/>
      <c r="Q539" s="75"/>
      <c r="R539" s="75"/>
      <c r="S539" s="75"/>
      <c r="T539" s="75"/>
      <c r="U539" s="75"/>
      <c r="V539" s="76"/>
      <c r="W539" s="205"/>
      <c r="X539" s="1"/>
      <c r="Y539" s="78">
        <f t="shared" si="66"/>
        <v>0</v>
      </c>
      <c r="Z539" s="78">
        <f t="shared" si="67"/>
        <v>0</v>
      </c>
      <c r="AA539" s="78">
        <f t="shared" si="68"/>
        <v>0</v>
      </c>
      <c r="AB539" s="78">
        <f t="shared" si="69"/>
        <v>0</v>
      </c>
      <c r="AC539" s="78"/>
      <c r="AD539" s="78">
        <v>0</v>
      </c>
      <c r="AE539" s="80">
        <f t="shared" si="71"/>
        <v>0</v>
      </c>
      <c r="AF539" s="82">
        <v>0</v>
      </c>
      <c r="AG539" s="69">
        <v>40389</v>
      </c>
      <c r="AH539" s="84">
        <v>38013</v>
      </c>
      <c r="AI539" s="69" t="s">
        <v>1984</v>
      </c>
      <c r="AJ539" s="25" t="s">
        <v>1985</v>
      </c>
      <c r="AK539" s="65"/>
      <c r="AL539" s="185" t="s">
        <v>1257</v>
      </c>
      <c r="AM539" s="85" t="s">
        <v>1268</v>
      </c>
      <c r="AN539" s="3"/>
      <c r="AO539" s="4"/>
      <c r="AP539" s="5"/>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6"/>
      <c r="CQ539" s="7"/>
      <c r="CR539" s="6"/>
      <c r="CS539" s="7"/>
      <c r="CT539" s="6"/>
      <c r="CU539" s="7"/>
      <c r="CV539" s="8">
        <f t="shared" si="70"/>
        <v>0</v>
      </c>
      <c r="CW539" s="9"/>
      <c r="CX539" s="10"/>
      <c r="CY539" s="11"/>
      <c r="CZ539" s="12"/>
      <c r="DA539" s="29"/>
      <c r="DB539" s="12"/>
      <c r="DC539" s="9"/>
      <c r="DD539" s="10"/>
      <c r="DE539" s="71"/>
      <c r="EO539" s="353" t="str">
        <f t="shared" si="65"/>
        <v>VALLE DEL CAUCA_VERSALLES</v>
      </c>
      <c r="EP539" s="350"/>
      <c r="EQ539" s="350" t="s">
        <v>4311</v>
      </c>
      <c r="ER539" s="358" t="s">
        <v>6260</v>
      </c>
      <c r="ES539" s="350" t="s">
        <v>5194</v>
      </c>
      <c r="ET539" s="350" t="s">
        <v>3200</v>
      </c>
      <c r="EU539" s="350" t="str">
        <f t="shared" si="72"/>
        <v>Cundinamarca_Nimaima</v>
      </c>
    </row>
    <row r="540" spans="1:151" ht="38.25" x14ac:dyDescent="0.2">
      <c r="A540" s="242">
        <v>40310</v>
      </c>
      <c r="B540" s="107" t="s">
        <v>1189</v>
      </c>
      <c r="C540" s="107" t="s">
        <v>713</v>
      </c>
      <c r="D540" s="427" t="s">
        <v>837</v>
      </c>
      <c r="E540" s="107" t="str">
        <f>VLOOKUP(B540&amp;C540,Divipola!$C$2:$F$1138,4,FALSE)</f>
        <v>85125</v>
      </c>
      <c r="F540" s="330"/>
      <c r="G540" s="224"/>
      <c r="H540" s="75"/>
      <c r="I540" s="75"/>
      <c r="J540" s="75">
        <v>25</v>
      </c>
      <c r="K540" s="75">
        <v>5</v>
      </c>
      <c r="L540" s="75"/>
      <c r="M540" s="75">
        <v>5</v>
      </c>
      <c r="N540" s="75"/>
      <c r="O540" s="75"/>
      <c r="P540" s="75"/>
      <c r="Q540" s="75"/>
      <c r="R540" s="75"/>
      <c r="S540" s="75"/>
      <c r="T540" s="75"/>
      <c r="U540" s="75"/>
      <c r="V540" s="76"/>
      <c r="W540" s="205"/>
      <c r="X540" s="1"/>
      <c r="Y540" s="78">
        <f t="shared" si="66"/>
        <v>0</v>
      </c>
      <c r="Z540" s="78">
        <f t="shared" si="67"/>
        <v>0</v>
      </c>
      <c r="AA540" s="78">
        <f t="shared" si="68"/>
        <v>0</v>
      </c>
      <c r="AB540" s="78">
        <f t="shared" si="69"/>
        <v>0</v>
      </c>
      <c r="AC540" s="78"/>
      <c r="AD540" s="78">
        <v>0</v>
      </c>
      <c r="AE540" s="80">
        <f t="shared" si="71"/>
        <v>0</v>
      </c>
      <c r="AF540" s="82">
        <v>0</v>
      </c>
      <c r="AG540" s="69">
        <v>40312</v>
      </c>
      <c r="AH540" s="84"/>
      <c r="AI540" s="69" t="s">
        <v>1984</v>
      </c>
      <c r="AJ540" s="25" t="s">
        <v>1985</v>
      </c>
      <c r="AK540" s="65"/>
      <c r="AL540" s="185" t="s">
        <v>1257</v>
      </c>
      <c r="AM540" s="85" t="s">
        <v>2418</v>
      </c>
      <c r="AN540" s="3"/>
      <c r="AO540" s="4"/>
      <c r="AP540" s="5"/>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6"/>
      <c r="CQ540" s="7"/>
      <c r="CR540" s="6"/>
      <c r="CS540" s="7"/>
      <c r="CT540" s="6"/>
      <c r="CU540" s="7"/>
      <c r="CV540" s="8">
        <f t="shared" si="70"/>
        <v>0</v>
      </c>
      <c r="CW540" s="9"/>
      <c r="CX540" s="10"/>
      <c r="CY540" s="11"/>
      <c r="CZ540" s="12"/>
      <c r="DA540" s="29"/>
      <c r="DB540" s="12"/>
      <c r="DC540" s="9"/>
      <c r="DD540" s="10"/>
      <c r="DE540" s="71"/>
      <c r="EO540" s="353" t="str">
        <f t="shared" si="65"/>
        <v>CASANARE_HATO COROZAL</v>
      </c>
      <c r="EP540" s="350"/>
      <c r="EQ540" s="350" t="s">
        <v>4311</v>
      </c>
      <c r="ER540" s="358" t="s">
        <v>6260</v>
      </c>
      <c r="ES540" s="350" t="s">
        <v>5195</v>
      </c>
      <c r="ET540" s="350" t="s">
        <v>3201</v>
      </c>
      <c r="EU540" s="350" t="str">
        <f t="shared" si="72"/>
        <v>Cundinamarca_Nocaima</v>
      </c>
    </row>
    <row r="541" spans="1:151" ht="25.5" x14ac:dyDescent="0.2">
      <c r="A541" s="242">
        <v>40310</v>
      </c>
      <c r="B541" s="107" t="s">
        <v>1189</v>
      </c>
      <c r="C541" s="107" t="s">
        <v>2416</v>
      </c>
      <c r="D541" s="427" t="s">
        <v>837</v>
      </c>
      <c r="E541" s="107" t="str">
        <f>VLOOKUP(B541&amp;C541,Divipola!$C$2:$F$1138,4,FALSE)</f>
        <v>85001</v>
      </c>
      <c r="F541" s="330"/>
      <c r="G541" s="224"/>
      <c r="H541" s="75"/>
      <c r="I541" s="75"/>
      <c r="J541" s="75">
        <v>5</v>
      </c>
      <c r="K541" s="75">
        <v>1</v>
      </c>
      <c r="L541" s="75"/>
      <c r="M541" s="75">
        <v>1</v>
      </c>
      <c r="N541" s="75"/>
      <c r="O541" s="75"/>
      <c r="P541" s="75"/>
      <c r="Q541" s="75"/>
      <c r="R541" s="75"/>
      <c r="S541" s="75"/>
      <c r="T541" s="75"/>
      <c r="U541" s="75"/>
      <c r="V541" s="76"/>
      <c r="W541" s="205"/>
      <c r="X541" s="1"/>
      <c r="Y541" s="78">
        <f t="shared" si="66"/>
        <v>0</v>
      </c>
      <c r="Z541" s="78">
        <f t="shared" si="67"/>
        <v>0</v>
      </c>
      <c r="AA541" s="78">
        <f t="shared" si="68"/>
        <v>0</v>
      </c>
      <c r="AB541" s="78">
        <f t="shared" si="69"/>
        <v>0</v>
      </c>
      <c r="AC541" s="78"/>
      <c r="AD541" s="78">
        <v>0</v>
      </c>
      <c r="AE541" s="80">
        <f t="shared" si="71"/>
        <v>0</v>
      </c>
      <c r="AF541" s="82">
        <v>0</v>
      </c>
      <c r="AG541" s="69">
        <v>40312</v>
      </c>
      <c r="AH541" s="84"/>
      <c r="AI541" s="69" t="s">
        <v>1984</v>
      </c>
      <c r="AJ541" s="25" t="s">
        <v>1985</v>
      </c>
      <c r="AK541" s="65"/>
      <c r="AL541" s="185" t="s">
        <v>1257</v>
      </c>
      <c r="AM541" s="85" t="s">
        <v>2417</v>
      </c>
      <c r="AN541" s="3"/>
      <c r="AO541" s="4"/>
      <c r="AP541" s="5"/>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6"/>
      <c r="CQ541" s="7"/>
      <c r="CR541" s="6"/>
      <c r="CS541" s="7"/>
      <c r="CT541" s="6"/>
      <c r="CU541" s="7"/>
      <c r="CV541" s="8">
        <f t="shared" si="70"/>
        <v>0</v>
      </c>
      <c r="CW541" s="9"/>
      <c r="CX541" s="10"/>
      <c r="CY541" s="11"/>
      <c r="CZ541" s="12"/>
      <c r="DA541" s="29"/>
      <c r="DB541" s="12"/>
      <c r="DC541" s="9"/>
      <c r="DD541" s="10"/>
      <c r="DE541" s="71"/>
      <c r="EO541" s="353" t="str">
        <f t="shared" si="65"/>
        <v>CASANARE_YOPAL</v>
      </c>
      <c r="EP541" s="350"/>
      <c r="EQ541" s="350" t="s">
        <v>4311</v>
      </c>
      <c r="ER541" s="358" t="s">
        <v>6260</v>
      </c>
      <c r="ES541" s="350" t="s">
        <v>5196</v>
      </c>
      <c r="ET541" s="350" t="s">
        <v>5945</v>
      </c>
      <c r="EU541" s="350" t="str">
        <f t="shared" si="72"/>
        <v>Cundinamarca_Venecia</v>
      </c>
    </row>
    <row r="542" spans="1:151" ht="38.25" x14ac:dyDescent="0.2">
      <c r="A542" s="246">
        <v>40310</v>
      </c>
      <c r="B542" s="238" t="s">
        <v>2425</v>
      </c>
      <c r="C542" s="238" t="s">
        <v>2320</v>
      </c>
      <c r="D542" s="431" t="s">
        <v>1721</v>
      </c>
      <c r="E542" s="107" t="str">
        <f>VLOOKUP(B542&amp;C542,Divipola!$C$2:$F$1138,4,FALSE)</f>
        <v>27450</v>
      </c>
      <c r="F542" s="334"/>
      <c r="G542" s="389"/>
      <c r="H542" s="390"/>
      <c r="I542" s="390"/>
      <c r="J542" s="390">
        <v>7</v>
      </c>
      <c r="K542" s="390">
        <v>1</v>
      </c>
      <c r="L542" s="390">
        <v>1</v>
      </c>
      <c r="M542" s="390"/>
      <c r="N542" s="390"/>
      <c r="O542" s="390"/>
      <c r="P542" s="390"/>
      <c r="Q542" s="390"/>
      <c r="R542" s="390"/>
      <c r="S542" s="390"/>
      <c r="T542" s="390"/>
      <c r="U542" s="390"/>
      <c r="V542" s="391"/>
      <c r="W542" s="392"/>
      <c r="X542" s="302"/>
      <c r="Y542" s="303">
        <f t="shared" si="66"/>
        <v>0</v>
      </c>
      <c r="Z542" s="303">
        <f t="shared" si="67"/>
        <v>0</v>
      </c>
      <c r="AA542" s="303">
        <f t="shared" si="68"/>
        <v>0</v>
      </c>
      <c r="AB542" s="303">
        <f t="shared" si="69"/>
        <v>0</v>
      </c>
      <c r="AC542" s="303"/>
      <c r="AD542" s="303">
        <v>0</v>
      </c>
      <c r="AE542" s="304">
        <f t="shared" si="71"/>
        <v>0</v>
      </c>
      <c r="AF542" s="305">
        <v>0</v>
      </c>
      <c r="AG542" s="306">
        <v>40311</v>
      </c>
      <c r="AH542" s="307"/>
      <c r="AI542" s="306" t="s">
        <v>1984</v>
      </c>
      <c r="AJ542" s="308" t="s">
        <v>1985</v>
      </c>
      <c r="AK542" s="309"/>
      <c r="AL542" s="393" t="s">
        <v>1257</v>
      </c>
      <c r="AM542" s="394" t="s">
        <v>1410</v>
      </c>
      <c r="AN542" s="395"/>
      <c r="AO542" s="396"/>
      <c r="AP542" s="397"/>
      <c r="AQ542" s="396"/>
      <c r="AR542" s="396"/>
      <c r="AS542" s="396"/>
      <c r="AT542" s="396"/>
      <c r="AU542" s="396"/>
      <c r="AV542" s="396"/>
      <c r="AW542" s="396"/>
      <c r="AX542" s="396"/>
      <c r="AY542" s="396"/>
      <c r="AZ542" s="396"/>
      <c r="BA542" s="396"/>
      <c r="BB542" s="396"/>
      <c r="BC542" s="396"/>
      <c r="BD542" s="396"/>
      <c r="BE542" s="396"/>
      <c r="BF542" s="396"/>
      <c r="BG542" s="396"/>
      <c r="BH542" s="396"/>
      <c r="BI542" s="396"/>
      <c r="BJ542" s="396"/>
      <c r="BK542" s="396"/>
      <c r="BL542" s="396"/>
      <c r="BM542" s="396"/>
      <c r="BN542" s="396"/>
      <c r="BO542" s="396"/>
      <c r="BP542" s="396"/>
      <c r="BQ542" s="396"/>
      <c r="BR542" s="396"/>
      <c r="BS542" s="396"/>
      <c r="BT542" s="396"/>
      <c r="BU542" s="396"/>
      <c r="BV542" s="396"/>
      <c r="BW542" s="396"/>
      <c r="BX542" s="396"/>
      <c r="BY542" s="396"/>
      <c r="BZ542" s="396"/>
      <c r="CA542" s="396"/>
      <c r="CB542" s="396"/>
      <c r="CC542" s="396"/>
      <c r="CD542" s="396"/>
      <c r="CE542" s="396"/>
      <c r="CF542" s="396"/>
      <c r="CG542" s="396"/>
      <c r="CH542" s="396"/>
      <c r="CI542" s="396"/>
      <c r="CJ542" s="396"/>
      <c r="CK542" s="396"/>
      <c r="CL542" s="396"/>
      <c r="CM542" s="396"/>
      <c r="CN542" s="396"/>
      <c r="CO542" s="396"/>
      <c r="CP542" s="398"/>
      <c r="CQ542" s="399"/>
      <c r="CR542" s="398"/>
      <c r="CS542" s="399"/>
      <c r="CT542" s="398"/>
      <c r="CU542" s="399"/>
      <c r="CV542" s="400">
        <f t="shared" si="70"/>
        <v>0</v>
      </c>
      <c r="CW542" s="401"/>
      <c r="CX542" s="402"/>
      <c r="CY542" s="403"/>
      <c r="CZ542" s="404"/>
      <c r="DA542" s="405"/>
      <c r="DB542" s="404"/>
      <c r="DC542" s="401"/>
      <c r="DD542" s="402"/>
      <c r="DE542" s="323"/>
      <c r="DF542" s="406"/>
      <c r="EO542" s="353" t="str">
        <f t="shared" si="65"/>
        <v>CHOCO_MEDIO SAN JUAN</v>
      </c>
      <c r="EP542" s="350"/>
      <c r="EQ542" s="350" t="s">
        <v>4311</v>
      </c>
      <c r="ER542" s="358" t="s">
        <v>6260</v>
      </c>
      <c r="ES542" s="350" t="s">
        <v>5197</v>
      </c>
      <c r="ET542" s="350" t="s">
        <v>3202</v>
      </c>
      <c r="EU542" s="350" t="str">
        <f t="shared" si="72"/>
        <v>Cundinamarca_Pacho</v>
      </c>
    </row>
    <row r="543" spans="1:151" ht="36" x14ac:dyDescent="0.2">
      <c r="A543" s="242">
        <v>40310</v>
      </c>
      <c r="B543" s="107" t="s">
        <v>2012</v>
      </c>
      <c r="C543" s="107" t="s">
        <v>2199</v>
      </c>
      <c r="D543" s="427" t="s">
        <v>837</v>
      </c>
      <c r="E543" s="107" t="str">
        <f>VLOOKUP(B543&amp;C543,Divipola!$C$2:$F$1138,4,FALSE)</f>
        <v>66383</v>
      </c>
      <c r="F543" s="330"/>
      <c r="G543" s="224"/>
      <c r="H543" s="75"/>
      <c r="I543" s="75"/>
      <c r="J543" s="75"/>
      <c r="K543" s="75"/>
      <c r="L543" s="75"/>
      <c r="M543" s="75"/>
      <c r="N543" s="75">
        <v>1</v>
      </c>
      <c r="O543" s="75"/>
      <c r="P543" s="75"/>
      <c r="Q543" s="75"/>
      <c r="R543" s="75"/>
      <c r="S543" s="75"/>
      <c r="T543" s="75"/>
      <c r="U543" s="75"/>
      <c r="V543" s="76"/>
      <c r="W543" s="205"/>
      <c r="X543" s="1"/>
      <c r="Y543" s="78">
        <f t="shared" si="66"/>
        <v>0</v>
      </c>
      <c r="Z543" s="78">
        <f t="shared" si="67"/>
        <v>0</v>
      </c>
      <c r="AA543" s="78">
        <f t="shared" si="68"/>
        <v>0</v>
      </c>
      <c r="AB543" s="78">
        <f t="shared" si="69"/>
        <v>0</v>
      </c>
      <c r="AC543" s="78"/>
      <c r="AD543" s="78">
        <v>0</v>
      </c>
      <c r="AE543" s="80">
        <f t="shared" si="71"/>
        <v>0</v>
      </c>
      <c r="AF543" s="82">
        <v>0</v>
      </c>
      <c r="AG543" s="69">
        <v>40311</v>
      </c>
      <c r="AH543" s="84"/>
      <c r="AI543" s="69" t="s">
        <v>1984</v>
      </c>
      <c r="AJ543" s="25" t="s">
        <v>1985</v>
      </c>
      <c r="AK543" s="65"/>
      <c r="AL543" s="185" t="s">
        <v>1257</v>
      </c>
      <c r="AM543" s="85" t="s">
        <v>2200</v>
      </c>
      <c r="AN543" s="3"/>
      <c r="AO543" s="4"/>
      <c r="AP543" s="5"/>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6"/>
      <c r="CQ543" s="7"/>
      <c r="CR543" s="6"/>
      <c r="CS543" s="7"/>
      <c r="CT543" s="6"/>
      <c r="CU543" s="7"/>
      <c r="CV543" s="8">
        <f t="shared" si="70"/>
        <v>0</v>
      </c>
      <c r="CW543" s="9"/>
      <c r="CX543" s="10"/>
      <c r="CY543" s="11"/>
      <c r="CZ543" s="12"/>
      <c r="DA543" s="29"/>
      <c r="DB543" s="12"/>
      <c r="DC543" s="9"/>
      <c r="DD543" s="10"/>
      <c r="DE543" s="71"/>
      <c r="EO543" s="353" t="str">
        <f t="shared" si="65"/>
        <v>RISARALDA_LA CELIA</v>
      </c>
      <c r="EP543" s="350"/>
      <c r="EQ543" s="350" t="s">
        <v>4311</v>
      </c>
      <c r="ER543" s="358" t="s">
        <v>6260</v>
      </c>
      <c r="ES543" s="350" t="s">
        <v>5198</v>
      </c>
      <c r="ET543" s="350" t="s">
        <v>3203</v>
      </c>
      <c r="EU543" s="350" t="str">
        <f t="shared" si="72"/>
        <v>Cundinamarca_Paime</v>
      </c>
    </row>
    <row r="544" spans="1:151" ht="25.5" x14ac:dyDescent="0.2">
      <c r="A544" s="242">
        <v>40310</v>
      </c>
      <c r="B544" s="222" t="s">
        <v>2012</v>
      </c>
      <c r="C544" s="222" t="s">
        <v>2199</v>
      </c>
      <c r="D544" s="430" t="s">
        <v>2307</v>
      </c>
      <c r="E544" s="107" t="str">
        <f>VLOOKUP(B544&amp;C544,Divipola!$C$2:$F$1138,4,FALSE)</f>
        <v>66383</v>
      </c>
      <c r="F544" s="333"/>
      <c r="G544" s="221"/>
      <c r="H544" s="157"/>
      <c r="I544" s="157"/>
      <c r="J544" s="157">
        <v>45</v>
      </c>
      <c r="K544" s="183">
        <v>9</v>
      </c>
      <c r="L544" s="157"/>
      <c r="M544" s="157"/>
      <c r="N544" s="157"/>
      <c r="O544" s="157"/>
      <c r="P544" s="157"/>
      <c r="Q544" s="157"/>
      <c r="R544" s="157"/>
      <c r="S544" s="157"/>
      <c r="T544" s="157"/>
      <c r="U544" s="157"/>
      <c r="V544" s="158"/>
      <c r="W544" s="182"/>
      <c r="X544" s="1"/>
      <c r="Y544" s="78">
        <f t="shared" si="66"/>
        <v>0</v>
      </c>
      <c r="Z544" s="78">
        <f t="shared" si="67"/>
        <v>0</v>
      </c>
      <c r="AA544" s="78">
        <f t="shared" si="68"/>
        <v>0</v>
      </c>
      <c r="AB544" s="78">
        <f t="shared" si="69"/>
        <v>0</v>
      </c>
      <c r="AC544" s="78"/>
      <c r="AD544" s="78">
        <v>0</v>
      </c>
      <c r="AE544" s="80">
        <f t="shared" si="71"/>
        <v>0</v>
      </c>
      <c r="AF544" s="82">
        <v>0</v>
      </c>
      <c r="AG544" s="69">
        <v>40624</v>
      </c>
      <c r="AH544" s="84"/>
      <c r="AI544" s="69" t="s">
        <v>1984</v>
      </c>
      <c r="AJ544" s="25" t="s">
        <v>1985</v>
      </c>
      <c r="AK544" s="65"/>
      <c r="AL544" s="176" t="s">
        <v>1257</v>
      </c>
      <c r="AM544" s="173" t="s">
        <v>457</v>
      </c>
      <c r="AN544" s="159"/>
      <c r="AO544" s="160"/>
      <c r="AP544" s="161"/>
      <c r="AQ544" s="160"/>
      <c r="AR544" s="160"/>
      <c r="AS544" s="160"/>
      <c r="AT544" s="160"/>
      <c r="AU544" s="160"/>
      <c r="AV544" s="160"/>
      <c r="AW544" s="160"/>
      <c r="AX544" s="160"/>
      <c r="AY544" s="160"/>
      <c r="AZ544" s="160"/>
      <c r="BA544" s="160"/>
      <c r="BB544" s="160"/>
      <c r="BC544" s="160"/>
      <c r="BD544" s="160"/>
      <c r="BE544" s="160"/>
      <c r="BF544" s="160"/>
      <c r="BG544" s="160"/>
      <c r="BH544" s="160"/>
      <c r="BI544" s="160"/>
      <c r="BJ544" s="160"/>
      <c r="BK544" s="160"/>
      <c r="BL544" s="160"/>
      <c r="BM544" s="160"/>
      <c r="BN544" s="160"/>
      <c r="BO544" s="160"/>
      <c r="BP544" s="160"/>
      <c r="BQ544" s="160"/>
      <c r="BR544" s="160"/>
      <c r="BS544" s="160"/>
      <c r="BT544" s="160"/>
      <c r="BU544" s="160"/>
      <c r="BV544" s="160"/>
      <c r="BW544" s="160"/>
      <c r="BX544" s="160"/>
      <c r="BY544" s="160"/>
      <c r="BZ544" s="160"/>
      <c r="CA544" s="160"/>
      <c r="CB544" s="160"/>
      <c r="CC544" s="160"/>
      <c r="CD544" s="160"/>
      <c r="CE544" s="160"/>
      <c r="CF544" s="160"/>
      <c r="CG544" s="160"/>
      <c r="CH544" s="160"/>
      <c r="CI544" s="160"/>
      <c r="CJ544" s="160"/>
      <c r="CK544" s="160"/>
      <c r="CL544" s="160"/>
      <c r="CM544" s="160"/>
      <c r="CN544" s="160"/>
      <c r="CO544" s="160"/>
      <c r="CP544" s="162"/>
      <c r="CQ544" s="163"/>
      <c r="CR544" s="162"/>
      <c r="CS544" s="163"/>
      <c r="CT544" s="162"/>
      <c r="CU544" s="163"/>
      <c r="CV544" s="164">
        <f t="shared" si="70"/>
        <v>0</v>
      </c>
      <c r="CW544" s="165"/>
      <c r="CX544" s="166"/>
      <c r="CY544" s="167"/>
      <c r="CZ544" s="168"/>
      <c r="DA544" s="169"/>
      <c r="DB544" s="168"/>
      <c r="DC544" s="165"/>
      <c r="DD544" s="166"/>
      <c r="DE544" s="71"/>
      <c r="DF544" s="170"/>
      <c r="EO544" s="353" t="str">
        <f t="shared" si="65"/>
        <v>RISARALDA_LA CELIA</v>
      </c>
      <c r="EP544" s="350"/>
      <c r="EQ544" s="350" t="s">
        <v>4311</v>
      </c>
      <c r="ER544" s="358" t="s">
        <v>6260</v>
      </c>
      <c r="ES544" s="350" t="s">
        <v>5199</v>
      </c>
      <c r="ET544" s="350" t="s">
        <v>3204</v>
      </c>
      <c r="EU544" s="350" t="str">
        <f t="shared" si="72"/>
        <v>Cundinamarca_Pandi</v>
      </c>
    </row>
    <row r="545" spans="1:151" ht="51" x14ac:dyDescent="0.2">
      <c r="A545" s="242">
        <v>40310</v>
      </c>
      <c r="B545" s="107" t="s">
        <v>1462</v>
      </c>
      <c r="C545" s="107" t="s">
        <v>2432</v>
      </c>
      <c r="D545" s="427" t="s">
        <v>2209</v>
      </c>
      <c r="E545" s="107" t="str">
        <f>VLOOKUP(B545&amp;C545,Divipola!$C$2:$F$1138,4,FALSE)</f>
        <v>76054</v>
      </c>
      <c r="F545" s="330"/>
      <c r="G545" s="224"/>
      <c r="H545" s="75"/>
      <c r="I545" s="75"/>
      <c r="J545" s="75">
        <f>25*5</f>
        <v>125</v>
      </c>
      <c r="K545" s="75">
        <v>25</v>
      </c>
      <c r="L545" s="75"/>
      <c r="M545" s="75">
        <v>25</v>
      </c>
      <c r="N545" s="75"/>
      <c r="O545" s="75"/>
      <c r="P545" s="75"/>
      <c r="Q545" s="75"/>
      <c r="R545" s="75"/>
      <c r="S545" s="75"/>
      <c r="T545" s="75"/>
      <c r="U545" s="75">
        <v>1</v>
      </c>
      <c r="V545" s="76"/>
      <c r="W545" s="205"/>
      <c r="X545" s="1">
        <v>40330</v>
      </c>
      <c r="Y545" s="78">
        <f t="shared" si="66"/>
        <v>2800000</v>
      </c>
      <c r="Z545" s="78">
        <f t="shared" si="67"/>
        <v>2125000</v>
      </c>
      <c r="AA545" s="78">
        <f t="shared" si="68"/>
        <v>5220000</v>
      </c>
      <c r="AB545" s="78">
        <f t="shared" si="69"/>
        <v>0</v>
      </c>
      <c r="AC545" s="78"/>
      <c r="AD545" s="78">
        <v>0</v>
      </c>
      <c r="AE545" s="80">
        <f t="shared" si="71"/>
        <v>10145000</v>
      </c>
      <c r="AF545" s="82">
        <v>0</v>
      </c>
      <c r="AG545" s="69">
        <v>40311</v>
      </c>
      <c r="AH545" s="84">
        <v>97589</v>
      </c>
      <c r="AI545" s="69" t="s">
        <v>2009</v>
      </c>
      <c r="AJ545" s="25" t="s">
        <v>2010</v>
      </c>
      <c r="AK545" s="88" t="s">
        <v>2051</v>
      </c>
      <c r="AL545" s="185" t="s">
        <v>1831</v>
      </c>
      <c r="AM545" s="85" t="s">
        <v>3158</v>
      </c>
      <c r="AN545" s="3"/>
      <c r="AO545" s="4"/>
      <c r="AP545" s="5"/>
      <c r="AQ545" s="4"/>
      <c r="AR545" s="4"/>
      <c r="AS545" s="4"/>
      <c r="AT545" s="4"/>
      <c r="AU545" s="4"/>
      <c r="AV545" s="4"/>
      <c r="AW545" s="4"/>
      <c r="AX545" s="4"/>
      <c r="AY545" s="4"/>
      <c r="AZ545" s="4">
        <v>50</v>
      </c>
      <c r="BA545" s="4">
        <f>50*56000</f>
        <v>2800000</v>
      </c>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6"/>
      <c r="CQ545" s="7"/>
      <c r="CR545" s="6"/>
      <c r="CS545" s="7"/>
      <c r="CT545" s="6"/>
      <c r="CU545" s="7"/>
      <c r="CV545" s="8">
        <f t="shared" si="70"/>
        <v>2800000</v>
      </c>
      <c r="CW545" s="9"/>
      <c r="CX545" s="10"/>
      <c r="CY545" s="11">
        <v>25</v>
      </c>
      <c r="CZ545" s="12">
        <f>25*85000</f>
        <v>2125000</v>
      </c>
      <c r="DA545" s="29"/>
      <c r="DB545" s="12"/>
      <c r="DC545" s="9">
        <v>250</v>
      </c>
      <c r="DD545" s="10">
        <f>250*18792+1000*522</f>
        <v>5220000</v>
      </c>
      <c r="DE545" s="71"/>
      <c r="EO545" s="353" t="str">
        <f t="shared" si="65"/>
        <v>VALLE DEL CAUCA_ARGELIA</v>
      </c>
      <c r="EP545" s="350"/>
      <c r="EQ545" s="350" t="s">
        <v>4311</v>
      </c>
      <c r="ER545" s="358" t="s">
        <v>6260</v>
      </c>
      <c r="ES545" s="350" t="s">
        <v>5200</v>
      </c>
      <c r="ET545" s="350" t="s">
        <v>3205</v>
      </c>
      <c r="EU545" s="350" t="str">
        <f t="shared" si="72"/>
        <v>Cundinamarca_Paratebueno</v>
      </c>
    </row>
    <row r="546" spans="1:151" ht="63.75" x14ac:dyDescent="0.2">
      <c r="A546" s="242">
        <v>40310</v>
      </c>
      <c r="B546" s="107" t="s">
        <v>1462</v>
      </c>
      <c r="C546" s="107" t="s">
        <v>884</v>
      </c>
      <c r="D546" s="427" t="s">
        <v>2209</v>
      </c>
      <c r="E546" s="107" t="str">
        <f>VLOOKUP(B546&amp;C546,Divipola!$C$2:$F$1138,4,FALSE)</f>
        <v>76113</v>
      </c>
      <c r="F546" s="330"/>
      <c r="G546" s="224"/>
      <c r="H546" s="75"/>
      <c r="I546" s="75"/>
      <c r="J546" s="75">
        <f>120*5</f>
        <v>600</v>
      </c>
      <c r="K546" s="75">
        <v>120</v>
      </c>
      <c r="L546" s="75"/>
      <c r="M546" s="75">
        <v>120</v>
      </c>
      <c r="N546" s="75"/>
      <c r="O546" s="75"/>
      <c r="P546" s="75"/>
      <c r="Q546" s="75"/>
      <c r="R546" s="75"/>
      <c r="S546" s="75"/>
      <c r="T546" s="75"/>
      <c r="U546" s="75"/>
      <c r="V546" s="76"/>
      <c r="W546" s="205"/>
      <c r="X546" s="1">
        <v>40330</v>
      </c>
      <c r="Y546" s="78">
        <f t="shared" si="66"/>
        <v>13440000</v>
      </c>
      <c r="Z546" s="78">
        <f t="shared" si="67"/>
        <v>10200000</v>
      </c>
      <c r="AA546" s="78">
        <f t="shared" si="68"/>
        <v>12528000</v>
      </c>
      <c r="AB546" s="78">
        <f t="shared" si="69"/>
        <v>0</v>
      </c>
      <c r="AC546" s="78"/>
      <c r="AD546" s="78">
        <v>0</v>
      </c>
      <c r="AE546" s="80">
        <f t="shared" si="71"/>
        <v>36168000</v>
      </c>
      <c r="AF546" s="82">
        <v>0</v>
      </c>
      <c r="AG546" s="69">
        <v>40311</v>
      </c>
      <c r="AH546" s="84">
        <v>97589</v>
      </c>
      <c r="AI546" s="69" t="s">
        <v>2009</v>
      </c>
      <c r="AJ546" s="25" t="s">
        <v>2010</v>
      </c>
      <c r="AK546" s="88" t="s">
        <v>2050</v>
      </c>
      <c r="AL546" s="185" t="s">
        <v>1831</v>
      </c>
      <c r="AM546" s="85" t="s">
        <v>3155</v>
      </c>
      <c r="AN546" s="3"/>
      <c r="AO546" s="4"/>
      <c r="AP546" s="5"/>
      <c r="AQ546" s="4"/>
      <c r="AR546" s="4"/>
      <c r="AS546" s="4"/>
      <c r="AT546" s="4"/>
      <c r="AU546" s="4"/>
      <c r="AV546" s="4"/>
      <c r="AW546" s="4"/>
      <c r="AX546" s="4"/>
      <c r="AY546" s="4"/>
      <c r="AZ546" s="4">
        <v>240</v>
      </c>
      <c r="BA546" s="4">
        <f>240*56000</f>
        <v>13440000</v>
      </c>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6"/>
      <c r="CQ546" s="7"/>
      <c r="CR546" s="6"/>
      <c r="CS546" s="7"/>
      <c r="CT546" s="6"/>
      <c r="CU546" s="7"/>
      <c r="CV546" s="8">
        <f t="shared" si="70"/>
        <v>13440000</v>
      </c>
      <c r="CW546" s="9"/>
      <c r="CX546" s="10"/>
      <c r="CY546" s="11">
        <v>120</v>
      </c>
      <c r="CZ546" s="12">
        <f>120*85000</f>
        <v>10200000</v>
      </c>
      <c r="DA546" s="29"/>
      <c r="DB546" s="12"/>
      <c r="DC546" s="9">
        <v>600</v>
      </c>
      <c r="DD546" s="10">
        <f>600*18792+2400*522</f>
        <v>12528000</v>
      </c>
      <c r="DE546" s="71"/>
      <c r="EO546" s="353" t="str">
        <f t="shared" si="65"/>
        <v>VALLE DEL CAUCA_BUGALAGRANDE</v>
      </c>
      <c r="EP546" s="350"/>
      <c r="EQ546" s="350" t="s">
        <v>4311</v>
      </c>
      <c r="ER546" s="358" t="s">
        <v>6260</v>
      </c>
      <c r="ES546" s="350" t="s">
        <v>5201</v>
      </c>
      <c r="ET546" s="350" t="s">
        <v>3206</v>
      </c>
      <c r="EU546" s="350" t="str">
        <f t="shared" si="72"/>
        <v>Cundinamarca_Pasca</v>
      </c>
    </row>
    <row r="547" spans="1:151" ht="51" x14ac:dyDescent="0.2">
      <c r="A547" s="242">
        <v>40310</v>
      </c>
      <c r="B547" s="107" t="s">
        <v>1462</v>
      </c>
      <c r="C547" s="107" t="s">
        <v>865</v>
      </c>
      <c r="D547" s="427" t="s">
        <v>2307</v>
      </c>
      <c r="E547" s="107" t="str">
        <f>VLOOKUP(B547&amp;C547,Divipola!$C$2:$F$1138,4,FALSE)</f>
        <v>76243</v>
      </c>
      <c r="F547" s="330"/>
      <c r="G547" s="224"/>
      <c r="H547" s="75"/>
      <c r="I547" s="75"/>
      <c r="J547" s="75"/>
      <c r="K547" s="75"/>
      <c r="L547" s="75"/>
      <c r="M547" s="75"/>
      <c r="N547" s="75"/>
      <c r="O547" s="75"/>
      <c r="P547" s="75"/>
      <c r="Q547" s="75"/>
      <c r="R547" s="75"/>
      <c r="S547" s="75"/>
      <c r="T547" s="75"/>
      <c r="U547" s="75"/>
      <c r="V547" s="76"/>
      <c r="W547" s="205"/>
      <c r="X547" s="1"/>
      <c r="Y547" s="78">
        <f t="shared" si="66"/>
        <v>0</v>
      </c>
      <c r="Z547" s="78">
        <f t="shared" si="67"/>
        <v>0</v>
      </c>
      <c r="AA547" s="78">
        <f t="shared" si="68"/>
        <v>0</v>
      </c>
      <c r="AB547" s="78">
        <f t="shared" si="69"/>
        <v>0</v>
      </c>
      <c r="AC547" s="78"/>
      <c r="AD547" s="78">
        <v>0</v>
      </c>
      <c r="AE547" s="80">
        <f t="shared" si="71"/>
        <v>0</v>
      </c>
      <c r="AF547" s="82">
        <v>0</v>
      </c>
      <c r="AG547" s="69">
        <v>40311</v>
      </c>
      <c r="AH547" s="84"/>
      <c r="AI547" s="69" t="s">
        <v>1984</v>
      </c>
      <c r="AJ547" s="25" t="s">
        <v>1985</v>
      </c>
      <c r="AK547" s="65"/>
      <c r="AL547" s="185" t="s">
        <v>1257</v>
      </c>
      <c r="AM547" s="85" t="s">
        <v>2198</v>
      </c>
      <c r="AN547" s="3"/>
      <c r="AO547" s="4"/>
      <c r="AP547" s="5"/>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6"/>
      <c r="CQ547" s="7"/>
      <c r="CR547" s="6"/>
      <c r="CS547" s="7"/>
      <c r="CT547" s="6"/>
      <c r="CU547" s="7"/>
      <c r="CV547" s="8">
        <f t="shared" si="70"/>
        <v>0</v>
      </c>
      <c r="CW547" s="9"/>
      <c r="CX547" s="10"/>
      <c r="CY547" s="11"/>
      <c r="CZ547" s="12"/>
      <c r="DA547" s="29"/>
      <c r="DB547" s="12"/>
      <c r="DC547" s="9"/>
      <c r="DD547" s="10"/>
      <c r="DE547" s="71"/>
      <c r="EO547" s="353" t="str">
        <f t="shared" si="65"/>
        <v>VALLE DEL CAUCA_EL AGUILA</v>
      </c>
      <c r="EP547" s="350"/>
      <c r="EQ547" s="350" t="s">
        <v>4311</v>
      </c>
      <c r="ER547" s="358" t="s">
        <v>6260</v>
      </c>
      <c r="ES547" s="350" t="s">
        <v>5202</v>
      </c>
      <c r="ET547" s="350" t="s">
        <v>3207</v>
      </c>
      <c r="EU547" s="350" t="str">
        <f t="shared" si="72"/>
        <v>Cundinamarca_Puerto Salgar</v>
      </c>
    </row>
    <row r="548" spans="1:151" ht="51" x14ac:dyDescent="0.2">
      <c r="A548" s="242">
        <v>40310</v>
      </c>
      <c r="B548" s="107" t="s">
        <v>1462</v>
      </c>
      <c r="C548" s="107" t="s">
        <v>3156</v>
      </c>
      <c r="D548" s="427" t="s">
        <v>2209</v>
      </c>
      <c r="E548" s="107" t="str">
        <f>VLOOKUP(B548&amp;C548,Divipola!$C$2:$F$1138,4,FALSE)</f>
        <v>76248</v>
      </c>
      <c r="F548" s="330"/>
      <c r="G548" s="224"/>
      <c r="H548" s="75"/>
      <c r="I548" s="75"/>
      <c r="J548" s="75">
        <f>200*5</f>
        <v>1000</v>
      </c>
      <c r="K548" s="75">
        <v>200</v>
      </c>
      <c r="L548" s="75"/>
      <c r="M548" s="75">
        <v>200</v>
      </c>
      <c r="N548" s="75"/>
      <c r="O548" s="75"/>
      <c r="P548" s="75"/>
      <c r="Q548" s="75"/>
      <c r="R548" s="75"/>
      <c r="S548" s="75"/>
      <c r="T548" s="75"/>
      <c r="U548" s="75"/>
      <c r="V548" s="76"/>
      <c r="W548" s="205"/>
      <c r="X548" s="1">
        <v>40330</v>
      </c>
      <c r="Y548" s="78">
        <f t="shared" si="66"/>
        <v>2240000</v>
      </c>
      <c r="Z548" s="78">
        <f t="shared" si="67"/>
        <v>1700000</v>
      </c>
      <c r="AA548" s="78">
        <f t="shared" si="68"/>
        <v>4176000</v>
      </c>
      <c r="AB548" s="78">
        <f t="shared" si="69"/>
        <v>0</v>
      </c>
      <c r="AC548" s="78"/>
      <c r="AD548" s="78">
        <v>0</v>
      </c>
      <c r="AE548" s="80">
        <f t="shared" si="71"/>
        <v>8116000</v>
      </c>
      <c r="AF548" s="82">
        <v>0</v>
      </c>
      <c r="AG548" s="69">
        <v>40317</v>
      </c>
      <c r="AH548" s="84">
        <v>97589</v>
      </c>
      <c r="AI548" s="69" t="s">
        <v>2009</v>
      </c>
      <c r="AJ548" s="25" t="s">
        <v>2010</v>
      </c>
      <c r="AK548" s="88" t="s">
        <v>2050</v>
      </c>
      <c r="AL548" s="185" t="s">
        <v>2182</v>
      </c>
      <c r="AM548" s="85" t="s">
        <v>3157</v>
      </c>
      <c r="AN548" s="3"/>
      <c r="AO548" s="4"/>
      <c r="AP548" s="5"/>
      <c r="AQ548" s="4"/>
      <c r="AR548" s="4"/>
      <c r="AS548" s="4"/>
      <c r="AT548" s="4"/>
      <c r="AU548" s="4"/>
      <c r="AV548" s="4"/>
      <c r="AW548" s="4"/>
      <c r="AX548" s="4"/>
      <c r="AY548" s="4"/>
      <c r="AZ548" s="4">
        <v>40</v>
      </c>
      <c r="BA548" s="4">
        <f>40*56000</f>
        <v>2240000</v>
      </c>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6"/>
      <c r="CQ548" s="7"/>
      <c r="CR548" s="6"/>
      <c r="CS548" s="7"/>
      <c r="CT548" s="6"/>
      <c r="CU548" s="7"/>
      <c r="CV548" s="8">
        <f t="shared" si="70"/>
        <v>2240000</v>
      </c>
      <c r="CW548" s="9"/>
      <c r="CX548" s="10"/>
      <c r="CY548" s="11">
        <v>20</v>
      </c>
      <c r="CZ548" s="12">
        <f>20*85000</f>
        <v>1700000</v>
      </c>
      <c r="DA548" s="29"/>
      <c r="DB548" s="12"/>
      <c r="DC548" s="9">
        <v>200</v>
      </c>
      <c r="DD548" s="10">
        <f>200*18792+800*522</f>
        <v>4176000</v>
      </c>
      <c r="DE548" s="71"/>
      <c r="EO548" s="353" t="str">
        <f t="shared" si="65"/>
        <v>VALLE DEL CAUCA_EL CERRITO</v>
      </c>
      <c r="EP548" s="350"/>
      <c r="EQ548" s="350" t="s">
        <v>4311</v>
      </c>
      <c r="ER548" s="358" t="s">
        <v>6260</v>
      </c>
      <c r="ES548" s="350" t="s">
        <v>5203</v>
      </c>
      <c r="ET548" s="350" t="s">
        <v>3208</v>
      </c>
      <c r="EU548" s="350" t="str">
        <f t="shared" si="72"/>
        <v>Cundinamarca_Puli</v>
      </c>
    </row>
    <row r="549" spans="1:151" ht="51" x14ac:dyDescent="0.2">
      <c r="A549" s="242">
        <v>40310</v>
      </c>
      <c r="B549" s="107" t="s">
        <v>1462</v>
      </c>
      <c r="C549" s="107" t="s">
        <v>610</v>
      </c>
      <c r="D549" s="427" t="s">
        <v>2209</v>
      </c>
      <c r="E549" s="107" t="str">
        <f>VLOOKUP(B549&amp;C549,Divipola!$C$2:$F$1138,4,FALSE)</f>
        <v>76520</v>
      </c>
      <c r="F549" s="330"/>
      <c r="G549" s="224"/>
      <c r="H549" s="75"/>
      <c r="I549" s="75"/>
      <c r="J549" s="75">
        <f>310*5</f>
        <v>1550</v>
      </c>
      <c r="K549" s="75">
        <v>310</v>
      </c>
      <c r="L549" s="75"/>
      <c r="M549" s="75">
        <f>211-1-35-3-8-44</f>
        <v>120</v>
      </c>
      <c r="N549" s="75"/>
      <c r="O549" s="75"/>
      <c r="P549" s="75"/>
      <c r="Q549" s="75"/>
      <c r="R549" s="75"/>
      <c r="S549" s="75"/>
      <c r="T549" s="75"/>
      <c r="U549" s="75"/>
      <c r="V549" s="76"/>
      <c r="W549" s="205" t="s">
        <v>279</v>
      </c>
      <c r="X549" s="1">
        <v>40330</v>
      </c>
      <c r="Y549" s="78">
        <f t="shared" si="66"/>
        <v>33600000</v>
      </c>
      <c r="Z549" s="78">
        <f t="shared" si="67"/>
        <v>25500000</v>
      </c>
      <c r="AA549" s="78">
        <f t="shared" si="68"/>
        <v>31320000</v>
      </c>
      <c r="AB549" s="78">
        <f t="shared" si="69"/>
        <v>0</v>
      </c>
      <c r="AC549" s="78"/>
      <c r="AD549" s="78">
        <v>0</v>
      </c>
      <c r="AE549" s="80">
        <f t="shared" si="71"/>
        <v>90420000</v>
      </c>
      <c r="AF549" s="82">
        <v>0</v>
      </c>
      <c r="AG549" s="69">
        <v>40310</v>
      </c>
      <c r="AH549" s="84">
        <v>97589</v>
      </c>
      <c r="AI549" s="69" t="s">
        <v>2009</v>
      </c>
      <c r="AJ549" s="25" t="s">
        <v>2010</v>
      </c>
      <c r="AK549" s="88" t="s">
        <v>2050</v>
      </c>
      <c r="AL549" s="185" t="s">
        <v>1831</v>
      </c>
      <c r="AM549" s="85" t="s">
        <v>3154</v>
      </c>
      <c r="AN549" s="3"/>
      <c r="AO549" s="4"/>
      <c r="AP549" s="5"/>
      <c r="AQ549" s="4"/>
      <c r="AR549" s="4"/>
      <c r="AS549" s="4"/>
      <c r="AT549" s="4"/>
      <c r="AU549" s="4"/>
      <c r="AV549" s="4"/>
      <c r="AW549" s="4"/>
      <c r="AX549" s="4"/>
      <c r="AY549" s="4"/>
      <c r="AZ549" s="4">
        <v>600</v>
      </c>
      <c r="BA549" s="4">
        <f>600*56000</f>
        <v>33600000</v>
      </c>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6"/>
      <c r="CQ549" s="7"/>
      <c r="CR549" s="6"/>
      <c r="CS549" s="7"/>
      <c r="CT549" s="6"/>
      <c r="CU549" s="7"/>
      <c r="CV549" s="8">
        <f t="shared" si="70"/>
        <v>33600000</v>
      </c>
      <c r="CW549" s="9"/>
      <c r="CX549" s="10"/>
      <c r="CY549" s="11">
        <v>300</v>
      </c>
      <c r="CZ549" s="12">
        <f>300*85000</f>
        <v>25500000</v>
      </c>
      <c r="DA549" s="29"/>
      <c r="DB549" s="12"/>
      <c r="DC549" s="9">
        <v>1500</v>
      </c>
      <c r="DD549" s="10">
        <f>1500*18792+6000*522</f>
        <v>31320000</v>
      </c>
      <c r="DE549" s="71"/>
      <c r="EO549" s="353" t="str">
        <f t="shared" si="65"/>
        <v>VALLE DEL CAUCA_PALMIRA</v>
      </c>
      <c r="EP549" s="350"/>
      <c r="EQ549" s="350" t="s">
        <v>4311</v>
      </c>
      <c r="ER549" s="358" t="s">
        <v>6260</v>
      </c>
      <c r="ES549" s="350" t="s">
        <v>5204</v>
      </c>
      <c r="ET549" s="350" t="s">
        <v>3209</v>
      </c>
      <c r="EU549" s="350" t="str">
        <f t="shared" si="72"/>
        <v>Cundinamarca_Quebradanegra</v>
      </c>
    </row>
    <row r="550" spans="1:151" ht="96" x14ac:dyDescent="0.2">
      <c r="A550" s="242">
        <v>40311</v>
      </c>
      <c r="B550" s="107" t="s">
        <v>2012</v>
      </c>
      <c r="C550" s="107" t="s">
        <v>1103</v>
      </c>
      <c r="D550" s="427" t="s">
        <v>2331</v>
      </c>
      <c r="E550" s="107" t="str">
        <f>VLOOKUP(B550&amp;C550,Divipola!$C$2:$F$1138,4,FALSE)</f>
        <v>66075</v>
      </c>
      <c r="F550" s="330"/>
      <c r="G550" s="224"/>
      <c r="H550" s="75"/>
      <c r="I550" s="75"/>
      <c r="J550" s="75"/>
      <c r="K550" s="75"/>
      <c r="L550" s="75"/>
      <c r="M550" s="75"/>
      <c r="N550" s="75"/>
      <c r="O550" s="75"/>
      <c r="P550" s="75"/>
      <c r="Q550" s="75">
        <v>1</v>
      </c>
      <c r="R550" s="75"/>
      <c r="S550" s="75"/>
      <c r="T550" s="75"/>
      <c r="U550" s="75"/>
      <c r="V550" s="76"/>
      <c r="W550" s="205"/>
      <c r="X550" s="1">
        <v>40318</v>
      </c>
      <c r="Y550" s="78">
        <f t="shared" si="66"/>
        <v>0</v>
      </c>
      <c r="Z550" s="78">
        <f t="shared" si="67"/>
        <v>0</v>
      </c>
      <c r="AA550" s="78">
        <f t="shared" si="68"/>
        <v>0</v>
      </c>
      <c r="AB550" s="78">
        <f t="shared" si="69"/>
        <v>0</v>
      </c>
      <c r="AC550" s="78"/>
      <c r="AD550" s="78">
        <v>50000000</v>
      </c>
      <c r="AE550" s="80">
        <f t="shared" si="71"/>
        <v>50000000</v>
      </c>
      <c r="AF550" s="82">
        <v>0</v>
      </c>
      <c r="AG550" s="69">
        <v>40316</v>
      </c>
      <c r="AH550" s="84">
        <v>97586</v>
      </c>
      <c r="AI550" s="69" t="s">
        <v>2009</v>
      </c>
      <c r="AJ550" s="25" t="s">
        <v>2010</v>
      </c>
      <c r="AK550" s="65">
        <v>246</v>
      </c>
      <c r="AL550" s="185" t="s">
        <v>1831</v>
      </c>
      <c r="AM550" s="85" t="s">
        <v>1007</v>
      </c>
      <c r="AN550" s="3"/>
      <c r="AO550" s="4"/>
      <c r="AP550" s="5"/>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6"/>
      <c r="CQ550" s="7"/>
      <c r="CR550" s="6"/>
      <c r="CS550" s="7"/>
      <c r="CT550" s="6"/>
      <c r="CU550" s="7"/>
      <c r="CV550" s="8">
        <f t="shared" si="70"/>
        <v>0</v>
      </c>
      <c r="CW550" s="9"/>
      <c r="CX550" s="10"/>
      <c r="CY550" s="11"/>
      <c r="CZ550" s="12"/>
      <c r="DA550" s="29"/>
      <c r="DB550" s="12"/>
      <c r="DC550" s="9"/>
      <c r="DD550" s="10"/>
      <c r="DE550" s="71">
        <v>4</v>
      </c>
      <c r="EO550" s="353" t="str">
        <f t="shared" si="65"/>
        <v>RISARALDA_BALBOA</v>
      </c>
      <c r="EP550" s="350"/>
      <c r="EQ550" s="350" t="s">
        <v>4311</v>
      </c>
      <c r="ER550" s="358" t="s">
        <v>6260</v>
      </c>
      <c r="ES550" s="350" t="s">
        <v>5205</v>
      </c>
      <c r="ET550" s="350" t="s">
        <v>3210</v>
      </c>
      <c r="EU550" s="350" t="str">
        <f t="shared" si="72"/>
        <v>Cundinamarca_Quetame</v>
      </c>
    </row>
    <row r="551" spans="1:151" ht="51" x14ac:dyDescent="0.2">
      <c r="A551" s="242">
        <v>40311</v>
      </c>
      <c r="B551" s="107" t="s">
        <v>1972</v>
      </c>
      <c r="C551" s="107" t="s">
        <v>2419</v>
      </c>
      <c r="D551" s="427" t="s">
        <v>1721</v>
      </c>
      <c r="E551" s="107" t="str">
        <f>VLOOKUP(B551&amp;C551,Divipola!$C$2:$F$1138,4,FALSE)</f>
        <v>88564</v>
      </c>
      <c r="F551" s="330"/>
      <c r="G551" s="224"/>
      <c r="H551" s="75"/>
      <c r="I551" s="75"/>
      <c r="J551" s="75">
        <v>12</v>
      </c>
      <c r="K551" s="75">
        <v>3</v>
      </c>
      <c r="L551" s="75">
        <v>3</v>
      </c>
      <c r="M551" s="75"/>
      <c r="N551" s="75"/>
      <c r="O551" s="75"/>
      <c r="P551" s="75"/>
      <c r="Q551" s="75"/>
      <c r="R551" s="75"/>
      <c r="S551" s="75"/>
      <c r="T551" s="75"/>
      <c r="U551" s="75"/>
      <c r="V551" s="76"/>
      <c r="W551" s="205"/>
      <c r="X551" s="1"/>
      <c r="Y551" s="78">
        <f t="shared" si="66"/>
        <v>0</v>
      </c>
      <c r="Z551" s="78">
        <f t="shared" si="67"/>
        <v>0</v>
      </c>
      <c r="AA551" s="78">
        <f t="shared" si="68"/>
        <v>0</v>
      </c>
      <c r="AB551" s="78">
        <f t="shared" si="69"/>
        <v>0</v>
      </c>
      <c r="AC551" s="78"/>
      <c r="AD551" s="78">
        <v>0</v>
      </c>
      <c r="AE551" s="80">
        <f t="shared" si="71"/>
        <v>0</v>
      </c>
      <c r="AF551" s="82">
        <v>0</v>
      </c>
      <c r="AG551" s="69">
        <v>40312</v>
      </c>
      <c r="AH551" s="84"/>
      <c r="AI551" s="69" t="s">
        <v>1984</v>
      </c>
      <c r="AJ551" s="25" t="s">
        <v>1985</v>
      </c>
      <c r="AK551" s="65"/>
      <c r="AL551" s="185" t="s">
        <v>1257</v>
      </c>
      <c r="AM551" s="85" t="s">
        <v>1974</v>
      </c>
      <c r="AN551" s="3"/>
      <c r="AO551" s="4"/>
      <c r="AP551" s="5"/>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6"/>
      <c r="CQ551" s="7"/>
      <c r="CR551" s="6"/>
      <c r="CS551" s="7"/>
      <c r="CT551" s="6"/>
      <c r="CU551" s="7"/>
      <c r="CV551" s="8">
        <f t="shared" si="70"/>
        <v>0</v>
      </c>
      <c r="CW551" s="9"/>
      <c r="CX551" s="10"/>
      <c r="CY551" s="11"/>
      <c r="CZ551" s="12"/>
      <c r="DA551" s="29"/>
      <c r="DB551" s="12"/>
      <c r="DC551" s="9"/>
      <c r="DD551" s="10"/>
      <c r="DE551" s="71"/>
      <c r="EO551" s="353" t="str">
        <f t="shared" si="65"/>
        <v>SAN ANDRES_PROVIDENCIA</v>
      </c>
      <c r="EP551" s="350"/>
      <c r="EQ551" s="350" t="s">
        <v>4311</v>
      </c>
      <c r="ER551" s="358" t="s">
        <v>6260</v>
      </c>
      <c r="ES551" s="350" t="s">
        <v>5206</v>
      </c>
      <c r="ET551" s="350" t="s">
        <v>3211</v>
      </c>
      <c r="EU551" s="350" t="str">
        <f t="shared" si="72"/>
        <v>Cundinamarca_Quipile</v>
      </c>
    </row>
    <row r="552" spans="1:151" ht="38.25" x14ac:dyDescent="0.2">
      <c r="A552" s="242">
        <v>40311</v>
      </c>
      <c r="B552" s="107" t="s">
        <v>2427</v>
      </c>
      <c r="C552" s="107" t="s">
        <v>2480</v>
      </c>
      <c r="D552" s="427" t="s">
        <v>2307</v>
      </c>
      <c r="E552" s="107" t="str">
        <f>VLOOKUP(B552&amp;C552,Divipola!$C$2:$F$1138,4,FALSE)</f>
        <v>68575</v>
      </c>
      <c r="F552" s="330"/>
      <c r="G552" s="277">
        <v>2</v>
      </c>
      <c r="H552" s="75"/>
      <c r="I552" s="75"/>
      <c r="J552" s="75"/>
      <c r="K552" s="75"/>
      <c r="L552" s="75"/>
      <c r="M552" s="75"/>
      <c r="N552" s="75"/>
      <c r="O552" s="75"/>
      <c r="P552" s="75"/>
      <c r="Q552" s="75"/>
      <c r="R552" s="75"/>
      <c r="S552" s="75"/>
      <c r="T552" s="75"/>
      <c r="U552" s="75"/>
      <c r="V552" s="76"/>
      <c r="W552" s="205"/>
      <c r="X552" s="1"/>
      <c r="Y552" s="78">
        <f t="shared" si="66"/>
        <v>0</v>
      </c>
      <c r="Z552" s="78">
        <f t="shared" si="67"/>
        <v>0</v>
      </c>
      <c r="AA552" s="78">
        <f t="shared" si="68"/>
        <v>0</v>
      </c>
      <c r="AB552" s="78">
        <f t="shared" si="69"/>
        <v>0</v>
      </c>
      <c r="AC552" s="78"/>
      <c r="AD552" s="78">
        <v>0</v>
      </c>
      <c r="AE552" s="80">
        <f t="shared" si="71"/>
        <v>0</v>
      </c>
      <c r="AF552" s="82">
        <v>0</v>
      </c>
      <c r="AG552" s="69">
        <v>40312</v>
      </c>
      <c r="AH552" s="84"/>
      <c r="AI552" s="69" t="s">
        <v>2009</v>
      </c>
      <c r="AJ552" s="25" t="s">
        <v>2010</v>
      </c>
      <c r="AK552" s="65"/>
      <c r="AL552" s="214" t="s">
        <v>1183</v>
      </c>
      <c r="AM552" s="85" t="s">
        <v>2420</v>
      </c>
      <c r="AN552" s="3"/>
      <c r="AO552" s="4"/>
      <c r="AP552" s="5"/>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6"/>
      <c r="CQ552" s="7"/>
      <c r="CR552" s="6"/>
      <c r="CS552" s="7"/>
      <c r="CT552" s="6"/>
      <c r="CU552" s="7"/>
      <c r="CV552" s="8">
        <f t="shared" si="70"/>
        <v>0</v>
      </c>
      <c r="CW552" s="9"/>
      <c r="CX552" s="10"/>
      <c r="CY552" s="11"/>
      <c r="CZ552" s="12"/>
      <c r="DA552" s="29"/>
      <c r="DB552" s="12"/>
      <c r="DC552" s="9"/>
      <c r="DD552" s="10"/>
      <c r="DE552" s="71"/>
      <c r="EO552" s="353" t="str">
        <f t="shared" si="65"/>
        <v>SANTANDER_PUERTO WILCHES</v>
      </c>
      <c r="EP552" s="350"/>
      <c r="EQ552" s="350" t="s">
        <v>4311</v>
      </c>
      <c r="ER552" s="358" t="s">
        <v>6260</v>
      </c>
      <c r="ES552" s="350" t="s">
        <v>5207</v>
      </c>
      <c r="ET552" s="350" t="s">
        <v>3212</v>
      </c>
      <c r="EU552" s="350" t="str">
        <f t="shared" si="72"/>
        <v>Cundinamarca_Apulo</v>
      </c>
    </row>
    <row r="553" spans="1:151" ht="38.25" x14ac:dyDescent="0.2">
      <c r="A553" s="242">
        <v>40312</v>
      </c>
      <c r="B553" s="107" t="s">
        <v>1700</v>
      </c>
      <c r="C553" s="107" t="s">
        <v>2008</v>
      </c>
      <c r="D553" s="427" t="s">
        <v>837</v>
      </c>
      <c r="E553" s="107">
        <f>VLOOKUP(B553&amp;C553,Divipola!$C$2:$F$1138,4,FALSE)</f>
        <v>23</v>
      </c>
      <c r="F553" s="330"/>
      <c r="G553" s="224"/>
      <c r="H553" s="75"/>
      <c r="I553" s="75"/>
      <c r="J553" s="75"/>
      <c r="K553" s="75"/>
      <c r="L553" s="75"/>
      <c r="M553" s="75"/>
      <c r="N553" s="75"/>
      <c r="O553" s="75"/>
      <c r="P553" s="75"/>
      <c r="Q553" s="75"/>
      <c r="R553" s="75"/>
      <c r="S553" s="75"/>
      <c r="T553" s="75"/>
      <c r="U553" s="75"/>
      <c r="V553" s="76"/>
      <c r="W553" s="205"/>
      <c r="X553" s="1">
        <v>40358</v>
      </c>
      <c r="Y553" s="78">
        <f t="shared" si="66"/>
        <v>0</v>
      </c>
      <c r="Z553" s="78">
        <f t="shared" si="67"/>
        <v>0</v>
      </c>
      <c r="AA553" s="78">
        <f t="shared" si="68"/>
        <v>0</v>
      </c>
      <c r="AB553" s="78">
        <f t="shared" si="69"/>
        <v>89958000</v>
      </c>
      <c r="AC553" s="78"/>
      <c r="AD553" s="78">
        <v>0</v>
      </c>
      <c r="AE553" s="80">
        <f t="shared" si="71"/>
        <v>89958000</v>
      </c>
      <c r="AF553" s="82">
        <v>0</v>
      </c>
      <c r="AG553" s="69">
        <v>40312</v>
      </c>
      <c r="AH553" s="84">
        <v>97734</v>
      </c>
      <c r="AI553" s="69" t="s">
        <v>2009</v>
      </c>
      <c r="AJ553" s="25" t="s">
        <v>2010</v>
      </c>
      <c r="AK553" s="88" t="s">
        <v>2786</v>
      </c>
      <c r="AL553" s="185" t="s">
        <v>2045</v>
      </c>
      <c r="AM553" s="85" t="s">
        <v>2046</v>
      </c>
      <c r="AN553" s="3"/>
      <c r="AO553" s="4"/>
      <c r="AP553" s="5"/>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6"/>
      <c r="CQ553" s="7"/>
      <c r="CR553" s="6"/>
      <c r="CS553" s="7"/>
      <c r="CT553" s="6"/>
      <c r="CU553" s="7"/>
      <c r="CV553" s="8">
        <f t="shared" si="70"/>
        <v>0</v>
      </c>
      <c r="CW553" s="9">
        <f>50000+50000</f>
        <v>100000</v>
      </c>
      <c r="CX553" s="10">
        <f>50000*900.16+50000*899</f>
        <v>89958000</v>
      </c>
      <c r="CY553" s="11"/>
      <c r="CZ553" s="12"/>
      <c r="DA553" s="29"/>
      <c r="DB553" s="12"/>
      <c r="DC553" s="9"/>
      <c r="DD553" s="10"/>
      <c r="DE553" s="71"/>
      <c r="EO553" s="353" t="str">
        <f t="shared" si="65"/>
        <v>CORDOBA_DEPARTAMENTO</v>
      </c>
      <c r="EP553" s="350"/>
      <c r="EQ553" s="350" t="s">
        <v>4311</v>
      </c>
      <c r="ER553" s="358" t="s">
        <v>6260</v>
      </c>
      <c r="ES553" s="350" t="s">
        <v>5208</v>
      </c>
      <c r="ET553" s="350" t="s">
        <v>3213</v>
      </c>
      <c r="EU553" s="350" t="str">
        <f t="shared" si="72"/>
        <v>Cundinamarca_Ricaurte</v>
      </c>
    </row>
    <row r="554" spans="1:151" ht="63.75" x14ac:dyDescent="0.2">
      <c r="A554" s="242">
        <v>40312</v>
      </c>
      <c r="B554" s="222" t="s">
        <v>1333</v>
      </c>
      <c r="C554" s="222" t="s">
        <v>380</v>
      </c>
      <c r="D554" s="430" t="s">
        <v>837</v>
      </c>
      <c r="E554" s="107" t="str">
        <f>VLOOKUP(B554&amp;C554,Divipola!$C$2:$F$1138,4,FALSE)</f>
        <v>41524</v>
      </c>
      <c r="F554" s="333"/>
      <c r="G554" s="221"/>
      <c r="H554" s="157"/>
      <c r="I554" s="157"/>
      <c r="J554" s="157">
        <v>500</v>
      </c>
      <c r="K554" s="157">
        <v>100</v>
      </c>
      <c r="L554" s="157"/>
      <c r="M554" s="157"/>
      <c r="N554" s="157"/>
      <c r="O554" s="157"/>
      <c r="P554" s="157"/>
      <c r="Q554" s="157"/>
      <c r="R554" s="157"/>
      <c r="S554" s="157"/>
      <c r="T554" s="157"/>
      <c r="U554" s="157"/>
      <c r="V554" s="158"/>
      <c r="W554" s="182"/>
      <c r="X554" s="1"/>
      <c r="Y554" s="78">
        <f t="shared" si="66"/>
        <v>0</v>
      </c>
      <c r="Z554" s="78">
        <f t="shared" si="67"/>
        <v>0</v>
      </c>
      <c r="AA554" s="78">
        <f t="shared" si="68"/>
        <v>0</v>
      </c>
      <c r="AB554" s="78">
        <f t="shared" si="69"/>
        <v>0</v>
      </c>
      <c r="AC554" s="78"/>
      <c r="AD554" s="78">
        <v>0</v>
      </c>
      <c r="AE554" s="80">
        <f t="shared" si="71"/>
        <v>0</v>
      </c>
      <c r="AF554" s="82">
        <v>0</v>
      </c>
      <c r="AG554" s="69">
        <v>40581</v>
      </c>
      <c r="AH554" s="84"/>
      <c r="AI554" s="69" t="s">
        <v>1984</v>
      </c>
      <c r="AJ554" s="25" t="s">
        <v>1985</v>
      </c>
      <c r="AK554" s="65"/>
      <c r="AL554" s="176" t="s">
        <v>1257</v>
      </c>
      <c r="AM554" s="173" t="s">
        <v>349</v>
      </c>
      <c r="AN554" s="159"/>
      <c r="AO554" s="160"/>
      <c r="AP554" s="161"/>
      <c r="AQ554" s="160"/>
      <c r="AR554" s="160"/>
      <c r="AS554" s="160"/>
      <c r="AT554" s="160"/>
      <c r="AU554" s="160"/>
      <c r="AV554" s="160"/>
      <c r="AW554" s="160"/>
      <c r="AX554" s="160"/>
      <c r="AY554" s="160"/>
      <c r="AZ554" s="160"/>
      <c r="BA554" s="160"/>
      <c r="BB554" s="160"/>
      <c r="BC554" s="160"/>
      <c r="BD554" s="160"/>
      <c r="BE554" s="160"/>
      <c r="BF554" s="160"/>
      <c r="BG554" s="160"/>
      <c r="BH554" s="160"/>
      <c r="BI554" s="160"/>
      <c r="BJ554" s="160"/>
      <c r="BK554" s="160"/>
      <c r="BL554" s="160"/>
      <c r="BM554" s="160"/>
      <c r="BN554" s="160"/>
      <c r="BO554" s="160"/>
      <c r="BP554" s="160"/>
      <c r="BQ554" s="160"/>
      <c r="BR554" s="160"/>
      <c r="BS554" s="160"/>
      <c r="BT554" s="160"/>
      <c r="BU554" s="160"/>
      <c r="BV554" s="160"/>
      <c r="BW554" s="160"/>
      <c r="BX554" s="160"/>
      <c r="BY554" s="160"/>
      <c r="BZ554" s="160"/>
      <c r="CA554" s="160"/>
      <c r="CB554" s="160"/>
      <c r="CC554" s="160"/>
      <c r="CD554" s="160"/>
      <c r="CE554" s="160"/>
      <c r="CF554" s="160"/>
      <c r="CG554" s="160"/>
      <c r="CH554" s="160"/>
      <c r="CI554" s="160"/>
      <c r="CJ554" s="160"/>
      <c r="CK554" s="160"/>
      <c r="CL554" s="160"/>
      <c r="CM554" s="160"/>
      <c r="CN554" s="160"/>
      <c r="CO554" s="160"/>
      <c r="CP554" s="162"/>
      <c r="CQ554" s="163"/>
      <c r="CR554" s="162"/>
      <c r="CS554" s="163"/>
      <c r="CT554" s="162"/>
      <c r="CU554" s="163"/>
      <c r="CV554" s="164">
        <f t="shared" si="70"/>
        <v>0</v>
      </c>
      <c r="CW554" s="165"/>
      <c r="CX554" s="166"/>
      <c r="CY554" s="167"/>
      <c r="CZ554" s="168"/>
      <c r="DA554" s="169"/>
      <c r="DB554" s="168"/>
      <c r="DC554" s="165"/>
      <c r="DD554" s="166"/>
      <c r="DE554" s="71"/>
      <c r="DF554" s="170"/>
      <c r="EO554" s="353" t="str">
        <f t="shared" si="65"/>
        <v>HUILA_PALERMO</v>
      </c>
      <c r="EP554" s="350"/>
      <c r="EQ554" s="350" t="s">
        <v>4311</v>
      </c>
      <c r="ER554" s="358" t="s">
        <v>6260</v>
      </c>
      <c r="ES554" s="350" t="s">
        <v>5209</v>
      </c>
      <c r="ET554" s="350" t="s">
        <v>3214</v>
      </c>
      <c r="EU554" s="350" t="str">
        <f t="shared" si="72"/>
        <v>Cundinamarca_San Antonio del Tequendama</v>
      </c>
    </row>
    <row r="555" spans="1:151" ht="63.75" x14ac:dyDescent="0.2">
      <c r="A555" s="242">
        <v>40315</v>
      </c>
      <c r="B555" s="107" t="s">
        <v>2007</v>
      </c>
      <c r="C555" s="107" t="s">
        <v>2677</v>
      </c>
      <c r="D555" s="427" t="s">
        <v>2209</v>
      </c>
      <c r="E555" s="107" t="str">
        <f>VLOOKUP(B555&amp;C555,Divipola!$C$2:$F$1138,4,FALSE)</f>
        <v>25658</v>
      </c>
      <c r="F555" s="330"/>
      <c r="G555" s="224"/>
      <c r="H555" s="75"/>
      <c r="I555" s="75"/>
      <c r="J555" s="75">
        <f>36*3</f>
        <v>108</v>
      </c>
      <c r="K555" s="75">
        <v>36</v>
      </c>
      <c r="L555" s="75"/>
      <c r="M555" s="75">
        <v>36</v>
      </c>
      <c r="N555" s="75"/>
      <c r="O555" s="75"/>
      <c r="P555" s="75"/>
      <c r="Q555" s="75"/>
      <c r="R555" s="75"/>
      <c r="S555" s="75"/>
      <c r="T555" s="75">
        <v>2</v>
      </c>
      <c r="U555" s="75"/>
      <c r="V555" s="76"/>
      <c r="W555" s="205"/>
      <c r="X555" s="1"/>
      <c r="Y555" s="78">
        <f t="shared" si="66"/>
        <v>0</v>
      </c>
      <c r="Z555" s="78">
        <f t="shared" si="67"/>
        <v>0</v>
      </c>
      <c r="AA555" s="78">
        <f t="shared" si="68"/>
        <v>0</v>
      </c>
      <c r="AB555" s="78">
        <f t="shared" si="69"/>
        <v>0</v>
      </c>
      <c r="AC555" s="78"/>
      <c r="AD555" s="78">
        <v>0</v>
      </c>
      <c r="AE555" s="80">
        <f t="shared" si="71"/>
        <v>0</v>
      </c>
      <c r="AF555" s="82">
        <v>0</v>
      </c>
      <c r="AG555" s="69">
        <v>40372</v>
      </c>
      <c r="AH555" s="84">
        <v>34172</v>
      </c>
      <c r="AI555" s="69" t="s">
        <v>2009</v>
      </c>
      <c r="AJ555" s="25" t="s">
        <v>1985</v>
      </c>
      <c r="AK555" s="65"/>
      <c r="AL555" s="185" t="s">
        <v>347</v>
      </c>
      <c r="AM555" s="85" t="s">
        <v>976</v>
      </c>
      <c r="AN555" s="3"/>
      <c r="AO555" s="4"/>
      <c r="AP555" s="5"/>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6"/>
      <c r="CQ555" s="7"/>
      <c r="CR555" s="6"/>
      <c r="CS555" s="7"/>
      <c r="CT555" s="6"/>
      <c r="CU555" s="7"/>
      <c r="CV555" s="8">
        <f t="shared" si="70"/>
        <v>0</v>
      </c>
      <c r="CW555" s="9"/>
      <c r="CX555" s="10"/>
      <c r="CY555" s="11"/>
      <c r="CZ555" s="12"/>
      <c r="DA555" s="29"/>
      <c r="DB555" s="12"/>
      <c r="DC555" s="9"/>
      <c r="DD555" s="10"/>
      <c r="DE555" s="71"/>
      <c r="EO555" s="353" t="str">
        <f t="shared" si="65"/>
        <v>CUNDINAMARCA_SAN FRANCISCO</v>
      </c>
      <c r="EP555" s="350"/>
      <c r="EQ555" s="350" t="s">
        <v>4311</v>
      </c>
      <c r="ER555" s="358" t="s">
        <v>6260</v>
      </c>
      <c r="ES555" s="350" t="s">
        <v>5210</v>
      </c>
      <c r="ET555" s="350" t="s">
        <v>3215</v>
      </c>
      <c r="EU555" s="350" t="str">
        <f t="shared" si="72"/>
        <v>Cundinamarca_San Bernardo</v>
      </c>
    </row>
    <row r="556" spans="1:151" ht="38.25" x14ac:dyDescent="0.2">
      <c r="A556" s="242">
        <v>40315.576388888891</v>
      </c>
      <c r="B556" s="107" t="s">
        <v>6305</v>
      </c>
      <c r="C556" s="107" t="s">
        <v>6305</v>
      </c>
      <c r="D556" s="430" t="s">
        <v>837</v>
      </c>
      <c r="E556" s="107" t="str">
        <f>VLOOKUP(B556&amp;C556,Divipola!$C$2:$F$1138,4,FALSE)</f>
        <v>11001</v>
      </c>
      <c r="F556" s="333"/>
      <c r="G556" s="221"/>
      <c r="H556" s="157"/>
      <c r="I556" s="157"/>
      <c r="J556" s="157"/>
      <c r="K556" s="414"/>
      <c r="L556" s="157"/>
      <c r="M556" s="157"/>
      <c r="N556" s="157"/>
      <c r="O556" s="157"/>
      <c r="P556" s="157"/>
      <c r="Q556" s="157"/>
      <c r="R556" s="157"/>
      <c r="S556" s="157"/>
      <c r="T556" s="157"/>
      <c r="U556" s="157"/>
      <c r="V556" s="158"/>
      <c r="W556" s="182"/>
      <c r="X556" s="1"/>
      <c r="Y556" s="78">
        <f t="shared" si="66"/>
        <v>0</v>
      </c>
      <c r="Z556" s="78">
        <f t="shared" si="67"/>
        <v>0</v>
      </c>
      <c r="AA556" s="78">
        <f t="shared" si="68"/>
        <v>0</v>
      </c>
      <c r="AB556" s="78">
        <f t="shared" si="69"/>
        <v>0</v>
      </c>
      <c r="AC556" s="78"/>
      <c r="AD556" s="78">
        <v>0</v>
      </c>
      <c r="AE556" s="80">
        <f t="shared" si="71"/>
        <v>0</v>
      </c>
      <c r="AF556" s="82">
        <v>0</v>
      </c>
      <c r="AG556" s="306">
        <v>40624</v>
      </c>
      <c r="AH556" s="307"/>
      <c r="AI556" s="306" t="s">
        <v>1984</v>
      </c>
      <c r="AJ556" s="308" t="s">
        <v>1985</v>
      </c>
      <c r="AK556" s="309"/>
      <c r="AL556" s="310" t="s">
        <v>1257</v>
      </c>
      <c r="AM556" s="419" t="s">
        <v>3749</v>
      </c>
      <c r="AN556" s="159"/>
      <c r="AO556" s="160"/>
      <c r="AP556" s="161"/>
      <c r="AQ556" s="160"/>
      <c r="AR556" s="160"/>
      <c r="AS556" s="160"/>
      <c r="AT556" s="160"/>
      <c r="AU556" s="160"/>
      <c r="AV556" s="160"/>
      <c r="AW556" s="160"/>
      <c r="AX556" s="160"/>
      <c r="AY556" s="160"/>
      <c r="AZ556" s="160"/>
      <c r="BA556" s="160"/>
      <c r="BB556" s="160"/>
      <c r="BC556" s="160"/>
      <c r="BD556" s="160"/>
      <c r="BE556" s="160"/>
      <c r="BF556" s="160"/>
      <c r="BG556" s="160"/>
      <c r="BH556" s="160"/>
      <c r="BI556" s="160"/>
      <c r="BJ556" s="160"/>
      <c r="BK556" s="160"/>
      <c r="BL556" s="160"/>
      <c r="BM556" s="160"/>
      <c r="BN556" s="160"/>
      <c r="BO556" s="160"/>
      <c r="BP556" s="160"/>
      <c r="BQ556" s="160"/>
      <c r="BR556" s="160"/>
      <c r="BS556" s="160"/>
      <c r="BT556" s="160"/>
      <c r="BU556" s="160"/>
      <c r="BV556" s="160"/>
      <c r="BW556" s="160"/>
      <c r="BX556" s="160"/>
      <c r="BY556" s="160"/>
      <c r="BZ556" s="160"/>
      <c r="CA556" s="160"/>
      <c r="CB556" s="160"/>
      <c r="CC556" s="160"/>
      <c r="CD556" s="160"/>
      <c r="CE556" s="160"/>
      <c r="CF556" s="160"/>
      <c r="CG556" s="160"/>
      <c r="CH556" s="160"/>
      <c r="CI556" s="160"/>
      <c r="CJ556" s="160"/>
      <c r="CK556" s="160"/>
      <c r="CL556" s="160"/>
      <c r="CM556" s="160"/>
      <c r="CN556" s="160"/>
      <c r="CO556" s="160"/>
      <c r="CP556" s="162"/>
      <c r="CQ556" s="163"/>
      <c r="CR556" s="162"/>
      <c r="CS556" s="163"/>
      <c r="CT556" s="162"/>
      <c r="CU556" s="163"/>
      <c r="CV556" s="164">
        <f t="shared" si="70"/>
        <v>0</v>
      </c>
      <c r="CW556" s="165"/>
      <c r="CX556" s="166"/>
      <c r="CY556" s="167"/>
      <c r="CZ556" s="168"/>
      <c r="DA556" s="169"/>
      <c r="DB556" s="168"/>
      <c r="DC556" s="165"/>
      <c r="DD556" s="166"/>
      <c r="DE556" s="71"/>
      <c r="DF556" s="170"/>
      <c r="EO556" s="353" t="str">
        <f t="shared" si="65"/>
        <v>BOGOTA, D.C._BOGOTA, D.C.</v>
      </c>
      <c r="EP556" s="350"/>
      <c r="EQ556" s="350" t="s">
        <v>4311</v>
      </c>
      <c r="ER556" s="358" t="s">
        <v>6260</v>
      </c>
      <c r="ES556" s="350" t="s">
        <v>5211</v>
      </c>
      <c r="ET556" s="350" t="s">
        <v>3216</v>
      </c>
      <c r="EU556" s="350" t="str">
        <f t="shared" si="72"/>
        <v>Cundinamarca_San Cayetano</v>
      </c>
    </row>
    <row r="557" spans="1:151" ht="38.25" x14ac:dyDescent="0.2">
      <c r="A557" s="242">
        <v>40316</v>
      </c>
      <c r="B557" s="107" t="s">
        <v>6305</v>
      </c>
      <c r="C557" s="107" t="s">
        <v>6305</v>
      </c>
      <c r="D557" s="427" t="s">
        <v>1721</v>
      </c>
      <c r="E557" s="107" t="str">
        <f>VLOOKUP(B557&amp;C557,Divipola!$C$2:$F$1138,4,FALSE)</f>
        <v>11001</v>
      </c>
      <c r="F557" s="330"/>
      <c r="G557" s="224"/>
      <c r="H557" s="75">
        <v>1</v>
      </c>
      <c r="I557" s="75"/>
      <c r="J557" s="75">
        <v>10</v>
      </c>
      <c r="K557" s="75">
        <v>2</v>
      </c>
      <c r="L557" s="75">
        <v>2</v>
      </c>
      <c r="M557" s="75"/>
      <c r="N557" s="75"/>
      <c r="O557" s="75"/>
      <c r="P557" s="75"/>
      <c r="Q557" s="75"/>
      <c r="R557" s="75"/>
      <c r="S557" s="75"/>
      <c r="T557" s="75"/>
      <c r="U557" s="75"/>
      <c r="V557" s="76"/>
      <c r="W557" s="205"/>
      <c r="X557" s="1"/>
      <c r="Y557" s="78">
        <f t="shared" si="66"/>
        <v>0</v>
      </c>
      <c r="Z557" s="78">
        <f t="shared" si="67"/>
        <v>0</v>
      </c>
      <c r="AA557" s="78">
        <f t="shared" si="68"/>
        <v>0</v>
      </c>
      <c r="AB557" s="78">
        <f t="shared" si="69"/>
        <v>0</v>
      </c>
      <c r="AC557" s="78"/>
      <c r="AD557" s="78">
        <v>0</v>
      </c>
      <c r="AE557" s="80">
        <f t="shared" si="71"/>
        <v>0</v>
      </c>
      <c r="AF557" s="82">
        <v>0</v>
      </c>
      <c r="AG557" s="69">
        <v>40318</v>
      </c>
      <c r="AH557" s="84"/>
      <c r="AI557" s="69" t="s">
        <v>1984</v>
      </c>
      <c r="AJ557" s="25" t="s">
        <v>1985</v>
      </c>
      <c r="AK557" s="65"/>
      <c r="AL557" s="185" t="s">
        <v>1257</v>
      </c>
      <c r="AM557" s="85" t="s">
        <v>2211</v>
      </c>
      <c r="AN557" s="3"/>
      <c r="AO557" s="4"/>
      <c r="AP557" s="5"/>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6"/>
      <c r="CQ557" s="7"/>
      <c r="CR557" s="6"/>
      <c r="CS557" s="7"/>
      <c r="CT557" s="6"/>
      <c r="CU557" s="7"/>
      <c r="CV557" s="8">
        <f t="shared" si="70"/>
        <v>0</v>
      </c>
      <c r="CW557" s="9"/>
      <c r="CX557" s="10"/>
      <c r="CY557" s="11"/>
      <c r="CZ557" s="12"/>
      <c r="DA557" s="29"/>
      <c r="DB557" s="12"/>
      <c r="DC557" s="9"/>
      <c r="DD557" s="10"/>
      <c r="DE557" s="71"/>
      <c r="EO557" s="353" t="str">
        <f t="shared" si="65"/>
        <v>BOGOTA, D.C._BOGOTA, D.C.</v>
      </c>
      <c r="EP557" s="350"/>
      <c r="EQ557" s="350" t="s">
        <v>4311</v>
      </c>
      <c r="ER557" s="358" t="s">
        <v>6260</v>
      </c>
      <c r="ES557" s="350" t="s">
        <v>5214</v>
      </c>
      <c r="ET557" s="350" t="s">
        <v>3217</v>
      </c>
      <c r="EU557" s="350" t="str">
        <f t="shared" si="72"/>
        <v>Cundinamarca_Sasaima</v>
      </c>
    </row>
    <row r="558" spans="1:151" ht="45" x14ac:dyDescent="0.2">
      <c r="A558" s="242">
        <v>40316</v>
      </c>
      <c r="B558" s="107" t="s">
        <v>3112</v>
      </c>
      <c r="C558" s="107" t="s">
        <v>603</v>
      </c>
      <c r="D558" s="427" t="s">
        <v>837</v>
      </c>
      <c r="E558" s="107" t="str">
        <f>VLOOKUP(B558&amp;C558,Divipola!$C$2:$F$1138,4,FALSE)</f>
        <v>18756</v>
      </c>
      <c r="F558" s="330"/>
      <c r="G558" s="224"/>
      <c r="H558" s="75"/>
      <c r="I558" s="75"/>
      <c r="J558" s="75">
        <f>35*5</f>
        <v>175</v>
      </c>
      <c r="K558" s="75">
        <v>35</v>
      </c>
      <c r="L558" s="75"/>
      <c r="M558" s="75">
        <v>35</v>
      </c>
      <c r="N558" s="75"/>
      <c r="O558" s="75"/>
      <c r="P558" s="75"/>
      <c r="Q558" s="75"/>
      <c r="R558" s="75"/>
      <c r="S558" s="75"/>
      <c r="T558" s="75"/>
      <c r="U558" s="75"/>
      <c r="V558" s="76">
        <f>21+36+1+4.5+59+1</f>
        <v>122.5</v>
      </c>
      <c r="W558" s="205" t="s">
        <v>3129</v>
      </c>
      <c r="X558" s="1">
        <v>40386</v>
      </c>
      <c r="Y558" s="78">
        <f t="shared" si="66"/>
        <v>10692500</v>
      </c>
      <c r="Z558" s="78">
        <f t="shared" si="67"/>
        <v>5950000</v>
      </c>
      <c r="AA558" s="78">
        <f t="shared" si="68"/>
        <v>0</v>
      </c>
      <c r="AB558" s="78">
        <f t="shared" si="69"/>
        <v>0</v>
      </c>
      <c r="AC558" s="78"/>
      <c r="AD558" s="78">
        <v>0</v>
      </c>
      <c r="AE558" s="80">
        <f t="shared" si="71"/>
        <v>16642500</v>
      </c>
      <c r="AF558" s="82">
        <v>0</v>
      </c>
      <c r="AG558" s="69">
        <v>40329</v>
      </c>
      <c r="AH558" s="84">
        <v>97905</v>
      </c>
      <c r="AI558" s="69" t="s">
        <v>2009</v>
      </c>
      <c r="AJ558" s="25" t="s">
        <v>2010</v>
      </c>
      <c r="AK558" s="65">
        <v>218</v>
      </c>
      <c r="AL558" s="185" t="s">
        <v>2182</v>
      </c>
      <c r="AM558" s="85" t="s">
        <v>283</v>
      </c>
      <c r="AN558" s="3"/>
      <c r="AO558" s="4"/>
      <c r="AP558" s="5"/>
      <c r="AQ558" s="4"/>
      <c r="AR558" s="4"/>
      <c r="AS558" s="4"/>
      <c r="AT558" s="4"/>
      <c r="AU558" s="4"/>
      <c r="AV558" s="4"/>
      <c r="AW558" s="4"/>
      <c r="AX558" s="4"/>
      <c r="AY558" s="4"/>
      <c r="AZ558" s="4"/>
      <c r="BA558" s="4"/>
      <c r="BB558" s="4">
        <v>105</v>
      </c>
      <c r="BC558" s="4">
        <f>105*56000</f>
        <v>5880000</v>
      </c>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v>105</v>
      </c>
      <c r="CK558" s="4">
        <f>105*21000</f>
        <v>2205000</v>
      </c>
      <c r="CL558" s="4"/>
      <c r="CM558" s="4"/>
      <c r="CN558" s="4"/>
      <c r="CO558" s="4"/>
      <c r="CP558" s="6">
        <v>35</v>
      </c>
      <c r="CQ558" s="7">
        <f>35*38500</f>
        <v>1347500</v>
      </c>
      <c r="CR558" s="6">
        <v>35</v>
      </c>
      <c r="CS558" s="7">
        <f>35*36000</f>
        <v>1260000</v>
      </c>
      <c r="CT558" s="6"/>
      <c r="CU558" s="7"/>
      <c r="CV558" s="8">
        <f t="shared" si="70"/>
        <v>10692500</v>
      </c>
      <c r="CW558" s="9"/>
      <c r="CX558" s="10"/>
      <c r="CY558" s="11">
        <v>70</v>
      </c>
      <c r="CZ558" s="12">
        <f>70*85000</f>
        <v>5950000</v>
      </c>
      <c r="DA558" s="29"/>
      <c r="DB558" s="12"/>
      <c r="DC558" s="9"/>
      <c r="DD558" s="10"/>
      <c r="DE558" s="71"/>
      <c r="DF558" s="23">
        <v>1085</v>
      </c>
      <c r="EO558" s="353" t="str">
        <f t="shared" si="65"/>
        <v>CAQUETA_SOLANO</v>
      </c>
      <c r="EP558" s="350"/>
      <c r="EQ558" s="350" t="s">
        <v>4311</v>
      </c>
      <c r="ER558" s="358" t="s">
        <v>6260</v>
      </c>
      <c r="ES558" s="350" t="s">
        <v>5215</v>
      </c>
      <c r="ET558" s="350" t="s">
        <v>3218</v>
      </c>
      <c r="EU558" s="350" t="str">
        <f t="shared" si="72"/>
        <v>Cundinamarca_Sesquile</v>
      </c>
    </row>
    <row r="559" spans="1:151" ht="38.25" x14ac:dyDescent="0.2">
      <c r="A559" s="242">
        <v>40316</v>
      </c>
      <c r="B559" s="107" t="s">
        <v>832</v>
      </c>
      <c r="C559" s="107" t="s">
        <v>2212</v>
      </c>
      <c r="D559" s="427" t="s">
        <v>1721</v>
      </c>
      <c r="E559" s="107" t="str">
        <f>VLOOKUP(B559&amp;C559,Divipola!$C$2:$F$1138,4,FALSE)</f>
        <v>86749</v>
      </c>
      <c r="F559" s="330"/>
      <c r="G559" s="224"/>
      <c r="H559" s="75"/>
      <c r="I559" s="75"/>
      <c r="J559" s="75"/>
      <c r="K559" s="75"/>
      <c r="L559" s="75"/>
      <c r="M559" s="75"/>
      <c r="N559" s="75"/>
      <c r="O559" s="75"/>
      <c r="P559" s="75"/>
      <c r="Q559" s="75"/>
      <c r="R559" s="75"/>
      <c r="S559" s="75"/>
      <c r="T559" s="75">
        <v>1</v>
      </c>
      <c r="U559" s="75"/>
      <c r="V559" s="76"/>
      <c r="W559" s="205"/>
      <c r="X559" s="1"/>
      <c r="Y559" s="78">
        <f t="shared" si="66"/>
        <v>0</v>
      </c>
      <c r="Z559" s="78">
        <f t="shared" si="67"/>
        <v>0</v>
      </c>
      <c r="AA559" s="78">
        <f t="shared" si="68"/>
        <v>0</v>
      </c>
      <c r="AB559" s="78">
        <f t="shared" si="69"/>
        <v>0</v>
      </c>
      <c r="AC559" s="78"/>
      <c r="AD559" s="78">
        <v>0</v>
      </c>
      <c r="AE559" s="80">
        <f t="shared" si="71"/>
        <v>0</v>
      </c>
      <c r="AF559" s="82">
        <v>0</v>
      </c>
      <c r="AG559" s="69">
        <v>40318</v>
      </c>
      <c r="AH559" s="84"/>
      <c r="AI559" s="69" t="s">
        <v>1984</v>
      </c>
      <c r="AJ559" s="25" t="s">
        <v>1985</v>
      </c>
      <c r="AK559" s="65"/>
      <c r="AL559" s="185" t="s">
        <v>1257</v>
      </c>
      <c r="AM559" s="85" t="s">
        <v>2213</v>
      </c>
      <c r="AN559" s="3"/>
      <c r="AO559" s="4"/>
      <c r="AP559" s="5"/>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6"/>
      <c r="CQ559" s="7"/>
      <c r="CR559" s="6"/>
      <c r="CS559" s="7"/>
      <c r="CT559" s="6"/>
      <c r="CU559" s="7"/>
      <c r="CV559" s="8">
        <f t="shared" si="70"/>
        <v>0</v>
      </c>
      <c r="CW559" s="9"/>
      <c r="CX559" s="10"/>
      <c r="CY559" s="11"/>
      <c r="CZ559" s="12"/>
      <c r="DA559" s="29"/>
      <c r="DB559" s="12"/>
      <c r="DC559" s="9"/>
      <c r="DD559" s="10"/>
      <c r="DE559" s="71"/>
      <c r="EO559" s="353" t="str">
        <f t="shared" si="65"/>
        <v>PUTUMAYO_SIBUNDOY</v>
      </c>
      <c r="EP559" s="350"/>
      <c r="EQ559" s="350" t="s">
        <v>4311</v>
      </c>
      <c r="ER559" s="358" t="s">
        <v>6260</v>
      </c>
      <c r="ES559" s="350" t="s">
        <v>5216</v>
      </c>
      <c r="ET559" s="350" t="s">
        <v>3219</v>
      </c>
      <c r="EU559" s="350" t="str">
        <f t="shared" si="72"/>
        <v>Cundinamarca_Sibate</v>
      </c>
    </row>
    <row r="560" spans="1:151" ht="51" x14ac:dyDescent="0.2">
      <c r="A560" s="242">
        <v>40316</v>
      </c>
      <c r="B560" s="107" t="s">
        <v>1972</v>
      </c>
      <c r="C560" s="107" t="s">
        <v>1972</v>
      </c>
      <c r="D560" s="427" t="s">
        <v>1721</v>
      </c>
      <c r="E560" s="107" t="str">
        <f>VLOOKUP(B560&amp;C560,Divipola!$C$2:$F$1138,4,FALSE)</f>
        <v>88001</v>
      </c>
      <c r="F560" s="330"/>
      <c r="G560" s="224">
        <v>2</v>
      </c>
      <c r="H560" s="75"/>
      <c r="I560" s="75"/>
      <c r="J560" s="75">
        <v>5</v>
      </c>
      <c r="K560" s="75">
        <v>1</v>
      </c>
      <c r="L560" s="75">
        <v>1</v>
      </c>
      <c r="M560" s="75"/>
      <c r="N560" s="75"/>
      <c r="O560" s="75"/>
      <c r="P560" s="75"/>
      <c r="Q560" s="75"/>
      <c r="R560" s="75"/>
      <c r="S560" s="75"/>
      <c r="T560" s="75"/>
      <c r="U560" s="75"/>
      <c r="V560" s="76"/>
      <c r="W560" s="205"/>
      <c r="X560" s="1"/>
      <c r="Y560" s="78">
        <f t="shared" si="66"/>
        <v>0</v>
      </c>
      <c r="Z560" s="78">
        <f t="shared" si="67"/>
        <v>0</v>
      </c>
      <c r="AA560" s="78">
        <f t="shared" si="68"/>
        <v>0</v>
      </c>
      <c r="AB560" s="78">
        <f t="shared" si="69"/>
        <v>0</v>
      </c>
      <c r="AC560" s="78"/>
      <c r="AD560" s="78">
        <v>0</v>
      </c>
      <c r="AE560" s="80">
        <f t="shared" si="71"/>
        <v>0</v>
      </c>
      <c r="AF560" s="82">
        <v>0</v>
      </c>
      <c r="AG560" s="69">
        <v>40316</v>
      </c>
      <c r="AH560" s="84"/>
      <c r="AI560" s="69" t="s">
        <v>1984</v>
      </c>
      <c r="AJ560" s="25" t="s">
        <v>1985</v>
      </c>
      <c r="AK560" s="65"/>
      <c r="AL560" s="185" t="s">
        <v>1257</v>
      </c>
      <c r="AM560" s="85" t="s">
        <v>1973</v>
      </c>
      <c r="AN560" s="3"/>
      <c r="AO560" s="4"/>
      <c r="AP560" s="5"/>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6"/>
      <c r="CQ560" s="7"/>
      <c r="CR560" s="6"/>
      <c r="CS560" s="7"/>
      <c r="CT560" s="6"/>
      <c r="CU560" s="7"/>
      <c r="CV560" s="8">
        <f t="shared" si="70"/>
        <v>0</v>
      </c>
      <c r="CW560" s="9"/>
      <c r="CX560" s="10"/>
      <c r="CY560" s="11"/>
      <c r="CZ560" s="12"/>
      <c r="DA560" s="29"/>
      <c r="DB560" s="12"/>
      <c r="DC560" s="9"/>
      <c r="DD560" s="10"/>
      <c r="DE560" s="71"/>
      <c r="EO560" s="353" t="str">
        <f t="shared" ref="EO560:EO618" si="73">B560&amp;"_"&amp;C560</f>
        <v>SAN ANDRES_SAN ANDRES</v>
      </c>
      <c r="EP560" s="350"/>
      <c r="EQ560" s="350" t="s">
        <v>4311</v>
      </c>
      <c r="ER560" s="358" t="s">
        <v>6260</v>
      </c>
      <c r="ES560" s="350" t="s">
        <v>5217</v>
      </c>
      <c r="ET560" s="350" t="s">
        <v>3220</v>
      </c>
      <c r="EU560" s="350" t="str">
        <f t="shared" si="72"/>
        <v>Cundinamarca_Silvania</v>
      </c>
    </row>
    <row r="561" spans="1:151" ht="25.5" x14ac:dyDescent="0.2">
      <c r="A561" s="242">
        <v>40317</v>
      </c>
      <c r="B561" s="107" t="s">
        <v>2012</v>
      </c>
      <c r="C561" s="107" t="s">
        <v>2433</v>
      </c>
      <c r="D561" s="427" t="s">
        <v>2307</v>
      </c>
      <c r="E561" s="107" t="str">
        <f>VLOOKUP(B561&amp;C561,Divipola!$C$2:$F$1138,4,FALSE)</f>
        <v>66001</v>
      </c>
      <c r="F561" s="330"/>
      <c r="G561" s="224"/>
      <c r="H561" s="75"/>
      <c r="I561" s="75">
        <v>1</v>
      </c>
      <c r="J561" s="75"/>
      <c r="K561" s="75"/>
      <c r="L561" s="75"/>
      <c r="M561" s="75"/>
      <c r="N561" s="75"/>
      <c r="O561" s="75"/>
      <c r="P561" s="75"/>
      <c r="Q561" s="75"/>
      <c r="R561" s="75"/>
      <c r="S561" s="75"/>
      <c r="T561" s="75"/>
      <c r="U561" s="75"/>
      <c r="V561" s="76"/>
      <c r="W561" s="205"/>
      <c r="X561" s="1"/>
      <c r="Y561" s="78">
        <f t="shared" si="66"/>
        <v>0</v>
      </c>
      <c r="Z561" s="78">
        <f t="shared" si="67"/>
        <v>0</v>
      </c>
      <c r="AA561" s="78">
        <f t="shared" si="68"/>
        <v>0</v>
      </c>
      <c r="AB561" s="78">
        <f t="shared" si="69"/>
        <v>0</v>
      </c>
      <c r="AC561" s="78"/>
      <c r="AD561" s="78">
        <v>0</v>
      </c>
      <c r="AE561" s="80">
        <f t="shared" si="71"/>
        <v>0</v>
      </c>
      <c r="AF561" s="82">
        <v>0</v>
      </c>
      <c r="AG561" s="69">
        <v>40318</v>
      </c>
      <c r="AH561" s="84"/>
      <c r="AI561" s="69" t="s">
        <v>1984</v>
      </c>
      <c r="AJ561" s="25" t="s">
        <v>1985</v>
      </c>
      <c r="AK561" s="65"/>
      <c r="AL561" s="185" t="s">
        <v>1257</v>
      </c>
      <c r="AM561" s="85" t="s">
        <v>1102</v>
      </c>
      <c r="AN561" s="3"/>
      <c r="AO561" s="4"/>
      <c r="AP561" s="5"/>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6"/>
      <c r="CQ561" s="7"/>
      <c r="CR561" s="6"/>
      <c r="CS561" s="7"/>
      <c r="CT561" s="6"/>
      <c r="CU561" s="7"/>
      <c r="CV561" s="8">
        <f t="shared" si="70"/>
        <v>0</v>
      </c>
      <c r="CW561" s="9"/>
      <c r="CX561" s="10"/>
      <c r="CY561" s="11"/>
      <c r="CZ561" s="12"/>
      <c r="DA561" s="29"/>
      <c r="DB561" s="12"/>
      <c r="DC561" s="9"/>
      <c r="DD561" s="10"/>
      <c r="DE561" s="71"/>
      <c r="EO561" s="353" t="str">
        <f t="shared" si="73"/>
        <v>RISARALDA_PEREIRA</v>
      </c>
      <c r="EP561" s="350"/>
      <c r="EQ561" s="350" t="s">
        <v>4311</v>
      </c>
      <c r="ER561" s="358" t="s">
        <v>6260</v>
      </c>
      <c r="ES561" s="350" t="s">
        <v>5218</v>
      </c>
      <c r="ET561" s="350" t="s">
        <v>3221</v>
      </c>
      <c r="EU561" s="350" t="str">
        <f t="shared" si="72"/>
        <v>Cundinamarca_Simijaca</v>
      </c>
    </row>
    <row r="562" spans="1:151" ht="38.25" x14ac:dyDescent="0.2">
      <c r="A562" s="242">
        <v>40318</v>
      </c>
      <c r="B562" s="107" t="s">
        <v>2401</v>
      </c>
      <c r="C562" s="107" t="s">
        <v>917</v>
      </c>
      <c r="D562" s="427" t="s">
        <v>2352</v>
      </c>
      <c r="E562" s="107" t="str">
        <f>VLOOKUP(B562&amp;C562,Divipola!$C$2:$F$1138,4,FALSE)</f>
        <v>05107</v>
      </c>
      <c r="F562" s="330"/>
      <c r="G562" s="224">
        <v>1</v>
      </c>
      <c r="H562" s="75">
        <v>1</v>
      </c>
      <c r="I562" s="75"/>
      <c r="J562" s="75"/>
      <c r="K562" s="75"/>
      <c r="L562" s="75"/>
      <c r="M562" s="75"/>
      <c r="N562" s="75"/>
      <c r="O562" s="75"/>
      <c r="P562" s="75"/>
      <c r="Q562" s="75"/>
      <c r="R562" s="75"/>
      <c r="S562" s="75"/>
      <c r="T562" s="75"/>
      <c r="U562" s="75"/>
      <c r="V562" s="76"/>
      <c r="W562" s="205"/>
      <c r="X562" s="1"/>
      <c r="Y562" s="78">
        <f t="shared" si="66"/>
        <v>0</v>
      </c>
      <c r="Z562" s="78">
        <f t="shared" si="67"/>
        <v>0</v>
      </c>
      <c r="AA562" s="78">
        <f t="shared" si="68"/>
        <v>0</v>
      </c>
      <c r="AB562" s="78">
        <f t="shared" si="69"/>
        <v>0</v>
      </c>
      <c r="AC562" s="78"/>
      <c r="AD562" s="78">
        <v>0</v>
      </c>
      <c r="AE562" s="80">
        <f t="shared" si="71"/>
        <v>0</v>
      </c>
      <c r="AF562" s="82">
        <v>0</v>
      </c>
      <c r="AG562" s="69">
        <v>40322</v>
      </c>
      <c r="AH562" s="84"/>
      <c r="AI562" s="69" t="s">
        <v>1984</v>
      </c>
      <c r="AJ562" s="25" t="s">
        <v>1985</v>
      </c>
      <c r="AK562" s="65"/>
      <c r="AL562" s="185" t="s">
        <v>1257</v>
      </c>
      <c r="AM562" s="85" t="s">
        <v>918</v>
      </c>
      <c r="AN562" s="3"/>
      <c r="AO562" s="4"/>
      <c r="AP562" s="5"/>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6"/>
      <c r="CQ562" s="7"/>
      <c r="CR562" s="6"/>
      <c r="CS562" s="7"/>
      <c r="CT562" s="6"/>
      <c r="CU562" s="7"/>
      <c r="CV562" s="8">
        <f t="shared" si="70"/>
        <v>0</v>
      </c>
      <c r="CW562" s="9"/>
      <c r="CX562" s="10"/>
      <c r="CY562" s="11"/>
      <c r="CZ562" s="12"/>
      <c r="DA562" s="29"/>
      <c r="DB562" s="12"/>
      <c r="DC562" s="9"/>
      <c r="DD562" s="10"/>
      <c r="DE562" s="71"/>
      <c r="EO562" s="353" t="str">
        <f t="shared" si="73"/>
        <v>ANTIOQUIA_BRICEÑO</v>
      </c>
      <c r="EP562" s="350"/>
      <c r="EQ562" s="350" t="s">
        <v>4311</v>
      </c>
      <c r="ER562" s="358" t="s">
        <v>6260</v>
      </c>
      <c r="ES562" s="350" t="s">
        <v>5221</v>
      </c>
      <c r="ET562" s="350" t="s">
        <v>3222</v>
      </c>
      <c r="EU562" s="350" t="str">
        <f t="shared" si="72"/>
        <v>Cundinamarca_Subachoque</v>
      </c>
    </row>
    <row r="563" spans="1:151" ht="45" x14ac:dyDescent="0.2">
      <c r="A563" s="242">
        <v>40318</v>
      </c>
      <c r="B563" s="107" t="s">
        <v>1719</v>
      </c>
      <c r="C563" s="107" t="s">
        <v>1409</v>
      </c>
      <c r="D563" s="427" t="s">
        <v>837</v>
      </c>
      <c r="E563" s="107" t="str">
        <f>VLOOKUP(B563&amp;C563,Divipola!$C$2:$F$1138,4,FALSE)</f>
        <v>19533</v>
      </c>
      <c r="F563" s="330"/>
      <c r="G563" s="224"/>
      <c r="H563" s="75"/>
      <c r="I563" s="75"/>
      <c r="J563" s="75">
        <f>96*5</f>
        <v>480</v>
      </c>
      <c r="K563" s="75">
        <f>244-148</f>
        <v>96</v>
      </c>
      <c r="L563" s="75"/>
      <c r="M563" s="75"/>
      <c r="N563" s="75"/>
      <c r="O563" s="75"/>
      <c r="P563" s="75"/>
      <c r="Q563" s="75"/>
      <c r="R563" s="75"/>
      <c r="S563" s="75"/>
      <c r="T563" s="75"/>
      <c r="U563" s="75"/>
      <c r="V563" s="76"/>
      <c r="W563" s="205"/>
      <c r="X563" s="1">
        <v>40333</v>
      </c>
      <c r="Y563" s="78">
        <f t="shared" si="66"/>
        <v>23000000</v>
      </c>
      <c r="Z563" s="78">
        <f t="shared" si="67"/>
        <v>34000000</v>
      </c>
      <c r="AA563" s="78">
        <f t="shared" si="68"/>
        <v>0</v>
      </c>
      <c r="AB563" s="78">
        <f t="shared" si="69"/>
        <v>0</v>
      </c>
      <c r="AC563" s="78"/>
      <c r="AD563" s="78">
        <v>0</v>
      </c>
      <c r="AE563" s="80">
        <f t="shared" si="71"/>
        <v>57000000</v>
      </c>
      <c r="AF563" s="82">
        <v>0</v>
      </c>
      <c r="AG563" s="69">
        <v>40318</v>
      </c>
      <c r="AH563" s="84">
        <v>97636</v>
      </c>
      <c r="AI563" s="69" t="s">
        <v>2009</v>
      </c>
      <c r="AJ563" s="25" t="s">
        <v>2010</v>
      </c>
      <c r="AK563" s="65">
        <v>140</v>
      </c>
      <c r="AL563" s="185" t="s">
        <v>2182</v>
      </c>
      <c r="AM563" s="85" t="s">
        <v>963</v>
      </c>
      <c r="AN563" s="3"/>
      <c r="AO563" s="4"/>
      <c r="AP563" s="5"/>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v>400</v>
      </c>
      <c r="CK563" s="4">
        <f>400*21000</f>
        <v>8400000</v>
      </c>
      <c r="CL563" s="4"/>
      <c r="CM563" s="4"/>
      <c r="CN563" s="4"/>
      <c r="CO563" s="4"/>
      <c r="CP563" s="6">
        <v>200</v>
      </c>
      <c r="CQ563" s="7">
        <f>200*37000</f>
        <v>7400000</v>
      </c>
      <c r="CR563" s="6">
        <v>200</v>
      </c>
      <c r="CS563" s="7">
        <f>200*36000</f>
        <v>7200000</v>
      </c>
      <c r="CT563" s="6"/>
      <c r="CU563" s="7"/>
      <c r="CV563" s="8">
        <f t="shared" si="70"/>
        <v>23000000</v>
      </c>
      <c r="CW563" s="9"/>
      <c r="CX563" s="10"/>
      <c r="CY563" s="11">
        <v>400</v>
      </c>
      <c r="CZ563" s="12">
        <f>400*85000</f>
        <v>34000000</v>
      </c>
      <c r="DA563" s="29"/>
      <c r="DB563" s="12"/>
      <c r="DC563" s="9"/>
      <c r="DD563" s="10"/>
      <c r="DE563" s="71"/>
      <c r="EO563" s="353" t="str">
        <f t="shared" si="73"/>
        <v>CAUCA_PIAMONTE</v>
      </c>
      <c r="EP563" s="350"/>
      <c r="EQ563" s="350" t="s">
        <v>4311</v>
      </c>
      <c r="ER563" s="358" t="s">
        <v>6260</v>
      </c>
      <c r="ES563" s="350" t="s">
        <v>5222</v>
      </c>
      <c r="ET563" s="350" t="s">
        <v>3223</v>
      </c>
      <c r="EU563" s="350" t="str">
        <f t="shared" si="72"/>
        <v>Cundinamarca_Suesca</v>
      </c>
    </row>
    <row r="564" spans="1:151" ht="25.5" x14ac:dyDescent="0.2">
      <c r="A564" s="242">
        <v>40319</v>
      </c>
      <c r="B564" s="107" t="s">
        <v>828</v>
      </c>
      <c r="C564" s="107" t="s">
        <v>509</v>
      </c>
      <c r="D564" s="427" t="s">
        <v>837</v>
      </c>
      <c r="E564" s="107" t="str">
        <f>VLOOKUP(B564&amp;C564,Divipola!$C$2:$F$1138,4,FALSE)</f>
        <v>15162</v>
      </c>
      <c r="F564" s="330"/>
      <c r="G564" s="224"/>
      <c r="H564" s="75"/>
      <c r="I564" s="75"/>
      <c r="J564" s="75">
        <f>86*5</f>
        <v>430</v>
      </c>
      <c r="K564" s="75">
        <v>86</v>
      </c>
      <c r="L564" s="75">
        <v>2</v>
      </c>
      <c r="M564" s="75">
        <v>11</v>
      </c>
      <c r="N564" s="75"/>
      <c r="O564" s="75">
        <v>1</v>
      </c>
      <c r="P564" s="75">
        <v>2</v>
      </c>
      <c r="Q564" s="75">
        <v>1</v>
      </c>
      <c r="R564" s="75"/>
      <c r="S564" s="75"/>
      <c r="T564" s="75"/>
      <c r="U564" s="75"/>
      <c r="V564" s="76"/>
      <c r="W564" s="205"/>
      <c r="X564" s="1"/>
      <c r="Y564" s="78">
        <f t="shared" si="66"/>
        <v>0</v>
      </c>
      <c r="Z564" s="78">
        <f t="shared" si="67"/>
        <v>0</v>
      </c>
      <c r="AA564" s="78">
        <f t="shared" si="68"/>
        <v>0</v>
      </c>
      <c r="AB564" s="78">
        <f t="shared" si="69"/>
        <v>0</v>
      </c>
      <c r="AC564" s="78"/>
      <c r="AD564" s="78">
        <v>0</v>
      </c>
      <c r="AE564" s="80">
        <f t="shared" si="71"/>
        <v>0</v>
      </c>
      <c r="AF564" s="82">
        <v>0</v>
      </c>
      <c r="AG564" s="69">
        <v>40322</v>
      </c>
      <c r="AH564" s="84"/>
      <c r="AI564" s="69" t="s">
        <v>1984</v>
      </c>
      <c r="AJ564" s="25" t="s">
        <v>1985</v>
      </c>
      <c r="AK564" s="65"/>
      <c r="AL564" s="185" t="s">
        <v>1257</v>
      </c>
      <c r="AM564" s="85" t="s">
        <v>1398</v>
      </c>
      <c r="AN564" s="3"/>
      <c r="AO564" s="4"/>
      <c r="AP564" s="5"/>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6"/>
      <c r="CQ564" s="7"/>
      <c r="CR564" s="6"/>
      <c r="CS564" s="7"/>
      <c r="CT564" s="6"/>
      <c r="CU564" s="7"/>
      <c r="CV564" s="8">
        <f t="shared" si="70"/>
        <v>0</v>
      </c>
      <c r="CW564" s="9"/>
      <c r="CX564" s="10"/>
      <c r="CY564" s="11"/>
      <c r="CZ564" s="12"/>
      <c r="DA564" s="29"/>
      <c r="DB564" s="12"/>
      <c r="DC564" s="9"/>
      <c r="DD564" s="10"/>
      <c r="DE564" s="71"/>
      <c r="EO564" s="353" t="str">
        <f t="shared" si="73"/>
        <v>BOYACA_CERINZA</v>
      </c>
      <c r="EP564" s="350"/>
      <c r="EQ564" s="350" t="s">
        <v>4311</v>
      </c>
      <c r="ER564" s="358" t="s">
        <v>6260</v>
      </c>
      <c r="ES564" s="350" t="s">
        <v>5223</v>
      </c>
      <c r="ET564" s="350" t="s">
        <v>3224</v>
      </c>
      <c r="EU564" s="350" t="str">
        <f t="shared" si="72"/>
        <v>Cundinamarca_Supata</v>
      </c>
    </row>
    <row r="565" spans="1:151" ht="25.5" x14ac:dyDescent="0.2">
      <c r="A565" s="242">
        <v>40319</v>
      </c>
      <c r="B565" s="107" t="s">
        <v>828</v>
      </c>
      <c r="C565" s="107" t="s">
        <v>2347</v>
      </c>
      <c r="D565" s="427" t="s">
        <v>2352</v>
      </c>
      <c r="E565" s="107" t="str">
        <f>VLOOKUP(B565&amp;C565,Divipola!$C$2:$F$1138,4,FALSE)</f>
        <v>15238</v>
      </c>
      <c r="F565" s="330"/>
      <c r="G565" s="224"/>
      <c r="H565" s="75">
        <v>3</v>
      </c>
      <c r="I565" s="75"/>
      <c r="J565" s="75"/>
      <c r="K565" s="75"/>
      <c r="L565" s="75"/>
      <c r="M565" s="75"/>
      <c r="N565" s="75"/>
      <c r="O565" s="75"/>
      <c r="P565" s="75"/>
      <c r="Q565" s="75"/>
      <c r="R565" s="75"/>
      <c r="S565" s="75"/>
      <c r="T565" s="75"/>
      <c r="U565" s="75">
        <v>1</v>
      </c>
      <c r="V565" s="76"/>
      <c r="W565" s="205"/>
      <c r="X565" s="1"/>
      <c r="Y565" s="78">
        <f t="shared" si="66"/>
        <v>0</v>
      </c>
      <c r="Z565" s="78">
        <f t="shared" si="67"/>
        <v>0</v>
      </c>
      <c r="AA565" s="78">
        <f t="shared" si="68"/>
        <v>0</v>
      </c>
      <c r="AB565" s="78">
        <f t="shared" si="69"/>
        <v>0</v>
      </c>
      <c r="AC565" s="78"/>
      <c r="AD565" s="78">
        <v>0</v>
      </c>
      <c r="AE565" s="80">
        <f t="shared" si="71"/>
        <v>0</v>
      </c>
      <c r="AF565" s="82">
        <v>0</v>
      </c>
      <c r="AG565" s="69">
        <v>40322</v>
      </c>
      <c r="AH565" s="84"/>
      <c r="AI565" s="69" t="s">
        <v>1984</v>
      </c>
      <c r="AJ565" s="25" t="s">
        <v>1985</v>
      </c>
      <c r="AK565" s="65"/>
      <c r="AL565" s="185" t="s">
        <v>1257</v>
      </c>
      <c r="AM565" s="85" t="s">
        <v>508</v>
      </c>
      <c r="AN565" s="3"/>
      <c r="AO565" s="4"/>
      <c r="AP565" s="5"/>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6"/>
      <c r="CQ565" s="7"/>
      <c r="CR565" s="6"/>
      <c r="CS565" s="7"/>
      <c r="CT565" s="6"/>
      <c r="CU565" s="7"/>
      <c r="CV565" s="8">
        <f t="shared" si="70"/>
        <v>0</v>
      </c>
      <c r="CW565" s="9"/>
      <c r="CX565" s="10"/>
      <c r="CY565" s="11"/>
      <c r="CZ565" s="12"/>
      <c r="DA565" s="29"/>
      <c r="DB565" s="12"/>
      <c r="DC565" s="9"/>
      <c r="DD565" s="10"/>
      <c r="DE565" s="71"/>
      <c r="EO565" s="353" t="str">
        <f t="shared" si="73"/>
        <v>BOYACA_DUITAMA</v>
      </c>
      <c r="EP565" s="350"/>
      <c r="EQ565" s="350" t="s">
        <v>4311</v>
      </c>
      <c r="ER565" s="358" t="s">
        <v>6260</v>
      </c>
      <c r="ES565" s="350" t="s">
        <v>5224</v>
      </c>
      <c r="ET565" s="350" t="s">
        <v>3225</v>
      </c>
      <c r="EU565" s="350" t="str">
        <f t="shared" si="72"/>
        <v>Cundinamarca_Susa</v>
      </c>
    </row>
    <row r="566" spans="1:151" ht="45" x14ac:dyDescent="0.2">
      <c r="A566" s="242">
        <v>40320</v>
      </c>
      <c r="B566" s="107" t="s">
        <v>2017</v>
      </c>
      <c r="C566" s="107" t="s">
        <v>1962</v>
      </c>
      <c r="D566" s="427" t="s">
        <v>2209</v>
      </c>
      <c r="E566" s="107" t="str">
        <f>VLOOKUP(B566&amp;C566,Divipola!$C$2:$F$1138,4,FALSE)</f>
        <v>13430</v>
      </c>
      <c r="F566" s="330"/>
      <c r="G566" s="224"/>
      <c r="H566" s="75"/>
      <c r="I566" s="75"/>
      <c r="J566" s="75">
        <f>44*5</f>
        <v>220</v>
      </c>
      <c r="K566" s="75">
        <v>44</v>
      </c>
      <c r="L566" s="75"/>
      <c r="M566" s="75">
        <v>44</v>
      </c>
      <c r="N566" s="75"/>
      <c r="O566" s="75"/>
      <c r="P566" s="75"/>
      <c r="Q566" s="75"/>
      <c r="R566" s="75"/>
      <c r="S566" s="75"/>
      <c r="T566" s="75"/>
      <c r="U566" s="75"/>
      <c r="V566" s="76"/>
      <c r="W566" s="205"/>
      <c r="X566" s="1">
        <v>40368</v>
      </c>
      <c r="Y566" s="78">
        <f t="shared" si="66"/>
        <v>0</v>
      </c>
      <c r="Z566" s="78">
        <f t="shared" si="67"/>
        <v>0</v>
      </c>
      <c r="AA566" s="78">
        <f t="shared" si="68"/>
        <v>21269704</v>
      </c>
      <c r="AB566" s="78">
        <f t="shared" si="69"/>
        <v>0</v>
      </c>
      <c r="AC566" s="78"/>
      <c r="AD566" s="78">
        <v>0</v>
      </c>
      <c r="AE566" s="80">
        <f t="shared" si="71"/>
        <v>21269704</v>
      </c>
      <c r="AF566" s="82">
        <v>0</v>
      </c>
      <c r="AG566" s="1">
        <v>40347</v>
      </c>
      <c r="AH566" s="84">
        <v>98360</v>
      </c>
      <c r="AI566" s="69" t="s">
        <v>2009</v>
      </c>
      <c r="AJ566" s="25" t="s">
        <v>2010</v>
      </c>
      <c r="AK566" s="65">
        <v>194</v>
      </c>
      <c r="AL566" s="185" t="s">
        <v>2182</v>
      </c>
      <c r="AM566" s="92" t="s">
        <v>1308</v>
      </c>
      <c r="AN566" s="3"/>
      <c r="AO566" s="4"/>
      <c r="AP566" s="5"/>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6"/>
      <c r="CQ566" s="7"/>
      <c r="CR566" s="6"/>
      <c r="CS566" s="7"/>
      <c r="CT566" s="6"/>
      <c r="CU566" s="7"/>
      <c r="CV566" s="8">
        <f t="shared" si="70"/>
        <v>0</v>
      </c>
      <c r="CW566" s="9"/>
      <c r="CX566" s="10"/>
      <c r="CY566" s="11"/>
      <c r="CZ566" s="12"/>
      <c r="DA566" s="29"/>
      <c r="DB566" s="12"/>
      <c r="DC566" s="9">
        <v>883</v>
      </c>
      <c r="DD566" s="10">
        <f>883*22000+5298*348</f>
        <v>21269704</v>
      </c>
      <c r="DE566" s="71"/>
      <c r="EO566" s="353" t="str">
        <f t="shared" si="73"/>
        <v>BOLIVAR_MAGANGUE</v>
      </c>
      <c r="EP566" s="350"/>
      <c r="EQ566" s="350" t="s">
        <v>4311</v>
      </c>
      <c r="ER566" s="358" t="s">
        <v>6260</v>
      </c>
      <c r="ES566" s="350" t="s">
        <v>5225</v>
      </c>
      <c r="ET566" s="350" t="s">
        <v>3226</v>
      </c>
      <c r="EU566" s="350" t="str">
        <f t="shared" si="72"/>
        <v>Cundinamarca_Sutatausa</v>
      </c>
    </row>
    <row r="567" spans="1:151" ht="84" x14ac:dyDescent="0.2">
      <c r="A567" s="242">
        <v>40320</v>
      </c>
      <c r="B567" s="107" t="s">
        <v>3112</v>
      </c>
      <c r="C567" s="107" t="s">
        <v>1535</v>
      </c>
      <c r="D567" s="427" t="s">
        <v>837</v>
      </c>
      <c r="E567" s="107" t="str">
        <f>VLOOKUP(B567&amp;C567,Divipola!$C$2:$F$1138,4,FALSE)</f>
        <v>18001</v>
      </c>
      <c r="F567" s="330"/>
      <c r="G567" s="224">
        <v>1</v>
      </c>
      <c r="H567" s="75">
        <v>7</v>
      </c>
      <c r="I567" s="75"/>
      <c r="J567" s="75">
        <f>2931*5</f>
        <v>14655</v>
      </c>
      <c r="K567" s="75">
        <f>3016-50-20-15</f>
        <v>2931</v>
      </c>
      <c r="L567" s="75">
        <v>68</v>
      </c>
      <c r="M567" s="75">
        <v>3282</v>
      </c>
      <c r="N567" s="75"/>
      <c r="O567" s="75"/>
      <c r="P567" s="75"/>
      <c r="Q567" s="75"/>
      <c r="R567" s="75"/>
      <c r="S567" s="75"/>
      <c r="T567" s="75"/>
      <c r="U567" s="75"/>
      <c r="V567" s="76"/>
      <c r="W567" s="205"/>
      <c r="X567" s="1">
        <v>40330</v>
      </c>
      <c r="Y567" s="78">
        <f t="shared" si="66"/>
        <v>478950720</v>
      </c>
      <c r="Z567" s="78">
        <f t="shared" si="67"/>
        <v>255000000</v>
      </c>
      <c r="AA567" s="78">
        <f t="shared" si="68"/>
        <v>0</v>
      </c>
      <c r="AB567" s="78">
        <f t="shared" si="69"/>
        <v>0</v>
      </c>
      <c r="AC567" s="78"/>
      <c r="AD567" s="78">
        <v>194373600</v>
      </c>
      <c r="AE567" s="80">
        <f t="shared" si="71"/>
        <v>928324320</v>
      </c>
      <c r="AF567" s="82">
        <v>0</v>
      </c>
      <c r="AG567" s="69">
        <v>40320</v>
      </c>
      <c r="AH567" s="94" t="s">
        <v>276</v>
      </c>
      <c r="AI567" s="69" t="s">
        <v>2009</v>
      </c>
      <c r="AJ567" s="25" t="s">
        <v>2010</v>
      </c>
      <c r="AK567" s="88" t="s">
        <v>511</v>
      </c>
      <c r="AL567" s="185" t="s">
        <v>2182</v>
      </c>
      <c r="AM567" s="85" t="s">
        <v>275</v>
      </c>
      <c r="AN567" s="3"/>
      <c r="AO567" s="4"/>
      <c r="AP567" s="5"/>
      <c r="AQ567" s="4"/>
      <c r="AR567" s="4"/>
      <c r="AS567" s="4"/>
      <c r="AT567" s="4"/>
      <c r="AU567" s="4"/>
      <c r="AV567" s="4"/>
      <c r="AW567" s="4"/>
      <c r="AX567" s="4"/>
      <c r="AY567" s="4"/>
      <c r="AZ567" s="4">
        <v>1069</v>
      </c>
      <c r="BA567" s="4">
        <f>1069*56000</f>
        <v>59864000</v>
      </c>
      <c r="BB567" s="4">
        <f>1000+1431</f>
        <v>2431</v>
      </c>
      <c r="BC567" s="4">
        <f>1000*56000+1431*56000</f>
        <v>136136000</v>
      </c>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f>1000+2000</f>
        <v>3000</v>
      </c>
      <c r="CK567" s="4">
        <f>1000*21000+2000*21500</f>
        <v>64000000</v>
      </c>
      <c r="CL567" s="4"/>
      <c r="CM567" s="4"/>
      <c r="CN567" s="4"/>
      <c r="CO567" s="4"/>
      <c r="CP567" s="6">
        <f>2000+1000</f>
        <v>3000</v>
      </c>
      <c r="CQ567" s="7">
        <f>2000*36999.36+1000*36952</f>
        <v>110950720</v>
      </c>
      <c r="CR567" s="6">
        <f>1000+2000</f>
        <v>3000</v>
      </c>
      <c r="CS567" s="7">
        <f>1000*36000+2000*36000</f>
        <v>108000000</v>
      </c>
      <c r="CT567" s="6"/>
      <c r="CU567" s="7"/>
      <c r="CV567" s="8">
        <f t="shared" si="70"/>
        <v>478950720</v>
      </c>
      <c r="CW567" s="9"/>
      <c r="CX567" s="10"/>
      <c r="CY567" s="11">
        <f>1000+1000+1000</f>
        <v>3000</v>
      </c>
      <c r="CZ567" s="12">
        <f>1000*85000+1000*85000+1000*85000</f>
        <v>255000000</v>
      </c>
      <c r="DA567" s="29"/>
      <c r="DB567" s="12"/>
      <c r="DC567" s="9"/>
      <c r="DD567" s="10"/>
      <c r="DE567" s="71">
        <v>4</v>
      </c>
      <c r="DF567" s="23">
        <v>1062</v>
      </c>
      <c r="EO567" s="353" t="str">
        <f t="shared" si="73"/>
        <v>CAQUETA_FLORENCIA</v>
      </c>
      <c r="EP567" s="350"/>
      <c r="EQ567" s="350" t="s">
        <v>4311</v>
      </c>
      <c r="ER567" s="358" t="s">
        <v>6260</v>
      </c>
      <c r="ES567" s="350" t="s">
        <v>5226</v>
      </c>
      <c r="ET567" s="350" t="s">
        <v>3227</v>
      </c>
      <c r="EU567" s="350" t="str">
        <f t="shared" si="72"/>
        <v>Cundinamarca_Tabio</v>
      </c>
    </row>
    <row r="568" spans="1:151" ht="48" x14ac:dyDescent="0.2">
      <c r="A568" s="242">
        <v>40321</v>
      </c>
      <c r="B568" s="107" t="s">
        <v>3112</v>
      </c>
      <c r="C568" s="107" t="s">
        <v>2019</v>
      </c>
      <c r="D568" s="427" t="s">
        <v>837</v>
      </c>
      <c r="E568" s="107" t="str">
        <f>VLOOKUP(B568&amp;C568,Divipola!$C$2:$F$1138,4,FALSE)</f>
        <v>18592</v>
      </c>
      <c r="F568" s="330"/>
      <c r="G568" s="224"/>
      <c r="H568" s="75"/>
      <c r="I568" s="75"/>
      <c r="J568" s="75"/>
      <c r="K568" s="75"/>
      <c r="L568" s="75"/>
      <c r="M568" s="75"/>
      <c r="N568" s="75"/>
      <c r="O568" s="75">
        <v>1</v>
      </c>
      <c r="P568" s="75"/>
      <c r="Q568" s="75"/>
      <c r="R568" s="75"/>
      <c r="S568" s="75"/>
      <c r="T568" s="75"/>
      <c r="U568" s="75"/>
      <c r="V568" s="76"/>
      <c r="W568" s="205"/>
      <c r="X568" s="1"/>
      <c r="Y568" s="78">
        <f t="shared" si="66"/>
        <v>0</v>
      </c>
      <c r="Z568" s="78">
        <f t="shared" si="67"/>
        <v>0</v>
      </c>
      <c r="AA568" s="78">
        <f t="shared" si="68"/>
        <v>0</v>
      </c>
      <c r="AB568" s="78">
        <f t="shared" si="69"/>
        <v>0</v>
      </c>
      <c r="AC568" s="78"/>
      <c r="AD568" s="78">
        <v>0</v>
      </c>
      <c r="AE568" s="80">
        <f t="shared" si="71"/>
        <v>0</v>
      </c>
      <c r="AF568" s="82">
        <v>0</v>
      </c>
      <c r="AG568" s="69">
        <v>40323</v>
      </c>
      <c r="AH568" s="84"/>
      <c r="AI568" s="69" t="s">
        <v>1984</v>
      </c>
      <c r="AJ568" s="25" t="s">
        <v>1985</v>
      </c>
      <c r="AK568" s="65"/>
      <c r="AL568" s="185" t="s">
        <v>1257</v>
      </c>
      <c r="AM568" s="85" t="s">
        <v>2205</v>
      </c>
      <c r="AN568" s="3"/>
      <c r="AO568" s="4"/>
      <c r="AP568" s="5"/>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6"/>
      <c r="CQ568" s="7"/>
      <c r="CR568" s="6"/>
      <c r="CS568" s="7"/>
      <c r="CT568" s="6"/>
      <c r="CU568" s="7"/>
      <c r="CV568" s="8">
        <f t="shared" si="70"/>
        <v>0</v>
      </c>
      <c r="CW568" s="9"/>
      <c r="CX568" s="10"/>
      <c r="CY568" s="11"/>
      <c r="CZ568" s="12"/>
      <c r="DA568" s="29"/>
      <c r="DB568" s="12"/>
      <c r="DC568" s="9"/>
      <c r="DD568" s="10"/>
      <c r="DE568" s="71"/>
      <c r="EO568" s="353" t="str">
        <f t="shared" si="73"/>
        <v>CAQUETA_PUERTO RICO</v>
      </c>
      <c r="EP568" s="350"/>
      <c r="EQ568" s="350" t="s">
        <v>4311</v>
      </c>
      <c r="ER568" s="358" t="s">
        <v>6260</v>
      </c>
      <c r="ES568" s="350" t="s">
        <v>5227</v>
      </c>
      <c r="ET568" s="350" t="s">
        <v>3228</v>
      </c>
      <c r="EU568" s="350" t="str">
        <f t="shared" si="72"/>
        <v>Cundinamarca_Tausa</v>
      </c>
    </row>
    <row r="569" spans="1:151" ht="33.75" x14ac:dyDescent="0.2">
      <c r="A569" s="242">
        <v>40321</v>
      </c>
      <c r="B569" s="107" t="s">
        <v>2427</v>
      </c>
      <c r="C569" s="107" t="s">
        <v>1400</v>
      </c>
      <c r="D569" s="427" t="s">
        <v>2307</v>
      </c>
      <c r="E569" s="107" t="str">
        <f>VLOOKUP(B569&amp;C569,Divipola!$C$2:$F$1138,4,FALSE)</f>
        <v>68176</v>
      </c>
      <c r="F569" s="330"/>
      <c r="G569" s="277">
        <v>1</v>
      </c>
      <c r="H569" s="75"/>
      <c r="I569" s="75"/>
      <c r="J569" s="75">
        <v>794</v>
      </c>
      <c r="K569" s="75">
        <v>204</v>
      </c>
      <c r="L569" s="75">
        <v>20</v>
      </c>
      <c r="M569" s="75"/>
      <c r="N569" s="75">
        <v>3</v>
      </c>
      <c r="O569" s="75">
        <v>1</v>
      </c>
      <c r="P569" s="75"/>
      <c r="Q569" s="75">
        <v>1</v>
      </c>
      <c r="R569" s="75"/>
      <c r="S569" s="75"/>
      <c r="T569" s="75">
        <v>1</v>
      </c>
      <c r="U569" s="75"/>
      <c r="V569" s="76">
        <v>250</v>
      </c>
      <c r="W569" s="205"/>
      <c r="X569" s="1">
        <v>40389</v>
      </c>
      <c r="Y569" s="78">
        <f t="shared" si="66"/>
        <v>0</v>
      </c>
      <c r="Z569" s="78">
        <f t="shared" si="67"/>
        <v>5100000</v>
      </c>
      <c r="AA569" s="78">
        <f t="shared" si="68"/>
        <v>0</v>
      </c>
      <c r="AB569" s="78">
        <f t="shared" si="69"/>
        <v>0</v>
      </c>
      <c r="AC569" s="78"/>
      <c r="AD569" s="78">
        <v>0</v>
      </c>
      <c r="AE569" s="80">
        <f t="shared" si="71"/>
        <v>5100000</v>
      </c>
      <c r="AF569" s="82">
        <v>0</v>
      </c>
      <c r="AG569" s="69">
        <v>40353</v>
      </c>
      <c r="AH569" s="84">
        <v>30750</v>
      </c>
      <c r="AI569" s="69" t="s">
        <v>2009</v>
      </c>
      <c r="AJ569" s="25" t="s">
        <v>2010</v>
      </c>
      <c r="AK569" s="65">
        <v>220</v>
      </c>
      <c r="AL569" s="185" t="s">
        <v>942</v>
      </c>
      <c r="AM569" s="85" t="s">
        <v>1401</v>
      </c>
      <c r="AN569" s="3"/>
      <c r="AO569" s="4"/>
      <c r="AP569" s="5"/>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6"/>
      <c r="CQ569" s="7"/>
      <c r="CR569" s="6"/>
      <c r="CS569" s="7"/>
      <c r="CT569" s="6"/>
      <c r="CU569" s="7"/>
      <c r="CV569" s="8">
        <f t="shared" si="70"/>
        <v>0</v>
      </c>
      <c r="CW569" s="9"/>
      <c r="CX569" s="10"/>
      <c r="CY569" s="11">
        <v>60</v>
      </c>
      <c r="CZ569" s="12">
        <f>60*85000</f>
        <v>5100000</v>
      </c>
      <c r="DA569" s="29"/>
      <c r="DB569" s="12"/>
      <c r="DC569" s="9"/>
      <c r="DD569" s="10"/>
      <c r="DE569" s="71"/>
      <c r="EO569" s="353" t="str">
        <f t="shared" si="73"/>
        <v>SANTANDER_CHIMA</v>
      </c>
      <c r="EP569" s="350"/>
      <c r="EQ569" s="350" t="s">
        <v>4311</v>
      </c>
      <c r="ER569" s="358" t="s">
        <v>6260</v>
      </c>
      <c r="ES569" s="350" t="s">
        <v>5228</v>
      </c>
      <c r="ET569" s="350" t="s">
        <v>3229</v>
      </c>
      <c r="EU569" s="350" t="str">
        <f t="shared" si="72"/>
        <v>Cundinamarca_Tena</v>
      </c>
    </row>
    <row r="570" spans="1:151" ht="38.25" x14ac:dyDescent="0.2">
      <c r="A570" s="242">
        <v>40321</v>
      </c>
      <c r="B570" s="107" t="s">
        <v>2427</v>
      </c>
      <c r="C570" s="107" t="s">
        <v>1399</v>
      </c>
      <c r="D570" s="427" t="s">
        <v>2307</v>
      </c>
      <c r="E570" s="107" t="str">
        <f>VLOOKUP(B570&amp;C570,Divipola!$C$2:$F$1138,4,FALSE)</f>
        <v>68368</v>
      </c>
      <c r="F570" s="330"/>
      <c r="G570" s="277"/>
      <c r="H570" s="75"/>
      <c r="I570" s="75"/>
      <c r="J570" s="75">
        <f>120*5</f>
        <v>600</v>
      </c>
      <c r="K570" s="75">
        <v>120</v>
      </c>
      <c r="L570" s="75">
        <v>8</v>
      </c>
      <c r="M570" s="75">
        <v>70</v>
      </c>
      <c r="N570" s="75">
        <v>5</v>
      </c>
      <c r="O570" s="75"/>
      <c r="P570" s="75"/>
      <c r="Q570" s="75">
        <v>4</v>
      </c>
      <c r="R570" s="75"/>
      <c r="S570" s="75"/>
      <c r="T570" s="75">
        <v>1</v>
      </c>
      <c r="U570" s="75"/>
      <c r="V570" s="76">
        <v>400</v>
      </c>
      <c r="W570" s="205"/>
      <c r="X570" s="1">
        <v>40389</v>
      </c>
      <c r="Y570" s="78">
        <f t="shared" si="66"/>
        <v>0</v>
      </c>
      <c r="Z570" s="78">
        <f t="shared" si="67"/>
        <v>6800000</v>
      </c>
      <c r="AA570" s="78">
        <f t="shared" si="68"/>
        <v>0</v>
      </c>
      <c r="AB570" s="78">
        <f t="shared" si="69"/>
        <v>0</v>
      </c>
      <c r="AC570" s="78"/>
      <c r="AD570" s="78">
        <v>0</v>
      </c>
      <c r="AE570" s="80">
        <f t="shared" si="71"/>
        <v>6800000</v>
      </c>
      <c r="AF570" s="82">
        <v>0</v>
      </c>
      <c r="AG570" s="69">
        <v>40353</v>
      </c>
      <c r="AH570" s="84">
        <v>30750</v>
      </c>
      <c r="AI570" s="69" t="s">
        <v>2009</v>
      </c>
      <c r="AJ570" s="25" t="s">
        <v>2010</v>
      </c>
      <c r="AK570" s="65">
        <v>220</v>
      </c>
      <c r="AL570" s="185" t="s">
        <v>942</v>
      </c>
      <c r="AM570" s="97" t="s">
        <v>1408</v>
      </c>
      <c r="AN570" s="3"/>
      <c r="AO570" s="4"/>
      <c r="AP570" s="5"/>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6"/>
      <c r="CQ570" s="7"/>
      <c r="CR570" s="6"/>
      <c r="CS570" s="7"/>
      <c r="CT570" s="6"/>
      <c r="CU570" s="7"/>
      <c r="CV570" s="8">
        <f t="shared" si="70"/>
        <v>0</v>
      </c>
      <c r="CW570" s="9"/>
      <c r="CX570" s="10"/>
      <c r="CY570" s="11">
        <v>80</v>
      </c>
      <c r="CZ570" s="12">
        <f>80*85000</f>
        <v>6800000</v>
      </c>
      <c r="DA570" s="29"/>
      <c r="DB570" s="12"/>
      <c r="DC570" s="9"/>
      <c r="DD570" s="10"/>
      <c r="DE570" s="71"/>
      <c r="EO570" s="353" t="str">
        <f t="shared" si="73"/>
        <v>SANTANDER_JESUS MARIA</v>
      </c>
      <c r="EP570" s="350"/>
      <c r="EQ570" s="350" t="s">
        <v>4311</v>
      </c>
      <c r="ER570" s="358" t="s">
        <v>6260</v>
      </c>
      <c r="ES570" s="350" t="s">
        <v>5229</v>
      </c>
      <c r="ET570" s="350" t="s">
        <v>3230</v>
      </c>
      <c r="EU570" s="350" t="str">
        <f t="shared" si="72"/>
        <v>Cundinamarca_Tenjo</v>
      </c>
    </row>
    <row r="571" spans="1:151" ht="36" x14ac:dyDescent="0.2">
      <c r="A571" s="242">
        <v>40321</v>
      </c>
      <c r="B571" s="107" t="s">
        <v>2427</v>
      </c>
      <c r="C571" s="107" t="s">
        <v>2372</v>
      </c>
      <c r="D571" s="427" t="s">
        <v>2307</v>
      </c>
      <c r="E571" s="107" t="str">
        <f>VLOOKUP(B571&amp;C571,Divipola!$C$2:$F$1138,4,FALSE)</f>
        <v>68773</v>
      </c>
      <c r="F571" s="330"/>
      <c r="G571" s="277"/>
      <c r="H571" s="75"/>
      <c r="I571" s="75"/>
      <c r="J571" s="75">
        <v>222</v>
      </c>
      <c r="K571" s="75">
        <v>49</v>
      </c>
      <c r="L571" s="75"/>
      <c r="M571" s="75">
        <v>17</v>
      </c>
      <c r="N571" s="75">
        <v>4</v>
      </c>
      <c r="O571" s="75">
        <v>2</v>
      </c>
      <c r="P571" s="75"/>
      <c r="Q571" s="75">
        <v>3</v>
      </c>
      <c r="R571" s="75"/>
      <c r="S571" s="75"/>
      <c r="T571" s="75">
        <v>1</v>
      </c>
      <c r="U571" s="75"/>
      <c r="V571" s="76">
        <v>20</v>
      </c>
      <c r="W571" s="205"/>
      <c r="X571" s="1">
        <v>40389</v>
      </c>
      <c r="Y571" s="78">
        <f t="shared" si="66"/>
        <v>0</v>
      </c>
      <c r="Z571" s="78">
        <f t="shared" si="67"/>
        <v>6800000</v>
      </c>
      <c r="AA571" s="78">
        <f t="shared" si="68"/>
        <v>0</v>
      </c>
      <c r="AB571" s="78">
        <f t="shared" si="69"/>
        <v>0</v>
      </c>
      <c r="AC571" s="78"/>
      <c r="AD571" s="78">
        <v>0</v>
      </c>
      <c r="AE571" s="80">
        <f t="shared" si="71"/>
        <v>6800000</v>
      </c>
      <c r="AF571" s="82">
        <v>0</v>
      </c>
      <c r="AG571" s="69">
        <v>40353</v>
      </c>
      <c r="AH571" s="84">
        <v>30750</v>
      </c>
      <c r="AI571" s="69" t="s">
        <v>2009</v>
      </c>
      <c r="AJ571" s="25" t="s">
        <v>2010</v>
      </c>
      <c r="AK571" s="65">
        <v>220</v>
      </c>
      <c r="AL571" s="185" t="s">
        <v>942</v>
      </c>
      <c r="AM571" s="85" t="s">
        <v>106</v>
      </c>
      <c r="AN571" s="3"/>
      <c r="AO571" s="4"/>
      <c r="AP571" s="5"/>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6"/>
      <c r="CQ571" s="7"/>
      <c r="CR571" s="6"/>
      <c r="CS571" s="7"/>
      <c r="CT571" s="6"/>
      <c r="CU571" s="7"/>
      <c r="CV571" s="8">
        <f t="shared" si="70"/>
        <v>0</v>
      </c>
      <c r="CW571" s="9"/>
      <c r="CX571" s="10"/>
      <c r="CY571" s="11">
        <v>80</v>
      </c>
      <c r="CZ571" s="12">
        <f>80*85000</f>
        <v>6800000</v>
      </c>
      <c r="DA571" s="29"/>
      <c r="DB571" s="12"/>
      <c r="DC571" s="9"/>
      <c r="DD571" s="10"/>
      <c r="DE571" s="71"/>
      <c r="EO571" s="353" t="str">
        <f t="shared" si="73"/>
        <v>SANTANDER_SUCRE</v>
      </c>
      <c r="EP571" s="350"/>
      <c r="EQ571" s="350" t="s">
        <v>4311</v>
      </c>
      <c r="ER571" s="358" t="s">
        <v>6260</v>
      </c>
      <c r="ES571" s="350" t="s">
        <v>5230</v>
      </c>
      <c r="ET571" s="350" t="s">
        <v>3231</v>
      </c>
      <c r="EU571" s="350" t="str">
        <f t="shared" si="72"/>
        <v>Cundinamarca_Tibacuy</v>
      </c>
    </row>
    <row r="572" spans="1:151" ht="149.25" customHeight="1" x14ac:dyDescent="0.2">
      <c r="A572" s="242">
        <v>40321.581250000003</v>
      </c>
      <c r="B572" s="107" t="s">
        <v>6305</v>
      </c>
      <c r="C572" s="107" t="s">
        <v>6305</v>
      </c>
      <c r="D572" s="430" t="s">
        <v>2307</v>
      </c>
      <c r="E572" s="107" t="str">
        <f>VLOOKUP(B572&amp;C572,Divipola!$C$2:$F$1138,4,FALSE)</f>
        <v>11001</v>
      </c>
      <c r="F572" s="333"/>
      <c r="G572" s="221"/>
      <c r="H572" s="157"/>
      <c r="I572" s="157"/>
      <c r="J572" s="157">
        <v>57</v>
      </c>
      <c r="K572" s="414">
        <v>17</v>
      </c>
      <c r="L572" s="157"/>
      <c r="M572" s="157"/>
      <c r="N572" s="157"/>
      <c r="O572" s="157"/>
      <c r="P572" s="157"/>
      <c r="Q572" s="157"/>
      <c r="R572" s="157"/>
      <c r="S572" s="157"/>
      <c r="T572" s="157"/>
      <c r="U572" s="157"/>
      <c r="V572" s="158"/>
      <c r="W572" s="182"/>
      <c r="X572" s="1"/>
      <c r="Y572" s="78">
        <f t="shared" si="66"/>
        <v>0</v>
      </c>
      <c r="Z572" s="78">
        <f t="shared" si="67"/>
        <v>0</v>
      </c>
      <c r="AA572" s="78">
        <f t="shared" si="68"/>
        <v>0</v>
      </c>
      <c r="AB572" s="78">
        <f t="shared" si="69"/>
        <v>0</v>
      </c>
      <c r="AC572" s="78"/>
      <c r="AD572" s="78">
        <v>0</v>
      </c>
      <c r="AE572" s="80">
        <f t="shared" si="71"/>
        <v>0</v>
      </c>
      <c r="AF572" s="82">
        <v>0</v>
      </c>
      <c r="AG572" s="302">
        <v>40624</v>
      </c>
      <c r="AH572" s="307"/>
      <c r="AI572" s="306" t="s">
        <v>1984</v>
      </c>
      <c r="AJ572" s="308" t="s">
        <v>1985</v>
      </c>
      <c r="AK572" s="309"/>
      <c r="AL572" s="310" t="s">
        <v>1257</v>
      </c>
      <c r="AM572" s="419" t="s">
        <v>3750</v>
      </c>
      <c r="AN572" s="159"/>
      <c r="AO572" s="160"/>
      <c r="AP572" s="161"/>
      <c r="AQ572" s="160"/>
      <c r="AR572" s="160"/>
      <c r="AS572" s="160"/>
      <c r="AT572" s="160"/>
      <c r="AU572" s="160"/>
      <c r="AV572" s="160"/>
      <c r="AW572" s="160"/>
      <c r="AX572" s="160"/>
      <c r="AY572" s="160"/>
      <c r="AZ572" s="160"/>
      <c r="BA572" s="160"/>
      <c r="BB572" s="160"/>
      <c r="BC572" s="160"/>
      <c r="BD572" s="160"/>
      <c r="BE572" s="160"/>
      <c r="BF572" s="160"/>
      <c r="BG572" s="160"/>
      <c r="BH572" s="160"/>
      <c r="BI572" s="160"/>
      <c r="BJ572" s="160"/>
      <c r="BK572" s="160"/>
      <c r="BL572" s="160"/>
      <c r="BM572" s="160"/>
      <c r="BN572" s="160"/>
      <c r="BO572" s="160"/>
      <c r="BP572" s="160"/>
      <c r="BQ572" s="160"/>
      <c r="BR572" s="160"/>
      <c r="BS572" s="160"/>
      <c r="BT572" s="160"/>
      <c r="BU572" s="160"/>
      <c r="BV572" s="160"/>
      <c r="BW572" s="160"/>
      <c r="BX572" s="160"/>
      <c r="BY572" s="160"/>
      <c r="BZ572" s="160"/>
      <c r="CA572" s="160"/>
      <c r="CB572" s="160"/>
      <c r="CC572" s="160"/>
      <c r="CD572" s="160"/>
      <c r="CE572" s="160"/>
      <c r="CF572" s="160"/>
      <c r="CG572" s="160"/>
      <c r="CH572" s="160"/>
      <c r="CI572" s="160"/>
      <c r="CJ572" s="160"/>
      <c r="CK572" s="160"/>
      <c r="CL572" s="160"/>
      <c r="CM572" s="160"/>
      <c r="CN572" s="160"/>
      <c r="CO572" s="160"/>
      <c r="CP572" s="162"/>
      <c r="CQ572" s="163"/>
      <c r="CR572" s="162"/>
      <c r="CS572" s="163"/>
      <c r="CT572" s="162"/>
      <c r="CU572" s="163"/>
      <c r="CV572" s="164">
        <f t="shared" si="70"/>
        <v>0</v>
      </c>
      <c r="CW572" s="165"/>
      <c r="CX572" s="166"/>
      <c r="CY572" s="167"/>
      <c r="CZ572" s="168"/>
      <c r="DA572" s="169"/>
      <c r="DB572" s="168"/>
      <c r="DC572" s="165"/>
      <c r="DD572" s="166"/>
      <c r="DE572" s="71"/>
      <c r="DF572" s="170"/>
      <c r="EO572" s="353" t="str">
        <f t="shared" si="73"/>
        <v>BOGOTA, D.C._BOGOTA, D.C.</v>
      </c>
      <c r="EP572" s="350"/>
      <c r="EQ572" s="350" t="s">
        <v>4311</v>
      </c>
      <c r="ER572" s="358" t="s">
        <v>6260</v>
      </c>
      <c r="ES572" s="350" t="s">
        <v>5231</v>
      </c>
      <c r="ET572" s="350" t="s">
        <v>3232</v>
      </c>
      <c r="EU572" s="350" t="str">
        <f t="shared" si="72"/>
        <v>Cundinamarca_Tibirita</v>
      </c>
    </row>
    <row r="573" spans="1:151" ht="25.5" x14ac:dyDescent="0.2">
      <c r="A573" s="246">
        <v>40322</v>
      </c>
      <c r="B573" s="238" t="s">
        <v>2401</v>
      </c>
      <c r="C573" s="238" t="s">
        <v>2201</v>
      </c>
      <c r="D573" s="431" t="s">
        <v>2209</v>
      </c>
      <c r="E573" s="107" t="str">
        <f>VLOOKUP(B573&amp;C573,Divipola!$C$2:$F$1138,4,FALSE)</f>
        <v>05318</v>
      </c>
      <c r="F573" s="334"/>
      <c r="G573" s="224"/>
      <c r="H573" s="75"/>
      <c r="I573" s="75"/>
      <c r="J573" s="75">
        <v>500</v>
      </c>
      <c r="K573" s="75">
        <v>100</v>
      </c>
      <c r="L573" s="75"/>
      <c r="M573" s="75">
        <v>100</v>
      </c>
      <c r="N573" s="75"/>
      <c r="O573" s="75"/>
      <c r="P573" s="75"/>
      <c r="Q573" s="75"/>
      <c r="R573" s="75"/>
      <c r="S573" s="75"/>
      <c r="T573" s="75"/>
      <c r="U573" s="75"/>
      <c r="V573" s="76"/>
      <c r="W573" s="205"/>
      <c r="X573" s="1"/>
      <c r="Y573" s="78">
        <f t="shared" si="66"/>
        <v>0</v>
      </c>
      <c r="Z573" s="78">
        <f t="shared" si="67"/>
        <v>0</v>
      </c>
      <c r="AA573" s="78">
        <f t="shared" si="68"/>
        <v>0</v>
      </c>
      <c r="AB573" s="78">
        <f t="shared" si="69"/>
        <v>0</v>
      </c>
      <c r="AC573" s="78"/>
      <c r="AD573" s="78">
        <v>0</v>
      </c>
      <c r="AE573" s="80">
        <f t="shared" si="71"/>
        <v>0</v>
      </c>
      <c r="AF573" s="82">
        <v>0</v>
      </c>
      <c r="AG573" s="69">
        <v>40323</v>
      </c>
      <c r="AH573" s="84"/>
      <c r="AI573" s="69" t="s">
        <v>1984</v>
      </c>
      <c r="AJ573" s="25" t="s">
        <v>1985</v>
      </c>
      <c r="AK573" s="65"/>
      <c r="AL573" s="185" t="s">
        <v>1257</v>
      </c>
      <c r="AM573" s="85" t="s">
        <v>639</v>
      </c>
      <c r="AN573" s="3"/>
      <c r="AO573" s="4"/>
      <c r="AP573" s="5"/>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6"/>
      <c r="CQ573" s="7"/>
      <c r="CR573" s="6"/>
      <c r="CS573" s="7"/>
      <c r="CT573" s="6"/>
      <c r="CU573" s="7"/>
      <c r="CV573" s="8">
        <f t="shared" si="70"/>
        <v>0</v>
      </c>
      <c r="CW573" s="9"/>
      <c r="CX573" s="10"/>
      <c r="CY573" s="11"/>
      <c r="CZ573" s="12"/>
      <c r="DA573" s="29"/>
      <c r="DB573" s="12"/>
      <c r="DC573" s="9"/>
      <c r="DD573" s="10"/>
      <c r="DE573" s="71"/>
      <c r="EO573" s="353" t="str">
        <f t="shared" si="73"/>
        <v>ANTIOQUIA_GUARNE</v>
      </c>
      <c r="EP573" s="350"/>
      <c r="EQ573" s="350" t="s">
        <v>4311</v>
      </c>
      <c r="ER573" s="358" t="s">
        <v>6260</v>
      </c>
      <c r="ES573" s="350" t="s">
        <v>5232</v>
      </c>
      <c r="ET573" s="350" t="s">
        <v>3233</v>
      </c>
      <c r="EU573" s="350" t="str">
        <f t="shared" si="72"/>
        <v>Cundinamarca_Tocaima</v>
      </c>
    </row>
    <row r="574" spans="1:151" ht="51" x14ac:dyDescent="0.2">
      <c r="A574" s="242">
        <v>40322</v>
      </c>
      <c r="B574" s="107" t="s">
        <v>2017</v>
      </c>
      <c r="C574" s="107" t="s">
        <v>1960</v>
      </c>
      <c r="D574" s="427" t="s">
        <v>882</v>
      </c>
      <c r="E574" s="107" t="str">
        <f>VLOOKUP(B574&amp;C574,Divipola!$C$2:$F$1138,4,FALSE)</f>
        <v>13647</v>
      </c>
      <c r="F574" s="330"/>
      <c r="G574" s="224"/>
      <c r="H574" s="75"/>
      <c r="I574" s="75"/>
      <c r="J574" s="75"/>
      <c r="K574" s="75"/>
      <c r="L574" s="75"/>
      <c r="M574" s="75"/>
      <c r="N574" s="75"/>
      <c r="O574" s="75">
        <v>1</v>
      </c>
      <c r="P574" s="75"/>
      <c r="Q574" s="75"/>
      <c r="R574" s="75"/>
      <c r="S574" s="75"/>
      <c r="T574" s="75"/>
      <c r="U574" s="75"/>
      <c r="V574" s="76"/>
      <c r="W574" s="205"/>
      <c r="X574" s="1"/>
      <c r="Y574" s="78">
        <f t="shared" si="66"/>
        <v>0</v>
      </c>
      <c r="Z574" s="78">
        <f t="shared" si="67"/>
        <v>0</v>
      </c>
      <c r="AA574" s="78">
        <f t="shared" si="68"/>
        <v>0</v>
      </c>
      <c r="AB574" s="78">
        <f t="shared" si="69"/>
        <v>0</v>
      </c>
      <c r="AC574" s="78"/>
      <c r="AD574" s="78">
        <v>0</v>
      </c>
      <c r="AE574" s="80">
        <f t="shared" si="71"/>
        <v>0</v>
      </c>
      <c r="AF574" s="82">
        <v>0</v>
      </c>
      <c r="AG574" s="69">
        <v>40323</v>
      </c>
      <c r="AH574" s="84"/>
      <c r="AI574" s="69" t="s">
        <v>1984</v>
      </c>
      <c r="AJ574" s="25" t="s">
        <v>1985</v>
      </c>
      <c r="AK574" s="65"/>
      <c r="AL574" s="185" t="s">
        <v>1257</v>
      </c>
      <c r="AM574" s="85" t="s">
        <v>2410</v>
      </c>
      <c r="AN574" s="3"/>
      <c r="AO574" s="4"/>
      <c r="AP574" s="5"/>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6"/>
      <c r="CQ574" s="7"/>
      <c r="CR574" s="6"/>
      <c r="CS574" s="7"/>
      <c r="CT574" s="6"/>
      <c r="CU574" s="7"/>
      <c r="CV574" s="8">
        <f t="shared" si="70"/>
        <v>0</v>
      </c>
      <c r="CW574" s="9"/>
      <c r="CX574" s="10"/>
      <c r="CY574" s="11"/>
      <c r="CZ574" s="12"/>
      <c r="DA574" s="29"/>
      <c r="DB574" s="12"/>
      <c r="DC574" s="9"/>
      <c r="DD574" s="10"/>
      <c r="DE574" s="71"/>
      <c r="EO574" s="353" t="str">
        <f t="shared" si="73"/>
        <v>BOLIVAR_SAN ESTANISLAO</v>
      </c>
      <c r="EP574" s="350"/>
      <c r="EQ574" s="350" t="s">
        <v>4311</v>
      </c>
      <c r="ER574" s="358" t="s">
        <v>6260</v>
      </c>
      <c r="ES574" s="350" t="s">
        <v>5233</v>
      </c>
      <c r="ET574" s="350" t="s">
        <v>3234</v>
      </c>
      <c r="EU574" s="350" t="str">
        <f t="shared" si="72"/>
        <v>Cundinamarca_Tocancipa</v>
      </c>
    </row>
    <row r="575" spans="1:151" ht="36" x14ac:dyDescent="0.2">
      <c r="A575" s="242">
        <v>40322</v>
      </c>
      <c r="B575" s="107" t="s">
        <v>828</v>
      </c>
      <c r="C575" s="107" t="s">
        <v>2363</v>
      </c>
      <c r="D575" s="427" t="s">
        <v>2781</v>
      </c>
      <c r="E575" s="107" t="str">
        <f>VLOOKUP(B575&amp;C575,Divipola!$C$2:$F$1138,4,FALSE)</f>
        <v>15516</v>
      </c>
      <c r="F575" s="330"/>
      <c r="G575" s="224">
        <v>1</v>
      </c>
      <c r="H575" s="75"/>
      <c r="I575" s="75"/>
      <c r="J575" s="75"/>
      <c r="K575" s="75"/>
      <c r="L575" s="75"/>
      <c r="M575" s="75"/>
      <c r="N575" s="75"/>
      <c r="O575" s="75"/>
      <c r="P575" s="75"/>
      <c r="Q575" s="75"/>
      <c r="R575" s="75"/>
      <c r="S575" s="75"/>
      <c r="T575" s="75"/>
      <c r="U575" s="75"/>
      <c r="V575" s="76"/>
      <c r="W575" s="205"/>
      <c r="X575" s="1"/>
      <c r="Y575" s="78">
        <f t="shared" si="66"/>
        <v>0</v>
      </c>
      <c r="Z575" s="78">
        <f t="shared" si="67"/>
        <v>0</v>
      </c>
      <c r="AA575" s="78">
        <f t="shared" si="68"/>
        <v>0</v>
      </c>
      <c r="AB575" s="78">
        <f t="shared" si="69"/>
        <v>0</v>
      </c>
      <c r="AC575" s="78"/>
      <c r="AD575" s="78">
        <v>0</v>
      </c>
      <c r="AE575" s="80">
        <f t="shared" si="71"/>
        <v>0</v>
      </c>
      <c r="AF575" s="82">
        <v>0</v>
      </c>
      <c r="AG575" s="69">
        <v>40323</v>
      </c>
      <c r="AH575" s="84"/>
      <c r="AI575" s="69" t="s">
        <v>1984</v>
      </c>
      <c r="AJ575" s="25" t="s">
        <v>1985</v>
      </c>
      <c r="AK575" s="65"/>
      <c r="AL575" s="185" t="s">
        <v>1257</v>
      </c>
      <c r="AM575" s="85" t="s">
        <v>2204</v>
      </c>
      <c r="AN575" s="3"/>
      <c r="AO575" s="4"/>
      <c r="AP575" s="5"/>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6"/>
      <c r="CQ575" s="7"/>
      <c r="CR575" s="6"/>
      <c r="CS575" s="7"/>
      <c r="CT575" s="6"/>
      <c r="CU575" s="7"/>
      <c r="CV575" s="8">
        <f t="shared" si="70"/>
        <v>0</v>
      </c>
      <c r="CW575" s="9"/>
      <c r="CX575" s="10"/>
      <c r="CY575" s="11"/>
      <c r="CZ575" s="12"/>
      <c r="DA575" s="29"/>
      <c r="DB575" s="12"/>
      <c r="DC575" s="9"/>
      <c r="DD575" s="10"/>
      <c r="DE575" s="71"/>
      <c r="EO575" s="353" t="str">
        <f t="shared" si="73"/>
        <v>BOYACA_PAIPA</v>
      </c>
      <c r="EP575" s="350"/>
      <c r="EQ575" s="350" t="s">
        <v>4311</v>
      </c>
      <c r="ER575" s="358" t="s">
        <v>6260</v>
      </c>
      <c r="ES575" s="350" t="s">
        <v>5234</v>
      </c>
      <c r="ET575" s="350" t="s">
        <v>3235</v>
      </c>
      <c r="EU575" s="350" t="str">
        <f t="shared" si="72"/>
        <v>Cundinamarca_Topaipi</v>
      </c>
    </row>
    <row r="576" spans="1:151" ht="25.5" x14ac:dyDescent="0.2">
      <c r="A576" s="242">
        <v>40322</v>
      </c>
      <c r="B576" s="107" t="s">
        <v>3112</v>
      </c>
      <c r="C576" s="107" t="s">
        <v>2408</v>
      </c>
      <c r="D576" s="427" t="s">
        <v>837</v>
      </c>
      <c r="E576" s="107" t="str">
        <f>VLOOKUP(B576&amp;C576,Divipola!$C$2:$F$1138,4,FALSE)</f>
        <v>18460</v>
      </c>
      <c r="F576" s="330"/>
      <c r="G576" s="224"/>
      <c r="H576" s="75"/>
      <c r="I576" s="75"/>
      <c r="J576" s="75">
        <f>138*5</f>
        <v>690</v>
      </c>
      <c r="K576" s="75">
        <v>138</v>
      </c>
      <c r="L576" s="75"/>
      <c r="M576" s="75">
        <v>80</v>
      </c>
      <c r="N576" s="75"/>
      <c r="O576" s="75"/>
      <c r="P576" s="75"/>
      <c r="Q576" s="75"/>
      <c r="R576" s="75"/>
      <c r="S576" s="75"/>
      <c r="T576" s="75">
        <v>1</v>
      </c>
      <c r="U576" s="75"/>
      <c r="V576" s="76"/>
      <c r="W576" s="205"/>
      <c r="X576" s="1"/>
      <c r="Y576" s="78">
        <f t="shared" si="66"/>
        <v>0</v>
      </c>
      <c r="Z576" s="78">
        <f t="shared" si="67"/>
        <v>0</v>
      </c>
      <c r="AA576" s="78">
        <f t="shared" si="68"/>
        <v>0</v>
      </c>
      <c r="AB576" s="78">
        <f t="shared" si="69"/>
        <v>0</v>
      </c>
      <c r="AC576" s="78"/>
      <c r="AD576" s="78">
        <v>0</v>
      </c>
      <c r="AE576" s="80">
        <f t="shared" si="71"/>
        <v>0</v>
      </c>
      <c r="AF576" s="82">
        <v>0</v>
      </c>
      <c r="AG576" s="69">
        <v>40323</v>
      </c>
      <c r="AH576" s="84"/>
      <c r="AI576" s="69" t="s">
        <v>1984</v>
      </c>
      <c r="AJ576" s="25" t="s">
        <v>1985</v>
      </c>
      <c r="AK576" s="65"/>
      <c r="AL576" s="185" t="s">
        <v>1257</v>
      </c>
      <c r="AM576" s="85" t="s">
        <v>2409</v>
      </c>
      <c r="AN576" s="3"/>
      <c r="AO576" s="4"/>
      <c r="AP576" s="5"/>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6"/>
      <c r="CQ576" s="7"/>
      <c r="CR576" s="6"/>
      <c r="CS576" s="7"/>
      <c r="CT576" s="6"/>
      <c r="CU576" s="7"/>
      <c r="CV576" s="8">
        <f t="shared" si="70"/>
        <v>0</v>
      </c>
      <c r="CW576" s="9"/>
      <c r="CX576" s="10"/>
      <c r="CY576" s="11"/>
      <c r="CZ576" s="12"/>
      <c r="DA576" s="29"/>
      <c r="DB576" s="12"/>
      <c r="DC576" s="9"/>
      <c r="DD576" s="10"/>
      <c r="DE576" s="71"/>
      <c r="EO576" s="353" t="str">
        <f t="shared" si="73"/>
        <v>CAQUETA_MILAN</v>
      </c>
      <c r="EP576" s="350"/>
      <c r="EQ576" s="350" t="s">
        <v>4311</v>
      </c>
      <c r="ER576" s="358" t="s">
        <v>6260</v>
      </c>
      <c r="ES576" s="350" t="s">
        <v>5235</v>
      </c>
      <c r="ET576" s="350" t="s">
        <v>3236</v>
      </c>
      <c r="EU576" s="350" t="str">
        <f t="shared" si="72"/>
        <v>Cundinamarca_Ubala</v>
      </c>
    </row>
    <row r="577" spans="1:151" ht="36" x14ac:dyDescent="0.2">
      <c r="A577" s="242">
        <v>40322</v>
      </c>
      <c r="B577" s="107" t="s">
        <v>1719</v>
      </c>
      <c r="C577" s="107" t="s">
        <v>1720</v>
      </c>
      <c r="D577" s="427" t="s">
        <v>2209</v>
      </c>
      <c r="E577" s="107" t="str">
        <f>VLOOKUP(B577&amp;C577,Divipola!$C$2:$F$1138,4,FALSE)</f>
        <v>19001</v>
      </c>
      <c r="F577" s="330"/>
      <c r="G577" s="224"/>
      <c r="H577" s="75"/>
      <c r="I577" s="75"/>
      <c r="J577" s="75">
        <v>340</v>
      </c>
      <c r="K577" s="75">
        <v>68</v>
      </c>
      <c r="L577" s="75">
        <v>10</v>
      </c>
      <c r="M577" s="75">
        <v>58</v>
      </c>
      <c r="N577" s="75"/>
      <c r="O577" s="75"/>
      <c r="P577" s="75"/>
      <c r="Q577" s="75"/>
      <c r="R577" s="75"/>
      <c r="S577" s="75"/>
      <c r="T577" s="75"/>
      <c r="U577" s="75"/>
      <c r="V577" s="76"/>
      <c r="W577" s="205"/>
      <c r="X577" s="1">
        <v>40448</v>
      </c>
      <c r="Y577" s="78">
        <f t="shared" si="66"/>
        <v>13525000</v>
      </c>
      <c r="Z577" s="78">
        <f t="shared" si="67"/>
        <v>0</v>
      </c>
      <c r="AA577" s="78">
        <f t="shared" si="68"/>
        <v>24480600</v>
      </c>
      <c r="AB577" s="78">
        <f t="shared" si="69"/>
        <v>0</v>
      </c>
      <c r="AC577" s="78"/>
      <c r="AD577" s="78">
        <v>0</v>
      </c>
      <c r="AE577" s="80">
        <f t="shared" si="71"/>
        <v>38005600</v>
      </c>
      <c r="AF577" s="82">
        <v>0</v>
      </c>
      <c r="AG577" s="69">
        <v>40323</v>
      </c>
      <c r="AH577" s="84">
        <v>31295</v>
      </c>
      <c r="AI577" s="69" t="s">
        <v>2009</v>
      </c>
      <c r="AJ577" s="25" t="s">
        <v>2010</v>
      </c>
      <c r="AK577" s="65"/>
      <c r="AL577" s="185" t="s">
        <v>1197</v>
      </c>
      <c r="AM577" s="85" t="s">
        <v>640</v>
      </c>
      <c r="AN577" s="3"/>
      <c r="AO577" s="4"/>
      <c r="AP577" s="5"/>
      <c r="AQ577" s="4"/>
      <c r="AR577" s="4"/>
      <c r="AS577" s="4"/>
      <c r="AT577" s="4"/>
      <c r="AU577" s="4"/>
      <c r="AV577" s="4"/>
      <c r="AW577" s="4"/>
      <c r="AX577" s="4"/>
      <c r="AY577" s="4"/>
      <c r="AZ577" s="4">
        <v>100</v>
      </c>
      <c r="BA577" s="4">
        <f>100*56000</f>
        <v>5600000</v>
      </c>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v>200</v>
      </c>
      <c r="CK577" s="4">
        <f>200*21000</f>
        <v>4200000</v>
      </c>
      <c r="CL577" s="4"/>
      <c r="CM577" s="4"/>
      <c r="CN577" s="4"/>
      <c r="CO577" s="4"/>
      <c r="CP577" s="6">
        <v>50</v>
      </c>
      <c r="CQ577" s="7">
        <f>50*38500</f>
        <v>1925000</v>
      </c>
      <c r="CR577" s="6">
        <v>50</v>
      </c>
      <c r="CS577" s="7">
        <f>50*36000</f>
        <v>1800000</v>
      </c>
      <c r="CT577" s="6"/>
      <c r="CU577" s="7"/>
      <c r="CV577" s="8">
        <f t="shared" si="70"/>
        <v>13525000</v>
      </c>
      <c r="CW577" s="9"/>
      <c r="CX577" s="10"/>
      <c r="CY577" s="11"/>
      <c r="CZ577" s="12"/>
      <c r="DA577" s="29"/>
      <c r="DB577" s="12"/>
      <c r="DC577" s="9">
        <f>400+600</f>
        <v>1000</v>
      </c>
      <c r="DD577" s="10">
        <f>400*23652+600*25033</f>
        <v>24480600</v>
      </c>
      <c r="DE577" s="71"/>
      <c r="EO577" s="353" t="str">
        <f t="shared" si="73"/>
        <v>CAUCA_POPAYAN</v>
      </c>
      <c r="EP577" s="350"/>
      <c r="EQ577" s="350" t="s">
        <v>4311</v>
      </c>
      <c r="ER577" s="358" t="s">
        <v>6260</v>
      </c>
      <c r="ES577" s="350" t="s">
        <v>5236</v>
      </c>
      <c r="ET577" s="350" t="s">
        <v>3237</v>
      </c>
      <c r="EU577" s="350" t="str">
        <f t="shared" si="72"/>
        <v>Cundinamarca_Ubaque</v>
      </c>
    </row>
    <row r="578" spans="1:151" ht="51" x14ac:dyDescent="0.2">
      <c r="A578" s="242">
        <v>40322</v>
      </c>
      <c r="B578" s="107" t="s">
        <v>2007</v>
      </c>
      <c r="C578" s="107" t="s">
        <v>2387</v>
      </c>
      <c r="D578" s="427" t="s">
        <v>2209</v>
      </c>
      <c r="E578" s="107" t="str">
        <f>VLOOKUP(B578&amp;C578,Divipola!$C$2:$F$1138,4,FALSE)</f>
        <v>25394</v>
      </c>
      <c r="F578" s="330"/>
      <c r="G578" s="224"/>
      <c r="H578" s="75"/>
      <c r="I578" s="75"/>
      <c r="J578" s="75">
        <v>46</v>
      </c>
      <c r="K578" s="75">
        <v>16</v>
      </c>
      <c r="L578" s="75"/>
      <c r="M578" s="75">
        <v>16</v>
      </c>
      <c r="N578" s="75"/>
      <c r="O578" s="75"/>
      <c r="P578" s="75"/>
      <c r="Q578" s="75"/>
      <c r="R578" s="75"/>
      <c r="S578" s="75"/>
      <c r="T578" s="75"/>
      <c r="U578" s="75"/>
      <c r="V578" s="76"/>
      <c r="W578" s="205"/>
      <c r="X578" s="1"/>
      <c r="Y578" s="78">
        <f t="shared" si="66"/>
        <v>0</v>
      </c>
      <c r="Z578" s="78">
        <f t="shared" si="67"/>
        <v>0</v>
      </c>
      <c r="AA578" s="78">
        <f t="shared" si="68"/>
        <v>0</v>
      </c>
      <c r="AB578" s="78">
        <f t="shared" si="69"/>
        <v>0</v>
      </c>
      <c r="AC578" s="78"/>
      <c r="AD578" s="78">
        <v>0</v>
      </c>
      <c r="AE578" s="80">
        <f t="shared" si="71"/>
        <v>0</v>
      </c>
      <c r="AF578" s="82">
        <v>0</v>
      </c>
      <c r="AG578" s="69">
        <v>40324</v>
      </c>
      <c r="AH578" s="84"/>
      <c r="AI578" s="69" t="s">
        <v>1984</v>
      </c>
      <c r="AJ578" s="25" t="s">
        <v>1985</v>
      </c>
      <c r="AK578" s="65"/>
      <c r="AL578" s="185" t="s">
        <v>1257</v>
      </c>
      <c r="AM578" s="85" t="s">
        <v>234</v>
      </c>
      <c r="AN578" s="3"/>
      <c r="AO578" s="4"/>
      <c r="AP578" s="5"/>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6"/>
      <c r="CQ578" s="7"/>
      <c r="CR578" s="6"/>
      <c r="CS578" s="7"/>
      <c r="CT578" s="6"/>
      <c r="CU578" s="7"/>
      <c r="CV578" s="8">
        <f t="shared" si="70"/>
        <v>0</v>
      </c>
      <c r="CW578" s="9"/>
      <c r="CX578" s="10"/>
      <c r="CY578" s="11"/>
      <c r="CZ578" s="12"/>
      <c r="DA578" s="29"/>
      <c r="DB578" s="12"/>
      <c r="DC578" s="9"/>
      <c r="DD578" s="10"/>
      <c r="DE578" s="71"/>
      <c r="EO578" s="353" t="str">
        <f t="shared" si="73"/>
        <v>CUNDINAMARCA_LA PALMA</v>
      </c>
      <c r="EP578" s="350"/>
      <c r="EQ578" s="350" t="s">
        <v>4311</v>
      </c>
      <c r="ER578" s="358" t="s">
        <v>6260</v>
      </c>
      <c r="ES578" s="350" t="s">
        <v>5237</v>
      </c>
      <c r="ET578" s="350" t="s">
        <v>3238</v>
      </c>
      <c r="EU578" s="350" t="str">
        <f t="shared" si="72"/>
        <v>Cundinamarca_Villa de San Diego de Ubate</v>
      </c>
    </row>
    <row r="579" spans="1:151" ht="45" x14ac:dyDescent="0.2">
      <c r="A579" s="242">
        <v>40322</v>
      </c>
      <c r="B579" s="107" t="s">
        <v>2791</v>
      </c>
      <c r="C579" s="107" t="s">
        <v>2753</v>
      </c>
      <c r="D579" s="427" t="s">
        <v>837</v>
      </c>
      <c r="E579" s="107" t="str">
        <f>VLOOKUP(B579&amp;C579,Divipola!$C$2:$F$1138,4,FALSE)</f>
        <v>73148</v>
      </c>
      <c r="F579" s="330"/>
      <c r="G579" s="224"/>
      <c r="H579" s="75"/>
      <c r="I579" s="75"/>
      <c r="J579" s="75">
        <f>57*5</f>
        <v>285</v>
      </c>
      <c r="K579" s="75">
        <v>57</v>
      </c>
      <c r="L579" s="75">
        <v>27</v>
      </c>
      <c r="M579" s="75">
        <v>21</v>
      </c>
      <c r="N579" s="75"/>
      <c r="O579" s="75"/>
      <c r="P579" s="75"/>
      <c r="Q579" s="75"/>
      <c r="R579" s="75"/>
      <c r="S579" s="75"/>
      <c r="T579" s="75"/>
      <c r="U579" s="75"/>
      <c r="V579" s="76"/>
      <c r="W579" s="205"/>
      <c r="X579" s="1">
        <v>40354</v>
      </c>
      <c r="Y579" s="78">
        <f t="shared" ref="Y579:Y642" si="74">CV579</f>
        <v>13737000</v>
      </c>
      <c r="Z579" s="78">
        <f t="shared" ref="Z579:Z642" si="75">CZ579</f>
        <v>4845000</v>
      </c>
      <c r="AA579" s="78">
        <f t="shared" ref="AA579:AA642" si="76">DB579+DD579</f>
        <v>12044000</v>
      </c>
      <c r="AB579" s="78">
        <f t="shared" ref="AB579:AB642" si="77">CX579</f>
        <v>0</v>
      </c>
      <c r="AC579" s="78"/>
      <c r="AD579" s="78">
        <v>0</v>
      </c>
      <c r="AE579" s="80">
        <f t="shared" si="71"/>
        <v>30626000</v>
      </c>
      <c r="AF579" s="82">
        <v>0</v>
      </c>
      <c r="AG579" s="69">
        <v>40330</v>
      </c>
      <c r="AH579" s="84">
        <v>97944</v>
      </c>
      <c r="AI579" s="69" t="s">
        <v>2009</v>
      </c>
      <c r="AJ579" s="25" t="s">
        <v>2010</v>
      </c>
      <c r="AK579" s="88" t="s">
        <v>2048</v>
      </c>
      <c r="AL579" s="185" t="s">
        <v>2182</v>
      </c>
      <c r="AM579" s="85" t="s">
        <v>2202</v>
      </c>
      <c r="AN579" s="3"/>
      <c r="AO579" s="4"/>
      <c r="AP579" s="5"/>
      <c r="AQ579" s="4"/>
      <c r="AR579" s="4"/>
      <c r="AS579" s="4"/>
      <c r="AT579" s="4"/>
      <c r="AU579" s="4"/>
      <c r="AV579" s="4"/>
      <c r="AW579" s="4"/>
      <c r="AX579" s="4"/>
      <c r="AY579" s="4"/>
      <c r="AZ579" s="4">
        <v>171</v>
      </c>
      <c r="BA579" s="4">
        <f>171*56000</f>
        <v>9576000</v>
      </c>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6">
        <v>57</v>
      </c>
      <c r="CQ579" s="7">
        <f>57*37000</f>
        <v>2109000</v>
      </c>
      <c r="CR579" s="6">
        <v>57</v>
      </c>
      <c r="CS579" s="7">
        <f>57*36000</f>
        <v>2052000</v>
      </c>
      <c r="CT579" s="6"/>
      <c r="CU579" s="7"/>
      <c r="CV579" s="8">
        <f t="shared" ref="CV579:CV642" si="78">AO579+AQ579+AS579+AU579+AW579+AY579+BA579+BC579+BE579+BG579+BI579+BK579+BM579+BO579+BQ579+BS579+BU579+BW579+BY579+CA579+CC579+CE579+CG579+CI579+CK579+CM579+CO579+CQ579+CS579+CU579</f>
        <v>13737000</v>
      </c>
      <c r="CW579" s="9"/>
      <c r="CX579" s="10"/>
      <c r="CY579" s="11">
        <v>57</v>
      </c>
      <c r="CZ579" s="12">
        <f>57*85000</f>
        <v>4845000</v>
      </c>
      <c r="DA579" s="29"/>
      <c r="DB579" s="12"/>
      <c r="DC579" s="9">
        <v>500</v>
      </c>
      <c r="DD579" s="10">
        <f>500*22000+3000*348</f>
        <v>12044000</v>
      </c>
      <c r="DE579" s="71"/>
      <c r="EO579" s="353" t="str">
        <f t="shared" si="73"/>
        <v>TOLIMA_CARMEN DE APICALA</v>
      </c>
      <c r="EP579" s="350"/>
      <c r="EQ579" s="350" t="s">
        <v>4311</v>
      </c>
      <c r="ER579" s="358" t="s">
        <v>6260</v>
      </c>
      <c r="ES579" s="350" t="s">
        <v>5238</v>
      </c>
      <c r="ET579" s="350" t="s">
        <v>3239</v>
      </c>
      <c r="EU579" s="350" t="str">
        <f t="shared" si="72"/>
        <v>Cundinamarca_Une</v>
      </c>
    </row>
    <row r="580" spans="1:151" ht="72" x14ac:dyDescent="0.2">
      <c r="A580" s="242">
        <v>40322</v>
      </c>
      <c r="B580" s="107" t="s">
        <v>2791</v>
      </c>
      <c r="C580" s="107" t="s">
        <v>2688</v>
      </c>
      <c r="D580" s="427" t="s">
        <v>837</v>
      </c>
      <c r="E580" s="107" t="str">
        <f>VLOOKUP(B580&amp;C580,Divipola!$C$2:$F$1138,4,FALSE)</f>
        <v>73226</v>
      </c>
      <c r="F580" s="330"/>
      <c r="G580" s="224"/>
      <c r="H580" s="75"/>
      <c r="I580" s="75"/>
      <c r="J580" s="75">
        <v>3700</v>
      </c>
      <c r="K580" s="75">
        <v>740</v>
      </c>
      <c r="L580" s="75"/>
      <c r="M580" s="75"/>
      <c r="N580" s="75"/>
      <c r="O580" s="75"/>
      <c r="P580" s="75"/>
      <c r="Q580" s="75">
        <v>1</v>
      </c>
      <c r="R580" s="75"/>
      <c r="S580" s="75"/>
      <c r="T580" s="75"/>
      <c r="U580" s="75"/>
      <c r="V580" s="76"/>
      <c r="W580" s="205"/>
      <c r="X580" s="1"/>
      <c r="Y580" s="78">
        <f t="shared" si="74"/>
        <v>0</v>
      </c>
      <c r="Z580" s="78">
        <f t="shared" si="75"/>
        <v>0</v>
      </c>
      <c r="AA580" s="78">
        <f t="shared" si="76"/>
        <v>0</v>
      </c>
      <c r="AB580" s="78">
        <f t="shared" si="77"/>
        <v>0</v>
      </c>
      <c r="AC580" s="78"/>
      <c r="AD580" s="78">
        <v>0</v>
      </c>
      <c r="AE580" s="80">
        <f t="shared" si="71"/>
        <v>0</v>
      </c>
      <c r="AF580" s="82">
        <v>0</v>
      </c>
      <c r="AG580" s="69">
        <v>40323</v>
      </c>
      <c r="AH580" s="84"/>
      <c r="AI580" s="69" t="s">
        <v>1984</v>
      </c>
      <c r="AJ580" s="25" t="s">
        <v>1985</v>
      </c>
      <c r="AK580" s="65"/>
      <c r="AL580" s="185" t="s">
        <v>1257</v>
      </c>
      <c r="AM580" s="85" t="s">
        <v>2029</v>
      </c>
      <c r="AN580" s="3"/>
      <c r="AO580" s="4"/>
      <c r="AP580" s="5"/>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6"/>
      <c r="CQ580" s="7"/>
      <c r="CR580" s="6"/>
      <c r="CS580" s="7"/>
      <c r="CT580" s="6"/>
      <c r="CU580" s="7"/>
      <c r="CV580" s="8">
        <f t="shared" si="78"/>
        <v>0</v>
      </c>
      <c r="CW580" s="9"/>
      <c r="CX580" s="10"/>
      <c r="CY580" s="11"/>
      <c r="CZ580" s="12"/>
      <c r="DA580" s="29"/>
      <c r="DB580" s="12"/>
      <c r="DC580" s="9"/>
      <c r="DD580" s="10"/>
      <c r="DE580" s="71"/>
      <c r="EO580" s="353" t="str">
        <f t="shared" si="73"/>
        <v>TOLIMA_CUNDAY</v>
      </c>
      <c r="EP580" s="350"/>
      <c r="EQ580" s="350" t="s">
        <v>4311</v>
      </c>
      <c r="ER580" s="358" t="s">
        <v>6260</v>
      </c>
      <c r="ES580" s="350" t="s">
        <v>5240</v>
      </c>
      <c r="ET580" s="350" t="s">
        <v>3240</v>
      </c>
      <c r="EU580" s="350" t="str">
        <f t="shared" si="72"/>
        <v>Cundinamarca_Vergara</v>
      </c>
    </row>
    <row r="581" spans="1:151" ht="45" x14ac:dyDescent="0.2">
      <c r="A581" s="242">
        <v>40322</v>
      </c>
      <c r="B581" s="107" t="s">
        <v>2791</v>
      </c>
      <c r="C581" s="107" t="s">
        <v>2688</v>
      </c>
      <c r="D581" s="427" t="s">
        <v>837</v>
      </c>
      <c r="E581" s="107" t="str">
        <f>VLOOKUP(B581&amp;C581,Divipola!$C$2:$F$1138,4,FALSE)</f>
        <v>73226</v>
      </c>
      <c r="F581" s="330"/>
      <c r="G581" s="224"/>
      <c r="H581" s="75"/>
      <c r="I581" s="75"/>
      <c r="J581" s="75">
        <f>59*5</f>
        <v>295</v>
      </c>
      <c r="K581" s="75">
        <v>59</v>
      </c>
      <c r="L581" s="75">
        <v>2</v>
      </c>
      <c r="M581" s="75">
        <v>10</v>
      </c>
      <c r="N581" s="75">
        <v>3</v>
      </c>
      <c r="O581" s="75">
        <v>1</v>
      </c>
      <c r="P581" s="75"/>
      <c r="Q581" s="75"/>
      <c r="R581" s="75"/>
      <c r="S581" s="75"/>
      <c r="T581" s="75"/>
      <c r="U581" s="75"/>
      <c r="V581" s="76">
        <v>75</v>
      </c>
      <c r="W581" s="205" t="s">
        <v>2180</v>
      </c>
      <c r="X581" s="1">
        <v>40354</v>
      </c>
      <c r="Y581" s="78">
        <f t="shared" si="74"/>
        <v>10915000</v>
      </c>
      <c r="Z581" s="78">
        <f t="shared" si="75"/>
        <v>5015000</v>
      </c>
      <c r="AA581" s="78">
        <f t="shared" si="76"/>
        <v>12044000</v>
      </c>
      <c r="AB581" s="78">
        <f t="shared" si="77"/>
        <v>0</v>
      </c>
      <c r="AC581" s="78"/>
      <c r="AD581" s="78">
        <v>0</v>
      </c>
      <c r="AE581" s="80">
        <f t="shared" si="71"/>
        <v>27974000</v>
      </c>
      <c r="AF581" s="82">
        <v>0</v>
      </c>
      <c r="AG581" s="69">
        <v>40330</v>
      </c>
      <c r="AH581" s="84">
        <v>97944</v>
      </c>
      <c r="AI581" s="69" t="s">
        <v>2009</v>
      </c>
      <c r="AJ581" s="25" t="s">
        <v>2010</v>
      </c>
      <c r="AK581" s="88" t="s">
        <v>2048</v>
      </c>
      <c r="AL581" s="185" t="s">
        <v>2182</v>
      </c>
      <c r="AM581" s="85" t="s">
        <v>1728</v>
      </c>
      <c r="AN581" s="3"/>
      <c r="AO581" s="4"/>
      <c r="AP581" s="5"/>
      <c r="AQ581" s="4"/>
      <c r="AR581" s="4"/>
      <c r="AS581" s="4"/>
      <c r="AT581" s="4"/>
      <c r="AU581" s="4"/>
      <c r="AV581" s="4"/>
      <c r="AW581" s="4"/>
      <c r="AX581" s="4"/>
      <c r="AY581" s="4"/>
      <c r="AZ581" s="4">
        <v>118</v>
      </c>
      <c r="BA581" s="4">
        <f>118*56000</f>
        <v>6608000</v>
      </c>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6">
        <v>59</v>
      </c>
      <c r="CQ581" s="7">
        <f>59*37000</f>
        <v>2183000</v>
      </c>
      <c r="CR581" s="6">
        <v>59</v>
      </c>
      <c r="CS581" s="7">
        <f>59*36000</f>
        <v>2124000</v>
      </c>
      <c r="CT581" s="6"/>
      <c r="CU581" s="7"/>
      <c r="CV581" s="8">
        <f t="shared" si="78"/>
        <v>10915000</v>
      </c>
      <c r="CW581" s="9"/>
      <c r="CX581" s="10"/>
      <c r="CY581" s="11">
        <v>59</v>
      </c>
      <c r="CZ581" s="12">
        <f>59*85000</f>
        <v>5015000</v>
      </c>
      <c r="DA581" s="29"/>
      <c r="DB581" s="12"/>
      <c r="DC581" s="9">
        <v>500</v>
      </c>
      <c r="DD581" s="10">
        <f>500*22000+3000*348</f>
        <v>12044000</v>
      </c>
      <c r="DE581" s="71"/>
      <c r="EO581" s="353" t="str">
        <f t="shared" si="73"/>
        <v>TOLIMA_CUNDAY</v>
      </c>
      <c r="EP581" s="350"/>
      <c r="EQ581" s="350" t="s">
        <v>4311</v>
      </c>
      <c r="ER581" s="358" t="s">
        <v>6260</v>
      </c>
      <c r="ES581" s="350" t="s">
        <v>5241</v>
      </c>
      <c r="ET581" s="350" t="s">
        <v>3241</v>
      </c>
      <c r="EU581" s="350" t="str">
        <f t="shared" si="72"/>
        <v>Cundinamarca_Viani</v>
      </c>
    </row>
    <row r="582" spans="1:151" ht="38.25" x14ac:dyDescent="0.2">
      <c r="A582" s="242">
        <v>40322</v>
      </c>
      <c r="B582" s="107" t="s">
        <v>2791</v>
      </c>
      <c r="C582" s="107" t="s">
        <v>2751</v>
      </c>
      <c r="D582" s="427" t="s">
        <v>837</v>
      </c>
      <c r="E582" s="107" t="str">
        <f>VLOOKUP(B582&amp;C582,Divipola!$C$2:$F$1138,4,FALSE)</f>
        <v>73449</v>
      </c>
      <c r="F582" s="330"/>
      <c r="G582" s="224"/>
      <c r="H582" s="75"/>
      <c r="I582" s="75"/>
      <c r="J582" s="75">
        <v>5</v>
      </c>
      <c r="K582" s="75">
        <v>1</v>
      </c>
      <c r="L582" s="75"/>
      <c r="M582" s="75">
        <v>1</v>
      </c>
      <c r="N582" s="75"/>
      <c r="O582" s="75"/>
      <c r="P582" s="75"/>
      <c r="Q582" s="75"/>
      <c r="R582" s="75"/>
      <c r="S582" s="75"/>
      <c r="T582" s="75"/>
      <c r="U582" s="75"/>
      <c r="V582" s="76"/>
      <c r="W582" s="205"/>
      <c r="X582" s="1"/>
      <c r="Y582" s="78">
        <f t="shared" si="74"/>
        <v>0</v>
      </c>
      <c r="Z582" s="78">
        <f t="shared" si="75"/>
        <v>0</v>
      </c>
      <c r="AA582" s="78">
        <f t="shared" si="76"/>
        <v>0</v>
      </c>
      <c r="AB582" s="78">
        <f t="shared" si="77"/>
        <v>0</v>
      </c>
      <c r="AC582" s="78"/>
      <c r="AD582" s="78">
        <v>0</v>
      </c>
      <c r="AE582" s="80">
        <f t="shared" si="71"/>
        <v>0</v>
      </c>
      <c r="AF582" s="82">
        <v>0</v>
      </c>
      <c r="AG582" s="69">
        <v>40323</v>
      </c>
      <c r="AH582" s="84"/>
      <c r="AI582" s="69" t="s">
        <v>1984</v>
      </c>
      <c r="AJ582" s="25" t="s">
        <v>1985</v>
      </c>
      <c r="AK582" s="65"/>
      <c r="AL582" s="185" t="s">
        <v>1257</v>
      </c>
      <c r="AM582" s="85" t="s">
        <v>2203</v>
      </c>
      <c r="AN582" s="3"/>
      <c r="AO582" s="4"/>
      <c r="AP582" s="5"/>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6"/>
      <c r="CQ582" s="7"/>
      <c r="CR582" s="6"/>
      <c r="CS582" s="7"/>
      <c r="CT582" s="6"/>
      <c r="CU582" s="7"/>
      <c r="CV582" s="8">
        <f t="shared" si="78"/>
        <v>0</v>
      </c>
      <c r="CW582" s="9"/>
      <c r="CX582" s="10"/>
      <c r="CY582" s="11"/>
      <c r="CZ582" s="12"/>
      <c r="DA582" s="29"/>
      <c r="DB582" s="12"/>
      <c r="DC582" s="9"/>
      <c r="DD582" s="10"/>
      <c r="DE582" s="71"/>
      <c r="EO582" s="353" t="str">
        <f t="shared" si="73"/>
        <v>TOLIMA_MELGAR</v>
      </c>
      <c r="EP582" s="350"/>
      <c r="EQ582" s="350" t="s">
        <v>4311</v>
      </c>
      <c r="ER582" s="358" t="s">
        <v>6260</v>
      </c>
      <c r="ES582" s="350" t="s">
        <v>5243</v>
      </c>
      <c r="ET582" s="350" t="s">
        <v>3242</v>
      </c>
      <c r="EU582" s="350" t="str">
        <f t="shared" si="72"/>
        <v>Cundinamarca_Villapinzon</v>
      </c>
    </row>
    <row r="583" spans="1:151" ht="38.25" x14ac:dyDescent="0.2">
      <c r="A583" s="242">
        <v>40322.711111111108</v>
      </c>
      <c r="B583" s="107" t="s">
        <v>6305</v>
      </c>
      <c r="C583" s="107" t="s">
        <v>6305</v>
      </c>
      <c r="D583" s="430" t="s">
        <v>2209</v>
      </c>
      <c r="E583" s="107" t="str">
        <f>VLOOKUP(B583&amp;C583,Divipola!$C$2:$F$1138,4,FALSE)</f>
        <v>11001</v>
      </c>
      <c r="F583" s="333"/>
      <c r="G583" s="221">
        <v>1</v>
      </c>
      <c r="H583" s="157">
        <v>4</v>
      </c>
      <c r="I583" s="157"/>
      <c r="J583" s="157"/>
      <c r="K583" s="414"/>
      <c r="L583" s="157"/>
      <c r="M583" s="157"/>
      <c r="N583" s="157"/>
      <c r="O583" s="157"/>
      <c r="P583" s="157"/>
      <c r="Q583" s="157"/>
      <c r="R583" s="157"/>
      <c r="S583" s="157"/>
      <c r="T583" s="157"/>
      <c r="U583" s="157"/>
      <c r="V583" s="158"/>
      <c r="W583" s="182"/>
      <c r="X583" s="1"/>
      <c r="Y583" s="78">
        <f t="shared" si="74"/>
        <v>0</v>
      </c>
      <c r="Z583" s="78">
        <f t="shared" si="75"/>
        <v>0</v>
      </c>
      <c r="AA583" s="78">
        <f t="shared" si="76"/>
        <v>0</v>
      </c>
      <c r="AB583" s="78">
        <f t="shared" si="77"/>
        <v>0</v>
      </c>
      <c r="AC583" s="78"/>
      <c r="AD583" s="78">
        <v>0</v>
      </c>
      <c r="AE583" s="80">
        <f t="shared" si="71"/>
        <v>0</v>
      </c>
      <c r="AF583" s="82">
        <v>0</v>
      </c>
      <c r="AG583" s="306">
        <v>40624</v>
      </c>
      <c r="AH583" s="307"/>
      <c r="AI583" s="306" t="s">
        <v>1984</v>
      </c>
      <c r="AJ583" s="308" t="s">
        <v>1985</v>
      </c>
      <c r="AK583" s="309"/>
      <c r="AL583" s="310" t="s">
        <v>1257</v>
      </c>
      <c r="AM583" s="419" t="s">
        <v>3751</v>
      </c>
      <c r="AN583" s="159"/>
      <c r="AO583" s="160"/>
      <c r="AP583" s="161"/>
      <c r="AQ583" s="160"/>
      <c r="AR583" s="160"/>
      <c r="AS583" s="160"/>
      <c r="AT583" s="160"/>
      <c r="AU583" s="160"/>
      <c r="AV583" s="160"/>
      <c r="AW583" s="160"/>
      <c r="AX583" s="160"/>
      <c r="AY583" s="160"/>
      <c r="AZ583" s="160"/>
      <c r="BA583" s="160"/>
      <c r="BB583" s="160"/>
      <c r="BC583" s="160"/>
      <c r="BD583" s="160"/>
      <c r="BE583" s="160"/>
      <c r="BF583" s="160"/>
      <c r="BG583" s="160"/>
      <c r="BH583" s="160"/>
      <c r="BI583" s="160"/>
      <c r="BJ583" s="160"/>
      <c r="BK583" s="160"/>
      <c r="BL583" s="160"/>
      <c r="BM583" s="160"/>
      <c r="BN583" s="160"/>
      <c r="BO583" s="160"/>
      <c r="BP583" s="160"/>
      <c r="BQ583" s="160"/>
      <c r="BR583" s="160"/>
      <c r="BS583" s="160"/>
      <c r="BT583" s="160"/>
      <c r="BU583" s="160"/>
      <c r="BV583" s="160"/>
      <c r="BW583" s="160"/>
      <c r="BX583" s="160"/>
      <c r="BY583" s="160"/>
      <c r="BZ583" s="160"/>
      <c r="CA583" s="160"/>
      <c r="CB583" s="160"/>
      <c r="CC583" s="160"/>
      <c r="CD583" s="160"/>
      <c r="CE583" s="160"/>
      <c r="CF583" s="160"/>
      <c r="CG583" s="160"/>
      <c r="CH583" s="160"/>
      <c r="CI583" s="160"/>
      <c r="CJ583" s="160"/>
      <c r="CK583" s="160"/>
      <c r="CL583" s="160"/>
      <c r="CM583" s="160"/>
      <c r="CN583" s="160"/>
      <c r="CO583" s="160"/>
      <c r="CP583" s="162"/>
      <c r="CQ583" s="163"/>
      <c r="CR583" s="162"/>
      <c r="CS583" s="163"/>
      <c r="CT583" s="162"/>
      <c r="CU583" s="163"/>
      <c r="CV583" s="164">
        <f t="shared" si="78"/>
        <v>0</v>
      </c>
      <c r="CW583" s="165"/>
      <c r="CX583" s="166"/>
      <c r="CY583" s="167"/>
      <c r="CZ583" s="168"/>
      <c r="DA583" s="169"/>
      <c r="DB583" s="168"/>
      <c r="DC583" s="165"/>
      <c r="DD583" s="166"/>
      <c r="DE583" s="71"/>
      <c r="DF583" s="170"/>
      <c r="EO583" s="353" t="str">
        <f t="shared" si="73"/>
        <v>BOGOTA, D.C._BOGOTA, D.C.</v>
      </c>
      <c r="EP583" s="350"/>
      <c r="EQ583" s="350" t="s">
        <v>4311</v>
      </c>
      <c r="ER583" s="358" t="s">
        <v>6260</v>
      </c>
      <c r="ES583" s="350" t="s">
        <v>5244</v>
      </c>
      <c r="ET583" s="350" t="s">
        <v>3243</v>
      </c>
      <c r="EU583" s="350" t="str">
        <f t="shared" si="72"/>
        <v>Cundinamarca_Villeta</v>
      </c>
    </row>
    <row r="584" spans="1:151" ht="38.25" x14ac:dyDescent="0.2">
      <c r="A584" s="242">
        <v>40322.770138888889</v>
      </c>
      <c r="B584" s="107" t="s">
        <v>6305</v>
      </c>
      <c r="C584" s="107" t="s">
        <v>6305</v>
      </c>
      <c r="D584" s="430" t="s">
        <v>837</v>
      </c>
      <c r="E584" s="107" t="str">
        <f>VLOOKUP(B584&amp;C584,Divipola!$C$2:$F$1138,4,FALSE)</f>
        <v>11001</v>
      </c>
      <c r="F584" s="333"/>
      <c r="G584" s="221"/>
      <c r="H584" s="157"/>
      <c r="I584" s="157"/>
      <c r="J584" s="157"/>
      <c r="K584" s="414"/>
      <c r="L584" s="157"/>
      <c r="M584" s="157"/>
      <c r="N584" s="157"/>
      <c r="O584" s="157"/>
      <c r="P584" s="157"/>
      <c r="Q584" s="157"/>
      <c r="R584" s="157"/>
      <c r="S584" s="157"/>
      <c r="T584" s="157"/>
      <c r="U584" s="157"/>
      <c r="V584" s="158"/>
      <c r="W584" s="182"/>
      <c r="X584" s="1"/>
      <c r="Y584" s="78">
        <f t="shared" si="74"/>
        <v>0</v>
      </c>
      <c r="Z584" s="78">
        <f t="shared" si="75"/>
        <v>0</v>
      </c>
      <c r="AA584" s="78">
        <f t="shared" si="76"/>
        <v>0</v>
      </c>
      <c r="AB584" s="78">
        <f t="shared" si="77"/>
        <v>0</v>
      </c>
      <c r="AC584" s="78"/>
      <c r="AD584" s="78">
        <v>0</v>
      </c>
      <c r="AE584" s="80">
        <f t="shared" si="71"/>
        <v>0</v>
      </c>
      <c r="AF584" s="82">
        <v>0</v>
      </c>
      <c r="AG584" s="306">
        <v>40624</v>
      </c>
      <c r="AH584" s="307"/>
      <c r="AI584" s="306" t="s">
        <v>1984</v>
      </c>
      <c r="AJ584" s="308" t="s">
        <v>1985</v>
      </c>
      <c r="AK584" s="309"/>
      <c r="AL584" s="310" t="s">
        <v>1257</v>
      </c>
      <c r="AM584" s="419" t="s">
        <v>3752</v>
      </c>
      <c r="AN584" s="159"/>
      <c r="AO584" s="160"/>
      <c r="AP584" s="161"/>
      <c r="AQ584" s="160"/>
      <c r="AR584" s="160"/>
      <c r="AS584" s="160"/>
      <c r="AT584" s="160"/>
      <c r="AU584" s="160"/>
      <c r="AV584" s="160"/>
      <c r="AW584" s="160"/>
      <c r="AX584" s="160"/>
      <c r="AY584" s="160"/>
      <c r="AZ584" s="160"/>
      <c r="BA584" s="160"/>
      <c r="BB584" s="160"/>
      <c r="BC584" s="160"/>
      <c r="BD584" s="160"/>
      <c r="BE584" s="160"/>
      <c r="BF584" s="160"/>
      <c r="BG584" s="160"/>
      <c r="BH584" s="160"/>
      <c r="BI584" s="160"/>
      <c r="BJ584" s="160"/>
      <c r="BK584" s="160"/>
      <c r="BL584" s="160"/>
      <c r="BM584" s="160"/>
      <c r="BN584" s="160"/>
      <c r="BO584" s="160"/>
      <c r="BP584" s="160"/>
      <c r="BQ584" s="160"/>
      <c r="BR584" s="160"/>
      <c r="BS584" s="160"/>
      <c r="BT584" s="160"/>
      <c r="BU584" s="160"/>
      <c r="BV584" s="160"/>
      <c r="BW584" s="160"/>
      <c r="BX584" s="160"/>
      <c r="BY584" s="160"/>
      <c r="BZ584" s="160"/>
      <c r="CA584" s="160"/>
      <c r="CB584" s="160"/>
      <c r="CC584" s="160"/>
      <c r="CD584" s="160"/>
      <c r="CE584" s="160"/>
      <c r="CF584" s="160"/>
      <c r="CG584" s="160"/>
      <c r="CH584" s="160"/>
      <c r="CI584" s="160"/>
      <c r="CJ584" s="160"/>
      <c r="CK584" s="160"/>
      <c r="CL584" s="160"/>
      <c r="CM584" s="160"/>
      <c r="CN584" s="160"/>
      <c r="CO584" s="160"/>
      <c r="CP584" s="162"/>
      <c r="CQ584" s="163"/>
      <c r="CR584" s="162"/>
      <c r="CS584" s="163"/>
      <c r="CT584" s="162"/>
      <c r="CU584" s="163"/>
      <c r="CV584" s="164">
        <f t="shared" si="78"/>
        <v>0</v>
      </c>
      <c r="CW584" s="165"/>
      <c r="CX584" s="166"/>
      <c r="CY584" s="167"/>
      <c r="CZ584" s="168"/>
      <c r="DA584" s="169"/>
      <c r="DB584" s="168"/>
      <c r="DC584" s="165"/>
      <c r="DD584" s="166"/>
      <c r="DE584" s="71"/>
      <c r="DF584" s="170"/>
      <c r="EO584" s="353" t="str">
        <f t="shared" si="73"/>
        <v>BOGOTA, D.C._BOGOTA, D.C.</v>
      </c>
      <c r="EP584" s="350"/>
      <c r="EQ584" s="350" t="s">
        <v>4311</v>
      </c>
      <c r="ER584" s="358" t="s">
        <v>6260</v>
      </c>
      <c r="ES584" s="350" t="s">
        <v>5245</v>
      </c>
      <c r="ET584" s="350" t="s">
        <v>3244</v>
      </c>
      <c r="EU584" s="350" t="str">
        <f t="shared" si="72"/>
        <v>Cundinamarca_Viota</v>
      </c>
    </row>
    <row r="585" spans="1:151" ht="60" x14ac:dyDescent="0.2">
      <c r="A585" s="242">
        <v>40323</v>
      </c>
      <c r="B585" s="107" t="s">
        <v>235</v>
      </c>
      <c r="C585" s="107" t="s">
        <v>236</v>
      </c>
      <c r="D585" s="427" t="s">
        <v>837</v>
      </c>
      <c r="E585" s="107" t="str">
        <f>VLOOKUP(B585&amp;C585,Divipola!$C$2:$F$1138,4,FALSE)</f>
        <v>91001</v>
      </c>
      <c r="F585" s="330"/>
      <c r="G585" s="224"/>
      <c r="H585" s="75"/>
      <c r="I585" s="75"/>
      <c r="J585" s="75">
        <f>400*5</f>
        <v>2000</v>
      </c>
      <c r="K585" s="75">
        <f>150+250</f>
        <v>400</v>
      </c>
      <c r="L585" s="75"/>
      <c r="M585" s="75">
        <v>400</v>
      </c>
      <c r="N585" s="75"/>
      <c r="O585" s="75"/>
      <c r="P585" s="75"/>
      <c r="Q585" s="75"/>
      <c r="R585" s="75"/>
      <c r="S585" s="75"/>
      <c r="T585" s="75"/>
      <c r="U585" s="75"/>
      <c r="V585" s="76"/>
      <c r="W585" s="205"/>
      <c r="X585" s="1"/>
      <c r="Y585" s="78">
        <f t="shared" si="74"/>
        <v>0</v>
      </c>
      <c r="Z585" s="78">
        <f t="shared" si="75"/>
        <v>0</v>
      </c>
      <c r="AA585" s="78">
        <f t="shared" si="76"/>
        <v>0</v>
      </c>
      <c r="AB585" s="78">
        <f t="shared" si="77"/>
        <v>0</v>
      </c>
      <c r="AC585" s="78"/>
      <c r="AD585" s="78">
        <v>0</v>
      </c>
      <c r="AE585" s="80">
        <f t="shared" ref="AE585:AE648" si="79">Y585+Z585+AA585+AB585+AC585+AD585</f>
        <v>0</v>
      </c>
      <c r="AF585" s="82">
        <v>0</v>
      </c>
      <c r="AG585" s="69">
        <v>40326</v>
      </c>
      <c r="AH585" s="84"/>
      <c r="AI585" s="69" t="s">
        <v>1984</v>
      </c>
      <c r="AJ585" s="25" t="s">
        <v>1985</v>
      </c>
      <c r="AK585" s="65"/>
      <c r="AL585" s="185" t="s">
        <v>1257</v>
      </c>
      <c r="AM585" s="85" t="s">
        <v>1636</v>
      </c>
      <c r="AN585" s="3"/>
      <c r="AO585" s="4"/>
      <c r="AP585" s="5"/>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6"/>
      <c r="CQ585" s="7"/>
      <c r="CR585" s="6"/>
      <c r="CS585" s="7"/>
      <c r="CT585" s="6"/>
      <c r="CU585" s="7"/>
      <c r="CV585" s="8">
        <f t="shared" si="78"/>
        <v>0</v>
      </c>
      <c r="CW585" s="9"/>
      <c r="CX585" s="10"/>
      <c r="CY585" s="11"/>
      <c r="CZ585" s="12"/>
      <c r="DA585" s="29"/>
      <c r="DB585" s="12"/>
      <c r="DC585" s="9"/>
      <c r="DD585" s="10"/>
      <c r="DE585" s="71"/>
      <c r="EO585" s="353" t="str">
        <f t="shared" si="73"/>
        <v>AMAZONAS_LETICIA</v>
      </c>
      <c r="EP585" s="350"/>
      <c r="EQ585" s="350" t="s">
        <v>4311</v>
      </c>
      <c r="ER585" s="358" t="s">
        <v>6260</v>
      </c>
      <c r="ES585" s="350" t="s">
        <v>5246</v>
      </c>
      <c r="ET585" s="350" t="s">
        <v>3245</v>
      </c>
      <c r="EU585" s="350" t="str">
        <f t="shared" si="72"/>
        <v>Cundinamarca_Yacopi</v>
      </c>
    </row>
    <row r="586" spans="1:151" ht="38.25" x14ac:dyDescent="0.2">
      <c r="A586" s="242">
        <v>40323</v>
      </c>
      <c r="B586" s="107" t="s">
        <v>2017</v>
      </c>
      <c r="C586" s="107" t="s">
        <v>1964</v>
      </c>
      <c r="D586" s="427" t="s">
        <v>2352</v>
      </c>
      <c r="E586" s="107" t="str">
        <f>VLOOKUP(B586&amp;C586,Divipola!$C$2:$F$1138,4,FALSE)</f>
        <v>13074</v>
      </c>
      <c r="F586" s="330"/>
      <c r="G586" s="224">
        <v>3</v>
      </c>
      <c r="H586" s="75">
        <v>2</v>
      </c>
      <c r="I586" s="75"/>
      <c r="J586" s="75"/>
      <c r="K586" s="75"/>
      <c r="L586" s="75"/>
      <c r="M586" s="75"/>
      <c r="N586" s="75"/>
      <c r="O586" s="75"/>
      <c r="P586" s="75"/>
      <c r="Q586" s="75"/>
      <c r="R586" s="75"/>
      <c r="S586" s="75"/>
      <c r="T586" s="75"/>
      <c r="U586" s="75"/>
      <c r="V586" s="76"/>
      <c r="W586" s="205"/>
      <c r="X586" s="1"/>
      <c r="Y586" s="78">
        <f t="shared" si="74"/>
        <v>0</v>
      </c>
      <c r="Z586" s="78">
        <f t="shared" si="75"/>
        <v>0</v>
      </c>
      <c r="AA586" s="78">
        <f t="shared" si="76"/>
        <v>0</v>
      </c>
      <c r="AB586" s="78">
        <f t="shared" si="77"/>
        <v>0</v>
      </c>
      <c r="AC586" s="78"/>
      <c r="AD586" s="78">
        <v>0</v>
      </c>
      <c r="AE586" s="80">
        <f t="shared" si="79"/>
        <v>0</v>
      </c>
      <c r="AF586" s="82">
        <v>0</v>
      </c>
      <c r="AG586" s="69">
        <v>40323</v>
      </c>
      <c r="AH586" s="84"/>
      <c r="AI586" s="69" t="s">
        <v>1984</v>
      </c>
      <c r="AJ586" s="25" t="s">
        <v>1985</v>
      </c>
      <c r="AK586" s="65"/>
      <c r="AL586" s="185" t="s">
        <v>1257</v>
      </c>
      <c r="AM586" s="85" t="s">
        <v>2411</v>
      </c>
      <c r="AN586" s="3"/>
      <c r="AO586" s="4"/>
      <c r="AP586" s="5"/>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6"/>
      <c r="CQ586" s="7"/>
      <c r="CR586" s="6"/>
      <c r="CS586" s="7"/>
      <c r="CT586" s="6"/>
      <c r="CU586" s="7"/>
      <c r="CV586" s="8">
        <f t="shared" si="78"/>
        <v>0</v>
      </c>
      <c r="CW586" s="9"/>
      <c r="CX586" s="10"/>
      <c r="CY586" s="11"/>
      <c r="CZ586" s="12"/>
      <c r="DA586" s="29"/>
      <c r="DB586" s="12"/>
      <c r="DC586" s="9"/>
      <c r="DD586" s="10"/>
      <c r="DE586" s="71"/>
      <c r="EO586" s="353" t="str">
        <f t="shared" si="73"/>
        <v>BOLIVAR_BARRANCO DE LOBA</v>
      </c>
      <c r="EP586" s="350"/>
      <c r="EQ586" s="350" t="s">
        <v>4311</v>
      </c>
      <c r="ER586" s="358" t="s">
        <v>6260</v>
      </c>
      <c r="ES586" s="350" t="s">
        <v>5247</v>
      </c>
      <c r="ET586" s="350" t="s">
        <v>3246</v>
      </c>
      <c r="EU586" s="350" t="str">
        <f t="shared" si="72"/>
        <v>Cundinamarca_Zipacon</v>
      </c>
    </row>
    <row r="587" spans="1:151" ht="25.5" x14ac:dyDescent="0.2">
      <c r="A587" s="242">
        <v>40323</v>
      </c>
      <c r="B587" s="107" t="s">
        <v>2242</v>
      </c>
      <c r="C587" s="107" t="s">
        <v>2243</v>
      </c>
      <c r="D587" s="427" t="s">
        <v>837</v>
      </c>
      <c r="E587" s="107" t="str">
        <f>VLOOKUP(B587&amp;C587,Divipola!$C$2:$F$1138,4,FALSE)</f>
        <v>20517</v>
      </c>
      <c r="F587" s="330"/>
      <c r="G587" s="224"/>
      <c r="H587" s="75"/>
      <c r="I587" s="75"/>
      <c r="J587" s="75">
        <f>446*5</f>
        <v>2230</v>
      </c>
      <c r="K587" s="75">
        <v>446</v>
      </c>
      <c r="L587" s="75"/>
      <c r="M587" s="75">
        <v>166</v>
      </c>
      <c r="N587" s="75"/>
      <c r="O587" s="75"/>
      <c r="P587" s="75"/>
      <c r="Q587" s="75"/>
      <c r="R587" s="75"/>
      <c r="S587" s="75"/>
      <c r="T587" s="75"/>
      <c r="U587" s="75"/>
      <c r="V587" s="76"/>
      <c r="W587" s="205"/>
      <c r="X587" s="1">
        <v>40452</v>
      </c>
      <c r="Y587" s="78">
        <f t="shared" si="74"/>
        <v>5400000</v>
      </c>
      <c r="Z587" s="78">
        <f t="shared" si="75"/>
        <v>8500000</v>
      </c>
      <c r="AA587" s="78">
        <f t="shared" si="76"/>
        <v>0</v>
      </c>
      <c r="AB587" s="78">
        <f t="shared" si="77"/>
        <v>0</v>
      </c>
      <c r="AC587" s="78"/>
      <c r="AD587" s="78">
        <v>0</v>
      </c>
      <c r="AE587" s="80">
        <f t="shared" si="79"/>
        <v>13900000</v>
      </c>
      <c r="AF587" s="82">
        <v>0</v>
      </c>
      <c r="AG587" s="69">
        <v>40326</v>
      </c>
      <c r="AH587" s="84">
        <v>50562</v>
      </c>
      <c r="AI587" s="69" t="s">
        <v>2009</v>
      </c>
      <c r="AJ587" s="25" t="s">
        <v>2010</v>
      </c>
      <c r="AK587" s="65">
        <v>20729</v>
      </c>
      <c r="AL587" s="176" t="s">
        <v>906</v>
      </c>
      <c r="AM587" s="85" t="s">
        <v>1389</v>
      </c>
      <c r="AN587" s="3"/>
      <c r="AO587" s="4"/>
      <c r="AP587" s="5"/>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v>100</v>
      </c>
      <c r="CO587" s="4">
        <f>100*18000</f>
        <v>1800000</v>
      </c>
      <c r="CP587" s="6"/>
      <c r="CQ587" s="7"/>
      <c r="CR587" s="6">
        <v>100</v>
      </c>
      <c r="CS587" s="7">
        <f>100*36000</f>
        <v>3600000</v>
      </c>
      <c r="CT587" s="6"/>
      <c r="CU587" s="7"/>
      <c r="CV587" s="8">
        <f t="shared" si="78"/>
        <v>5400000</v>
      </c>
      <c r="CW587" s="9"/>
      <c r="CX587" s="10"/>
      <c r="CY587" s="11">
        <v>100</v>
      </c>
      <c r="CZ587" s="12">
        <f>100*85000</f>
        <v>8500000</v>
      </c>
      <c r="DA587" s="29"/>
      <c r="DB587" s="12"/>
      <c r="DC587" s="9"/>
      <c r="DD587" s="10"/>
      <c r="DE587" s="71"/>
      <c r="EO587" s="353" t="str">
        <f t="shared" si="73"/>
        <v>CESAR_PAILITAS</v>
      </c>
      <c r="EP587" s="350"/>
      <c r="EQ587" s="350" t="s">
        <v>4311</v>
      </c>
      <c r="ER587" s="358" t="s">
        <v>6260</v>
      </c>
      <c r="ES587" s="350" t="s">
        <v>5248</v>
      </c>
      <c r="ET587" s="350" t="s">
        <v>3247</v>
      </c>
      <c r="EU587" s="350" t="str">
        <f t="shared" si="72"/>
        <v>Cundinamarca_Zipaquira</v>
      </c>
    </row>
    <row r="588" spans="1:151" ht="180" x14ac:dyDescent="0.2">
      <c r="A588" s="242">
        <v>40323</v>
      </c>
      <c r="B588" s="107" t="s">
        <v>2425</v>
      </c>
      <c r="C588" s="107" t="s">
        <v>1309</v>
      </c>
      <c r="D588" s="427" t="s">
        <v>837</v>
      </c>
      <c r="E588" s="107" t="str">
        <f>VLOOKUP(B588&amp;C588,Divipola!$C$2:$F$1138,4,FALSE)</f>
        <v>27800</v>
      </c>
      <c r="F588" s="330"/>
      <c r="G588" s="224"/>
      <c r="H588" s="75"/>
      <c r="I588" s="75"/>
      <c r="J588" s="75">
        <f>1015*5</f>
        <v>5075</v>
      </c>
      <c r="K588" s="75">
        <v>1015</v>
      </c>
      <c r="L588" s="75"/>
      <c r="M588" s="75"/>
      <c r="N588" s="75"/>
      <c r="O588" s="75"/>
      <c r="P588" s="75"/>
      <c r="Q588" s="75"/>
      <c r="R588" s="75"/>
      <c r="S588" s="75"/>
      <c r="T588" s="75"/>
      <c r="U588" s="75"/>
      <c r="V588" s="76"/>
      <c r="W588" s="205"/>
      <c r="X588" s="1">
        <v>40374</v>
      </c>
      <c r="Y588" s="78">
        <f t="shared" si="74"/>
        <v>0</v>
      </c>
      <c r="Z588" s="78">
        <f t="shared" si="75"/>
        <v>87000000</v>
      </c>
      <c r="AA588" s="78">
        <f t="shared" si="76"/>
        <v>0</v>
      </c>
      <c r="AB588" s="78">
        <f t="shared" si="77"/>
        <v>0</v>
      </c>
      <c r="AC588" s="78"/>
      <c r="AD588" s="78">
        <v>65000000</v>
      </c>
      <c r="AE588" s="80">
        <f t="shared" si="79"/>
        <v>152000000</v>
      </c>
      <c r="AF588" s="82">
        <v>0</v>
      </c>
      <c r="AG588" s="69">
        <v>40330</v>
      </c>
      <c r="AH588" s="84">
        <v>97967</v>
      </c>
      <c r="AI588" s="69" t="s">
        <v>2009</v>
      </c>
      <c r="AJ588" s="25" t="s">
        <v>2010</v>
      </c>
      <c r="AK588" s="88" t="s">
        <v>1011</v>
      </c>
      <c r="AL588" s="185" t="s">
        <v>1185</v>
      </c>
      <c r="AM588" s="273" t="s">
        <v>475</v>
      </c>
      <c r="AN588" s="3"/>
      <c r="AO588" s="4"/>
      <c r="AP588" s="5"/>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6"/>
      <c r="CQ588" s="7"/>
      <c r="CR588" s="6"/>
      <c r="CS588" s="7"/>
      <c r="CT588" s="6"/>
      <c r="CU588" s="7"/>
      <c r="CV588" s="8">
        <f t="shared" si="78"/>
        <v>0</v>
      </c>
      <c r="CW588" s="9"/>
      <c r="CX588" s="10"/>
      <c r="CY588" s="11">
        <v>1000</v>
      </c>
      <c r="CZ588" s="12">
        <f>1000*87000</f>
        <v>87000000</v>
      </c>
      <c r="DA588" s="29"/>
      <c r="DB588" s="12"/>
      <c r="DC588" s="9"/>
      <c r="DD588" s="10"/>
      <c r="DE588" s="71">
        <v>4</v>
      </c>
      <c r="EO588" s="353" t="str">
        <f t="shared" si="73"/>
        <v>CHOCO_UNGUIA</v>
      </c>
      <c r="EP588" s="350"/>
      <c r="EQ588" s="350" t="s">
        <v>4407</v>
      </c>
      <c r="ER588" s="358" t="s">
        <v>4408</v>
      </c>
      <c r="ES588" s="350" t="s">
        <v>5249</v>
      </c>
      <c r="ET588" s="350" t="s">
        <v>3248</v>
      </c>
      <c r="EU588" s="350" t="str">
        <f t="shared" si="72"/>
        <v>Choco_Quibdo</v>
      </c>
    </row>
    <row r="589" spans="1:151" ht="38.25" x14ac:dyDescent="0.2">
      <c r="A589" s="242">
        <v>40323</v>
      </c>
      <c r="B589" s="107" t="s">
        <v>2007</v>
      </c>
      <c r="C589" s="107" t="s">
        <v>1331</v>
      </c>
      <c r="D589" s="427" t="s">
        <v>837</v>
      </c>
      <c r="E589" s="107" t="str">
        <f>VLOOKUP(B589&amp;C589,Divipola!$C$2:$F$1138,4,FALSE)</f>
        <v>25899</v>
      </c>
      <c r="F589" s="330"/>
      <c r="G589" s="224"/>
      <c r="H589" s="75"/>
      <c r="I589" s="75"/>
      <c r="J589" s="75">
        <v>5</v>
      </c>
      <c r="K589" s="75">
        <v>1</v>
      </c>
      <c r="L589" s="75"/>
      <c r="M589" s="75">
        <v>1</v>
      </c>
      <c r="N589" s="75"/>
      <c r="O589" s="75"/>
      <c r="P589" s="75"/>
      <c r="Q589" s="75"/>
      <c r="R589" s="75"/>
      <c r="S589" s="75"/>
      <c r="T589" s="75"/>
      <c r="U589" s="75"/>
      <c r="V589" s="76"/>
      <c r="W589" s="205"/>
      <c r="X589" s="1"/>
      <c r="Y589" s="78">
        <f t="shared" si="74"/>
        <v>0</v>
      </c>
      <c r="Z589" s="78">
        <f t="shared" si="75"/>
        <v>0</v>
      </c>
      <c r="AA589" s="78">
        <f t="shared" si="76"/>
        <v>0</v>
      </c>
      <c r="AB589" s="78">
        <f t="shared" si="77"/>
        <v>0</v>
      </c>
      <c r="AC589" s="78"/>
      <c r="AD589" s="78">
        <v>0</v>
      </c>
      <c r="AE589" s="80">
        <f t="shared" si="79"/>
        <v>0</v>
      </c>
      <c r="AF589" s="82">
        <v>0</v>
      </c>
      <c r="AG589" s="69">
        <v>40326</v>
      </c>
      <c r="AH589" s="84"/>
      <c r="AI589" s="69" t="s">
        <v>1984</v>
      </c>
      <c r="AJ589" s="25" t="s">
        <v>1985</v>
      </c>
      <c r="AK589" s="65"/>
      <c r="AL589" s="185" t="s">
        <v>1257</v>
      </c>
      <c r="AM589" s="85" t="s">
        <v>237</v>
      </c>
      <c r="AN589" s="3"/>
      <c r="AO589" s="4"/>
      <c r="AP589" s="5"/>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6"/>
      <c r="CQ589" s="7"/>
      <c r="CR589" s="6"/>
      <c r="CS589" s="7"/>
      <c r="CT589" s="6"/>
      <c r="CU589" s="7"/>
      <c r="CV589" s="8">
        <f t="shared" si="78"/>
        <v>0</v>
      </c>
      <c r="CW589" s="9"/>
      <c r="CX589" s="10"/>
      <c r="CY589" s="11"/>
      <c r="CZ589" s="12"/>
      <c r="DA589" s="29"/>
      <c r="DB589" s="12"/>
      <c r="DC589" s="9"/>
      <c r="DD589" s="10"/>
      <c r="DE589" s="71"/>
      <c r="EO589" s="353" t="str">
        <f t="shared" si="73"/>
        <v>CUNDINAMARCA_ZIPAQUIRA</v>
      </c>
      <c r="EP589" s="350"/>
      <c r="EQ589" s="350" t="s">
        <v>4407</v>
      </c>
      <c r="ER589" s="358" t="s">
        <v>4408</v>
      </c>
      <c r="ES589" s="350" t="s">
        <v>5250</v>
      </c>
      <c r="ET589" s="350" t="s">
        <v>3249</v>
      </c>
      <c r="EU589" s="350" t="str">
        <f t="shared" si="72"/>
        <v>Choco_Acandi</v>
      </c>
    </row>
    <row r="590" spans="1:151" ht="25.5" x14ac:dyDescent="0.2">
      <c r="A590" s="242">
        <v>40323</v>
      </c>
      <c r="B590" s="222" t="s">
        <v>1333</v>
      </c>
      <c r="C590" s="222" t="s">
        <v>381</v>
      </c>
      <c r="D590" s="430" t="s">
        <v>837</v>
      </c>
      <c r="E590" s="107" t="str">
        <f>VLOOKUP(B590&amp;C590,Divipola!$C$2:$F$1138,4,FALSE)</f>
        <v>41013</v>
      </c>
      <c r="F590" s="333"/>
      <c r="G590" s="221"/>
      <c r="H590" s="157"/>
      <c r="I590" s="157"/>
      <c r="J590" s="157">
        <v>30</v>
      </c>
      <c r="K590" s="157">
        <v>9</v>
      </c>
      <c r="L590" s="157"/>
      <c r="M590" s="157">
        <v>9</v>
      </c>
      <c r="N590" s="157"/>
      <c r="O590" s="157"/>
      <c r="P590" s="157"/>
      <c r="Q590" s="157"/>
      <c r="R590" s="157"/>
      <c r="S590" s="157"/>
      <c r="T590" s="157"/>
      <c r="U590" s="157"/>
      <c r="V590" s="158"/>
      <c r="W590" s="182"/>
      <c r="X590" s="1"/>
      <c r="Y590" s="78">
        <f t="shared" si="74"/>
        <v>0</v>
      </c>
      <c r="Z590" s="78">
        <f t="shared" si="75"/>
        <v>0</v>
      </c>
      <c r="AA590" s="78">
        <f t="shared" si="76"/>
        <v>0</v>
      </c>
      <c r="AB590" s="78">
        <f t="shared" si="77"/>
        <v>0</v>
      </c>
      <c r="AC590" s="78"/>
      <c r="AD590" s="78">
        <v>0</v>
      </c>
      <c r="AE590" s="80">
        <f t="shared" si="79"/>
        <v>0</v>
      </c>
      <c r="AF590" s="82">
        <v>0</v>
      </c>
      <c r="AG590" s="69">
        <v>40581</v>
      </c>
      <c r="AH590" s="84"/>
      <c r="AI590" s="69" t="s">
        <v>1984</v>
      </c>
      <c r="AJ590" s="25" t="s">
        <v>1985</v>
      </c>
      <c r="AK590" s="65"/>
      <c r="AL590" s="176" t="s">
        <v>1257</v>
      </c>
      <c r="AM590" s="173" t="s">
        <v>349</v>
      </c>
      <c r="AN590" s="159"/>
      <c r="AO590" s="160"/>
      <c r="AP590" s="161"/>
      <c r="AQ590" s="160"/>
      <c r="AR590" s="160"/>
      <c r="AS590" s="160"/>
      <c r="AT590" s="160"/>
      <c r="AU590" s="160"/>
      <c r="AV590" s="160"/>
      <c r="AW590" s="160"/>
      <c r="AX590" s="160"/>
      <c r="AY590" s="160"/>
      <c r="AZ590" s="160"/>
      <c r="BA590" s="160"/>
      <c r="BB590" s="160"/>
      <c r="BC590" s="160"/>
      <c r="BD590" s="160"/>
      <c r="BE590" s="160"/>
      <c r="BF590" s="160"/>
      <c r="BG590" s="160"/>
      <c r="BH590" s="160"/>
      <c r="BI590" s="160"/>
      <c r="BJ590" s="160"/>
      <c r="BK590" s="160"/>
      <c r="BL590" s="160"/>
      <c r="BM590" s="160"/>
      <c r="BN590" s="160"/>
      <c r="BO590" s="160"/>
      <c r="BP590" s="160"/>
      <c r="BQ590" s="160"/>
      <c r="BR590" s="160"/>
      <c r="BS590" s="160"/>
      <c r="BT590" s="160"/>
      <c r="BU590" s="160"/>
      <c r="BV590" s="160"/>
      <c r="BW590" s="160"/>
      <c r="BX590" s="160"/>
      <c r="BY590" s="160"/>
      <c r="BZ590" s="160"/>
      <c r="CA590" s="160"/>
      <c r="CB590" s="160"/>
      <c r="CC590" s="160"/>
      <c r="CD590" s="160"/>
      <c r="CE590" s="160"/>
      <c r="CF590" s="160"/>
      <c r="CG590" s="160"/>
      <c r="CH590" s="160"/>
      <c r="CI590" s="160"/>
      <c r="CJ590" s="160"/>
      <c r="CK590" s="160"/>
      <c r="CL590" s="160"/>
      <c r="CM590" s="160"/>
      <c r="CN590" s="160"/>
      <c r="CO590" s="160"/>
      <c r="CP590" s="162"/>
      <c r="CQ590" s="163"/>
      <c r="CR590" s="162"/>
      <c r="CS590" s="163"/>
      <c r="CT590" s="162"/>
      <c r="CU590" s="163"/>
      <c r="CV590" s="164">
        <f t="shared" si="78"/>
        <v>0</v>
      </c>
      <c r="CW590" s="165"/>
      <c r="CX590" s="166"/>
      <c r="CY590" s="167"/>
      <c r="CZ590" s="168"/>
      <c r="DA590" s="169"/>
      <c r="DB590" s="168"/>
      <c r="DC590" s="165"/>
      <c r="DD590" s="166"/>
      <c r="DE590" s="71"/>
      <c r="DF590" s="170"/>
      <c r="EO590" s="353" t="str">
        <f t="shared" si="73"/>
        <v>HUILA_AGRADO</v>
      </c>
      <c r="EP590" s="350"/>
      <c r="EQ590" s="350" t="s">
        <v>4407</v>
      </c>
      <c r="ER590" s="358" t="s">
        <v>4408</v>
      </c>
      <c r="ES590" s="350" t="s">
        <v>5251</v>
      </c>
      <c r="ET590" s="350" t="s">
        <v>3250</v>
      </c>
      <c r="EU590" s="350" t="str">
        <f t="shared" ref="EU590:EU651" si="80">ER590&amp;"_"&amp;ET590</f>
        <v>Choco_Alto Baudo</v>
      </c>
    </row>
    <row r="591" spans="1:151" ht="45" x14ac:dyDescent="0.2">
      <c r="A591" s="242">
        <v>40323</v>
      </c>
      <c r="B591" s="107" t="s">
        <v>1836</v>
      </c>
      <c r="C591" s="107" t="s">
        <v>2008</v>
      </c>
      <c r="D591" s="427" t="s">
        <v>837</v>
      </c>
      <c r="E591" s="107">
        <f>VLOOKUP(B591&amp;C591,Divipola!$C$2:$F$1138,4,FALSE)</f>
        <v>47</v>
      </c>
      <c r="F591" s="330"/>
      <c r="G591" s="224"/>
      <c r="H591" s="75"/>
      <c r="I591" s="75"/>
      <c r="J591" s="75"/>
      <c r="K591" s="75"/>
      <c r="L591" s="75"/>
      <c r="M591" s="75"/>
      <c r="N591" s="75"/>
      <c r="O591" s="75"/>
      <c r="P591" s="75"/>
      <c r="Q591" s="75"/>
      <c r="R591" s="75"/>
      <c r="S591" s="75"/>
      <c r="T591" s="75"/>
      <c r="U591" s="75"/>
      <c r="V591" s="76"/>
      <c r="W591" s="205"/>
      <c r="X591" s="1">
        <v>40375</v>
      </c>
      <c r="Y591" s="78">
        <f t="shared" si="74"/>
        <v>78550000</v>
      </c>
      <c r="Z591" s="78">
        <f t="shared" si="75"/>
        <v>85000000</v>
      </c>
      <c r="AA591" s="78">
        <f t="shared" si="76"/>
        <v>0</v>
      </c>
      <c r="AB591" s="78">
        <f t="shared" si="77"/>
        <v>63336000</v>
      </c>
      <c r="AC591" s="78">
        <v>0</v>
      </c>
      <c r="AD591" s="78">
        <v>0</v>
      </c>
      <c r="AE591" s="80">
        <f t="shared" si="79"/>
        <v>226886000</v>
      </c>
      <c r="AF591" s="82">
        <v>0</v>
      </c>
      <c r="AG591" s="69">
        <v>40324</v>
      </c>
      <c r="AH591" s="84">
        <v>97863</v>
      </c>
      <c r="AI591" s="69" t="s">
        <v>2009</v>
      </c>
      <c r="AJ591" s="25" t="s">
        <v>2010</v>
      </c>
      <c r="AK591" s="88" t="s">
        <v>3161</v>
      </c>
      <c r="AL591" s="185" t="s">
        <v>2182</v>
      </c>
      <c r="AM591" s="85"/>
      <c r="AN591" s="3"/>
      <c r="AO591" s="4"/>
      <c r="AP591" s="5"/>
      <c r="AQ591" s="4"/>
      <c r="AR591" s="4"/>
      <c r="AS591" s="4"/>
      <c r="AT591" s="4"/>
      <c r="AU591" s="4"/>
      <c r="AV591" s="4"/>
      <c r="AW591" s="4"/>
      <c r="AX591" s="4"/>
      <c r="AY591" s="4"/>
      <c r="AZ591" s="4"/>
      <c r="BA591" s="4"/>
      <c r="BB591" s="4"/>
      <c r="BC591" s="4"/>
      <c r="BD591" s="4"/>
      <c r="BE591" s="4"/>
      <c r="BF591" s="4"/>
      <c r="BG591" s="4"/>
      <c r="BH591" s="4"/>
      <c r="BI591" s="4"/>
      <c r="BJ591" s="4"/>
      <c r="BK591" s="4"/>
      <c r="BL591" s="4">
        <v>500</v>
      </c>
      <c r="BM591" s="4">
        <f>500*25500</f>
        <v>12750000</v>
      </c>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6">
        <v>1000</v>
      </c>
      <c r="CQ591" s="7">
        <f>1000*37000</f>
        <v>37000000</v>
      </c>
      <c r="CR591" s="6">
        <v>800</v>
      </c>
      <c r="CS591" s="7">
        <f>800*36000</f>
        <v>28800000</v>
      </c>
      <c r="CT591" s="6"/>
      <c r="CU591" s="7"/>
      <c r="CV591" s="8">
        <f t="shared" si="78"/>
        <v>78550000</v>
      </c>
      <c r="CW591" s="9">
        <v>70000</v>
      </c>
      <c r="CX591" s="10">
        <f>70000*904.8</f>
        <v>63336000</v>
      </c>
      <c r="CY591" s="11">
        <v>1000</v>
      </c>
      <c r="CZ591" s="12">
        <f>1000*85000</f>
        <v>85000000</v>
      </c>
      <c r="DA591" s="29"/>
      <c r="DB591" s="12"/>
      <c r="DC591" s="9"/>
      <c r="DD591" s="10"/>
      <c r="DE591" s="71"/>
      <c r="DF591" s="23">
        <v>1125</v>
      </c>
      <c r="EO591" s="353" t="str">
        <f t="shared" si="73"/>
        <v>MAGDALENA_DEPARTAMENTO</v>
      </c>
      <c r="EP591" s="350"/>
      <c r="EQ591" s="350" t="s">
        <v>4407</v>
      </c>
      <c r="ER591" s="358" t="s">
        <v>4408</v>
      </c>
      <c r="ES591" s="350" t="s">
        <v>5252</v>
      </c>
      <c r="ET591" s="350" t="s">
        <v>3251</v>
      </c>
      <c r="EU591" s="350" t="str">
        <f t="shared" si="80"/>
        <v>Choco_Atrato</v>
      </c>
    </row>
    <row r="592" spans="1:151" ht="38.25" x14ac:dyDescent="0.2">
      <c r="A592" s="242">
        <v>40323</v>
      </c>
      <c r="B592" s="107" t="s">
        <v>1336</v>
      </c>
      <c r="C592" s="107" t="s">
        <v>1378</v>
      </c>
      <c r="D592" s="427" t="s">
        <v>837</v>
      </c>
      <c r="E592" s="107" t="str">
        <f>VLOOKUP(B592&amp;C592,Divipola!$C$2:$F$1138,4,FALSE)</f>
        <v>54498</v>
      </c>
      <c r="F592" s="330"/>
      <c r="G592" s="224"/>
      <c r="H592" s="75"/>
      <c r="I592" s="75"/>
      <c r="J592" s="75">
        <f>600-30</f>
        <v>570</v>
      </c>
      <c r="K592" s="75">
        <f>140-6</f>
        <v>134</v>
      </c>
      <c r="L592" s="75">
        <v>1</v>
      </c>
      <c r="M592" s="75">
        <v>25</v>
      </c>
      <c r="N592" s="75"/>
      <c r="O592" s="75"/>
      <c r="P592" s="75"/>
      <c r="Q592" s="75"/>
      <c r="R592" s="75"/>
      <c r="S592" s="75"/>
      <c r="T592" s="75"/>
      <c r="U592" s="75"/>
      <c r="V592" s="76"/>
      <c r="W592" s="205"/>
      <c r="X592" s="1"/>
      <c r="Y592" s="78">
        <f t="shared" si="74"/>
        <v>0</v>
      </c>
      <c r="Z592" s="78">
        <f t="shared" si="75"/>
        <v>0</v>
      </c>
      <c r="AA592" s="78">
        <f t="shared" si="76"/>
        <v>0</v>
      </c>
      <c r="AB592" s="78">
        <f t="shared" si="77"/>
        <v>0</v>
      </c>
      <c r="AC592" s="78"/>
      <c r="AD592" s="78">
        <v>0</v>
      </c>
      <c r="AE592" s="80">
        <f t="shared" si="79"/>
        <v>0</v>
      </c>
      <c r="AF592" s="82">
        <v>0</v>
      </c>
      <c r="AG592" s="69">
        <v>40326</v>
      </c>
      <c r="AH592" s="84"/>
      <c r="AI592" s="69" t="s">
        <v>1984</v>
      </c>
      <c r="AJ592" s="25" t="s">
        <v>1985</v>
      </c>
      <c r="AK592" s="65"/>
      <c r="AL592" s="185" t="s">
        <v>1257</v>
      </c>
      <c r="AM592" s="85" t="s">
        <v>637</v>
      </c>
      <c r="AN592" s="3"/>
      <c r="AO592" s="4"/>
      <c r="AP592" s="5"/>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6"/>
      <c r="CQ592" s="7"/>
      <c r="CR592" s="6"/>
      <c r="CS592" s="7"/>
      <c r="CT592" s="6"/>
      <c r="CU592" s="7"/>
      <c r="CV592" s="8">
        <f t="shared" si="78"/>
        <v>0</v>
      </c>
      <c r="CW592" s="9"/>
      <c r="CX592" s="10"/>
      <c r="CY592" s="11"/>
      <c r="CZ592" s="12"/>
      <c r="DA592" s="29"/>
      <c r="DB592" s="12"/>
      <c r="DC592" s="9"/>
      <c r="DD592" s="10"/>
      <c r="DE592" s="71"/>
      <c r="EO592" s="353" t="str">
        <f t="shared" si="73"/>
        <v>NORTE DE SANTANDER_OCAÑA</v>
      </c>
      <c r="EP592" s="350"/>
      <c r="EQ592" s="350" t="s">
        <v>4407</v>
      </c>
      <c r="ER592" s="358" t="s">
        <v>4408</v>
      </c>
      <c r="ES592" s="350" t="s">
        <v>5254</v>
      </c>
      <c r="ET592" s="350" t="s">
        <v>3252</v>
      </c>
      <c r="EU592" s="350" t="str">
        <f t="shared" si="80"/>
        <v>Choco_Bahia Solano</v>
      </c>
    </row>
    <row r="593" spans="1:151" ht="38.25" x14ac:dyDescent="0.2">
      <c r="A593" s="242">
        <v>40324</v>
      </c>
      <c r="B593" s="107" t="s">
        <v>1951</v>
      </c>
      <c r="C593" s="107" t="s">
        <v>1989</v>
      </c>
      <c r="D593" s="427" t="s">
        <v>2307</v>
      </c>
      <c r="E593" s="107" t="str">
        <f>VLOOKUP(B593&amp;C593,Divipola!$C$2:$F$1138,4,FALSE)</f>
        <v>08001</v>
      </c>
      <c r="F593" s="330"/>
      <c r="G593" s="224"/>
      <c r="H593" s="75"/>
      <c r="I593" s="75"/>
      <c r="J593" s="75"/>
      <c r="K593" s="75"/>
      <c r="L593" s="75"/>
      <c r="M593" s="75"/>
      <c r="N593" s="75"/>
      <c r="O593" s="75"/>
      <c r="P593" s="75"/>
      <c r="Q593" s="75"/>
      <c r="R593" s="75"/>
      <c r="S593" s="75"/>
      <c r="T593" s="75"/>
      <c r="U593" s="75">
        <v>1</v>
      </c>
      <c r="V593" s="76"/>
      <c r="W593" s="205"/>
      <c r="X593" s="1"/>
      <c r="Y593" s="78">
        <f t="shared" si="74"/>
        <v>0</v>
      </c>
      <c r="Z593" s="78">
        <f t="shared" si="75"/>
        <v>0</v>
      </c>
      <c r="AA593" s="78">
        <f t="shared" si="76"/>
        <v>0</v>
      </c>
      <c r="AB593" s="78">
        <f t="shared" si="77"/>
        <v>0</v>
      </c>
      <c r="AC593" s="78"/>
      <c r="AD593" s="78">
        <v>0</v>
      </c>
      <c r="AE593" s="80">
        <f t="shared" si="79"/>
        <v>0</v>
      </c>
      <c r="AF593" s="82">
        <v>0</v>
      </c>
      <c r="AG593" s="69">
        <v>40326</v>
      </c>
      <c r="AH593" s="84"/>
      <c r="AI593" s="69" t="s">
        <v>1984</v>
      </c>
      <c r="AJ593" s="25" t="s">
        <v>1985</v>
      </c>
      <c r="AK593" s="65"/>
      <c r="AL593" s="185" t="s">
        <v>1257</v>
      </c>
      <c r="AM593" s="85" t="s">
        <v>638</v>
      </c>
      <c r="AN593" s="3"/>
      <c r="AO593" s="4"/>
      <c r="AP593" s="5"/>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6"/>
      <c r="CQ593" s="7"/>
      <c r="CR593" s="6"/>
      <c r="CS593" s="7"/>
      <c r="CT593" s="6"/>
      <c r="CU593" s="7"/>
      <c r="CV593" s="8">
        <f t="shared" si="78"/>
        <v>0</v>
      </c>
      <c r="CW593" s="9"/>
      <c r="CX593" s="10"/>
      <c r="CY593" s="11"/>
      <c r="CZ593" s="12"/>
      <c r="DA593" s="29"/>
      <c r="DB593" s="12"/>
      <c r="DC593" s="9"/>
      <c r="DD593" s="10"/>
      <c r="DE593" s="71"/>
      <c r="EO593" s="353" t="str">
        <f t="shared" si="73"/>
        <v>ATLANTICO_BARRANQUILLA</v>
      </c>
      <c r="EP593" s="350"/>
      <c r="EQ593" s="350" t="s">
        <v>4407</v>
      </c>
      <c r="ER593" s="358" t="s">
        <v>4408</v>
      </c>
      <c r="ES593" s="350" t="s">
        <v>5255</v>
      </c>
      <c r="ET593" s="350" t="s">
        <v>3253</v>
      </c>
      <c r="EU593" s="350" t="str">
        <f t="shared" si="80"/>
        <v>Choco_Bajo Baudo</v>
      </c>
    </row>
    <row r="594" spans="1:151" ht="38.25" x14ac:dyDescent="0.2">
      <c r="A594" s="242">
        <v>40324</v>
      </c>
      <c r="B594" s="107" t="s">
        <v>5778</v>
      </c>
      <c r="C594" s="107" t="s">
        <v>874</v>
      </c>
      <c r="D594" s="427" t="s">
        <v>837</v>
      </c>
      <c r="E594" s="107" t="str">
        <f>VLOOKUP(B594&amp;C594,Divipola!$C$2:$F$1138,4,FALSE)</f>
        <v>44430</v>
      </c>
      <c r="F594" s="330"/>
      <c r="G594" s="224"/>
      <c r="H594" s="75"/>
      <c r="I594" s="75"/>
      <c r="J594" s="75">
        <v>130</v>
      </c>
      <c r="K594" s="75">
        <v>26</v>
      </c>
      <c r="L594" s="75"/>
      <c r="M594" s="75"/>
      <c r="N594" s="75"/>
      <c r="O594" s="75"/>
      <c r="P594" s="75"/>
      <c r="Q594" s="75"/>
      <c r="R594" s="75"/>
      <c r="S594" s="75"/>
      <c r="T594" s="75"/>
      <c r="U594" s="75"/>
      <c r="V594" s="76"/>
      <c r="W594" s="205"/>
      <c r="X594" s="1"/>
      <c r="Y594" s="78">
        <f t="shared" si="74"/>
        <v>0</v>
      </c>
      <c r="Z594" s="78">
        <f t="shared" si="75"/>
        <v>0</v>
      </c>
      <c r="AA594" s="78">
        <f t="shared" si="76"/>
        <v>0</v>
      </c>
      <c r="AB594" s="78">
        <f t="shared" si="77"/>
        <v>0</v>
      </c>
      <c r="AC594" s="78"/>
      <c r="AD594" s="78">
        <v>0</v>
      </c>
      <c r="AE594" s="80">
        <f t="shared" si="79"/>
        <v>0</v>
      </c>
      <c r="AF594" s="82">
        <v>0</v>
      </c>
      <c r="AG594" s="69">
        <v>40330</v>
      </c>
      <c r="AH594" s="84"/>
      <c r="AI594" s="69" t="s">
        <v>1984</v>
      </c>
      <c r="AJ594" s="25" t="s">
        <v>1985</v>
      </c>
      <c r="AK594" s="65"/>
      <c r="AL594" s="185" t="s">
        <v>1257</v>
      </c>
      <c r="AM594" s="85" t="s">
        <v>2252</v>
      </c>
      <c r="AN594" s="3"/>
      <c r="AO594" s="4"/>
      <c r="AP594" s="5"/>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6"/>
      <c r="CQ594" s="7"/>
      <c r="CR594" s="6"/>
      <c r="CS594" s="7"/>
      <c r="CT594" s="6"/>
      <c r="CU594" s="7"/>
      <c r="CV594" s="8">
        <f t="shared" si="78"/>
        <v>0</v>
      </c>
      <c r="CW594" s="9"/>
      <c r="CX594" s="10"/>
      <c r="CY594" s="11"/>
      <c r="CZ594" s="12"/>
      <c r="DA594" s="29"/>
      <c r="DB594" s="12"/>
      <c r="DC594" s="9"/>
      <c r="DD594" s="10"/>
      <c r="DE594" s="71"/>
      <c r="EO594" s="353" t="str">
        <f t="shared" si="73"/>
        <v>LA GUAJIRA_MAICAO</v>
      </c>
      <c r="EP594" s="350"/>
      <c r="EQ594" s="350" t="s">
        <v>4407</v>
      </c>
      <c r="ER594" s="358" t="s">
        <v>4408</v>
      </c>
      <c r="ES594" s="350" t="s">
        <v>5257</v>
      </c>
      <c r="ET594" s="350" t="s">
        <v>3254</v>
      </c>
      <c r="EU594" s="350" t="str">
        <f t="shared" si="80"/>
        <v>Choco_Bojaya</v>
      </c>
    </row>
    <row r="595" spans="1:151" ht="48" x14ac:dyDescent="0.2">
      <c r="A595" s="242">
        <v>40324</v>
      </c>
      <c r="B595" s="107" t="s">
        <v>2012</v>
      </c>
      <c r="C595" s="107" t="s">
        <v>2433</v>
      </c>
      <c r="D595" s="427" t="s">
        <v>837</v>
      </c>
      <c r="E595" s="107" t="str">
        <f>VLOOKUP(B595&amp;C595,Divipola!$C$2:$F$1138,4,FALSE)</f>
        <v>66001</v>
      </c>
      <c r="F595" s="330"/>
      <c r="G595" s="224"/>
      <c r="H595" s="75"/>
      <c r="I595" s="75"/>
      <c r="J595" s="75">
        <f>34*5</f>
        <v>170</v>
      </c>
      <c r="K595" s="75">
        <v>34</v>
      </c>
      <c r="L595" s="75"/>
      <c r="M595" s="75">
        <v>34</v>
      </c>
      <c r="N595" s="75"/>
      <c r="O595" s="75"/>
      <c r="P595" s="75"/>
      <c r="Q595" s="75"/>
      <c r="R595" s="75"/>
      <c r="S595" s="75"/>
      <c r="T595" s="75"/>
      <c r="U595" s="75"/>
      <c r="V595" s="76"/>
      <c r="W595" s="205"/>
      <c r="X595" s="1"/>
      <c r="Y595" s="78">
        <f t="shared" si="74"/>
        <v>0</v>
      </c>
      <c r="Z595" s="78">
        <f t="shared" si="75"/>
        <v>0</v>
      </c>
      <c r="AA595" s="78">
        <f t="shared" si="76"/>
        <v>0</v>
      </c>
      <c r="AB595" s="78">
        <f t="shared" si="77"/>
        <v>0</v>
      </c>
      <c r="AC595" s="78"/>
      <c r="AD595" s="78">
        <v>0</v>
      </c>
      <c r="AE595" s="80">
        <f t="shared" si="79"/>
        <v>0</v>
      </c>
      <c r="AF595" s="82">
        <v>0</v>
      </c>
      <c r="AG595" s="69">
        <v>40326</v>
      </c>
      <c r="AH595" s="84"/>
      <c r="AI595" s="69" t="s">
        <v>1984</v>
      </c>
      <c r="AJ595" s="25" t="s">
        <v>1985</v>
      </c>
      <c r="AK595" s="65"/>
      <c r="AL595" s="185" t="s">
        <v>1257</v>
      </c>
      <c r="AM595" s="85" t="s">
        <v>951</v>
      </c>
      <c r="AN595" s="3"/>
      <c r="AO595" s="4"/>
      <c r="AP595" s="5"/>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6"/>
      <c r="CQ595" s="7"/>
      <c r="CR595" s="6"/>
      <c r="CS595" s="7"/>
      <c r="CT595" s="6"/>
      <c r="CU595" s="7"/>
      <c r="CV595" s="8">
        <f t="shared" si="78"/>
        <v>0</v>
      </c>
      <c r="CW595" s="9"/>
      <c r="CX595" s="10"/>
      <c r="CY595" s="11"/>
      <c r="CZ595" s="12"/>
      <c r="DA595" s="29"/>
      <c r="DB595" s="12"/>
      <c r="DC595" s="9"/>
      <c r="DD595" s="10"/>
      <c r="DE595" s="71"/>
      <c r="EO595" s="353" t="str">
        <f t="shared" si="73"/>
        <v>RISARALDA_PEREIRA</v>
      </c>
      <c r="EP595" s="350"/>
      <c r="EQ595" s="350" t="s">
        <v>4407</v>
      </c>
      <c r="ER595" s="358" t="s">
        <v>4408</v>
      </c>
      <c r="ES595" s="350" t="s">
        <v>5258</v>
      </c>
      <c r="ET595" s="350" t="s">
        <v>3255</v>
      </c>
      <c r="EU595" s="350" t="str">
        <f t="shared" si="80"/>
        <v>Choco_El Canton del San Pablo</v>
      </c>
    </row>
    <row r="596" spans="1:151" ht="38.25" x14ac:dyDescent="0.2">
      <c r="A596" s="242">
        <v>40325</v>
      </c>
      <c r="B596" s="107" t="s">
        <v>289</v>
      </c>
      <c r="C596" s="107" t="s">
        <v>4237</v>
      </c>
      <c r="D596" s="427" t="s">
        <v>837</v>
      </c>
      <c r="E596" s="107" t="str">
        <f>VLOOKUP(B596&amp;C596,Divipola!$C$2:$F$1138,4,FALSE)</f>
        <v>17867</v>
      </c>
      <c r="F596" s="330"/>
      <c r="G596" s="224"/>
      <c r="H596" s="75"/>
      <c r="I596" s="75"/>
      <c r="J596" s="75">
        <v>70</v>
      </c>
      <c r="K596" s="75">
        <v>28</v>
      </c>
      <c r="L596" s="75">
        <v>1</v>
      </c>
      <c r="M596" s="75">
        <v>26</v>
      </c>
      <c r="N596" s="75"/>
      <c r="O596" s="75"/>
      <c r="P596" s="75"/>
      <c r="Q596" s="75"/>
      <c r="R596" s="75"/>
      <c r="S596" s="75"/>
      <c r="T596" s="75"/>
      <c r="U596" s="75"/>
      <c r="V596" s="76"/>
      <c r="W596" s="205"/>
      <c r="X596" s="1"/>
      <c r="Y596" s="78">
        <f t="shared" si="74"/>
        <v>0</v>
      </c>
      <c r="Z596" s="78">
        <f t="shared" si="75"/>
        <v>0</v>
      </c>
      <c r="AA596" s="78">
        <f t="shared" si="76"/>
        <v>0</v>
      </c>
      <c r="AB596" s="78">
        <f t="shared" si="77"/>
        <v>0</v>
      </c>
      <c r="AC596" s="78"/>
      <c r="AD596" s="78">
        <v>0</v>
      </c>
      <c r="AE596" s="80">
        <f t="shared" si="79"/>
        <v>0</v>
      </c>
      <c r="AF596" s="82">
        <v>0</v>
      </c>
      <c r="AG596" s="69">
        <v>40326</v>
      </c>
      <c r="AH596" s="84"/>
      <c r="AI596" s="69" t="s">
        <v>2009</v>
      </c>
      <c r="AJ596" s="25" t="s">
        <v>2010</v>
      </c>
      <c r="AK596" s="65"/>
      <c r="AL596" s="184" t="s">
        <v>3833</v>
      </c>
      <c r="AM596" s="85" t="s">
        <v>702</v>
      </c>
      <c r="AN596" s="3"/>
      <c r="AO596" s="4"/>
      <c r="AP596" s="5"/>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6"/>
      <c r="CQ596" s="7"/>
      <c r="CR596" s="6"/>
      <c r="CS596" s="7"/>
      <c r="CT596" s="6"/>
      <c r="CU596" s="7"/>
      <c r="CV596" s="8">
        <f t="shared" si="78"/>
        <v>0</v>
      </c>
      <c r="CW596" s="9"/>
      <c r="CX596" s="10"/>
      <c r="CY596" s="11"/>
      <c r="CZ596" s="12"/>
      <c r="DA596" s="29"/>
      <c r="DB596" s="12"/>
      <c r="DC596" s="9"/>
      <c r="DD596" s="10"/>
      <c r="DE596" s="71"/>
      <c r="EO596" s="353" t="str">
        <f t="shared" si="73"/>
        <v>CALDAS_VICTORIA</v>
      </c>
      <c r="EP596" s="350"/>
      <c r="EQ596" s="350" t="s">
        <v>4407</v>
      </c>
      <c r="ER596" s="358" t="s">
        <v>4408</v>
      </c>
      <c r="ES596" s="350" t="s">
        <v>5259</v>
      </c>
      <c r="ET596" s="350" t="s">
        <v>3256</v>
      </c>
      <c r="EU596" s="350" t="str">
        <f t="shared" si="80"/>
        <v>Choco_Carmen del Darien</v>
      </c>
    </row>
    <row r="597" spans="1:151" ht="38.25" x14ac:dyDescent="0.2">
      <c r="A597" s="242">
        <v>40325</v>
      </c>
      <c r="B597" s="107" t="s">
        <v>1189</v>
      </c>
      <c r="C597" s="107" t="s">
        <v>713</v>
      </c>
      <c r="D597" s="427" t="s">
        <v>837</v>
      </c>
      <c r="E597" s="107" t="str">
        <f>VLOOKUP(B597&amp;C597,Divipola!$C$2:$F$1138,4,FALSE)</f>
        <v>85125</v>
      </c>
      <c r="F597" s="330"/>
      <c r="G597" s="224"/>
      <c r="H597" s="75"/>
      <c r="I597" s="75"/>
      <c r="J597" s="75">
        <v>25</v>
      </c>
      <c r="K597" s="75">
        <v>5</v>
      </c>
      <c r="L597" s="75"/>
      <c r="M597" s="75">
        <v>5</v>
      </c>
      <c r="N597" s="75"/>
      <c r="O597" s="75"/>
      <c r="P597" s="75"/>
      <c r="Q597" s="75"/>
      <c r="R597" s="75"/>
      <c r="S597" s="75"/>
      <c r="T597" s="75"/>
      <c r="U597" s="75"/>
      <c r="V597" s="76"/>
      <c r="W597" s="205"/>
      <c r="X597" s="1"/>
      <c r="Y597" s="78">
        <f t="shared" si="74"/>
        <v>0</v>
      </c>
      <c r="Z597" s="78">
        <f t="shared" si="75"/>
        <v>0</v>
      </c>
      <c r="AA597" s="78">
        <f t="shared" si="76"/>
        <v>0</v>
      </c>
      <c r="AB597" s="78">
        <f t="shared" si="77"/>
        <v>0</v>
      </c>
      <c r="AC597" s="78"/>
      <c r="AD597" s="78">
        <v>0</v>
      </c>
      <c r="AE597" s="80">
        <f t="shared" si="79"/>
        <v>0</v>
      </c>
      <c r="AF597" s="82">
        <v>0</v>
      </c>
      <c r="AG597" s="69">
        <v>40326</v>
      </c>
      <c r="AH597" s="84"/>
      <c r="AI597" s="69" t="s">
        <v>1984</v>
      </c>
      <c r="AJ597" s="25" t="s">
        <v>1985</v>
      </c>
      <c r="AK597" s="65"/>
      <c r="AL597" s="185" t="s">
        <v>1257</v>
      </c>
      <c r="AM597" s="85" t="s">
        <v>1392</v>
      </c>
      <c r="AN597" s="3"/>
      <c r="AO597" s="4"/>
      <c r="AP597" s="5"/>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6"/>
      <c r="CQ597" s="7"/>
      <c r="CR597" s="6"/>
      <c r="CS597" s="7"/>
      <c r="CT597" s="6"/>
      <c r="CU597" s="7"/>
      <c r="CV597" s="8">
        <f t="shared" si="78"/>
        <v>0</v>
      </c>
      <c r="CW597" s="9"/>
      <c r="CX597" s="10"/>
      <c r="CY597" s="11"/>
      <c r="CZ597" s="12"/>
      <c r="DA597" s="29"/>
      <c r="DB597" s="12"/>
      <c r="DC597" s="9"/>
      <c r="DD597" s="10"/>
      <c r="DE597" s="71"/>
      <c r="DF597" s="23">
        <v>1077</v>
      </c>
      <c r="EO597" s="353" t="str">
        <f t="shared" si="73"/>
        <v>CASANARE_HATO COROZAL</v>
      </c>
      <c r="EP597" s="350"/>
      <c r="EQ597" s="350" t="s">
        <v>4407</v>
      </c>
      <c r="ER597" s="358" t="s">
        <v>4408</v>
      </c>
      <c r="ES597" s="350" t="s">
        <v>5260</v>
      </c>
      <c r="ET597" s="350" t="s">
        <v>3257</v>
      </c>
      <c r="EU597" s="350" t="str">
        <f t="shared" si="80"/>
        <v>Choco_Certegui</v>
      </c>
    </row>
    <row r="598" spans="1:151" ht="36" x14ac:dyDescent="0.2">
      <c r="A598" s="242">
        <v>40325</v>
      </c>
      <c r="B598" s="107" t="s">
        <v>1189</v>
      </c>
      <c r="C598" s="107" t="s">
        <v>2412</v>
      </c>
      <c r="D598" s="427" t="s">
        <v>837</v>
      </c>
      <c r="E598" s="107" t="str">
        <f>VLOOKUP(B598&amp;C598,Divipola!$C$2:$F$1138,4,FALSE)</f>
        <v>85263</v>
      </c>
      <c r="F598" s="330"/>
      <c r="G598" s="224"/>
      <c r="H598" s="75"/>
      <c r="I598" s="75"/>
      <c r="J598" s="75">
        <v>410</v>
      </c>
      <c r="K598" s="75">
        <v>82</v>
      </c>
      <c r="L598" s="75"/>
      <c r="M598" s="75">
        <v>82</v>
      </c>
      <c r="N598" s="75"/>
      <c r="O598" s="75"/>
      <c r="P598" s="75"/>
      <c r="Q598" s="75"/>
      <c r="R598" s="75"/>
      <c r="S598" s="75"/>
      <c r="T598" s="75"/>
      <c r="U598" s="75"/>
      <c r="V598" s="76"/>
      <c r="W598" s="205"/>
      <c r="X598" s="1"/>
      <c r="Y598" s="78">
        <f t="shared" si="74"/>
        <v>0</v>
      </c>
      <c r="Z598" s="78">
        <f t="shared" si="75"/>
        <v>0</v>
      </c>
      <c r="AA598" s="78">
        <f t="shared" si="76"/>
        <v>0</v>
      </c>
      <c r="AB598" s="78">
        <f t="shared" si="77"/>
        <v>0</v>
      </c>
      <c r="AC598" s="78"/>
      <c r="AD598" s="78">
        <v>0</v>
      </c>
      <c r="AE598" s="80">
        <f t="shared" si="79"/>
        <v>0</v>
      </c>
      <c r="AF598" s="82">
        <v>0</v>
      </c>
      <c r="AG598" s="69">
        <v>40326</v>
      </c>
      <c r="AH598" s="84"/>
      <c r="AI598" s="69" t="s">
        <v>1984</v>
      </c>
      <c r="AJ598" s="25" t="s">
        <v>1985</v>
      </c>
      <c r="AK598" s="65"/>
      <c r="AL598" s="185" t="s">
        <v>1257</v>
      </c>
      <c r="AM598" s="85" t="s">
        <v>233</v>
      </c>
      <c r="AN598" s="3"/>
      <c r="AO598" s="4"/>
      <c r="AP598" s="5"/>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6"/>
      <c r="CQ598" s="7"/>
      <c r="CR598" s="6"/>
      <c r="CS598" s="7"/>
      <c r="CT598" s="6"/>
      <c r="CU598" s="7"/>
      <c r="CV598" s="8">
        <f t="shared" si="78"/>
        <v>0</v>
      </c>
      <c r="CW598" s="9"/>
      <c r="CX598" s="10"/>
      <c r="CY598" s="11"/>
      <c r="CZ598" s="12"/>
      <c r="DA598" s="29"/>
      <c r="DB598" s="12"/>
      <c r="DC598" s="9"/>
      <c r="DD598" s="10"/>
      <c r="DE598" s="71"/>
      <c r="EO598" s="353" t="str">
        <f t="shared" si="73"/>
        <v>CASANARE_PORE</v>
      </c>
      <c r="EP598" s="350"/>
      <c r="EQ598" s="350" t="s">
        <v>4407</v>
      </c>
      <c r="ER598" s="358" t="s">
        <v>4408</v>
      </c>
      <c r="ES598" s="350" t="s">
        <v>5261</v>
      </c>
      <c r="ET598" s="350" t="s">
        <v>3258</v>
      </c>
      <c r="EU598" s="350" t="str">
        <f t="shared" si="80"/>
        <v>Choco_Condoto</v>
      </c>
    </row>
    <row r="599" spans="1:151" ht="38.25" x14ac:dyDescent="0.2">
      <c r="A599" s="242">
        <v>40325</v>
      </c>
      <c r="B599" s="107" t="s">
        <v>1189</v>
      </c>
      <c r="C599" s="107" t="s">
        <v>1953</v>
      </c>
      <c r="D599" s="427" t="s">
        <v>837</v>
      </c>
      <c r="E599" s="107" t="str">
        <f>VLOOKUP(B599&amp;C599,Divipola!$C$2:$F$1138,4,FALSE)</f>
        <v>85440</v>
      </c>
      <c r="F599" s="330"/>
      <c r="G599" s="224"/>
      <c r="H599" s="75"/>
      <c r="I599" s="75"/>
      <c r="J599" s="75">
        <v>125</v>
      </c>
      <c r="K599" s="75">
        <v>25</v>
      </c>
      <c r="L599" s="75"/>
      <c r="M599" s="75">
        <v>25</v>
      </c>
      <c r="N599" s="75"/>
      <c r="O599" s="75"/>
      <c r="P599" s="75"/>
      <c r="Q599" s="75"/>
      <c r="R599" s="75"/>
      <c r="S599" s="75"/>
      <c r="T599" s="75"/>
      <c r="U599" s="75"/>
      <c r="V599" s="76"/>
      <c r="W599" s="205"/>
      <c r="X599" s="1"/>
      <c r="Y599" s="78">
        <f t="shared" si="74"/>
        <v>0</v>
      </c>
      <c r="Z599" s="78">
        <f t="shared" si="75"/>
        <v>0</v>
      </c>
      <c r="AA599" s="78">
        <f t="shared" si="76"/>
        <v>0</v>
      </c>
      <c r="AB599" s="78">
        <f t="shared" si="77"/>
        <v>0</v>
      </c>
      <c r="AC599" s="78"/>
      <c r="AD599" s="78">
        <v>0</v>
      </c>
      <c r="AE599" s="80">
        <f t="shared" si="79"/>
        <v>0</v>
      </c>
      <c r="AF599" s="82">
        <v>0</v>
      </c>
      <c r="AG599" s="69">
        <v>40326</v>
      </c>
      <c r="AH599" s="84"/>
      <c r="AI599" s="69" t="s">
        <v>1984</v>
      </c>
      <c r="AJ599" s="25" t="s">
        <v>1985</v>
      </c>
      <c r="AK599" s="65"/>
      <c r="AL599" s="185" t="s">
        <v>1257</v>
      </c>
      <c r="AM599" s="85" t="s">
        <v>1390</v>
      </c>
      <c r="AN599" s="3"/>
      <c r="AO599" s="4"/>
      <c r="AP599" s="5"/>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6"/>
      <c r="CQ599" s="7"/>
      <c r="CR599" s="6"/>
      <c r="CS599" s="7"/>
      <c r="CT599" s="6"/>
      <c r="CU599" s="7"/>
      <c r="CV599" s="8">
        <f t="shared" si="78"/>
        <v>0</v>
      </c>
      <c r="CW599" s="9"/>
      <c r="CX599" s="10"/>
      <c r="CY599" s="11"/>
      <c r="CZ599" s="12"/>
      <c r="DA599" s="29"/>
      <c r="DB599" s="12"/>
      <c r="DC599" s="9"/>
      <c r="DD599" s="10"/>
      <c r="DE599" s="71"/>
      <c r="EO599" s="353" t="str">
        <f t="shared" si="73"/>
        <v>CASANARE_VILLANUEVA</v>
      </c>
      <c r="EP599" s="350"/>
      <c r="EQ599" s="350" t="s">
        <v>4407</v>
      </c>
      <c r="ER599" s="358" t="s">
        <v>4408</v>
      </c>
      <c r="ES599" s="350" t="s">
        <v>5262</v>
      </c>
      <c r="ET599" s="350" t="s">
        <v>3259</v>
      </c>
      <c r="EU599" s="350" t="str">
        <f t="shared" si="80"/>
        <v>Choco_El Carmen de Atrato</v>
      </c>
    </row>
    <row r="600" spans="1:151" ht="38.25" x14ac:dyDescent="0.2">
      <c r="A600" s="242">
        <v>40325</v>
      </c>
      <c r="B600" s="107" t="s">
        <v>2242</v>
      </c>
      <c r="C600" s="107" t="s">
        <v>1212</v>
      </c>
      <c r="D600" s="427" t="s">
        <v>837</v>
      </c>
      <c r="E600" s="107" t="str">
        <f>VLOOKUP(B600&amp;C600,Divipola!$C$2:$F$1138,4,FALSE)</f>
        <v>20787</v>
      </c>
      <c r="F600" s="330"/>
      <c r="G600" s="224"/>
      <c r="H600" s="75"/>
      <c r="I600" s="75"/>
      <c r="J600" s="75">
        <f>487*5</f>
        <v>2435</v>
      </c>
      <c r="K600" s="75">
        <f>750-260-3</f>
        <v>487</v>
      </c>
      <c r="L600" s="75"/>
      <c r="M600" s="75">
        <v>487</v>
      </c>
      <c r="N600" s="75"/>
      <c r="O600" s="75"/>
      <c r="P600" s="75"/>
      <c r="Q600" s="75"/>
      <c r="R600" s="75"/>
      <c r="S600" s="75"/>
      <c r="T600" s="75"/>
      <c r="U600" s="75"/>
      <c r="V600" s="76"/>
      <c r="W600" s="205"/>
      <c r="X600" s="1"/>
      <c r="Y600" s="78">
        <f t="shared" si="74"/>
        <v>0</v>
      </c>
      <c r="Z600" s="78">
        <f t="shared" si="75"/>
        <v>0</v>
      </c>
      <c r="AA600" s="78">
        <f t="shared" si="76"/>
        <v>0</v>
      </c>
      <c r="AB600" s="78">
        <f t="shared" si="77"/>
        <v>0</v>
      </c>
      <c r="AC600" s="78"/>
      <c r="AD600" s="78">
        <v>0</v>
      </c>
      <c r="AE600" s="80">
        <f t="shared" si="79"/>
        <v>0</v>
      </c>
      <c r="AF600" s="82">
        <v>0</v>
      </c>
      <c r="AG600" s="69">
        <v>40326</v>
      </c>
      <c r="AH600" s="84"/>
      <c r="AI600" s="69" t="s">
        <v>1984</v>
      </c>
      <c r="AJ600" s="25" t="s">
        <v>1985</v>
      </c>
      <c r="AK600" s="65"/>
      <c r="AL600" s="185" t="s">
        <v>194</v>
      </c>
      <c r="AM600" s="85" t="s">
        <v>647</v>
      </c>
      <c r="AN600" s="3"/>
      <c r="AO600" s="4"/>
      <c r="AP600" s="5"/>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6"/>
      <c r="CQ600" s="7"/>
      <c r="CR600" s="6"/>
      <c r="CS600" s="7"/>
      <c r="CT600" s="6"/>
      <c r="CU600" s="7"/>
      <c r="CV600" s="8">
        <f t="shared" si="78"/>
        <v>0</v>
      </c>
      <c r="CW600" s="9"/>
      <c r="CX600" s="10"/>
      <c r="CY600" s="11"/>
      <c r="CZ600" s="12"/>
      <c r="DA600" s="29"/>
      <c r="DB600" s="12"/>
      <c r="DC600" s="9"/>
      <c r="DD600" s="10"/>
      <c r="DE600" s="71"/>
      <c r="EO600" s="353" t="str">
        <f t="shared" si="73"/>
        <v>CESAR_TAMALAMEQUE</v>
      </c>
      <c r="EP600" s="350"/>
      <c r="EQ600" s="350" t="s">
        <v>4407</v>
      </c>
      <c r="ER600" s="358" t="s">
        <v>4408</v>
      </c>
      <c r="ES600" s="350" t="s">
        <v>5263</v>
      </c>
      <c r="ET600" s="350" t="s">
        <v>3260</v>
      </c>
      <c r="EU600" s="350" t="str">
        <f t="shared" si="80"/>
        <v>Choco_El Litoral del San Juan</v>
      </c>
    </row>
    <row r="601" spans="1:151" ht="38.25" x14ac:dyDescent="0.2">
      <c r="A601" s="242">
        <v>40325</v>
      </c>
      <c r="B601" s="107" t="s">
        <v>708</v>
      </c>
      <c r="C601" s="107" t="s">
        <v>949</v>
      </c>
      <c r="D601" s="427" t="s">
        <v>837</v>
      </c>
      <c r="E601" s="107" t="str">
        <f>VLOOKUP(B601&amp;C601,Divipola!$C$2:$F$1138,4,FALSE)</f>
        <v>50110</v>
      </c>
      <c r="F601" s="330"/>
      <c r="G601" s="224"/>
      <c r="H601" s="75"/>
      <c r="I601" s="75"/>
      <c r="J601" s="75">
        <f>171-50</f>
        <v>121</v>
      </c>
      <c r="K601" s="75">
        <v>50</v>
      </c>
      <c r="L601" s="75">
        <v>48</v>
      </c>
      <c r="M601" s="75"/>
      <c r="N601" s="75"/>
      <c r="O601" s="75"/>
      <c r="P601" s="75"/>
      <c r="Q601" s="75"/>
      <c r="R601" s="75"/>
      <c r="S601" s="75"/>
      <c r="T601" s="75"/>
      <c r="U601" s="75"/>
      <c r="V601" s="76"/>
      <c r="W601" s="205"/>
      <c r="X601" s="1"/>
      <c r="Y601" s="78">
        <f t="shared" si="74"/>
        <v>0</v>
      </c>
      <c r="Z601" s="78">
        <f t="shared" si="75"/>
        <v>0</v>
      </c>
      <c r="AA601" s="78">
        <f t="shared" si="76"/>
        <v>0</v>
      </c>
      <c r="AB601" s="78">
        <f t="shared" si="77"/>
        <v>0</v>
      </c>
      <c r="AC601" s="78"/>
      <c r="AD601" s="78">
        <v>0</v>
      </c>
      <c r="AE601" s="80">
        <f t="shared" si="79"/>
        <v>0</v>
      </c>
      <c r="AF601" s="82">
        <v>0</v>
      </c>
      <c r="AG601" s="69">
        <v>40326</v>
      </c>
      <c r="AH601" s="84"/>
      <c r="AI601" s="69" t="s">
        <v>1984</v>
      </c>
      <c r="AJ601" s="25" t="s">
        <v>1985</v>
      </c>
      <c r="AK601" s="65"/>
      <c r="AL601" s="185" t="s">
        <v>1257</v>
      </c>
      <c r="AM601" s="85" t="s">
        <v>950</v>
      </c>
      <c r="AN601" s="3"/>
      <c r="AO601" s="4"/>
      <c r="AP601" s="5"/>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6"/>
      <c r="CQ601" s="7"/>
      <c r="CR601" s="6"/>
      <c r="CS601" s="7"/>
      <c r="CT601" s="6"/>
      <c r="CU601" s="7"/>
      <c r="CV601" s="8">
        <f t="shared" si="78"/>
        <v>0</v>
      </c>
      <c r="CW601" s="9"/>
      <c r="CX601" s="10"/>
      <c r="CY601" s="11"/>
      <c r="CZ601" s="12"/>
      <c r="DA601" s="29"/>
      <c r="DB601" s="12"/>
      <c r="DC601" s="9"/>
      <c r="DD601" s="10"/>
      <c r="DE601" s="71"/>
      <c r="EO601" s="353" t="str">
        <f t="shared" si="73"/>
        <v>META_BARRANCA DE UPIA</v>
      </c>
      <c r="EP601" s="350"/>
      <c r="EQ601" s="350" t="s">
        <v>4407</v>
      </c>
      <c r="ER601" s="358" t="s">
        <v>4408</v>
      </c>
      <c r="ES601" s="350" t="s">
        <v>5264</v>
      </c>
      <c r="ET601" s="350" t="s">
        <v>3261</v>
      </c>
      <c r="EU601" s="350" t="str">
        <f t="shared" si="80"/>
        <v>Choco_Istmina</v>
      </c>
    </row>
    <row r="602" spans="1:151" ht="84" x14ac:dyDescent="0.2">
      <c r="A602" s="242">
        <v>40325</v>
      </c>
      <c r="B602" s="107" t="s">
        <v>708</v>
      </c>
      <c r="C602" s="107" t="s">
        <v>4476</v>
      </c>
      <c r="D602" s="427" t="s">
        <v>837</v>
      </c>
      <c r="E602" s="107" t="str">
        <f>VLOOKUP(B602&amp;C602,Divipola!$C$2:$F$1138,4,FALSE)</f>
        <v>50370</v>
      </c>
      <c r="F602" s="330"/>
      <c r="G602" s="224"/>
      <c r="H602" s="75"/>
      <c r="I602" s="75"/>
      <c r="J602" s="75">
        <v>200</v>
      </c>
      <c r="K602" s="75">
        <v>40</v>
      </c>
      <c r="L602" s="75"/>
      <c r="M602" s="75">
        <v>40</v>
      </c>
      <c r="N602" s="75">
        <v>2</v>
      </c>
      <c r="O602" s="75"/>
      <c r="P602" s="75"/>
      <c r="Q602" s="75"/>
      <c r="R602" s="75"/>
      <c r="S602" s="75"/>
      <c r="T602" s="75"/>
      <c r="U602" s="75"/>
      <c r="V602" s="76"/>
      <c r="W602" s="205"/>
      <c r="X602" s="1">
        <v>40357</v>
      </c>
      <c r="Y602" s="78">
        <f t="shared" si="74"/>
        <v>0</v>
      </c>
      <c r="Z602" s="78">
        <f t="shared" si="75"/>
        <v>0</v>
      </c>
      <c r="AA602" s="78">
        <f t="shared" si="76"/>
        <v>0</v>
      </c>
      <c r="AB602" s="78">
        <f t="shared" si="77"/>
        <v>0</v>
      </c>
      <c r="AC602" s="78"/>
      <c r="AD602" s="78">
        <v>95000000</v>
      </c>
      <c r="AE602" s="80">
        <f t="shared" si="79"/>
        <v>95000000</v>
      </c>
      <c r="AF602" s="82">
        <v>0</v>
      </c>
      <c r="AG602" s="69">
        <v>40340</v>
      </c>
      <c r="AH602" s="84">
        <v>98226</v>
      </c>
      <c r="AI602" s="69" t="s">
        <v>2009</v>
      </c>
      <c r="AJ602" s="25" t="s">
        <v>2010</v>
      </c>
      <c r="AK602" s="65">
        <v>21591</v>
      </c>
      <c r="AL602" s="185" t="s">
        <v>955</v>
      </c>
      <c r="AM602" s="85" t="s">
        <v>444</v>
      </c>
      <c r="AN602" s="3"/>
      <c r="AO602" s="4"/>
      <c r="AP602" s="5"/>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6"/>
      <c r="CQ602" s="7"/>
      <c r="CR602" s="6"/>
      <c r="CS602" s="7"/>
      <c r="CT602" s="6"/>
      <c r="CU602" s="7"/>
      <c r="CV602" s="8">
        <f t="shared" si="78"/>
        <v>0</v>
      </c>
      <c r="CW602" s="9"/>
      <c r="CX602" s="10"/>
      <c r="CY602" s="11"/>
      <c r="CZ602" s="12"/>
      <c r="DA602" s="29"/>
      <c r="DB602" s="12"/>
      <c r="DC602" s="9"/>
      <c r="DD602" s="10"/>
      <c r="DE602" s="71">
        <v>4</v>
      </c>
      <c r="EO602" s="353" t="str">
        <f t="shared" si="73"/>
        <v>META_LA URIBE</v>
      </c>
      <c r="EP602" s="350"/>
      <c r="EQ602" s="350" t="s">
        <v>4407</v>
      </c>
      <c r="ER602" s="358" t="s">
        <v>4408</v>
      </c>
      <c r="ES602" s="350" t="s">
        <v>5265</v>
      </c>
      <c r="ET602" s="350" t="s">
        <v>3262</v>
      </c>
      <c r="EU602" s="350" t="str">
        <f t="shared" si="80"/>
        <v>Choco_Jurado</v>
      </c>
    </row>
    <row r="603" spans="1:151" ht="51" x14ac:dyDescent="0.2">
      <c r="A603" s="242">
        <v>40325</v>
      </c>
      <c r="B603" s="107" t="s">
        <v>1336</v>
      </c>
      <c r="C603" s="107" t="s">
        <v>645</v>
      </c>
      <c r="D603" s="427" t="s">
        <v>2307</v>
      </c>
      <c r="E603" s="107" t="str">
        <f>VLOOKUP(B603&amp;C603,Divipola!$C$2:$F$1138,4,FALSE)</f>
        <v>54109</v>
      </c>
      <c r="F603" s="330"/>
      <c r="G603" s="224"/>
      <c r="H603" s="75"/>
      <c r="I603" s="75"/>
      <c r="J603" s="75">
        <f>71*5</f>
        <v>355</v>
      </c>
      <c r="K603" s="75">
        <f>260-2-187</f>
        <v>71</v>
      </c>
      <c r="L603" s="75"/>
      <c r="M603" s="75"/>
      <c r="N603" s="75">
        <v>1</v>
      </c>
      <c r="O603" s="75"/>
      <c r="P603" s="75"/>
      <c r="Q603" s="75"/>
      <c r="R603" s="75"/>
      <c r="S603" s="75"/>
      <c r="T603" s="75"/>
      <c r="U603" s="75"/>
      <c r="V603" s="76"/>
      <c r="W603" s="205"/>
      <c r="X603" s="1"/>
      <c r="Y603" s="78">
        <f t="shared" si="74"/>
        <v>0</v>
      </c>
      <c r="Z603" s="78">
        <f t="shared" si="75"/>
        <v>0</v>
      </c>
      <c r="AA603" s="78">
        <f t="shared" si="76"/>
        <v>0</v>
      </c>
      <c r="AB603" s="78">
        <f t="shared" si="77"/>
        <v>0</v>
      </c>
      <c r="AC603" s="78"/>
      <c r="AD603" s="78">
        <v>0</v>
      </c>
      <c r="AE603" s="80">
        <f t="shared" si="79"/>
        <v>0</v>
      </c>
      <c r="AF603" s="82">
        <v>0</v>
      </c>
      <c r="AG603" s="69">
        <v>40326</v>
      </c>
      <c r="AH603" s="84"/>
      <c r="AI603" s="69" t="s">
        <v>1984</v>
      </c>
      <c r="AJ603" s="25" t="s">
        <v>1985</v>
      </c>
      <c r="AK603" s="65"/>
      <c r="AL603" s="185" t="s">
        <v>1257</v>
      </c>
      <c r="AM603" s="85" t="s">
        <v>646</v>
      </c>
      <c r="AN603" s="3"/>
      <c r="AO603" s="4"/>
      <c r="AP603" s="5"/>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6"/>
      <c r="CQ603" s="7"/>
      <c r="CR603" s="6"/>
      <c r="CS603" s="7"/>
      <c r="CT603" s="6"/>
      <c r="CU603" s="7"/>
      <c r="CV603" s="8">
        <f t="shared" si="78"/>
        <v>0</v>
      </c>
      <c r="CW603" s="9"/>
      <c r="CX603" s="10"/>
      <c r="CY603" s="11"/>
      <c r="CZ603" s="12"/>
      <c r="DA603" s="29"/>
      <c r="DB603" s="12"/>
      <c r="DC603" s="9"/>
      <c r="DD603" s="10"/>
      <c r="DE603" s="71"/>
      <c r="EO603" s="353" t="str">
        <f t="shared" si="73"/>
        <v>NORTE DE SANTANDER_BUCARASICA</v>
      </c>
      <c r="EP603" s="350"/>
      <c r="EQ603" s="350" t="s">
        <v>4407</v>
      </c>
      <c r="ER603" s="358" t="s">
        <v>4408</v>
      </c>
      <c r="ES603" s="350" t="s">
        <v>5266</v>
      </c>
      <c r="ET603" s="350" t="s">
        <v>3263</v>
      </c>
      <c r="EU603" s="350" t="str">
        <f t="shared" si="80"/>
        <v>Choco_Lloro</v>
      </c>
    </row>
    <row r="604" spans="1:151" ht="51" x14ac:dyDescent="0.2">
      <c r="A604" s="242">
        <v>40325</v>
      </c>
      <c r="B604" s="107" t="s">
        <v>2427</v>
      </c>
      <c r="C604" s="107" t="s">
        <v>1457</v>
      </c>
      <c r="D604" s="427" t="s">
        <v>2307</v>
      </c>
      <c r="E604" s="107" t="str">
        <f>VLOOKUP(B604&amp;C604,Divipola!$C$2:$F$1138,4,FALSE)</f>
        <v>68081</v>
      </c>
      <c r="F604" s="330"/>
      <c r="G604" s="277"/>
      <c r="H604" s="75"/>
      <c r="I604" s="75"/>
      <c r="J604" s="75">
        <v>11</v>
      </c>
      <c r="K604" s="75">
        <v>3</v>
      </c>
      <c r="L604" s="75"/>
      <c r="M604" s="75"/>
      <c r="N604" s="75"/>
      <c r="O604" s="75"/>
      <c r="P604" s="75"/>
      <c r="Q604" s="75"/>
      <c r="R604" s="75"/>
      <c r="S604" s="75"/>
      <c r="T604" s="75"/>
      <c r="U604" s="75"/>
      <c r="V604" s="76"/>
      <c r="W604" s="205"/>
      <c r="X604" s="1"/>
      <c r="Y604" s="78">
        <f t="shared" si="74"/>
        <v>0</v>
      </c>
      <c r="Z604" s="78">
        <f t="shared" si="75"/>
        <v>0</v>
      </c>
      <c r="AA604" s="78">
        <f t="shared" si="76"/>
        <v>0</v>
      </c>
      <c r="AB604" s="78">
        <f t="shared" si="77"/>
        <v>0</v>
      </c>
      <c r="AC604" s="78"/>
      <c r="AD604" s="78">
        <v>0</v>
      </c>
      <c r="AE604" s="80">
        <f t="shared" si="79"/>
        <v>0</v>
      </c>
      <c r="AF604" s="82">
        <v>0</v>
      </c>
      <c r="AG604" s="69">
        <v>40331</v>
      </c>
      <c r="AH604" s="84">
        <v>38854</v>
      </c>
      <c r="AI604" s="69" t="s">
        <v>2009</v>
      </c>
      <c r="AJ604" s="25" t="s">
        <v>2010</v>
      </c>
      <c r="AK604" s="65"/>
      <c r="AL604" s="214" t="s">
        <v>1183</v>
      </c>
      <c r="AM604" s="85" t="s">
        <v>499</v>
      </c>
      <c r="AN604" s="3"/>
      <c r="AO604" s="4"/>
      <c r="AP604" s="5"/>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6"/>
      <c r="CQ604" s="7"/>
      <c r="CR604" s="6"/>
      <c r="CS604" s="7"/>
      <c r="CT604" s="6"/>
      <c r="CU604" s="7"/>
      <c r="CV604" s="8">
        <f t="shared" si="78"/>
        <v>0</v>
      </c>
      <c r="CW604" s="9"/>
      <c r="CX604" s="10"/>
      <c r="CY604" s="11"/>
      <c r="CZ604" s="12"/>
      <c r="DA604" s="29"/>
      <c r="DB604" s="12"/>
      <c r="DC604" s="9"/>
      <c r="DD604" s="10"/>
      <c r="DE604" s="71"/>
      <c r="EO604" s="353" t="str">
        <f t="shared" si="73"/>
        <v>SANTANDER_BARRANCABERMEJA</v>
      </c>
      <c r="EP604" s="350"/>
      <c r="EQ604" s="350" t="s">
        <v>4407</v>
      </c>
      <c r="ER604" s="358" t="s">
        <v>4408</v>
      </c>
      <c r="ES604" s="350" t="s">
        <v>5267</v>
      </c>
      <c r="ET604" s="350" t="s">
        <v>3264</v>
      </c>
      <c r="EU604" s="350" t="str">
        <f t="shared" si="80"/>
        <v>Choco_Medio Atrato</v>
      </c>
    </row>
    <row r="605" spans="1:151" ht="38.25" x14ac:dyDescent="0.2">
      <c r="A605" s="242">
        <v>40325</v>
      </c>
      <c r="B605" s="107" t="s">
        <v>2427</v>
      </c>
      <c r="C605" s="107" t="s">
        <v>628</v>
      </c>
      <c r="D605" s="427" t="s">
        <v>837</v>
      </c>
      <c r="E605" s="107" t="str">
        <f>VLOOKUP(B605&amp;C605,Divipola!$C$2:$F$1138,4,FALSE)</f>
        <v>68001</v>
      </c>
      <c r="F605" s="330"/>
      <c r="G605" s="277"/>
      <c r="H605" s="75"/>
      <c r="I605" s="75"/>
      <c r="J605" s="75">
        <f>1145*5</f>
        <v>5725</v>
      </c>
      <c r="K605" s="75">
        <f>1200-55</f>
        <v>1145</v>
      </c>
      <c r="L605" s="75">
        <v>320</v>
      </c>
      <c r="M605" s="75">
        <f>450-15-5-33</f>
        <v>397</v>
      </c>
      <c r="N605" s="75"/>
      <c r="O605" s="75"/>
      <c r="P605" s="75"/>
      <c r="Q605" s="75">
        <v>5</v>
      </c>
      <c r="R605" s="75"/>
      <c r="S605" s="75"/>
      <c r="T605" s="75"/>
      <c r="U605" s="75"/>
      <c r="V605" s="76">
        <v>200</v>
      </c>
      <c r="W605" s="205"/>
      <c r="X605" s="1"/>
      <c r="Y605" s="78">
        <f t="shared" si="74"/>
        <v>0</v>
      </c>
      <c r="Z605" s="78">
        <f t="shared" si="75"/>
        <v>0</v>
      </c>
      <c r="AA605" s="78">
        <f t="shared" si="76"/>
        <v>0</v>
      </c>
      <c r="AB605" s="78">
        <f t="shared" si="77"/>
        <v>0</v>
      </c>
      <c r="AC605" s="78"/>
      <c r="AD605" s="78">
        <v>0</v>
      </c>
      <c r="AE605" s="80">
        <f t="shared" si="79"/>
        <v>0</v>
      </c>
      <c r="AF605" s="82">
        <v>0</v>
      </c>
      <c r="AG605" s="69">
        <v>40326</v>
      </c>
      <c r="AH605" s="84">
        <v>38584</v>
      </c>
      <c r="AI605" s="69" t="s">
        <v>2009</v>
      </c>
      <c r="AJ605" s="25" t="s">
        <v>2010</v>
      </c>
      <c r="AK605" s="65"/>
      <c r="AL605" s="214" t="s">
        <v>1183</v>
      </c>
      <c r="AM605" s="85" t="s">
        <v>1391</v>
      </c>
      <c r="AN605" s="3"/>
      <c r="AO605" s="4"/>
      <c r="AP605" s="5"/>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6"/>
      <c r="CQ605" s="7"/>
      <c r="CR605" s="6"/>
      <c r="CS605" s="7"/>
      <c r="CT605" s="6"/>
      <c r="CU605" s="7"/>
      <c r="CV605" s="8">
        <f t="shared" si="78"/>
        <v>0</v>
      </c>
      <c r="CW605" s="9"/>
      <c r="CX605" s="10"/>
      <c r="CY605" s="11"/>
      <c r="CZ605" s="12"/>
      <c r="DA605" s="29"/>
      <c r="DB605" s="12"/>
      <c r="DC605" s="9"/>
      <c r="DD605" s="10"/>
      <c r="DE605" s="71"/>
      <c r="EO605" s="353" t="str">
        <f t="shared" si="73"/>
        <v>SANTANDER_BUCARAMANGA</v>
      </c>
      <c r="EP605" s="350"/>
      <c r="EQ605" s="350" t="s">
        <v>4407</v>
      </c>
      <c r="ER605" s="358" t="s">
        <v>4408</v>
      </c>
      <c r="ES605" s="350" t="s">
        <v>5268</v>
      </c>
      <c r="ET605" s="350" t="s">
        <v>3265</v>
      </c>
      <c r="EU605" s="350" t="str">
        <f t="shared" si="80"/>
        <v>Choco_Medio Baudo</v>
      </c>
    </row>
    <row r="606" spans="1:151" ht="25.5" x14ac:dyDescent="0.2">
      <c r="A606" s="242">
        <v>40326</v>
      </c>
      <c r="B606" s="107" t="s">
        <v>2791</v>
      </c>
      <c r="C606" s="107" t="s">
        <v>264</v>
      </c>
      <c r="D606" s="427" t="s">
        <v>837</v>
      </c>
      <c r="E606" s="107" t="str">
        <f>VLOOKUP(B606&amp;C606,Divipola!$C$2:$F$1138,4,FALSE)</f>
        <v>73319</v>
      </c>
      <c r="F606" s="330"/>
      <c r="G606" s="224"/>
      <c r="H606" s="75"/>
      <c r="I606" s="75"/>
      <c r="J606" s="75">
        <v>550</v>
      </c>
      <c r="K606" s="75">
        <v>110</v>
      </c>
      <c r="L606" s="75"/>
      <c r="M606" s="75">
        <v>110</v>
      </c>
      <c r="N606" s="75"/>
      <c r="O606" s="75"/>
      <c r="P606" s="75"/>
      <c r="Q606" s="75"/>
      <c r="R606" s="75"/>
      <c r="S606" s="75"/>
      <c r="T606" s="75"/>
      <c r="U606" s="75"/>
      <c r="V606" s="76"/>
      <c r="W606" s="205"/>
      <c r="X606" s="1"/>
      <c r="Y606" s="78">
        <f t="shared" si="74"/>
        <v>0</v>
      </c>
      <c r="Z606" s="78">
        <f t="shared" si="75"/>
        <v>0</v>
      </c>
      <c r="AA606" s="78">
        <f t="shared" si="76"/>
        <v>0</v>
      </c>
      <c r="AB606" s="78">
        <f t="shared" si="77"/>
        <v>0</v>
      </c>
      <c r="AC606" s="78"/>
      <c r="AD606" s="78">
        <v>0</v>
      </c>
      <c r="AE606" s="80">
        <f t="shared" si="79"/>
        <v>0</v>
      </c>
      <c r="AF606" s="82">
        <v>0</v>
      </c>
      <c r="AG606" s="69">
        <v>40331</v>
      </c>
      <c r="AH606" s="84"/>
      <c r="AI606" s="69" t="s">
        <v>1984</v>
      </c>
      <c r="AJ606" s="25" t="s">
        <v>1985</v>
      </c>
      <c r="AK606" s="65"/>
      <c r="AL606" s="185" t="s">
        <v>1257</v>
      </c>
      <c r="AM606" s="85" t="s">
        <v>1458</v>
      </c>
      <c r="AN606" s="3"/>
      <c r="AO606" s="4"/>
      <c r="AP606" s="5"/>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6"/>
      <c r="CQ606" s="7"/>
      <c r="CR606" s="6"/>
      <c r="CS606" s="7"/>
      <c r="CT606" s="6"/>
      <c r="CU606" s="7"/>
      <c r="CV606" s="8">
        <f t="shared" si="78"/>
        <v>0</v>
      </c>
      <c r="CW606" s="9"/>
      <c r="CX606" s="10"/>
      <c r="CY606" s="11"/>
      <c r="CZ606" s="12"/>
      <c r="DA606" s="29"/>
      <c r="DB606" s="12"/>
      <c r="DC606" s="9"/>
      <c r="DD606" s="10"/>
      <c r="DE606" s="71"/>
      <c r="EO606" s="353" t="str">
        <f t="shared" si="73"/>
        <v>TOLIMA_GUAMO</v>
      </c>
      <c r="EP606" s="350"/>
      <c r="EQ606" s="350" t="s">
        <v>4407</v>
      </c>
      <c r="ER606" s="358" t="s">
        <v>4408</v>
      </c>
      <c r="ES606" s="350" t="s">
        <v>5269</v>
      </c>
      <c r="ET606" s="350" t="s">
        <v>3266</v>
      </c>
      <c r="EU606" s="350" t="str">
        <f t="shared" si="80"/>
        <v>Choco_Medio San Juan</v>
      </c>
    </row>
    <row r="607" spans="1:151" ht="25.5" x14ac:dyDescent="0.2">
      <c r="A607" s="242">
        <v>40326</v>
      </c>
      <c r="B607" s="107" t="s">
        <v>2791</v>
      </c>
      <c r="C607" s="107" t="s">
        <v>642</v>
      </c>
      <c r="D607" s="427" t="s">
        <v>837</v>
      </c>
      <c r="E607" s="107" t="str">
        <f>VLOOKUP(B607&amp;C607,Divipola!$C$2:$F$1138,4,FALSE)</f>
        <v>73349</v>
      </c>
      <c r="F607" s="330"/>
      <c r="G607" s="224"/>
      <c r="H607" s="75"/>
      <c r="I607" s="75"/>
      <c r="J607" s="75"/>
      <c r="K607" s="75"/>
      <c r="L607" s="75"/>
      <c r="M607" s="75"/>
      <c r="N607" s="75"/>
      <c r="O607" s="75"/>
      <c r="P607" s="75"/>
      <c r="Q607" s="75"/>
      <c r="R607" s="75"/>
      <c r="S607" s="75"/>
      <c r="T607" s="75"/>
      <c r="U607" s="75"/>
      <c r="V607" s="76"/>
      <c r="W607" s="205"/>
      <c r="X607" s="1"/>
      <c r="Y607" s="78">
        <f t="shared" si="74"/>
        <v>0</v>
      </c>
      <c r="Z607" s="78">
        <f t="shared" si="75"/>
        <v>0</v>
      </c>
      <c r="AA607" s="78">
        <f t="shared" si="76"/>
        <v>0</v>
      </c>
      <c r="AB607" s="78">
        <f t="shared" si="77"/>
        <v>0</v>
      </c>
      <c r="AC607" s="78"/>
      <c r="AD607" s="78">
        <v>0</v>
      </c>
      <c r="AE607" s="80">
        <f t="shared" si="79"/>
        <v>0</v>
      </c>
      <c r="AF607" s="82">
        <v>0</v>
      </c>
      <c r="AG607" s="69">
        <v>40326</v>
      </c>
      <c r="AH607" s="84"/>
      <c r="AI607" s="69" t="s">
        <v>1984</v>
      </c>
      <c r="AJ607" s="25" t="s">
        <v>1985</v>
      </c>
      <c r="AK607" s="65"/>
      <c r="AL607" s="185" t="s">
        <v>1257</v>
      </c>
      <c r="AM607" s="85" t="s">
        <v>643</v>
      </c>
      <c r="AN607" s="3"/>
      <c r="AO607" s="4"/>
      <c r="AP607" s="5"/>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6"/>
      <c r="CQ607" s="7"/>
      <c r="CR607" s="6"/>
      <c r="CS607" s="7"/>
      <c r="CT607" s="6"/>
      <c r="CU607" s="7"/>
      <c r="CV607" s="8">
        <f t="shared" si="78"/>
        <v>0</v>
      </c>
      <c r="CW607" s="9"/>
      <c r="CX607" s="10"/>
      <c r="CY607" s="11"/>
      <c r="CZ607" s="12"/>
      <c r="DA607" s="29"/>
      <c r="DB607" s="12"/>
      <c r="DC607" s="9"/>
      <c r="DD607" s="10"/>
      <c r="DE607" s="71"/>
      <c r="EO607" s="353" t="str">
        <f t="shared" si="73"/>
        <v>TOLIMA_HONDA</v>
      </c>
      <c r="EP607" s="350"/>
      <c r="EQ607" s="350" t="s">
        <v>4407</v>
      </c>
      <c r="ER607" s="358" t="s">
        <v>4408</v>
      </c>
      <c r="ES607" s="350" t="s">
        <v>5270</v>
      </c>
      <c r="ET607" s="350" t="s">
        <v>3267</v>
      </c>
      <c r="EU607" s="350" t="str">
        <f t="shared" si="80"/>
        <v>Choco_Novita</v>
      </c>
    </row>
    <row r="608" spans="1:151" ht="38.25" x14ac:dyDescent="0.2">
      <c r="A608" s="242">
        <v>40326.982638888891</v>
      </c>
      <c r="B608" s="107" t="s">
        <v>6305</v>
      </c>
      <c r="C608" s="107" t="s">
        <v>6305</v>
      </c>
      <c r="D608" s="430" t="s">
        <v>2307</v>
      </c>
      <c r="E608" s="107" t="str">
        <f>VLOOKUP(B608&amp;C608,Divipola!$C$2:$F$1138,4,FALSE)</f>
        <v>11001</v>
      </c>
      <c r="F608" s="333"/>
      <c r="G608" s="221"/>
      <c r="H608" s="157"/>
      <c r="I608" s="157"/>
      <c r="J608" s="157">
        <v>88</v>
      </c>
      <c r="K608" s="414">
        <v>22</v>
      </c>
      <c r="L608" s="157"/>
      <c r="M608" s="157"/>
      <c r="N608" s="157"/>
      <c r="O608" s="157"/>
      <c r="P608" s="157"/>
      <c r="Q608" s="157"/>
      <c r="R608" s="157"/>
      <c r="S608" s="157"/>
      <c r="T608" s="157"/>
      <c r="U608" s="157"/>
      <c r="V608" s="158"/>
      <c r="W608" s="182"/>
      <c r="X608" s="1"/>
      <c r="Y608" s="78">
        <f t="shared" si="74"/>
        <v>0</v>
      </c>
      <c r="Z608" s="78">
        <f t="shared" si="75"/>
        <v>0</v>
      </c>
      <c r="AA608" s="78">
        <f t="shared" si="76"/>
        <v>0</v>
      </c>
      <c r="AB608" s="78">
        <f t="shared" si="77"/>
        <v>0</v>
      </c>
      <c r="AC608" s="78"/>
      <c r="AD608" s="78">
        <v>0</v>
      </c>
      <c r="AE608" s="80">
        <f t="shared" si="79"/>
        <v>0</v>
      </c>
      <c r="AF608" s="82">
        <v>0</v>
      </c>
      <c r="AG608" s="306">
        <v>40624</v>
      </c>
      <c r="AH608" s="307"/>
      <c r="AI608" s="306" t="s">
        <v>1984</v>
      </c>
      <c r="AJ608" s="308" t="s">
        <v>1985</v>
      </c>
      <c r="AK608" s="309"/>
      <c r="AL608" s="310" t="s">
        <v>1257</v>
      </c>
      <c r="AM608" s="419" t="s">
        <v>3753</v>
      </c>
      <c r="AN608" s="159"/>
      <c r="AO608" s="160"/>
      <c r="AP608" s="161"/>
      <c r="AQ608" s="160"/>
      <c r="AR608" s="160"/>
      <c r="AS608" s="160"/>
      <c r="AT608" s="160"/>
      <c r="AU608" s="160"/>
      <c r="AV608" s="160"/>
      <c r="AW608" s="160"/>
      <c r="AX608" s="160"/>
      <c r="AY608" s="160"/>
      <c r="AZ608" s="160"/>
      <c r="BA608" s="160"/>
      <c r="BB608" s="160"/>
      <c r="BC608" s="160"/>
      <c r="BD608" s="160"/>
      <c r="BE608" s="160"/>
      <c r="BF608" s="160"/>
      <c r="BG608" s="160"/>
      <c r="BH608" s="160"/>
      <c r="BI608" s="160"/>
      <c r="BJ608" s="160"/>
      <c r="BK608" s="160"/>
      <c r="BL608" s="160"/>
      <c r="BM608" s="160"/>
      <c r="BN608" s="160"/>
      <c r="BO608" s="160"/>
      <c r="BP608" s="160"/>
      <c r="BQ608" s="160"/>
      <c r="BR608" s="160"/>
      <c r="BS608" s="160"/>
      <c r="BT608" s="160"/>
      <c r="BU608" s="160"/>
      <c r="BV608" s="160"/>
      <c r="BW608" s="160"/>
      <c r="BX608" s="160"/>
      <c r="BY608" s="160"/>
      <c r="BZ608" s="160"/>
      <c r="CA608" s="160"/>
      <c r="CB608" s="160"/>
      <c r="CC608" s="160"/>
      <c r="CD608" s="160"/>
      <c r="CE608" s="160"/>
      <c r="CF608" s="160"/>
      <c r="CG608" s="160"/>
      <c r="CH608" s="160"/>
      <c r="CI608" s="160"/>
      <c r="CJ608" s="160"/>
      <c r="CK608" s="160"/>
      <c r="CL608" s="160"/>
      <c r="CM608" s="160"/>
      <c r="CN608" s="160"/>
      <c r="CO608" s="160"/>
      <c r="CP608" s="162"/>
      <c r="CQ608" s="163"/>
      <c r="CR608" s="162"/>
      <c r="CS608" s="163"/>
      <c r="CT608" s="162"/>
      <c r="CU608" s="163"/>
      <c r="CV608" s="164">
        <f t="shared" si="78"/>
        <v>0</v>
      </c>
      <c r="CW608" s="165"/>
      <c r="CX608" s="166"/>
      <c r="CY608" s="167"/>
      <c r="CZ608" s="168"/>
      <c r="DA608" s="169"/>
      <c r="DB608" s="168"/>
      <c r="DC608" s="165"/>
      <c r="DD608" s="166"/>
      <c r="DE608" s="71"/>
      <c r="DF608" s="170"/>
      <c r="EO608" s="353" t="str">
        <f t="shared" si="73"/>
        <v>BOGOTA, D.C._BOGOTA, D.C.</v>
      </c>
      <c r="EP608" s="350"/>
      <c r="EQ608" s="350" t="s">
        <v>4407</v>
      </c>
      <c r="ER608" s="358" t="s">
        <v>4408</v>
      </c>
      <c r="ES608" s="350" t="s">
        <v>5271</v>
      </c>
      <c r="ET608" s="350" t="s">
        <v>3268</v>
      </c>
      <c r="EU608" s="350" t="str">
        <f t="shared" si="80"/>
        <v>Choco_Nuqui</v>
      </c>
    </row>
    <row r="609" spans="1:151" ht="25.5" x14ac:dyDescent="0.2">
      <c r="A609" s="246">
        <v>40327</v>
      </c>
      <c r="B609" s="238" t="s">
        <v>2401</v>
      </c>
      <c r="C609" s="238" t="s">
        <v>1203</v>
      </c>
      <c r="D609" s="431" t="s">
        <v>837</v>
      </c>
      <c r="E609" s="107" t="str">
        <f>VLOOKUP(B609&amp;C609,Divipola!$C$2:$F$1138,4,FALSE)</f>
        <v>05031</v>
      </c>
      <c r="F609" s="334"/>
      <c r="G609" s="224"/>
      <c r="H609" s="75"/>
      <c r="I609" s="75"/>
      <c r="J609" s="75">
        <v>132</v>
      </c>
      <c r="K609" s="112">
        <v>29</v>
      </c>
      <c r="L609" s="75">
        <v>2</v>
      </c>
      <c r="M609" s="75">
        <v>5</v>
      </c>
      <c r="N609" s="75"/>
      <c r="O609" s="75"/>
      <c r="P609" s="75"/>
      <c r="Q609" s="75"/>
      <c r="R609" s="75"/>
      <c r="S609" s="75"/>
      <c r="T609" s="75"/>
      <c r="U609" s="75"/>
      <c r="V609" s="76"/>
      <c r="W609" s="205"/>
      <c r="X609" s="1"/>
      <c r="Y609" s="78">
        <f t="shared" si="74"/>
        <v>0</v>
      </c>
      <c r="Z609" s="78">
        <f t="shared" si="75"/>
        <v>0</v>
      </c>
      <c r="AA609" s="78">
        <f t="shared" si="76"/>
        <v>0</v>
      </c>
      <c r="AB609" s="78">
        <f t="shared" si="77"/>
        <v>0</v>
      </c>
      <c r="AC609" s="78"/>
      <c r="AD609" s="78">
        <v>0</v>
      </c>
      <c r="AE609" s="80">
        <f t="shared" si="79"/>
        <v>0</v>
      </c>
      <c r="AF609" s="82">
        <v>0</v>
      </c>
      <c r="AG609" s="69">
        <v>40329</v>
      </c>
      <c r="AH609" s="84"/>
      <c r="AI609" s="69" t="s">
        <v>1984</v>
      </c>
      <c r="AJ609" s="25" t="s">
        <v>1985</v>
      </c>
      <c r="AK609" s="65"/>
      <c r="AL609" s="185" t="s">
        <v>1257</v>
      </c>
      <c r="AM609" s="85" t="s">
        <v>1204</v>
      </c>
      <c r="AN609" s="3"/>
      <c r="AO609" s="4"/>
      <c r="AP609" s="5"/>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6"/>
      <c r="CQ609" s="7"/>
      <c r="CR609" s="6"/>
      <c r="CS609" s="7"/>
      <c r="CT609" s="6"/>
      <c r="CU609" s="7"/>
      <c r="CV609" s="8">
        <f t="shared" si="78"/>
        <v>0</v>
      </c>
      <c r="CW609" s="9"/>
      <c r="CX609" s="10"/>
      <c r="CY609" s="11"/>
      <c r="CZ609" s="12"/>
      <c r="DA609" s="29"/>
      <c r="DB609" s="12"/>
      <c r="DC609" s="9"/>
      <c r="DD609" s="10"/>
      <c r="DE609" s="71"/>
      <c r="EO609" s="353" t="str">
        <f t="shared" si="73"/>
        <v>ANTIOQUIA_AMALFI</v>
      </c>
      <c r="EP609" s="350"/>
      <c r="EQ609" s="350" t="s">
        <v>4407</v>
      </c>
      <c r="ER609" s="358" t="s">
        <v>4408</v>
      </c>
      <c r="ES609" s="350" t="s">
        <v>5272</v>
      </c>
      <c r="ET609" s="350" t="s">
        <v>3269</v>
      </c>
      <c r="EU609" s="350" t="str">
        <f t="shared" si="80"/>
        <v>Choco_Rio Iro</v>
      </c>
    </row>
    <row r="610" spans="1:151" ht="25.5" x14ac:dyDescent="0.2">
      <c r="A610" s="246">
        <v>40327</v>
      </c>
      <c r="B610" s="238" t="s">
        <v>2401</v>
      </c>
      <c r="C610" s="238" t="s">
        <v>1205</v>
      </c>
      <c r="D610" s="431" t="s">
        <v>837</v>
      </c>
      <c r="E610" s="107" t="str">
        <f>VLOOKUP(B610&amp;C610,Divipola!$C$2:$F$1138,4,FALSE)</f>
        <v>05040</v>
      </c>
      <c r="F610" s="334"/>
      <c r="G610" s="224"/>
      <c r="H610" s="75"/>
      <c r="I610" s="75"/>
      <c r="J610" s="75">
        <v>50</v>
      </c>
      <c r="K610" s="75">
        <v>10</v>
      </c>
      <c r="L610" s="75"/>
      <c r="M610" s="75">
        <v>10</v>
      </c>
      <c r="N610" s="75"/>
      <c r="O610" s="75"/>
      <c r="P610" s="75"/>
      <c r="Q610" s="75"/>
      <c r="R610" s="75"/>
      <c r="S610" s="75"/>
      <c r="T610" s="75"/>
      <c r="U610" s="75"/>
      <c r="V610" s="76"/>
      <c r="W610" s="205"/>
      <c r="X610" s="1"/>
      <c r="Y610" s="78">
        <f t="shared" si="74"/>
        <v>0</v>
      </c>
      <c r="Z610" s="78">
        <f t="shared" si="75"/>
        <v>0</v>
      </c>
      <c r="AA610" s="78">
        <f t="shared" si="76"/>
        <v>0</v>
      </c>
      <c r="AB610" s="78">
        <f t="shared" si="77"/>
        <v>0</v>
      </c>
      <c r="AC610" s="78"/>
      <c r="AD610" s="78">
        <v>0</v>
      </c>
      <c r="AE610" s="80">
        <f t="shared" si="79"/>
        <v>0</v>
      </c>
      <c r="AF610" s="82">
        <v>0</v>
      </c>
      <c r="AG610" s="69">
        <v>40329</v>
      </c>
      <c r="AH610" s="84"/>
      <c r="AI610" s="69" t="s">
        <v>1984</v>
      </c>
      <c r="AJ610" s="25" t="s">
        <v>1985</v>
      </c>
      <c r="AK610" s="65"/>
      <c r="AL610" s="185" t="s">
        <v>1257</v>
      </c>
      <c r="AM610" s="85" t="s">
        <v>1206</v>
      </c>
      <c r="AN610" s="3"/>
      <c r="AO610" s="4"/>
      <c r="AP610" s="5"/>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6"/>
      <c r="CQ610" s="7"/>
      <c r="CR610" s="6"/>
      <c r="CS610" s="7"/>
      <c r="CT610" s="6"/>
      <c r="CU610" s="7"/>
      <c r="CV610" s="8">
        <f t="shared" si="78"/>
        <v>0</v>
      </c>
      <c r="CW610" s="9"/>
      <c r="CX610" s="10"/>
      <c r="CY610" s="11"/>
      <c r="CZ610" s="12"/>
      <c r="DA610" s="29"/>
      <c r="DB610" s="12"/>
      <c r="DC610" s="9"/>
      <c r="DD610" s="10"/>
      <c r="DE610" s="71"/>
      <c r="EO610" s="353" t="str">
        <f t="shared" si="73"/>
        <v>ANTIOQUIA_ANORI</v>
      </c>
      <c r="EP610" s="350"/>
      <c r="EQ610" s="350" t="s">
        <v>4407</v>
      </c>
      <c r="ER610" s="358" t="s">
        <v>4408</v>
      </c>
      <c r="ES610" s="350" t="s">
        <v>5273</v>
      </c>
      <c r="ET610" s="350" t="s">
        <v>3270</v>
      </c>
      <c r="EU610" s="350" t="str">
        <f t="shared" si="80"/>
        <v>Choco_Rio Quito</v>
      </c>
    </row>
    <row r="611" spans="1:151" ht="51" x14ac:dyDescent="0.2">
      <c r="A611" s="246">
        <v>40327</v>
      </c>
      <c r="B611" s="238" t="s">
        <v>2401</v>
      </c>
      <c r="C611" s="238" t="s">
        <v>4002</v>
      </c>
      <c r="D611" s="431" t="s">
        <v>837</v>
      </c>
      <c r="E611" s="107" t="str">
        <f>VLOOKUP(B611&amp;C611,Divipola!$C$2:$F$1138,4,FALSE)</f>
        <v>05697</v>
      </c>
      <c r="F611" s="334"/>
      <c r="G611" s="224"/>
      <c r="H611" s="75"/>
      <c r="I611" s="75"/>
      <c r="J611" s="75"/>
      <c r="K611" s="75"/>
      <c r="L611" s="75"/>
      <c r="M611" s="75"/>
      <c r="N611" s="75"/>
      <c r="O611" s="75"/>
      <c r="P611" s="75"/>
      <c r="Q611" s="75"/>
      <c r="R611" s="75"/>
      <c r="S611" s="75"/>
      <c r="T611" s="75"/>
      <c r="U611" s="75"/>
      <c r="V611" s="76"/>
      <c r="W611" s="205"/>
      <c r="X611" s="1"/>
      <c r="Y611" s="78">
        <f t="shared" si="74"/>
        <v>0</v>
      </c>
      <c r="Z611" s="78">
        <f t="shared" si="75"/>
        <v>0</v>
      </c>
      <c r="AA611" s="78">
        <f t="shared" si="76"/>
        <v>0</v>
      </c>
      <c r="AB611" s="78">
        <f t="shared" si="77"/>
        <v>0</v>
      </c>
      <c r="AC611" s="78"/>
      <c r="AD611" s="78">
        <v>0</v>
      </c>
      <c r="AE611" s="80">
        <f t="shared" si="79"/>
        <v>0</v>
      </c>
      <c r="AF611" s="82">
        <v>0</v>
      </c>
      <c r="AG611" s="69">
        <v>40329</v>
      </c>
      <c r="AH611" s="84"/>
      <c r="AI611" s="69" t="s">
        <v>1984</v>
      </c>
      <c r="AJ611" s="25" t="s">
        <v>1985</v>
      </c>
      <c r="AK611" s="65"/>
      <c r="AL611" s="185" t="s">
        <v>1257</v>
      </c>
      <c r="AM611" s="85" t="s">
        <v>1207</v>
      </c>
      <c r="AN611" s="3"/>
      <c r="AO611" s="4"/>
      <c r="AP611" s="5"/>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6"/>
      <c r="CQ611" s="7"/>
      <c r="CR611" s="6"/>
      <c r="CS611" s="7"/>
      <c r="CT611" s="6"/>
      <c r="CU611" s="7"/>
      <c r="CV611" s="8">
        <f t="shared" si="78"/>
        <v>0</v>
      </c>
      <c r="CW611" s="9"/>
      <c r="CX611" s="10"/>
      <c r="CY611" s="11"/>
      <c r="CZ611" s="12"/>
      <c r="DA611" s="29"/>
      <c r="DB611" s="12"/>
      <c r="DC611" s="9"/>
      <c r="DD611" s="10"/>
      <c r="DE611" s="71"/>
      <c r="EO611" s="353" t="str">
        <f t="shared" si="73"/>
        <v>ANTIOQUIA_EL SANTUARIO</v>
      </c>
      <c r="EP611" s="350"/>
      <c r="EQ611" s="350" t="s">
        <v>4407</v>
      </c>
      <c r="ER611" s="358" t="s">
        <v>4408</v>
      </c>
      <c r="ES611" s="350" t="s">
        <v>5274</v>
      </c>
      <c r="ET611" s="350" t="s">
        <v>6158</v>
      </c>
      <c r="EU611" s="350" t="str">
        <f t="shared" si="80"/>
        <v>Choco_Riosucio</v>
      </c>
    </row>
    <row r="612" spans="1:151" ht="38.25" x14ac:dyDescent="0.2">
      <c r="A612" s="242">
        <v>40327</v>
      </c>
      <c r="B612" s="107" t="s">
        <v>5778</v>
      </c>
      <c r="C612" s="107" t="s">
        <v>1332</v>
      </c>
      <c r="D612" s="427" t="s">
        <v>837</v>
      </c>
      <c r="E612" s="107" t="str">
        <f>VLOOKUP(B612&amp;C612,Divipola!$C$2:$F$1138,4,FALSE)</f>
        <v>44847</v>
      </c>
      <c r="F612" s="330"/>
      <c r="G612" s="224">
        <v>3</v>
      </c>
      <c r="H612" s="75"/>
      <c r="I612" s="75">
        <v>2</v>
      </c>
      <c r="J612" s="75"/>
      <c r="K612" s="75"/>
      <c r="L612" s="75"/>
      <c r="M612" s="75"/>
      <c r="N612" s="75"/>
      <c r="O612" s="75"/>
      <c r="P612" s="75"/>
      <c r="Q612" s="75"/>
      <c r="R612" s="75"/>
      <c r="S612" s="75"/>
      <c r="T612" s="75"/>
      <c r="U612" s="75"/>
      <c r="V612" s="76"/>
      <c r="W612" s="205"/>
      <c r="X612" s="1"/>
      <c r="Y612" s="78">
        <f t="shared" si="74"/>
        <v>0</v>
      </c>
      <c r="Z612" s="78">
        <f t="shared" si="75"/>
        <v>0</v>
      </c>
      <c r="AA612" s="78">
        <f t="shared" si="76"/>
        <v>0</v>
      </c>
      <c r="AB612" s="78">
        <f t="shared" si="77"/>
        <v>0</v>
      </c>
      <c r="AC612" s="78"/>
      <c r="AD612" s="78">
        <v>0</v>
      </c>
      <c r="AE612" s="80">
        <f t="shared" si="79"/>
        <v>0</v>
      </c>
      <c r="AF612" s="82">
        <v>0</v>
      </c>
      <c r="AG612" s="69">
        <v>40329</v>
      </c>
      <c r="AH612" s="84"/>
      <c r="AI612" s="69" t="s">
        <v>1984</v>
      </c>
      <c r="AJ612" s="25" t="s">
        <v>1985</v>
      </c>
      <c r="AK612" s="65"/>
      <c r="AL612" s="185" t="s">
        <v>1257</v>
      </c>
      <c r="AM612" s="85" t="s">
        <v>1200</v>
      </c>
      <c r="AN612" s="3"/>
      <c r="AO612" s="4"/>
      <c r="AP612" s="5"/>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6"/>
      <c r="CQ612" s="7"/>
      <c r="CR612" s="6"/>
      <c r="CS612" s="7"/>
      <c r="CT612" s="6"/>
      <c r="CU612" s="7"/>
      <c r="CV612" s="8">
        <f t="shared" si="78"/>
        <v>0</v>
      </c>
      <c r="CW612" s="9"/>
      <c r="CX612" s="10"/>
      <c r="CY612" s="11"/>
      <c r="CZ612" s="12"/>
      <c r="DA612" s="29"/>
      <c r="DB612" s="12"/>
      <c r="DC612" s="9"/>
      <c r="DD612" s="10"/>
      <c r="DE612" s="71"/>
      <c r="EO612" s="353" t="str">
        <f t="shared" si="73"/>
        <v>LA GUAJIRA_URIBIA</v>
      </c>
      <c r="EP612" s="350"/>
      <c r="EQ612" s="350" t="s">
        <v>4407</v>
      </c>
      <c r="ER612" s="358" t="s">
        <v>4408</v>
      </c>
      <c r="ES612" s="350" t="s">
        <v>5275</v>
      </c>
      <c r="ET612" s="350" t="s">
        <v>3271</v>
      </c>
      <c r="EU612" s="350" t="str">
        <f t="shared" si="80"/>
        <v>Choco_San Jose del Palmar</v>
      </c>
    </row>
    <row r="613" spans="1:151" ht="25.5" x14ac:dyDescent="0.2">
      <c r="A613" s="246">
        <v>40328</v>
      </c>
      <c r="B613" s="238" t="s">
        <v>2401</v>
      </c>
      <c r="C613" s="238" t="s">
        <v>1201</v>
      </c>
      <c r="D613" s="431" t="s">
        <v>837</v>
      </c>
      <c r="E613" s="107" t="str">
        <f>VLOOKUP(B613&amp;C613,Divipola!$C$2:$F$1138,4,FALSE)</f>
        <v>05858</v>
      </c>
      <c r="F613" s="334"/>
      <c r="G613" s="224"/>
      <c r="H613" s="75"/>
      <c r="I613" s="75"/>
      <c r="J613" s="75">
        <v>400</v>
      </c>
      <c r="K613" s="75">
        <v>65</v>
      </c>
      <c r="L613" s="75"/>
      <c r="M613" s="75">
        <v>65</v>
      </c>
      <c r="N613" s="75"/>
      <c r="O613" s="75"/>
      <c r="P613" s="75"/>
      <c r="Q613" s="75"/>
      <c r="R613" s="75"/>
      <c r="S613" s="75"/>
      <c r="T613" s="75"/>
      <c r="U613" s="75"/>
      <c r="V613" s="76"/>
      <c r="W613" s="205"/>
      <c r="X613" s="1"/>
      <c r="Y613" s="78">
        <f t="shared" si="74"/>
        <v>0</v>
      </c>
      <c r="Z613" s="78">
        <f t="shared" si="75"/>
        <v>0</v>
      </c>
      <c r="AA613" s="78">
        <f t="shared" si="76"/>
        <v>0</v>
      </c>
      <c r="AB613" s="78">
        <f t="shared" si="77"/>
        <v>0</v>
      </c>
      <c r="AC613" s="78"/>
      <c r="AD613" s="78">
        <v>0</v>
      </c>
      <c r="AE613" s="80">
        <f t="shared" si="79"/>
        <v>0</v>
      </c>
      <c r="AF613" s="82">
        <v>0</v>
      </c>
      <c r="AG613" s="69">
        <v>40329</v>
      </c>
      <c r="AH613" s="84"/>
      <c r="AI613" s="69" t="s">
        <v>1984</v>
      </c>
      <c r="AJ613" s="25" t="s">
        <v>1985</v>
      </c>
      <c r="AK613" s="65"/>
      <c r="AL613" s="185" t="s">
        <v>1257</v>
      </c>
      <c r="AM613" s="85" t="s">
        <v>1202</v>
      </c>
      <c r="AN613" s="3"/>
      <c r="AO613" s="4"/>
      <c r="AP613" s="5"/>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6"/>
      <c r="CQ613" s="7"/>
      <c r="CR613" s="6"/>
      <c r="CS613" s="7"/>
      <c r="CT613" s="6"/>
      <c r="CU613" s="7"/>
      <c r="CV613" s="8">
        <f t="shared" si="78"/>
        <v>0</v>
      </c>
      <c r="CW613" s="9"/>
      <c r="CX613" s="10"/>
      <c r="CY613" s="11"/>
      <c r="CZ613" s="12"/>
      <c r="DA613" s="29"/>
      <c r="DB613" s="12"/>
      <c r="DC613" s="9"/>
      <c r="DD613" s="10"/>
      <c r="DE613" s="71"/>
      <c r="EO613" s="353" t="str">
        <f t="shared" si="73"/>
        <v>ANTIOQUIA_VEGACHI</v>
      </c>
      <c r="EP613" s="350"/>
      <c r="EQ613" s="350" t="s">
        <v>4407</v>
      </c>
      <c r="ER613" s="358" t="s">
        <v>4408</v>
      </c>
      <c r="ES613" s="350" t="s">
        <v>5276</v>
      </c>
      <c r="ET613" s="350" t="s">
        <v>3272</v>
      </c>
      <c r="EU613" s="350" t="str">
        <f t="shared" si="80"/>
        <v>Choco_Sipi</v>
      </c>
    </row>
    <row r="614" spans="1:151" ht="25.5" x14ac:dyDescent="0.2">
      <c r="A614" s="242">
        <v>40328</v>
      </c>
      <c r="B614" s="107" t="s">
        <v>828</v>
      </c>
      <c r="C614" s="107" t="s">
        <v>621</v>
      </c>
      <c r="D614" s="427" t="s">
        <v>837</v>
      </c>
      <c r="E614" s="107" t="str">
        <f>VLOOKUP(B614&amp;C614,Divipola!$C$2:$F$1138,4,FALSE)</f>
        <v>15001</v>
      </c>
      <c r="F614" s="330"/>
      <c r="G614" s="224"/>
      <c r="H614" s="75"/>
      <c r="I614" s="75"/>
      <c r="J614" s="75">
        <v>85</v>
      </c>
      <c r="K614" s="75">
        <v>17</v>
      </c>
      <c r="L614" s="75">
        <v>1</v>
      </c>
      <c r="M614" s="75">
        <v>16</v>
      </c>
      <c r="N614" s="75"/>
      <c r="O614" s="75"/>
      <c r="P614" s="75"/>
      <c r="Q614" s="75"/>
      <c r="R614" s="75"/>
      <c r="S614" s="75"/>
      <c r="T614" s="75"/>
      <c r="U614" s="75"/>
      <c r="V614" s="76"/>
      <c r="W614" s="205"/>
      <c r="X614" s="1"/>
      <c r="Y614" s="78">
        <f t="shared" si="74"/>
        <v>0</v>
      </c>
      <c r="Z614" s="78">
        <f t="shared" si="75"/>
        <v>0</v>
      </c>
      <c r="AA614" s="78">
        <f t="shared" si="76"/>
        <v>0</v>
      </c>
      <c r="AB614" s="78">
        <f t="shared" si="77"/>
        <v>0</v>
      </c>
      <c r="AC614" s="78"/>
      <c r="AD614" s="78">
        <v>0</v>
      </c>
      <c r="AE614" s="80">
        <f t="shared" si="79"/>
        <v>0</v>
      </c>
      <c r="AF614" s="82">
        <v>0</v>
      </c>
      <c r="AG614" s="69">
        <v>40329</v>
      </c>
      <c r="AH614" s="84"/>
      <c r="AI614" s="69" t="s">
        <v>1984</v>
      </c>
      <c r="AJ614" s="25" t="s">
        <v>1985</v>
      </c>
      <c r="AK614" s="65"/>
      <c r="AL614" s="185" t="s">
        <v>1257</v>
      </c>
      <c r="AM614" s="85" t="s">
        <v>1209</v>
      </c>
      <c r="AN614" s="3"/>
      <c r="AO614" s="4"/>
      <c r="AP614" s="5"/>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6"/>
      <c r="CQ614" s="7"/>
      <c r="CR614" s="6"/>
      <c r="CS614" s="7"/>
      <c r="CT614" s="6"/>
      <c r="CU614" s="7"/>
      <c r="CV614" s="8">
        <f t="shared" si="78"/>
        <v>0</v>
      </c>
      <c r="CW614" s="9"/>
      <c r="CX614" s="10"/>
      <c r="CY614" s="11"/>
      <c r="CZ614" s="12"/>
      <c r="DA614" s="29"/>
      <c r="DB614" s="12"/>
      <c r="DC614" s="9"/>
      <c r="DD614" s="10"/>
      <c r="DE614" s="71"/>
      <c r="EO614" s="353" t="str">
        <f t="shared" si="73"/>
        <v>BOYACA_TUNJA</v>
      </c>
      <c r="EP614" s="350"/>
      <c r="EQ614" s="350" t="s">
        <v>4407</v>
      </c>
      <c r="ER614" s="358" t="s">
        <v>4408</v>
      </c>
      <c r="ES614" s="350" t="s">
        <v>5277</v>
      </c>
      <c r="ET614" s="350" t="s">
        <v>3273</v>
      </c>
      <c r="EU614" s="350" t="str">
        <f t="shared" si="80"/>
        <v>Choco_Tado</v>
      </c>
    </row>
    <row r="615" spans="1:151" ht="36" x14ac:dyDescent="0.2">
      <c r="A615" s="242">
        <v>40328</v>
      </c>
      <c r="B615" s="107" t="s">
        <v>3112</v>
      </c>
      <c r="C615" s="107" t="s">
        <v>1535</v>
      </c>
      <c r="D615" s="427" t="s">
        <v>2307</v>
      </c>
      <c r="E615" s="107" t="str">
        <f>VLOOKUP(B615&amp;C615,Divipola!$C$2:$F$1138,4,FALSE)</f>
        <v>18001</v>
      </c>
      <c r="F615" s="330"/>
      <c r="G615" s="224"/>
      <c r="H615" s="75"/>
      <c r="I615" s="75"/>
      <c r="J615" s="75">
        <f>20*5</f>
        <v>100</v>
      </c>
      <c r="K615" s="75">
        <v>20</v>
      </c>
      <c r="L615" s="75">
        <v>12</v>
      </c>
      <c r="M615" s="75">
        <v>8</v>
      </c>
      <c r="N615" s="75"/>
      <c r="O615" s="75"/>
      <c r="P615" s="75"/>
      <c r="Q615" s="75"/>
      <c r="R615" s="75"/>
      <c r="S615" s="75"/>
      <c r="T615" s="75"/>
      <c r="U615" s="75"/>
      <c r="V615" s="76"/>
      <c r="W615" s="205"/>
      <c r="X615" s="1"/>
      <c r="Y615" s="78">
        <f t="shared" si="74"/>
        <v>0</v>
      </c>
      <c r="Z615" s="78">
        <f t="shared" si="75"/>
        <v>0</v>
      </c>
      <c r="AA615" s="78">
        <f t="shared" si="76"/>
        <v>0</v>
      </c>
      <c r="AB615" s="78">
        <f t="shared" si="77"/>
        <v>0</v>
      </c>
      <c r="AC615" s="78"/>
      <c r="AD615" s="78">
        <v>0</v>
      </c>
      <c r="AE615" s="80">
        <f t="shared" si="79"/>
        <v>0</v>
      </c>
      <c r="AF615" s="82">
        <v>0</v>
      </c>
      <c r="AG615" s="69">
        <v>40329</v>
      </c>
      <c r="AH615" s="84"/>
      <c r="AI615" s="69" t="s">
        <v>1984</v>
      </c>
      <c r="AJ615" s="25" t="s">
        <v>1985</v>
      </c>
      <c r="AK615" s="65"/>
      <c r="AL615" s="185" t="s">
        <v>1257</v>
      </c>
      <c r="AM615" s="85" t="s">
        <v>1198</v>
      </c>
      <c r="AN615" s="3"/>
      <c r="AO615" s="4"/>
      <c r="AP615" s="5"/>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6"/>
      <c r="CQ615" s="7"/>
      <c r="CR615" s="6"/>
      <c r="CS615" s="7"/>
      <c r="CT615" s="6"/>
      <c r="CU615" s="7"/>
      <c r="CV615" s="8">
        <f t="shared" si="78"/>
        <v>0</v>
      </c>
      <c r="CW615" s="9"/>
      <c r="CX615" s="10"/>
      <c r="CY615" s="11"/>
      <c r="CZ615" s="12"/>
      <c r="DA615" s="29"/>
      <c r="DB615" s="12"/>
      <c r="DC615" s="9"/>
      <c r="DD615" s="10"/>
      <c r="DE615" s="71"/>
      <c r="EO615" s="353" t="str">
        <f t="shared" si="73"/>
        <v>CAQUETA_FLORENCIA</v>
      </c>
      <c r="EP615" s="350"/>
      <c r="EQ615" s="350" t="s">
        <v>4407</v>
      </c>
      <c r="ER615" s="358" t="s">
        <v>4408</v>
      </c>
      <c r="ES615" s="350" t="s">
        <v>5278</v>
      </c>
      <c r="ET615" s="350" t="s">
        <v>3274</v>
      </c>
      <c r="EU615" s="350" t="str">
        <f t="shared" si="80"/>
        <v>Choco_Unguia</v>
      </c>
    </row>
    <row r="616" spans="1:151" ht="51" x14ac:dyDescent="0.2">
      <c r="A616" s="242">
        <v>40328</v>
      </c>
      <c r="B616" s="107" t="s">
        <v>2007</v>
      </c>
      <c r="C616" s="107" t="s">
        <v>220</v>
      </c>
      <c r="D616" s="427" t="s">
        <v>837</v>
      </c>
      <c r="E616" s="107" t="str">
        <f>VLOOKUP(B616&amp;C616,Divipola!$C$2:$F$1138,4,FALSE)</f>
        <v>25377</v>
      </c>
      <c r="F616" s="330"/>
      <c r="G616" s="224"/>
      <c r="H616" s="75"/>
      <c r="I616" s="75"/>
      <c r="J616" s="75">
        <v>186</v>
      </c>
      <c r="K616" s="75">
        <v>73</v>
      </c>
      <c r="L616" s="75"/>
      <c r="M616" s="75">
        <v>73</v>
      </c>
      <c r="N616" s="75"/>
      <c r="O616" s="75"/>
      <c r="P616" s="75"/>
      <c r="Q616" s="75"/>
      <c r="R616" s="75"/>
      <c r="S616" s="75"/>
      <c r="T616" s="75"/>
      <c r="U616" s="75"/>
      <c r="V616" s="76"/>
      <c r="W616" s="205"/>
      <c r="X616" s="1"/>
      <c r="Y616" s="78">
        <f t="shared" si="74"/>
        <v>0</v>
      </c>
      <c r="Z616" s="78">
        <f t="shared" si="75"/>
        <v>0</v>
      </c>
      <c r="AA616" s="78">
        <f t="shared" si="76"/>
        <v>0</v>
      </c>
      <c r="AB616" s="78">
        <f t="shared" si="77"/>
        <v>0</v>
      </c>
      <c r="AC616" s="78"/>
      <c r="AD616" s="78">
        <v>0</v>
      </c>
      <c r="AE616" s="80">
        <f t="shared" si="79"/>
        <v>0</v>
      </c>
      <c r="AF616" s="82">
        <v>0</v>
      </c>
      <c r="AG616" s="69">
        <v>40329</v>
      </c>
      <c r="AH616" s="84"/>
      <c r="AI616" s="69" t="s">
        <v>1984</v>
      </c>
      <c r="AJ616" s="25" t="s">
        <v>1985</v>
      </c>
      <c r="AK616" s="65"/>
      <c r="AL616" s="185" t="s">
        <v>1257</v>
      </c>
      <c r="AM616" s="85" t="s">
        <v>1199</v>
      </c>
      <c r="AN616" s="3"/>
      <c r="AO616" s="4"/>
      <c r="AP616" s="5"/>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6"/>
      <c r="CQ616" s="7"/>
      <c r="CR616" s="6"/>
      <c r="CS616" s="7"/>
      <c r="CT616" s="6"/>
      <c r="CU616" s="7"/>
      <c r="CV616" s="8">
        <f t="shared" si="78"/>
        <v>0</v>
      </c>
      <c r="CW616" s="9"/>
      <c r="CX616" s="10"/>
      <c r="CY616" s="11"/>
      <c r="CZ616" s="12"/>
      <c r="DA616" s="29"/>
      <c r="DB616" s="12"/>
      <c r="DC616" s="9"/>
      <c r="DD616" s="10"/>
      <c r="DE616" s="71"/>
      <c r="EO616" s="353" t="str">
        <f t="shared" si="73"/>
        <v>CUNDINAMARCA_LA CALERA</v>
      </c>
      <c r="EP616" s="350"/>
      <c r="EQ616" s="350" t="s">
        <v>4407</v>
      </c>
      <c r="ER616" s="358" t="s">
        <v>4408</v>
      </c>
      <c r="ES616" s="350" t="s">
        <v>5279</v>
      </c>
      <c r="ET616" s="350" t="s">
        <v>3275</v>
      </c>
      <c r="EU616" s="350" t="str">
        <f t="shared" si="80"/>
        <v>Choco_Union Panamericana</v>
      </c>
    </row>
    <row r="617" spans="1:151" ht="51" x14ac:dyDescent="0.2">
      <c r="A617" s="242">
        <v>40328</v>
      </c>
      <c r="B617" s="107" t="s">
        <v>2007</v>
      </c>
      <c r="C617" s="107" t="s">
        <v>1322</v>
      </c>
      <c r="D617" s="427" t="s">
        <v>837</v>
      </c>
      <c r="E617" s="107" t="str">
        <f>VLOOKUP(B617&amp;C617,Divipola!$C$2:$F$1138,4,FALSE)</f>
        <v>25572</v>
      </c>
      <c r="F617" s="330"/>
      <c r="G617" s="224"/>
      <c r="H617" s="75"/>
      <c r="I617" s="75"/>
      <c r="J617" s="75">
        <v>10</v>
      </c>
      <c r="K617" s="75">
        <v>2</v>
      </c>
      <c r="L617" s="75"/>
      <c r="M617" s="75">
        <v>2</v>
      </c>
      <c r="N617" s="75"/>
      <c r="O617" s="75"/>
      <c r="P617" s="75"/>
      <c r="Q617" s="75"/>
      <c r="R617" s="75"/>
      <c r="S617" s="75"/>
      <c r="T617" s="75"/>
      <c r="U617" s="75"/>
      <c r="V617" s="76"/>
      <c r="W617" s="205"/>
      <c r="X617" s="1"/>
      <c r="Y617" s="78">
        <f t="shared" si="74"/>
        <v>0</v>
      </c>
      <c r="Z617" s="78">
        <f t="shared" si="75"/>
        <v>0</v>
      </c>
      <c r="AA617" s="78">
        <f t="shared" si="76"/>
        <v>0</v>
      </c>
      <c r="AB617" s="78">
        <f t="shared" si="77"/>
        <v>0</v>
      </c>
      <c r="AC617" s="78"/>
      <c r="AD617" s="78">
        <v>0</v>
      </c>
      <c r="AE617" s="80">
        <f t="shared" si="79"/>
        <v>0</v>
      </c>
      <c r="AF617" s="82">
        <v>0</v>
      </c>
      <c r="AG617" s="69">
        <v>40329</v>
      </c>
      <c r="AH617" s="84"/>
      <c r="AI617" s="69" t="s">
        <v>1984</v>
      </c>
      <c r="AJ617" s="25" t="s">
        <v>1985</v>
      </c>
      <c r="AK617" s="65"/>
      <c r="AL617" s="185" t="s">
        <v>1257</v>
      </c>
      <c r="AM617" s="85" t="s">
        <v>1210</v>
      </c>
      <c r="AN617" s="3"/>
      <c r="AO617" s="4"/>
      <c r="AP617" s="5"/>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6"/>
      <c r="CQ617" s="7"/>
      <c r="CR617" s="6"/>
      <c r="CS617" s="7"/>
      <c r="CT617" s="6"/>
      <c r="CU617" s="7"/>
      <c r="CV617" s="8">
        <f t="shared" si="78"/>
        <v>0</v>
      </c>
      <c r="CW617" s="9"/>
      <c r="CX617" s="10"/>
      <c r="CY617" s="11"/>
      <c r="CZ617" s="12"/>
      <c r="DA617" s="29"/>
      <c r="DB617" s="12"/>
      <c r="DC617" s="9"/>
      <c r="DD617" s="10"/>
      <c r="DE617" s="71"/>
      <c r="EO617" s="353" t="str">
        <f t="shared" si="73"/>
        <v>CUNDINAMARCA_PUERTO SALGAR</v>
      </c>
      <c r="EP617" s="350"/>
      <c r="EQ617" s="350" t="s">
        <v>4420</v>
      </c>
      <c r="ER617" s="358" t="s">
        <v>3276</v>
      </c>
      <c r="ES617" s="350" t="s">
        <v>5280</v>
      </c>
      <c r="ET617" s="350" t="s">
        <v>3277</v>
      </c>
      <c r="EU617" s="350" t="str">
        <f t="shared" si="80"/>
        <v>Huila_Neiva</v>
      </c>
    </row>
    <row r="618" spans="1:151" ht="25.5" x14ac:dyDescent="0.2">
      <c r="A618" s="242">
        <v>40328</v>
      </c>
      <c r="B618" s="107" t="s">
        <v>2012</v>
      </c>
      <c r="C618" s="107" t="s">
        <v>2199</v>
      </c>
      <c r="D618" s="427" t="s">
        <v>2209</v>
      </c>
      <c r="E618" s="107" t="str">
        <f>VLOOKUP(B618&amp;C618,Divipola!$C$2:$F$1138,4,FALSE)</f>
        <v>66383</v>
      </c>
      <c r="F618" s="330"/>
      <c r="G618" s="224"/>
      <c r="H618" s="75"/>
      <c r="I618" s="75"/>
      <c r="J618" s="75">
        <v>15</v>
      </c>
      <c r="K618" s="75">
        <v>3</v>
      </c>
      <c r="L618" s="75"/>
      <c r="M618" s="75">
        <v>3</v>
      </c>
      <c r="N618" s="75"/>
      <c r="O618" s="75"/>
      <c r="P618" s="75"/>
      <c r="Q618" s="75"/>
      <c r="R618" s="75"/>
      <c r="S618" s="75"/>
      <c r="T618" s="75"/>
      <c r="U618" s="75"/>
      <c r="V618" s="76"/>
      <c r="W618" s="205"/>
      <c r="X618" s="1"/>
      <c r="Y618" s="78">
        <f t="shared" si="74"/>
        <v>0</v>
      </c>
      <c r="Z618" s="78">
        <f t="shared" si="75"/>
        <v>0</v>
      </c>
      <c r="AA618" s="78">
        <f t="shared" si="76"/>
        <v>0</v>
      </c>
      <c r="AB618" s="78">
        <f t="shared" si="77"/>
        <v>0</v>
      </c>
      <c r="AC618" s="78"/>
      <c r="AD618" s="78">
        <v>0</v>
      </c>
      <c r="AE618" s="80">
        <f t="shared" si="79"/>
        <v>0</v>
      </c>
      <c r="AF618" s="82">
        <v>0</v>
      </c>
      <c r="AG618" s="69">
        <v>40329</v>
      </c>
      <c r="AH618" s="84"/>
      <c r="AI618" s="69" t="s">
        <v>1984</v>
      </c>
      <c r="AJ618" s="25" t="s">
        <v>1985</v>
      </c>
      <c r="AK618" s="65"/>
      <c r="AL618" s="185" t="s">
        <v>1257</v>
      </c>
      <c r="AM618" s="85" t="s">
        <v>965</v>
      </c>
      <c r="AN618" s="3"/>
      <c r="AO618" s="4"/>
      <c r="AP618" s="5"/>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6"/>
      <c r="CQ618" s="7"/>
      <c r="CR618" s="6"/>
      <c r="CS618" s="7"/>
      <c r="CT618" s="6"/>
      <c r="CU618" s="7"/>
      <c r="CV618" s="8">
        <f t="shared" si="78"/>
        <v>0</v>
      </c>
      <c r="CW618" s="9"/>
      <c r="CX618" s="10"/>
      <c r="CY618" s="11"/>
      <c r="CZ618" s="12"/>
      <c r="DA618" s="29"/>
      <c r="DB618" s="12"/>
      <c r="DC618" s="9"/>
      <c r="DD618" s="10"/>
      <c r="DE618" s="71"/>
      <c r="EO618" s="353" t="str">
        <f t="shared" si="73"/>
        <v>RISARALDA_LA CELIA</v>
      </c>
      <c r="EP618" s="350"/>
      <c r="EQ618" s="350" t="s">
        <v>4420</v>
      </c>
      <c r="ER618" s="358" t="s">
        <v>3276</v>
      </c>
      <c r="ES618" s="350" t="s">
        <v>5281</v>
      </c>
      <c r="ET618" s="350" t="s">
        <v>3278</v>
      </c>
      <c r="EU618" s="350" t="str">
        <f t="shared" si="80"/>
        <v>Huila_Acevedo</v>
      </c>
    </row>
    <row r="619" spans="1:151" ht="51" x14ac:dyDescent="0.2">
      <c r="A619" s="242">
        <v>40328</v>
      </c>
      <c r="B619" s="107" t="s">
        <v>2427</v>
      </c>
      <c r="C619" s="107" t="s">
        <v>1457</v>
      </c>
      <c r="D619" s="427" t="s">
        <v>837</v>
      </c>
      <c r="E619" s="107" t="str">
        <f>VLOOKUP(B619&amp;C619,Divipola!$C$2:$F$1138,4,FALSE)</f>
        <v>68081</v>
      </c>
      <c r="F619" s="330"/>
      <c r="G619" s="277"/>
      <c r="H619" s="75"/>
      <c r="I619" s="75"/>
      <c r="J619" s="75">
        <v>486</v>
      </c>
      <c r="K619" s="75">
        <v>162</v>
      </c>
      <c r="L619" s="75"/>
      <c r="M619" s="75"/>
      <c r="N619" s="75"/>
      <c r="O619" s="75"/>
      <c r="P619" s="75"/>
      <c r="Q619" s="75"/>
      <c r="R619" s="75"/>
      <c r="S619" s="75"/>
      <c r="T619" s="75"/>
      <c r="U619" s="75"/>
      <c r="V619" s="76"/>
      <c r="W619" s="205"/>
      <c r="X619" s="1"/>
      <c r="Y619" s="78">
        <f t="shared" si="74"/>
        <v>0</v>
      </c>
      <c r="Z619" s="78">
        <f t="shared" si="75"/>
        <v>0</v>
      </c>
      <c r="AA619" s="78">
        <f t="shared" si="76"/>
        <v>0</v>
      </c>
      <c r="AB619" s="78">
        <f t="shared" si="77"/>
        <v>0</v>
      </c>
      <c r="AC619" s="78"/>
      <c r="AD619" s="78">
        <v>0</v>
      </c>
      <c r="AE619" s="80">
        <f t="shared" si="79"/>
        <v>0</v>
      </c>
      <c r="AF619" s="82">
        <v>0</v>
      </c>
      <c r="AG619" s="69">
        <v>40331</v>
      </c>
      <c r="AH619" s="84">
        <v>38854</v>
      </c>
      <c r="AI619" s="69" t="s">
        <v>2009</v>
      </c>
      <c r="AJ619" s="25" t="s">
        <v>2010</v>
      </c>
      <c r="AK619" s="65"/>
      <c r="AL619" s="214" t="s">
        <v>1183</v>
      </c>
      <c r="AM619" s="85" t="s">
        <v>499</v>
      </c>
      <c r="AN619" s="3"/>
      <c r="AO619" s="4"/>
      <c r="AP619" s="5"/>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6"/>
      <c r="CQ619" s="7"/>
      <c r="CR619" s="6"/>
      <c r="CS619" s="7"/>
      <c r="CT619" s="6"/>
      <c r="CU619" s="7"/>
      <c r="CV619" s="8">
        <f t="shared" si="78"/>
        <v>0</v>
      </c>
      <c r="CW619" s="9"/>
      <c r="CX619" s="10"/>
      <c r="CY619" s="11"/>
      <c r="CZ619" s="12"/>
      <c r="DA619" s="29"/>
      <c r="DB619" s="12"/>
      <c r="DC619" s="9"/>
      <c r="DD619" s="10"/>
      <c r="DE619" s="71"/>
      <c r="EO619" s="353" t="str">
        <f t="shared" ref="EO619:EO680" si="81">B619&amp;"_"&amp;C619</f>
        <v>SANTANDER_BARRANCABERMEJA</v>
      </c>
      <c r="EP619" s="350"/>
      <c r="EQ619" s="350" t="s">
        <v>4420</v>
      </c>
      <c r="ER619" s="358" t="s">
        <v>3276</v>
      </c>
      <c r="ES619" s="350" t="s">
        <v>5282</v>
      </c>
      <c r="ET619" s="350" t="s">
        <v>3279</v>
      </c>
      <c r="EU619" s="350" t="str">
        <f t="shared" si="80"/>
        <v>Huila_Agrado</v>
      </c>
    </row>
    <row r="620" spans="1:151" ht="63.75" x14ac:dyDescent="0.2">
      <c r="A620" s="242">
        <v>40329</v>
      </c>
      <c r="B620" s="107" t="s">
        <v>2017</v>
      </c>
      <c r="C620" s="107" t="s">
        <v>1215</v>
      </c>
      <c r="D620" s="427" t="s">
        <v>2209</v>
      </c>
      <c r="E620" s="107" t="str">
        <f>VLOOKUP(B620&amp;C620,Divipola!$C$2:$F$1138,4,FALSE)</f>
        <v>13001</v>
      </c>
      <c r="F620" s="330"/>
      <c r="G620" s="224"/>
      <c r="H620" s="75"/>
      <c r="I620" s="75"/>
      <c r="J620" s="75">
        <f>83*5</f>
        <v>415</v>
      </c>
      <c r="K620" s="75">
        <v>83</v>
      </c>
      <c r="L620" s="75"/>
      <c r="M620" s="75">
        <v>83</v>
      </c>
      <c r="N620" s="75"/>
      <c r="O620" s="75"/>
      <c r="P620" s="75"/>
      <c r="Q620" s="75"/>
      <c r="R620" s="75"/>
      <c r="S620" s="75"/>
      <c r="T620" s="75"/>
      <c r="U620" s="75"/>
      <c r="V620" s="76"/>
      <c r="W620" s="205" t="s">
        <v>2254</v>
      </c>
      <c r="X620" s="1">
        <v>40360</v>
      </c>
      <c r="Y620" s="78">
        <f t="shared" si="74"/>
        <v>0</v>
      </c>
      <c r="Z620" s="78">
        <f t="shared" si="75"/>
        <v>0</v>
      </c>
      <c r="AA620" s="78">
        <f t="shared" si="76"/>
        <v>26842217</v>
      </c>
      <c r="AB620" s="78">
        <f t="shared" si="77"/>
        <v>0</v>
      </c>
      <c r="AC620" s="78"/>
      <c r="AD620" s="78">
        <v>0</v>
      </c>
      <c r="AE620" s="80">
        <f t="shared" si="79"/>
        <v>26842217</v>
      </c>
      <c r="AF620" s="82">
        <v>0</v>
      </c>
      <c r="AG620" s="69">
        <v>40331</v>
      </c>
      <c r="AH620" s="84">
        <v>97968</v>
      </c>
      <c r="AI620" s="69" t="s">
        <v>2009</v>
      </c>
      <c r="AJ620" s="25" t="s">
        <v>2010</v>
      </c>
      <c r="AK620" s="65"/>
      <c r="AL620" s="185" t="s">
        <v>2182</v>
      </c>
      <c r="AM620" s="85" t="s">
        <v>2253</v>
      </c>
      <c r="AN620" s="3"/>
      <c r="AO620" s="4"/>
      <c r="AP620" s="5"/>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6"/>
      <c r="CQ620" s="7"/>
      <c r="CR620" s="6"/>
      <c r="CS620" s="7"/>
      <c r="CT620" s="6"/>
      <c r="CU620" s="7"/>
      <c r="CV620" s="8">
        <f t="shared" si="78"/>
        <v>0</v>
      </c>
      <c r="CW620" s="9"/>
      <c r="CX620" s="10"/>
      <c r="CY620" s="11"/>
      <c r="CZ620" s="12"/>
      <c r="DA620" s="29"/>
      <c r="DB620" s="12"/>
      <c r="DC620" s="9">
        <f>20+193+30+120+160</f>
        <v>523</v>
      </c>
      <c r="DD620" s="10">
        <v>26842217</v>
      </c>
      <c r="DE620" s="71"/>
      <c r="DF620" s="23" t="s">
        <v>2732</v>
      </c>
      <c r="EO620" s="353" t="str">
        <f t="shared" si="81"/>
        <v>BOLIVAR_CARTAGENA</v>
      </c>
      <c r="EP620" s="350"/>
      <c r="EQ620" s="350" t="s">
        <v>4420</v>
      </c>
      <c r="ER620" s="358" t="s">
        <v>3276</v>
      </c>
      <c r="ES620" s="350" t="s">
        <v>5283</v>
      </c>
      <c r="ET620" s="350" t="s">
        <v>3280</v>
      </c>
      <c r="EU620" s="350" t="str">
        <f t="shared" si="80"/>
        <v>Huila_Aipe</v>
      </c>
    </row>
    <row r="621" spans="1:151" ht="25.5" x14ac:dyDescent="0.2">
      <c r="A621" s="242">
        <v>40329</v>
      </c>
      <c r="B621" s="107" t="s">
        <v>2427</v>
      </c>
      <c r="C621" s="107" t="s">
        <v>2255</v>
      </c>
      <c r="D621" s="427" t="s">
        <v>837</v>
      </c>
      <c r="E621" s="107" t="str">
        <f>VLOOKUP(B621&amp;C621,Divipola!$C$2:$F$1138,4,FALSE)</f>
        <v>68307</v>
      </c>
      <c r="F621" s="330"/>
      <c r="G621" s="277"/>
      <c r="H621" s="75"/>
      <c r="I621" s="75"/>
      <c r="J621" s="75">
        <f>105*5</f>
        <v>525</v>
      </c>
      <c r="K621" s="75">
        <v>105</v>
      </c>
      <c r="L621" s="75">
        <v>6</v>
      </c>
      <c r="M621" s="75">
        <v>36</v>
      </c>
      <c r="N621" s="75"/>
      <c r="O621" s="75"/>
      <c r="P621" s="75"/>
      <c r="Q621" s="75"/>
      <c r="R621" s="75"/>
      <c r="S621" s="75"/>
      <c r="T621" s="75"/>
      <c r="U621" s="75"/>
      <c r="V621" s="76"/>
      <c r="W621" s="205"/>
      <c r="X621" s="1"/>
      <c r="Y621" s="78">
        <f t="shared" si="74"/>
        <v>0</v>
      </c>
      <c r="Z621" s="78">
        <f t="shared" si="75"/>
        <v>0</v>
      </c>
      <c r="AA621" s="78">
        <f t="shared" si="76"/>
        <v>0</v>
      </c>
      <c r="AB621" s="78">
        <f t="shared" si="77"/>
        <v>0</v>
      </c>
      <c r="AC621" s="78"/>
      <c r="AD621" s="78">
        <v>0</v>
      </c>
      <c r="AE621" s="80">
        <f t="shared" si="79"/>
        <v>0</v>
      </c>
      <c r="AF621" s="82">
        <v>0</v>
      </c>
      <c r="AG621" s="69">
        <v>40330</v>
      </c>
      <c r="AH621" s="84"/>
      <c r="AI621" s="69" t="s">
        <v>1984</v>
      </c>
      <c r="AJ621" s="25" t="s">
        <v>1985</v>
      </c>
      <c r="AK621" s="65"/>
      <c r="AL621" s="185" t="s">
        <v>1257</v>
      </c>
      <c r="AM621" s="85" t="s">
        <v>2256</v>
      </c>
      <c r="AN621" s="3"/>
      <c r="AO621" s="4"/>
      <c r="AP621" s="5"/>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6"/>
      <c r="CQ621" s="7"/>
      <c r="CR621" s="6"/>
      <c r="CS621" s="7"/>
      <c r="CT621" s="6"/>
      <c r="CU621" s="7"/>
      <c r="CV621" s="8">
        <f t="shared" si="78"/>
        <v>0</v>
      </c>
      <c r="CW621" s="9"/>
      <c r="CX621" s="10"/>
      <c r="CY621" s="11"/>
      <c r="CZ621" s="12"/>
      <c r="DA621" s="29"/>
      <c r="DB621" s="12"/>
      <c r="DC621" s="9"/>
      <c r="DD621" s="10"/>
      <c r="DE621" s="71"/>
      <c r="EO621" s="353" t="str">
        <f t="shared" si="81"/>
        <v>SANTANDER_GIRON</v>
      </c>
      <c r="EP621" s="350"/>
      <c r="EQ621" s="350" t="s">
        <v>4420</v>
      </c>
      <c r="ER621" s="358" t="s">
        <v>3276</v>
      </c>
      <c r="ES621" s="350" t="s">
        <v>5284</v>
      </c>
      <c r="ET621" s="350" t="s">
        <v>3281</v>
      </c>
      <c r="EU621" s="350" t="str">
        <f t="shared" si="80"/>
        <v>Huila_Algeciras</v>
      </c>
    </row>
    <row r="622" spans="1:151" ht="38.25" x14ac:dyDescent="0.2">
      <c r="A622" s="246">
        <v>40330</v>
      </c>
      <c r="B622" s="238" t="s">
        <v>2401</v>
      </c>
      <c r="C622" s="238" t="s">
        <v>1448</v>
      </c>
      <c r="D622" s="431" t="s">
        <v>837</v>
      </c>
      <c r="E622" s="107" t="str">
        <f>VLOOKUP(B622&amp;C622,Divipola!$C$2:$F$1138,4,FALSE)</f>
        <v>05212</v>
      </c>
      <c r="F622" s="334"/>
      <c r="G622" s="224"/>
      <c r="H622" s="75"/>
      <c r="I622" s="75"/>
      <c r="J622" s="75">
        <v>242</v>
      </c>
      <c r="K622" s="75">
        <v>57</v>
      </c>
      <c r="L622" s="75">
        <v>41</v>
      </c>
      <c r="M622" s="75">
        <v>13</v>
      </c>
      <c r="N622" s="75"/>
      <c r="O622" s="75"/>
      <c r="P622" s="75"/>
      <c r="Q622" s="75"/>
      <c r="R622" s="75"/>
      <c r="S622" s="75"/>
      <c r="T622" s="75"/>
      <c r="U622" s="75"/>
      <c r="V622" s="76"/>
      <c r="W622" s="205"/>
      <c r="X622" s="1"/>
      <c r="Y622" s="78">
        <f t="shared" si="74"/>
        <v>0</v>
      </c>
      <c r="Z622" s="78">
        <f t="shared" si="75"/>
        <v>0</v>
      </c>
      <c r="AA622" s="78">
        <f t="shared" si="76"/>
        <v>0</v>
      </c>
      <c r="AB622" s="78">
        <f t="shared" si="77"/>
        <v>0</v>
      </c>
      <c r="AC622" s="78"/>
      <c r="AD622" s="78">
        <v>0</v>
      </c>
      <c r="AE622" s="80">
        <f t="shared" si="79"/>
        <v>0</v>
      </c>
      <c r="AF622" s="82">
        <v>0</v>
      </c>
      <c r="AG622" s="69">
        <v>40330</v>
      </c>
      <c r="AH622" s="84"/>
      <c r="AI622" s="69" t="s">
        <v>1984</v>
      </c>
      <c r="AJ622" s="25" t="s">
        <v>1985</v>
      </c>
      <c r="AK622" s="65"/>
      <c r="AL622" s="185" t="s">
        <v>1257</v>
      </c>
      <c r="AM622" s="85" t="s">
        <v>1449</v>
      </c>
      <c r="AN622" s="3"/>
      <c r="AO622" s="4"/>
      <c r="AP622" s="5"/>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6"/>
      <c r="CQ622" s="7"/>
      <c r="CR622" s="6"/>
      <c r="CS622" s="7"/>
      <c r="CT622" s="6"/>
      <c r="CU622" s="7"/>
      <c r="CV622" s="8">
        <f t="shared" si="78"/>
        <v>0</v>
      </c>
      <c r="CW622" s="9"/>
      <c r="CX622" s="10"/>
      <c r="CY622" s="11"/>
      <c r="CZ622" s="12"/>
      <c r="DA622" s="29"/>
      <c r="DB622" s="12"/>
      <c r="DC622" s="9"/>
      <c r="DD622" s="10"/>
      <c r="DE622" s="71"/>
      <c r="EO622" s="353" t="str">
        <f t="shared" si="81"/>
        <v>ANTIOQUIA_COPACABANA</v>
      </c>
      <c r="EP622" s="350"/>
      <c r="EQ622" s="350" t="s">
        <v>4420</v>
      </c>
      <c r="ER622" s="358" t="s">
        <v>3276</v>
      </c>
      <c r="ES622" s="350" t="s">
        <v>5285</v>
      </c>
      <c r="ET622" s="350" t="s">
        <v>3282</v>
      </c>
      <c r="EU622" s="350" t="str">
        <f t="shared" si="80"/>
        <v>Huila_Altamira</v>
      </c>
    </row>
    <row r="623" spans="1:151" ht="38.25" x14ac:dyDescent="0.2">
      <c r="A623" s="242">
        <v>40330</v>
      </c>
      <c r="B623" s="107" t="s">
        <v>1951</v>
      </c>
      <c r="C623" s="107" t="s">
        <v>1989</v>
      </c>
      <c r="D623" s="427" t="s">
        <v>837</v>
      </c>
      <c r="E623" s="107" t="str">
        <f>VLOOKUP(B623&amp;C623,Divipola!$C$2:$F$1138,4,FALSE)</f>
        <v>08001</v>
      </c>
      <c r="F623" s="330"/>
      <c r="G623" s="224"/>
      <c r="H623" s="75"/>
      <c r="I623" s="75">
        <v>2</v>
      </c>
      <c r="J623" s="75"/>
      <c r="K623" s="75"/>
      <c r="L623" s="75"/>
      <c r="M623" s="75"/>
      <c r="N623" s="75"/>
      <c r="O623" s="75"/>
      <c r="P623" s="75"/>
      <c r="Q623" s="75"/>
      <c r="R623" s="75"/>
      <c r="S623" s="75"/>
      <c r="T623" s="75"/>
      <c r="U623" s="75"/>
      <c r="V623" s="76"/>
      <c r="W623" s="205" t="s">
        <v>967</v>
      </c>
      <c r="X623" s="1"/>
      <c r="Y623" s="78">
        <f t="shared" si="74"/>
        <v>0</v>
      </c>
      <c r="Z623" s="78">
        <f t="shared" si="75"/>
        <v>0</v>
      </c>
      <c r="AA623" s="78">
        <f t="shared" si="76"/>
        <v>0</v>
      </c>
      <c r="AB623" s="78">
        <f t="shared" si="77"/>
        <v>0</v>
      </c>
      <c r="AC623" s="78"/>
      <c r="AD623" s="78">
        <v>0</v>
      </c>
      <c r="AE623" s="80">
        <f t="shared" si="79"/>
        <v>0</v>
      </c>
      <c r="AF623" s="82">
        <v>0</v>
      </c>
      <c r="AG623" s="69">
        <v>40330</v>
      </c>
      <c r="AH623" s="84"/>
      <c r="AI623" s="69" t="s">
        <v>1984</v>
      </c>
      <c r="AJ623" s="25" t="s">
        <v>1985</v>
      </c>
      <c r="AK623" s="65"/>
      <c r="AL623" s="185" t="s">
        <v>1257</v>
      </c>
      <c r="AM623" s="85" t="s">
        <v>1447</v>
      </c>
      <c r="AN623" s="3"/>
      <c r="AO623" s="4"/>
      <c r="AP623" s="5"/>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6"/>
      <c r="CQ623" s="7"/>
      <c r="CR623" s="6"/>
      <c r="CS623" s="7"/>
      <c r="CT623" s="6"/>
      <c r="CU623" s="7"/>
      <c r="CV623" s="8">
        <f t="shared" si="78"/>
        <v>0</v>
      </c>
      <c r="CW623" s="9"/>
      <c r="CX623" s="10"/>
      <c r="CY623" s="11"/>
      <c r="CZ623" s="12"/>
      <c r="DA623" s="29"/>
      <c r="DB623" s="12"/>
      <c r="DC623" s="9"/>
      <c r="DD623" s="10"/>
      <c r="DE623" s="71"/>
      <c r="EO623" s="353" t="str">
        <f t="shared" si="81"/>
        <v>ATLANTICO_BARRANQUILLA</v>
      </c>
      <c r="EP623" s="350"/>
      <c r="EQ623" s="350" t="s">
        <v>4420</v>
      </c>
      <c r="ER623" s="358" t="s">
        <v>3276</v>
      </c>
      <c r="ES623" s="350" t="s">
        <v>5286</v>
      </c>
      <c r="ET623" s="350" t="s">
        <v>3283</v>
      </c>
      <c r="EU623" s="350" t="str">
        <f t="shared" si="80"/>
        <v>Huila_Baraya</v>
      </c>
    </row>
    <row r="624" spans="1:151" ht="38.25" x14ac:dyDescent="0.2">
      <c r="A624" s="242">
        <v>40330</v>
      </c>
      <c r="B624" s="107" t="s">
        <v>2007</v>
      </c>
      <c r="C624" s="107" t="s">
        <v>2694</v>
      </c>
      <c r="D624" s="427" t="s">
        <v>2307</v>
      </c>
      <c r="E624" s="107" t="str">
        <f>VLOOKUP(B624&amp;C624,Divipola!$C$2:$F$1138,4,FALSE)</f>
        <v>25335</v>
      </c>
      <c r="F624" s="330"/>
      <c r="G624" s="224"/>
      <c r="H624" s="75"/>
      <c r="I624" s="75"/>
      <c r="J624" s="75"/>
      <c r="K624" s="75"/>
      <c r="L624" s="75"/>
      <c r="M624" s="75"/>
      <c r="N624" s="75">
        <v>1</v>
      </c>
      <c r="O624" s="75"/>
      <c r="P624" s="75"/>
      <c r="Q624" s="75"/>
      <c r="R624" s="75"/>
      <c r="S624" s="75"/>
      <c r="T624" s="75"/>
      <c r="U624" s="75"/>
      <c r="V624" s="76"/>
      <c r="W624" s="205"/>
      <c r="X624" s="1"/>
      <c r="Y624" s="78">
        <f t="shared" si="74"/>
        <v>0</v>
      </c>
      <c r="Z624" s="78">
        <f t="shared" si="75"/>
        <v>0</v>
      </c>
      <c r="AA624" s="78">
        <f t="shared" si="76"/>
        <v>0</v>
      </c>
      <c r="AB624" s="78">
        <f t="shared" si="77"/>
        <v>0</v>
      </c>
      <c r="AC624" s="78"/>
      <c r="AD624" s="78">
        <v>0</v>
      </c>
      <c r="AE624" s="80">
        <f t="shared" si="79"/>
        <v>0</v>
      </c>
      <c r="AF624" s="82">
        <v>0</v>
      </c>
      <c r="AG624" s="69">
        <v>40395</v>
      </c>
      <c r="AH624" s="84">
        <v>39173</v>
      </c>
      <c r="AI624" s="69" t="s">
        <v>2009</v>
      </c>
      <c r="AJ624" s="25" t="s">
        <v>1985</v>
      </c>
      <c r="AK624" s="65"/>
      <c r="AL624" s="185"/>
      <c r="AM624" s="85" t="s">
        <v>181</v>
      </c>
      <c r="AN624" s="3"/>
      <c r="AO624" s="4"/>
      <c r="AP624" s="5"/>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6"/>
      <c r="CQ624" s="7"/>
      <c r="CR624" s="6"/>
      <c r="CS624" s="7"/>
      <c r="CT624" s="6"/>
      <c r="CU624" s="7"/>
      <c r="CV624" s="8">
        <f t="shared" si="78"/>
        <v>0</v>
      </c>
      <c r="CW624" s="9"/>
      <c r="CX624" s="10"/>
      <c r="CY624" s="11"/>
      <c r="CZ624" s="12"/>
      <c r="DA624" s="29"/>
      <c r="DB624" s="12"/>
      <c r="DC624" s="9"/>
      <c r="DD624" s="10"/>
      <c r="DE624" s="71"/>
      <c r="EO624" s="353" t="str">
        <f t="shared" si="81"/>
        <v>CUNDINAMARCA_GUAYABETAL</v>
      </c>
      <c r="EP624" s="350"/>
      <c r="EQ624" s="350" t="s">
        <v>4420</v>
      </c>
      <c r="ER624" s="358" t="s">
        <v>3276</v>
      </c>
      <c r="ES624" s="350" t="s">
        <v>5287</v>
      </c>
      <c r="ET624" s="350" t="s">
        <v>3284</v>
      </c>
      <c r="EU624" s="350" t="str">
        <f t="shared" si="80"/>
        <v>Huila_Campoalegre</v>
      </c>
    </row>
    <row r="625" spans="1:151" ht="38.25" x14ac:dyDescent="0.2">
      <c r="A625" s="242">
        <v>40330</v>
      </c>
      <c r="B625" s="107" t="s">
        <v>5778</v>
      </c>
      <c r="C625" s="107" t="s">
        <v>600</v>
      </c>
      <c r="D625" s="427" t="s">
        <v>837</v>
      </c>
      <c r="E625" s="107" t="str">
        <f>VLOOKUP(B625&amp;C625,Divipola!$C$2:$F$1138,4,FALSE)</f>
        <v>44035</v>
      </c>
      <c r="F625" s="330"/>
      <c r="G625" s="224"/>
      <c r="H625" s="75"/>
      <c r="I625" s="75"/>
      <c r="J625" s="75">
        <v>532</v>
      </c>
      <c r="K625" s="75">
        <v>95</v>
      </c>
      <c r="L625" s="75"/>
      <c r="M625" s="75">
        <v>10</v>
      </c>
      <c r="N625" s="75"/>
      <c r="O625" s="75"/>
      <c r="P625" s="75"/>
      <c r="Q625" s="75"/>
      <c r="R625" s="75"/>
      <c r="S625" s="75"/>
      <c r="T625" s="75"/>
      <c r="U625" s="75"/>
      <c r="V625" s="76"/>
      <c r="W625" s="205"/>
      <c r="X625" s="1"/>
      <c r="Y625" s="78">
        <f t="shared" si="74"/>
        <v>0</v>
      </c>
      <c r="Z625" s="78">
        <f t="shared" si="75"/>
        <v>0</v>
      </c>
      <c r="AA625" s="78">
        <f t="shared" si="76"/>
        <v>0</v>
      </c>
      <c r="AB625" s="78">
        <f t="shared" si="77"/>
        <v>0</v>
      </c>
      <c r="AC625" s="78"/>
      <c r="AD625" s="78">
        <v>0</v>
      </c>
      <c r="AE625" s="80">
        <f t="shared" si="79"/>
        <v>0</v>
      </c>
      <c r="AF625" s="82">
        <v>0</v>
      </c>
      <c r="AG625" s="69">
        <v>40330</v>
      </c>
      <c r="AH625" s="84"/>
      <c r="AI625" s="69" t="s">
        <v>2009</v>
      </c>
      <c r="AJ625" s="25" t="s">
        <v>2010</v>
      </c>
      <c r="AK625" s="65"/>
      <c r="AL625" s="214" t="s">
        <v>485</v>
      </c>
      <c r="AM625" s="85" t="s">
        <v>1059</v>
      </c>
      <c r="AN625" s="3"/>
      <c r="AO625" s="4"/>
      <c r="AP625" s="5"/>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6"/>
      <c r="CQ625" s="7"/>
      <c r="CR625" s="6"/>
      <c r="CS625" s="7"/>
      <c r="CT625" s="6"/>
      <c r="CU625" s="7"/>
      <c r="CV625" s="8">
        <f t="shared" si="78"/>
        <v>0</v>
      </c>
      <c r="CW625" s="9"/>
      <c r="CX625" s="10"/>
      <c r="CY625" s="11"/>
      <c r="CZ625" s="12"/>
      <c r="DA625" s="29"/>
      <c r="DB625" s="12"/>
      <c r="DC625" s="9"/>
      <c r="DD625" s="10"/>
      <c r="DE625" s="71"/>
      <c r="EO625" s="353" t="str">
        <f t="shared" si="81"/>
        <v>LA GUAJIRA_ALBANIA</v>
      </c>
      <c r="EP625" s="350"/>
      <c r="EQ625" s="350" t="s">
        <v>4420</v>
      </c>
      <c r="ER625" s="358" t="s">
        <v>3276</v>
      </c>
      <c r="ES625" s="350" t="s">
        <v>5288</v>
      </c>
      <c r="ET625" s="350" t="s">
        <v>3285</v>
      </c>
      <c r="EU625" s="350" t="str">
        <f t="shared" si="80"/>
        <v>Huila_Colombia</v>
      </c>
    </row>
    <row r="626" spans="1:151" ht="38.25" x14ac:dyDescent="0.2">
      <c r="A626" s="242">
        <v>40330</v>
      </c>
      <c r="B626" s="107" t="s">
        <v>5778</v>
      </c>
      <c r="C626" s="107" t="s">
        <v>1332</v>
      </c>
      <c r="D626" s="427" t="s">
        <v>837</v>
      </c>
      <c r="E626" s="107" t="str">
        <f>VLOOKUP(B626&amp;C626,Divipola!$C$2:$F$1138,4,FALSE)</f>
        <v>44847</v>
      </c>
      <c r="F626" s="330"/>
      <c r="G626" s="224"/>
      <c r="H626" s="75"/>
      <c r="I626" s="75"/>
      <c r="J626" s="75"/>
      <c r="K626" s="75"/>
      <c r="L626" s="75"/>
      <c r="M626" s="75"/>
      <c r="N626" s="75"/>
      <c r="O626" s="75"/>
      <c r="P626" s="75"/>
      <c r="Q626" s="75"/>
      <c r="R626" s="75"/>
      <c r="S626" s="75"/>
      <c r="T626" s="75"/>
      <c r="U626" s="75"/>
      <c r="V626" s="76"/>
      <c r="W626" s="205"/>
      <c r="X626" s="1"/>
      <c r="Y626" s="78">
        <f t="shared" si="74"/>
        <v>0</v>
      </c>
      <c r="Z626" s="78">
        <f t="shared" si="75"/>
        <v>0</v>
      </c>
      <c r="AA626" s="78">
        <f t="shared" si="76"/>
        <v>0</v>
      </c>
      <c r="AB626" s="78">
        <f t="shared" si="77"/>
        <v>0</v>
      </c>
      <c r="AC626" s="78"/>
      <c r="AD626" s="78">
        <v>0</v>
      </c>
      <c r="AE626" s="80">
        <f t="shared" si="79"/>
        <v>0</v>
      </c>
      <c r="AF626" s="82">
        <v>0</v>
      </c>
      <c r="AG626" s="69">
        <v>40330</v>
      </c>
      <c r="AH626" s="84"/>
      <c r="AI626" s="69" t="s">
        <v>2009</v>
      </c>
      <c r="AJ626" s="25" t="s">
        <v>2010</v>
      </c>
      <c r="AK626" s="65"/>
      <c r="AL626" s="214" t="s">
        <v>485</v>
      </c>
      <c r="AM626" s="85" t="s">
        <v>2251</v>
      </c>
      <c r="AN626" s="3"/>
      <c r="AO626" s="4"/>
      <c r="AP626" s="5"/>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6"/>
      <c r="CQ626" s="7"/>
      <c r="CR626" s="6"/>
      <c r="CS626" s="7"/>
      <c r="CT626" s="6"/>
      <c r="CU626" s="7"/>
      <c r="CV626" s="8">
        <f t="shared" si="78"/>
        <v>0</v>
      </c>
      <c r="CW626" s="9"/>
      <c r="CX626" s="10"/>
      <c r="CY626" s="11"/>
      <c r="CZ626" s="12"/>
      <c r="DA626" s="29"/>
      <c r="DB626" s="12"/>
      <c r="DC626" s="9"/>
      <c r="DD626" s="10"/>
      <c r="DE626" s="71"/>
      <c r="EO626" s="353" t="str">
        <f t="shared" si="81"/>
        <v>LA GUAJIRA_URIBIA</v>
      </c>
      <c r="EP626" s="350"/>
      <c r="EQ626" s="350" t="s">
        <v>4420</v>
      </c>
      <c r="ER626" s="358" t="s">
        <v>3276</v>
      </c>
      <c r="ES626" s="350" t="s">
        <v>5289</v>
      </c>
      <c r="ET626" s="350" t="s">
        <v>3286</v>
      </c>
      <c r="EU626" s="350" t="str">
        <f t="shared" si="80"/>
        <v>Huila_Elias</v>
      </c>
    </row>
    <row r="627" spans="1:151" ht="38.25" x14ac:dyDescent="0.2">
      <c r="A627" s="242">
        <v>40330</v>
      </c>
      <c r="B627" s="107" t="s">
        <v>1336</v>
      </c>
      <c r="C627" s="107" t="s">
        <v>1379</v>
      </c>
      <c r="D627" s="427" t="s">
        <v>2307</v>
      </c>
      <c r="E627" s="107" t="str">
        <f>VLOOKUP(B627&amp;C627,Divipola!$C$2:$F$1138,4,FALSE)</f>
        <v>54174</v>
      </c>
      <c r="F627" s="330"/>
      <c r="G627" s="224"/>
      <c r="H627" s="75"/>
      <c r="I627" s="75"/>
      <c r="J627" s="75">
        <v>272</v>
      </c>
      <c r="K627" s="75">
        <v>58</v>
      </c>
      <c r="L627" s="75"/>
      <c r="M627" s="75">
        <v>58</v>
      </c>
      <c r="N627" s="75">
        <v>1</v>
      </c>
      <c r="O627" s="75"/>
      <c r="P627" s="75"/>
      <c r="Q627" s="75">
        <v>1</v>
      </c>
      <c r="R627" s="75">
        <v>1</v>
      </c>
      <c r="S627" s="75"/>
      <c r="T627" s="75"/>
      <c r="U627" s="75"/>
      <c r="V627" s="76"/>
      <c r="W627" s="205"/>
      <c r="X627" s="1"/>
      <c r="Y627" s="78">
        <f t="shared" si="74"/>
        <v>0</v>
      </c>
      <c r="Z627" s="78">
        <f t="shared" si="75"/>
        <v>0</v>
      </c>
      <c r="AA627" s="78">
        <f t="shared" si="76"/>
        <v>0</v>
      </c>
      <c r="AB627" s="78">
        <f t="shared" si="77"/>
        <v>0</v>
      </c>
      <c r="AC627" s="78"/>
      <c r="AD627" s="78">
        <v>0</v>
      </c>
      <c r="AE627" s="80">
        <f t="shared" si="79"/>
        <v>0</v>
      </c>
      <c r="AF627" s="82">
        <v>0</v>
      </c>
      <c r="AG627" s="69">
        <v>40401</v>
      </c>
      <c r="AH627" s="84">
        <v>40282</v>
      </c>
      <c r="AI627" s="69" t="s">
        <v>1984</v>
      </c>
      <c r="AJ627" s="25" t="s">
        <v>1985</v>
      </c>
      <c r="AK627" s="65"/>
      <c r="AL627" s="185" t="s">
        <v>1911</v>
      </c>
      <c r="AM627" s="85" t="s">
        <v>1912</v>
      </c>
      <c r="AN627" s="3"/>
      <c r="AO627" s="4"/>
      <c r="AP627" s="5"/>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6"/>
      <c r="CQ627" s="7"/>
      <c r="CR627" s="6"/>
      <c r="CS627" s="7"/>
      <c r="CT627" s="6"/>
      <c r="CU627" s="7"/>
      <c r="CV627" s="8">
        <f t="shared" si="78"/>
        <v>0</v>
      </c>
      <c r="CW627" s="9"/>
      <c r="CX627" s="10"/>
      <c r="CY627" s="11"/>
      <c r="CZ627" s="12"/>
      <c r="DA627" s="29"/>
      <c r="DB627" s="12"/>
      <c r="DC627" s="9"/>
      <c r="DD627" s="10"/>
      <c r="DE627" s="71"/>
      <c r="EO627" s="353" t="str">
        <f t="shared" si="81"/>
        <v>NORTE DE SANTANDER_CHITAGA</v>
      </c>
      <c r="EP627" s="350"/>
      <c r="EQ627" s="350" t="s">
        <v>4420</v>
      </c>
      <c r="ER627" s="358" t="s">
        <v>3276</v>
      </c>
      <c r="ES627" s="350" t="s">
        <v>5290</v>
      </c>
      <c r="ET627" s="350" t="s">
        <v>3287</v>
      </c>
      <c r="EU627" s="350" t="str">
        <f t="shared" si="80"/>
        <v>Huila_Garzon</v>
      </c>
    </row>
    <row r="628" spans="1:151" ht="25.5" x14ac:dyDescent="0.2">
      <c r="A628" s="242">
        <v>40331</v>
      </c>
      <c r="B628" s="107" t="s">
        <v>289</v>
      </c>
      <c r="C628" s="107" t="s">
        <v>711</v>
      </c>
      <c r="D628" s="427" t="s">
        <v>1721</v>
      </c>
      <c r="E628" s="107" t="str">
        <f>VLOOKUP(B628&amp;C628,Divipola!$C$2:$F$1138,4,FALSE)</f>
        <v>17001</v>
      </c>
      <c r="F628" s="330"/>
      <c r="G628" s="224"/>
      <c r="H628" s="75"/>
      <c r="I628" s="75"/>
      <c r="J628" s="75">
        <v>27</v>
      </c>
      <c r="K628" s="75">
        <v>7</v>
      </c>
      <c r="L628" s="75">
        <v>2</v>
      </c>
      <c r="M628" s="75">
        <v>2</v>
      </c>
      <c r="N628" s="75"/>
      <c r="O628" s="75"/>
      <c r="P628" s="75"/>
      <c r="Q628" s="75"/>
      <c r="R628" s="75"/>
      <c r="S628" s="75"/>
      <c r="T628" s="75"/>
      <c r="U628" s="75"/>
      <c r="V628" s="76"/>
      <c r="W628" s="205"/>
      <c r="X628" s="1"/>
      <c r="Y628" s="78">
        <f t="shared" si="74"/>
        <v>0</v>
      </c>
      <c r="Z628" s="78">
        <f t="shared" si="75"/>
        <v>0</v>
      </c>
      <c r="AA628" s="78">
        <f t="shared" si="76"/>
        <v>0</v>
      </c>
      <c r="AB628" s="78">
        <f t="shared" si="77"/>
        <v>0</v>
      </c>
      <c r="AC628" s="78"/>
      <c r="AD628" s="78">
        <v>0</v>
      </c>
      <c r="AE628" s="80">
        <f t="shared" si="79"/>
        <v>0</v>
      </c>
      <c r="AF628" s="82">
        <v>0</v>
      </c>
      <c r="AG628" s="69">
        <v>40331</v>
      </c>
      <c r="AH628" s="84"/>
      <c r="AI628" s="69" t="s">
        <v>1984</v>
      </c>
      <c r="AJ628" s="25" t="s">
        <v>1985</v>
      </c>
      <c r="AK628" s="65"/>
      <c r="AL628" s="185" t="s">
        <v>1257</v>
      </c>
      <c r="AM628" s="85" t="s">
        <v>966</v>
      </c>
      <c r="AN628" s="3"/>
      <c r="AO628" s="4"/>
      <c r="AP628" s="5"/>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6"/>
      <c r="CQ628" s="7"/>
      <c r="CR628" s="6"/>
      <c r="CS628" s="7"/>
      <c r="CT628" s="6"/>
      <c r="CU628" s="7"/>
      <c r="CV628" s="8">
        <f t="shared" si="78"/>
        <v>0</v>
      </c>
      <c r="CW628" s="9"/>
      <c r="CX628" s="10"/>
      <c r="CY628" s="11"/>
      <c r="CZ628" s="12"/>
      <c r="DA628" s="29"/>
      <c r="DB628" s="12"/>
      <c r="DC628" s="9"/>
      <c r="DD628" s="10"/>
      <c r="DE628" s="71"/>
      <c r="EO628" s="353" t="str">
        <f t="shared" si="81"/>
        <v>CALDAS_MANIZALES</v>
      </c>
      <c r="EP628" s="350"/>
      <c r="EQ628" s="350" t="s">
        <v>4420</v>
      </c>
      <c r="ER628" s="358" t="s">
        <v>3276</v>
      </c>
      <c r="ES628" s="350" t="s">
        <v>5291</v>
      </c>
      <c r="ET628" s="350" t="s">
        <v>3288</v>
      </c>
      <c r="EU628" s="350" t="str">
        <f t="shared" si="80"/>
        <v>Huila_Gigante</v>
      </c>
    </row>
    <row r="629" spans="1:151" ht="72" x14ac:dyDescent="0.2">
      <c r="A629" s="242">
        <v>40331</v>
      </c>
      <c r="B629" s="107" t="s">
        <v>2425</v>
      </c>
      <c r="C629" s="107" t="s">
        <v>2483</v>
      </c>
      <c r="D629" s="427" t="s">
        <v>837</v>
      </c>
      <c r="E629" s="107" t="str">
        <f>VLOOKUP(B629&amp;C629,Divipola!$C$2:$F$1138,4,FALSE)</f>
        <v>27615</v>
      </c>
      <c r="F629" s="330"/>
      <c r="G629" s="224"/>
      <c r="H629" s="75"/>
      <c r="I629" s="75"/>
      <c r="J629" s="75">
        <v>1388</v>
      </c>
      <c r="K629" s="75">
        <v>219</v>
      </c>
      <c r="L629" s="75"/>
      <c r="M629" s="75"/>
      <c r="N629" s="75"/>
      <c r="O629" s="75"/>
      <c r="P629" s="75"/>
      <c r="Q629" s="75"/>
      <c r="R629" s="75"/>
      <c r="S629" s="75"/>
      <c r="T629" s="75"/>
      <c r="U629" s="75"/>
      <c r="V629" s="76"/>
      <c r="W629" s="205" t="s">
        <v>2769</v>
      </c>
      <c r="X629" s="1"/>
      <c r="Y629" s="78">
        <f t="shared" si="74"/>
        <v>0</v>
      </c>
      <c r="Z629" s="78">
        <f t="shared" si="75"/>
        <v>0</v>
      </c>
      <c r="AA629" s="78">
        <f t="shared" si="76"/>
        <v>0</v>
      </c>
      <c r="AB629" s="78">
        <f t="shared" si="77"/>
        <v>0</v>
      </c>
      <c r="AC629" s="78"/>
      <c r="AD629" s="78">
        <v>0</v>
      </c>
      <c r="AE629" s="80">
        <f t="shared" si="79"/>
        <v>0</v>
      </c>
      <c r="AF629" s="82">
        <v>0</v>
      </c>
      <c r="AG629" s="69">
        <v>40332</v>
      </c>
      <c r="AH629" s="84"/>
      <c r="AI629" s="69" t="s">
        <v>1984</v>
      </c>
      <c r="AJ629" s="25" t="s">
        <v>1985</v>
      </c>
      <c r="AK629" s="65"/>
      <c r="AL629" s="185" t="s">
        <v>1257</v>
      </c>
      <c r="AM629" s="172" t="s">
        <v>742</v>
      </c>
      <c r="AN629" s="3"/>
      <c r="AO629" s="4"/>
      <c r="AP629" s="5"/>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6"/>
      <c r="CQ629" s="7"/>
      <c r="CR629" s="6"/>
      <c r="CS629" s="7"/>
      <c r="CT629" s="6"/>
      <c r="CU629" s="7"/>
      <c r="CV629" s="8">
        <f t="shared" si="78"/>
        <v>0</v>
      </c>
      <c r="CW629" s="9"/>
      <c r="CX629" s="10"/>
      <c r="CY629" s="11"/>
      <c r="CZ629" s="12"/>
      <c r="DA629" s="29"/>
      <c r="DB629" s="12"/>
      <c r="DC629" s="9"/>
      <c r="DD629" s="10"/>
      <c r="DE629" s="71"/>
      <c r="EO629" s="353" t="str">
        <f t="shared" si="81"/>
        <v>CHOCO_RIOSUCIO</v>
      </c>
      <c r="EP629" s="350"/>
      <c r="EQ629" s="350" t="s">
        <v>4420</v>
      </c>
      <c r="ER629" s="358" t="s">
        <v>3276</v>
      </c>
      <c r="ES629" s="350" t="s">
        <v>5292</v>
      </c>
      <c r="ET629" s="350" t="s">
        <v>5881</v>
      </c>
      <c r="EU629" s="350" t="str">
        <f t="shared" si="80"/>
        <v>Huila_Guadalupe</v>
      </c>
    </row>
    <row r="630" spans="1:151" ht="45" x14ac:dyDescent="0.2">
      <c r="A630" s="242">
        <v>40332</v>
      </c>
      <c r="B630" s="107" t="s">
        <v>2401</v>
      </c>
      <c r="C630" s="107" t="s">
        <v>2747</v>
      </c>
      <c r="D630" s="427" t="s">
        <v>1721</v>
      </c>
      <c r="E630" s="107" t="str">
        <f>VLOOKUP(B630&amp;C630,Divipola!$C$2:$F$1138,4,FALSE)</f>
        <v>05001</v>
      </c>
      <c r="F630" s="330"/>
      <c r="G630" s="224"/>
      <c r="H630" s="75"/>
      <c r="I630" s="75"/>
      <c r="J630" s="75">
        <v>531</v>
      </c>
      <c r="K630" s="75">
        <v>144</v>
      </c>
      <c r="L630" s="75">
        <v>144</v>
      </c>
      <c r="M630" s="75"/>
      <c r="N630" s="75"/>
      <c r="O630" s="75"/>
      <c r="P630" s="75"/>
      <c r="Q630" s="75"/>
      <c r="R630" s="75"/>
      <c r="S630" s="75"/>
      <c r="T630" s="75"/>
      <c r="U630" s="75"/>
      <c r="V630" s="76"/>
      <c r="W630" s="205"/>
      <c r="X630" s="1">
        <v>40354</v>
      </c>
      <c r="Y630" s="78">
        <f t="shared" si="74"/>
        <v>62185650</v>
      </c>
      <c r="Z630" s="78">
        <f t="shared" si="75"/>
        <v>0</v>
      </c>
      <c r="AA630" s="78">
        <f t="shared" si="76"/>
        <v>0</v>
      </c>
      <c r="AB630" s="78">
        <f t="shared" si="77"/>
        <v>0</v>
      </c>
      <c r="AC630" s="78"/>
      <c r="AD630" s="78">
        <v>0</v>
      </c>
      <c r="AE630" s="80">
        <f t="shared" si="79"/>
        <v>62185650</v>
      </c>
      <c r="AF630" s="82">
        <v>0</v>
      </c>
      <c r="AG630" s="69">
        <v>40333</v>
      </c>
      <c r="AH630" s="84">
        <v>98061</v>
      </c>
      <c r="AI630" s="69" t="s">
        <v>2009</v>
      </c>
      <c r="AJ630" s="25" t="s">
        <v>2010</v>
      </c>
      <c r="AK630" s="65">
        <v>172</v>
      </c>
      <c r="AL630" s="185" t="s">
        <v>2182</v>
      </c>
      <c r="AM630" s="85" t="s">
        <v>1450</v>
      </c>
      <c r="AN630" s="3"/>
      <c r="AO630" s="4"/>
      <c r="AP630" s="5"/>
      <c r="AQ630" s="4"/>
      <c r="AR630" s="4"/>
      <c r="AS630" s="4"/>
      <c r="AT630" s="4"/>
      <c r="AU630" s="4"/>
      <c r="AV630" s="4">
        <v>500</v>
      </c>
      <c r="AW630" s="4">
        <f>500*21000</f>
        <v>10500000</v>
      </c>
      <c r="AX630" s="4"/>
      <c r="AY630" s="4"/>
      <c r="AZ630" s="4">
        <v>500</v>
      </c>
      <c r="BA630" s="4">
        <f>500*56000</f>
        <v>28000000</v>
      </c>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v>500</v>
      </c>
      <c r="CI630" s="4">
        <f>500*25000</f>
        <v>12500000</v>
      </c>
      <c r="CJ630" s="4"/>
      <c r="CK630" s="4"/>
      <c r="CL630" s="4"/>
      <c r="CM630" s="4"/>
      <c r="CN630" s="4"/>
      <c r="CO630" s="4"/>
      <c r="CP630" s="6">
        <v>150</v>
      </c>
      <c r="CQ630" s="7">
        <f>150*36595</f>
        <v>5489250</v>
      </c>
      <c r="CR630" s="6">
        <v>150</v>
      </c>
      <c r="CS630" s="7">
        <f>150*37976</f>
        <v>5696400</v>
      </c>
      <c r="CT630" s="6"/>
      <c r="CU630" s="7"/>
      <c r="CV630" s="8">
        <f t="shared" si="78"/>
        <v>62185650</v>
      </c>
      <c r="CW630" s="9"/>
      <c r="CX630" s="10"/>
      <c r="CY630" s="11"/>
      <c r="CZ630" s="12"/>
      <c r="DA630" s="29"/>
      <c r="DB630" s="12"/>
      <c r="DC630" s="9"/>
      <c r="DD630" s="10"/>
      <c r="DE630" s="71"/>
      <c r="EO630" s="353" t="str">
        <f t="shared" si="81"/>
        <v>ANTIOQUIA_MEDELLIN</v>
      </c>
      <c r="EP630" s="350"/>
      <c r="EQ630" s="350" t="s">
        <v>4420</v>
      </c>
      <c r="ER630" s="358" t="s">
        <v>3276</v>
      </c>
      <c r="ES630" s="350" t="s">
        <v>5293</v>
      </c>
      <c r="ET630" s="350" t="s">
        <v>3289</v>
      </c>
      <c r="EU630" s="350" t="str">
        <f t="shared" si="80"/>
        <v>Huila_Hobo</v>
      </c>
    </row>
    <row r="631" spans="1:151" ht="25.5" x14ac:dyDescent="0.2">
      <c r="A631" s="246">
        <v>40332</v>
      </c>
      <c r="B631" s="238" t="s">
        <v>2401</v>
      </c>
      <c r="C631" s="238" t="s">
        <v>2264</v>
      </c>
      <c r="D631" s="431" t="s">
        <v>2307</v>
      </c>
      <c r="E631" s="107" t="str">
        <f>VLOOKUP(B631&amp;C631,Divipola!$C$2:$F$1138,4,FALSE)</f>
        <v>05736</v>
      </c>
      <c r="F631" s="334"/>
      <c r="G631" s="224">
        <v>2</v>
      </c>
      <c r="H631" s="75">
        <v>5</v>
      </c>
      <c r="I631" s="75"/>
      <c r="J631" s="75">
        <v>7</v>
      </c>
      <c r="K631" s="75">
        <v>1</v>
      </c>
      <c r="L631" s="75">
        <v>1</v>
      </c>
      <c r="M631" s="75"/>
      <c r="N631" s="75"/>
      <c r="O631" s="75"/>
      <c r="P631" s="75"/>
      <c r="Q631" s="75"/>
      <c r="R631" s="75"/>
      <c r="S631" s="75"/>
      <c r="T631" s="75"/>
      <c r="U631" s="75"/>
      <c r="V631" s="76"/>
      <c r="W631" s="205"/>
      <c r="X631" s="1"/>
      <c r="Y631" s="78">
        <f t="shared" si="74"/>
        <v>0</v>
      </c>
      <c r="Z631" s="78">
        <f t="shared" si="75"/>
        <v>0</v>
      </c>
      <c r="AA631" s="78">
        <f t="shared" si="76"/>
        <v>0</v>
      </c>
      <c r="AB631" s="78">
        <f t="shared" si="77"/>
        <v>0</v>
      </c>
      <c r="AC631" s="78"/>
      <c r="AD631" s="78">
        <v>0</v>
      </c>
      <c r="AE631" s="80">
        <f t="shared" si="79"/>
        <v>0</v>
      </c>
      <c r="AF631" s="82">
        <v>0</v>
      </c>
      <c r="AG631" s="69">
        <v>40332</v>
      </c>
      <c r="AH631" s="84"/>
      <c r="AI631" s="69" t="s">
        <v>1984</v>
      </c>
      <c r="AJ631" s="25" t="s">
        <v>1985</v>
      </c>
      <c r="AK631" s="65"/>
      <c r="AL631" s="185" t="s">
        <v>1257</v>
      </c>
      <c r="AM631" s="85" t="s">
        <v>921</v>
      </c>
      <c r="AN631" s="3"/>
      <c r="AO631" s="4"/>
      <c r="AP631" s="5"/>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6"/>
      <c r="CQ631" s="7"/>
      <c r="CR631" s="6"/>
      <c r="CS631" s="7"/>
      <c r="CT631" s="6"/>
      <c r="CU631" s="7"/>
      <c r="CV631" s="8">
        <f t="shared" si="78"/>
        <v>0</v>
      </c>
      <c r="CW631" s="9"/>
      <c r="CX631" s="10"/>
      <c r="CY631" s="11"/>
      <c r="CZ631" s="12"/>
      <c r="DA631" s="29"/>
      <c r="DB631" s="12"/>
      <c r="DC631" s="9"/>
      <c r="DD631" s="10"/>
      <c r="DE631" s="71"/>
      <c r="EO631" s="353" t="str">
        <f t="shared" si="81"/>
        <v>ANTIOQUIA_SEGOVIA</v>
      </c>
      <c r="EP631" s="350"/>
      <c r="EQ631" s="350" t="s">
        <v>4420</v>
      </c>
      <c r="ER631" s="358" t="s">
        <v>3276</v>
      </c>
      <c r="ES631" s="350" t="s">
        <v>5294</v>
      </c>
      <c r="ET631" s="350" t="s">
        <v>3290</v>
      </c>
      <c r="EU631" s="350" t="str">
        <f t="shared" si="80"/>
        <v>Huila_Iquira</v>
      </c>
    </row>
    <row r="632" spans="1:151" ht="38.25" x14ac:dyDescent="0.2">
      <c r="A632" s="242">
        <v>40333</v>
      </c>
      <c r="B632" s="107" t="s">
        <v>1951</v>
      </c>
      <c r="C632" s="107" t="s">
        <v>1989</v>
      </c>
      <c r="D632" s="427" t="s">
        <v>2209</v>
      </c>
      <c r="E632" s="107" t="str">
        <f>VLOOKUP(B632&amp;C632,Divipola!$C$2:$F$1138,4,FALSE)</f>
        <v>08001</v>
      </c>
      <c r="F632" s="330"/>
      <c r="G632" s="224"/>
      <c r="H632" s="75"/>
      <c r="I632" s="75"/>
      <c r="J632" s="75">
        <v>110</v>
      </c>
      <c r="K632" s="75">
        <v>22</v>
      </c>
      <c r="L632" s="75"/>
      <c r="M632" s="75">
        <v>22</v>
      </c>
      <c r="N632" s="75"/>
      <c r="O632" s="75"/>
      <c r="P632" s="75"/>
      <c r="Q632" s="75"/>
      <c r="R632" s="75"/>
      <c r="S632" s="75"/>
      <c r="T632" s="75"/>
      <c r="U632" s="75"/>
      <c r="V632" s="76"/>
      <c r="W632" s="205"/>
      <c r="X632" s="1"/>
      <c r="Y632" s="78">
        <f t="shared" si="74"/>
        <v>0</v>
      </c>
      <c r="Z632" s="78">
        <f t="shared" si="75"/>
        <v>0</v>
      </c>
      <c r="AA632" s="78">
        <f t="shared" si="76"/>
        <v>0</v>
      </c>
      <c r="AB632" s="78">
        <f t="shared" si="77"/>
        <v>0</v>
      </c>
      <c r="AC632" s="78"/>
      <c r="AD632" s="78">
        <v>0</v>
      </c>
      <c r="AE632" s="80">
        <f t="shared" si="79"/>
        <v>0</v>
      </c>
      <c r="AF632" s="82">
        <v>0</v>
      </c>
      <c r="AG632" s="69">
        <v>40336</v>
      </c>
      <c r="AH632" s="84"/>
      <c r="AI632" s="69" t="s">
        <v>1984</v>
      </c>
      <c r="AJ632" s="25" t="s">
        <v>1985</v>
      </c>
      <c r="AK632" s="65"/>
      <c r="AL632" s="185" t="s">
        <v>1257</v>
      </c>
      <c r="AM632" s="85" t="s">
        <v>1341</v>
      </c>
      <c r="AN632" s="3"/>
      <c r="AO632" s="4"/>
      <c r="AP632" s="5"/>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6"/>
      <c r="CQ632" s="7"/>
      <c r="CR632" s="6"/>
      <c r="CS632" s="7"/>
      <c r="CT632" s="6"/>
      <c r="CU632" s="7"/>
      <c r="CV632" s="8">
        <f t="shared" si="78"/>
        <v>0</v>
      </c>
      <c r="CW632" s="9"/>
      <c r="CX632" s="10"/>
      <c r="CY632" s="11"/>
      <c r="CZ632" s="12"/>
      <c r="DA632" s="29"/>
      <c r="DB632" s="12"/>
      <c r="DC632" s="9"/>
      <c r="DD632" s="10"/>
      <c r="DE632" s="71"/>
      <c r="EO632" s="353" t="str">
        <f t="shared" si="81"/>
        <v>ATLANTICO_BARRANQUILLA</v>
      </c>
      <c r="EP632" s="350"/>
      <c r="EQ632" s="350" t="s">
        <v>4420</v>
      </c>
      <c r="ER632" s="358" t="s">
        <v>3276</v>
      </c>
      <c r="ES632" s="350" t="s">
        <v>5295</v>
      </c>
      <c r="ET632" s="350" t="s">
        <v>3291</v>
      </c>
      <c r="EU632" s="350" t="str">
        <f t="shared" si="80"/>
        <v>Huila_Isnos</v>
      </c>
    </row>
    <row r="633" spans="1:151" ht="25.5" x14ac:dyDescent="0.2">
      <c r="A633" s="242">
        <v>40333</v>
      </c>
      <c r="B633" s="107" t="s">
        <v>1951</v>
      </c>
      <c r="C633" s="107" t="s">
        <v>1342</v>
      </c>
      <c r="D633" s="427" t="s">
        <v>2209</v>
      </c>
      <c r="E633" s="107" t="str">
        <f>VLOOKUP(B633&amp;C633,Divipola!$C$2:$F$1138,4,FALSE)</f>
        <v>08296</v>
      </c>
      <c r="F633" s="330"/>
      <c r="G633" s="224"/>
      <c r="H633" s="75"/>
      <c r="I633" s="75"/>
      <c r="J633" s="75">
        <f>140*5</f>
        <v>700</v>
      </c>
      <c r="K633" s="75">
        <v>140</v>
      </c>
      <c r="L633" s="75"/>
      <c r="M633" s="75">
        <v>9</v>
      </c>
      <c r="N633" s="75"/>
      <c r="O633" s="75"/>
      <c r="P633" s="75"/>
      <c r="Q633" s="75"/>
      <c r="R633" s="75"/>
      <c r="S633" s="75"/>
      <c r="T633" s="75"/>
      <c r="U633" s="75"/>
      <c r="V633" s="76"/>
      <c r="W633" s="205"/>
      <c r="X633" s="1"/>
      <c r="Y633" s="78">
        <f t="shared" si="74"/>
        <v>0</v>
      </c>
      <c r="Z633" s="78">
        <f t="shared" si="75"/>
        <v>0</v>
      </c>
      <c r="AA633" s="78">
        <f t="shared" si="76"/>
        <v>0</v>
      </c>
      <c r="AB633" s="78">
        <f t="shared" si="77"/>
        <v>0</v>
      </c>
      <c r="AC633" s="78"/>
      <c r="AD633" s="78">
        <v>0</v>
      </c>
      <c r="AE633" s="80">
        <f t="shared" si="79"/>
        <v>0</v>
      </c>
      <c r="AF633" s="82">
        <v>0</v>
      </c>
      <c r="AG633" s="69">
        <v>40336</v>
      </c>
      <c r="AH633" s="84"/>
      <c r="AI633" s="69" t="s">
        <v>1984</v>
      </c>
      <c r="AJ633" s="25" t="s">
        <v>1985</v>
      </c>
      <c r="AK633" s="65"/>
      <c r="AL633" s="185" t="s">
        <v>1257</v>
      </c>
      <c r="AM633" s="85" t="s">
        <v>143</v>
      </c>
      <c r="AN633" s="3"/>
      <c r="AO633" s="4"/>
      <c r="AP633" s="5"/>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6"/>
      <c r="CQ633" s="7"/>
      <c r="CR633" s="6"/>
      <c r="CS633" s="7"/>
      <c r="CT633" s="6"/>
      <c r="CU633" s="7"/>
      <c r="CV633" s="8">
        <f t="shared" si="78"/>
        <v>0</v>
      </c>
      <c r="CW633" s="9"/>
      <c r="CX633" s="10"/>
      <c r="CY633" s="11"/>
      <c r="CZ633" s="12"/>
      <c r="DA633" s="29"/>
      <c r="DB633" s="12"/>
      <c r="DC633" s="9"/>
      <c r="DD633" s="10"/>
      <c r="DE633" s="71"/>
      <c r="EO633" s="353" t="str">
        <f t="shared" si="81"/>
        <v>ATLANTICO_GALAPA</v>
      </c>
      <c r="EP633" s="350"/>
      <c r="EQ633" s="350" t="s">
        <v>4420</v>
      </c>
      <c r="ER633" s="358" t="s">
        <v>3276</v>
      </c>
      <c r="ES633" s="350" t="s">
        <v>5296</v>
      </c>
      <c r="ET633" s="350" t="s">
        <v>3292</v>
      </c>
      <c r="EU633" s="350" t="str">
        <f t="shared" si="80"/>
        <v>Huila_La Argentina</v>
      </c>
    </row>
    <row r="634" spans="1:151" ht="25.5" x14ac:dyDescent="0.2">
      <c r="A634" s="242">
        <v>40333</v>
      </c>
      <c r="B634" s="107" t="s">
        <v>828</v>
      </c>
      <c r="C634" s="107" t="s">
        <v>2340</v>
      </c>
      <c r="D634" s="427" t="s">
        <v>2307</v>
      </c>
      <c r="E634" s="107" t="str">
        <f>VLOOKUP(B634&amp;C634,Divipola!$C$2:$F$1138,4,FALSE)</f>
        <v>15047</v>
      </c>
      <c r="F634" s="330"/>
      <c r="G634" s="224"/>
      <c r="H634" s="75"/>
      <c r="I634" s="75"/>
      <c r="J634" s="75">
        <v>50</v>
      </c>
      <c r="K634" s="75">
        <v>10</v>
      </c>
      <c r="L634" s="75">
        <v>3</v>
      </c>
      <c r="M634" s="75">
        <v>7</v>
      </c>
      <c r="N634" s="75">
        <v>1</v>
      </c>
      <c r="O634" s="75"/>
      <c r="P634" s="75"/>
      <c r="Q634" s="75"/>
      <c r="R634" s="75"/>
      <c r="S634" s="75"/>
      <c r="T634" s="75"/>
      <c r="U634" s="75"/>
      <c r="V634" s="76"/>
      <c r="W634" s="205"/>
      <c r="X634" s="1"/>
      <c r="Y634" s="78">
        <f t="shared" si="74"/>
        <v>0</v>
      </c>
      <c r="Z634" s="78">
        <f t="shared" si="75"/>
        <v>0</v>
      </c>
      <c r="AA634" s="78">
        <f t="shared" si="76"/>
        <v>0</v>
      </c>
      <c r="AB634" s="78">
        <f t="shared" si="77"/>
        <v>0</v>
      </c>
      <c r="AC634" s="78"/>
      <c r="AD634" s="78">
        <v>0</v>
      </c>
      <c r="AE634" s="80">
        <f t="shared" si="79"/>
        <v>0</v>
      </c>
      <c r="AF634" s="82">
        <v>0</v>
      </c>
      <c r="AG634" s="69">
        <v>40344</v>
      </c>
      <c r="AH634" s="84"/>
      <c r="AI634" s="69" t="s">
        <v>1984</v>
      </c>
      <c r="AJ634" s="25" t="s">
        <v>1985</v>
      </c>
      <c r="AK634" s="65"/>
      <c r="AL634" s="185" t="s">
        <v>1257</v>
      </c>
      <c r="AM634" s="85" t="s">
        <v>2097</v>
      </c>
      <c r="AN634" s="3"/>
      <c r="AO634" s="4"/>
      <c r="AP634" s="5"/>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6"/>
      <c r="CQ634" s="7"/>
      <c r="CR634" s="6"/>
      <c r="CS634" s="7"/>
      <c r="CT634" s="6"/>
      <c r="CU634" s="7"/>
      <c r="CV634" s="8">
        <f t="shared" si="78"/>
        <v>0</v>
      </c>
      <c r="CW634" s="9"/>
      <c r="CX634" s="10"/>
      <c r="CY634" s="11"/>
      <c r="CZ634" s="12"/>
      <c r="DA634" s="29"/>
      <c r="DB634" s="12"/>
      <c r="DC634" s="9"/>
      <c r="DD634" s="10"/>
      <c r="DE634" s="71"/>
      <c r="EO634" s="353" t="str">
        <f t="shared" si="81"/>
        <v>BOYACA_AQUITANIA</v>
      </c>
      <c r="EP634" s="350"/>
      <c r="EQ634" s="350" t="s">
        <v>4420</v>
      </c>
      <c r="ER634" s="358" t="s">
        <v>3276</v>
      </c>
      <c r="ES634" s="350" t="s">
        <v>5297</v>
      </c>
      <c r="ET634" s="350" t="s">
        <v>3293</v>
      </c>
      <c r="EU634" s="350" t="str">
        <f t="shared" si="80"/>
        <v>Huila_La Plata</v>
      </c>
    </row>
    <row r="635" spans="1:151" ht="38.25" x14ac:dyDescent="0.2">
      <c r="A635" s="242">
        <v>40333</v>
      </c>
      <c r="B635" s="107" t="s">
        <v>828</v>
      </c>
      <c r="C635" s="107" t="s">
        <v>2098</v>
      </c>
      <c r="D635" s="427" t="s">
        <v>2307</v>
      </c>
      <c r="E635" s="107" t="str">
        <f>VLOOKUP(B635&amp;C635,Divipola!$C$2:$F$1138,4,FALSE)</f>
        <v>15660</v>
      </c>
      <c r="F635" s="330"/>
      <c r="G635" s="224"/>
      <c r="H635" s="75"/>
      <c r="I635" s="75"/>
      <c r="J635" s="75">
        <f>70*5</f>
        <v>350</v>
      </c>
      <c r="K635" s="75">
        <v>70</v>
      </c>
      <c r="L635" s="75">
        <v>1</v>
      </c>
      <c r="M635" s="75">
        <v>68</v>
      </c>
      <c r="N635" s="75"/>
      <c r="O635" s="75"/>
      <c r="P635" s="75">
        <v>2</v>
      </c>
      <c r="Q635" s="75">
        <v>1</v>
      </c>
      <c r="R635" s="75"/>
      <c r="S635" s="75"/>
      <c r="T635" s="75"/>
      <c r="U635" s="75"/>
      <c r="V635" s="76"/>
      <c r="W635" s="205"/>
      <c r="X635" s="1"/>
      <c r="Y635" s="78">
        <f t="shared" si="74"/>
        <v>0</v>
      </c>
      <c r="Z635" s="78">
        <f t="shared" si="75"/>
        <v>0</v>
      </c>
      <c r="AA635" s="78">
        <f t="shared" si="76"/>
        <v>0</v>
      </c>
      <c r="AB635" s="78">
        <f t="shared" si="77"/>
        <v>0</v>
      </c>
      <c r="AC635" s="78"/>
      <c r="AD635" s="78">
        <v>0</v>
      </c>
      <c r="AE635" s="80">
        <f t="shared" si="79"/>
        <v>0</v>
      </c>
      <c r="AF635" s="82">
        <v>0</v>
      </c>
      <c r="AG635" s="69">
        <v>40344</v>
      </c>
      <c r="AH635" s="84"/>
      <c r="AI635" s="69" t="s">
        <v>1984</v>
      </c>
      <c r="AJ635" s="25" t="s">
        <v>1985</v>
      </c>
      <c r="AK635" s="65"/>
      <c r="AL635" s="185" t="s">
        <v>1257</v>
      </c>
      <c r="AM635" s="85" t="s">
        <v>2099</v>
      </c>
      <c r="AN635" s="3"/>
      <c r="AO635" s="4"/>
      <c r="AP635" s="5"/>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6"/>
      <c r="CQ635" s="7"/>
      <c r="CR635" s="6"/>
      <c r="CS635" s="7"/>
      <c r="CT635" s="6"/>
      <c r="CU635" s="7"/>
      <c r="CV635" s="8">
        <f t="shared" si="78"/>
        <v>0</v>
      </c>
      <c r="CW635" s="9"/>
      <c r="CX635" s="10"/>
      <c r="CY635" s="11"/>
      <c r="CZ635" s="12"/>
      <c r="DA635" s="29"/>
      <c r="DB635" s="12"/>
      <c r="DC635" s="9"/>
      <c r="DD635" s="10"/>
      <c r="DE635" s="71"/>
      <c r="EO635" s="353" t="str">
        <f t="shared" si="81"/>
        <v>BOYACA_SAN EDUARDO</v>
      </c>
      <c r="EP635" s="350"/>
      <c r="EQ635" s="350" t="s">
        <v>4420</v>
      </c>
      <c r="ER635" s="358" t="s">
        <v>3276</v>
      </c>
      <c r="ES635" s="350" t="s">
        <v>5298</v>
      </c>
      <c r="ET635" s="350" t="s">
        <v>3294</v>
      </c>
      <c r="EU635" s="350" t="str">
        <f t="shared" si="80"/>
        <v>Huila_Nataga</v>
      </c>
    </row>
    <row r="636" spans="1:151" ht="38.25" x14ac:dyDescent="0.2">
      <c r="A636" s="242">
        <v>40333</v>
      </c>
      <c r="B636" s="222" t="s">
        <v>828</v>
      </c>
      <c r="C636" s="222" t="s">
        <v>400</v>
      </c>
      <c r="D636" s="430" t="s">
        <v>2307</v>
      </c>
      <c r="E636" s="107" t="str">
        <f>VLOOKUP(B636&amp;C636,Divipola!$C$2:$F$1138,4,FALSE)</f>
        <v>15664</v>
      </c>
      <c r="F636" s="333"/>
      <c r="G636" s="221"/>
      <c r="H636" s="157"/>
      <c r="I636" s="157"/>
      <c r="J636" s="157">
        <f>450*5</f>
        <v>2250</v>
      </c>
      <c r="K636" s="157">
        <v>450</v>
      </c>
      <c r="L636" s="157"/>
      <c r="M636" s="157">
        <v>450</v>
      </c>
      <c r="N636" s="157"/>
      <c r="O636" s="157"/>
      <c r="P636" s="157"/>
      <c r="Q636" s="157"/>
      <c r="R636" s="157"/>
      <c r="S636" s="157"/>
      <c r="T636" s="157"/>
      <c r="U636" s="157"/>
      <c r="V636" s="158"/>
      <c r="W636" s="182"/>
      <c r="X636" s="1"/>
      <c r="Y636" s="78">
        <f t="shared" si="74"/>
        <v>0</v>
      </c>
      <c r="Z636" s="78">
        <f t="shared" si="75"/>
        <v>0</v>
      </c>
      <c r="AA636" s="78">
        <f t="shared" si="76"/>
        <v>0</v>
      </c>
      <c r="AB636" s="78">
        <f t="shared" si="77"/>
        <v>0</v>
      </c>
      <c r="AC636" s="78"/>
      <c r="AD636" s="78">
        <v>0</v>
      </c>
      <c r="AE636" s="80">
        <f t="shared" si="79"/>
        <v>0</v>
      </c>
      <c r="AF636" s="82">
        <v>0</v>
      </c>
      <c r="AG636" s="69">
        <v>40589</v>
      </c>
      <c r="AH636" s="84"/>
      <c r="AI636" s="69" t="s">
        <v>1984</v>
      </c>
      <c r="AJ636" s="25" t="s">
        <v>1985</v>
      </c>
      <c r="AK636" s="65"/>
      <c r="AL636" s="176" t="s">
        <v>1257</v>
      </c>
      <c r="AM636" s="173" t="s">
        <v>391</v>
      </c>
      <c r="AN636" s="159"/>
      <c r="AO636" s="160"/>
      <c r="AP636" s="161"/>
      <c r="AQ636" s="160"/>
      <c r="AR636" s="160"/>
      <c r="AS636" s="160"/>
      <c r="AT636" s="160"/>
      <c r="AU636" s="160"/>
      <c r="AV636" s="160"/>
      <c r="AW636" s="160"/>
      <c r="AX636" s="160"/>
      <c r="AY636" s="160"/>
      <c r="AZ636" s="160"/>
      <c r="BA636" s="160"/>
      <c r="BB636" s="160"/>
      <c r="BC636" s="160"/>
      <c r="BD636" s="160"/>
      <c r="BE636" s="160"/>
      <c r="BF636" s="160"/>
      <c r="BG636" s="160"/>
      <c r="BH636" s="160"/>
      <c r="BI636" s="160"/>
      <c r="BJ636" s="160"/>
      <c r="BK636" s="160"/>
      <c r="BL636" s="160"/>
      <c r="BM636" s="160"/>
      <c r="BN636" s="160"/>
      <c r="BO636" s="160"/>
      <c r="BP636" s="160"/>
      <c r="BQ636" s="160"/>
      <c r="BR636" s="160"/>
      <c r="BS636" s="160"/>
      <c r="BT636" s="160"/>
      <c r="BU636" s="160"/>
      <c r="BV636" s="160"/>
      <c r="BW636" s="160"/>
      <c r="BX636" s="160"/>
      <c r="BY636" s="160"/>
      <c r="BZ636" s="160"/>
      <c r="CA636" s="160"/>
      <c r="CB636" s="160"/>
      <c r="CC636" s="160"/>
      <c r="CD636" s="160"/>
      <c r="CE636" s="160"/>
      <c r="CF636" s="160"/>
      <c r="CG636" s="160"/>
      <c r="CH636" s="160"/>
      <c r="CI636" s="160"/>
      <c r="CJ636" s="160"/>
      <c r="CK636" s="160"/>
      <c r="CL636" s="160"/>
      <c r="CM636" s="160"/>
      <c r="CN636" s="160"/>
      <c r="CO636" s="160"/>
      <c r="CP636" s="162"/>
      <c r="CQ636" s="163"/>
      <c r="CR636" s="162"/>
      <c r="CS636" s="163"/>
      <c r="CT636" s="162"/>
      <c r="CU636" s="163"/>
      <c r="CV636" s="164">
        <f t="shared" si="78"/>
        <v>0</v>
      </c>
      <c r="CW636" s="165"/>
      <c r="CX636" s="166"/>
      <c r="CY636" s="167"/>
      <c r="CZ636" s="168"/>
      <c r="DA636" s="169"/>
      <c r="DB636" s="168"/>
      <c r="DC636" s="165"/>
      <c r="DD636" s="166"/>
      <c r="DE636" s="71"/>
      <c r="DF636" s="170"/>
      <c r="EO636" s="353" t="str">
        <f t="shared" si="81"/>
        <v>BOYACA_SAN JOSE DE PARE</v>
      </c>
      <c r="EP636" s="350"/>
      <c r="EQ636" s="350" t="s">
        <v>4420</v>
      </c>
      <c r="ER636" s="358" t="s">
        <v>3276</v>
      </c>
      <c r="ES636" s="350" t="s">
        <v>5299</v>
      </c>
      <c r="ET636" s="350" t="s">
        <v>3295</v>
      </c>
      <c r="EU636" s="350" t="str">
        <f t="shared" si="80"/>
        <v>Huila_Oporapa</v>
      </c>
    </row>
    <row r="637" spans="1:151" ht="25.5" x14ac:dyDescent="0.2">
      <c r="A637" s="242">
        <v>40333</v>
      </c>
      <c r="B637" s="107" t="s">
        <v>2425</v>
      </c>
      <c r="C637" s="107" t="s">
        <v>2374</v>
      </c>
      <c r="D637" s="427" t="s">
        <v>2307</v>
      </c>
      <c r="E637" s="107" t="str">
        <f>VLOOKUP(B637&amp;C637,Divipola!$C$2:$F$1138,4,FALSE)</f>
        <v>27001</v>
      </c>
      <c r="F637" s="330"/>
      <c r="G637" s="224"/>
      <c r="H637" s="75"/>
      <c r="I637" s="75"/>
      <c r="J637" s="75">
        <v>27</v>
      </c>
      <c r="K637" s="75">
        <v>5</v>
      </c>
      <c r="L637" s="75"/>
      <c r="M637" s="75"/>
      <c r="N637" s="75"/>
      <c r="O637" s="75"/>
      <c r="P637" s="75"/>
      <c r="Q637" s="75"/>
      <c r="R637" s="75"/>
      <c r="S637" s="75"/>
      <c r="T637" s="75"/>
      <c r="U637" s="75"/>
      <c r="V637" s="76"/>
      <c r="W637" s="205"/>
      <c r="X637" s="1"/>
      <c r="Y637" s="78">
        <f t="shared" si="74"/>
        <v>0</v>
      </c>
      <c r="Z637" s="78">
        <f t="shared" si="75"/>
        <v>0</v>
      </c>
      <c r="AA637" s="78">
        <f t="shared" si="76"/>
        <v>0</v>
      </c>
      <c r="AB637" s="78">
        <f t="shared" si="77"/>
        <v>0</v>
      </c>
      <c r="AC637" s="78"/>
      <c r="AD637" s="78">
        <v>0</v>
      </c>
      <c r="AE637" s="80">
        <f t="shared" si="79"/>
        <v>0</v>
      </c>
      <c r="AF637" s="82">
        <v>0</v>
      </c>
      <c r="AG637" s="69">
        <v>40336</v>
      </c>
      <c r="AH637" s="84"/>
      <c r="AI637" s="69" t="s">
        <v>1984</v>
      </c>
      <c r="AJ637" s="25" t="s">
        <v>1985</v>
      </c>
      <c r="AK637" s="65"/>
      <c r="AL637" s="185" t="s">
        <v>1257</v>
      </c>
      <c r="AM637" s="85" t="s">
        <v>1340</v>
      </c>
      <c r="AN637" s="3"/>
      <c r="AO637" s="4"/>
      <c r="AP637" s="5"/>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6"/>
      <c r="CQ637" s="7"/>
      <c r="CR637" s="6"/>
      <c r="CS637" s="7"/>
      <c r="CT637" s="6"/>
      <c r="CU637" s="7"/>
      <c r="CV637" s="8">
        <f t="shared" si="78"/>
        <v>0</v>
      </c>
      <c r="CW637" s="9"/>
      <c r="CX637" s="10"/>
      <c r="CY637" s="11"/>
      <c r="CZ637" s="12"/>
      <c r="DA637" s="29"/>
      <c r="DB637" s="12"/>
      <c r="DC637" s="9"/>
      <c r="DD637" s="10"/>
      <c r="DE637" s="71"/>
      <c r="EO637" s="353" t="str">
        <f t="shared" si="81"/>
        <v>CHOCO_QUIBDO</v>
      </c>
      <c r="EP637" s="350"/>
      <c r="EQ637" s="350" t="s">
        <v>4420</v>
      </c>
      <c r="ER637" s="358" t="s">
        <v>3276</v>
      </c>
      <c r="ES637" s="350" t="s">
        <v>5300</v>
      </c>
      <c r="ET637" s="350" t="s">
        <v>3296</v>
      </c>
      <c r="EU637" s="350" t="str">
        <f t="shared" si="80"/>
        <v>Huila_Paicol</v>
      </c>
    </row>
    <row r="638" spans="1:151" ht="63.75" x14ac:dyDescent="0.2">
      <c r="A638" s="242">
        <v>40333</v>
      </c>
      <c r="B638" s="107" t="s">
        <v>1700</v>
      </c>
      <c r="C638" s="107" t="s">
        <v>1337</v>
      </c>
      <c r="D638" s="427" t="s">
        <v>837</v>
      </c>
      <c r="E638" s="107" t="str">
        <f>VLOOKUP(B638&amp;C638,Divipola!$C$2:$F$1138,4,FALSE)</f>
        <v>23675</v>
      </c>
      <c r="F638" s="330"/>
      <c r="G638" s="224"/>
      <c r="H638" s="75"/>
      <c r="I638" s="75"/>
      <c r="J638" s="75">
        <v>500</v>
      </c>
      <c r="K638" s="75">
        <v>100</v>
      </c>
      <c r="L638" s="75"/>
      <c r="M638" s="75">
        <v>100</v>
      </c>
      <c r="N638" s="75"/>
      <c r="O638" s="75"/>
      <c r="P638" s="75"/>
      <c r="Q638" s="75"/>
      <c r="R638" s="75"/>
      <c r="S638" s="75"/>
      <c r="T638" s="75"/>
      <c r="U638" s="75"/>
      <c r="V638" s="76"/>
      <c r="W638" s="205"/>
      <c r="X638" s="1"/>
      <c r="Y638" s="78">
        <f t="shared" si="74"/>
        <v>0</v>
      </c>
      <c r="Z638" s="78">
        <f t="shared" si="75"/>
        <v>0</v>
      </c>
      <c r="AA638" s="78">
        <f t="shared" si="76"/>
        <v>0</v>
      </c>
      <c r="AB638" s="78">
        <f t="shared" si="77"/>
        <v>0</v>
      </c>
      <c r="AC638" s="78"/>
      <c r="AD638" s="78">
        <v>0</v>
      </c>
      <c r="AE638" s="80">
        <f t="shared" si="79"/>
        <v>0</v>
      </c>
      <c r="AF638" s="82">
        <v>0</v>
      </c>
      <c r="AG638" s="69">
        <v>40336</v>
      </c>
      <c r="AH638" s="84"/>
      <c r="AI638" s="69" t="s">
        <v>1984</v>
      </c>
      <c r="AJ638" s="25" t="s">
        <v>1985</v>
      </c>
      <c r="AK638" s="65"/>
      <c r="AL638" s="185" t="s">
        <v>1257</v>
      </c>
      <c r="AM638" s="85" t="s">
        <v>1338</v>
      </c>
      <c r="AN638" s="3"/>
      <c r="AO638" s="4"/>
      <c r="AP638" s="5"/>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6"/>
      <c r="CQ638" s="7"/>
      <c r="CR638" s="6"/>
      <c r="CS638" s="7"/>
      <c r="CT638" s="6"/>
      <c r="CU638" s="7"/>
      <c r="CV638" s="8">
        <f t="shared" si="78"/>
        <v>0</v>
      </c>
      <c r="CW638" s="9"/>
      <c r="CX638" s="10"/>
      <c r="CY638" s="11"/>
      <c r="CZ638" s="12"/>
      <c r="DA638" s="29"/>
      <c r="DB638" s="12"/>
      <c r="DC638" s="9"/>
      <c r="DD638" s="10"/>
      <c r="DE638" s="71"/>
      <c r="EO638" s="353" t="str">
        <f t="shared" si="81"/>
        <v>CORDOBA_SAN BERNARDO DEL VIENTO</v>
      </c>
      <c r="EP638" s="350"/>
      <c r="EQ638" s="350" t="s">
        <v>4420</v>
      </c>
      <c r="ER638" s="358" t="s">
        <v>3276</v>
      </c>
      <c r="ES638" s="350" t="s">
        <v>5301</v>
      </c>
      <c r="ET638" s="350" t="s">
        <v>3297</v>
      </c>
      <c r="EU638" s="350" t="str">
        <f t="shared" si="80"/>
        <v>Huila_Palermo</v>
      </c>
    </row>
    <row r="639" spans="1:151" ht="38.25" x14ac:dyDescent="0.2">
      <c r="A639" s="242">
        <v>40333</v>
      </c>
      <c r="B639" s="107" t="s">
        <v>2007</v>
      </c>
      <c r="C639" s="107" t="s">
        <v>2740</v>
      </c>
      <c r="D639" s="427" t="s">
        <v>2307</v>
      </c>
      <c r="E639" s="107" t="str">
        <f>VLOOKUP(B639&amp;C639,Divipola!$C$2:$F$1138,4,FALSE)</f>
        <v>25754</v>
      </c>
      <c r="F639" s="330"/>
      <c r="G639" s="224"/>
      <c r="H639" s="75"/>
      <c r="I639" s="75"/>
      <c r="J639" s="75">
        <v>14</v>
      </c>
      <c r="K639" s="75">
        <v>3</v>
      </c>
      <c r="L639" s="75"/>
      <c r="M639" s="75">
        <v>3</v>
      </c>
      <c r="N639" s="75"/>
      <c r="O639" s="75"/>
      <c r="P639" s="75"/>
      <c r="Q639" s="75"/>
      <c r="R639" s="75"/>
      <c r="S639" s="75"/>
      <c r="T639" s="75"/>
      <c r="U639" s="75"/>
      <c r="V639" s="76"/>
      <c r="W639" s="205"/>
      <c r="X639" s="1"/>
      <c r="Y639" s="78">
        <f t="shared" si="74"/>
        <v>0</v>
      </c>
      <c r="Z639" s="78">
        <f t="shared" si="75"/>
        <v>0</v>
      </c>
      <c r="AA639" s="78">
        <f t="shared" si="76"/>
        <v>0</v>
      </c>
      <c r="AB639" s="78">
        <f t="shared" si="77"/>
        <v>0</v>
      </c>
      <c r="AC639" s="78"/>
      <c r="AD639" s="78">
        <v>0</v>
      </c>
      <c r="AE639" s="80">
        <f t="shared" si="79"/>
        <v>0</v>
      </c>
      <c r="AF639" s="82">
        <v>0</v>
      </c>
      <c r="AG639" s="69">
        <v>40336</v>
      </c>
      <c r="AH639" s="84"/>
      <c r="AI639" s="69" t="s">
        <v>1984</v>
      </c>
      <c r="AJ639" s="25" t="s">
        <v>1985</v>
      </c>
      <c r="AK639" s="65"/>
      <c r="AL639" s="185" t="s">
        <v>1257</v>
      </c>
      <c r="AM639" s="85" t="s">
        <v>1339</v>
      </c>
      <c r="AN639" s="3"/>
      <c r="AO639" s="4"/>
      <c r="AP639" s="5"/>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6"/>
      <c r="CQ639" s="7"/>
      <c r="CR639" s="6"/>
      <c r="CS639" s="7"/>
      <c r="CT639" s="6"/>
      <c r="CU639" s="7"/>
      <c r="CV639" s="8">
        <f t="shared" si="78"/>
        <v>0</v>
      </c>
      <c r="CW639" s="9"/>
      <c r="CX639" s="10"/>
      <c r="CY639" s="11"/>
      <c r="CZ639" s="12"/>
      <c r="DA639" s="29"/>
      <c r="DB639" s="12"/>
      <c r="DC639" s="9"/>
      <c r="DD639" s="10"/>
      <c r="DE639" s="71"/>
      <c r="EO639" s="353" t="str">
        <f t="shared" si="81"/>
        <v>CUNDINAMARCA_SOACHA</v>
      </c>
      <c r="EP639" s="350"/>
      <c r="EQ639" s="350" t="s">
        <v>4420</v>
      </c>
      <c r="ER639" s="358" t="s">
        <v>3276</v>
      </c>
      <c r="ES639" s="350" t="s">
        <v>5302</v>
      </c>
      <c r="ET639" s="350" t="s">
        <v>6156</v>
      </c>
      <c r="EU639" s="350" t="str">
        <f t="shared" si="80"/>
        <v>Huila_Palestina</v>
      </c>
    </row>
    <row r="640" spans="1:151" ht="36" x14ac:dyDescent="0.2">
      <c r="A640" s="242">
        <v>40333</v>
      </c>
      <c r="B640" s="107" t="s">
        <v>1333</v>
      </c>
      <c r="C640" s="107" t="s">
        <v>2030</v>
      </c>
      <c r="D640" s="427" t="s">
        <v>2331</v>
      </c>
      <c r="E640" s="107" t="str">
        <f>VLOOKUP(B640&amp;C640,Divipola!$C$2:$F$1138,4,FALSE)</f>
        <v>41319</v>
      </c>
      <c r="F640" s="330"/>
      <c r="G640" s="224"/>
      <c r="H640" s="75"/>
      <c r="I640" s="75"/>
      <c r="J640" s="75"/>
      <c r="K640" s="75"/>
      <c r="L640" s="75"/>
      <c r="M640" s="75"/>
      <c r="N640" s="75"/>
      <c r="O640" s="75"/>
      <c r="P640" s="75"/>
      <c r="Q640" s="75">
        <v>1</v>
      </c>
      <c r="R640" s="75"/>
      <c r="S640" s="75"/>
      <c r="T640" s="75"/>
      <c r="U640" s="75"/>
      <c r="V640" s="76"/>
      <c r="W640" s="205"/>
      <c r="X640" s="1"/>
      <c r="Y640" s="78">
        <f t="shared" si="74"/>
        <v>0</v>
      </c>
      <c r="Z640" s="78">
        <f t="shared" si="75"/>
        <v>0</v>
      </c>
      <c r="AA640" s="78">
        <f t="shared" si="76"/>
        <v>0</v>
      </c>
      <c r="AB640" s="78">
        <f t="shared" si="77"/>
        <v>0</v>
      </c>
      <c r="AC640" s="78"/>
      <c r="AD640" s="78">
        <v>0</v>
      </c>
      <c r="AE640" s="80">
        <f t="shared" si="79"/>
        <v>0</v>
      </c>
      <c r="AF640" s="82">
        <v>0</v>
      </c>
      <c r="AG640" s="69">
        <v>40337</v>
      </c>
      <c r="AH640" s="84"/>
      <c r="AI640" s="69" t="s">
        <v>1984</v>
      </c>
      <c r="AJ640" s="25" t="s">
        <v>1985</v>
      </c>
      <c r="AK640" s="65"/>
      <c r="AL640" s="185" t="s">
        <v>1257</v>
      </c>
      <c r="AM640" s="85" t="s">
        <v>2031</v>
      </c>
      <c r="AN640" s="3"/>
      <c r="AO640" s="4"/>
      <c r="AP640" s="5"/>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6"/>
      <c r="CQ640" s="7"/>
      <c r="CR640" s="6"/>
      <c r="CS640" s="7"/>
      <c r="CT640" s="6"/>
      <c r="CU640" s="7"/>
      <c r="CV640" s="8">
        <f t="shared" si="78"/>
        <v>0</v>
      </c>
      <c r="CW640" s="9"/>
      <c r="CX640" s="10"/>
      <c r="CY640" s="11"/>
      <c r="CZ640" s="12"/>
      <c r="DA640" s="29"/>
      <c r="DB640" s="12"/>
      <c r="DC640" s="9"/>
      <c r="DD640" s="10"/>
      <c r="DE640" s="71"/>
      <c r="EO640" s="353" t="str">
        <f t="shared" si="81"/>
        <v>HUILA_GUADALUPE</v>
      </c>
      <c r="EP640" s="350"/>
      <c r="EQ640" s="350" t="s">
        <v>4420</v>
      </c>
      <c r="ER640" s="358" t="s">
        <v>3276</v>
      </c>
      <c r="ES640" s="350" t="s">
        <v>5303</v>
      </c>
      <c r="ET640" s="350" t="s">
        <v>3298</v>
      </c>
      <c r="EU640" s="350" t="str">
        <f t="shared" si="80"/>
        <v>Huila_Pital</v>
      </c>
    </row>
    <row r="641" spans="1:151" ht="36" x14ac:dyDescent="0.2">
      <c r="A641" s="242">
        <v>40333</v>
      </c>
      <c r="B641" s="107" t="s">
        <v>1333</v>
      </c>
      <c r="C641" s="107" t="s">
        <v>614</v>
      </c>
      <c r="D641" s="427" t="s">
        <v>2307</v>
      </c>
      <c r="E641" s="107" t="str">
        <f>VLOOKUP(B641&amp;C641,Divipola!$C$2:$F$1138,4,FALSE)</f>
        <v>41885</v>
      </c>
      <c r="F641" s="330"/>
      <c r="G641" s="224"/>
      <c r="H641" s="75">
        <v>1</v>
      </c>
      <c r="I641" s="75"/>
      <c r="J641" s="75">
        <f>45-28</f>
        <v>17</v>
      </c>
      <c r="K641" s="75">
        <v>3</v>
      </c>
      <c r="L641" s="75"/>
      <c r="M641" s="75"/>
      <c r="N641" s="75"/>
      <c r="O641" s="75"/>
      <c r="P641" s="75"/>
      <c r="Q641" s="75"/>
      <c r="R641" s="75"/>
      <c r="S641" s="75"/>
      <c r="T641" s="75"/>
      <c r="U641" s="75"/>
      <c r="V641" s="76"/>
      <c r="W641" s="205"/>
      <c r="X641" s="1"/>
      <c r="Y641" s="78">
        <f t="shared" si="74"/>
        <v>0</v>
      </c>
      <c r="Z641" s="78">
        <f t="shared" si="75"/>
        <v>0</v>
      </c>
      <c r="AA641" s="78">
        <f t="shared" si="76"/>
        <v>0</v>
      </c>
      <c r="AB641" s="78">
        <f t="shared" si="77"/>
        <v>0</v>
      </c>
      <c r="AC641" s="78"/>
      <c r="AD641" s="78">
        <v>0</v>
      </c>
      <c r="AE641" s="80">
        <f t="shared" si="79"/>
        <v>0</v>
      </c>
      <c r="AF641" s="82">
        <v>0</v>
      </c>
      <c r="AG641" s="69">
        <v>40334</v>
      </c>
      <c r="AH641" s="84"/>
      <c r="AI641" s="69" t="s">
        <v>1984</v>
      </c>
      <c r="AJ641" s="25" t="s">
        <v>1985</v>
      </c>
      <c r="AK641" s="65"/>
      <c r="AL641" s="185" t="s">
        <v>1257</v>
      </c>
      <c r="AM641" s="85" t="s">
        <v>2392</v>
      </c>
      <c r="AN641" s="3"/>
      <c r="AO641" s="4"/>
      <c r="AP641" s="5"/>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6"/>
      <c r="CQ641" s="7"/>
      <c r="CR641" s="6"/>
      <c r="CS641" s="7"/>
      <c r="CT641" s="6"/>
      <c r="CU641" s="7"/>
      <c r="CV641" s="8">
        <f t="shared" si="78"/>
        <v>0</v>
      </c>
      <c r="CW641" s="9"/>
      <c r="CX641" s="10"/>
      <c r="CY641" s="11"/>
      <c r="CZ641" s="12"/>
      <c r="DA641" s="29"/>
      <c r="DB641" s="12"/>
      <c r="DC641" s="9"/>
      <c r="DD641" s="10"/>
      <c r="DE641" s="71"/>
      <c r="EO641" s="353" t="str">
        <f t="shared" si="81"/>
        <v>HUILA_YAGUARA</v>
      </c>
      <c r="EP641" s="350"/>
      <c r="EQ641" s="350" t="s">
        <v>4420</v>
      </c>
      <c r="ER641" s="358" t="s">
        <v>3276</v>
      </c>
      <c r="ES641" s="350" t="s">
        <v>5304</v>
      </c>
      <c r="ET641" s="350" t="s">
        <v>3299</v>
      </c>
      <c r="EU641" s="350" t="str">
        <f t="shared" si="80"/>
        <v>Huila_Pitalito</v>
      </c>
    </row>
    <row r="642" spans="1:151" ht="45" x14ac:dyDescent="0.2">
      <c r="A642" s="242">
        <v>40333</v>
      </c>
      <c r="B642" s="107" t="s">
        <v>1836</v>
      </c>
      <c r="C642" s="107" t="s">
        <v>1348</v>
      </c>
      <c r="D642" s="427" t="s">
        <v>837</v>
      </c>
      <c r="E642" s="107" t="str">
        <f>VLOOKUP(B642&amp;C642,Divipola!$C$2:$F$1138,4,FALSE)</f>
        <v>47980</v>
      </c>
      <c r="F642" s="330"/>
      <c r="G642" s="224"/>
      <c r="H642" s="75"/>
      <c r="I642" s="75"/>
      <c r="J642" s="75">
        <v>860</v>
      </c>
      <c r="K642" s="75">
        <v>172</v>
      </c>
      <c r="L642" s="75"/>
      <c r="M642" s="75">
        <v>172</v>
      </c>
      <c r="N642" s="75"/>
      <c r="O642" s="75"/>
      <c r="P642" s="75"/>
      <c r="Q642" s="75"/>
      <c r="R642" s="75"/>
      <c r="S642" s="75"/>
      <c r="T642" s="75"/>
      <c r="U642" s="75"/>
      <c r="V642" s="76"/>
      <c r="W642" s="205"/>
      <c r="X642" s="1">
        <v>40344</v>
      </c>
      <c r="Y642" s="78">
        <f t="shared" si="74"/>
        <v>7199888</v>
      </c>
      <c r="Z642" s="78">
        <f t="shared" si="75"/>
        <v>0</v>
      </c>
      <c r="AA642" s="78">
        <f t="shared" si="76"/>
        <v>34516800</v>
      </c>
      <c r="AB642" s="78">
        <f t="shared" si="77"/>
        <v>9001600</v>
      </c>
      <c r="AC642" s="78"/>
      <c r="AD642" s="78">
        <v>0</v>
      </c>
      <c r="AE642" s="80">
        <f t="shared" si="79"/>
        <v>50718288</v>
      </c>
      <c r="AF642" s="82">
        <v>0</v>
      </c>
      <c r="AG642" s="69">
        <v>40338</v>
      </c>
      <c r="AH642" s="84">
        <v>98186</v>
      </c>
      <c r="AI642" s="69" t="s">
        <v>2009</v>
      </c>
      <c r="AJ642" s="25" t="s">
        <v>2010</v>
      </c>
      <c r="AK642" s="88" t="s">
        <v>1051</v>
      </c>
      <c r="AL642" s="185" t="s">
        <v>2182</v>
      </c>
      <c r="AM642" s="85" t="s">
        <v>1919</v>
      </c>
      <c r="AN642" s="3"/>
      <c r="AO642" s="4"/>
      <c r="AP642" s="5"/>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v>400</v>
      </c>
      <c r="CO642" s="4">
        <f>400*17999.72</f>
        <v>7199888</v>
      </c>
      <c r="CP642" s="6"/>
      <c r="CQ642" s="7"/>
      <c r="CR642" s="6"/>
      <c r="CS642" s="7"/>
      <c r="CT642" s="6"/>
      <c r="CU642" s="7"/>
      <c r="CV642" s="8">
        <f t="shared" si="78"/>
        <v>7199888</v>
      </c>
      <c r="CW642" s="9">
        <v>10000</v>
      </c>
      <c r="CX642" s="10">
        <f>10000*900.16</f>
        <v>9001600</v>
      </c>
      <c r="CY642" s="11"/>
      <c r="CZ642" s="12"/>
      <c r="DA642" s="29"/>
      <c r="DB642" s="12"/>
      <c r="DC642" s="9">
        <v>1800</v>
      </c>
      <c r="DD642" s="10">
        <f>1800*18560+7200*154</f>
        <v>34516800</v>
      </c>
      <c r="DE642" s="71"/>
      <c r="EO642" s="353" t="str">
        <f t="shared" si="81"/>
        <v>MAGDALENA_ZONA BANANERA</v>
      </c>
      <c r="EP642" s="350"/>
      <c r="EQ642" s="350" t="s">
        <v>4420</v>
      </c>
      <c r="ER642" s="358" t="s">
        <v>3276</v>
      </c>
      <c r="ES642" s="350" t="s">
        <v>5305</v>
      </c>
      <c r="ET642" s="350" t="s">
        <v>3300</v>
      </c>
      <c r="EU642" s="350" t="str">
        <f t="shared" si="80"/>
        <v>Huila_Rivera</v>
      </c>
    </row>
    <row r="643" spans="1:151" ht="25.5" x14ac:dyDescent="0.2">
      <c r="A643" s="242">
        <v>40334</v>
      </c>
      <c r="B643" s="107" t="s">
        <v>2425</v>
      </c>
      <c r="C643" s="107" t="s">
        <v>2374</v>
      </c>
      <c r="D643" s="427" t="s">
        <v>2307</v>
      </c>
      <c r="E643" s="107" t="str">
        <f>VLOOKUP(B643&amp;C643,Divipola!$C$2:$F$1138,4,FALSE)</f>
        <v>27001</v>
      </c>
      <c r="F643" s="330"/>
      <c r="G643" s="224"/>
      <c r="H643" s="75"/>
      <c r="I643" s="75"/>
      <c r="J643" s="75">
        <v>10</v>
      </c>
      <c r="K643" s="75">
        <v>1</v>
      </c>
      <c r="L643" s="75"/>
      <c r="M643" s="75"/>
      <c r="N643" s="75"/>
      <c r="O643" s="75"/>
      <c r="P643" s="75"/>
      <c r="Q643" s="75"/>
      <c r="R643" s="75"/>
      <c r="S643" s="75"/>
      <c r="T643" s="75"/>
      <c r="U643" s="75"/>
      <c r="V643" s="76"/>
      <c r="W643" s="205"/>
      <c r="X643" s="1"/>
      <c r="Y643" s="78">
        <f t="shared" ref="Y643:Y706" si="82">CV643</f>
        <v>0</v>
      </c>
      <c r="Z643" s="78">
        <f t="shared" ref="Z643:Z706" si="83">CZ643</f>
        <v>0</v>
      </c>
      <c r="AA643" s="78">
        <f t="shared" ref="AA643:AA706" si="84">DB643+DD643</f>
        <v>0</v>
      </c>
      <c r="AB643" s="78">
        <f t="shared" ref="AB643:AB706" si="85">CX643</f>
        <v>0</v>
      </c>
      <c r="AC643" s="78"/>
      <c r="AD643" s="78">
        <v>0</v>
      </c>
      <c r="AE643" s="80">
        <f t="shared" si="79"/>
        <v>0</v>
      </c>
      <c r="AF643" s="82">
        <v>0</v>
      </c>
      <c r="AG643" s="69">
        <v>40336</v>
      </c>
      <c r="AH643" s="84"/>
      <c r="AI643" s="69" t="s">
        <v>1984</v>
      </c>
      <c r="AJ643" s="25" t="s">
        <v>1985</v>
      </c>
      <c r="AK643" s="65"/>
      <c r="AL643" s="185" t="s">
        <v>1257</v>
      </c>
      <c r="AM643" s="85" t="s">
        <v>1343</v>
      </c>
      <c r="AN643" s="3"/>
      <c r="AO643" s="4"/>
      <c r="AP643" s="5"/>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6"/>
      <c r="CQ643" s="7"/>
      <c r="CR643" s="6"/>
      <c r="CS643" s="7"/>
      <c r="CT643" s="6"/>
      <c r="CU643" s="7"/>
      <c r="CV643" s="8">
        <f t="shared" ref="CV643:CV706" si="86">AO643+AQ643+AS643+AU643+AW643+AY643+BA643+BC643+BE643+BG643+BI643+BK643+BM643+BO643+BQ643+BS643+BU643+BW643+BY643+CA643+CC643+CE643+CG643+CI643+CK643+CM643+CO643+CQ643+CS643+CU643</f>
        <v>0</v>
      </c>
      <c r="CW643" s="9"/>
      <c r="CX643" s="10"/>
      <c r="CY643" s="11"/>
      <c r="CZ643" s="12"/>
      <c r="DA643" s="29"/>
      <c r="DB643" s="12"/>
      <c r="DC643" s="9"/>
      <c r="DD643" s="10"/>
      <c r="DE643" s="71"/>
      <c r="EO643" s="353" t="str">
        <f t="shared" si="81"/>
        <v>CHOCO_QUIBDO</v>
      </c>
      <c r="EP643" s="350"/>
      <c r="EQ643" s="350" t="s">
        <v>4420</v>
      </c>
      <c r="ER643" s="358" t="s">
        <v>3276</v>
      </c>
      <c r="ES643" s="350" t="s">
        <v>5306</v>
      </c>
      <c r="ET643" s="350" t="s">
        <v>3301</v>
      </c>
      <c r="EU643" s="350" t="str">
        <f t="shared" si="80"/>
        <v>Huila_Saladoblanco</v>
      </c>
    </row>
    <row r="644" spans="1:151" ht="45" x14ac:dyDescent="0.2">
      <c r="A644" s="242">
        <v>40335</v>
      </c>
      <c r="B644" s="107" t="s">
        <v>2017</v>
      </c>
      <c r="C644" s="107" t="s">
        <v>1962</v>
      </c>
      <c r="D644" s="427" t="s">
        <v>2209</v>
      </c>
      <c r="E644" s="107" t="str">
        <f>VLOOKUP(B644&amp;C644,Divipola!$C$2:$F$1138,4,FALSE)</f>
        <v>13430</v>
      </c>
      <c r="F644" s="330"/>
      <c r="G644" s="224"/>
      <c r="H644" s="75"/>
      <c r="I644" s="75"/>
      <c r="J644" s="75">
        <f>50*5</f>
        <v>250</v>
      </c>
      <c r="K644" s="75">
        <v>50</v>
      </c>
      <c r="L644" s="75">
        <v>18</v>
      </c>
      <c r="M644" s="75">
        <v>32</v>
      </c>
      <c r="N644" s="75"/>
      <c r="O644" s="75"/>
      <c r="P644" s="75"/>
      <c r="Q644" s="75"/>
      <c r="R644" s="75"/>
      <c r="S644" s="75"/>
      <c r="T644" s="75">
        <v>1</v>
      </c>
      <c r="U644" s="75">
        <v>1</v>
      </c>
      <c r="V644" s="76"/>
      <c r="W644" s="205"/>
      <c r="X644" s="1">
        <v>40368</v>
      </c>
      <c r="Y644" s="78">
        <f t="shared" si="82"/>
        <v>0</v>
      </c>
      <c r="Z644" s="78">
        <f t="shared" si="83"/>
        <v>0</v>
      </c>
      <c r="AA644" s="78">
        <f t="shared" si="84"/>
        <v>31338488</v>
      </c>
      <c r="AB644" s="78">
        <f t="shared" si="85"/>
        <v>45008000</v>
      </c>
      <c r="AC644" s="78"/>
      <c r="AD644" s="78">
        <v>0</v>
      </c>
      <c r="AE644" s="80">
        <f t="shared" si="79"/>
        <v>76346488</v>
      </c>
      <c r="AF644" s="82">
        <v>0</v>
      </c>
      <c r="AG644" s="69">
        <v>40347</v>
      </c>
      <c r="AH644" s="84">
        <v>98360</v>
      </c>
      <c r="AI644" s="69" t="s">
        <v>2009</v>
      </c>
      <c r="AJ644" s="25" t="s">
        <v>2010</v>
      </c>
      <c r="AK644" s="88" t="s">
        <v>1032</v>
      </c>
      <c r="AL644" s="185" t="s">
        <v>2182</v>
      </c>
      <c r="AM644" s="85" t="s">
        <v>1307</v>
      </c>
      <c r="AN644" s="3"/>
      <c r="AO644" s="4"/>
      <c r="AP644" s="5"/>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6"/>
      <c r="CQ644" s="7"/>
      <c r="CR644" s="6"/>
      <c r="CS644" s="7"/>
      <c r="CT644" s="6"/>
      <c r="CU644" s="7"/>
      <c r="CV644" s="8">
        <f t="shared" si="86"/>
        <v>0</v>
      </c>
      <c r="CW644" s="9">
        <v>50000</v>
      </c>
      <c r="CX644" s="10">
        <f>50000*900.16</f>
        <v>45008000</v>
      </c>
      <c r="CY644" s="11"/>
      <c r="CZ644" s="12"/>
      <c r="DA644" s="29"/>
      <c r="DB644" s="12"/>
      <c r="DC644" s="9">
        <v>1301</v>
      </c>
      <c r="DD644" s="10">
        <f>1301*22000+7806*348</f>
        <v>31338488</v>
      </c>
      <c r="DE644" s="71"/>
      <c r="EO644" s="353" t="str">
        <f t="shared" si="81"/>
        <v>BOLIVAR_MAGANGUE</v>
      </c>
      <c r="EP644" s="350"/>
      <c r="EQ644" s="350" t="s">
        <v>4420</v>
      </c>
      <c r="ER644" s="358" t="s">
        <v>3276</v>
      </c>
      <c r="ES644" s="350" t="s">
        <v>5307</v>
      </c>
      <c r="ET644" s="350" t="s">
        <v>3302</v>
      </c>
      <c r="EU644" s="350" t="str">
        <f t="shared" si="80"/>
        <v>Huila_San Agustin</v>
      </c>
    </row>
    <row r="645" spans="1:151" ht="25.5" x14ac:dyDescent="0.2">
      <c r="A645" s="242">
        <v>40335</v>
      </c>
      <c r="B645" s="222" t="s">
        <v>2242</v>
      </c>
      <c r="C645" s="222" t="s">
        <v>192</v>
      </c>
      <c r="D645" s="427" t="s">
        <v>2307</v>
      </c>
      <c r="E645" s="107" t="str">
        <f>VLOOKUP(B645&amp;C645,Divipola!$C$2:$F$1138,4,FALSE)</f>
        <v>20550</v>
      </c>
      <c r="F645" s="330"/>
      <c r="G645" s="221"/>
      <c r="H645" s="157"/>
      <c r="I645" s="157"/>
      <c r="J645" s="157"/>
      <c r="K645" s="157"/>
      <c r="L645" s="157"/>
      <c r="M645" s="157"/>
      <c r="N645" s="157">
        <v>1</v>
      </c>
      <c r="O645" s="157"/>
      <c r="P645" s="157"/>
      <c r="Q645" s="157"/>
      <c r="R645" s="157"/>
      <c r="S645" s="157"/>
      <c r="T645" s="157"/>
      <c r="U645" s="157"/>
      <c r="V645" s="158"/>
      <c r="W645" s="182" t="s">
        <v>1349</v>
      </c>
      <c r="X645" s="1"/>
      <c r="Y645" s="78">
        <f t="shared" si="82"/>
        <v>0</v>
      </c>
      <c r="Z645" s="78">
        <f t="shared" si="83"/>
        <v>0</v>
      </c>
      <c r="AA645" s="78">
        <f t="shared" si="84"/>
        <v>0</v>
      </c>
      <c r="AB645" s="78">
        <f t="shared" si="85"/>
        <v>0</v>
      </c>
      <c r="AC645" s="78"/>
      <c r="AD645" s="78">
        <v>0</v>
      </c>
      <c r="AE645" s="80">
        <f t="shared" si="79"/>
        <v>0</v>
      </c>
      <c r="AF645" s="82">
        <v>0</v>
      </c>
      <c r="AG645" s="69">
        <v>40484</v>
      </c>
      <c r="AH645" s="84"/>
      <c r="AI645" s="69" t="s">
        <v>1984</v>
      </c>
      <c r="AJ645" s="25" t="s">
        <v>1985</v>
      </c>
      <c r="AK645" s="109"/>
      <c r="AL645" s="176" t="s">
        <v>1257</v>
      </c>
      <c r="AM645" s="173" t="s">
        <v>1242</v>
      </c>
      <c r="AN645" s="159"/>
      <c r="AO645" s="160"/>
      <c r="AP645" s="161"/>
      <c r="AQ645" s="160"/>
      <c r="AR645" s="160"/>
      <c r="AS645" s="160"/>
      <c r="AT645" s="160"/>
      <c r="AU645" s="160"/>
      <c r="AV645" s="160"/>
      <c r="AW645" s="160"/>
      <c r="AX645" s="160"/>
      <c r="AY645" s="160"/>
      <c r="AZ645" s="160"/>
      <c r="BA645" s="160"/>
      <c r="BB645" s="160"/>
      <c r="BC645" s="160"/>
      <c r="BD645" s="160"/>
      <c r="BE645" s="160"/>
      <c r="BF645" s="160"/>
      <c r="BG645" s="160"/>
      <c r="BH645" s="160"/>
      <c r="BI645" s="160"/>
      <c r="BJ645" s="160"/>
      <c r="BK645" s="160"/>
      <c r="BL645" s="160"/>
      <c r="BM645" s="160"/>
      <c r="BN645" s="160"/>
      <c r="BO645" s="160"/>
      <c r="BP645" s="160"/>
      <c r="BQ645" s="160"/>
      <c r="BR645" s="160"/>
      <c r="BS645" s="160"/>
      <c r="BT645" s="160"/>
      <c r="BU645" s="160"/>
      <c r="BV645" s="160"/>
      <c r="BW645" s="160"/>
      <c r="BX645" s="160"/>
      <c r="BY645" s="160"/>
      <c r="BZ645" s="160"/>
      <c r="CA645" s="160"/>
      <c r="CB645" s="160"/>
      <c r="CC645" s="160"/>
      <c r="CD645" s="160"/>
      <c r="CE645" s="160"/>
      <c r="CF645" s="160"/>
      <c r="CG645" s="160"/>
      <c r="CH645" s="160"/>
      <c r="CI645" s="160"/>
      <c r="CJ645" s="160"/>
      <c r="CK645" s="160"/>
      <c r="CL645" s="160"/>
      <c r="CM645" s="160"/>
      <c r="CN645" s="160"/>
      <c r="CO645" s="160"/>
      <c r="CP645" s="162"/>
      <c r="CQ645" s="163"/>
      <c r="CR645" s="162"/>
      <c r="CS645" s="163"/>
      <c r="CT645" s="162"/>
      <c r="CU645" s="163"/>
      <c r="CV645" s="164">
        <f t="shared" si="86"/>
        <v>0</v>
      </c>
      <c r="CW645" s="165"/>
      <c r="CX645" s="166"/>
      <c r="CY645" s="167"/>
      <c r="CZ645" s="168"/>
      <c r="DA645" s="169"/>
      <c r="DB645" s="168"/>
      <c r="DC645" s="165"/>
      <c r="DD645" s="166"/>
      <c r="DE645" s="71"/>
      <c r="DF645" s="170"/>
      <c r="EO645" s="353" t="str">
        <f t="shared" si="81"/>
        <v>CESAR_PELAYA</v>
      </c>
      <c r="EP645" s="350"/>
      <c r="EQ645" s="350" t="s">
        <v>4420</v>
      </c>
      <c r="ER645" s="358" t="s">
        <v>3276</v>
      </c>
      <c r="ES645" s="350" t="s">
        <v>5308</v>
      </c>
      <c r="ET645" s="350" t="s">
        <v>6106</v>
      </c>
      <c r="EU645" s="350" t="str">
        <f t="shared" si="80"/>
        <v>Huila_Santa Maria</v>
      </c>
    </row>
    <row r="646" spans="1:151" ht="38.25" x14ac:dyDescent="0.2">
      <c r="A646" s="242">
        <v>40335</v>
      </c>
      <c r="B646" s="107" t="s">
        <v>708</v>
      </c>
      <c r="C646" s="107" t="s">
        <v>1347</v>
      </c>
      <c r="D646" s="427" t="s">
        <v>2352</v>
      </c>
      <c r="E646" s="107" t="str">
        <f>VLOOKUP(B646&amp;C646,Divipola!$C$2:$F$1138,4,FALSE)</f>
        <v>50150</v>
      </c>
      <c r="F646" s="330"/>
      <c r="G646" s="224">
        <v>1</v>
      </c>
      <c r="H646" s="75"/>
      <c r="I646" s="75"/>
      <c r="J646" s="75"/>
      <c r="K646" s="75"/>
      <c r="L646" s="75"/>
      <c r="M646" s="75"/>
      <c r="N646" s="75"/>
      <c r="O646" s="75"/>
      <c r="P646" s="75"/>
      <c r="Q646" s="75"/>
      <c r="R646" s="75"/>
      <c r="S646" s="75"/>
      <c r="T646" s="75"/>
      <c r="U646" s="75"/>
      <c r="V646" s="76"/>
      <c r="W646" s="205"/>
      <c r="X646" s="1"/>
      <c r="Y646" s="78">
        <f t="shared" si="82"/>
        <v>0</v>
      </c>
      <c r="Z646" s="78">
        <f t="shared" si="83"/>
        <v>0</v>
      </c>
      <c r="AA646" s="78">
        <f t="shared" si="84"/>
        <v>0</v>
      </c>
      <c r="AB646" s="78">
        <f t="shared" si="85"/>
        <v>0</v>
      </c>
      <c r="AC646" s="78"/>
      <c r="AD646" s="80">
        <v>0</v>
      </c>
      <c r="AE646" s="80">
        <f t="shared" si="79"/>
        <v>0</v>
      </c>
      <c r="AF646" s="82">
        <v>0</v>
      </c>
      <c r="AG646" s="69">
        <v>40336</v>
      </c>
      <c r="AH646" s="84"/>
      <c r="AI646" s="69" t="s">
        <v>1984</v>
      </c>
      <c r="AJ646" s="25" t="s">
        <v>1985</v>
      </c>
      <c r="AK646" s="65"/>
      <c r="AL646" s="185" t="s">
        <v>1257</v>
      </c>
      <c r="AM646" s="85" t="s">
        <v>283</v>
      </c>
      <c r="AN646" s="3"/>
      <c r="AO646" s="4"/>
      <c r="AP646" s="5"/>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6"/>
      <c r="CQ646" s="7"/>
      <c r="CR646" s="6"/>
      <c r="CS646" s="7"/>
      <c r="CT646" s="6"/>
      <c r="CU646" s="7"/>
      <c r="CV646" s="8">
        <f t="shared" si="86"/>
        <v>0</v>
      </c>
      <c r="CW646" s="9"/>
      <c r="CX646" s="10"/>
      <c r="CY646" s="11"/>
      <c r="CZ646" s="12"/>
      <c r="DA646" s="29"/>
      <c r="DB646" s="12"/>
      <c r="DC646" s="9"/>
      <c r="DD646" s="10"/>
      <c r="DE646" s="71"/>
      <c r="EO646" s="353" t="str">
        <f t="shared" si="81"/>
        <v>META_CASTILLA LA NUEVA</v>
      </c>
      <c r="EP646" s="350"/>
      <c r="EQ646" s="350" t="s">
        <v>4420</v>
      </c>
      <c r="ER646" s="358" t="s">
        <v>3276</v>
      </c>
      <c r="ES646" s="350" t="s">
        <v>5309</v>
      </c>
      <c r="ET646" s="350" t="s">
        <v>3303</v>
      </c>
      <c r="EU646" s="350" t="str">
        <f t="shared" si="80"/>
        <v>Huila_Suaza</v>
      </c>
    </row>
    <row r="647" spans="1:151" ht="25.5" x14ac:dyDescent="0.2">
      <c r="A647" s="242">
        <v>40335</v>
      </c>
      <c r="B647" s="107" t="s">
        <v>708</v>
      </c>
      <c r="C647" s="107" t="s">
        <v>709</v>
      </c>
      <c r="D647" s="427" t="s">
        <v>837</v>
      </c>
      <c r="E647" s="107" t="str">
        <f>VLOOKUP(B647&amp;C647,Divipola!$C$2:$F$1138,4,FALSE)</f>
        <v>50251</v>
      </c>
      <c r="F647" s="330"/>
      <c r="G647" s="224">
        <v>1</v>
      </c>
      <c r="H647" s="75"/>
      <c r="I647" s="75"/>
      <c r="J647" s="75"/>
      <c r="K647" s="75"/>
      <c r="L647" s="75"/>
      <c r="M647" s="75"/>
      <c r="N647" s="75"/>
      <c r="O647" s="75"/>
      <c r="P647" s="75"/>
      <c r="Q647" s="75"/>
      <c r="R647" s="75"/>
      <c r="S647" s="75"/>
      <c r="T647" s="75"/>
      <c r="U647" s="75"/>
      <c r="V647" s="76"/>
      <c r="W647" s="205"/>
      <c r="X647" s="1"/>
      <c r="Y647" s="78">
        <f t="shared" si="82"/>
        <v>0</v>
      </c>
      <c r="Z647" s="78">
        <f t="shared" si="83"/>
        <v>0</v>
      </c>
      <c r="AA647" s="78">
        <f t="shared" si="84"/>
        <v>0</v>
      </c>
      <c r="AB647" s="78">
        <f t="shared" si="85"/>
        <v>0</v>
      </c>
      <c r="AC647" s="78"/>
      <c r="AD647" s="78">
        <v>0</v>
      </c>
      <c r="AE647" s="80">
        <f t="shared" si="79"/>
        <v>0</v>
      </c>
      <c r="AF647" s="82">
        <v>0</v>
      </c>
      <c r="AG647" s="69">
        <v>40336</v>
      </c>
      <c r="AH647" s="84"/>
      <c r="AI647" s="69" t="s">
        <v>1984</v>
      </c>
      <c r="AJ647" s="25" t="s">
        <v>1985</v>
      </c>
      <c r="AK647" s="65"/>
      <c r="AL647" s="212" t="s">
        <v>1257</v>
      </c>
      <c r="AM647" s="85" t="s">
        <v>1346</v>
      </c>
      <c r="AN647" s="3"/>
      <c r="AO647" s="4"/>
      <c r="AP647" s="5"/>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6"/>
      <c r="CQ647" s="7"/>
      <c r="CR647" s="6"/>
      <c r="CS647" s="7"/>
      <c r="CT647" s="6"/>
      <c r="CU647" s="7"/>
      <c r="CV647" s="8">
        <f t="shared" si="86"/>
        <v>0</v>
      </c>
      <c r="CW647" s="9"/>
      <c r="CX647" s="10"/>
      <c r="CY647" s="11"/>
      <c r="CZ647" s="12"/>
      <c r="DA647" s="29"/>
      <c r="DB647" s="12"/>
      <c r="DC647" s="9"/>
      <c r="DD647" s="10"/>
      <c r="DE647" s="71"/>
      <c r="EO647" s="353" t="str">
        <f t="shared" si="81"/>
        <v>META_EL CASTILLO</v>
      </c>
      <c r="EP647" s="350"/>
      <c r="EQ647" s="350" t="s">
        <v>4420</v>
      </c>
      <c r="ER647" s="358" t="s">
        <v>3276</v>
      </c>
      <c r="ES647" s="350" t="s">
        <v>5310</v>
      </c>
      <c r="ET647" s="350" t="s">
        <v>3304</v>
      </c>
      <c r="EU647" s="350" t="str">
        <f t="shared" si="80"/>
        <v>Huila_Tarqui</v>
      </c>
    </row>
    <row r="648" spans="1:151" ht="25.5" x14ac:dyDescent="0.2">
      <c r="A648" s="242">
        <v>40335</v>
      </c>
      <c r="B648" s="107" t="s">
        <v>708</v>
      </c>
      <c r="C648" s="107" t="s">
        <v>2328</v>
      </c>
      <c r="D648" s="427" t="s">
        <v>1721</v>
      </c>
      <c r="E648" s="107" t="str">
        <f>VLOOKUP(B648&amp;C648,Divipola!$C$2:$F$1138,4,FALSE)</f>
        <v>50001</v>
      </c>
      <c r="F648" s="330"/>
      <c r="G648" s="224"/>
      <c r="H648" s="75">
        <v>5</v>
      </c>
      <c r="I648" s="75"/>
      <c r="J648" s="75"/>
      <c r="K648" s="75"/>
      <c r="L648" s="75"/>
      <c r="M648" s="75"/>
      <c r="N648" s="75"/>
      <c r="O648" s="75"/>
      <c r="P648" s="75"/>
      <c r="Q648" s="75"/>
      <c r="R648" s="75"/>
      <c r="S648" s="75"/>
      <c r="T648" s="75"/>
      <c r="U648" s="75"/>
      <c r="V648" s="76"/>
      <c r="W648" s="205"/>
      <c r="X648" s="1"/>
      <c r="Y648" s="78">
        <f t="shared" si="82"/>
        <v>0</v>
      </c>
      <c r="Z648" s="78">
        <f t="shared" si="83"/>
        <v>0</v>
      </c>
      <c r="AA648" s="78">
        <f t="shared" si="84"/>
        <v>0</v>
      </c>
      <c r="AB648" s="78">
        <f t="shared" si="85"/>
        <v>0</v>
      </c>
      <c r="AC648" s="78"/>
      <c r="AD648" s="78">
        <v>0</v>
      </c>
      <c r="AE648" s="80">
        <f t="shared" si="79"/>
        <v>0</v>
      </c>
      <c r="AF648" s="82">
        <v>0</v>
      </c>
      <c r="AG648" s="69">
        <v>40336</v>
      </c>
      <c r="AH648" s="84"/>
      <c r="AI648" s="69" t="s">
        <v>1984</v>
      </c>
      <c r="AJ648" s="25" t="s">
        <v>1985</v>
      </c>
      <c r="AK648" s="65"/>
      <c r="AL648" s="185" t="s">
        <v>1257</v>
      </c>
      <c r="AM648" s="85" t="s">
        <v>1344</v>
      </c>
      <c r="AN648" s="3"/>
      <c r="AO648" s="4"/>
      <c r="AP648" s="5"/>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6"/>
      <c r="CQ648" s="7"/>
      <c r="CR648" s="6"/>
      <c r="CS648" s="7"/>
      <c r="CT648" s="6"/>
      <c r="CU648" s="7"/>
      <c r="CV648" s="8">
        <f t="shared" si="86"/>
        <v>0</v>
      </c>
      <c r="CW648" s="9"/>
      <c r="CX648" s="10"/>
      <c r="CY648" s="11"/>
      <c r="CZ648" s="12"/>
      <c r="DA648" s="29"/>
      <c r="DB648" s="12"/>
      <c r="DC648" s="9"/>
      <c r="DD648" s="10"/>
      <c r="DE648" s="71"/>
      <c r="EO648" s="353" t="str">
        <f t="shared" si="81"/>
        <v>META_VILLAVICENCIO</v>
      </c>
      <c r="EP648" s="350"/>
      <c r="EQ648" s="350" t="s">
        <v>4420</v>
      </c>
      <c r="ER648" s="358" t="s">
        <v>3276</v>
      </c>
      <c r="ES648" s="350" t="s">
        <v>5311</v>
      </c>
      <c r="ET648" s="350" t="s">
        <v>3305</v>
      </c>
      <c r="EU648" s="350" t="str">
        <f t="shared" si="80"/>
        <v>Huila_Tesalia</v>
      </c>
    </row>
    <row r="649" spans="1:151" ht="25.5" x14ac:dyDescent="0.2">
      <c r="A649" s="242">
        <v>40335</v>
      </c>
      <c r="B649" s="107" t="s">
        <v>2791</v>
      </c>
      <c r="C649" s="107" t="s">
        <v>1592</v>
      </c>
      <c r="D649" s="427" t="s">
        <v>2331</v>
      </c>
      <c r="E649" s="107" t="str">
        <f>VLOOKUP(B649&amp;C649,Divipola!$C$2:$F$1138,4,FALSE)</f>
        <v>73067</v>
      </c>
      <c r="F649" s="330"/>
      <c r="G649" s="224">
        <v>5</v>
      </c>
      <c r="H649" s="75"/>
      <c r="I649" s="75"/>
      <c r="J649" s="75"/>
      <c r="K649" s="75"/>
      <c r="L649" s="75"/>
      <c r="M649" s="75"/>
      <c r="N649" s="75"/>
      <c r="O649" s="75"/>
      <c r="P649" s="75"/>
      <c r="Q649" s="75"/>
      <c r="R649" s="75"/>
      <c r="S649" s="75"/>
      <c r="T649" s="75"/>
      <c r="U649" s="75"/>
      <c r="V649" s="76"/>
      <c r="W649" s="205"/>
      <c r="X649" s="1"/>
      <c r="Y649" s="78">
        <f t="shared" si="82"/>
        <v>0</v>
      </c>
      <c r="Z649" s="78">
        <f t="shared" si="83"/>
        <v>0</v>
      </c>
      <c r="AA649" s="78">
        <f t="shared" si="84"/>
        <v>0</v>
      </c>
      <c r="AB649" s="78">
        <f t="shared" si="85"/>
        <v>0</v>
      </c>
      <c r="AC649" s="78"/>
      <c r="AD649" s="78">
        <v>0</v>
      </c>
      <c r="AE649" s="80">
        <f t="shared" ref="AE649:AE712" si="87">Y649+Z649+AA649+AB649+AC649+AD649</f>
        <v>0</v>
      </c>
      <c r="AF649" s="82">
        <v>0</v>
      </c>
      <c r="AG649" s="69">
        <v>40337</v>
      </c>
      <c r="AH649" s="84"/>
      <c r="AI649" s="69" t="s">
        <v>1984</v>
      </c>
      <c r="AJ649" s="25" t="s">
        <v>1985</v>
      </c>
      <c r="AK649" s="65"/>
      <c r="AL649" s="185" t="s">
        <v>1257</v>
      </c>
      <c r="AM649" s="85" t="s">
        <v>3881</v>
      </c>
      <c r="AN649" s="3"/>
      <c r="AO649" s="4"/>
      <c r="AP649" s="5"/>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6"/>
      <c r="CQ649" s="7"/>
      <c r="CR649" s="6"/>
      <c r="CS649" s="7"/>
      <c r="CT649" s="6"/>
      <c r="CU649" s="7"/>
      <c r="CV649" s="8">
        <f t="shared" si="86"/>
        <v>0</v>
      </c>
      <c r="CW649" s="9"/>
      <c r="CX649" s="10"/>
      <c r="CY649" s="11"/>
      <c r="CZ649" s="12"/>
      <c r="DA649" s="29"/>
      <c r="DB649" s="12"/>
      <c r="DC649" s="9"/>
      <c r="DD649" s="10"/>
      <c r="DE649" s="71"/>
      <c r="EO649" s="353" t="str">
        <f t="shared" si="81"/>
        <v>TOLIMA_ATACO</v>
      </c>
      <c r="EP649" s="350"/>
      <c r="EQ649" s="350" t="s">
        <v>4420</v>
      </c>
      <c r="ER649" s="358" t="s">
        <v>3276</v>
      </c>
      <c r="ES649" s="350" t="s">
        <v>5312</v>
      </c>
      <c r="ET649" s="350" t="s">
        <v>3306</v>
      </c>
      <c r="EU649" s="350" t="str">
        <f t="shared" si="80"/>
        <v>Huila_Tello</v>
      </c>
    </row>
    <row r="650" spans="1:151" ht="38.25" x14ac:dyDescent="0.2">
      <c r="A650" s="242">
        <v>40335</v>
      </c>
      <c r="B650" s="107" t="s">
        <v>2791</v>
      </c>
      <c r="C650" s="107" t="s">
        <v>2753</v>
      </c>
      <c r="D650" s="427" t="s">
        <v>1721</v>
      </c>
      <c r="E650" s="107" t="str">
        <f>VLOOKUP(B650&amp;C650,Divipola!$C$2:$F$1138,4,FALSE)</f>
        <v>73148</v>
      </c>
      <c r="F650" s="330"/>
      <c r="G650" s="224"/>
      <c r="H650" s="75"/>
      <c r="I650" s="75"/>
      <c r="J650" s="75">
        <v>8</v>
      </c>
      <c r="K650" s="75">
        <v>1</v>
      </c>
      <c r="L650" s="75"/>
      <c r="M650" s="75">
        <v>1</v>
      </c>
      <c r="N650" s="75"/>
      <c r="O650" s="75"/>
      <c r="P650" s="75"/>
      <c r="Q650" s="75"/>
      <c r="R650" s="75"/>
      <c r="S650" s="75"/>
      <c r="T650" s="75"/>
      <c r="U650" s="75"/>
      <c r="V650" s="76"/>
      <c r="W650" s="205"/>
      <c r="X650" s="1"/>
      <c r="Y650" s="78">
        <f t="shared" si="82"/>
        <v>0</v>
      </c>
      <c r="Z650" s="78">
        <f t="shared" si="83"/>
        <v>0</v>
      </c>
      <c r="AA650" s="78">
        <f t="shared" si="84"/>
        <v>0</v>
      </c>
      <c r="AB650" s="78">
        <f t="shared" si="85"/>
        <v>0</v>
      </c>
      <c r="AC650" s="78"/>
      <c r="AD650" s="78">
        <v>0</v>
      </c>
      <c r="AE650" s="80">
        <f t="shared" si="87"/>
        <v>0</v>
      </c>
      <c r="AF650" s="82">
        <v>0</v>
      </c>
      <c r="AG650" s="69">
        <v>40336</v>
      </c>
      <c r="AH650" s="84"/>
      <c r="AI650" s="69" t="s">
        <v>1984</v>
      </c>
      <c r="AJ650" s="25" t="s">
        <v>1985</v>
      </c>
      <c r="AK650" s="65"/>
      <c r="AL650" s="185" t="s">
        <v>1257</v>
      </c>
      <c r="AM650" s="85" t="s">
        <v>1345</v>
      </c>
      <c r="AN650" s="3"/>
      <c r="AO650" s="4"/>
      <c r="AP650" s="5"/>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6"/>
      <c r="CQ650" s="7"/>
      <c r="CR650" s="6"/>
      <c r="CS650" s="7"/>
      <c r="CT650" s="6"/>
      <c r="CU650" s="7"/>
      <c r="CV650" s="8">
        <f t="shared" si="86"/>
        <v>0</v>
      </c>
      <c r="CW650" s="9"/>
      <c r="CX650" s="10"/>
      <c r="CY650" s="11"/>
      <c r="CZ650" s="12"/>
      <c r="DA650" s="29"/>
      <c r="DB650" s="12"/>
      <c r="DC650" s="9"/>
      <c r="DD650" s="10"/>
      <c r="DE650" s="71"/>
      <c r="EO650" s="353" t="str">
        <f t="shared" si="81"/>
        <v>TOLIMA_CARMEN DE APICALA</v>
      </c>
      <c r="EP650" s="350"/>
      <c r="EQ650" s="350" t="s">
        <v>4420</v>
      </c>
      <c r="ER650" s="358" t="s">
        <v>3276</v>
      </c>
      <c r="ES650" s="350" t="s">
        <v>5314</v>
      </c>
      <c r="ET650" s="350" t="s">
        <v>3307</v>
      </c>
      <c r="EU650" s="350" t="str">
        <f t="shared" si="80"/>
        <v>Huila_Timana</v>
      </c>
    </row>
    <row r="651" spans="1:151" ht="25.5" x14ac:dyDescent="0.2">
      <c r="A651" s="242">
        <v>40336</v>
      </c>
      <c r="B651" s="107" t="s">
        <v>2242</v>
      </c>
      <c r="C651" s="107" t="s">
        <v>221</v>
      </c>
      <c r="D651" s="427" t="s">
        <v>2331</v>
      </c>
      <c r="E651" s="107" t="str">
        <f>VLOOKUP(B651&amp;C651,Divipola!$C$2:$F$1138,4,FALSE)</f>
        <v>20001</v>
      </c>
      <c r="F651" s="330"/>
      <c r="G651" s="224">
        <v>4</v>
      </c>
      <c r="H651" s="75">
        <v>1</v>
      </c>
      <c r="I651" s="75"/>
      <c r="J651" s="75"/>
      <c r="K651" s="75"/>
      <c r="L651" s="75"/>
      <c r="M651" s="75"/>
      <c r="N651" s="75"/>
      <c r="O651" s="75"/>
      <c r="P651" s="75"/>
      <c r="Q651" s="75"/>
      <c r="R651" s="75"/>
      <c r="S651" s="75"/>
      <c r="T651" s="75"/>
      <c r="U651" s="75"/>
      <c r="V651" s="76"/>
      <c r="W651" s="205"/>
      <c r="X651" s="1"/>
      <c r="Y651" s="78">
        <f t="shared" si="82"/>
        <v>0</v>
      </c>
      <c r="Z651" s="78">
        <f t="shared" si="83"/>
        <v>0</v>
      </c>
      <c r="AA651" s="78">
        <f t="shared" si="84"/>
        <v>0</v>
      </c>
      <c r="AB651" s="78">
        <f t="shared" si="85"/>
        <v>0</v>
      </c>
      <c r="AC651" s="78"/>
      <c r="AD651" s="78">
        <v>0</v>
      </c>
      <c r="AE651" s="80">
        <f t="shared" si="87"/>
        <v>0</v>
      </c>
      <c r="AF651" s="82">
        <v>0</v>
      </c>
      <c r="AG651" s="69">
        <v>40338</v>
      </c>
      <c r="AH651" s="84"/>
      <c r="AI651" s="69" t="s">
        <v>1984</v>
      </c>
      <c r="AJ651" s="25" t="s">
        <v>1985</v>
      </c>
      <c r="AK651" s="65"/>
      <c r="AL651" s="185" t="s">
        <v>1257</v>
      </c>
      <c r="AM651" s="85" t="s">
        <v>2767</v>
      </c>
      <c r="AN651" s="3"/>
      <c r="AO651" s="4"/>
      <c r="AP651" s="5"/>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6"/>
      <c r="CQ651" s="7"/>
      <c r="CR651" s="6"/>
      <c r="CS651" s="7"/>
      <c r="CT651" s="6"/>
      <c r="CU651" s="7"/>
      <c r="CV651" s="8">
        <f t="shared" si="86"/>
        <v>0</v>
      </c>
      <c r="CW651" s="9"/>
      <c r="CX651" s="10"/>
      <c r="CY651" s="11"/>
      <c r="CZ651" s="12"/>
      <c r="DA651" s="29"/>
      <c r="DB651" s="12"/>
      <c r="DC651" s="9"/>
      <c r="DD651" s="10"/>
      <c r="DE651" s="71"/>
      <c r="EO651" s="353" t="str">
        <f t="shared" si="81"/>
        <v>CESAR_VALLEDUPAR</v>
      </c>
      <c r="EP651" s="350"/>
      <c r="EQ651" s="350" t="s">
        <v>4420</v>
      </c>
      <c r="ER651" s="358" t="s">
        <v>3276</v>
      </c>
      <c r="ES651" s="350" t="s">
        <v>5315</v>
      </c>
      <c r="ET651" s="350" t="s">
        <v>3308</v>
      </c>
      <c r="EU651" s="350" t="str">
        <f t="shared" si="80"/>
        <v>Huila_Villavieja</v>
      </c>
    </row>
    <row r="652" spans="1:151" ht="38.25" x14ac:dyDescent="0.2">
      <c r="A652" s="242">
        <v>40336</v>
      </c>
      <c r="B652" s="107" t="s">
        <v>2007</v>
      </c>
      <c r="C652" s="107" t="s">
        <v>2740</v>
      </c>
      <c r="D652" s="427" t="s">
        <v>2307</v>
      </c>
      <c r="E652" s="107" t="str">
        <f>VLOOKUP(B652&amp;C652,Divipola!$C$2:$F$1138,4,FALSE)</f>
        <v>25754</v>
      </c>
      <c r="F652" s="330"/>
      <c r="G652" s="224"/>
      <c r="H652" s="75"/>
      <c r="I652" s="75"/>
      <c r="J652" s="75">
        <v>17</v>
      </c>
      <c r="K652" s="75">
        <v>4</v>
      </c>
      <c r="L652" s="75"/>
      <c r="M652" s="75">
        <v>4</v>
      </c>
      <c r="N652" s="75"/>
      <c r="O652" s="75"/>
      <c r="P652" s="75"/>
      <c r="Q652" s="75"/>
      <c r="R652" s="75"/>
      <c r="S652" s="75"/>
      <c r="T652" s="75"/>
      <c r="U652" s="75"/>
      <c r="V652" s="76"/>
      <c r="W652" s="205"/>
      <c r="X652" s="1"/>
      <c r="Y652" s="78">
        <f t="shared" si="82"/>
        <v>0</v>
      </c>
      <c r="Z652" s="78">
        <f t="shared" si="83"/>
        <v>0</v>
      </c>
      <c r="AA652" s="78">
        <f t="shared" si="84"/>
        <v>0</v>
      </c>
      <c r="AB652" s="78">
        <f t="shared" si="85"/>
        <v>0</v>
      </c>
      <c r="AC652" s="78"/>
      <c r="AD652" s="78">
        <v>0</v>
      </c>
      <c r="AE652" s="80">
        <f t="shared" si="87"/>
        <v>0</v>
      </c>
      <c r="AF652" s="82">
        <v>0</v>
      </c>
      <c r="AG652" s="69">
        <v>40338</v>
      </c>
      <c r="AH652" s="84"/>
      <c r="AI652" s="69" t="s">
        <v>1984</v>
      </c>
      <c r="AJ652" s="25" t="s">
        <v>1985</v>
      </c>
      <c r="AK652" s="65"/>
      <c r="AL652" s="185" t="s">
        <v>1257</v>
      </c>
      <c r="AM652" s="85" t="s">
        <v>885</v>
      </c>
      <c r="AN652" s="3"/>
      <c r="AO652" s="4"/>
      <c r="AP652" s="5"/>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6"/>
      <c r="CQ652" s="7"/>
      <c r="CR652" s="6"/>
      <c r="CS652" s="7"/>
      <c r="CT652" s="6"/>
      <c r="CU652" s="7"/>
      <c r="CV652" s="8">
        <f t="shared" si="86"/>
        <v>0</v>
      </c>
      <c r="CW652" s="9"/>
      <c r="CX652" s="10"/>
      <c r="CY652" s="11"/>
      <c r="CZ652" s="12"/>
      <c r="DA652" s="29"/>
      <c r="DB652" s="12"/>
      <c r="DC652" s="9"/>
      <c r="DD652" s="10"/>
      <c r="DE652" s="71"/>
      <c r="EO652" s="353" t="str">
        <f t="shared" si="81"/>
        <v>CUNDINAMARCA_SOACHA</v>
      </c>
      <c r="EP652" s="350"/>
      <c r="EQ652" s="350" t="s">
        <v>4420</v>
      </c>
      <c r="ER652" s="358" t="s">
        <v>3276</v>
      </c>
      <c r="ES652" s="350" t="s">
        <v>5316</v>
      </c>
      <c r="ET652" s="350" t="s">
        <v>3309</v>
      </c>
      <c r="EU652" s="350" t="str">
        <f t="shared" ref="EU652:EU714" si="88">ER652&amp;"_"&amp;ET652</f>
        <v>Huila_Yaguara</v>
      </c>
    </row>
    <row r="653" spans="1:151" ht="38.25" x14ac:dyDescent="0.2">
      <c r="A653" s="242">
        <v>40336</v>
      </c>
      <c r="B653" s="107" t="s">
        <v>1333</v>
      </c>
      <c r="C653" s="107" t="s">
        <v>2770</v>
      </c>
      <c r="D653" s="427" t="s">
        <v>2331</v>
      </c>
      <c r="E653" s="107" t="str">
        <f>VLOOKUP(B653&amp;C653,Divipola!$C$2:$F$1138,4,FALSE)</f>
        <v>41206</v>
      </c>
      <c r="F653" s="330"/>
      <c r="G653" s="224">
        <v>2</v>
      </c>
      <c r="H653" s="75"/>
      <c r="I653" s="75"/>
      <c r="J653" s="75"/>
      <c r="K653" s="75"/>
      <c r="L653" s="75"/>
      <c r="M653" s="75"/>
      <c r="N653" s="75"/>
      <c r="O653" s="75"/>
      <c r="P653" s="75"/>
      <c r="Q653" s="75"/>
      <c r="R653" s="75"/>
      <c r="S653" s="75"/>
      <c r="T653" s="75"/>
      <c r="U653" s="75"/>
      <c r="V653" s="76"/>
      <c r="W653" s="205"/>
      <c r="X653" s="1"/>
      <c r="Y653" s="78">
        <f t="shared" si="82"/>
        <v>0</v>
      </c>
      <c r="Z653" s="78">
        <f t="shared" si="83"/>
        <v>0</v>
      </c>
      <c r="AA653" s="78">
        <f t="shared" si="84"/>
        <v>0</v>
      </c>
      <c r="AB653" s="78">
        <f t="shared" si="85"/>
        <v>0</v>
      </c>
      <c r="AC653" s="78"/>
      <c r="AD653" s="78">
        <v>0</v>
      </c>
      <c r="AE653" s="80">
        <f t="shared" si="87"/>
        <v>0</v>
      </c>
      <c r="AF653" s="82">
        <v>0</v>
      </c>
      <c r="AG653" s="69">
        <v>40338</v>
      </c>
      <c r="AH653" s="84"/>
      <c r="AI653" s="69" t="s">
        <v>1984</v>
      </c>
      <c r="AJ653" s="25" t="s">
        <v>1985</v>
      </c>
      <c r="AK653" s="65"/>
      <c r="AL653" s="185" t="s">
        <v>1257</v>
      </c>
      <c r="AM653" s="85" t="s">
        <v>2771</v>
      </c>
      <c r="AN653" s="3"/>
      <c r="AO653" s="4"/>
      <c r="AP653" s="5"/>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6"/>
      <c r="CQ653" s="7"/>
      <c r="CR653" s="6"/>
      <c r="CS653" s="7"/>
      <c r="CT653" s="6"/>
      <c r="CU653" s="7"/>
      <c r="CV653" s="8">
        <f t="shared" si="86"/>
        <v>0</v>
      </c>
      <c r="CW653" s="9"/>
      <c r="CX653" s="10"/>
      <c r="CY653" s="11"/>
      <c r="CZ653" s="12"/>
      <c r="DA653" s="29"/>
      <c r="DB653" s="12"/>
      <c r="DC653" s="9"/>
      <c r="DD653" s="10"/>
      <c r="DE653" s="71"/>
      <c r="EO653" s="353" t="str">
        <f t="shared" si="81"/>
        <v>HUILA_COLOMBIA</v>
      </c>
      <c r="EP653" s="350"/>
      <c r="EQ653" s="350" t="s">
        <v>4440</v>
      </c>
      <c r="ER653" s="358" t="s">
        <v>4441</v>
      </c>
      <c r="ES653" s="350" t="s">
        <v>5317</v>
      </c>
      <c r="ET653" s="350" t="s">
        <v>3310</v>
      </c>
      <c r="EU653" s="350" t="str">
        <f t="shared" si="88"/>
        <v>La Guajira_Riohacha</v>
      </c>
    </row>
    <row r="654" spans="1:151" ht="38.25" x14ac:dyDescent="0.2">
      <c r="A654" s="242">
        <v>40337</v>
      </c>
      <c r="B654" s="107" t="s">
        <v>2017</v>
      </c>
      <c r="C654" s="107" t="s">
        <v>1215</v>
      </c>
      <c r="D654" s="427" t="s">
        <v>2209</v>
      </c>
      <c r="E654" s="107" t="str">
        <f>VLOOKUP(B654&amp;C654,Divipola!$C$2:$F$1138,4,FALSE)</f>
        <v>13001</v>
      </c>
      <c r="F654" s="330"/>
      <c r="G654" s="224"/>
      <c r="H654" s="75"/>
      <c r="I654" s="75"/>
      <c r="J654" s="75">
        <v>5</v>
      </c>
      <c r="K654" s="75">
        <v>1</v>
      </c>
      <c r="L654" s="75"/>
      <c r="M654" s="75">
        <v>1</v>
      </c>
      <c r="N654" s="75"/>
      <c r="O654" s="75"/>
      <c r="P654" s="75"/>
      <c r="Q654" s="75"/>
      <c r="R654" s="75"/>
      <c r="S654" s="75"/>
      <c r="T654" s="75"/>
      <c r="U654" s="75"/>
      <c r="V654" s="76"/>
      <c r="W654" s="205"/>
      <c r="X654" s="1"/>
      <c r="Y654" s="78">
        <f t="shared" si="82"/>
        <v>0</v>
      </c>
      <c r="Z654" s="78">
        <f t="shared" si="83"/>
        <v>0</v>
      </c>
      <c r="AA654" s="78">
        <f t="shared" si="84"/>
        <v>0</v>
      </c>
      <c r="AB654" s="78">
        <f t="shared" si="85"/>
        <v>0</v>
      </c>
      <c r="AC654" s="78"/>
      <c r="AD654" s="78">
        <v>0</v>
      </c>
      <c r="AE654" s="80">
        <f t="shared" si="87"/>
        <v>0</v>
      </c>
      <c r="AF654" s="82">
        <v>0</v>
      </c>
      <c r="AG654" s="69">
        <v>40338</v>
      </c>
      <c r="AH654" s="84"/>
      <c r="AI654" s="69" t="s">
        <v>1984</v>
      </c>
      <c r="AJ654" s="25" t="s">
        <v>1985</v>
      </c>
      <c r="AK654" s="65"/>
      <c r="AL654" s="212" t="s">
        <v>1257</v>
      </c>
      <c r="AM654" s="85" t="s">
        <v>2768</v>
      </c>
      <c r="AN654" s="3"/>
      <c r="AO654" s="4"/>
      <c r="AP654" s="5"/>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6"/>
      <c r="CQ654" s="7"/>
      <c r="CR654" s="6"/>
      <c r="CS654" s="7"/>
      <c r="CT654" s="6"/>
      <c r="CU654" s="7"/>
      <c r="CV654" s="8">
        <f t="shared" si="86"/>
        <v>0</v>
      </c>
      <c r="CW654" s="9"/>
      <c r="CX654" s="10"/>
      <c r="CY654" s="11"/>
      <c r="CZ654" s="12"/>
      <c r="DA654" s="29"/>
      <c r="DB654" s="12"/>
      <c r="DC654" s="9"/>
      <c r="DD654" s="10"/>
      <c r="DE654" s="71"/>
      <c r="EO654" s="353" t="str">
        <f t="shared" si="81"/>
        <v>BOLIVAR_CARTAGENA</v>
      </c>
      <c r="EP654" s="350"/>
      <c r="EQ654" s="350" t="s">
        <v>4440</v>
      </c>
      <c r="ER654" s="358" t="s">
        <v>4441</v>
      </c>
      <c r="ES654" s="350" t="s">
        <v>5318</v>
      </c>
      <c r="ET654" s="350" t="s">
        <v>6167</v>
      </c>
      <c r="EU654" s="350" t="str">
        <f t="shared" si="88"/>
        <v>La Guajira_Albania</v>
      </c>
    </row>
    <row r="655" spans="1:151" ht="72" x14ac:dyDescent="0.2">
      <c r="A655" s="246">
        <v>40338</v>
      </c>
      <c r="B655" s="238" t="s">
        <v>2401</v>
      </c>
      <c r="C655" s="238" t="s">
        <v>429</v>
      </c>
      <c r="D655" s="431" t="s">
        <v>837</v>
      </c>
      <c r="E655" s="107" t="str">
        <f>VLOOKUP(B655&amp;C655,Divipola!$C$2:$F$1138,4,FALSE)</f>
        <v>05659</v>
      </c>
      <c r="F655" s="334"/>
      <c r="G655" s="224"/>
      <c r="H655" s="75"/>
      <c r="I655" s="75"/>
      <c r="J655" s="75">
        <v>500</v>
      </c>
      <c r="K655" s="75">
        <v>200</v>
      </c>
      <c r="L655" s="75">
        <v>19</v>
      </c>
      <c r="M655" s="75">
        <f>151-68</f>
        <v>83</v>
      </c>
      <c r="N655" s="75"/>
      <c r="O655" s="75"/>
      <c r="P655" s="75"/>
      <c r="Q655" s="75"/>
      <c r="R655" s="75"/>
      <c r="S655" s="75"/>
      <c r="T655" s="75"/>
      <c r="U655" s="75"/>
      <c r="V655" s="76"/>
      <c r="W655" s="205"/>
      <c r="X655" s="1"/>
      <c r="Y655" s="78">
        <f t="shared" si="82"/>
        <v>0</v>
      </c>
      <c r="Z655" s="78">
        <f t="shared" si="83"/>
        <v>0</v>
      </c>
      <c r="AA655" s="78">
        <f t="shared" si="84"/>
        <v>0</v>
      </c>
      <c r="AB655" s="78">
        <f t="shared" si="85"/>
        <v>0</v>
      </c>
      <c r="AC655" s="78"/>
      <c r="AD655" s="78">
        <v>0</v>
      </c>
      <c r="AE655" s="80">
        <f t="shared" si="87"/>
        <v>0</v>
      </c>
      <c r="AF655" s="82">
        <v>0</v>
      </c>
      <c r="AG655" s="69">
        <v>40338</v>
      </c>
      <c r="AH655" s="84"/>
      <c r="AI655" s="69" t="s">
        <v>1984</v>
      </c>
      <c r="AJ655" s="25" t="s">
        <v>1985</v>
      </c>
      <c r="AK655" s="65"/>
      <c r="AL655" s="185" t="s">
        <v>1257</v>
      </c>
      <c r="AM655" s="85" t="s">
        <v>3145</v>
      </c>
      <c r="AN655" s="3"/>
      <c r="AO655" s="4"/>
      <c r="AP655" s="5"/>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6"/>
      <c r="CQ655" s="7"/>
      <c r="CR655" s="6"/>
      <c r="CS655" s="7"/>
      <c r="CT655" s="6"/>
      <c r="CU655" s="7"/>
      <c r="CV655" s="8">
        <f t="shared" si="86"/>
        <v>0</v>
      </c>
      <c r="CW655" s="9"/>
      <c r="CX655" s="10"/>
      <c r="CY655" s="11"/>
      <c r="CZ655" s="12"/>
      <c r="DA655" s="29"/>
      <c r="DB655" s="12"/>
      <c r="DC655" s="9"/>
      <c r="DD655" s="10"/>
      <c r="DE655" s="71"/>
      <c r="DF655" s="23">
        <v>1100</v>
      </c>
      <c r="EO655" s="353" t="str">
        <f t="shared" si="81"/>
        <v>ANTIOQUIA_SAN JUAN DE URABA</v>
      </c>
      <c r="EP655" s="350"/>
      <c r="EQ655" s="350" t="s">
        <v>4440</v>
      </c>
      <c r="ER655" s="358" t="s">
        <v>4441</v>
      </c>
      <c r="ES655" s="350" t="s">
        <v>5319</v>
      </c>
      <c r="ET655" s="350" t="s">
        <v>3311</v>
      </c>
      <c r="EU655" s="350" t="str">
        <f t="shared" si="88"/>
        <v>La Guajira_Barrancas</v>
      </c>
    </row>
    <row r="656" spans="1:151" ht="38.25" x14ac:dyDescent="0.2">
      <c r="A656" s="242">
        <v>40338</v>
      </c>
      <c r="B656" s="107" t="s">
        <v>1951</v>
      </c>
      <c r="C656" s="107" t="s">
        <v>3146</v>
      </c>
      <c r="D656" s="427" t="s">
        <v>837</v>
      </c>
      <c r="E656" s="107" t="str">
        <f>VLOOKUP(B656&amp;C656,Divipola!$C$2:$F$1138,4,FALSE)</f>
        <v>08078</v>
      </c>
      <c r="F656" s="330"/>
      <c r="G656" s="224">
        <v>1</v>
      </c>
      <c r="H656" s="75"/>
      <c r="I656" s="75"/>
      <c r="J656" s="75"/>
      <c r="K656" s="75"/>
      <c r="L656" s="75"/>
      <c r="M656" s="75"/>
      <c r="N656" s="75"/>
      <c r="O656" s="75"/>
      <c r="P656" s="75"/>
      <c r="Q656" s="75"/>
      <c r="R656" s="75"/>
      <c r="S656" s="75"/>
      <c r="T656" s="75"/>
      <c r="U656" s="75"/>
      <c r="V656" s="76"/>
      <c r="W656" s="205"/>
      <c r="X656" s="1"/>
      <c r="Y656" s="78">
        <f t="shared" si="82"/>
        <v>0</v>
      </c>
      <c r="Z656" s="78">
        <f t="shared" si="83"/>
        <v>0</v>
      </c>
      <c r="AA656" s="78">
        <f t="shared" si="84"/>
        <v>0</v>
      </c>
      <c r="AB656" s="78">
        <f t="shared" si="85"/>
        <v>0</v>
      </c>
      <c r="AC656" s="78"/>
      <c r="AD656" s="78">
        <v>0</v>
      </c>
      <c r="AE656" s="80">
        <f t="shared" si="87"/>
        <v>0</v>
      </c>
      <c r="AF656" s="82">
        <v>0</v>
      </c>
      <c r="AG656" s="69">
        <v>40338</v>
      </c>
      <c r="AH656" s="84"/>
      <c r="AI656" s="69" t="s">
        <v>1984</v>
      </c>
      <c r="AJ656" s="25" t="s">
        <v>1985</v>
      </c>
      <c r="AK656" s="65"/>
      <c r="AL656" s="185" t="s">
        <v>1257</v>
      </c>
      <c r="AM656" s="85" t="s">
        <v>3147</v>
      </c>
      <c r="AN656" s="3"/>
      <c r="AO656" s="4"/>
      <c r="AP656" s="5"/>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6"/>
      <c r="CQ656" s="7"/>
      <c r="CR656" s="6"/>
      <c r="CS656" s="7"/>
      <c r="CT656" s="6"/>
      <c r="CU656" s="7"/>
      <c r="CV656" s="8">
        <f t="shared" si="86"/>
        <v>0</v>
      </c>
      <c r="CW656" s="9"/>
      <c r="CX656" s="10"/>
      <c r="CY656" s="11"/>
      <c r="CZ656" s="12"/>
      <c r="DA656" s="29"/>
      <c r="DB656" s="12"/>
      <c r="DC656" s="9"/>
      <c r="DD656" s="10"/>
      <c r="DE656" s="71"/>
      <c r="EO656" s="353" t="str">
        <f t="shared" si="81"/>
        <v>ATLANTICO_BARANOA</v>
      </c>
      <c r="EP656" s="350"/>
      <c r="EQ656" s="350" t="s">
        <v>4440</v>
      </c>
      <c r="ER656" s="358" t="s">
        <v>4441</v>
      </c>
      <c r="ES656" s="350" t="s">
        <v>5320</v>
      </c>
      <c r="ET656" s="350" t="s">
        <v>3312</v>
      </c>
      <c r="EU656" s="350" t="str">
        <f t="shared" si="88"/>
        <v>La Guajira_Dibulla</v>
      </c>
    </row>
    <row r="657" spans="1:151" ht="84" x14ac:dyDescent="0.2">
      <c r="A657" s="242">
        <v>40338</v>
      </c>
      <c r="B657" s="107" t="s">
        <v>3112</v>
      </c>
      <c r="C657" s="107" t="s">
        <v>1535</v>
      </c>
      <c r="D657" s="427" t="s">
        <v>837</v>
      </c>
      <c r="E657" s="107" t="str">
        <f>VLOOKUP(B657&amp;C657,Divipola!$C$2:$F$1138,4,FALSE)</f>
        <v>18001</v>
      </c>
      <c r="F657" s="330"/>
      <c r="G657" s="224"/>
      <c r="H657" s="75"/>
      <c r="I657" s="75"/>
      <c r="J657" s="75"/>
      <c r="K657" s="75"/>
      <c r="L657" s="75"/>
      <c r="M657" s="75"/>
      <c r="N657" s="75"/>
      <c r="O657" s="75"/>
      <c r="P657" s="75"/>
      <c r="Q657" s="75"/>
      <c r="R657" s="75"/>
      <c r="S657" s="75"/>
      <c r="T657" s="75"/>
      <c r="U657" s="75"/>
      <c r="V657" s="76"/>
      <c r="W657" s="205"/>
      <c r="X657" s="1"/>
      <c r="Y657" s="78">
        <f t="shared" si="82"/>
        <v>0</v>
      </c>
      <c r="Z657" s="78">
        <f t="shared" si="83"/>
        <v>0</v>
      </c>
      <c r="AA657" s="78">
        <f t="shared" si="84"/>
        <v>0</v>
      </c>
      <c r="AB657" s="78">
        <f t="shared" si="85"/>
        <v>0</v>
      </c>
      <c r="AC657" s="78"/>
      <c r="AD657" s="78">
        <v>0</v>
      </c>
      <c r="AE657" s="80">
        <f t="shared" si="87"/>
        <v>0</v>
      </c>
      <c r="AF657" s="82">
        <v>0</v>
      </c>
      <c r="AG657" s="69">
        <v>40338</v>
      </c>
      <c r="AH657" s="84"/>
      <c r="AI657" s="69" t="s">
        <v>1984</v>
      </c>
      <c r="AJ657" s="25" t="s">
        <v>1985</v>
      </c>
      <c r="AK657" s="65"/>
      <c r="AL657" s="185" t="s">
        <v>1257</v>
      </c>
      <c r="AM657" s="85" t="s">
        <v>2757</v>
      </c>
      <c r="AN657" s="3"/>
      <c r="AO657" s="4"/>
      <c r="AP657" s="5"/>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6"/>
      <c r="CQ657" s="7"/>
      <c r="CR657" s="6"/>
      <c r="CS657" s="7"/>
      <c r="CT657" s="6"/>
      <c r="CU657" s="7"/>
      <c r="CV657" s="8">
        <f t="shared" si="86"/>
        <v>0</v>
      </c>
      <c r="CW657" s="9"/>
      <c r="CX657" s="10"/>
      <c r="CY657" s="11"/>
      <c r="CZ657" s="12"/>
      <c r="DA657" s="29"/>
      <c r="DB657" s="12"/>
      <c r="DC657" s="9"/>
      <c r="DD657" s="10"/>
      <c r="DE657" s="71"/>
      <c r="EO657" s="353" t="str">
        <f t="shared" si="81"/>
        <v>CAQUETA_FLORENCIA</v>
      </c>
      <c r="EP657" s="350"/>
      <c r="EQ657" s="350" t="s">
        <v>4440</v>
      </c>
      <c r="ER657" s="358" t="s">
        <v>4441</v>
      </c>
      <c r="ES657" s="350" t="s">
        <v>5321</v>
      </c>
      <c r="ET657" s="350" t="s">
        <v>3313</v>
      </c>
      <c r="EU657" s="350" t="str">
        <f t="shared" si="88"/>
        <v>La Guajira_Distraccion</v>
      </c>
    </row>
    <row r="658" spans="1:151" ht="38.25" x14ac:dyDescent="0.2">
      <c r="A658" s="242">
        <v>40338</v>
      </c>
      <c r="B658" s="107" t="s">
        <v>3112</v>
      </c>
      <c r="C658" s="107" t="s">
        <v>2194</v>
      </c>
      <c r="D658" s="427" t="s">
        <v>837</v>
      </c>
      <c r="E658" s="107" t="str">
        <f>VLOOKUP(B658&amp;C658,Divipola!$C$2:$F$1138,4,FALSE)</f>
        <v>18479</v>
      </c>
      <c r="F658" s="330"/>
      <c r="G658" s="224"/>
      <c r="H658" s="75"/>
      <c r="I658" s="75"/>
      <c r="J658" s="75">
        <f>68*5</f>
        <v>340</v>
      </c>
      <c r="K658" s="75">
        <v>68</v>
      </c>
      <c r="L658" s="75">
        <v>4</v>
      </c>
      <c r="M658" s="75"/>
      <c r="N658" s="75"/>
      <c r="O658" s="75"/>
      <c r="P658" s="75"/>
      <c r="Q658" s="75"/>
      <c r="R658" s="75"/>
      <c r="S658" s="75"/>
      <c r="T658" s="75"/>
      <c r="U658" s="75"/>
      <c r="V658" s="76"/>
      <c r="W658" s="205"/>
      <c r="X658" s="1"/>
      <c r="Y658" s="78">
        <f t="shared" si="82"/>
        <v>0</v>
      </c>
      <c r="Z658" s="78">
        <f t="shared" si="83"/>
        <v>0</v>
      </c>
      <c r="AA658" s="78">
        <f t="shared" si="84"/>
        <v>0</v>
      </c>
      <c r="AB658" s="78">
        <f t="shared" si="85"/>
        <v>0</v>
      </c>
      <c r="AC658" s="78"/>
      <c r="AD658" s="78">
        <v>0</v>
      </c>
      <c r="AE658" s="80">
        <f t="shared" si="87"/>
        <v>0</v>
      </c>
      <c r="AF658" s="82">
        <v>0</v>
      </c>
      <c r="AG658" s="69">
        <v>40338</v>
      </c>
      <c r="AH658" s="84"/>
      <c r="AI658" s="69" t="s">
        <v>1984</v>
      </c>
      <c r="AJ658" s="25" t="s">
        <v>1985</v>
      </c>
      <c r="AK658" s="65"/>
      <c r="AL658" s="185" t="s">
        <v>1257</v>
      </c>
      <c r="AM658" s="85" t="s">
        <v>1268</v>
      </c>
      <c r="AN658" s="3"/>
      <c r="AO658" s="4"/>
      <c r="AP658" s="5"/>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6"/>
      <c r="CQ658" s="7"/>
      <c r="CR658" s="6"/>
      <c r="CS658" s="7"/>
      <c r="CT658" s="6"/>
      <c r="CU658" s="7"/>
      <c r="CV658" s="8">
        <f t="shared" si="86"/>
        <v>0</v>
      </c>
      <c r="CW658" s="9"/>
      <c r="CX658" s="10"/>
      <c r="CY658" s="11"/>
      <c r="CZ658" s="12"/>
      <c r="DA658" s="29"/>
      <c r="DB658" s="12"/>
      <c r="DC658" s="9"/>
      <c r="DD658" s="10"/>
      <c r="DE658" s="71"/>
      <c r="EO658" s="353" t="str">
        <f t="shared" si="81"/>
        <v>CAQUETA_MORELIA</v>
      </c>
      <c r="EP658" s="350"/>
      <c r="EQ658" s="350" t="s">
        <v>4440</v>
      </c>
      <c r="ER658" s="358" t="s">
        <v>4441</v>
      </c>
      <c r="ES658" s="350" t="s">
        <v>5322</v>
      </c>
      <c r="ET658" s="350" t="s">
        <v>3314</v>
      </c>
      <c r="EU658" s="350" t="str">
        <f t="shared" si="88"/>
        <v>La Guajira_El Molino</v>
      </c>
    </row>
    <row r="659" spans="1:151" ht="60" x14ac:dyDescent="0.2">
      <c r="A659" s="242">
        <v>40338</v>
      </c>
      <c r="B659" s="107" t="s">
        <v>1189</v>
      </c>
      <c r="C659" s="107" t="s">
        <v>1190</v>
      </c>
      <c r="D659" s="427" t="s">
        <v>837</v>
      </c>
      <c r="E659" s="107" t="str">
        <f>VLOOKUP(B659&amp;C659,Divipola!$C$2:$F$1138,4,FALSE)</f>
        <v>85230</v>
      </c>
      <c r="F659" s="330"/>
      <c r="G659" s="224"/>
      <c r="H659" s="75"/>
      <c r="I659" s="75"/>
      <c r="J659" s="75">
        <f>214*5</f>
        <v>1070</v>
      </c>
      <c r="K659" s="75">
        <v>214</v>
      </c>
      <c r="L659" s="75"/>
      <c r="M659" s="75">
        <v>214</v>
      </c>
      <c r="N659" s="75"/>
      <c r="O659" s="75"/>
      <c r="P659" s="75"/>
      <c r="Q659" s="75"/>
      <c r="R659" s="75"/>
      <c r="S659" s="75"/>
      <c r="T659" s="75"/>
      <c r="U659" s="75"/>
      <c r="V659" s="76"/>
      <c r="W659" s="205"/>
      <c r="X659" s="1"/>
      <c r="Y659" s="78">
        <f t="shared" si="82"/>
        <v>0</v>
      </c>
      <c r="Z659" s="78">
        <f t="shared" si="83"/>
        <v>0</v>
      </c>
      <c r="AA659" s="78">
        <f t="shared" si="84"/>
        <v>0</v>
      </c>
      <c r="AB659" s="78">
        <f t="shared" si="85"/>
        <v>0</v>
      </c>
      <c r="AC659" s="78"/>
      <c r="AD659" s="78">
        <v>0</v>
      </c>
      <c r="AE659" s="80">
        <f t="shared" si="87"/>
        <v>0</v>
      </c>
      <c r="AF659" s="82">
        <v>0</v>
      </c>
      <c r="AG659" s="69">
        <v>40338</v>
      </c>
      <c r="AH659" s="84"/>
      <c r="AI659" s="69" t="s">
        <v>1984</v>
      </c>
      <c r="AJ659" s="25" t="s">
        <v>1985</v>
      </c>
      <c r="AK659" s="65"/>
      <c r="AL659" s="185" t="s">
        <v>1257</v>
      </c>
      <c r="AM659" s="85" t="s">
        <v>3148</v>
      </c>
      <c r="AN659" s="3"/>
      <c r="AO659" s="4"/>
      <c r="AP659" s="5"/>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6"/>
      <c r="CQ659" s="7"/>
      <c r="CR659" s="6"/>
      <c r="CS659" s="7"/>
      <c r="CT659" s="6"/>
      <c r="CU659" s="7"/>
      <c r="CV659" s="8">
        <f t="shared" si="86"/>
        <v>0</v>
      </c>
      <c r="CW659" s="9"/>
      <c r="CX659" s="10"/>
      <c r="CY659" s="11"/>
      <c r="CZ659" s="12"/>
      <c r="DA659" s="29"/>
      <c r="DB659" s="12"/>
      <c r="DC659" s="9"/>
      <c r="DD659" s="10"/>
      <c r="DE659" s="71"/>
      <c r="EO659" s="353" t="str">
        <f t="shared" si="81"/>
        <v>CASANARE_OROCUE</v>
      </c>
      <c r="EP659" s="350"/>
      <c r="EQ659" s="350" t="s">
        <v>4440</v>
      </c>
      <c r="ER659" s="358" t="s">
        <v>4441</v>
      </c>
      <c r="ES659" s="350" t="s">
        <v>5323</v>
      </c>
      <c r="ET659" s="350" t="s">
        <v>3315</v>
      </c>
      <c r="EU659" s="350" t="str">
        <f t="shared" si="88"/>
        <v>La Guajira_Fonseca</v>
      </c>
    </row>
    <row r="660" spans="1:151" ht="48" x14ac:dyDescent="0.2">
      <c r="A660" s="242">
        <v>40338</v>
      </c>
      <c r="B660" s="107" t="s">
        <v>2012</v>
      </c>
      <c r="C660" s="107" t="s">
        <v>2761</v>
      </c>
      <c r="D660" s="427" t="s">
        <v>2209</v>
      </c>
      <c r="E660" s="107" t="str">
        <f>VLOOKUP(B660&amp;C660,Divipola!$C$2:$F$1138,4,FALSE)</f>
        <v>66045</v>
      </c>
      <c r="F660" s="330"/>
      <c r="G660" s="224"/>
      <c r="H660" s="75"/>
      <c r="I660" s="75"/>
      <c r="J660" s="75">
        <f>14*5</f>
        <v>70</v>
      </c>
      <c r="K660" s="75">
        <f>27-13</f>
        <v>14</v>
      </c>
      <c r="L660" s="75">
        <f>22-8</f>
        <v>14</v>
      </c>
      <c r="M660" s="75"/>
      <c r="N660" s="75"/>
      <c r="O660" s="75"/>
      <c r="P660" s="75"/>
      <c r="Q660" s="75"/>
      <c r="R660" s="75"/>
      <c r="S660" s="75">
        <v>1</v>
      </c>
      <c r="T660" s="75">
        <v>3</v>
      </c>
      <c r="U660" s="75"/>
      <c r="V660" s="76"/>
      <c r="W660" s="205"/>
      <c r="X660" s="1">
        <v>40366</v>
      </c>
      <c r="Y660" s="78">
        <f t="shared" si="82"/>
        <v>6935000</v>
      </c>
      <c r="Z660" s="78">
        <f t="shared" si="83"/>
        <v>0</v>
      </c>
      <c r="AA660" s="78">
        <f t="shared" si="84"/>
        <v>14027700</v>
      </c>
      <c r="AB660" s="78">
        <f t="shared" si="85"/>
        <v>0</v>
      </c>
      <c r="AC660" s="78"/>
      <c r="AD660" s="78">
        <v>0</v>
      </c>
      <c r="AE660" s="80">
        <f t="shared" si="87"/>
        <v>20962700</v>
      </c>
      <c r="AF660" s="82">
        <v>0</v>
      </c>
      <c r="AG660" s="69">
        <v>40345</v>
      </c>
      <c r="AH660" s="84">
        <v>98310</v>
      </c>
      <c r="AI660" s="69" t="s">
        <v>2009</v>
      </c>
      <c r="AJ660" s="25" t="s">
        <v>2010</v>
      </c>
      <c r="AK660" s="65">
        <v>192</v>
      </c>
      <c r="AL660" s="185" t="s">
        <v>2182</v>
      </c>
      <c r="AM660" s="85" t="s">
        <v>1550</v>
      </c>
      <c r="AN660" s="3"/>
      <c r="AO660" s="4"/>
      <c r="AP660" s="5"/>
      <c r="AQ660" s="4"/>
      <c r="AR660" s="4"/>
      <c r="AS660" s="4"/>
      <c r="AT660" s="4"/>
      <c r="AU660" s="4"/>
      <c r="AV660" s="4"/>
      <c r="AW660" s="4"/>
      <c r="AX660" s="4"/>
      <c r="AY660" s="4"/>
      <c r="AZ660" s="4">
        <v>73</v>
      </c>
      <c r="BA660" s="4">
        <f>73*56000</f>
        <v>4088000</v>
      </c>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v>73</v>
      </c>
      <c r="CI660" s="4">
        <f>73*18000</f>
        <v>1314000</v>
      </c>
      <c r="CJ660" s="4">
        <v>73</v>
      </c>
      <c r="CK660" s="4">
        <f>73*21000</f>
        <v>1533000</v>
      </c>
      <c r="CL660" s="4"/>
      <c r="CM660" s="4"/>
      <c r="CN660" s="4"/>
      <c r="CO660" s="4"/>
      <c r="CP660" s="6"/>
      <c r="CQ660" s="7"/>
      <c r="CR660" s="6"/>
      <c r="CS660" s="7"/>
      <c r="CT660" s="6"/>
      <c r="CU660" s="7"/>
      <c r="CV660" s="8">
        <f t="shared" si="86"/>
        <v>6935000</v>
      </c>
      <c r="CW660" s="9"/>
      <c r="CX660" s="10"/>
      <c r="CY660" s="11"/>
      <c r="CZ660" s="12"/>
      <c r="DA660" s="29"/>
      <c r="DB660" s="12"/>
      <c r="DC660" s="9">
        <v>570</v>
      </c>
      <c r="DD660" s="10">
        <f>570*22000+4275*348</f>
        <v>14027700</v>
      </c>
      <c r="DE660" s="71"/>
      <c r="DF660" s="23" t="s">
        <v>1829</v>
      </c>
      <c r="EO660" s="353" t="str">
        <f t="shared" si="81"/>
        <v>RISARALDA_APIA</v>
      </c>
      <c r="EP660" s="350"/>
      <c r="EQ660" s="350" t="s">
        <v>4440</v>
      </c>
      <c r="ER660" s="358" t="s">
        <v>4441</v>
      </c>
      <c r="ES660" s="350" t="s">
        <v>5324</v>
      </c>
      <c r="ET660" s="350" t="s">
        <v>3316</v>
      </c>
      <c r="EU660" s="350" t="str">
        <f t="shared" si="88"/>
        <v>La Guajira_Hatonuevo</v>
      </c>
    </row>
    <row r="661" spans="1:151" ht="51" x14ac:dyDescent="0.2">
      <c r="A661" s="242">
        <v>40338</v>
      </c>
      <c r="B661" s="107" t="s">
        <v>2012</v>
      </c>
      <c r="C661" s="107" t="s">
        <v>1103</v>
      </c>
      <c r="D661" s="427" t="s">
        <v>2209</v>
      </c>
      <c r="E661" s="107" t="str">
        <f>VLOOKUP(B661&amp;C661,Divipola!$C$2:$F$1138,4,FALSE)</f>
        <v>66075</v>
      </c>
      <c r="F661" s="330"/>
      <c r="G661" s="224"/>
      <c r="H661" s="75"/>
      <c r="I661" s="75"/>
      <c r="J661" s="75">
        <f>36*5</f>
        <v>180</v>
      </c>
      <c r="K661" s="75">
        <v>36</v>
      </c>
      <c r="L661" s="75">
        <v>11</v>
      </c>
      <c r="M661" s="75">
        <v>25</v>
      </c>
      <c r="N661" s="75"/>
      <c r="O661" s="75"/>
      <c r="P661" s="75"/>
      <c r="Q661" s="75"/>
      <c r="R661" s="75"/>
      <c r="S661" s="75"/>
      <c r="T661" s="75"/>
      <c r="U661" s="75"/>
      <c r="V661" s="76">
        <v>218</v>
      </c>
      <c r="W661" s="205" t="s">
        <v>2100</v>
      </c>
      <c r="X661" s="1"/>
      <c r="Y661" s="78">
        <f t="shared" si="82"/>
        <v>0</v>
      </c>
      <c r="Z661" s="78">
        <f t="shared" si="83"/>
        <v>0</v>
      </c>
      <c r="AA661" s="78">
        <f t="shared" si="84"/>
        <v>0</v>
      </c>
      <c r="AB661" s="78">
        <f t="shared" si="85"/>
        <v>0</v>
      </c>
      <c r="AC661" s="78"/>
      <c r="AD661" s="78">
        <v>0</v>
      </c>
      <c r="AE661" s="80">
        <f t="shared" si="87"/>
        <v>0</v>
      </c>
      <c r="AF661" s="82">
        <v>0</v>
      </c>
      <c r="AG661" s="69">
        <v>40344</v>
      </c>
      <c r="AH661" s="84"/>
      <c r="AI661" s="69" t="s">
        <v>1984</v>
      </c>
      <c r="AJ661" s="25" t="s">
        <v>1985</v>
      </c>
      <c r="AK661" s="65"/>
      <c r="AL661" s="185" t="s">
        <v>1257</v>
      </c>
      <c r="AM661" s="85" t="s">
        <v>922</v>
      </c>
      <c r="AN661" s="3"/>
      <c r="AO661" s="4"/>
      <c r="AP661" s="5"/>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6"/>
      <c r="CQ661" s="7"/>
      <c r="CR661" s="6"/>
      <c r="CS661" s="7"/>
      <c r="CT661" s="6"/>
      <c r="CU661" s="7"/>
      <c r="CV661" s="8">
        <f t="shared" si="86"/>
        <v>0</v>
      </c>
      <c r="CW661" s="9"/>
      <c r="CX661" s="10"/>
      <c r="CY661" s="11"/>
      <c r="CZ661" s="12"/>
      <c r="DA661" s="29"/>
      <c r="DB661" s="12"/>
      <c r="DC661" s="9"/>
      <c r="DD661" s="10"/>
      <c r="DE661" s="71"/>
      <c r="EO661" s="353" t="str">
        <f t="shared" si="81"/>
        <v>RISARALDA_BALBOA</v>
      </c>
      <c r="EP661" s="350"/>
      <c r="EQ661" s="350" t="s">
        <v>4440</v>
      </c>
      <c r="ER661" s="358" t="s">
        <v>4441</v>
      </c>
      <c r="ES661" s="350" t="s">
        <v>5325</v>
      </c>
      <c r="ET661" s="350" t="s">
        <v>3317</v>
      </c>
      <c r="EU661" s="350" t="str">
        <f t="shared" si="88"/>
        <v>La Guajira_La Jagua del Pilar</v>
      </c>
    </row>
    <row r="662" spans="1:151" ht="48" x14ac:dyDescent="0.2">
      <c r="A662" s="242">
        <v>40338</v>
      </c>
      <c r="B662" s="107" t="s">
        <v>2012</v>
      </c>
      <c r="C662" s="107" t="s">
        <v>2766</v>
      </c>
      <c r="D662" s="427" t="s">
        <v>2209</v>
      </c>
      <c r="E662" s="107" t="str">
        <f>VLOOKUP(B662&amp;C662,Divipola!$C$2:$F$1138,4,FALSE)</f>
        <v>66440</v>
      </c>
      <c r="F662" s="330"/>
      <c r="G662" s="224"/>
      <c r="H662" s="75"/>
      <c r="I662" s="75"/>
      <c r="J662" s="75">
        <f>35*5</f>
        <v>175</v>
      </c>
      <c r="K662" s="75">
        <v>35</v>
      </c>
      <c r="L662" s="75"/>
      <c r="M662" s="75">
        <v>35</v>
      </c>
      <c r="N662" s="75"/>
      <c r="O662" s="75"/>
      <c r="P662" s="75"/>
      <c r="Q662" s="75"/>
      <c r="R662" s="75"/>
      <c r="S662" s="75"/>
      <c r="T662" s="75">
        <v>7</v>
      </c>
      <c r="U662" s="75"/>
      <c r="V662" s="76"/>
      <c r="W662" s="205"/>
      <c r="X662" s="1">
        <v>40366</v>
      </c>
      <c r="Y662" s="78">
        <f t="shared" si="82"/>
        <v>0</v>
      </c>
      <c r="Z662" s="78">
        <f t="shared" si="83"/>
        <v>2550000</v>
      </c>
      <c r="AA662" s="78">
        <f t="shared" si="84"/>
        <v>22152420</v>
      </c>
      <c r="AB662" s="78">
        <f t="shared" si="85"/>
        <v>0</v>
      </c>
      <c r="AC662" s="78"/>
      <c r="AD662" s="78">
        <v>0</v>
      </c>
      <c r="AE662" s="80">
        <f t="shared" si="87"/>
        <v>24702420</v>
      </c>
      <c r="AF662" s="82">
        <v>0</v>
      </c>
      <c r="AG662" s="69">
        <v>40335</v>
      </c>
      <c r="AH662" s="84">
        <v>98310</v>
      </c>
      <c r="AI662" s="69" t="s">
        <v>2009</v>
      </c>
      <c r="AJ662" s="25" t="s">
        <v>2010</v>
      </c>
      <c r="AK662" s="65">
        <v>192</v>
      </c>
      <c r="AL662" s="185" t="s">
        <v>2182</v>
      </c>
      <c r="AM662" s="85" t="s">
        <v>923</v>
      </c>
      <c r="AN662" s="3"/>
      <c r="AO662" s="4"/>
      <c r="AP662" s="5"/>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6"/>
      <c r="CQ662" s="7"/>
      <c r="CR662" s="6"/>
      <c r="CS662" s="7"/>
      <c r="CT662" s="6"/>
      <c r="CU662" s="7"/>
      <c r="CV662" s="8">
        <f t="shared" si="86"/>
        <v>0</v>
      </c>
      <c r="CW662" s="9"/>
      <c r="CX662" s="10"/>
      <c r="CY662" s="11">
        <v>30</v>
      </c>
      <c r="CZ662" s="12">
        <f>30*85000</f>
        <v>2550000</v>
      </c>
      <c r="DA662" s="29"/>
      <c r="DB662" s="12"/>
      <c r="DC662" s="9">
        <f>520+275</f>
        <v>795</v>
      </c>
      <c r="DD662" s="10">
        <f>520*22000+275*34000+3915*348</f>
        <v>22152420</v>
      </c>
      <c r="DE662" s="71"/>
      <c r="DF662" s="23" t="s">
        <v>1830</v>
      </c>
      <c r="EO662" s="353" t="str">
        <f t="shared" si="81"/>
        <v>RISARALDA_MARSELLA</v>
      </c>
      <c r="EP662" s="350"/>
      <c r="EQ662" s="350" t="s">
        <v>4440</v>
      </c>
      <c r="ER662" s="358" t="s">
        <v>4441</v>
      </c>
      <c r="ES662" s="350" t="s">
        <v>5326</v>
      </c>
      <c r="ET662" s="350" t="s">
        <v>3318</v>
      </c>
      <c r="EU662" s="350" t="str">
        <f t="shared" si="88"/>
        <v>La Guajira_Maicao</v>
      </c>
    </row>
    <row r="663" spans="1:151" ht="38.25" x14ac:dyDescent="0.2">
      <c r="A663" s="242">
        <v>40339</v>
      </c>
      <c r="B663" s="107" t="s">
        <v>2014</v>
      </c>
      <c r="C663" s="107" t="s">
        <v>2015</v>
      </c>
      <c r="D663" s="427" t="s">
        <v>1721</v>
      </c>
      <c r="E663" s="107" t="str">
        <f>VLOOKUP(B663&amp;C663,Divipola!$C$2:$F$1138,4,FALSE)</f>
        <v>63001</v>
      </c>
      <c r="F663" s="330"/>
      <c r="G663" s="224">
        <v>1</v>
      </c>
      <c r="H663" s="75"/>
      <c r="I663" s="75"/>
      <c r="J663" s="75"/>
      <c r="K663" s="75"/>
      <c r="L663" s="75"/>
      <c r="M663" s="75"/>
      <c r="N663" s="75"/>
      <c r="O663" s="75"/>
      <c r="P663" s="75"/>
      <c r="Q663" s="75"/>
      <c r="R663" s="75"/>
      <c r="S663" s="75"/>
      <c r="T663" s="75"/>
      <c r="U663" s="75"/>
      <c r="V663" s="76"/>
      <c r="W663" s="205" t="s">
        <v>2096</v>
      </c>
      <c r="X663" s="1"/>
      <c r="Y663" s="78">
        <f t="shared" si="82"/>
        <v>0</v>
      </c>
      <c r="Z663" s="78">
        <f t="shared" si="83"/>
        <v>0</v>
      </c>
      <c r="AA663" s="78">
        <f t="shared" si="84"/>
        <v>0</v>
      </c>
      <c r="AB663" s="78">
        <f t="shared" si="85"/>
        <v>0</v>
      </c>
      <c r="AC663" s="78"/>
      <c r="AD663" s="78">
        <v>0</v>
      </c>
      <c r="AE663" s="80">
        <f t="shared" si="87"/>
        <v>0</v>
      </c>
      <c r="AF663" s="82">
        <v>0</v>
      </c>
      <c r="AG663" s="69">
        <v>40344</v>
      </c>
      <c r="AH663" s="84"/>
      <c r="AI663" s="69" t="s">
        <v>1984</v>
      </c>
      <c r="AJ663" s="25" t="s">
        <v>1985</v>
      </c>
      <c r="AK663" s="65"/>
      <c r="AL663" s="185" t="s">
        <v>1257</v>
      </c>
      <c r="AM663" s="85" t="s">
        <v>2095</v>
      </c>
      <c r="AN663" s="3"/>
      <c r="AO663" s="4"/>
      <c r="AP663" s="5"/>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6"/>
      <c r="CQ663" s="7"/>
      <c r="CR663" s="6"/>
      <c r="CS663" s="7"/>
      <c r="CT663" s="6"/>
      <c r="CU663" s="7"/>
      <c r="CV663" s="8">
        <f t="shared" si="86"/>
        <v>0</v>
      </c>
      <c r="CW663" s="9"/>
      <c r="CX663" s="10"/>
      <c r="CY663" s="11"/>
      <c r="CZ663" s="12"/>
      <c r="DA663" s="29"/>
      <c r="DB663" s="12"/>
      <c r="DC663" s="9"/>
      <c r="DD663" s="10"/>
      <c r="DE663" s="71"/>
      <c r="EO663" s="353" t="str">
        <f t="shared" si="81"/>
        <v>QUINDIO_ARMENIA</v>
      </c>
      <c r="EP663" s="350"/>
      <c r="EQ663" s="350" t="s">
        <v>4440</v>
      </c>
      <c r="ER663" s="358" t="s">
        <v>4441</v>
      </c>
      <c r="ES663" s="350" t="s">
        <v>5327</v>
      </c>
      <c r="ET663" s="350" t="s">
        <v>6226</v>
      </c>
      <c r="EU663" s="350" t="str">
        <f t="shared" si="88"/>
        <v>La Guajira_Manaure</v>
      </c>
    </row>
    <row r="664" spans="1:151" ht="51" x14ac:dyDescent="0.2">
      <c r="A664" s="242">
        <v>40341</v>
      </c>
      <c r="B664" s="107" t="s">
        <v>2017</v>
      </c>
      <c r="C664" s="107" t="s">
        <v>1215</v>
      </c>
      <c r="D664" s="427" t="s">
        <v>2209</v>
      </c>
      <c r="E664" s="107" t="str">
        <f>VLOOKUP(B664&amp;C664,Divipola!$C$2:$F$1138,4,FALSE)</f>
        <v>13001</v>
      </c>
      <c r="F664" s="330"/>
      <c r="G664" s="224"/>
      <c r="H664" s="75"/>
      <c r="I664" s="75"/>
      <c r="J664" s="75">
        <f>38*5</f>
        <v>190</v>
      </c>
      <c r="K664" s="75">
        <v>38</v>
      </c>
      <c r="L664" s="75"/>
      <c r="M664" s="75">
        <v>38</v>
      </c>
      <c r="N664" s="75"/>
      <c r="O664" s="75"/>
      <c r="P664" s="75"/>
      <c r="Q664" s="75"/>
      <c r="R664" s="75"/>
      <c r="S664" s="75"/>
      <c r="T664" s="75">
        <v>1</v>
      </c>
      <c r="U664" s="75"/>
      <c r="V664" s="76"/>
      <c r="W664" s="205"/>
      <c r="X664" s="1">
        <v>40366</v>
      </c>
      <c r="Y664" s="78">
        <f t="shared" si="82"/>
        <v>0</v>
      </c>
      <c r="Z664" s="78">
        <f t="shared" si="83"/>
        <v>0</v>
      </c>
      <c r="AA664" s="78">
        <f t="shared" si="84"/>
        <v>12151528</v>
      </c>
      <c r="AB664" s="78">
        <f t="shared" si="85"/>
        <v>0</v>
      </c>
      <c r="AC664" s="78"/>
      <c r="AD664" s="78">
        <v>0</v>
      </c>
      <c r="AE664" s="80">
        <f t="shared" si="87"/>
        <v>12151528</v>
      </c>
      <c r="AF664" s="82">
        <v>0</v>
      </c>
      <c r="AG664" s="69">
        <v>40352</v>
      </c>
      <c r="AH664" s="84">
        <v>98526</v>
      </c>
      <c r="AI664" s="69" t="s">
        <v>2009</v>
      </c>
      <c r="AJ664" s="25" t="s">
        <v>2010</v>
      </c>
      <c r="AK664" s="65">
        <v>192</v>
      </c>
      <c r="AL664" s="185" t="s">
        <v>2182</v>
      </c>
      <c r="AM664" s="85" t="s">
        <v>1472</v>
      </c>
      <c r="AN664" s="3"/>
      <c r="AO664" s="4"/>
      <c r="AP664" s="5"/>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6"/>
      <c r="CQ664" s="7"/>
      <c r="CR664" s="6"/>
      <c r="CS664" s="7"/>
      <c r="CT664" s="6"/>
      <c r="CU664" s="7"/>
      <c r="CV664" s="8">
        <f t="shared" si="86"/>
        <v>0</v>
      </c>
      <c r="CW664" s="9"/>
      <c r="CX664" s="10"/>
      <c r="CY664" s="11"/>
      <c r="CZ664" s="12"/>
      <c r="DA664" s="29"/>
      <c r="DB664" s="12"/>
      <c r="DC664" s="9">
        <f>248+8+127</f>
        <v>383</v>
      </c>
      <c r="DD664" s="10">
        <f>248*34000+8*38000+127*22000+1786*348</f>
        <v>12151528</v>
      </c>
      <c r="DE664" s="71"/>
      <c r="DF664" s="23" t="s">
        <v>1828</v>
      </c>
      <c r="EO664" s="353" t="str">
        <f t="shared" si="81"/>
        <v>BOLIVAR_CARTAGENA</v>
      </c>
      <c r="EP664" s="350"/>
      <c r="EQ664" s="350" t="s">
        <v>4440</v>
      </c>
      <c r="ER664" s="358" t="s">
        <v>4441</v>
      </c>
      <c r="ES664" s="350" t="s">
        <v>5328</v>
      </c>
      <c r="ET664" s="350" t="s">
        <v>3319</v>
      </c>
      <c r="EU664" s="350" t="str">
        <f t="shared" si="88"/>
        <v>La Guajira_San Juan del Cesar</v>
      </c>
    </row>
    <row r="665" spans="1:151" ht="51" x14ac:dyDescent="0.2">
      <c r="A665" s="242">
        <v>40342</v>
      </c>
      <c r="B665" s="107" t="s">
        <v>1462</v>
      </c>
      <c r="C665" s="107" t="s">
        <v>2040</v>
      </c>
      <c r="D665" s="427" t="s">
        <v>1993</v>
      </c>
      <c r="E665" s="107" t="str">
        <f>VLOOKUP(B665&amp;C665,Divipola!$C$2:$F$1138,4,FALSE)</f>
        <v>76275</v>
      </c>
      <c r="F665" s="330"/>
      <c r="G665" s="224">
        <v>3</v>
      </c>
      <c r="H665" s="75"/>
      <c r="I665" s="75"/>
      <c r="J665" s="75"/>
      <c r="K665" s="75"/>
      <c r="L665" s="75"/>
      <c r="M665" s="75"/>
      <c r="N665" s="75"/>
      <c r="O665" s="75"/>
      <c r="P665" s="75"/>
      <c r="Q665" s="75"/>
      <c r="R665" s="75"/>
      <c r="S665" s="75"/>
      <c r="T665" s="75"/>
      <c r="U665" s="75"/>
      <c r="V665" s="76"/>
      <c r="W665" s="205"/>
      <c r="X665" s="1"/>
      <c r="Y665" s="78">
        <f t="shared" si="82"/>
        <v>0</v>
      </c>
      <c r="Z665" s="78">
        <f t="shared" si="83"/>
        <v>0</v>
      </c>
      <c r="AA665" s="78">
        <f t="shared" si="84"/>
        <v>0</v>
      </c>
      <c r="AB665" s="78">
        <f t="shared" si="85"/>
        <v>0</v>
      </c>
      <c r="AC665" s="78"/>
      <c r="AD665" s="78">
        <v>0</v>
      </c>
      <c r="AE665" s="80">
        <f t="shared" si="87"/>
        <v>0</v>
      </c>
      <c r="AF665" s="82">
        <v>0</v>
      </c>
      <c r="AG665" s="69">
        <v>40344</v>
      </c>
      <c r="AH665" s="84"/>
      <c r="AI665" s="69" t="s">
        <v>1984</v>
      </c>
      <c r="AJ665" s="25" t="s">
        <v>1985</v>
      </c>
      <c r="AK665" s="65"/>
      <c r="AL665" s="185" t="s">
        <v>1257</v>
      </c>
      <c r="AM665" s="85" t="s">
        <v>2103</v>
      </c>
      <c r="AN665" s="3"/>
      <c r="AO665" s="4"/>
      <c r="AP665" s="5"/>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6"/>
      <c r="CQ665" s="7"/>
      <c r="CR665" s="6"/>
      <c r="CS665" s="7"/>
      <c r="CT665" s="6"/>
      <c r="CU665" s="7"/>
      <c r="CV665" s="8">
        <f t="shared" si="86"/>
        <v>0</v>
      </c>
      <c r="CW665" s="9"/>
      <c r="CX665" s="10"/>
      <c r="CY665" s="11"/>
      <c r="CZ665" s="12"/>
      <c r="DA665" s="29"/>
      <c r="DB665" s="12"/>
      <c r="DC665" s="9"/>
      <c r="DD665" s="10"/>
      <c r="DE665" s="71"/>
      <c r="EO665" s="353" t="str">
        <f t="shared" si="81"/>
        <v>VALLE DEL CAUCA_FLORIDA</v>
      </c>
      <c r="EP665" s="350"/>
      <c r="EQ665" s="350" t="s">
        <v>4440</v>
      </c>
      <c r="ER665" s="358" t="s">
        <v>4441</v>
      </c>
      <c r="ES665" s="350" t="s">
        <v>5329</v>
      </c>
      <c r="ET665" s="350" t="s">
        <v>3320</v>
      </c>
      <c r="EU665" s="350" t="str">
        <f t="shared" si="88"/>
        <v>La Guajira_Uribia</v>
      </c>
    </row>
    <row r="666" spans="1:151" ht="38.25" x14ac:dyDescent="0.2">
      <c r="A666" s="242">
        <v>40343</v>
      </c>
      <c r="B666" s="107" t="s">
        <v>6305</v>
      </c>
      <c r="C666" s="107" t="s">
        <v>6305</v>
      </c>
      <c r="D666" s="427" t="s">
        <v>1721</v>
      </c>
      <c r="E666" s="107" t="str">
        <f>VLOOKUP(B666&amp;C666,Divipola!$C$2:$F$1138,4,FALSE)</f>
        <v>11001</v>
      </c>
      <c r="F666" s="330"/>
      <c r="G666" s="224"/>
      <c r="H666" s="75"/>
      <c r="I666" s="75"/>
      <c r="J666" s="75"/>
      <c r="K666" s="75"/>
      <c r="L666" s="75"/>
      <c r="M666" s="75"/>
      <c r="N666" s="75"/>
      <c r="O666" s="75"/>
      <c r="P666" s="75"/>
      <c r="Q666" s="75"/>
      <c r="R666" s="75"/>
      <c r="S666" s="75"/>
      <c r="T666" s="75"/>
      <c r="U666" s="75"/>
      <c r="V666" s="76"/>
      <c r="W666" s="205"/>
      <c r="X666" s="1"/>
      <c r="Y666" s="78">
        <f t="shared" si="82"/>
        <v>0</v>
      </c>
      <c r="Z666" s="78">
        <f t="shared" si="83"/>
        <v>0</v>
      </c>
      <c r="AA666" s="78">
        <f t="shared" si="84"/>
        <v>0</v>
      </c>
      <c r="AB666" s="78">
        <f t="shared" si="85"/>
        <v>0</v>
      </c>
      <c r="AC666" s="78"/>
      <c r="AD666" s="78">
        <v>0</v>
      </c>
      <c r="AE666" s="80">
        <f t="shared" si="87"/>
        <v>0</v>
      </c>
      <c r="AF666" s="82">
        <v>0</v>
      </c>
      <c r="AG666" s="69">
        <v>40344</v>
      </c>
      <c r="AH666" s="84"/>
      <c r="AI666" s="69" t="s">
        <v>1984</v>
      </c>
      <c r="AJ666" s="25" t="s">
        <v>1985</v>
      </c>
      <c r="AK666" s="65"/>
      <c r="AL666" s="185" t="s">
        <v>1257</v>
      </c>
      <c r="AM666" s="85" t="s">
        <v>2101</v>
      </c>
      <c r="AN666" s="3"/>
      <c r="AO666" s="4"/>
      <c r="AP666" s="5"/>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6"/>
      <c r="CQ666" s="7"/>
      <c r="CR666" s="6"/>
      <c r="CS666" s="7"/>
      <c r="CT666" s="6"/>
      <c r="CU666" s="7"/>
      <c r="CV666" s="8">
        <f t="shared" si="86"/>
        <v>0</v>
      </c>
      <c r="CW666" s="9"/>
      <c r="CX666" s="10"/>
      <c r="CY666" s="11"/>
      <c r="CZ666" s="12"/>
      <c r="DA666" s="29"/>
      <c r="DB666" s="12"/>
      <c r="DC666" s="9"/>
      <c r="DD666" s="10"/>
      <c r="DE666" s="71"/>
      <c r="EO666" s="353" t="str">
        <f t="shared" si="81"/>
        <v>BOGOTA, D.C._BOGOTA, D.C.</v>
      </c>
      <c r="EP666" s="350"/>
      <c r="EQ666" s="350" t="s">
        <v>4440</v>
      </c>
      <c r="ER666" s="358" t="s">
        <v>4441</v>
      </c>
      <c r="ES666" s="350" t="s">
        <v>5330</v>
      </c>
      <c r="ET666" s="350" t="s">
        <v>3321</v>
      </c>
      <c r="EU666" s="350" t="str">
        <f t="shared" si="88"/>
        <v>La Guajira_Urumita</v>
      </c>
    </row>
    <row r="667" spans="1:151" ht="38.25" x14ac:dyDescent="0.2">
      <c r="A667" s="242">
        <v>40343</v>
      </c>
      <c r="B667" s="107" t="s">
        <v>2791</v>
      </c>
      <c r="C667" s="107" t="s">
        <v>1558</v>
      </c>
      <c r="D667" s="427" t="s">
        <v>2352</v>
      </c>
      <c r="E667" s="107" t="str">
        <f>VLOOKUP(B667&amp;C667,Divipola!$C$2:$F$1138,4,FALSE)</f>
        <v>73770</v>
      </c>
      <c r="F667" s="330"/>
      <c r="G667" s="224">
        <v>2</v>
      </c>
      <c r="H667" s="75"/>
      <c r="I667" s="75"/>
      <c r="J667" s="75"/>
      <c r="K667" s="75"/>
      <c r="L667" s="75"/>
      <c r="M667" s="75"/>
      <c r="N667" s="75"/>
      <c r="O667" s="75">
        <v>1</v>
      </c>
      <c r="P667" s="75"/>
      <c r="Q667" s="75"/>
      <c r="R667" s="75"/>
      <c r="S667" s="75"/>
      <c r="T667" s="75"/>
      <c r="U667" s="75"/>
      <c r="V667" s="76"/>
      <c r="W667" s="205"/>
      <c r="X667" s="1"/>
      <c r="Y667" s="78">
        <f t="shared" si="82"/>
        <v>0</v>
      </c>
      <c r="Z667" s="78">
        <f t="shared" si="83"/>
        <v>0</v>
      </c>
      <c r="AA667" s="78">
        <f t="shared" si="84"/>
        <v>0</v>
      </c>
      <c r="AB667" s="78">
        <f t="shared" si="85"/>
        <v>0</v>
      </c>
      <c r="AC667" s="78"/>
      <c r="AD667" s="78">
        <v>0</v>
      </c>
      <c r="AE667" s="80">
        <f t="shared" si="87"/>
        <v>0</v>
      </c>
      <c r="AF667" s="82">
        <v>0</v>
      </c>
      <c r="AG667" s="69">
        <v>40344</v>
      </c>
      <c r="AH667" s="84"/>
      <c r="AI667" s="69" t="s">
        <v>1984</v>
      </c>
      <c r="AJ667" s="25" t="s">
        <v>1985</v>
      </c>
      <c r="AK667" s="65"/>
      <c r="AL667" s="185" t="s">
        <v>1257</v>
      </c>
      <c r="AM667" s="85" t="s">
        <v>2102</v>
      </c>
      <c r="AN667" s="3"/>
      <c r="AO667" s="4"/>
      <c r="AP667" s="5"/>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6"/>
      <c r="CQ667" s="7"/>
      <c r="CR667" s="6"/>
      <c r="CS667" s="7"/>
      <c r="CT667" s="6"/>
      <c r="CU667" s="7"/>
      <c r="CV667" s="8">
        <f t="shared" si="86"/>
        <v>0</v>
      </c>
      <c r="CW667" s="9"/>
      <c r="CX667" s="10"/>
      <c r="CY667" s="11"/>
      <c r="CZ667" s="12"/>
      <c r="DA667" s="29"/>
      <c r="DB667" s="12"/>
      <c r="DC667" s="9"/>
      <c r="DD667" s="10"/>
      <c r="DE667" s="71"/>
      <c r="EO667" s="353" t="str">
        <f t="shared" si="81"/>
        <v>TOLIMA_SUAREZ</v>
      </c>
      <c r="EP667" s="350"/>
      <c r="EQ667" s="350" t="s">
        <v>4440</v>
      </c>
      <c r="ER667" s="358" t="s">
        <v>4441</v>
      </c>
      <c r="ES667" s="350" t="s">
        <v>5331</v>
      </c>
      <c r="ET667" s="350" t="s">
        <v>6019</v>
      </c>
      <c r="EU667" s="350" t="str">
        <f t="shared" si="88"/>
        <v>La Guajira_Villanueva</v>
      </c>
    </row>
    <row r="668" spans="1:151" ht="84" x14ac:dyDescent="0.2">
      <c r="A668" s="246">
        <v>40344</v>
      </c>
      <c r="B668" s="238" t="s">
        <v>2401</v>
      </c>
      <c r="C668" s="238" t="s">
        <v>924</v>
      </c>
      <c r="D668" s="431" t="s">
        <v>2307</v>
      </c>
      <c r="E668" s="107" t="str">
        <f>VLOOKUP(B668&amp;C668,Divipola!$C$2:$F$1138,4,FALSE)</f>
        <v>05038</v>
      </c>
      <c r="F668" s="334"/>
      <c r="G668" s="224"/>
      <c r="H668" s="75"/>
      <c r="I668" s="75"/>
      <c r="J668" s="75">
        <v>54</v>
      </c>
      <c r="K668" s="75">
        <v>10</v>
      </c>
      <c r="L668" s="75">
        <v>3</v>
      </c>
      <c r="M668" s="75">
        <v>4</v>
      </c>
      <c r="N668" s="75">
        <v>1</v>
      </c>
      <c r="O668" s="75"/>
      <c r="P668" s="75"/>
      <c r="Q668" s="75"/>
      <c r="R668" s="75"/>
      <c r="S668" s="75"/>
      <c r="T668" s="75"/>
      <c r="U668" s="75">
        <v>1</v>
      </c>
      <c r="V668" s="76"/>
      <c r="W668" s="205"/>
      <c r="X668" s="1">
        <v>40350</v>
      </c>
      <c r="Y668" s="78">
        <f t="shared" si="82"/>
        <v>0</v>
      </c>
      <c r="Z668" s="78">
        <f t="shared" si="83"/>
        <v>0</v>
      </c>
      <c r="AA668" s="78">
        <f t="shared" si="84"/>
        <v>0</v>
      </c>
      <c r="AB668" s="78">
        <f t="shared" si="85"/>
        <v>0</v>
      </c>
      <c r="AC668" s="78"/>
      <c r="AD668" s="78">
        <v>84320000</v>
      </c>
      <c r="AE668" s="80">
        <f t="shared" si="87"/>
        <v>84320000</v>
      </c>
      <c r="AF668" s="82">
        <v>0</v>
      </c>
      <c r="AG668" s="69">
        <v>40347</v>
      </c>
      <c r="AH668" s="84">
        <v>98350</v>
      </c>
      <c r="AI668" s="69" t="s">
        <v>2009</v>
      </c>
      <c r="AJ668" s="25" t="s">
        <v>2010</v>
      </c>
      <c r="AK668" s="65">
        <v>320</v>
      </c>
      <c r="AL668" s="185" t="s">
        <v>999</v>
      </c>
      <c r="AM668" s="85" t="s">
        <v>1000</v>
      </c>
      <c r="AN668" s="3"/>
      <c r="AO668" s="4"/>
      <c r="AP668" s="5"/>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6"/>
      <c r="CQ668" s="7"/>
      <c r="CR668" s="6"/>
      <c r="CS668" s="7"/>
      <c r="CT668" s="6"/>
      <c r="CU668" s="7"/>
      <c r="CV668" s="8">
        <f t="shared" si="86"/>
        <v>0</v>
      </c>
      <c r="CW668" s="9"/>
      <c r="CX668" s="10"/>
      <c r="CY668" s="11"/>
      <c r="CZ668" s="12"/>
      <c r="DA668" s="29"/>
      <c r="DB668" s="12"/>
      <c r="DC668" s="9"/>
      <c r="DD668" s="10"/>
      <c r="DE668" s="71">
        <v>4</v>
      </c>
      <c r="EO668" s="353" t="str">
        <f t="shared" si="81"/>
        <v>ANTIOQUIA_ANGOSTURA</v>
      </c>
      <c r="EP668" s="350"/>
      <c r="EQ668" s="350" t="s">
        <v>4449</v>
      </c>
      <c r="ER668" s="358" t="s">
        <v>4450</v>
      </c>
      <c r="ES668" s="350" t="s">
        <v>5332</v>
      </c>
      <c r="ET668" s="350" t="s">
        <v>3322</v>
      </c>
      <c r="EU668" s="350" t="str">
        <f t="shared" si="88"/>
        <v>Magdalena_Santa Marta</v>
      </c>
    </row>
    <row r="669" spans="1:151" ht="25.5" x14ac:dyDescent="0.2">
      <c r="A669" s="242">
        <v>40344</v>
      </c>
      <c r="B669" s="107" t="s">
        <v>2425</v>
      </c>
      <c r="C669" s="107" t="s">
        <v>2374</v>
      </c>
      <c r="D669" s="427" t="s">
        <v>1721</v>
      </c>
      <c r="E669" s="107" t="str">
        <f>VLOOKUP(B669&amp;C669,Divipola!$C$2:$F$1138,4,FALSE)</f>
        <v>27001</v>
      </c>
      <c r="F669" s="330"/>
      <c r="G669" s="224"/>
      <c r="H669" s="75">
        <v>1</v>
      </c>
      <c r="I669" s="75"/>
      <c r="J669" s="75">
        <v>5</v>
      </c>
      <c r="K669" s="75">
        <v>1</v>
      </c>
      <c r="L669" s="75"/>
      <c r="M669" s="75">
        <v>1</v>
      </c>
      <c r="N669" s="75"/>
      <c r="O669" s="75"/>
      <c r="P669" s="75"/>
      <c r="Q669" s="75"/>
      <c r="R669" s="75"/>
      <c r="S669" s="75"/>
      <c r="T669" s="75"/>
      <c r="U669" s="75"/>
      <c r="V669" s="76"/>
      <c r="W669" s="205"/>
      <c r="X669" s="1"/>
      <c r="Y669" s="78">
        <f t="shared" si="82"/>
        <v>0</v>
      </c>
      <c r="Z669" s="78">
        <f t="shared" si="83"/>
        <v>0</v>
      </c>
      <c r="AA669" s="78">
        <f t="shared" si="84"/>
        <v>0</v>
      </c>
      <c r="AB669" s="78">
        <f t="shared" si="85"/>
        <v>0</v>
      </c>
      <c r="AC669" s="78"/>
      <c r="AD669" s="78">
        <v>0</v>
      </c>
      <c r="AE669" s="80">
        <f t="shared" si="87"/>
        <v>0</v>
      </c>
      <c r="AF669" s="82">
        <v>0</v>
      </c>
      <c r="AG669" s="69">
        <v>40345</v>
      </c>
      <c r="AH669" s="84"/>
      <c r="AI669" s="69" t="s">
        <v>1984</v>
      </c>
      <c r="AJ669" s="25" t="s">
        <v>1985</v>
      </c>
      <c r="AK669" s="65"/>
      <c r="AL669" s="185" t="s">
        <v>1257</v>
      </c>
      <c r="AM669" s="85" t="s">
        <v>919</v>
      </c>
      <c r="AN669" s="3"/>
      <c r="AO669" s="4"/>
      <c r="AP669" s="5"/>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6"/>
      <c r="CQ669" s="7"/>
      <c r="CR669" s="6"/>
      <c r="CS669" s="7"/>
      <c r="CT669" s="6"/>
      <c r="CU669" s="7"/>
      <c r="CV669" s="8">
        <f t="shared" si="86"/>
        <v>0</v>
      </c>
      <c r="CW669" s="9"/>
      <c r="CX669" s="10"/>
      <c r="CY669" s="11"/>
      <c r="CZ669" s="12"/>
      <c r="DA669" s="29"/>
      <c r="DB669" s="12"/>
      <c r="DC669" s="9"/>
      <c r="DD669" s="10"/>
      <c r="DE669" s="71"/>
      <c r="EO669" s="353" t="str">
        <f t="shared" si="81"/>
        <v>CHOCO_QUIBDO</v>
      </c>
      <c r="EP669" s="350"/>
      <c r="EQ669" s="350" t="s">
        <v>4449</v>
      </c>
      <c r="ER669" s="358" t="s">
        <v>4450</v>
      </c>
      <c r="ES669" s="350" t="s">
        <v>5333</v>
      </c>
      <c r="ET669" s="350" t="s">
        <v>3323</v>
      </c>
      <c r="EU669" s="350" t="str">
        <f t="shared" si="88"/>
        <v>Magdalena_Algarrobo</v>
      </c>
    </row>
    <row r="670" spans="1:151" ht="84" x14ac:dyDescent="0.2">
      <c r="A670" s="242">
        <v>40344</v>
      </c>
      <c r="B670" s="107" t="s">
        <v>708</v>
      </c>
      <c r="C670" s="107" t="s">
        <v>2664</v>
      </c>
      <c r="D670" s="427" t="s">
        <v>2307</v>
      </c>
      <c r="E670" s="107" t="str">
        <f>VLOOKUP(B670&amp;C670,Divipola!$C$2:$F$1138,4,FALSE)</f>
        <v>50245</v>
      </c>
      <c r="F670" s="330"/>
      <c r="G670" s="224"/>
      <c r="H670" s="75"/>
      <c r="I670" s="75"/>
      <c r="J670" s="75"/>
      <c r="K670" s="75"/>
      <c r="L670" s="75"/>
      <c r="M670" s="75"/>
      <c r="N670" s="75">
        <v>4</v>
      </c>
      <c r="O670" s="75"/>
      <c r="P670" s="75"/>
      <c r="Q670" s="75"/>
      <c r="R670" s="75"/>
      <c r="S670" s="75"/>
      <c r="T670" s="75"/>
      <c r="U670" s="75"/>
      <c r="V670" s="76"/>
      <c r="W670" s="205"/>
      <c r="X670" s="1"/>
      <c r="Y670" s="78">
        <f t="shared" si="82"/>
        <v>0</v>
      </c>
      <c r="Z670" s="78">
        <f t="shared" si="83"/>
        <v>0</v>
      </c>
      <c r="AA670" s="78">
        <f t="shared" si="84"/>
        <v>0</v>
      </c>
      <c r="AB670" s="78">
        <f t="shared" si="85"/>
        <v>0</v>
      </c>
      <c r="AC670" s="78"/>
      <c r="AD670" s="78">
        <v>0</v>
      </c>
      <c r="AE670" s="80">
        <f t="shared" si="87"/>
        <v>0</v>
      </c>
      <c r="AF670" s="82">
        <v>0</v>
      </c>
      <c r="AG670" s="69">
        <v>40357</v>
      </c>
      <c r="AH670" s="84">
        <v>31133</v>
      </c>
      <c r="AI670" s="69" t="s">
        <v>2009</v>
      </c>
      <c r="AJ670" s="25" t="s">
        <v>1985</v>
      </c>
      <c r="AK670" s="65"/>
      <c r="AL670" s="212"/>
      <c r="AM670" s="85" t="s">
        <v>3136</v>
      </c>
      <c r="AN670" s="3"/>
      <c r="AO670" s="4"/>
      <c r="AP670" s="5"/>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6"/>
      <c r="CQ670" s="7"/>
      <c r="CR670" s="6"/>
      <c r="CS670" s="7"/>
      <c r="CT670" s="6"/>
      <c r="CU670" s="7"/>
      <c r="CV670" s="8">
        <f t="shared" si="86"/>
        <v>0</v>
      </c>
      <c r="CW670" s="9"/>
      <c r="CX670" s="10"/>
      <c r="CY670" s="11"/>
      <c r="CZ670" s="12"/>
      <c r="DA670" s="29"/>
      <c r="DB670" s="12"/>
      <c r="DC670" s="9"/>
      <c r="DD670" s="10"/>
      <c r="DE670" s="71"/>
      <c r="EO670" s="353" t="str">
        <f t="shared" si="81"/>
        <v>META_EL CALVARIO</v>
      </c>
      <c r="EP670" s="350"/>
      <c r="EQ670" s="350" t="s">
        <v>4449</v>
      </c>
      <c r="ER670" s="358" t="s">
        <v>4450</v>
      </c>
      <c r="ES670" s="350" t="s">
        <v>5334</v>
      </c>
      <c r="ET670" s="350" t="s">
        <v>3324</v>
      </c>
      <c r="EU670" s="350" t="str">
        <f t="shared" si="88"/>
        <v>Magdalena_Aracataca</v>
      </c>
    </row>
    <row r="671" spans="1:151" ht="25.5" x14ac:dyDescent="0.2">
      <c r="A671" s="242">
        <v>40344</v>
      </c>
      <c r="B671" s="107" t="s">
        <v>2791</v>
      </c>
      <c r="C671" s="107" t="s">
        <v>4612</v>
      </c>
      <c r="D671" s="427" t="s">
        <v>2307</v>
      </c>
      <c r="E671" s="107" t="str">
        <f>VLOOKUP(B671&amp;C671,Divipola!$C$2:$F$1138,4,FALSE)</f>
        <v>73873</v>
      </c>
      <c r="F671" s="330"/>
      <c r="G671" s="224"/>
      <c r="H671" s="75"/>
      <c r="I671" s="75"/>
      <c r="J671" s="75">
        <v>5</v>
      </c>
      <c r="K671" s="75">
        <v>1</v>
      </c>
      <c r="L671" s="75">
        <v>1</v>
      </c>
      <c r="M671" s="75"/>
      <c r="N671" s="75"/>
      <c r="O671" s="75"/>
      <c r="P671" s="75"/>
      <c r="Q671" s="75"/>
      <c r="R671" s="75"/>
      <c r="S671" s="75"/>
      <c r="T671" s="75"/>
      <c r="U671" s="75"/>
      <c r="V671" s="76"/>
      <c r="W671" s="205"/>
      <c r="X671" s="1"/>
      <c r="Y671" s="78">
        <f t="shared" si="82"/>
        <v>0</v>
      </c>
      <c r="Z671" s="78">
        <f t="shared" si="83"/>
        <v>0</v>
      </c>
      <c r="AA671" s="78">
        <f t="shared" si="84"/>
        <v>0</v>
      </c>
      <c r="AB671" s="78">
        <f t="shared" si="85"/>
        <v>0</v>
      </c>
      <c r="AC671" s="78"/>
      <c r="AD671" s="78">
        <v>0</v>
      </c>
      <c r="AE671" s="80">
        <f t="shared" si="87"/>
        <v>0</v>
      </c>
      <c r="AF671" s="82">
        <v>0</v>
      </c>
      <c r="AG671" s="69">
        <v>40345</v>
      </c>
      <c r="AH671" s="84"/>
      <c r="AI671" s="69" t="s">
        <v>1984</v>
      </c>
      <c r="AJ671" s="25" t="s">
        <v>1985</v>
      </c>
      <c r="AK671" s="65"/>
      <c r="AL671" s="185" t="s">
        <v>1257</v>
      </c>
      <c r="AM671" s="85" t="s">
        <v>925</v>
      </c>
      <c r="AN671" s="3"/>
      <c r="AO671" s="4"/>
      <c r="AP671" s="5"/>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6"/>
      <c r="CQ671" s="7"/>
      <c r="CR671" s="6"/>
      <c r="CS671" s="7"/>
      <c r="CT671" s="6"/>
      <c r="CU671" s="7"/>
      <c r="CV671" s="8">
        <f t="shared" si="86"/>
        <v>0</v>
      </c>
      <c r="CW671" s="9"/>
      <c r="CX671" s="10"/>
      <c r="CY671" s="11"/>
      <c r="CZ671" s="12"/>
      <c r="DA671" s="29"/>
      <c r="DB671" s="12"/>
      <c r="DC671" s="9"/>
      <c r="DD671" s="10"/>
      <c r="DE671" s="71"/>
      <c r="EO671" s="353" t="str">
        <f t="shared" si="81"/>
        <v>TOLIMA_VILLARRICA</v>
      </c>
      <c r="EP671" s="350"/>
      <c r="EQ671" s="350" t="s">
        <v>4449</v>
      </c>
      <c r="ER671" s="358" t="s">
        <v>4450</v>
      </c>
      <c r="ES671" s="350" t="s">
        <v>5335</v>
      </c>
      <c r="ET671" s="350" t="s">
        <v>3325</v>
      </c>
      <c r="EU671" s="350" t="str">
        <f t="shared" si="88"/>
        <v>Magdalena_Ariguani</v>
      </c>
    </row>
    <row r="672" spans="1:151" ht="120" x14ac:dyDescent="0.2">
      <c r="A672" s="242">
        <v>40345</v>
      </c>
      <c r="B672" s="107" t="s">
        <v>2401</v>
      </c>
      <c r="C672" s="107" t="s">
        <v>271</v>
      </c>
      <c r="D672" s="427" t="s">
        <v>2781</v>
      </c>
      <c r="E672" s="107" t="str">
        <f>VLOOKUP(B672&amp;C672,Divipola!$C$2:$F$1138,4,FALSE)</f>
        <v>05030</v>
      </c>
      <c r="F672" s="330"/>
      <c r="G672" s="224">
        <v>73</v>
      </c>
      <c r="H672" s="75">
        <v>1</v>
      </c>
      <c r="I672" s="75"/>
      <c r="J672" s="75"/>
      <c r="K672" s="75"/>
      <c r="L672" s="75"/>
      <c r="M672" s="75"/>
      <c r="N672" s="75"/>
      <c r="O672" s="75"/>
      <c r="P672" s="75"/>
      <c r="Q672" s="75"/>
      <c r="R672" s="75"/>
      <c r="S672" s="75"/>
      <c r="T672" s="75"/>
      <c r="U672" s="75"/>
      <c r="V672" s="76"/>
      <c r="W672" s="205"/>
      <c r="X672" s="1">
        <v>40380</v>
      </c>
      <c r="Y672" s="78">
        <f t="shared" si="82"/>
        <v>39297500</v>
      </c>
      <c r="Z672" s="78">
        <f t="shared" si="83"/>
        <v>42500000</v>
      </c>
      <c r="AA672" s="78">
        <f t="shared" si="84"/>
        <v>0</v>
      </c>
      <c r="AB672" s="78">
        <f t="shared" si="85"/>
        <v>0</v>
      </c>
      <c r="AC672" s="78"/>
      <c r="AD672" s="78">
        <v>20000000</v>
      </c>
      <c r="AE672" s="80">
        <f t="shared" si="87"/>
        <v>101797500</v>
      </c>
      <c r="AF672" s="82">
        <v>0</v>
      </c>
      <c r="AG672" s="69">
        <v>40367</v>
      </c>
      <c r="AH672" s="84">
        <v>33353</v>
      </c>
      <c r="AI672" s="69" t="s">
        <v>2009</v>
      </c>
      <c r="AJ672" s="25" t="s">
        <v>2010</v>
      </c>
      <c r="AK672" s="88" t="s">
        <v>1411</v>
      </c>
      <c r="AL672" s="185" t="s">
        <v>1555</v>
      </c>
      <c r="AM672" s="85" t="s">
        <v>3022</v>
      </c>
      <c r="AN672" s="3"/>
      <c r="AO672" s="4"/>
      <c r="AP672" s="5"/>
      <c r="AQ672" s="4"/>
      <c r="AR672" s="4"/>
      <c r="AS672" s="4"/>
      <c r="AT672" s="4"/>
      <c r="AU672" s="4"/>
      <c r="AV672" s="4">
        <v>1000</v>
      </c>
      <c r="AW672" s="4">
        <f>1000*21000</f>
        <v>21000000</v>
      </c>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6">
        <v>500</v>
      </c>
      <c r="CQ672" s="7">
        <f>500*36595</f>
        <v>18297500</v>
      </c>
      <c r="CR672" s="6"/>
      <c r="CS672" s="7"/>
      <c r="CT672" s="6"/>
      <c r="CU672" s="7"/>
      <c r="CV672" s="8">
        <f t="shared" si="86"/>
        <v>39297500</v>
      </c>
      <c r="CW672" s="9"/>
      <c r="CX672" s="10"/>
      <c r="CY672" s="11">
        <v>500</v>
      </c>
      <c r="CZ672" s="12">
        <f>500*85000</f>
        <v>42500000</v>
      </c>
      <c r="DA672" s="29"/>
      <c r="DB672" s="12"/>
      <c r="DC672" s="9"/>
      <c r="DD672" s="10"/>
      <c r="DE672" s="71">
        <v>2</v>
      </c>
      <c r="EO672" s="353" t="str">
        <f t="shared" si="81"/>
        <v>ANTIOQUIA_AMAGA</v>
      </c>
      <c r="EP672" s="350"/>
      <c r="EQ672" s="350" t="s">
        <v>4449</v>
      </c>
      <c r="ER672" s="358" t="s">
        <v>4450</v>
      </c>
      <c r="ES672" s="350" t="s">
        <v>5336</v>
      </c>
      <c r="ET672" s="350" t="s">
        <v>3326</v>
      </c>
      <c r="EU672" s="350" t="str">
        <f t="shared" si="88"/>
        <v>Magdalena_Cerro San Antonio</v>
      </c>
    </row>
    <row r="673" spans="1:151" ht="25.5" x14ac:dyDescent="0.2">
      <c r="A673" s="246">
        <v>40345</v>
      </c>
      <c r="B673" s="238" t="s">
        <v>2401</v>
      </c>
      <c r="C673" s="238" t="s">
        <v>1551</v>
      </c>
      <c r="D673" s="431" t="s">
        <v>2307</v>
      </c>
      <c r="E673" s="107" t="str">
        <f>VLOOKUP(B673&amp;C673,Divipola!$C$2:$F$1138,4,FALSE)</f>
        <v>05854</v>
      </c>
      <c r="F673" s="334"/>
      <c r="G673" s="224"/>
      <c r="H673" s="75"/>
      <c r="I673" s="75"/>
      <c r="J673" s="75">
        <v>61</v>
      </c>
      <c r="K673" s="75">
        <v>11</v>
      </c>
      <c r="L673" s="75">
        <v>2</v>
      </c>
      <c r="M673" s="75">
        <v>9</v>
      </c>
      <c r="N673" s="75"/>
      <c r="O673" s="75"/>
      <c r="P673" s="75"/>
      <c r="Q673" s="75"/>
      <c r="R673" s="75"/>
      <c r="S673" s="75"/>
      <c r="T673" s="75"/>
      <c r="U673" s="75"/>
      <c r="V673" s="76"/>
      <c r="W673" s="205"/>
      <c r="X673" s="1"/>
      <c r="Y673" s="78">
        <f t="shared" si="82"/>
        <v>0</v>
      </c>
      <c r="Z673" s="78">
        <f t="shared" si="83"/>
        <v>0</v>
      </c>
      <c r="AA673" s="78">
        <f t="shared" si="84"/>
        <v>0</v>
      </c>
      <c r="AB673" s="78">
        <f t="shared" si="85"/>
        <v>0</v>
      </c>
      <c r="AC673" s="78"/>
      <c r="AD673" s="78">
        <v>0</v>
      </c>
      <c r="AE673" s="80">
        <f t="shared" si="87"/>
        <v>0</v>
      </c>
      <c r="AF673" s="82">
        <v>0</v>
      </c>
      <c r="AG673" s="69">
        <v>40346</v>
      </c>
      <c r="AH673" s="84"/>
      <c r="AI673" s="69" t="s">
        <v>1984</v>
      </c>
      <c r="AJ673" s="25" t="s">
        <v>1985</v>
      </c>
      <c r="AK673" s="65"/>
      <c r="AL673" s="185" t="s">
        <v>1257</v>
      </c>
      <c r="AM673" s="85" t="s">
        <v>1552</v>
      </c>
      <c r="AN673" s="3"/>
      <c r="AO673" s="4"/>
      <c r="AP673" s="5"/>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6"/>
      <c r="CQ673" s="7"/>
      <c r="CR673" s="6"/>
      <c r="CS673" s="7"/>
      <c r="CT673" s="6"/>
      <c r="CU673" s="7"/>
      <c r="CV673" s="8">
        <f t="shared" si="86"/>
        <v>0</v>
      </c>
      <c r="CW673" s="9"/>
      <c r="CX673" s="10"/>
      <c r="CY673" s="11"/>
      <c r="CZ673" s="12"/>
      <c r="DA673" s="29"/>
      <c r="DB673" s="12"/>
      <c r="DC673" s="9"/>
      <c r="DD673" s="10"/>
      <c r="DE673" s="71"/>
      <c r="EO673" s="353" t="str">
        <f t="shared" si="81"/>
        <v>ANTIOQUIA_VALDIVIA</v>
      </c>
      <c r="EP673" s="350"/>
      <c r="EQ673" s="350" t="s">
        <v>4449</v>
      </c>
      <c r="ER673" s="358" t="s">
        <v>4450</v>
      </c>
      <c r="ES673" s="350" t="s">
        <v>5337</v>
      </c>
      <c r="ET673" s="350" t="s">
        <v>3327</v>
      </c>
      <c r="EU673" s="350" t="str">
        <f t="shared" si="88"/>
        <v>Magdalena_Chivolo</v>
      </c>
    </row>
    <row r="674" spans="1:151" ht="25.5" x14ac:dyDescent="0.2">
      <c r="A674" s="242">
        <v>40345</v>
      </c>
      <c r="B674" s="107" t="s">
        <v>2425</v>
      </c>
      <c r="C674" s="107" t="s">
        <v>1553</v>
      </c>
      <c r="D674" s="427" t="s">
        <v>2352</v>
      </c>
      <c r="E674" s="107" t="str">
        <f>VLOOKUP(B674&amp;C674,Divipola!$C$2:$F$1138,4,FALSE)</f>
        <v>27787</v>
      </c>
      <c r="F674" s="330"/>
      <c r="G674" s="224"/>
      <c r="H674" s="75">
        <v>1</v>
      </c>
      <c r="I674" s="75"/>
      <c r="J674" s="75"/>
      <c r="K674" s="75"/>
      <c r="L674" s="75"/>
      <c r="M674" s="75"/>
      <c r="N674" s="75"/>
      <c r="O674" s="75"/>
      <c r="P674" s="75"/>
      <c r="Q674" s="75"/>
      <c r="R674" s="75"/>
      <c r="S674" s="75"/>
      <c r="T674" s="75"/>
      <c r="U674" s="75"/>
      <c r="V674" s="76"/>
      <c r="W674" s="205"/>
      <c r="X674" s="1"/>
      <c r="Y674" s="78">
        <f t="shared" si="82"/>
        <v>0</v>
      </c>
      <c r="Z674" s="78">
        <f t="shared" si="83"/>
        <v>0</v>
      </c>
      <c r="AA674" s="78">
        <f t="shared" si="84"/>
        <v>0</v>
      </c>
      <c r="AB674" s="78">
        <f t="shared" si="85"/>
        <v>0</v>
      </c>
      <c r="AC674" s="78"/>
      <c r="AD674" s="78">
        <v>0</v>
      </c>
      <c r="AE674" s="80">
        <f t="shared" si="87"/>
        <v>0</v>
      </c>
      <c r="AF674" s="82">
        <v>0</v>
      </c>
      <c r="AG674" s="69">
        <v>40347</v>
      </c>
      <c r="AH674" s="84"/>
      <c r="AI674" s="69" t="s">
        <v>1984</v>
      </c>
      <c r="AJ674" s="25" t="s">
        <v>1985</v>
      </c>
      <c r="AK674" s="65"/>
      <c r="AL674" s="185" t="s">
        <v>1257</v>
      </c>
      <c r="AM674" s="85" t="s">
        <v>1554</v>
      </c>
      <c r="AN674" s="3"/>
      <c r="AO674" s="4"/>
      <c r="AP674" s="5"/>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6"/>
      <c r="CQ674" s="7"/>
      <c r="CR674" s="6"/>
      <c r="CS674" s="7"/>
      <c r="CT674" s="6"/>
      <c r="CU674" s="7"/>
      <c r="CV674" s="8">
        <f t="shared" si="86"/>
        <v>0</v>
      </c>
      <c r="CW674" s="9"/>
      <c r="CX674" s="10"/>
      <c r="CY674" s="11"/>
      <c r="CZ674" s="12"/>
      <c r="DA674" s="29"/>
      <c r="DB674" s="12"/>
      <c r="DC674" s="9"/>
      <c r="DD674" s="10"/>
      <c r="DE674" s="71"/>
      <c r="EO674" s="353" t="str">
        <f t="shared" si="81"/>
        <v>CHOCO_TADO</v>
      </c>
      <c r="EP674" s="350"/>
      <c r="EQ674" s="350" t="s">
        <v>4449</v>
      </c>
      <c r="ER674" s="358" t="s">
        <v>4450</v>
      </c>
      <c r="ES674" s="350" t="s">
        <v>5339</v>
      </c>
      <c r="ET674" s="350" t="s">
        <v>5867</v>
      </c>
      <c r="EU674" s="350" t="str">
        <f t="shared" si="88"/>
        <v>Magdalena_Concordia</v>
      </c>
    </row>
    <row r="675" spans="1:151" ht="48" x14ac:dyDescent="0.2">
      <c r="A675" s="242">
        <v>40345</v>
      </c>
      <c r="B675" s="107" t="s">
        <v>1700</v>
      </c>
      <c r="C675" s="107" t="s">
        <v>272</v>
      </c>
      <c r="D675" s="427" t="s">
        <v>837</v>
      </c>
      <c r="E675" s="107" t="str">
        <f>VLOOKUP(B675&amp;C675,Divipola!$C$2:$F$1138,4,FALSE)</f>
        <v>23350</v>
      </c>
      <c r="F675" s="330"/>
      <c r="G675" s="224"/>
      <c r="H675" s="75"/>
      <c r="I675" s="75"/>
      <c r="J675" s="75">
        <f>230*4</f>
        <v>920</v>
      </c>
      <c r="K675" s="75">
        <v>230</v>
      </c>
      <c r="L675" s="75"/>
      <c r="M675" s="75">
        <v>230</v>
      </c>
      <c r="N675" s="75"/>
      <c r="O675" s="75"/>
      <c r="P675" s="75"/>
      <c r="Q675" s="75"/>
      <c r="R675" s="75"/>
      <c r="S675" s="75"/>
      <c r="T675" s="75"/>
      <c r="U675" s="75"/>
      <c r="V675" s="76"/>
      <c r="W675" s="205"/>
      <c r="X675" s="1">
        <v>40380</v>
      </c>
      <c r="Y675" s="78">
        <f t="shared" si="82"/>
        <v>60449850</v>
      </c>
      <c r="Z675" s="78">
        <f t="shared" si="83"/>
        <v>29750000</v>
      </c>
      <c r="AA675" s="78">
        <f t="shared" si="84"/>
        <v>0</v>
      </c>
      <c r="AB675" s="78">
        <f t="shared" si="85"/>
        <v>0</v>
      </c>
      <c r="AC675" s="78"/>
      <c r="AD675" s="78">
        <v>0</v>
      </c>
      <c r="AE675" s="80">
        <f t="shared" si="87"/>
        <v>90199850</v>
      </c>
      <c r="AF675" s="82">
        <v>0</v>
      </c>
      <c r="AG675" s="69">
        <v>40346</v>
      </c>
      <c r="AH675" s="84">
        <v>98341</v>
      </c>
      <c r="AI675" s="69" t="s">
        <v>2009</v>
      </c>
      <c r="AJ675" s="25" t="s">
        <v>2010</v>
      </c>
      <c r="AK675" s="65">
        <v>205</v>
      </c>
      <c r="AL675" s="185" t="s">
        <v>2182</v>
      </c>
      <c r="AM675" s="85" t="s">
        <v>273</v>
      </c>
      <c r="AN675" s="3"/>
      <c r="AO675" s="4"/>
      <c r="AP675" s="5"/>
      <c r="AQ675" s="4"/>
      <c r="AR675" s="4"/>
      <c r="AS675" s="4"/>
      <c r="AT675" s="4"/>
      <c r="AU675" s="4"/>
      <c r="AV675" s="4"/>
      <c r="AW675" s="4"/>
      <c r="AX675" s="4"/>
      <c r="AY675" s="4"/>
      <c r="AZ675" s="4">
        <v>350</v>
      </c>
      <c r="BA675" s="4">
        <f>350*56000</f>
        <v>19600000</v>
      </c>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v>15</v>
      </c>
      <c r="CA675" s="4">
        <f>15*470000</f>
        <v>7050000</v>
      </c>
      <c r="CB675" s="4"/>
      <c r="CC675" s="4"/>
      <c r="CD675" s="4"/>
      <c r="CE675" s="4"/>
      <c r="CF675" s="4"/>
      <c r="CG675" s="4"/>
      <c r="CH675" s="4"/>
      <c r="CI675" s="4"/>
      <c r="CJ675" s="4">
        <v>350</v>
      </c>
      <c r="CK675" s="4">
        <f>350*22000</f>
        <v>7700000</v>
      </c>
      <c r="CL675" s="4"/>
      <c r="CM675" s="4"/>
      <c r="CN675" s="4"/>
      <c r="CO675" s="4"/>
      <c r="CP675" s="6">
        <v>350</v>
      </c>
      <c r="CQ675" s="7">
        <f>350*36595</f>
        <v>12808250</v>
      </c>
      <c r="CR675" s="6">
        <v>350</v>
      </c>
      <c r="CS675" s="7">
        <f>350*37976</f>
        <v>13291600</v>
      </c>
      <c r="CT675" s="6"/>
      <c r="CU675" s="7"/>
      <c r="CV675" s="8">
        <f t="shared" si="86"/>
        <v>60449850</v>
      </c>
      <c r="CW675" s="9"/>
      <c r="CX675" s="10"/>
      <c r="CY675" s="11">
        <v>350</v>
      </c>
      <c r="CZ675" s="12">
        <f>350*85000</f>
        <v>29750000</v>
      </c>
      <c r="DA675" s="29"/>
      <c r="DB675" s="12"/>
      <c r="DC675" s="9"/>
      <c r="DD675" s="10"/>
      <c r="DE675" s="71"/>
      <c r="EO675" s="353" t="str">
        <f t="shared" si="81"/>
        <v>CORDOBA_LA APARTADA</v>
      </c>
      <c r="EP675" s="350"/>
      <c r="EQ675" s="350" t="s">
        <v>4449</v>
      </c>
      <c r="ER675" s="358" t="s">
        <v>4450</v>
      </c>
      <c r="ES675" s="350" t="s">
        <v>5340</v>
      </c>
      <c r="ET675" s="350" t="s">
        <v>3328</v>
      </c>
      <c r="EU675" s="350" t="str">
        <f t="shared" si="88"/>
        <v>Magdalena_El Banco</v>
      </c>
    </row>
    <row r="676" spans="1:151" ht="25.5" x14ac:dyDescent="0.2">
      <c r="A676" s="242">
        <v>40345</v>
      </c>
      <c r="B676" s="222" t="s">
        <v>1333</v>
      </c>
      <c r="C676" s="222" t="s">
        <v>2504</v>
      </c>
      <c r="D676" s="430" t="s">
        <v>837</v>
      </c>
      <c r="E676" s="107" t="str">
        <f>VLOOKUP(B676&amp;C676,Divipola!$C$2:$F$1138,4,FALSE)</f>
        <v>41530</v>
      </c>
      <c r="F676" s="333"/>
      <c r="G676" s="221"/>
      <c r="H676" s="157"/>
      <c r="I676" s="157"/>
      <c r="J676" s="157">
        <v>37</v>
      </c>
      <c r="K676" s="157">
        <v>10</v>
      </c>
      <c r="L676" s="157"/>
      <c r="M676" s="157">
        <v>10</v>
      </c>
      <c r="N676" s="157"/>
      <c r="O676" s="157"/>
      <c r="P676" s="157"/>
      <c r="Q676" s="157"/>
      <c r="R676" s="157"/>
      <c r="S676" s="157"/>
      <c r="T676" s="157"/>
      <c r="U676" s="157"/>
      <c r="V676" s="158"/>
      <c r="W676" s="182"/>
      <c r="X676" s="1"/>
      <c r="Y676" s="78">
        <f t="shared" si="82"/>
        <v>0</v>
      </c>
      <c r="Z676" s="78">
        <f t="shared" si="83"/>
        <v>0</v>
      </c>
      <c r="AA676" s="78">
        <f t="shared" si="84"/>
        <v>0</v>
      </c>
      <c r="AB676" s="78">
        <f t="shared" si="85"/>
        <v>0</v>
      </c>
      <c r="AC676" s="78"/>
      <c r="AD676" s="78">
        <v>0</v>
      </c>
      <c r="AE676" s="80">
        <f t="shared" si="87"/>
        <v>0</v>
      </c>
      <c r="AF676" s="82">
        <v>0</v>
      </c>
      <c r="AG676" s="69">
        <v>40581</v>
      </c>
      <c r="AH676" s="84"/>
      <c r="AI676" s="69" t="s">
        <v>1984</v>
      </c>
      <c r="AJ676" s="25" t="s">
        <v>1985</v>
      </c>
      <c r="AK676" s="65"/>
      <c r="AL676" s="176" t="s">
        <v>1257</v>
      </c>
      <c r="AM676" s="173" t="s">
        <v>349</v>
      </c>
      <c r="AN676" s="159"/>
      <c r="AO676" s="160"/>
      <c r="AP676" s="161"/>
      <c r="AQ676" s="160"/>
      <c r="AR676" s="160"/>
      <c r="AS676" s="160"/>
      <c r="AT676" s="160"/>
      <c r="AU676" s="160"/>
      <c r="AV676" s="160"/>
      <c r="AW676" s="160"/>
      <c r="AX676" s="160"/>
      <c r="AY676" s="160"/>
      <c r="AZ676" s="160"/>
      <c r="BA676" s="160"/>
      <c r="BB676" s="160"/>
      <c r="BC676" s="160"/>
      <c r="BD676" s="160"/>
      <c r="BE676" s="160"/>
      <c r="BF676" s="160"/>
      <c r="BG676" s="160"/>
      <c r="BH676" s="160"/>
      <c r="BI676" s="160"/>
      <c r="BJ676" s="160"/>
      <c r="BK676" s="160"/>
      <c r="BL676" s="160"/>
      <c r="BM676" s="160"/>
      <c r="BN676" s="160"/>
      <c r="BO676" s="160"/>
      <c r="BP676" s="160"/>
      <c r="BQ676" s="160"/>
      <c r="BR676" s="160"/>
      <c r="BS676" s="160"/>
      <c r="BT676" s="160"/>
      <c r="BU676" s="160"/>
      <c r="BV676" s="160"/>
      <c r="BW676" s="160"/>
      <c r="BX676" s="160"/>
      <c r="BY676" s="160"/>
      <c r="BZ676" s="160"/>
      <c r="CA676" s="160"/>
      <c r="CB676" s="160"/>
      <c r="CC676" s="160"/>
      <c r="CD676" s="160"/>
      <c r="CE676" s="160"/>
      <c r="CF676" s="160"/>
      <c r="CG676" s="160"/>
      <c r="CH676" s="160"/>
      <c r="CI676" s="160"/>
      <c r="CJ676" s="160"/>
      <c r="CK676" s="160"/>
      <c r="CL676" s="160"/>
      <c r="CM676" s="160"/>
      <c r="CN676" s="160"/>
      <c r="CO676" s="160"/>
      <c r="CP676" s="162"/>
      <c r="CQ676" s="163"/>
      <c r="CR676" s="162"/>
      <c r="CS676" s="163"/>
      <c r="CT676" s="162"/>
      <c r="CU676" s="163"/>
      <c r="CV676" s="164">
        <f t="shared" si="86"/>
        <v>0</v>
      </c>
      <c r="CW676" s="165"/>
      <c r="CX676" s="166"/>
      <c r="CY676" s="167"/>
      <c r="CZ676" s="168"/>
      <c r="DA676" s="169"/>
      <c r="DB676" s="168"/>
      <c r="DC676" s="165"/>
      <c r="DD676" s="166"/>
      <c r="DE676" s="71"/>
      <c r="DF676" s="170"/>
      <c r="EO676" s="353" t="str">
        <f t="shared" si="81"/>
        <v>HUILA_PALESTINA</v>
      </c>
      <c r="EP676" s="350"/>
      <c r="EQ676" s="350" t="s">
        <v>4449</v>
      </c>
      <c r="ER676" s="358" t="s">
        <v>4450</v>
      </c>
      <c r="ES676" s="350" t="s">
        <v>5341</v>
      </c>
      <c r="ET676" s="350" t="s">
        <v>3329</v>
      </c>
      <c r="EU676" s="350" t="str">
        <f t="shared" si="88"/>
        <v>Magdalena_El Piñon</v>
      </c>
    </row>
    <row r="677" spans="1:151" ht="51" x14ac:dyDescent="0.2">
      <c r="A677" s="242">
        <v>40345</v>
      </c>
      <c r="B677" s="107" t="s">
        <v>1462</v>
      </c>
      <c r="C677" s="107" t="s">
        <v>4615</v>
      </c>
      <c r="D677" s="427" t="s">
        <v>1721</v>
      </c>
      <c r="E677" s="107" t="str">
        <f>VLOOKUP(B677&amp;C677,Divipola!$C$2:$F$1138,4,FALSE)</f>
        <v>76001</v>
      </c>
      <c r="F677" s="330"/>
      <c r="G677" s="224">
        <v>1</v>
      </c>
      <c r="H677" s="75"/>
      <c r="I677" s="75"/>
      <c r="J677" s="75">
        <v>33</v>
      </c>
      <c r="K677" s="75">
        <v>6</v>
      </c>
      <c r="L677" s="75">
        <v>1</v>
      </c>
      <c r="M677" s="75"/>
      <c r="N677" s="75"/>
      <c r="O677" s="75"/>
      <c r="P677" s="75"/>
      <c r="Q677" s="75"/>
      <c r="R677" s="75"/>
      <c r="S677" s="75"/>
      <c r="T677" s="75"/>
      <c r="U677" s="75"/>
      <c r="V677" s="76"/>
      <c r="W677" s="205"/>
      <c r="X677" s="1"/>
      <c r="Y677" s="78">
        <f t="shared" si="82"/>
        <v>0</v>
      </c>
      <c r="Z677" s="78">
        <f t="shared" si="83"/>
        <v>0</v>
      </c>
      <c r="AA677" s="78">
        <f t="shared" si="84"/>
        <v>0</v>
      </c>
      <c r="AB677" s="78">
        <f t="shared" si="85"/>
        <v>0</v>
      </c>
      <c r="AC677" s="78"/>
      <c r="AD677" s="78">
        <v>0</v>
      </c>
      <c r="AE677" s="80">
        <f t="shared" si="87"/>
        <v>0</v>
      </c>
      <c r="AF677" s="82">
        <v>0</v>
      </c>
      <c r="AG677" s="69">
        <v>40345</v>
      </c>
      <c r="AH677" s="84"/>
      <c r="AI677" s="69" t="s">
        <v>1984</v>
      </c>
      <c r="AJ677" s="25" t="s">
        <v>1985</v>
      </c>
      <c r="AK677" s="65"/>
      <c r="AL677" s="185" t="s">
        <v>1257</v>
      </c>
      <c r="AM677" s="85" t="s">
        <v>920</v>
      </c>
      <c r="AN677" s="3"/>
      <c r="AO677" s="4"/>
      <c r="AP677" s="5"/>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6"/>
      <c r="CQ677" s="7"/>
      <c r="CR677" s="6"/>
      <c r="CS677" s="7"/>
      <c r="CT677" s="6"/>
      <c r="CU677" s="7"/>
      <c r="CV677" s="8">
        <f t="shared" si="86"/>
        <v>0</v>
      </c>
      <c r="CW677" s="9"/>
      <c r="CX677" s="10"/>
      <c r="CY677" s="11"/>
      <c r="CZ677" s="12"/>
      <c r="DA677" s="29"/>
      <c r="DB677" s="12"/>
      <c r="DC677" s="9"/>
      <c r="DD677" s="10"/>
      <c r="DE677" s="71"/>
      <c r="DF677" s="23">
        <v>1111</v>
      </c>
      <c r="EO677" s="353" t="str">
        <f t="shared" si="81"/>
        <v>VALLE DEL CAUCA_CALI</v>
      </c>
      <c r="EP677" s="350"/>
      <c r="EQ677" s="350" t="s">
        <v>4449</v>
      </c>
      <c r="ER677" s="358" t="s">
        <v>4450</v>
      </c>
      <c r="ES677" s="350" t="s">
        <v>5342</v>
      </c>
      <c r="ET677" s="350" t="s">
        <v>3330</v>
      </c>
      <c r="EU677" s="350" t="str">
        <f t="shared" si="88"/>
        <v>Magdalena_El Reten</v>
      </c>
    </row>
    <row r="678" spans="1:151" ht="72" x14ac:dyDescent="0.2">
      <c r="A678" s="242">
        <v>40346</v>
      </c>
      <c r="B678" s="107" t="s">
        <v>2791</v>
      </c>
      <c r="C678" s="107" t="s">
        <v>2216</v>
      </c>
      <c r="D678" s="427" t="s">
        <v>1721</v>
      </c>
      <c r="E678" s="107" t="str">
        <f>VLOOKUP(B678&amp;C678,Divipola!$C$2:$F$1138,4,FALSE)</f>
        <v>73411</v>
      </c>
      <c r="F678" s="330"/>
      <c r="G678" s="224"/>
      <c r="H678" s="75"/>
      <c r="I678" s="75"/>
      <c r="J678" s="75">
        <v>35</v>
      </c>
      <c r="K678" s="75">
        <v>7</v>
      </c>
      <c r="L678" s="75">
        <v>7</v>
      </c>
      <c r="M678" s="75"/>
      <c r="N678" s="75"/>
      <c r="O678" s="75"/>
      <c r="P678" s="75"/>
      <c r="Q678" s="75"/>
      <c r="R678" s="75"/>
      <c r="S678" s="75"/>
      <c r="T678" s="75"/>
      <c r="U678" s="75">
        <v>2</v>
      </c>
      <c r="V678" s="76"/>
      <c r="W678" s="205"/>
      <c r="X678" s="1"/>
      <c r="Y678" s="78">
        <f t="shared" si="82"/>
        <v>0</v>
      </c>
      <c r="Z678" s="78">
        <f t="shared" si="83"/>
        <v>0</v>
      </c>
      <c r="AA678" s="78">
        <f t="shared" si="84"/>
        <v>0</v>
      </c>
      <c r="AB678" s="78">
        <f t="shared" si="85"/>
        <v>0</v>
      </c>
      <c r="AC678" s="78"/>
      <c r="AD678" s="78">
        <v>0</v>
      </c>
      <c r="AE678" s="80">
        <f t="shared" si="87"/>
        <v>0</v>
      </c>
      <c r="AF678" s="82">
        <v>0</v>
      </c>
      <c r="AG678" s="69">
        <v>40347</v>
      </c>
      <c r="AH678" s="84"/>
      <c r="AI678" s="69" t="s">
        <v>1984</v>
      </c>
      <c r="AJ678" s="25" t="s">
        <v>1985</v>
      </c>
      <c r="AK678" s="65"/>
      <c r="AL678" s="185" t="s">
        <v>1257</v>
      </c>
      <c r="AM678" s="85" t="s">
        <v>2223</v>
      </c>
      <c r="AN678" s="3"/>
      <c r="AO678" s="4"/>
      <c r="AP678" s="5"/>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6"/>
      <c r="CQ678" s="7"/>
      <c r="CR678" s="6"/>
      <c r="CS678" s="7"/>
      <c r="CT678" s="6"/>
      <c r="CU678" s="7"/>
      <c r="CV678" s="8">
        <f t="shared" si="86"/>
        <v>0</v>
      </c>
      <c r="CW678" s="9"/>
      <c r="CX678" s="10"/>
      <c r="CY678" s="11"/>
      <c r="CZ678" s="12"/>
      <c r="DA678" s="29"/>
      <c r="DB678" s="12"/>
      <c r="DC678" s="9"/>
      <c r="DD678" s="10"/>
      <c r="DE678" s="71"/>
      <c r="EO678" s="353" t="str">
        <f t="shared" si="81"/>
        <v>TOLIMA_LIBANO</v>
      </c>
      <c r="EP678" s="350"/>
      <c r="EQ678" s="350" t="s">
        <v>4449</v>
      </c>
      <c r="ER678" s="358" t="s">
        <v>4450</v>
      </c>
      <c r="ES678" s="350" t="s">
        <v>5343</v>
      </c>
      <c r="ET678" s="350" t="s">
        <v>3331</v>
      </c>
      <c r="EU678" s="350" t="str">
        <f t="shared" si="88"/>
        <v>Magdalena_Fundacion</v>
      </c>
    </row>
    <row r="679" spans="1:151" ht="84" x14ac:dyDescent="0.2">
      <c r="A679" s="242">
        <v>40347</v>
      </c>
      <c r="B679" s="107" t="s">
        <v>2017</v>
      </c>
      <c r="C679" s="107" t="s">
        <v>1826</v>
      </c>
      <c r="D679" s="427" t="s">
        <v>837</v>
      </c>
      <c r="E679" s="107" t="str">
        <f>VLOOKUP(B679&amp;C679,Divipola!$C$2:$F$1138,4,FALSE)</f>
        <v>13655</v>
      </c>
      <c r="F679" s="330"/>
      <c r="G679" s="224"/>
      <c r="H679" s="75"/>
      <c r="I679" s="75"/>
      <c r="J679" s="75">
        <f>1330*5</f>
        <v>6650</v>
      </c>
      <c r="K679" s="75">
        <v>1330</v>
      </c>
      <c r="L679" s="75"/>
      <c r="M679" s="75">
        <v>1330</v>
      </c>
      <c r="N679" s="75"/>
      <c r="O679" s="75"/>
      <c r="P679" s="75"/>
      <c r="Q679" s="75"/>
      <c r="R679" s="75"/>
      <c r="S679" s="75"/>
      <c r="T679" s="75"/>
      <c r="U679" s="75"/>
      <c r="V679" s="76"/>
      <c r="W679" s="205"/>
      <c r="X679" s="1">
        <v>40415</v>
      </c>
      <c r="Y679" s="78">
        <f t="shared" si="82"/>
        <v>18000000</v>
      </c>
      <c r="Z679" s="78">
        <f t="shared" si="83"/>
        <v>0</v>
      </c>
      <c r="AA679" s="78">
        <f t="shared" si="84"/>
        <v>0</v>
      </c>
      <c r="AB679" s="78">
        <f t="shared" si="85"/>
        <v>0</v>
      </c>
      <c r="AC679" s="78"/>
      <c r="AD679" s="78">
        <v>0</v>
      </c>
      <c r="AE679" s="80">
        <f t="shared" si="87"/>
        <v>18000000</v>
      </c>
      <c r="AF679" s="82">
        <v>0</v>
      </c>
      <c r="AG679" s="69">
        <v>40395</v>
      </c>
      <c r="AH679" s="84">
        <v>38939</v>
      </c>
      <c r="AI679" s="69" t="s">
        <v>2009</v>
      </c>
      <c r="AJ679" s="25" t="s">
        <v>2010</v>
      </c>
      <c r="AK679" s="65">
        <v>270</v>
      </c>
      <c r="AL679" s="185"/>
      <c r="AM679" s="85" t="s">
        <v>2797</v>
      </c>
      <c r="AN679" s="3"/>
      <c r="AO679" s="4"/>
      <c r="AP679" s="5"/>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v>1000</v>
      </c>
      <c r="CO679" s="4">
        <f>1000*18000</f>
        <v>18000000</v>
      </c>
      <c r="CP679" s="6"/>
      <c r="CQ679" s="7"/>
      <c r="CR679" s="6"/>
      <c r="CS679" s="7"/>
      <c r="CT679" s="6"/>
      <c r="CU679" s="7"/>
      <c r="CV679" s="8">
        <f t="shared" si="86"/>
        <v>18000000</v>
      </c>
      <c r="CW679" s="9"/>
      <c r="CX679" s="10"/>
      <c r="CY679" s="11"/>
      <c r="CZ679" s="12"/>
      <c r="DA679" s="29"/>
      <c r="DB679" s="12"/>
      <c r="DC679" s="9"/>
      <c r="DD679" s="10"/>
      <c r="DE679" s="71"/>
      <c r="EO679" s="353" t="str">
        <f t="shared" si="81"/>
        <v>BOLIVAR_SAN JACINTO DEL CAUCA</v>
      </c>
      <c r="EP679" s="350"/>
      <c r="EQ679" s="350" t="s">
        <v>4449</v>
      </c>
      <c r="ER679" s="358" t="s">
        <v>4450</v>
      </c>
      <c r="ES679" s="350" t="s">
        <v>5344</v>
      </c>
      <c r="ET679" s="350" t="s">
        <v>3332</v>
      </c>
      <c r="EU679" s="350" t="str">
        <f t="shared" si="88"/>
        <v>Magdalena_Guamal</v>
      </c>
    </row>
    <row r="680" spans="1:151" ht="38.25" x14ac:dyDescent="0.2">
      <c r="A680" s="242">
        <v>40347</v>
      </c>
      <c r="B680" s="107" t="s">
        <v>708</v>
      </c>
      <c r="C680" s="107" t="s">
        <v>2116</v>
      </c>
      <c r="D680" s="427" t="s">
        <v>837</v>
      </c>
      <c r="E680" s="107" t="str">
        <f>VLOOKUP(B680&amp;C680,Divipola!$C$2:$F$1138,4,FALSE)</f>
        <v>50683</v>
      </c>
      <c r="F680" s="330"/>
      <c r="G680" s="224"/>
      <c r="H680" s="75"/>
      <c r="I680" s="75"/>
      <c r="J680" s="75">
        <f>390-123</f>
        <v>267</v>
      </c>
      <c r="K680" s="75">
        <v>48</v>
      </c>
      <c r="L680" s="75">
        <v>9</v>
      </c>
      <c r="M680" s="75">
        <v>2</v>
      </c>
      <c r="N680" s="75"/>
      <c r="O680" s="75"/>
      <c r="P680" s="75"/>
      <c r="Q680" s="75"/>
      <c r="R680" s="75"/>
      <c r="S680" s="75"/>
      <c r="T680" s="75"/>
      <c r="U680" s="75"/>
      <c r="V680" s="76"/>
      <c r="W680" s="205" t="s">
        <v>1349</v>
      </c>
      <c r="X680" s="1"/>
      <c r="Y680" s="78">
        <f t="shared" si="82"/>
        <v>0</v>
      </c>
      <c r="Z680" s="78">
        <f t="shared" si="83"/>
        <v>0</v>
      </c>
      <c r="AA680" s="78">
        <f t="shared" si="84"/>
        <v>0</v>
      </c>
      <c r="AB680" s="78">
        <f t="shared" si="85"/>
        <v>0</v>
      </c>
      <c r="AC680" s="78"/>
      <c r="AD680" s="78">
        <v>0</v>
      </c>
      <c r="AE680" s="80">
        <f t="shared" si="87"/>
        <v>0</v>
      </c>
      <c r="AF680" s="82">
        <v>0</v>
      </c>
      <c r="AG680" s="69">
        <v>40350</v>
      </c>
      <c r="AH680" s="84"/>
      <c r="AI680" s="69" t="s">
        <v>1984</v>
      </c>
      <c r="AJ680" s="25" t="s">
        <v>1985</v>
      </c>
      <c r="AK680" s="65"/>
      <c r="AL680" s="185" t="s">
        <v>1257</v>
      </c>
      <c r="AM680" s="85" t="s">
        <v>1749</v>
      </c>
      <c r="AN680" s="3"/>
      <c r="AO680" s="4"/>
      <c r="AP680" s="5"/>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6"/>
      <c r="CQ680" s="7"/>
      <c r="CR680" s="6"/>
      <c r="CS680" s="7"/>
      <c r="CT680" s="6"/>
      <c r="CU680" s="7"/>
      <c r="CV680" s="8">
        <f t="shared" si="86"/>
        <v>0</v>
      </c>
      <c r="CW680" s="9"/>
      <c r="CX680" s="10"/>
      <c r="CY680" s="11"/>
      <c r="CZ680" s="12"/>
      <c r="DA680" s="29"/>
      <c r="DB680" s="12"/>
      <c r="DC680" s="9"/>
      <c r="DD680" s="10"/>
      <c r="DE680" s="71"/>
      <c r="EO680" s="353" t="str">
        <f t="shared" si="81"/>
        <v>META_SAN JUAN DE ARAMA</v>
      </c>
      <c r="EP680" s="350"/>
      <c r="EQ680" s="350" t="s">
        <v>4449</v>
      </c>
      <c r="ER680" s="358" t="s">
        <v>4450</v>
      </c>
      <c r="ES680" s="350" t="s">
        <v>5345</v>
      </c>
      <c r="ET680" s="350" t="s">
        <v>3333</v>
      </c>
      <c r="EU680" s="350" t="str">
        <f t="shared" si="88"/>
        <v>Magdalena_Nueva Granada</v>
      </c>
    </row>
    <row r="681" spans="1:151" ht="25.5" x14ac:dyDescent="0.2">
      <c r="A681" s="242">
        <v>40347</v>
      </c>
      <c r="B681" s="107" t="s">
        <v>2012</v>
      </c>
      <c r="C681" s="107" t="s">
        <v>2762</v>
      </c>
      <c r="D681" s="427" t="s">
        <v>837</v>
      </c>
      <c r="E681" s="107" t="str">
        <f>VLOOKUP(B681&amp;C681,Divipola!$C$2:$F$1138,4,FALSE)</f>
        <v>66456</v>
      </c>
      <c r="F681" s="330"/>
      <c r="G681" s="224"/>
      <c r="H681" s="75"/>
      <c r="I681" s="75"/>
      <c r="J681" s="75">
        <v>15</v>
      </c>
      <c r="K681" s="75">
        <v>3</v>
      </c>
      <c r="L681" s="75"/>
      <c r="M681" s="75">
        <v>3</v>
      </c>
      <c r="N681" s="75"/>
      <c r="O681" s="75"/>
      <c r="P681" s="75"/>
      <c r="Q681" s="75"/>
      <c r="R681" s="75"/>
      <c r="S681" s="75"/>
      <c r="T681" s="75"/>
      <c r="U681" s="75"/>
      <c r="V681" s="76"/>
      <c r="W681" s="205"/>
      <c r="X681" s="1"/>
      <c r="Y681" s="78">
        <f t="shared" si="82"/>
        <v>0</v>
      </c>
      <c r="Z681" s="78">
        <f t="shared" si="83"/>
        <v>0</v>
      </c>
      <c r="AA681" s="78">
        <f t="shared" si="84"/>
        <v>0</v>
      </c>
      <c r="AB681" s="78">
        <f t="shared" si="85"/>
        <v>0</v>
      </c>
      <c r="AC681" s="78"/>
      <c r="AD681" s="78">
        <v>0</v>
      </c>
      <c r="AE681" s="80">
        <f t="shared" si="87"/>
        <v>0</v>
      </c>
      <c r="AF681" s="82">
        <v>0</v>
      </c>
      <c r="AG681" s="69">
        <v>40357</v>
      </c>
      <c r="AH681" s="84"/>
      <c r="AI681" s="69" t="s">
        <v>1984</v>
      </c>
      <c r="AJ681" s="25" t="s">
        <v>1985</v>
      </c>
      <c r="AK681" s="65"/>
      <c r="AL681" s="185" t="s">
        <v>1257</v>
      </c>
      <c r="AM681" s="85" t="s">
        <v>1725</v>
      </c>
      <c r="AN681" s="3"/>
      <c r="AO681" s="4"/>
      <c r="AP681" s="5"/>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6"/>
      <c r="CQ681" s="7"/>
      <c r="CR681" s="6"/>
      <c r="CS681" s="7"/>
      <c r="CT681" s="6"/>
      <c r="CU681" s="7"/>
      <c r="CV681" s="8">
        <f t="shared" si="86"/>
        <v>0</v>
      </c>
      <c r="CW681" s="9"/>
      <c r="CX681" s="10"/>
      <c r="CY681" s="11"/>
      <c r="CZ681" s="12"/>
      <c r="DA681" s="29"/>
      <c r="DB681" s="12"/>
      <c r="DC681" s="9"/>
      <c r="DD681" s="10"/>
      <c r="DE681" s="71"/>
      <c r="EO681" s="353" t="str">
        <f t="shared" ref="EO681:EO742" si="89">B681&amp;"_"&amp;C681</f>
        <v>RISARALDA_MISTRATO</v>
      </c>
      <c r="EP681" s="350"/>
      <c r="EQ681" s="350" t="s">
        <v>4449</v>
      </c>
      <c r="ER681" s="358" t="s">
        <v>4450</v>
      </c>
      <c r="ES681" s="350" t="s">
        <v>5346</v>
      </c>
      <c r="ET681" s="350" t="s">
        <v>3334</v>
      </c>
      <c r="EU681" s="350" t="str">
        <f t="shared" si="88"/>
        <v>Magdalena_Pedraza</v>
      </c>
    </row>
    <row r="682" spans="1:151" ht="38.25" x14ac:dyDescent="0.2">
      <c r="A682" s="242">
        <v>40348</v>
      </c>
      <c r="B682" s="107" t="s">
        <v>1700</v>
      </c>
      <c r="C682" s="107" t="s">
        <v>857</v>
      </c>
      <c r="D682" s="427" t="s">
        <v>837</v>
      </c>
      <c r="E682" s="107" t="str">
        <f>VLOOKUP(B682&amp;C682,Divipola!$C$2:$F$1138,4,FALSE)</f>
        <v>23672</v>
      </c>
      <c r="F682" s="330"/>
      <c r="G682" s="224"/>
      <c r="H682" s="75"/>
      <c r="I682" s="75"/>
      <c r="J682" s="75">
        <v>10</v>
      </c>
      <c r="K682" s="75">
        <v>8</v>
      </c>
      <c r="L682" s="75"/>
      <c r="M682" s="75">
        <v>8</v>
      </c>
      <c r="N682" s="75"/>
      <c r="O682" s="75"/>
      <c r="P682" s="75"/>
      <c r="Q682" s="75"/>
      <c r="R682" s="75"/>
      <c r="S682" s="75"/>
      <c r="T682" s="75"/>
      <c r="U682" s="75"/>
      <c r="V682" s="76"/>
      <c r="W682" s="205"/>
      <c r="X682" s="1"/>
      <c r="Y682" s="78">
        <f t="shared" si="82"/>
        <v>0</v>
      </c>
      <c r="Z682" s="78">
        <f t="shared" si="83"/>
        <v>0</v>
      </c>
      <c r="AA682" s="78">
        <f t="shared" si="84"/>
        <v>0</v>
      </c>
      <c r="AB682" s="78">
        <f t="shared" si="85"/>
        <v>0</v>
      </c>
      <c r="AC682" s="78"/>
      <c r="AD682" s="78">
        <v>0</v>
      </c>
      <c r="AE682" s="80">
        <f t="shared" si="87"/>
        <v>0</v>
      </c>
      <c r="AF682" s="82">
        <v>0</v>
      </c>
      <c r="AG682" s="69">
        <v>40353</v>
      </c>
      <c r="AH682" s="84"/>
      <c r="AI682" s="69" t="s">
        <v>1984</v>
      </c>
      <c r="AJ682" s="25" t="s">
        <v>1985</v>
      </c>
      <c r="AK682" s="65"/>
      <c r="AL682" s="185" t="s">
        <v>1257</v>
      </c>
      <c r="AM682" s="85" t="s">
        <v>858</v>
      </c>
      <c r="AN682" s="3"/>
      <c r="AO682" s="4"/>
      <c r="AP682" s="5"/>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6"/>
      <c r="CQ682" s="7"/>
      <c r="CR682" s="6"/>
      <c r="CS682" s="7"/>
      <c r="CT682" s="6"/>
      <c r="CU682" s="7"/>
      <c r="CV682" s="8">
        <f t="shared" si="86"/>
        <v>0</v>
      </c>
      <c r="CW682" s="9"/>
      <c r="CX682" s="10"/>
      <c r="CY682" s="11"/>
      <c r="CZ682" s="12"/>
      <c r="DA682" s="29"/>
      <c r="DB682" s="12"/>
      <c r="DC682" s="9"/>
      <c r="DD682" s="10"/>
      <c r="DE682" s="71"/>
      <c r="EO682" s="353" t="str">
        <f t="shared" si="89"/>
        <v>CORDOBA_SAN ANTERO</v>
      </c>
      <c r="EP682" s="350"/>
      <c r="EQ682" s="350" t="s">
        <v>4449</v>
      </c>
      <c r="ER682" s="358" t="s">
        <v>4450</v>
      </c>
      <c r="ES682" s="350" t="s">
        <v>5347</v>
      </c>
      <c r="ET682" s="350" t="s">
        <v>3335</v>
      </c>
      <c r="EU682" s="350" t="str">
        <f t="shared" si="88"/>
        <v>Magdalena_Pijiño del Carmen</v>
      </c>
    </row>
    <row r="683" spans="1:151" ht="38.25" x14ac:dyDescent="0.2">
      <c r="A683" s="242">
        <v>40348</v>
      </c>
      <c r="B683" s="107" t="s">
        <v>2372</v>
      </c>
      <c r="C683" s="107" t="s">
        <v>881</v>
      </c>
      <c r="D683" s="427" t="s">
        <v>2209</v>
      </c>
      <c r="E683" s="107" t="str">
        <f>VLOOKUP(B683&amp;C683,Divipola!$C$2:$F$1138,4,FALSE)</f>
        <v>70678</v>
      </c>
      <c r="F683" s="330"/>
      <c r="G683" s="224"/>
      <c r="H683" s="75"/>
      <c r="I683" s="75"/>
      <c r="J683" s="75">
        <f>78+57</f>
        <v>135</v>
      </c>
      <c r="K683" s="75">
        <v>27</v>
      </c>
      <c r="L683" s="75"/>
      <c r="M683" s="75">
        <v>27</v>
      </c>
      <c r="N683" s="75"/>
      <c r="O683" s="75"/>
      <c r="P683" s="75"/>
      <c r="Q683" s="75"/>
      <c r="R683" s="75"/>
      <c r="S683" s="75"/>
      <c r="T683" s="75">
        <v>1</v>
      </c>
      <c r="U683" s="75"/>
      <c r="V683" s="76"/>
      <c r="W683" s="205"/>
      <c r="X683" s="1"/>
      <c r="Y683" s="78">
        <f t="shared" si="82"/>
        <v>0</v>
      </c>
      <c r="Z683" s="78">
        <f t="shared" si="83"/>
        <v>0</v>
      </c>
      <c r="AA683" s="78">
        <f t="shared" si="84"/>
        <v>0</v>
      </c>
      <c r="AB683" s="78">
        <f t="shared" si="85"/>
        <v>0</v>
      </c>
      <c r="AC683" s="78"/>
      <c r="AD683" s="78">
        <v>0</v>
      </c>
      <c r="AE683" s="80">
        <f t="shared" si="87"/>
        <v>0</v>
      </c>
      <c r="AF683" s="82">
        <v>0</v>
      </c>
      <c r="AG683" s="69">
        <v>40371</v>
      </c>
      <c r="AH683" s="84"/>
      <c r="AI683" s="69" t="s">
        <v>1984</v>
      </c>
      <c r="AJ683" s="25" t="s">
        <v>1985</v>
      </c>
      <c r="AK683" s="65"/>
      <c r="AL683" s="185" t="s">
        <v>1257</v>
      </c>
      <c r="AM683" s="85" t="s">
        <v>1702</v>
      </c>
      <c r="AN683" s="3"/>
      <c r="AO683" s="4"/>
      <c r="AP683" s="5"/>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6"/>
      <c r="CQ683" s="7"/>
      <c r="CR683" s="6"/>
      <c r="CS683" s="7"/>
      <c r="CT683" s="6"/>
      <c r="CU683" s="7"/>
      <c r="CV683" s="8">
        <f t="shared" si="86"/>
        <v>0</v>
      </c>
      <c r="CW683" s="9"/>
      <c r="CX683" s="10"/>
      <c r="CY683" s="11"/>
      <c r="CZ683" s="12"/>
      <c r="DA683" s="29"/>
      <c r="DB683" s="12"/>
      <c r="DC683" s="9"/>
      <c r="DD683" s="10"/>
      <c r="DE683" s="71"/>
      <c r="EO683" s="353" t="str">
        <f t="shared" si="89"/>
        <v>SUCRE_SAN BENITO ABAD</v>
      </c>
      <c r="EP683" s="350"/>
      <c r="EQ683" s="350" t="s">
        <v>4449</v>
      </c>
      <c r="ER683" s="358" t="s">
        <v>4450</v>
      </c>
      <c r="ES683" s="350" t="s">
        <v>5348</v>
      </c>
      <c r="ET683" s="350" t="s">
        <v>3336</v>
      </c>
      <c r="EU683" s="350" t="str">
        <f t="shared" si="88"/>
        <v>Magdalena_Pivijay</v>
      </c>
    </row>
    <row r="684" spans="1:151" ht="25.5" x14ac:dyDescent="0.2">
      <c r="A684" s="242">
        <v>40348</v>
      </c>
      <c r="B684" s="107" t="s">
        <v>2791</v>
      </c>
      <c r="C684" s="107" t="s">
        <v>1945</v>
      </c>
      <c r="D684" s="427" t="s">
        <v>837</v>
      </c>
      <c r="E684" s="107" t="str">
        <f>VLOOKUP(B684&amp;C684,Divipola!$C$2:$F$1138,4,FALSE)</f>
        <v>73001</v>
      </c>
      <c r="F684" s="330"/>
      <c r="G684" s="224"/>
      <c r="H684" s="75"/>
      <c r="I684" s="75"/>
      <c r="J684" s="75">
        <v>5</v>
      </c>
      <c r="K684" s="75">
        <v>1</v>
      </c>
      <c r="L684" s="75"/>
      <c r="M684" s="75">
        <v>1</v>
      </c>
      <c r="N684" s="75"/>
      <c r="O684" s="75"/>
      <c r="P684" s="75"/>
      <c r="Q684" s="75"/>
      <c r="R684" s="75"/>
      <c r="S684" s="75"/>
      <c r="T684" s="75"/>
      <c r="U684" s="75"/>
      <c r="V684" s="76"/>
      <c r="W684" s="205"/>
      <c r="X684" s="1"/>
      <c r="Y684" s="78">
        <f t="shared" si="82"/>
        <v>0</v>
      </c>
      <c r="Z684" s="78">
        <f t="shared" si="83"/>
        <v>0</v>
      </c>
      <c r="AA684" s="78">
        <f t="shared" si="84"/>
        <v>0</v>
      </c>
      <c r="AB684" s="78">
        <f t="shared" si="85"/>
        <v>0</v>
      </c>
      <c r="AC684" s="78"/>
      <c r="AD684" s="78">
        <v>0</v>
      </c>
      <c r="AE684" s="80">
        <f t="shared" si="87"/>
        <v>0</v>
      </c>
      <c r="AF684" s="82">
        <v>0</v>
      </c>
      <c r="AG684" s="69">
        <v>40350</v>
      </c>
      <c r="AH684" s="84"/>
      <c r="AI684" s="69" t="s">
        <v>1984</v>
      </c>
      <c r="AJ684" s="25" t="s">
        <v>1985</v>
      </c>
      <c r="AK684" s="65"/>
      <c r="AL684" s="185" t="s">
        <v>1257</v>
      </c>
      <c r="AM684" s="85" t="s">
        <v>1748</v>
      </c>
      <c r="AN684" s="3"/>
      <c r="AO684" s="4"/>
      <c r="AP684" s="5"/>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6"/>
      <c r="CQ684" s="7"/>
      <c r="CR684" s="6"/>
      <c r="CS684" s="7"/>
      <c r="CT684" s="6"/>
      <c r="CU684" s="7"/>
      <c r="CV684" s="8">
        <f t="shared" si="86"/>
        <v>0</v>
      </c>
      <c r="CW684" s="9"/>
      <c r="CX684" s="10"/>
      <c r="CY684" s="11"/>
      <c r="CZ684" s="12"/>
      <c r="DA684" s="29"/>
      <c r="DB684" s="12"/>
      <c r="DC684" s="9"/>
      <c r="DD684" s="10"/>
      <c r="DE684" s="71"/>
      <c r="EO684" s="353" t="str">
        <f t="shared" si="89"/>
        <v>TOLIMA_IBAGUE</v>
      </c>
      <c r="EP684" s="350"/>
      <c r="EQ684" s="350" t="s">
        <v>4449</v>
      </c>
      <c r="ER684" s="358" t="s">
        <v>4450</v>
      </c>
      <c r="ES684" s="350" t="s">
        <v>5349</v>
      </c>
      <c r="ET684" s="350" t="s">
        <v>3337</v>
      </c>
      <c r="EU684" s="350" t="str">
        <f t="shared" si="88"/>
        <v>Magdalena_Plato</v>
      </c>
    </row>
    <row r="685" spans="1:151" ht="25.5" x14ac:dyDescent="0.2">
      <c r="A685" s="242">
        <v>40349</v>
      </c>
      <c r="B685" s="107" t="s">
        <v>2401</v>
      </c>
      <c r="C685" s="107" t="s">
        <v>214</v>
      </c>
      <c r="D685" s="427" t="s">
        <v>2352</v>
      </c>
      <c r="E685" s="107" t="str">
        <f>VLOOKUP(B685&amp;C685,Divipola!$C$2:$F$1138,4,FALSE)</f>
        <v>05756</v>
      </c>
      <c r="F685" s="330"/>
      <c r="G685" s="224"/>
      <c r="H685" s="75"/>
      <c r="I685" s="75"/>
      <c r="J685" s="75">
        <v>5</v>
      </c>
      <c r="K685" s="75">
        <v>1</v>
      </c>
      <c r="L685" s="75">
        <v>1</v>
      </c>
      <c r="M685" s="75"/>
      <c r="N685" s="75"/>
      <c r="O685" s="75"/>
      <c r="P685" s="75"/>
      <c r="Q685" s="75"/>
      <c r="R685" s="75"/>
      <c r="S685" s="75"/>
      <c r="T685" s="75"/>
      <c r="U685" s="75"/>
      <c r="V685" s="76"/>
      <c r="W685" s="205"/>
      <c r="X685" s="1"/>
      <c r="Y685" s="78">
        <f t="shared" si="82"/>
        <v>0</v>
      </c>
      <c r="Z685" s="78">
        <f t="shared" si="83"/>
        <v>0</v>
      </c>
      <c r="AA685" s="78">
        <f t="shared" si="84"/>
        <v>0</v>
      </c>
      <c r="AB685" s="78">
        <f t="shared" si="85"/>
        <v>0</v>
      </c>
      <c r="AC685" s="78"/>
      <c r="AD685" s="78">
        <v>0</v>
      </c>
      <c r="AE685" s="80">
        <f t="shared" si="87"/>
        <v>0</v>
      </c>
      <c r="AF685" s="82">
        <v>0</v>
      </c>
      <c r="AG685" s="69">
        <v>40350</v>
      </c>
      <c r="AH685" s="84"/>
      <c r="AI685" s="69" t="s">
        <v>1984</v>
      </c>
      <c r="AJ685" s="25" t="s">
        <v>1985</v>
      </c>
      <c r="AK685" s="65"/>
      <c r="AL685" s="185" t="s">
        <v>1257</v>
      </c>
      <c r="AM685" s="85" t="s">
        <v>215</v>
      </c>
      <c r="AN685" s="3"/>
      <c r="AO685" s="4"/>
      <c r="AP685" s="5"/>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6"/>
      <c r="CQ685" s="7"/>
      <c r="CR685" s="6"/>
      <c r="CS685" s="7"/>
      <c r="CT685" s="6"/>
      <c r="CU685" s="7"/>
      <c r="CV685" s="8">
        <f t="shared" si="86"/>
        <v>0</v>
      </c>
      <c r="CW685" s="9"/>
      <c r="CX685" s="10"/>
      <c r="CY685" s="11"/>
      <c r="CZ685" s="12"/>
      <c r="DA685" s="29"/>
      <c r="DB685" s="12"/>
      <c r="DC685" s="9"/>
      <c r="DD685" s="10"/>
      <c r="DE685" s="71"/>
      <c r="EO685" s="353" t="str">
        <f t="shared" si="89"/>
        <v>ANTIOQUIA_SONSON</v>
      </c>
      <c r="EP685" s="350"/>
      <c r="EQ685" s="350" t="s">
        <v>4449</v>
      </c>
      <c r="ER685" s="358" t="s">
        <v>4450</v>
      </c>
      <c r="ES685" s="350" t="s">
        <v>5350</v>
      </c>
      <c r="ET685" s="350" t="s">
        <v>3338</v>
      </c>
      <c r="EU685" s="350" t="str">
        <f t="shared" si="88"/>
        <v>Magdalena_Puebloviejo</v>
      </c>
    </row>
    <row r="686" spans="1:151" ht="60" x14ac:dyDescent="0.2">
      <c r="A686" s="246">
        <v>40349</v>
      </c>
      <c r="B686" s="238" t="s">
        <v>2401</v>
      </c>
      <c r="C686" s="238" t="s">
        <v>1582</v>
      </c>
      <c r="D686" s="431" t="s">
        <v>837</v>
      </c>
      <c r="E686" s="107" t="str">
        <f>VLOOKUP(B686&amp;C686,Divipola!$C$2:$F$1138,4,FALSE)</f>
        <v>05895</v>
      </c>
      <c r="F686" s="334"/>
      <c r="G686" s="224"/>
      <c r="H686" s="75"/>
      <c r="I686" s="75"/>
      <c r="J686" s="75">
        <v>500</v>
      </c>
      <c r="K686" s="75">
        <v>200</v>
      </c>
      <c r="L686" s="75"/>
      <c r="M686" s="75"/>
      <c r="N686" s="75"/>
      <c r="O686" s="75"/>
      <c r="P686" s="75"/>
      <c r="Q686" s="75"/>
      <c r="R686" s="75"/>
      <c r="S686" s="75"/>
      <c r="T686" s="75"/>
      <c r="U686" s="75"/>
      <c r="V686" s="76"/>
      <c r="W686" s="205"/>
      <c r="X686" s="1">
        <v>40381</v>
      </c>
      <c r="Y686" s="78">
        <f t="shared" si="82"/>
        <v>68344560</v>
      </c>
      <c r="Z686" s="78">
        <f t="shared" si="83"/>
        <v>45050000</v>
      </c>
      <c r="AA686" s="78">
        <f t="shared" si="84"/>
        <v>0</v>
      </c>
      <c r="AB686" s="78">
        <f t="shared" si="85"/>
        <v>0</v>
      </c>
      <c r="AC686" s="78"/>
      <c r="AD686" s="78">
        <v>0</v>
      </c>
      <c r="AE686" s="80">
        <f t="shared" si="87"/>
        <v>113394560</v>
      </c>
      <c r="AF686" s="82">
        <v>0</v>
      </c>
      <c r="AG686" s="69">
        <v>40351</v>
      </c>
      <c r="AH686" s="94" t="s">
        <v>680</v>
      </c>
      <c r="AI686" s="69" t="s">
        <v>2009</v>
      </c>
      <c r="AJ686" s="25" t="s">
        <v>2010</v>
      </c>
      <c r="AK686" s="65">
        <v>210</v>
      </c>
      <c r="AL686" s="185" t="s">
        <v>2182</v>
      </c>
      <c r="AM686" s="85" t="s">
        <v>211</v>
      </c>
      <c r="AN686" s="3"/>
      <c r="AO686" s="4"/>
      <c r="AP686" s="5"/>
      <c r="AQ686" s="4"/>
      <c r="AR686" s="4"/>
      <c r="AS686" s="4"/>
      <c r="AT686" s="4"/>
      <c r="AU686" s="4"/>
      <c r="AV686" s="4"/>
      <c r="AW686" s="4"/>
      <c r="AX686" s="4"/>
      <c r="AY686" s="4"/>
      <c r="AZ686" s="4">
        <v>530</v>
      </c>
      <c r="BA686" s="4">
        <f>530*56000</f>
        <v>29680000</v>
      </c>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6">
        <v>530</v>
      </c>
      <c r="CQ686" s="7">
        <f>530*36952</f>
        <v>19584560</v>
      </c>
      <c r="CR686" s="6">
        <v>530</v>
      </c>
      <c r="CS686" s="7">
        <f>530*36000</f>
        <v>19080000</v>
      </c>
      <c r="CT686" s="6"/>
      <c r="CU686" s="7"/>
      <c r="CV686" s="8">
        <f t="shared" si="86"/>
        <v>68344560</v>
      </c>
      <c r="CW686" s="9"/>
      <c r="CX686" s="10"/>
      <c r="CY686" s="11">
        <v>530</v>
      </c>
      <c r="CZ686" s="12">
        <f>530*85000</f>
        <v>45050000</v>
      </c>
      <c r="DA686" s="29"/>
      <c r="DB686" s="12"/>
      <c r="DC686" s="9"/>
      <c r="DD686" s="10"/>
      <c r="DE686" s="71"/>
      <c r="EO686" s="353" t="str">
        <f t="shared" si="89"/>
        <v>ANTIOQUIA_ZARAGOZA</v>
      </c>
      <c r="EP686" s="350"/>
      <c r="EQ686" s="350" t="s">
        <v>4449</v>
      </c>
      <c r="ER686" s="358" t="s">
        <v>4450</v>
      </c>
      <c r="ES686" s="350" t="s">
        <v>5351</v>
      </c>
      <c r="ET686" s="350" t="s">
        <v>3339</v>
      </c>
      <c r="EU686" s="350" t="str">
        <f t="shared" si="88"/>
        <v>Magdalena_Remolino</v>
      </c>
    </row>
    <row r="687" spans="1:151" ht="48" x14ac:dyDescent="0.2">
      <c r="A687" s="242">
        <v>40349</v>
      </c>
      <c r="B687" s="107" t="s">
        <v>1951</v>
      </c>
      <c r="C687" s="107" t="s">
        <v>1989</v>
      </c>
      <c r="D687" s="427" t="s">
        <v>837</v>
      </c>
      <c r="E687" s="107" t="str">
        <f>VLOOKUP(B687&amp;C687,Divipola!$C$2:$F$1138,4,FALSE)</f>
        <v>08001</v>
      </c>
      <c r="F687" s="330"/>
      <c r="G687" s="224"/>
      <c r="H687" s="75"/>
      <c r="I687" s="75"/>
      <c r="J687" s="75">
        <v>925</v>
      </c>
      <c r="K687" s="75">
        <v>185</v>
      </c>
      <c r="L687" s="75"/>
      <c r="M687" s="75">
        <v>185</v>
      </c>
      <c r="N687" s="75"/>
      <c r="O687" s="75"/>
      <c r="P687" s="75"/>
      <c r="Q687" s="75"/>
      <c r="R687" s="75"/>
      <c r="S687" s="75"/>
      <c r="T687" s="75"/>
      <c r="U687" s="75"/>
      <c r="V687" s="76"/>
      <c r="W687" s="205" t="s">
        <v>994</v>
      </c>
      <c r="X687" s="1"/>
      <c r="Y687" s="78">
        <f t="shared" si="82"/>
        <v>0</v>
      </c>
      <c r="Z687" s="78">
        <f t="shared" si="83"/>
        <v>0</v>
      </c>
      <c r="AA687" s="78">
        <f t="shared" si="84"/>
        <v>0</v>
      </c>
      <c r="AB687" s="78">
        <f t="shared" si="85"/>
        <v>0</v>
      </c>
      <c r="AC687" s="78"/>
      <c r="AD687" s="78">
        <v>0</v>
      </c>
      <c r="AE687" s="80">
        <f t="shared" si="87"/>
        <v>0</v>
      </c>
      <c r="AF687" s="82">
        <v>0</v>
      </c>
      <c r="AG687" s="69">
        <v>40350</v>
      </c>
      <c r="AH687" s="84"/>
      <c r="AI687" s="69" t="s">
        <v>1984</v>
      </c>
      <c r="AJ687" s="25" t="s">
        <v>1985</v>
      </c>
      <c r="AK687" s="65"/>
      <c r="AL687" s="185" t="s">
        <v>1257</v>
      </c>
      <c r="AM687" s="85" t="s">
        <v>222</v>
      </c>
      <c r="AN687" s="3"/>
      <c r="AO687" s="4"/>
      <c r="AP687" s="5"/>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6"/>
      <c r="CQ687" s="7"/>
      <c r="CR687" s="6"/>
      <c r="CS687" s="7"/>
      <c r="CT687" s="6"/>
      <c r="CU687" s="7"/>
      <c r="CV687" s="8">
        <f t="shared" si="86"/>
        <v>0</v>
      </c>
      <c r="CW687" s="9"/>
      <c r="CX687" s="10"/>
      <c r="CY687" s="11"/>
      <c r="CZ687" s="12"/>
      <c r="DA687" s="29"/>
      <c r="DB687" s="12"/>
      <c r="DC687" s="9"/>
      <c r="DD687" s="10"/>
      <c r="DE687" s="71"/>
      <c r="EO687" s="353" t="str">
        <f t="shared" si="89"/>
        <v>ATLANTICO_BARRANQUILLA</v>
      </c>
      <c r="EP687" s="350"/>
      <c r="EQ687" s="350" t="s">
        <v>4449</v>
      </c>
      <c r="ER687" s="358" t="s">
        <v>4450</v>
      </c>
      <c r="ES687" s="350" t="s">
        <v>5352</v>
      </c>
      <c r="ET687" s="350" t="s">
        <v>3340</v>
      </c>
      <c r="EU687" s="350" t="str">
        <f t="shared" si="88"/>
        <v>Magdalena_Sabanas de San Angel</v>
      </c>
    </row>
    <row r="688" spans="1:151" ht="38.25" x14ac:dyDescent="0.2">
      <c r="A688" s="242">
        <v>40349</v>
      </c>
      <c r="B688" s="107" t="s">
        <v>1951</v>
      </c>
      <c r="C688" s="107" t="s">
        <v>1989</v>
      </c>
      <c r="D688" s="427" t="s">
        <v>2307</v>
      </c>
      <c r="E688" s="107" t="str">
        <f>VLOOKUP(B688&amp;C688,Divipola!$C$2:$F$1138,4,FALSE)</f>
        <v>08001</v>
      </c>
      <c r="F688" s="330"/>
      <c r="G688" s="224"/>
      <c r="H688" s="75"/>
      <c r="I688" s="75"/>
      <c r="J688" s="75">
        <v>30</v>
      </c>
      <c r="K688" s="75">
        <v>6</v>
      </c>
      <c r="L688" s="75"/>
      <c r="M688" s="75">
        <v>6</v>
      </c>
      <c r="N688" s="75"/>
      <c r="O688" s="75"/>
      <c r="P688" s="75"/>
      <c r="Q688" s="75"/>
      <c r="R688" s="75"/>
      <c r="S688" s="75"/>
      <c r="T688" s="75"/>
      <c r="U688" s="75"/>
      <c r="V688" s="76"/>
      <c r="W688" s="205"/>
      <c r="X688" s="1"/>
      <c r="Y688" s="78">
        <f t="shared" si="82"/>
        <v>0</v>
      </c>
      <c r="Z688" s="78">
        <f t="shared" si="83"/>
        <v>0</v>
      </c>
      <c r="AA688" s="78">
        <f t="shared" si="84"/>
        <v>0</v>
      </c>
      <c r="AB688" s="78">
        <f t="shared" si="85"/>
        <v>0</v>
      </c>
      <c r="AC688" s="78"/>
      <c r="AD688" s="78">
        <v>0</v>
      </c>
      <c r="AE688" s="80">
        <f t="shared" si="87"/>
        <v>0</v>
      </c>
      <c r="AF688" s="82">
        <v>0</v>
      </c>
      <c r="AG688" s="69">
        <v>40350</v>
      </c>
      <c r="AH688" s="84"/>
      <c r="AI688" s="69" t="s">
        <v>1984</v>
      </c>
      <c r="AJ688" s="25" t="s">
        <v>1985</v>
      </c>
      <c r="AK688" s="65"/>
      <c r="AL688" s="185" t="s">
        <v>1257</v>
      </c>
      <c r="AM688" s="85" t="s">
        <v>1752</v>
      </c>
      <c r="AN688" s="3"/>
      <c r="AO688" s="4"/>
      <c r="AP688" s="5"/>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6"/>
      <c r="CQ688" s="7"/>
      <c r="CR688" s="6"/>
      <c r="CS688" s="7"/>
      <c r="CT688" s="6"/>
      <c r="CU688" s="7"/>
      <c r="CV688" s="8">
        <f t="shared" si="86"/>
        <v>0</v>
      </c>
      <c r="CW688" s="9"/>
      <c r="CX688" s="10"/>
      <c r="CY688" s="11"/>
      <c r="CZ688" s="12"/>
      <c r="DA688" s="29"/>
      <c r="DB688" s="12"/>
      <c r="DC688" s="9"/>
      <c r="DD688" s="10"/>
      <c r="DE688" s="71"/>
      <c r="EO688" s="353" t="str">
        <f t="shared" si="89"/>
        <v>ATLANTICO_BARRANQUILLA</v>
      </c>
      <c r="EP688" s="350"/>
      <c r="EQ688" s="350" t="s">
        <v>4449</v>
      </c>
      <c r="ER688" s="358" t="s">
        <v>4450</v>
      </c>
      <c r="ES688" s="350" t="s">
        <v>5353</v>
      </c>
      <c r="ET688" s="350" t="s">
        <v>6159</v>
      </c>
      <c r="EU688" s="350" t="str">
        <f t="shared" si="88"/>
        <v>Magdalena_Salamina</v>
      </c>
    </row>
    <row r="689" spans="1:151" ht="63.75" x14ac:dyDescent="0.2">
      <c r="A689" s="242">
        <v>40349</v>
      </c>
      <c r="B689" s="107" t="s">
        <v>2017</v>
      </c>
      <c r="C689" s="107" t="s">
        <v>1956</v>
      </c>
      <c r="D689" s="427" t="s">
        <v>2307</v>
      </c>
      <c r="E689" s="107" t="str">
        <f>VLOOKUP(B689&amp;C689,Divipola!$C$2:$F$1138,4,FALSE)</f>
        <v>13836</v>
      </c>
      <c r="F689" s="330"/>
      <c r="G689" s="224"/>
      <c r="H689" s="75"/>
      <c r="I689" s="75"/>
      <c r="J689" s="75">
        <v>30</v>
      </c>
      <c r="K689" s="75">
        <v>6</v>
      </c>
      <c r="L689" s="75">
        <v>4</v>
      </c>
      <c r="M689" s="75">
        <v>2</v>
      </c>
      <c r="N689" s="75"/>
      <c r="O689" s="75"/>
      <c r="P689" s="75"/>
      <c r="Q689" s="75"/>
      <c r="R689" s="75"/>
      <c r="S689" s="75"/>
      <c r="T689" s="75"/>
      <c r="U689" s="75"/>
      <c r="V689" s="76"/>
      <c r="W689" s="205"/>
      <c r="X689" s="1"/>
      <c r="Y689" s="78">
        <f t="shared" si="82"/>
        <v>0</v>
      </c>
      <c r="Z689" s="78">
        <f t="shared" si="83"/>
        <v>0</v>
      </c>
      <c r="AA689" s="78">
        <f t="shared" si="84"/>
        <v>0</v>
      </c>
      <c r="AB689" s="78">
        <f t="shared" si="85"/>
        <v>0</v>
      </c>
      <c r="AC689" s="78"/>
      <c r="AD689" s="78">
        <v>0</v>
      </c>
      <c r="AE689" s="80">
        <f t="shared" si="87"/>
        <v>0</v>
      </c>
      <c r="AF689" s="82">
        <v>0</v>
      </c>
      <c r="AG689" s="69">
        <v>40350</v>
      </c>
      <c r="AH689" s="84"/>
      <c r="AI689" s="69" t="s">
        <v>1984</v>
      </c>
      <c r="AJ689" s="25" t="s">
        <v>1985</v>
      </c>
      <c r="AK689" s="65"/>
      <c r="AL689" s="185" t="s">
        <v>1257</v>
      </c>
      <c r="AM689" s="85" t="s">
        <v>213</v>
      </c>
      <c r="AN689" s="3"/>
      <c r="AO689" s="4"/>
      <c r="AP689" s="5"/>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6"/>
      <c r="CQ689" s="7"/>
      <c r="CR689" s="6"/>
      <c r="CS689" s="7"/>
      <c r="CT689" s="6"/>
      <c r="CU689" s="7"/>
      <c r="CV689" s="8">
        <f t="shared" si="86"/>
        <v>0</v>
      </c>
      <c r="CW689" s="9"/>
      <c r="CX689" s="10"/>
      <c r="CY689" s="11"/>
      <c r="CZ689" s="12"/>
      <c r="DA689" s="29"/>
      <c r="DB689" s="12"/>
      <c r="DC689" s="9"/>
      <c r="DD689" s="10"/>
      <c r="DE689" s="71"/>
      <c r="EO689" s="353" t="str">
        <f t="shared" si="89"/>
        <v>BOLIVAR_TURBACO</v>
      </c>
      <c r="EP689" s="350"/>
      <c r="EQ689" s="350" t="s">
        <v>4449</v>
      </c>
      <c r="ER689" s="358" t="s">
        <v>4450</v>
      </c>
      <c r="ES689" s="350" t="s">
        <v>5354</v>
      </c>
      <c r="ET689" s="350" t="s">
        <v>3341</v>
      </c>
      <c r="EU689" s="350" t="str">
        <f t="shared" si="88"/>
        <v>Magdalena_San Sebastian de Buenavista</v>
      </c>
    </row>
    <row r="690" spans="1:151" ht="36" x14ac:dyDescent="0.2">
      <c r="A690" s="242">
        <v>40349</v>
      </c>
      <c r="B690" s="107" t="s">
        <v>828</v>
      </c>
      <c r="C690" s="107" t="s">
        <v>1750</v>
      </c>
      <c r="D690" s="427" t="s">
        <v>2307</v>
      </c>
      <c r="E690" s="107" t="str">
        <f>VLOOKUP(B690&amp;C690,Divipola!$C$2:$F$1138,4,FALSE)</f>
        <v>15480</v>
      </c>
      <c r="F690" s="330"/>
      <c r="G690" s="224"/>
      <c r="H690" s="75"/>
      <c r="I690" s="75"/>
      <c r="J690" s="75">
        <f>101*5</f>
        <v>505</v>
      </c>
      <c r="K690" s="75">
        <v>101</v>
      </c>
      <c r="L690" s="75"/>
      <c r="M690" s="75">
        <v>90</v>
      </c>
      <c r="N690" s="75">
        <v>1</v>
      </c>
      <c r="O690" s="75"/>
      <c r="P690" s="75"/>
      <c r="Q690" s="75"/>
      <c r="R690" s="75"/>
      <c r="S690" s="75"/>
      <c r="T690" s="75"/>
      <c r="U690" s="75"/>
      <c r="V690" s="76"/>
      <c r="W690" s="205"/>
      <c r="X690" s="1"/>
      <c r="Y690" s="78">
        <f t="shared" si="82"/>
        <v>0</v>
      </c>
      <c r="Z690" s="78">
        <f t="shared" si="83"/>
        <v>0</v>
      </c>
      <c r="AA690" s="78">
        <f t="shared" si="84"/>
        <v>0</v>
      </c>
      <c r="AB690" s="78">
        <f t="shared" si="85"/>
        <v>0</v>
      </c>
      <c r="AC690" s="78"/>
      <c r="AD690" s="78">
        <v>0</v>
      </c>
      <c r="AE690" s="80">
        <f t="shared" si="87"/>
        <v>0</v>
      </c>
      <c r="AF690" s="82">
        <v>0</v>
      </c>
      <c r="AG690" s="69">
        <v>40578</v>
      </c>
      <c r="AH690" s="84"/>
      <c r="AI690" s="69" t="s">
        <v>1984</v>
      </c>
      <c r="AJ690" s="25" t="s">
        <v>1985</v>
      </c>
      <c r="AK690" s="65"/>
      <c r="AL690" s="185" t="s">
        <v>1257</v>
      </c>
      <c r="AM690" s="85" t="s">
        <v>362</v>
      </c>
      <c r="AN690" s="3"/>
      <c r="AO690" s="4"/>
      <c r="AP690" s="5"/>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6"/>
      <c r="CQ690" s="7"/>
      <c r="CR690" s="6"/>
      <c r="CS690" s="7"/>
      <c r="CT690" s="6"/>
      <c r="CU690" s="7"/>
      <c r="CV690" s="8">
        <f t="shared" si="86"/>
        <v>0</v>
      </c>
      <c r="CW690" s="9"/>
      <c r="CX690" s="10"/>
      <c r="CY690" s="11"/>
      <c r="CZ690" s="12"/>
      <c r="DA690" s="29"/>
      <c r="DB690" s="12"/>
      <c r="DC690" s="9"/>
      <c r="DD690" s="10"/>
      <c r="DE690" s="71"/>
      <c r="EO690" s="353" t="str">
        <f t="shared" si="89"/>
        <v>BOYACA_MUZO</v>
      </c>
      <c r="EP690" s="350"/>
      <c r="EQ690" s="350" t="s">
        <v>4449</v>
      </c>
      <c r="ER690" s="358" t="s">
        <v>4450</v>
      </c>
      <c r="ES690" s="350" t="s">
        <v>5355</v>
      </c>
      <c r="ET690" s="350" t="s">
        <v>3342</v>
      </c>
      <c r="EU690" s="350" t="str">
        <f t="shared" si="88"/>
        <v>Magdalena_San Zenon</v>
      </c>
    </row>
    <row r="691" spans="1:151" ht="25.5" x14ac:dyDescent="0.2">
      <c r="A691" s="242">
        <v>40349</v>
      </c>
      <c r="B691" s="107" t="s">
        <v>828</v>
      </c>
      <c r="C691" s="107" t="s">
        <v>992</v>
      </c>
      <c r="D691" s="427" t="s">
        <v>2307</v>
      </c>
      <c r="E691" s="107" t="str">
        <f>VLOOKUP(B691&amp;C691,Divipola!$C$2:$F$1138,4,FALSE)</f>
        <v>15518</v>
      </c>
      <c r="F691" s="330"/>
      <c r="G691" s="224"/>
      <c r="H691" s="75"/>
      <c r="I691" s="75"/>
      <c r="J691" s="75"/>
      <c r="K691" s="75"/>
      <c r="L691" s="75"/>
      <c r="M691" s="75"/>
      <c r="N691" s="75"/>
      <c r="O691" s="75"/>
      <c r="P691" s="75"/>
      <c r="Q691" s="75"/>
      <c r="R691" s="75"/>
      <c r="S691" s="75"/>
      <c r="T691" s="75"/>
      <c r="U691" s="75"/>
      <c r="V691" s="76"/>
      <c r="W691" s="205"/>
      <c r="X691" s="1"/>
      <c r="Y691" s="78">
        <f t="shared" si="82"/>
        <v>0</v>
      </c>
      <c r="Z691" s="78">
        <f t="shared" si="83"/>
        <v>0</v>
      </c>
      <c r="AA691" s="78">
        <f t="shared" si="84"/>
        <v>0</v>
      </c>
      <c r="AB691" s="78">
        <f t="shared" si="85"/>
        <v>0</v>
      </c>
      <c r="AC691" s="78"/>
      <c r="AD691" s="78">
        <v>0</v>
      </c>
      <c r="AE691" s="80">
        <f t="shared" si="87"/>
        <v>0</v>
      </c>
      <c r="AF691" s="82">
        <v>0</v>
      </c>
      <c r="AG691" s="69">
        <v>40350</v>
      </c>
      <c r="AH691" s="84"/>
      <c r="AI691" s="69" t="s">
        <v>1984</v>
      </c>
      <c r="AJ691" s="25" t="s">
        <v>1985</v>
      </c>
      <c r="AK691" s="65"/>
      <c r="AL691" s="185" t="s">
        <v>1257</v>
      </c>
      <c r="AM691" s="85" t="s">
        <v>993</v>
      </c>
      <c r="AN691" s="3"/>
      <c r="AO691" s="4"/>
      <c r="AP691" s="5"/>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6"/>
      <c r="CQ691" s="7"/>
      <c r="CR691" s="6"/>
      <c r="CS691" s="7"/>
      <c r="CT691" s="6"/>
      <c r="CU691" s="7"/>
      <c r="CV691" s="8">
        <f t="shared" si="86"/>
        <v>0</v>
      </c>
      <c r="CW691" s="9"/>
      <c r="CX691" s="10"/>
      <c r="CY691" s="11"/>
      <c r="CZ691" s="12"/>
      <c r="DA691" s="29"/>
      <c r="DB691" s="12"/>
      <c r="DC691" s="9"/>
      <c r="DD691" s="10"/>
      <c r="DE691" s="71"/>
      <c r="EO691" s="353" t="str">
        <f t="shared" si="89"/>
        <v>BOYACA_PAJARITO</v>
      </c>
      <c r="EP691" s="350"/>
      <c r="EQ691" s="350" t="s">
        <v>4449</v>
      </c>
      <c r="ER691" s="358" t="s">
        <v>4450</v>
      </c>
      <c r="ES691" s="350" t="s">
        <v>5356</v>
      </c>
      <c r="ET691" s="350" t="s">
        <v>3343</v>
      </c>
      <c r="EU691" s="350" t="str">
        <f t="shared" si="88"/>
        <v>Magdalena_Santa Ana</v>
      </c>
    </row>
    <row r="692" spans="1:151" ht="51" x14ac:dyDescent="0.2">
      <c r="A692" s="242">
        <v>40349</v>
      </c>
      <c r="B692" s="107" t="s">
        <v>828</v>
      </c>
      <c r="C692" s="107" t="s">
        <v>2365</v>
      </c>
      <c r="D692" s="427" t="s">
        <v>2307</v>
      </c>
      <c r="E692" s="107" t="str">
        <f>VLOOKUP(B692&amp;C692,Divipola!$C$2:$F$1138,4,FALSE)</f>
        <v>15580</v>
      </c>
      <c r="F692" s="330"/>
      <c r="G692" s="224"/>
      <c r="H692" s="75"/>
      <c r="I692" s="75"/>
      <c r="J692" s="75"/>
      <c r="K692" s="75"/>
      <c r="L692" s="75"/>
      <c r="M692" s="75"/>
      <c r="N692" s="75">
        <v>1</v>
      </c>
      <c r="O692" s="75"/>
      <c r="P692" s="75"/>
      <c r="Q692" s="75"/>
      <c r="R692" s="75"/>
      <c r="S692" s="75"/>
      <c r="T692" s="75"/>
      <c r="U692" s="75"/>
      <c r="V692" s="76"/>
      <c r="W692" s="205"/>
      <c r="X692" s="1"/>
      <c r="Y692" s="78">
        <f t="shared" si="82"/>
        <v>0</v>
      </c>
      <c r="Z692" s="78">
        <f t="shared" si="83"/>
        <v>0</v>
      </c>
      <c r="AA692" s="78">
        <f t="shared" si="84"/>
        <v>0</v>
      </c>
      <c r="AB692" s="78">
        <f t="shared" si="85"/>
        <v>0</v>
      </c>
      <c r="AC692" s="78"/>
      <c r="AD692" s="78">
        <v>0</v>
      </c>
      <c r="AE692" s="80">
        <f t="shared" si="87"/>
        <v>0</v>
      </c>
      <c r="AF692" s="82">
        <v>0</v>
      </c>
      <c r="AG692" s="69">
        <v>40350</v>
      </c>
      <c r="AH692" s="84"/>
      <c r="AI692" s="69" t="s">
        <v>1984</v>
      </c>
      <c r="AJ692" s="25" t="s">
        <v>1985</v>
      </c>
      <c r="AK692" s="65"/>
      <c r="AL692" s="185" t="s">
        <v>1257</v>
      </c>
      <c r="AM692" s="85" t="s">
        <v>1751</v>
      </c>
      <c r="AN692" s="3"/>
      <c r="AO692" s="4"/>
      <c r="AP692" s="5"/>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6"/>
      <c r="CQ692" s="7"/>
      <c r="CR692" s="6"/>
      <c r="CS692" s="7"/>
      <c r="CT692" s="6"/>
      <c r="CU692" s="7"/>
      <c r="CV692" s="8">
        <f t="shared" si="86"/>
        <v>0</v>
      </c>
      <c r="CW692" s="9"/>
      <c r="CX692" s="10"/>
      <c r="CY692" s="11"/>
      <c r="CZ692" s="12"/>
      <c r="DA692" s="29"/>
      <c r="DB692" s="12"/>
      <c r="DC692" s="9"/>
      <c r="DD692" s="10"/>
      <c r="DE692" s="71"/>
      <c r="EO692" s="353" t="str">
        <f t="shared" si="89"/>
        <v>BOYACA_QUIPAMA</v>
      </c>
      <c r="EP692" s="350"/>
      <c r="EQ692" s="350" t="s">
        <v>4449</v>
      </c>
      <c r="ER692" s="358" t="s">
        <v>4450</v>
      </c>
      <c r="ES692" s="350" t="s">
        <v>5357</v>
      </c>
      <c r="ET692" s="350" t="s">
        <v>3344</v>
      </c>
      <c r="EU692" s="350" t="str">
        <f t="shared" si="88"/>
        <v>Magdalena_Santa Barbara de Pinto</v>
      </c>
    </row>
    <row r="693" spans="1:151" ht="38.25" x14ac:dyDescent="0.2">
      <c r="A693" s="242">
        <v>40349</v>
      </c>
      <c r="B693" s="222" t="s">
        <v>2242</v>
      </c>
      <c r="C693" s="222" t="s">
        <v>1238</v>
      </c>
      <c r="D693" s="430" t="s">
        <v>2209</v>
      </c>
      <c r="E693" s="107" t="str">
        <f>VLOOKUP(B693&amp;C693,Divipola!$C$2:$F$1138,4,FALSE)</f>
        <v>20013</v>
      </c>
      <c r="F693" s="333"/>
      <c r="G693" s="221"/>
      <c r="H693" s="157"/>
      <c r="I693" s="157"/>
      <c r="J693" s="157">
        <f>93*5</f>
        <v>465</v>
      </c>
      <c r="K693" s="157">
        <v>93</v>
      </c>
      <c r="L693" s="157"/>
      <c r="M693" s="157">
        <v>20</v>
      </c>
      <c r="N693" s="157"/>
      <c r="O693" s="157"/>
      <c r="P693" s="157"/>
      <c r="Q693" s="157"/>
      <c r="R693" s="157"/>
      <c r="S693" s="157"/>
      <c r="T693" s="157"/>
      <c r="U693" s="157"/>
      <c r="V693" s="158"/>
      <c r="W693" s="182"/>
      <c r="X693" s="1"/>
      <c r="Y693" s="78">
        <f t="shared" si="82"/>
        <v>0</v>
      </c>
      <c r="Z693" s="78">
        <f t="shared" si="83"/>
        <v>0</v>
      </c>
      <c r="AA693" s="78">
        <f t="shared" si="84"/>
        <v>0</v>
      </c>
      <c r="AB693" s="78">
        <f t="shared" si="85"/>
        <v>0</v>
      </c>
      <c r="AC693" s="78"/>
      <c r="AD693" s="78">
        <v>0</v>
      </c>
      <c r="AE693" s="80">
        <f t="shared" si="87"/>
        <v>0</v>
      </c>
      <c r="AF693" s="82">
        <v>0</v>
      </c>
      <c r="AG693" s="69">
        <v>40484</v>
      </c>
      <c r="AH693" s="84"/>
      <c r="AI693" s="69" t="s">
        <v>1984</v>
      </c>
      <c r="AJ693" s="25" t="s">
        <v>1985</v>
      </c>
      <c r="AK693" s="109"/>
      <c r="AL693" s="176" t="s">
        <v>1257</v>
      </c>
      <c r="AM693" s="173" t="s">
        <v>1268</v>
      </c>
      <c r="AN693" s="159"/>
      <c r="AO693" s="160"/>
      <c r="AP693" s="161"/>
      <c r="AQ693" s="160"/>
      <c r="AR693" s="160"/>
      <c r="AS693" s="160"/>
      <c r="AT693" s="160"/>
      <c r="AU693" s="160"/>
      <c r="AV693" s="160"/>
      <c r="AW693" s="160"/>
      <c r="AX693" s="160"/>
      <c r="AY693" s="160"/>
      <c r="AZ693" s="160"/>
      <c r="BA693" s="160"/>
      <c r="BB693" s="160"/>
      <c r="BC693" s="160"/>
      <c r="BD693" s="160"/>
      <c r="BE693" s="160"/>
      <c r="BF693" s="160"/>
      <c r="BG693" s="160"/>
      <c r="BH693" s="160"/>
      <c r="BI693" s="160"/>
      <c r="BJ693" s="160"/>
      <c r="BK693" s="160"/>
      <c r="BL693" s="160"/>
      <c r="BM693" s="160"/>
      <c r="BN693" s="160"/>
      <c r="BO693" s="160"/>
      <c r="BP693" s="160"/>
      <c r="BQ693" s="160"/>
      <c r="BR693" s="160"/>
      <c r="BS693" s="160"/>
      <c r="BT693" s="160"/>
      <c r="BU693" s="160"/>
      <c r="BV693" s="160"/>
      <c r="BW693" s="160"/>
      <c r="BX693" s="160"/>
      <c r="BY693" s="160"/>
      <c r="BZ693" s="160"/>
      <c r="CA693" s="160"/>
      <c r="CB693" s="160"/>
      <c r="CC693" s="160"/>
      <c r="CD693" s="160"/>
      <c r="CE693" s="160"/>
      <c r="CF693" s="160"/>
      <c r="CG693" s="160"/>
      <c r="CH693" s="160"/>
      <c r="CI693" s="160"/>
      <c r="CJ693" s="160"/>
      <c r="CK693" s="160"/>
      <c r="CL693" s="160"/>
      <c r="CM693" s="160"/>
      <c r="CN693" s="160"/>
      <c r="CO693" s="160"/>
      <c r="CP693" s="162"/>
      <c r="CQ693" s="163"/>
      <c r="CR693" s="162"/>
      <c r="CS693" s="163"/>
      <c r="CT693" s="162"/>
      <c r="CU693" s="163"/>
      <c r="CV693" s="164">
        <f t="shared" si="86"/>
        <v>0</v>
      </c>
      <c r="CW693" s="165"/>
      <c r="CX693" s="166"/>
      <c r="CY693" s="167"/>
      <c r="CZ693" s="168"/>
      <c r="DA693" s="169"/>
      <c r="DB693" s="168"/>
      <c r="DC693" s="165"/>
      <c r="DD693" s="166"/>
      <c r="DE693" s="71"/>
      <c r="DF693" s="170"/>
      <c r="EO693" s="353" t="str">
        <f t="shared" si="89"/>
        <v>CESAR_AGUSTIN CODAZZI</v>
      </c>
      <c r="EP693" s="350"/>
      <c r="EQ693" s="350" t="s">
        <v>4449</v>
      </c>
      <c r="ER693" s="358" t="s">
        <v>4450</v>
      </c>
      <c r="ES693" s="350" t="s">
        <v>5358</v>
      </c>
      <c r="ET693" s="350" t="s">
        <v>3345</v>
      </c>
      <c r="EU693" s="350" t="str">
        <f t="shared" si="88"/>
        <v>Magdalena_Sitionuevo</v>
      </c>
    </row>
    <row r="694" spans="1:151" ht="25.5" x14ac:dyDescent="0.2">
      <c r="A694" s="242">
        <v>40349</v>
      </c>
      <c r="B694" s="107" t="s">
        <v>2242</v>
      </c>
      <c r="C694" s="107" t="s">
        <v>228</v>
      </c>
      <c r="D694" s="427" t="s">
        <v>837</v>
      </c>
      <c r="E694" s="107" t="str">
        <f>VLOOKUP(B694&amp;C694,Divipola!$C$2:$F$1138,4,FALSE)</f>
        <v>20045</v>
      </c>
      <c r="F694" s="330"/>
      <c r="G694" s="224"/>
      <c r="H694" s="75"/>
      <c r="I694" s="75"/>
      <c r="J694" s="75">
        <v>140</v>
      </c>
      <c r="K694" s="75">
        <v>28</v>
      </c>
      <c r="L694" s="75"/>
      <c r="M694" s="75">
        <v>1</v>
      </c>
      <c r="N694" s="75"/>
      <c r="O694" s="75"/>
      <c r="P694" s="75"/>
      <c r="Q694" s="75"/>
      <c r="R694" s="75"/>
      <c r="S694" s="75"/>
      <c r="T694" s="75"/>
      <c r="U694" s="75"/>
      <c r="V694" s="76"/>
      <c r="W694" s="205"/>
      <c r="X694" s="1"/>
      <c r="Y694" s="78">
        <f t="shared" si="82"/>
        <v>0</v>
      </c>
      <c r="Z694" s="78">
        <f t="shared" si="83"/>
        <v>0</v>
      </c>
      <c r="AA694" s="78">
        <f t="shared" si="84"/>
        <v>0</v>
      </c>
      <c r="AB694" s="78">
        <f t="shared" si="85"/>
        <v>0</v>
      </c>
      <c r="AC694" s="78"/>
      <c r="AD694" s="78">
        <v>0</v>
      </c>
      <c r="AE694" s="80">
        <f t="shared" si="87"/>
        <v>0</v>
      </c>
      <c r="AF694" s="82">
        <v>0</v>
      </c>
      <c r="AG694" s="69">
        <v>40352</v>
      </c>
      <c r="AH694" s="84"/>
      <c r="AI694" s="69" t="s">
        <v>1984</v>
      </c>
      <c r="AJ694" s="25" t="s">
        <v>1985</v>
      </c>
      <c r="AK694" s="65"/>
      <c r="AL694" s="185" t="s">
        <v>1257</v>
      </c>
      <c r="AM694" s="85" t="s">
        <v>859</v>
      </c>
      <c r="AN694" s="3"/>
      <c r="AO694" s="4"/>
      <c r="AP694" s="5"/>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6"/>
      <c r="CQ694" s="7"/>
      <c r="CR694" s="6"/>
      <c r="CS694" s="7"/>
      <c r="CT694" s="6"/>
      <c r="CU694" s="7"/>
      <c r="CV694" s="8">
        <f t="shared" si="86"/>
        <v>0</v>
      </c>
      <c r="CW694" s="9"/>
      <c r="CX694" s="10"/>
      <c r="CY694" s="11"/>
      <c r="CZ694" s="12"/>
      <c r="DA694" s="29"/>
      <c r="DB694" s="12"/>
      <c r="DC694" s="9"/>
      <c r="DD694" s="10"/>
      <c r="DE694" s="71"/>
      <c r="EO694" s="353" t="str">
        <f t="shared" si="89"/>
        <v>CESAR_BECERRIL</v>
      </c>
      <c r="EP694" s="350"/>
      <c r="EQ694" s="350" t="s">
        <v>4449</v>
      </c>
      <c r="ER694" s="358" t="s">
        <v>4450</v>
      </c>
      <c r="ES694" s="350" t="s">
        <v>5359</v>
      </c>
      <c r="ET694" s="350" t="s">
        <v>3346</v>
      </c>
      <c r="EU694" s="350" t="str">
        <f t="shared" si="88"/>
        <v>Magdalena_Tenerife</v>
      </c>
    </row>
    <row r="695" spans="1:151" ht="38.25" x14ac:dyDescent="0.2">
      <c r="A695" s="242">
        <v>40349</v>
      </c>
      <c r="B695" s="107" t="s">
        <v>2007</v>
      </c>
      <c r="C695" s="107" t="s">
        <v>1100</v>
      </c>
      <c r="D695" s="427" t="s">
        <v>837</v>
      </c>
      <c r="E695" s="107" t="str">
        <f>VLOOKUP(B695&amp;C695,Divipola!$C$2:$F$1138,4,FALSE)</f>
        <v>25320</v>
      </c>
      <c r="F695" s="330"/>
      <c r="G695" s="224"/>
      <c r="H695" s="75"/>
      <c r="I695" s="75">
        <v>1</v>
      </c>
      <c r="J695" s="75"/>
      <c r="K695" s="75"/>
      <c r="L695" s="75"/>
      <c r="M695" s="75"/>
      <c r="N695" s="75"/>
      <c r="O695" s="75"/>
      <c r="P695" s="75"/>
      <c r="Q695" s="75"/>
      <c r="R695" s="75"/>
      <c r="S695" s="75"/>
      <c r="T695" s="75"/>
      <c r="U695" s="75"/>
      <c r="V695" s="76"/>
      <c r="W695" s="205"/>
      <c r="X695" s="1"/>
      <c r="Y695" s="78">
        <f t="shared" si="82"/>
        <v>0</v>
      </c>
      <c r="Z695" s="78">
        <f t="shared" si="83"/>
        <v>0</v>
      </c>
      <c r="AA695" s="78">
        <f t="shared" si="84"/>
        <v>0</v>
      </c>
      <c r="AB695" s="78">
        <f t="shared" si="85"/>
        <v>0</v>
      </c>
      <c r="AC695" s="78"/>
      <c r="AD695" s="78">
        <v>0</v>
      </c>
      <c r="AE695" s="80">
        <f t="shared" si="87"/>
        <v>0</v>
      </c>
      <c r="AF695" s="82">
        <v>0</v>
      </c>
      <c r="AG695" s="69">
        <v>40352</v>
      </c>
      <c r="AH695" s="84"/>
      <c r="AI695" s="69" t="s">
        <v>1984</v>
      </c>
      <c r="AJ695" s="25" t="s">
        <v>1985</v>
      </c>
      <c r="AK695" s="65"/>
      <c r="AL695" s="185" t="s">
        <v>1257</v>
      </c>
      <c r="AM695" s="85" t="s">
        <v>227</v>
      </c>
      <c r="AN695" s="3"/>
      <c r="AO695" s="4"/>
      <c r="AP695" s="5"/>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6"/>
      <c r="CQ695" s="7"/>
      <c r="CR695" s="6"/>
      <c r="CS695" s="7"/>
      <c r="CT695" s="6"/>
      <c r="CU695" s="7"/>
      <c r="CV695" s="8">
        <f t="shared" si="86"/>
        <v>0</v>
      </c>
      <c r="CW695" s="9"/>
      <c r="CX695" s="10"/>
      <c r="CY695" s="11"/>
      <c r="CZ695" s="12"/>
      <c r="DA695" s="29"/>
      <c r="DB695" s="12"/>
      <c r="DC695" s="9"/>
      <c r="DD695" s="10"/>
      <c r="DE695" s="71"/>
      <c r="EO695" s="353" t="str">
        <f t="shared" si="89"/>
        <v>CUNDINAMARCA_GUADUAS</v>
      </c>
      <c r="EP695" s="350"/>
      <c r="EQ695" s="350" t="s">
        <v>4449</v>
      </c>
      <c r="ER695" s="358" t="s">
        <v>4450</v>
      </c>
      <c r="ES695" s="350" t="s">
        <v>5360</v>
      </c>
      <c r="ET695" s="350" t="s">
        <v>3347</v>
      </c>
      <c r="EU695" s="350" t="str">
        <f t="shared" si="88"/>
        <v>Magdalena_Zapayan</v>
      </c>
    </row>
    <row r="696" spans="1:151" ht="38.25" x14ac:dyDescent="0.2">
      <c r="A696" s="242">
        <v>40349</v>
      </c>
      <c r="B696" s="107" t="s">
        <v>1333</v>
      </c>
      <c r="C696" s="107" t="s">
        <v>2680</v>
      </c>
      <c r="D696" s="427" t="s">
        <v>837</v>
      </c>
      <c r="E696" s="107" t="str">
        <f>VLOOKUP(B696&amp;C696,Divipola!$C$2:$F$1138,4,FALSE)</f>
        <v>41306</v>
      </c>
      <c r="F696" s="330"/>
      <c r="G696" s="224">
        <v>1</v>
      </c>
      <c r="H696" s="75"/>
      <c r="I696" s="75"/>
      <c r="J696" s="75"/>
      <c r="K696" s="75"/>
      <c r="L696" s="75"/>
      <c r="M696" s="75"/>
      <c r="N696" s="75"/>
      <c r="O696" s="75"/>
      <c r="P696" s="75"/>
      <c r="Q696" s="75"/>
      <c r="R696" s="75"/>
      <c r="S696" s="75"/>
      <c r="T696" s="75"/>
      <c r="U696" s="75"/>
      <c r="V696" s="76"/>
      <c r="W696" s="205"/>
      <c r="X696" s="1"/>
      <c r="Y696" s="78">
        <f t="shared" si="82"/>
        <v>0</v>
      </c>
      <c r="Z696" s="78">
        <f t="shared" si="83"/>
        <v>0</v>
      </c>
      <c r="AA696" s="78">
        <f t="shared" si="84"/>
        <v>0</v>
      </c>
      <c r="AB696" s="78">
        <f t="shared" si="85"/>
        <v>0</v>
      </c>
      <c r="AC696" s="78"/>
      <c r="AD696" s="78">
        <v>0</v>
      </c>
      <c r="AE696" s="80">
        <f t="shared" si="87"/>
        <v>0</v>
      </c>
      <c r="AF696" s="82">
        <v>0</v>
      </c>
      <c r="AG696" s="69">
        <v>40350</v>
      </c>
      <c r="AH696" s="84"/>
      <c r="AI696" s="69" t="s">
        <v>1984</v>
      </c>
      <c r="AJ696" s="25" t="s">
        <v>1985</v>
      </c>
      <c r="AK696" s="65"/>
      <c r="AL696" s="185" t="s">
        <v>1257</v>
      </c>
      <c r="AM696" s="85" t="s">
        <v>990</v>
      </c>
      <c r="AN696" s="3"/>
      <c r="AO696" s="4"/>
      <c r="AP696" s="5"/>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6"/>
      <c r="CQ696" s="7"/>
      <c r="CR696" s="6"/>
      <c r="CS696" s="7"/>
      <c r="CT696" s="6"/>
      <c r="CU696" s="7"/>
      <c r="CV696" s="8">
        <f t="shared" si="86"/>
        <v>0</v>
      </c>
      <c r="CW696" s="9"/>
      <c r="CX696" s="10"/>
      <c r="CY696" s="11"/>
      <c r="CZ696" s="12"/>
      <c r="DA696" s="29"/>
      <c r="DB696" s="12"/>
      <c r="DC696" s="9"/>
      <c r="DD696" s="10"/>
      <c r="DE696" s="71"/>
      <c r="EO696" s="353" t="str">
        <f t="shared" si="89"/>
        <v>HUILA_GIGANTE</v>
      </c>
      <c r="EP696" s="350"/>
      <c r="EQ696" s="350" t="s">
        <v>4449</v>
      </c>
      <c r="ER696" s="358" t="s">
        <v>4450</v>
      </c>
      <c r="ES696" s="350" t="s">
        <v>5361</v>
      </c>
      <c r="ET696" s="350" t="s">
        <v>3348</v>
      </c>
      <c r="EU696" s="350" t="str">
        <f t="shared" si="88"/>
        <v>Magdalena_Zona Bananera</v>
      </c>
    </row>
    <row r="697" spans="1:151" ht="25.5" x14ac:dyDescent="0.2">
      <c r="A697" s="242">
        <v>40349</v>
      </c>
      <c r="B697" s="107" t="s">
        <v>1333</v>
      </c>
      <c r="C697" s="107" t="s">
        <v>226</v>
      </c>
      <c r="D697" s="427" t="s">
        <v>2307</v>
      </c>
      <c r="E697" s="107" t="str">
        <f>VLOOKUP(B697&amp;C697,Divipola!$C$2:$F$1138,4,FALSE)</f>
        <v>41001</v>
      </c>
      <c r="F697" s="330"/>
      <c r="G697" s="224"/>
      <c r="H697" s="75"/>
      <c r="I697" s="75"/>
      <c r="J697" s="75">
        <v>5</v>
      </c>
      <c r="K697" s="75">
        <v>1</v>
      </c>
      <c r="L697" s="75">
        <v>1</v>
      </c>
      <c r="M697" s="75"/>
      <c r="N697" s="75"/>
      <c r="O697" s="75"/>
      <c r="P697" s="75"/>
      <c r="Q697" s="75"/>
      <c r="R697" s="75"/>
      <c r="S697" s="75"/>
      <c r="T697" s="75"/>
      <c r="U697" s="75"/>
      <c r="V697" s="76"/>
      <c r="W697" s="205"/>
      <c r="X697" s="1"/>
      <c r="Y697" s="78">
        <f t="shared" si="82"/>
        <v>0</v>
      </c>
      <c r="Z697" s="78">
        <f t="shared" si="83"/>
        <v>0</v>
      </c>
      <c r="AA697" s="78">
        <f t="shared" si="84"/>
        <v>0</v>
      </c>
      <c r="AB697" s="78">
        <f t="shared" si="85"/>
        <v>0</v>
      </c>
      <c r="AC697" s="78"/>
      <c r="AD697" s="78">
        <v>0</v>
      </c>
      <c r="AE697" s="80">
        <f t="shared" si="87"/>
        <v>0</v>
      </c>
      <c r="AF697" s="82">
        <v>0</v>
      </c>
      <c r="AG697" s="69">
        <v>40352</v>
      </c>
      <c r="AH697" s="84"/>
      <c r="AI697" s="69" t="s">
        <v>1984</v>
      </c>
      <c r="AJ697" s="25" t="s">
        <v>1985</v>
      </c>
      <c r="AK697" s="65"/>
      <c r="AL697" s="185" t="s">
        <v>1257</v>
      </c>
      <c r="AM697" s="85" t="s">
        <v>1268</v>
      </c>
      <c r="AN697" s="3"/>
      <c r="AO697" s="4"/>
      <c r="AP697" s="5"/>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6"/>
      <c r="CQ697" s="7"/>
      <c r="CR697" s="6"/>
      <c r="CS697" s="7"/>
      <c r="CT697" s="6"/>
      <c r="CU697" s="7"/>
      <c r="CV697" s="8">
        <f t="shared" si="86"/>
        <v>0</v>
      </c>
      <c r="CW697" s="9"/>
      <c r="CX697" s="10"/>
      <c r="CY697" s="11"/>
      <c r="CZ697" s="12"/>
      <c r="DA697" s="29"/>
      <c r="DB697" s="12"/>
      <c r="DC697" s="9"/>
      <c r="DD697" s="10"/>
      <c r="DE697" s="71"/>
      <c r="EO697" s="353" t="str">
        <f t="shared" si="89"/>
        <v>HUILA_NEIVA</v>
      </c>
      <c r="EP697" s="350"/>
      <c r="EQ697" s="350" t="s">
        <v>4466</v>
      </c>
      <c r="ER697" s="358" t="s">
        <v>3349</v>
      </c>
      <c r="ES697" s="350" t="s">
        <v>5362</v>
      </c>
      <c r="ET697" s="350" t="s">
        <v>3350</v>
      </c>
      <c r="EU697" s="350" t="str">
        <f t="shared" si="88"/>
        <v>Meta_Villavicencio</v>
      </c>
    </row>
    <row r="698" spans="1:151" ht="38.25" x14ac:dyDescent="0.2">
      <c r="A698" s="242">
        <v>40349</v>
      </c>
      <c r="B698" s="107" t="s">
        <v>5778</v>
      </c>
      <c r="C698" s="107" t="s">
        <v>167</v>
      </c>
      <c r="D698" s="427" t="s">
        <v>1993</v>
      </c>
      <c r="E698" s="107" t="str">
        <f>VLOOKUP(B698&amp;C698,Divipola!$C$2:$F$1138,4,FALSE)</f>
        <v>44090</v>
      </c>
      <c r="F698" s="330"/>
      <c r="G698" s="224">
        <v>2</v>
      </c>
      <c r="H698" s="75">
        <v>1</v>
      </c>
      <c r="I698" s="75"/>
      <c r="J698" s="75">
        <v>75</v>
      </c>
      <c r="K698" s="75">
        <v>15</v>
      </c>
      <c r="L698" s="75"/>
      <c r="M698" s="75"/>
      <c r="N698" s="75"/>
      <c r="O698" s="75"/>
      <c r="P698" s="75"/>
      <c r="Q698" s="75"/>
      <c r="R698" s="75"/>
      <c r="S698" s="75"/>
      <c r="T698" s="75"/>
      <c r="U698" s="75"/>
      <c r="V698" s="76"/>
      <c r="W698" s="205"/>
      <c r="X698" s="1"/>
      <c r="Y698" s="78">
        <f t="shared" si="82"/>
        <v>0</v>
      </c>
      <c r="Z698" s="78">
        <f t="shared" si="83"/>
        <v>0</v>
      </c>
      <c r="AA698" s="78">
        <f t="shared" si="84"/>
        <v>0</v>
      </c>
      <c r="AB698" s="78">
        <f t="shared" si="85"/>
        <v>0</v>
      </c>
      <c r="AC698" s="78"/>
      <c r="AD698" s="78">
        <v>0</v>
      </c>
      <c r="AE698" s="80">
        <f t="shared" si="87"/>
        <v>0</v>
      </c>
      <c r="AF698" s="82">
        <v>0</v>
      </c>
      <c r="AG698" s="69">
        <v>40350</v>
      </c>
      <c r="AH698" s="84"/>
      <c r="AI698" s="69" t="s">
        <v>1984</v>
      </c>
      <c r="AJ698" s="25" t="s">
        <v>1985</v>
      </c>
      <c r="AK698" s="65"/>
      <c r="AL698" s="185" t="s">
        <v>1257</v>
      </c>
      <c r="AM698" s="85" t="s">
        <v>998</v>
      </c>
      <c r="AN698" s="3"/>
      <c r="AO698" s="4"/>
      <c r="AP698" s="5"/>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6"/>
      <c r="CQ698" s="7"/>
      <c r="CR698" s="6"/>
      <c r="CS698" s="7"/>
      <c r="CT698" s="6"/>
      <c r="CU698" s="7"/>
      <c r="CV698" s="8">
        <f t="shared" si="86"/>
        <v>0</v>
      </c>
      <c r="CW698" s="9"/>
      <c r="CX698" s="10"/>
      <c r="CY698" s="11"/>
      <c r="CZ698" s="12"/>
      <c r="DA698" s="29"/>
      <c r="DB698" s="12"/>
      <c r="DC698" s="9"/>
      <c r="DD698" s="10"/>
      <c r="DE698" s="71"/>
      <c r="DF698" s="23">
        <v>1122</v>
      </c>
      <c r="EO698" s="353" t="str">
        <f t="shared" si="89"/>
        <v>LA GUAJIRA_DIBULLA</v>
      </c>
      <c r="EP698" s="350"/>
      <c r="EQ698" s="350" t="s">
        <v>4466</v>
      </c>
      <c r="ER698" s="358" t="s">
        <v>3349</v>
      </c>
      <c r="ES698" s="350" t="s">
        <v>5363</v>
      </c>
      <c r="ET698" s="350" t="s">
        <v>3351</v>
      </c>
      <c r="EU698" s="350" t="str">
        <f t="shared" si="88"/>
        <v>Meta_Acacias</v>
      </c>
    </row>
    <row r="699" spans="1:151" ht="60" x14ac:dyDescent="0.2">
      <c r="A699" s="242">
        <v>40349</v>
      </c>
      <c r="B699" s="107" t="s">
        <v>1836</v>
      </c>
      <c r="C699" s="107" t="s">
        <v>996</v>
      </c>
      <c r="D699" s="427" t="s">
        <v>837</v>
      </c>
      <c r="E699" s="107" t="str">
        <f>VLOOKUP(B699&amp;C699,Divipola!$C$2:$F$1138,4,FALSE)</f>
        <v>47555</v>
      </c>
      <c r="F699" s="330"/>
      <c r="G699" s="224"/>
      <c r="H699" s="75"/>
      <c r="I699" s="75"/>
      <c r="J699" s="75">
        <f>27650-4700-175-329</f>
        <v>22446</v>
      </c>
      <c r="K699" s="75">
        <f>5530-940-35-47</f>
        <v>4508</v>
      </c>
      <c r="L699" s="75"/>
      <c r="M699" s="75">
        <v>4508</v>
      </c>
      <c r="N699" s="75"/>
      <c r="O699" s="75"/>
      <c r="P699" s="75"/>
      <c r="Q699" s="75"/>
      <c r="R699" s="75"/>
      <c r="S699" s="75"/>
      <c r="T699" s="75"/>
      <c r="U699" s="75"/>
      <c r="V699" s="76"/>
      <c r="W699" s="205"/>
      <c r="X699" s="1"/>
      <c r="Y699" s="78">
        <f t="shared" si="82"/>
        <v>105150000</v>
      </c>
      <c r="Z699" s="78">
        <f t="shared" si="83"/>
        <v>715955000</v>
      </c>
      <c r="AA699" s="78">
        <f t="shared" si="84"/>
        <v>0</v>
      </c>
      <c r="AB699" s="78">
        <f t="shared" si="85"/>
        <v>0</v>
      </c>
      <c r="AC699" s="78"/>
      <c r="AD699" s="78">
        <v>0</v>
      </c>
      <c r="AE699" s="80">
        <f t="shared" si="87"/>
        <v>821105000</v>
      </c>
      <c r="AF699" s="82">
        <v>0</v>
      </c>
      <c r="AG699" s="69">
        <v>40350</v>
      </c>
      <c r="AH699" s="84">
        <v>39941</v>
      </c>
      <c r="AI699" s="69" t="s">
        <v>2009</v>
      </c>
      <c r="AJ699" s="25" t="s">
        <v>2010</v>
      </c>
      <c r="AK699" s="65"/>
      <c r="AL699" s="214" t="s">
        <v>1183</v>
      </c>
      <c r="AM699" s="85" t="s">
        <v>223</v>
      </c>
      <c r="AN699" s="3"/>
      <c r="AO699" s="4"/>
      <c r="AP699" s="5"/>
      <c r="AQ699" s="4"/>
      <c r="AR699" s="4"/>
      <c r="AS699" s="4"/>
      <c r="AT699" s="4"/>
      <c r="AU699" s="4"/>
      <c r="AV699" s="4"/>
      <c r="AW699" s="4"/>
      <c r="AX699" s="4"/>
      <c r="AY699" s="4"/>
      <c r="AZ699" s="4"/>
      <c r="BA699" s="4"/>
      <c r="BB699" s="4"/>
      <c r="BC699" s="4"/>
      <c r="BD699" s="4"/>
      <c r="BE699" s="4"/>
      <c r="BF699" s="4"/>
      <c r="BG699" s="4"/>
      <c r="BH699" s="4"/>
      <c r="BI699" s="4"/>
      <c r="BJ699" s="4"/>
      <c r="BK699" s="4"/>
      <c r="BL699" s="4">
        <v>500</v>
      </c>
      <c r="BM699" s="4">
        <f>500*25500</f>
        <v>12750000</v>
      </c>
      <c r="BN699" s="4"/>
      <c r="BO699" s="4"/>
      <c r="BP699" s="4"/>
      <c r="BQ699" s="4"/>
      <c r="BR699" s="4"/>
      <c r="BS699" s="4"/>
      <c r="BT699" s="4"/>
      <c r="BU699" s="4"/>
      <c r="BV699" s="4"/>
      <c r="BW699" s="4"/>
      <c r="BX699" s="4"/>
      <c r="BY699" s="4"/>
      <c r="BZ699" s="4">
        <v>20</v>
      </c>
      <c r="CA699" s="4">
        <f>20*470000</f>
        <v>9400000</v>
      </c>
      <c r="CB699" s="4"/>
      <c r="CC699" s="4"/>
      <c r="CD699" s="4"/>
      <c r="CE699" s="4"/>
      <c r="CF699" s="4"/>
      <c r="CG699" s="4"/>
      <c r="CH699" s="4"/>
      <c r="CI699" s="4"/>
      <c r="CJ699" s="4"/>
      <c r="CK699" s="4"/>
      <c r="CL699" s="4"/>
      <c r="CM699" s="4"/>
      <c r="CN699" s="4">
        <v>500</v>
      </c>
      <c r="CO699" s="4">
        <f>500*18000</f>
        <v>9000000</v>
      </c>
      <c r="CP699" s="6">
        <v>2000</v>
      </c>
      <c r="CQ699" s="7">
        <f>2000*37000</f>
        <v>74000000</v>
      </c>
      <c r="CR699" s="6"/>
      <c r="CS699" s="7"/>
      <c r="CT699" s="6"/>
      <c r="CU699" s="7"/>
      <c r="CV699" s="8">
        <f t="shared" si="86"/>
        <v>105150000</v>
      </c>
      <c r="CW699" s="9"/>
      <c r="CX699" s="10"/>
      <c r="CY699" s="11">
        <v>8423</v>
      </c>
      <c r="CZ699" s="12">
        <f>8423*85000</f>
        <v>715955000</v>
      </c>
      <c r="DA699" s="29"/>
      <c r="DB699" s="12"/>
      <c r="DC699" s="9"/>
      <c r="DD699" s="10"/>
      <c r="DE699" s="71"/>
      <c r="EO699" s="353" t="str">
        <f t="shared" si="89"/>
        <v>MAGDALENA_PLATO</v>
      </c>
      <c r="EP699" s="350"/>
      <c r="EQ699" s="350" t="s">
        <v>4466</v>
      </c>
      <c r="ER699" s="358" t="s">
        <v>3349</v>
      </c>
      <c r="ES699" s="350" t="s">
        <v>5364</v>
      </c>
      <c r="ET699" s="350" t="s">
        <v>3352</v>
      </c>
      <c r="EU699" s="350" t="str">
        <f t="shared" si="88"/>
        <v>Meta_Barranca de Upia</v>
      </c>
    </row>
    <row r="700" spans="1:151" ht="38.25" x14ac:dyDescent="0.2">
      <c r="A700" s="242">
        <v>40349</v>
      </c>
      <c r="B700" s="107" t="s">
        <v>2012</v>
      </c>
      <c r="C700" s="107" t="s">
        <v>2183</v>
      </c>
      <c r="D700" s="427" t="s">
        <v>837</v>
      </c>
      <c r="E700" s="107" t="str">
        <f>VLOOKUP(B700&amp;C700,Divipola!$C$2:$F$1138,4,FALSE)</f>
        <v>66088</v>
      </c>
      <c r="F700" s="330"/>
      <c r="G700" s="224"/>
      <c r="H700" s="75"/>
      <c r="I700" s="75"/>
      <c r="J700" s="75"/>
      <c r="K700" s="75"/>
      <c r="L700" s="75"/>
      <c r="M700" s="75"/>
      <c r="N700" s="75"/>
      <c r="O700" s="75"/>
      <c r="P700" s="75"/>
      <c r="Q700" s="75">
        <v>1</v>
      </c>
      <c r="R700" s="75"/>
      <c r="S700" s="75"/>
      <c r="T700" s="75"/>
      <c r="U700" s="75"/>
      <c r="V700" s="76"/>
      <c r="W700" s="205"/>
      <c r="X700" s="1"/>
      <c r="Y700" s="78">
        <f t="shared" si="82"/>
        <v>0</v>
      </c>
      <c r="Z700" s="78">
        <f t="shared" si="83"/>
        <v>0</v>
      </c>
      <c r="AA700" s="78">
        <f t="shared" si="84"/>
        <v>0</v>
      </c>
      <c r="AB700" s="78">
        <f t="shared" si="85"/>
        <v>0</v>
      </c>
      <c r="AC700" s="78"/>
      <c r="AD700" s="78">
        <v>0</v>
      </c>
      <c r="AE700" s="80">
        <f t="shared" si="87"/>
        <v>0</v>
      </c>
      <c r="AF700" s="82">
        <v>0</v>
      </c>
      <c r="AG700" s="69">
        <v>40350</v>
      </c>
      <c r="AH700" s="84"/>
      <c r="AI700" s="69" t="s">
        <v>1984</v>
      </c>
      <c r="AJ700" s="25" t="s">
        <v>1985</v>
      </c>
      <c r="AK700" s="65"/>
      <c r="AL700" s="185" t="s">
        <v>1257</v>
      </c>
      <c r="AM700" s="85" t="s">
        <v>1753</v>
      </c>
      <c r="AN700" s="3"/>
      <c r="AO700" s="4"/>
      <c r="AP700" s="5"/>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6"/>
      <c r="CQ700" s="7"/>
      <c r="CR700" s="6"/>
      <c r="CS700" s="7"/>
      <c r="CT700" s="6"/>
      <c r="CU700" s="7"/>
      <c r="CV700" s="8">
        <f t="shared" si="86"/>
        <v>0</v>
      </c>
      <c r="CW700" s="9"/>
      <c r="CX700" s="10"/>
      <c r="CY700" s="11"/>
      <c r="CZ700" s="12"/>
      <c r="DA700" s="29"/>
      <c r="DB700" s="12"/>
      <c r="DC700" s="9"/>
      <c r="DD700" s="10"/>
      <c r="DE700" s="71"/>
      <c r="EO700" s="353" t="str">
        <f t="shared" si="89"/>
        <v>RISARALDA_BELEN DE UMBRIA</v>
      </c>
      <c r="EP700" s="350"/>
      <c r="EQ700" s="350" t="s">
        <v>4466</v>
      </c>
      <c r="ER700" s="358" t="s">
        <v>3349</v>
      </c>
      <c r="ES700" s="350" t="s">
        <v>5365</v>
      </c>
      <c r="ET700" s="350" t="s">
        <v>3353</v>
      </c>
      <c r="EU700" s="350" t="str">
        <f t="shared" si="88"/>
        <v>Meta_Cabuyaro</v>
      </c>
    </row>
    <row r="701" spans="1:151" ht="38.25" x14ac:dyDescent="0.2">
      <c r="A701" s="242">
        <v>40349</v>
      </c>
      <c r="B701" s="107" t="s">
        <v>2012</v>
      </c>
      <c r="C701" s="107" t="s">
        <v>2183</v>
      </c>
      <c r="D701" s="427" t="s">
        <v>837</v>
      </c>
      <c r="E701" s="107" t="str">
        <f>VLOOKUP(B701&amp;C701,Divipola!$C$2:$F$1138,4,FALSE)</f>
        <v>66088</v>
      </c>
      <c r="F701" s="330"/>
      <c r="G701" s="224"/>
      <c r="H701" s="75"/>
      <c r="I701" s="75"/>
      <c r="J701" s="75">
        <v>15</v>
      </c>
      <c r="K701" s="75">
        <v>3</v>
      </c>
      <c r="L701" s="75"/>
      <c r="M701" s="75">
        <v>3</v>
      </c>
      <c r="N701" s="75"/>
      <c r="O701" s="75"/>
      <c r="P701" s="75"/>
      <c r="Q701" s="75"/>
      <c r="R701" s="75"/>
      <c r="S701" s="75"/>
      <c r="T701" s="75"/>
      <c r="U701" s="75"/>
      <c r="V701" s="76"/>
      <c r="W701" s="205"/>
      <c r="X701" s="1"/>
      <c r="Y701" s="78">
        <f t="shared" si="82"/>
        <v>0</v>
      </c>
      <c r="Z701" s="78">
        <f t="shared" si="83"/>
        <v>0</v>
      </c>
      <c r="AA701" s="78">
        <f t="shared" si="84"/>
        <v>0</v>
      </c>
      <c r="AB701" s="78">
        <f t="shared" si="85"/>
        <v>0</v>
      </c>
      <c r="AC701" s="78"/>
      <c r="AD701" s="78">
        <v>0</v>
      </c>
      <c r="AE701" s="80">
        <f t="shared" si="87"/>
        <v>0</v>
      </c>
      <c r="AF701" s="82">
        <v>0</v>
      </c>
      <c r="AG701" s="69">
        <v>40350</v>
      </c>
      <c r="AH701" s="84"/>
      <c r="AI701" s="69" t="s">
        <v>1984</v>
      </c>
      <c r="AJ701" s="25" t="s">
        <v>1985</v>
      </c>
      <c r="AK701" s="65"/>
      <c r="AL701" s="185" t="s">
        <v>1257</v>
      </c>
      <c r="AM701" s="85" t="s">
        <v>1754</v>
      </c>
      <c r="AN701" s="3"/>
      <c r="AO701" s="4"/>
      <c r="AP701" s="5"/>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6"/>
      <c r="CQ701" s="7"/>
      <c r="CR701" s="6"/>
      <c r="CS701" s="7"/>
      <c r="CT701" s="6"/>
      <c r="CU701" s="7"/>
      <c r="CV701" s="8">
        <f t="shared" si="86"/>
        <v>0</v>
      </c>
      <c r="CW701" s="9"/>
      <c r="CX701" s="10"/>
      <c r="CY701" s="11"/>
      <c r="CZ701" s="12"/>
      <c r="DA701" s="29"/>
      <c r="DB701" s="12"/>
      <c r="DC701" s="9"/>
      <c r="DD701" s="10"/>
      <c r="DE701" s="71"/>
      <c r="EO701" s="353" t="str">
        <f t="shared" si="89"/>
        <v>RISARALDA_BELEN DE UMBRIA</v>
      </c>
      <c r="EP701" s="350"/>
      <c r="EQ701" s="350" t="s">
        <v>4466</v>
      </c>
      <c r="ER701" s="358" t="s">
        <v>3349</v>
      </c>
      <c r="ES701" s="350" t="s">
        <v>5366</v>
      </c>
      <c r="ET701" s="350" t="s">
        <v>3354</v>
      </c>
      <c r="EU701" s="350" t="str">
        <f t="shared" si="88"/>
        <v>Meta_Castilla la Nueva</v>
      </c>
    </row>
    <row r="702" spans="1:151" ht="48" x14ac:dyDescent="0.2">
      <c r="A702" s="242">
        <v>40349</v>
      </c>
      <c r="B702" s="107" t="s">
        <v>2372</v>
      </c>
      <c r="C702" s="107" t="s">
        <v>229</v>
      </c>
      <c r="D702" s="427" t="s">
        <v>837</v>
      </c>
      <c r="E702" s="107" t="str">
        <f>VLOOKUP(B702&amp;C702,Divipola!$C$2:$F$1138,4,FALSE)</f>
        <v>70265</v>
      </c>
      <c r="F702" s="330"/>
      <c r="G702" s="224"/>
      <c r="H702" s="75"/>
      <c r="I702" s="75"/>
      <c r="J702" s="75">
        <v>300</v>
      </c>
      <c r="K702" s="75">
        <v>60</v>
      </c>
      <c r="L702" s="75"/>
      <c r="M702" s="75"/>
      <c r="N702" s="75"/>
      <c r="O702" s="75"/>
      <c r="P702" s="75"/>
      <c r="Q702" s="75"/>
      <c r="R702" s="75"/>
      <c r="S702" s="75"/>
      <c r="T702" s="75"/>
      <c r="U702" s="75"/>
      <c r="V702" s="76">
        <v>35</v>
      </c>
      <c r="W702" s="205" t="s">
        <v>231</v>
      </c>
      <c r="X702" s="1"/>
      <c r="Y702" s="78">
        <f t="shared" si="82"/>
        <v>0</v>
      </c>
      <c r="Z702" s="78">
        <f t="shared" si="83"/>
        <v>0</v>
      </c>
      <c r="AA702" s="78">
        <f t="shared" si="84"/>
        <v>0</v>
      </c>
      <c r="AB702" s="78">
        <f t="shared" si="85"/>
        <v>0</v>
      </c>
      <c r="AC702" s="78"/>
      <c r="AD702" s="78">
        <v>0</v>
      </c>
      <c r="AE702" s="80">
        <f t="shared" si="87"/>
        <v>0</v>
      </c>
      <c r="AF702" s="82">
        <v>0</v>
      </c>
      <c r="AG702" s="69">
        <v>40352</v>
      </c>
      <c r="AH702" s="84"/>
      <c r="AI702" s="69" t="s">
        <v>1984</v>
      </c>
      <c r="AJ702" s="25" t="s">
        <v>1985</v>
      </c>
      <c r="AK702" s="65"/>
      <c r="AL702" s="185" t="s">
        <v>1257</v>
      </c>
      <c r="AM702" s="85" t="s">
        <v>230</v>
      </c>
      <c r="AN702" s="3"/>
      <c r="AO702" s="4"/>
      <c r="AP702" s="5"/>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6"/>
      <c r="CQ702" s="7"/>
      <c r="CR702" s="6"/>
      <c r="CS702" s="7"/>
      <c r="CT702" s="6"/>
      <c r="CU702" s="7"/>
      <c r="CV702" s="8">
        <f t="shared" si="86"/>
        <v>0</v>
      </c>
      <c r="CW702" s="9"/>
      <c r="CX702" s="10"/>
      <c r="CY702" s="11"/>
      <c r="CZ702" s="12"/>
      <c r="DA702" s="29"/>
      <c r="DB702" s="12"/>
      <c r="DC702" s="9"/>
      <c r="DD702" s="10"/>
      <c r="DE702" s="71"/>
      <c r="DG702" s="2">
        <f>90+136+450+236+150+136</f>
        <v>1198</v>
      </c>
      <c r="EO702" s="353" t="str">
        <f t="shared" si="89"/>
        <v>SUCRE_GUARANDA</v>
      </c>
      <c r="EP702" s="350"/>
      <c r="EQ702" s="350" t="s">
        <v>4466</v>
      </c>
      <c r="ER702" s="358" t="s">
        <v>3349</v>
      </c>
      <c r="ES702" s="350" t="s">
        <v>5367</v>
      </c>
      <c r="ET702" s="350" t="s">
        <v>3355</v>
      </c>
      <c r="EU702" s="350" t="str">
        <f t="shared" si="88"/>
        <v>Meta_Cubarral</v>
      </c>
    </row>
    <row r="703" spans="1:151" ht="63.75" x14ac:dyDescent="0.2">
      <c r="A703" s="242">
        <v>40349</v>
      </c>
      <c r="B703" s="107" t="s">
        <v>1462</v>
      </c>
      <c r="C703" s="107" t="s">
        <v>1944</v>
      </c>
      <c r="D703" s="427" t="s">
        <v>2209</v>
      </c>
      <c r="E703" s="107" t="str">
        <f>VLOOKUP(B703&amp;C703,Divipola!$C$2:$F$1138,4,FALSE)</f>
        <v>76109</v>
      </c>
      <c r="F703" s="330"/>
      <c r="G703" s="224"/>
      <c r="H703" s="75"/>
      <c r="I703" s="75"/>
      <c r="J703" s="75">
        <v>60</v>
      </c>
      <c r="K703" s="75">
        <v>12</v>
      </c>
      <c r="L703" s="75"/>
      <c r="M703" s="75">
        <v>12</v>
      </c>
      <c r="N703" s="75"/>
      <c r="O703" s="75"/>
      <c r="P703" s="75"/>
      <c r="Q703" s="75"/>
      <c r="R703" s="75"/>
      <c r="S703" s="75"/>
      <c r="T703" s="75"/>
      <c r="U703" s="75"/>
      <c r="V703" s="76"/>
      <c r="W703" s="205"/>
      <c r="X703" s="1"/>
      <c r="Y703" s="78">
        <f t="shared" si="82"/>
        <v>0</v>
      </c>
      <c r="Z703" s="78">
        <f t="shared" si="83"/>
        <v>0</v>
      </c>
      <c r="AA703" s="78">
        <f t="shared" si="84"/>
        <v>0</v>
      </c>
      <c r="AB703" s="78">
        <f t="shared" si="85"/>
        <v>0</v>
      </c>
      <c r="AC703" s="78"/>
      <c r="AD703" s="78">
        <v>0</v>
      </c>
      <c r="AE703" s="80">
        <f t="shared" si="87"/>
        <v>0</v>
      </c>
      <c r="AF703" s="82">
        <v>0</v>
      </c>
      <c r="AG703" s="69">
        <v>40350</v>
      </c>
      <c r="AH703" s="84"/>
      <c r="AI703" s="69" t="s">
        <v>1984</v>
      </c>
      <c r="AJ703" s="25" t="s">
        <v>1985</v>
      </c>
      <c r="AK703" s="65"/>
      <c r="AL703" s="185" t="s">
        <v>1257</v>
      </c>
      <c r="AM703" s="85" t="s">
        <v>212</v>
      </c>
      <c r="AN703" s="3"/>
      <c r="AO703" s="4"/>
      <c r="AP703" s="5"/>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6"/>
      <c r="CQ703" s="7"/>
      <c r="CR703" s="6"/>
      <c r="CS703" s="7"/>
      <c r="CT703" s="6"/>
      <c r="CU703" s="7"/>
      <c r="CV703" s="8">
        <f t="shared" si="86"/>
        <v>0</v>
      </c>
      <c r="CW703" s="9"/>
      <c r="CX703" s="10"/>
      <c r="CY703" s="11"/>
      <c r="CZ703" s="12"/>
      <c r="DA703" s="29"/>
      <c r="DB703" s="12"/>
      <c r="DC703" s="9"/>
      <c r="DD703" s="10"/>
      <c r="DE703" s="71"/>
      <c r="EO703" s="353" t="str">
        <f t="shared" si="89"/>
        <v>VALLE DEL CAUCA_BUENAVENTURA</v>
      </c>
      <c r="EP703" s="350"/>
      <c r="EQ703" s="350" t="s">
        <v>4466</v>
      </c>
      <c r="ER703" s="358" t="s">
        <v>3349</v>
      </c>
      <c r="ES703" s="350" t="s">
        <v>5368</v>
      </c>
      <c r="ET703" s="350" t="s">
        <v>3356</v>
      </c>
      <c r="EU703" s="350" t="str">
        <f t="shared" si="88"/>
        <v>Meta_Cumaral</v>
      </c>
    </row>
    <row r="704" spans="1:151" ht="51" x14ac:dyDescent="0.2">
      <c r="A704" s="242">
        <v>40349</v>
      </c>
      <c r="B704" s="107" t="s">
        <v>1462</v>
      </c>
      <c r="C704" s="107" t="s">
        <v>4615</v>
      </c>
      <c r="D704" s="427" t="s">
        <v>2307</v>
      </c>
      <c r="E704" s="107" t="str">
        <f>VLOOKUP(B704&amp;C704,Divipola!$C$2:$F$1138,4,FALSE)</f>
        <v>76001</v>
      </c>
      <c r="F704" s="330"/>
      <c r="G704" s="224"/>
      <c r="H704" s="75"/>
      <c r="I704" s="75"/>
      <c r="J704" s="75">
        <v>10</v>
      </c>
      <c r="K704" s="75">
        <v>2</v>
      </c>
      <c r="L704" s="75"/>
      <c r="M704" s="75">
        <v>2</v>
      </c>
      <c r="N704" s="75"/>
      <c r="O704" s="75"/>
      <c r="P704" s="75"/>
      <c r="Q704" s="75"/>
      <c r="R704" s="75"/>
      <c r="S704" s="75"/>
      <c r="T704" s="75"/>
      <c r="U704" s="75"/>
      <c r="V704" s="76"/>
      <c r="W704" s="205"/>
      <c r="X704" s="1"/>
      <c r="Y704" s="78">
        <f t="shared" si="82"/>
        <v>0</v>
      </c>
      <c r="Z704" s="78">
        <f t="shared" si="83"/>
        <v>0</v>
      </c>
      <c r="AA704" s="78">
        <f t="shared" si="84"/>
        <v>0</v>
      </c>
      <c r="AB704" s="78">
        <f t="shared" si="85"/>
        <v>0</v>
      </c>
      <c r="AC704" s="78"/>
      <c r="AD704" s="78">
        <v>0</v>
      </c>
      <c r="AE704" s="80">
        <f t="shared" si="87"/>
        <v>0</v>
      </c>
      <c r="AF704" s="82">
        <v>0</v>
      </c>
      <c r="AG704" s="69">
        <v>40350</v>
      </c>
      <c r="AH704" s="84"/>
      <c r="AI704" s="69" t="s">
        <v>1984</v>
      </c>
      <c r="AJ704" s="25" t="s">
        <v>1985</v>
      </c>
      <c r="AK704" s="65"/>
      <c r="AL704" s="185" t="s">
        <v>1257</v>
      </c>
      <c r="AM704" s="85" t="s">
        <v>991</v>
      </c>
      <c r="AN704" s="3"/>
      <c r="AO704" s="4"/>
      <c r="AP704" s="5"/>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6"/>
      <c r="CQ704" s="7"/>
      <c r="CR704" s="6"/>
      <c r="CS704" s="7"/>
      <c r="CT704" s="6"/>
      <c r="CU704" s="7"/>
      <c r="CV704" s="8">
        <f t="shared" si="86"/>
        <v>0</v>
      </c>
      <c r="CW704" s="9"/>
      <c r="CX704" s="10"/>
      <c r="CY704" s="11"/>
      <c r="CZ704" s="12"/>
      <c r="DA704" s="29"/>
      <c r="DB704" s="12"/>
      <c r="DC704" s="9"/>
      <c r="DD704" s="10"/>
      <c r="DE704" s="71"/>
      <c r="EO704" s="353" t="str">
        <f t="shared" si="89"/>
        <v>VALLE DEL CAUCA_CALI</v>
      </c>
      <c r="EP704" s="350"/>
      <c r="EQ704" s="350" t="s">
        <v>4466</v>
      </c>
      <c r="ER704" s="358" t="s">
        <v>3349</v>
      </c>
      <c r="ES704" s="350" t="s">
        <v>5369</v>
      </c>
      <c r="ET704" s="350" t="s">
        <v>3357</v>
      </c>
      <c r="EU704" s="350" t="str">
        <f t="shared" si="88"/>
        <v>Meta_El Calvario</v>
      </c>
    </row>
    <row r="705" spans="1:151" ht="38.25" x14ac:dyDescent="0.2">
      <c r="A705" s="242">
        <v>40350</v>
      </c>
      <c r="B705" s="107" t="s">
        <v>6305</v>
      </c>
      <c r="C705" s="107" t="s">
        <v>6305</v>
      </c>
      <c r="D705" s="427" t="s">
        <v>1721</v>
      </c>
      <c r="E705" s="107" t="str">
        <f>VLOOKUP(B705&amp;C705,Divipola!$C$2:$F$1138,4,FALSE)</f>
        <v>11001</v>
      </c>
      <c r="F705" s="330"/>
      <c r="G705" s="224"/>
      <c r="H705" s="75"/>
      <c r="I705" s="75"/>
      <c r="J705" s="75">
        <v>5</v>
      </c>
      <c r="K705" s="75">
        <v>1</v>
      </c>
      <c r="L705" s="75"/>
      <c r="M705" s="75">
        <v>1</v>
      </c>
      <c r="N705" s="75"/>
      <c r="O705" s="75"/>
      <c r="P705" s="75"/>
      <c r="Q705" s="75"/>
      <c r="R705" s="75"/>
      <c r="S705" s="75"/>
      <c r="T705" s="75"/>
      <c r="U705" s="75"/>
      <c r="V705" s="76"/>
      <c r="W705" s="205" t="s">
        <v>225</v>
      </c>
      <c r="X705" s="1"/>
      <c r="Y705" s="78">
        <f t="shared" si="82"/>
        <v>0</v>
      </c>
      <c r="Z705" s="78">
        <f t="shared" si="83"/>
        <v>0</v>
      </c>
      <c r="AA705" s="78">
        <f t="shared" si="84"/>
        <v>0</v>
      </c>
      <c r="AB705" s="78">
        <f t="shared" si="85"/>
        <v>0</v>
      </c>
      <c r="AC705" s="78"/>
      <c r="AD705" s="78">
        <v>0</v>
      </c>
      <c r="AE705" s="80">
        <f t="shared" si="87"/>
        <v>0</v>
      </c>
      <c r="AF705" s="82">
        <v>0</v>
      </c>
      <c r="AG705" s="69">
        <v>40352</v>
      </c>
      <c r="AH705" s="84"/>
      <c r="AI705" s="69" t="s">
        <v>1984</v>
      </c>
      <c r="AJ705" s="25" t="s">
        <v>1985</v>
      </c>
      <c r="AK705" s="65"/>
      <c r="AL705" s="185" t="s">
        <v>1257</v>
      </c>
      <c r="AM705" s="85" t="s">
        <v>224</v>
      </c>
      <c r="AN705" s="3"/>
      <c r="AO705" s="4"/>
      <c r="AP705" s="5"/>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6"/>
      <c r="CQ705" s="7"/>
      <c r="CR705" s="6"/>
      <c r="CS705" s="7"/>
      <c r="CT705" s="6"/>
      <c r="CU705" s="7"/>
      <c r="CV705" s="8">
        <f t="shared" si="86"/>
        <v>0</v>
      </c>
      <c r="CW705" s="9"/>
      <c r="CX705" s="10"/>
      <c r="CY705" s="11"/>
      <c r="CZ705" s="12"/>
      <c r="DA705" s="29"/>
      <c r="DB705" s="12"/>
      <c r="DC705" s="9"/>
      <c r="DD705" s="10"/>
      <c r="DE705" s="71"/>
      <c r="EO705" s="353" t="str">
        <f t="shared" si="89"/>
        <v>BOGOTA, D.C._BOGOTA, D.C.</v>
      </c>
      <c r="EP705" s="350"/>
      <c r="EQ705" s="350" t="s">
        <v>4466</v>
      </c>
      <c r="ER705" s="358" t="s">
        <v>3349</v>
      </c>
      <c r="ES705" s="350" t="s">
        <v>5370</v>
      </c>
      <c r="ET705" s="350" t="s">
        <v>3358</v>
      </c>
      <c r="EU705" s="350" t="str">
        <f t="shared" si="88"/>
        <v>Meta_El Castillo</v>
      </c>
    </row>
    <row r="706" spans="1:151" ht="38.25" x14ac:dyDescent="0.2">
      <c r="A706" s="242">
        <v>40350</v>
      </c>
      <c r="B706" s="107" t="s">
        <v>2017</v>
      </c>
      <c r="C706" s="107" t="s">
        <v>855</v>
      </c>
      <c r="D706" s="427" t="s">
        <v>2209</v>
      </c>
      <c r="E706" s="107" t="str">
        <f>VLOOKUP(B706&amp;C706,Divipola!$C$2:$F$1138,4,FALSE)</f>
        <v>13458</v>
      </c>
      <c r="F706" s="330"/>
      <c r="G706" s="224"/>
      <c r="H706" s="75"/>
      <c r="I706" s="75"/>
      <c r="J706" s="75">
        <v>200</v>
      </c>
      <c r="K706" s="75">
        <v>40</v>
      </c>
      <c r="L706" s="75"/>
      <c r="M706" s="75">
        <v>40</v>
      </c>
      <c r="N706" s="75"/>
      <c r="O706" s="75"/>
      <c r="P706" s="75"/>
      <c r="Q706" s="75"/>
      <c r="R706" s="75"/>
      <c r="S706" s="75"/>
      <c r="T706" s="75"/>
      <c r="U706" s="75"/>
      <c r="V706" s="76"/>
      <c r="W706" s="205"/>
      <c r="X706" s="1"/>
      <c r="Y706" s="78">
        <f t="shared" si="82"/>
        <v>0</v>
      </c>
      <c r="Z706" s="78">
        <f t="shared" si="83"/>
        <v>0</v>
      </c>
      <c r="AA706" s="78">
        <f t="shared" si="84"/>
        <v>0</v>
      </c>
      <c r="AB706" s="78">
        <f t="shared" si="85"/>
        <v>0</v>
      </c>
      <c r="AC706" s="78"/>
      <c r="AD706" s="78">
        <v>0</v>
      </c>
      <c r="AE706" s="80">
        <f t="shared" si="87"/>
        <v>0</v>
      </c>
      <c r="AF706" s="82">
        <v>0</v>
      </c>
      <c r="AG706" s="69">
        <v>40353</v>
      </c>
      <c r="AH706" s="84"/>
      <c r="AI706" s="69" t="s">
        <v>1984</v>
      </c>
      <c r="AJ706" s="25" t="s">
        <v>1985</v>
      </c>
      <c r="AK706" s="65"/>
      <c r="AL706" s="185" t="s">
        <v>1257</v>
      </c>
      <c r="AM706" s="85"/>
      <c r="AN706" s="3"/>
      <c r="AO706" s="4"/>
      <c r="AP706" s="5"/>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6"/>
      <c r="CQ706" s="7"/>
      <c r="CR706" s="6"/>
      <c r="CS706" s="7"/>
      <c r="CT706" s="6"/>
      <c r="CU706" s="7"/>
      <c r="CV706" s="8">
        <f t="shared" si="86"/>
        <v>0</v>
      </c>
      <c r="CW706" s="9"/>
      <c r="CX706" s="10"/>
      <c r="CY706" s="11"/>
      <c r="CZ706" s="12"/>
      <c r="DA706" s="29"/>
      <c r="DB706" s="12"/>
      <c r="DC706" s="9"/>
      <c r="DD706" s="10"/>
      <c r="DE706" s="71"/>
      <c r="EO706" s="353" t="str">
        <f t="shared" si="89"/>
        <v>BOLIVAR_MONTECRISTO</v>
      </c>
      <c r="EP706" s="350"/>
      <c r="EQ706" s="350" t="s">
        <v>4466</v>
      </c>
      <c r="ER706" s="358" t="s">
        <v>3349</v>
      </c>
      <c r="ES706" s="350" t="s">
        <v>5371</v>
      </c>
      <c r="ET706" s="350" t="s">
        <v>3359</v>
      </c>
      <c r="EU706" s="350" t="str">
        <f t="shared" si="88"/>
        <v>Meta_El Dorado</v>
      </c>
    </row>
    <row r="707" spans="1:151" ht="36" x14ac:dyDescent="0.2">
      <c r="A707" s="246">
        <v>40352</v>
      </c>
      <c r="B707" s="238" t="s">
        <v>2401</v>
      </c>
      <c r="C707" s="238" t="s">
        <v>856</v>
      </c>
      <c r="D707" s="431" t="s">
        <v>837</v>
      </c>
      <c r="E707" s="107" t="str">
        <f>VLOOKUP(B707&amp;C707,Divipola!$C$2:$F$1138,4,FALSE)</f>
        <v>05088</v>
      </c>
      <c r="F707" s="334"/>
      <c r="G707" s="224"/>
      <c r="H707" s="75"/>
      <c r="I707" s="75"/>
      <c r="J707" s="75">
        <v>250</v>
      </c>
      <c r="K707" s="75">
        <v>50</v>
      </c>
      <c r="L707" s="75">
        <v>2</v>
      </c>
      <c r="M707" s="75">
        <v>48</v>
      </c>
      <c r="N707" s="75"/>
      <c r="O707" s="75"/>
      <c r="P707" s="75"/>
      <c r="Q707" s="75"/>
      <c r="R707" s="75"/>
      <c r="S707" s="75"/>
      <c r="T707" s="75"/>
      <c r="U707" s="75"/>
      <c r="V707" s="76"/>
      <c r="W707" s="205"/>
      <c r="X707" s="1"/>
      <c r="Y707" s="78">
        <f t="shared" ref="Y707:Y770" si="90">CV707</f>
        <v>0</v>
      </c>
      <c r="Z707" s="78">
        <f t="shared" ref="Z707:Z770" si="91">CZ707</f>
        <v>0</v>
      </c>
      <c r="AA707" s="78">
        <f t="shared" ref="AA707:AA731" si="92">DB707+DD707</f>
        <v>0</v>
      </c>
      <c r="AB707" s="78">
        <f t="shared" ref="AB707:AB770" si="93">CX707</f>
        <v>0</v>
      </c>
      <c r="AC707" s="78"/>
      <c r="AD707" s="78">
        <v>0</v>
      </c>
      <c r="AE707" s="80">
        <f t="shared" si="87"/>
        <v>0</v>
      </c>
      <c r="AF707" s="82">
        <v>0</v>
      </c>
      <c r="AG707" s="69">
        <v>40353</v>
      </c>
      <c r="AH707" s="84"/>
      <c r="AI707" s="69" t="s">
        <v>1984</v>
      </c>
      <c r="AJ707" s="25" t="s">
        <v>1985</v>
      </c>
      <c r="AK707" s="65"/>
      <c r="AL707" s="185" t="s">
        <v>1257</v>
      </c>
      <c r="AM707" s="85" t="s">
        <v>1724</v>
      </c>
      <c r="AN707" s="3"/>
      <c r="AO707" s="4"/>
      <c r="AP707" s="5"/>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6"/>
      <c r="CQ707" s="7"/>
      <c r="CR707" s="6"/>
      <c r="CS707" s="7"/>
      <c r="CT707" s="6"/>
      <c r="CU707" s="7"/>
      <c r="CV707" s="8">
        <f t="shared" ref="CV707:CV770" si="94">AO707+AQ707+AS707+AU707+AW707+AY707+BA707+BC707+BE707+BG707+BI707+BK707+BM707+BO707+BQ707+BS707+BU707+BW707+BY707+CA707+CC707+CE707+CG707+CI707+CK707+CM707+CO707+CQ707+CS707+CU707</f>
        <v>0</v>
      </c>
      <c r="CW707" s="9"/>
      <c r="CX707" s="10"/>
      <c r="CY707" s="11"/>
      <c r="CZ707" s="12"/>
      <c r="DA707" s="29"/>
      <c r="DB707" s="12"/>
      <c r="DC707" s="9"/>
      <c r="DD707" s="10"/>
      <c r="DE707" s="71"/>
      <c r="EO707" s="353" t="str">
        <f t="shared" si="89"/>
        <v>ANTIOQUIA_BELLO</v>
      </c>
      <c r="EP707" s="350"/>
      <c r="EQ707" s="350" t="s">
        <v>4466</v>
      </c>
      <c r="ER707" s="358" t="s">
        <v>3349</v>
      </c>
      <c r="ES707" s="350" t="s">
        <v>5372</v>
      </c>
      <c r="ET707" s="350" t="s">
        <v>3360</v>
      </c>
      <c r="EU707" s="350" t="str">
        <f t="shared" si="88"/>
        <v>Meta_Fuente de Oro</v>
      </c>
    </row>
    <row r="708" spans="1:151" ht="38.25" x14ac:dyDescent="0.2">
      <c r="A708" s="242">
        <v>40352</v>
      </c>
      <c r="B708" s="107" t="s">
        <v>6305</v>
      </c>
      <c r="C708" s="107" t="s">
        <v>6305</v>
      </c>
      <c r="D708" s="427" t="s">
        <v>1721</v>
      </c>
      <c r="E708" s="107" t="str">
        <f>VLOOKUP(B708&amp;C708,Divipola!$C$2:$F$1138,4,FALSE)</f>
        <v>11001</v>
      </c>
      <c r="F708" s="330"/>
      <c r="G708" s="224"/>
      <c r="H708" s="75"/>
      <c r="I708" s="75"/>
      <c r="J708" s="75">
        <v>5</v>
      </c>
      <c r="K708" s="75">
        <v>1</v>
      </c>
      <c r="L708" s="75"/>
      <c r="M708" s="75">
        <v>1</v>
      </c>
      <c r="N708" s="75"/>
      <c r="O708" s="75"/>
      <c r="P708" s="75"/>
      <c r="Q708" s="75"/>
      <c r="R708" s="75"/>
      <c r="S708" s="75"/>
      <c r="T708" s="75"/>
      <c r="U708" s="75"/>
      <c r="V708" s="76"/>
      <c r="W708" s="205"/>
      <c r="X708" s="1"/>
      <c r="Y708" s="78">
        <f t="shared" si="90"/>
        <v>0</v>
      </c>
      <c r="Z708" s="78">
        <f t="shared" si="91"/>
        <v>0</v>
      </c>
      <c r="AA708" s="78">
        <f t="shared" si="92"/>
        <v>0</v>
      </c>
      <c r="AB708" s="78">
        <f t="shared" si="93"/>
        <v>0</v>
      </c>
      <c r="AC708" s="78"/>
      <c r="AD708" s="78">
        <v>0</v>
      </c>
      <c r="AE708" s="80">
        <f t="shared" si="87"/>
        <v>0</v>
      </c>
      <c r="AF708" s="82">
        <v>0</v>
      </c>
      <c r="AG708" s="69">
        <v>40353</v>
      </c>
      <c r="AH708" s="84"/>
      <c r="AI708" s="69" t="s">
        <v>1984</v>
      </c>
      <c r="AJ708" s="25" t="s">
        <v>1985</v>
      </c>
      <c r="AK708" s="65"/>
      <c r="AL708" s="185" t="s">
        <v>1257</v>
      </c>
      <c r="AM708" s="85" t="s">
        <v>852</v>
      </c>
      <c r="AN708" s="3"/>
      <c r="AO708" s="4"/>
      <c r="AP708" s="5"/>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6"/>
      <c r="CQ708" s="7"/>
      <c r="CR708" s="6"/>
      <c r="CS708" s="7"/>
      <c r="CT708" s="6"/>
      <c r="CU708" s="7"/>
      <c r="CV708" s="8">
        <f t="shared" si="94"/>
        <v>0</v>
      </c>
      <c r="CW708" s="9"/>
      <c r="CX708" s="10"/>
      <c r="CY708" s="11"/>
      <c r="CZ708" s="12"/>
      <c r="DA708" s="29"/>
      <c r="DB708" s="12"/>
      <c r="DC708" s="9"/>
      <c r="DD708" s="10"/>
      <c r="DE708" s="71"/>
      <c r="EO708" s="353" t="str">
        <f t="shared" si="89"/>
        <v>BOGOTA, D.C._BOGOTA, D.C.</v>
      </c>
      <c r="EP708" s="350"/>
      <c r="EQ708" s="350" t="s">
        <v>4466</v>
      </c>
      <c r="ER708" s="358" t="s">
        <v>3349</v>
      </c>
      <c r="ES708" s="350" t="s">
        <v>5373</v>
      </c>
      <c r="ET708" s="350" t="s">
        <v>5880</v>
      </c>
      <c r="EU708" s="350" t="str">
        <f t="shared" si="88"/>
        <v>Meta_Granada</v>
      </c>
    </row>
    <row r="709" spans="1:151" ht="36" x14ac:dyDescent="0.2">
      <c r="A709" s="242">
        <v>40352</v>
      </c>
      <c r="B709" s="107" t="s">
        <v>828</v>
      </c>
      <c r="C709" s="107" t="s">
        <v>953</v>
      </c>
      <c r="D709" s="427" t="s">
        <v>2307</v>
      </c>
      <c r="E709" s="107" t="str">
        <f>VLOOKUP(B709&amp;C709,Divipola!$C$2:$F$1138,4,FALSE)</f>
        <v>15464</v>
      </c>
      <c r="F709" s="330"/>
      <c r="G709" s="224">
        <v>1</v>
      </c>
      <c r="H709" s="75"/>
      <c r="I709" s="75"/>
      <c r="J709" s="75">
        <v>5</v>
      </c>
      <c r="K709" s="75">
        <v>1</v>
      </c>
      <c r="L709" s="75">
        <v>1</v>
      </c>
      <c r="M709" s="75"/>
      <c r="N709" s="75"/>
      <c r="O709" s="75"/>
      <c r="P709" s="75"/>
      <c r="Q709" s="75"/>
      <c r="R709" s="75"/>
      <c r="S709" s="75"/>
      <c r="T709" s="75"/>
      <c r="U709" s="75"/>
      <c r="V709" s="76"/>
      <c r="W709" s="205"/>
      <c r="X709" s="1">
        <v>40530</v>
      </c>
      <c r="Y709" s="78">
        <f t="shared" si="90"/>
        <v>2305480.7999999998</v>
      </c>
      <c r="Z709" s="78">
        <f t="shared" si="91"/>
        <v>1275000</v>
      </c>
      <c r="AA709" s="78">
        <f t="shared" si="92"/>
        <v>0</v>
      </c>
      <c r="AB709" s="78">
        <f t="shared" si="93"/>
        <v>0</v>
      </c>
      <c r="AC709" s="78"/>
      <c r="AD709" s="78">
        <v>0</v>
      </c>
      <c r="AE709" s="80">
        <f t="shared" si="87"/>
        <v>3580480.8</v>
      </c>
      <c r="AF709" s="82">
        <v>0</v>
      </c>
      <c r="AG709" s="69">
        <v>40357</v>
      </c>
      <c r="AH709" s="84"/>
      <c r="AI709" s="69" t="s">
        <v>2009</v>
      </c>
      <c r="AJ709" s="25" t="s">
        <v>2010</v>
      </c>
      <c r="AK709" s="88" t="s">
        <v>72</v>
      </c>
      <c r="AL709" s="185" t="s">
        <v>1257</v>
      </c>
      <c r="AM709" s="85" t="s">
        <v>954</v>
      </c>
      <c r="AN709" s="3"/>
      <c r="AO709" s="4"/>
      <c r="AP709" s="5"/>
      <c r="AQ709" s="4"/>
      <c r="AR709" s="4"/>
      <c r="AS709" s="4"/>
      <c r="AT709" s="4"/>
      <c r="AU709" s="4"/>
      <c r="AV709" s="4"/>
      <c r="AW709" s="4"/>
      <c r="AX709" s="4"/>
      <c r="AY709" s="4"/>
      <c r="AZ709" s="4">
        <v>15</v>
      </c>
      <c r="BA709" s="4">
        <f>15*56000</f>
        <v>840000</v>
      </c>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v>15</v>
      </c>
      <c r="CK709" s="4">
        <f>15*20999.36</f>
        <v>314990.40000000002</v>
      </c>
      <c r="CL709" s="4"/>
      <c r="CM709" s="4"/>
      <c r="CN709" s="4"/>
      <c r="CO709" s="4"/>
      <c r="CP709" s="6">
        <v>15</v>
      </c>
      <c r="CQ709" s="7">
        <f>15*36999.36</f>
        <v>554990.4</v>
      </c>
      <c r="CR709" s="6">
        <v>15</v>
      </c>
      <c r="CS709" s="7">
        <f>15*39700</f>
        <v>595500</v>
      </c>
      <c r="CT709" s="6"/>
      <c r="CU709" s="7"/>
      <c r="CV709" s="8">
        <f t="shared" si="94"/>
        <v>2305480.7999999998</v>
      </c>
      <c r="CW709" s="9"/>
      <c r="CX709" s="10"/>
      <c r="CY709" s="11">
        <v>15</v>
      </c>
      <c r="CZ709" s="12">
        <f>15*85000</f>
        <v>1275000</v>
      </c>
      <c r="DA709" s="29"/>
      <c r="DB709" s="12"/>
      <c r="DC709" s="9"/>
      <c r="DD709" s="10"/>
      <c r="DE709" s="71"/>
      <c r="DF709" s="23">
        <v>1134</v>
      </c>
      <c r="EO709" s="353" t="str">
        <f t="shared" si="89"/>
        <v>BOYACA_MONGUA</v>
      </c>
      <c r="EP709" s="350"/>
      <c r="EQ709" s="350" t="s">
        <v>4466</v>
      </c>
      <c r="ER709" s="358" t="s">
        <v>3349</v>
      </c>
      <c r="ES709" s="350" t="s">
        <v>5374</v>
      </c>
      <c r="ET709" s="350" t="s">
        <v>3332</v>
      </c>
      <c r="EU709" s="350" t="str">
        <f t="shared" si="88"/>
        <v>Meta_Guamal</v>
      </c>
    </row>
    <row r="710" spans="1:151" ht="45" x14ac:dyDescent="0.2">
      <c r="A710" s="242">
        <v>40352</v>
      </c>
      <c r="B710" s="222" t="s">
        <v>1719</v>
      </c>
      <c r="C710" s="222" t="s">
        <v>2601</v>
      </c>
      <c r="D710" s="430" t="s">
        <v>837</v>
      </c>
      <c r="E710" s="107" t="str">
        <f>VLOOKUP(B710&amp;C710,Divipola!$C$2:$F$1138,4,FALSE)</f>
        <v>19513</v>
      </c>
      <c r="F710" s="333"/>
      <c r="G710" s="221"/>
      <c r="H710" s="157"/>
      <c r="I710" s="157"/>
      <c r="J710" s="157">
        <f>207*5</f>
        <v>1035</v>
      </c>
      <c r="K710" s="157">
        <f>314-107</f>
        <v>207</v>
      </c>
      <c r="L710" s="157"/>
      <c r="M710" s="157">
        <v>107</v>
      </c>
      <c r="N710" s="157"/>
      <c r="O710" s="157"/>
      <c r="P710" s="157"/>
      <c r="Q710" s="157"/>
      <c r="R710" s="157"/>
      <c r="S710" s="157"/>
      <c r="T710" s="157"/>
      <c r="U710" s="157"/>
      <c r="V710" s="158"/>
      <c r="W710" s="182"/>
      <c r="X710" s="1">
        <v>40514</v>
      </c>
      <c r="Y710" s="78">
        <f t="shared" si="90"/>
        <v>7029933.5</v>
      </c>
      <c r="Z710" s="78">
        <f t="shared" si="91"/>
        <v>8074853.7000000002</v>
      </c>
      <c r="AA710" s="78">
        <f t="shared" si="92"/>
        <v>3999988</v>
      </c>
      <c r="AB710" s="78">
        <f t="shared" si="93"/>
        <v>0</v>
      </c>
      <c r="AC710" s="78"/>
      <c r="AD710" s="78">
        <v>0</v>
      </c>
      <c r="AE710" s="80">
        <f t="shared" si="87"/>
        <v>19104775.199999999</v>
      </c>
      <c r="AF710" s="82">
        <v>0</v>
      </c>
      <c r="AG710" s="69">
        <v>40477</v>
      </c>
      <c r="AH710" s="84">
        <v>58951</v>
      </c>
      <c r="AI710" s="69" t="s">
        <v>2009</v>
      </c>
      <c r="AJ710" s="25" t="s">
        <v>2010</v>
      </c>
      <c r="AK710" s="65">
        <v>25682</v>
      </c>
      <c r="AL710" s="176" t="s">
        <v>2182</v>
      </c>
      <c r="AM710" s="173" t="s">
        <v>1519</v>
      </c>
      <c r="AN710" s="159"/>
      <c r="AO710" s="160"/>
      <c r="AP710" s="161"/>
      <c r="AQ710" s="160"/>
      <c r="AR710" s="160"/>
      <c r="AS710" s="160"/>
      <c r="AT710" s="160"/>
      <c r="AU710" s="160"/>
      <c r="AV710" s="160"/>
      <c r="AW710" s="160"/>
      <c r="AX710" s="160"/>
      <c r="AY710" s="160"/>
      <c r="AZ710" s="160"/>
      <c r="BA710" s="160"/>
      <c r="BB710" s="160"/>
      <c r="BC710" s="160"/>
      <c r="BD710" s="160"/>
      <c r="BE710" s="160"/>
      <c r="BF710" s="160"/>
      <c r="BG710" s="160"/>
      <c r="BH710" s="160"/>
      <c r="BI710" s="160"/>
      <c r="BJ710" s="160"/>
      <c r="BK710" s="160"/>
      <c r="BL710" s="160"/>
      <c r="BM710" s="160"/>
      <c r="BN710" s="160"/>
      <c r="BO710" s="160"/>
      <c r="BP710" s="160"/>
      <c r="BQ710" s="160"/>
      <c r="BR710" s="160"/>
      <c r="BS710" s="160"/>
      <c r="BT710" s="160"/>
      <c r="BU710" s="160"/>
      <c r="BV710" s="160"/>
      <c r="BW710" s="160"/>
      <c r="BX710" s="160"/>
      <c r="BY710" s="160"/>
      <c r="BZ710" s="160"/>
      <c r="CA710" s="160"/>
      <c r="CB710" s="160"/>
      <c r="CC710" s="160"/>
      <c r="CD710" s="160"/>
      <c r="CE710" s="160"/>
      <c r="CF710" s="160"/>
      <c r="CG710" s="160"/>
      <c r="CH710" s="160"/>
      <c r="CI710" s="160"/>
      <c r="CJ710" s="160"/>
      <c r="CK710" s="160"/>
      <c r="CL710" s="160"/>
      <c r="CM710" s="160"/>
      <c r="CN710" s="160"/>
      <c r="CO710" s="160"/>
      <c r="CP710" s="162">
        <v>95</v>
      </c>
      <c r="CQ710" s="163">
        <f>95*37999.86</f>
        <v>3609986.7</v>
      </c>
      <c r="CR710" s="162">
        <v>95</v>
      </c>
      <c r="CS710" s="163">
        <f>95*35999.44</f>
        <v>3419946.8000000003</v>
      </c>
      <c r="CT710" s="162"/>
      <c r="CU710" s="163"/>
      <c r="CV710" s="164">
        <f t="shared" si="94"/>
        <v>7029933.5</v>
      </c>
      <c r="CW710" s="165"/>
      <c r="CX710" s="166"/>
      <c r="CY710" s="167">
        <v>95</v>
      </c>
      <c r="CZ710" s="168">
        <f>95*84998.46</f>
        <v>8074853.7000000002</v>
      </c>
      <c r="DA710" s="169"/>
      <c r="DB710" s="168"/>
      <c r="DC710" s="165">
        <v>200</v>
      </c>
      <c r="DD710" s="166">
        <f>200*18999.98+800*249.99</f>
        <v>3999988</v>
      </c>
      <c r="DE710" s="71"/>
      <c r="DF710" s="170">
        <v>1363</v>
      </c>
      <c r="EO710" s="353" t="str">
        <f t="shared" si="89"/>
        <v>CAUCA_PADILLA</v>
      </c>
      <c r="EP710" s="350"/>
      <c r="EQ710" s="350" t="s">
        <v>4466</v>
      </c>
      <c r="ER710" s="358" t="s">
        <v>3349</v>
      </c>
      <c r="ES710" s="350" t="s">
        <v>5375</v>
      </c>
      <c r="ET710" s="350" t="s">
        <v>3361</v>
      </c>
      <c r="EU710" s="350" t="str">
        <f t="shared" si="88"/>
        <v>Meta_Mapiripan</v>
      </c>
    </row>
    <row r="711" spans="1:151" ht="38.25" x14ac:dyDescent="0.2">
      <c r="A711" s="242">
        <v>40352</v>
      </c>
      <c r="B711" s="107" t="s">
        <v>2007</v>
      </c>
      <c r="C711" s="107" t="s">
        <v>2378</v>
      </c>
      <c r="D711" s="427" t="s">
        <v>1721</v>
      </c>
      <c r="E711" s="107" t="str">
        <f>VLOOKUP(B711&amp;C711,Divipola!$C$2:$F$1138,4,FALSE)</f>
        <v>25214</v>
      </c>
      <c r="F711" s="330"/>
      <c r="G711" s="224"/>
      <c r="H711" s="75"/>
      <c r="I711" s="75"/>
      <c r="J711" s="75"/>
      <c r="K711" s="75"/>
      <c r="L711" s="75"/>
      <c r="M711" s="75"/>
      <c r="N711" s="75"/>
      <c r="O711" s="75"/>
      <c r="P711" s="75"/>
      <c r="Q711" s="75"/>
      <c r="R711" s="75"/>
      <c r="S711" s="75"/>
      <c r="T711" s="75"/>
      <c r="U711" s="75"/>
      <c r="V711" s="76"/>
      <c r="W711" s="205" t="s">
        <v>853</v>
      </c>
      <c r="X711" s="1"/>
      <c r="Y711" s="78">
        <f t="shared" si="90"/>
        <v>0</v>
      </c>
      <c r="Z711" s="78">
        <f t="shared" si="91"/>
        <v>0</v>
      </c>
      <c r="AA711" s="78">
        <f t="shared" si="92"/>
        <v>0</v>
      </c>
      <c r="AB711" s="78">
        <f t="shared" si="93"/>
        <v>0</v>
      </c>
      <c r="AC711" s="78"/>
      <c r="AD711" s="78">
        <v>0</v>
      </c>
      <c r="AE711" s="80">
        <f t="shared" si="87"/>
        <v>0</v>
      </c>
      <c r="AF711" s="82">
        <v>0</v>
      </c>
      <c r="AG711" s="69">
        <v>40353</v>
      </c>
      <c r="AH711" s="84"/>
      <c r="AI711" s="69" t="s">
        <v>1984</v>
      </c>
      <c r="AJ711" s="25" t="s">
        <v>1985</v>
      </c>
      <c r="AK711" s="65"/>
      <c r="AL711" s="185" t="s">
        <v>1257</v>
      </c>
      <c r="AM711" s="85" t="s">
        <v>854</v>
      </c>
      <c r="AN711" s="3"/>
      <c r="AO711" s="4"/>
      <c r="AP711" s="5"/>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6"/>
      <c r="CQ711" s="7"/>
      <c r="CR711" s="6"/>
      <c r="CS711" s="7"/>
      <c r="CT711" s="6"/>
      <c r="CU711" s="7"/>
      <c r="CV711" s="8">
        <f t="shared" si="94"/>
        <v>0</v>
      </c>
      <c r="CW711" s="9"/>
      <c r="CX711" s="10"/>
      <c r="CY711" s="11"/>
      <c r="CZ711" s="12"/>
      <c r="DA711" s="29"/>
      <c r="DB711" s="12"/>
      <c r="DC711" s="9"/>
      <c r="DD711" s="10"/>
      <c r="DE711" s="71"/>
      <c r="EO711" s="353" t="str">
        <f t="shared" si="89"/>
        <v>CUNDINAMARCA_COTA</v>
      </c>
      <c r="EP711" s="350"/>
      <c r="EQ711" s="350" t="s">
        <v>4466</v>
      </c>
      <c r="ER711" s="358" t="s">
        <v>3349</v>
      </c>
      <c r="ES711" s="350" t="s">
        <v>5376</v>
      </c>
      <c r="ET711" s="350" t="s">
        <v>3362</v>
      </c>
      <c r="EU711" s="350" t="str">
        <f t="shared" si="88"/>
        <v>Meta_Mesetas</v>
      </c>
    </row>
    <row r="712" spans="1:151" ht="63.75" x14ac:dyDescent="0.2">
      <c r="A712" s="242">
        <v>40352</v>
      </c>
      <c r="B712" s="107" t="s">
        <v>2245</v>
      </c>
      <c r="C712" s="107" t="s">
        <v>4514</v>
      </c>
      <c r="D712" s="427" t="s">
        <v>2352</v>
      </c>
      <c r="E712" s="107" t="str">
        <f>VLOOKUP(B712&amp;C712,Divipola!$C$2:$F$1138,4,FALSE)</f>
        <v>52835</v>
      </c>
      <c r="F712" s="330"/>
      <c r="G712" s="224"/>
      <c r="H712" s="75">
        <v>10</v>
      </c>
      <c r="I712" s="75"/>
      <c r="J712" s="75"/>
      <c r="K712" s="75"/>
      <c r="L712" s="75"/>
      <c r="M712" s="75"/>
      <c r="N712" s="75"/>
      <c r="O712" s="75">
        <v>1</v>
      </c>
      <c r="P712" s="75"/>
      <c r="Q712" s="75"/>
      <c r="R712" s="75"/>
      <c r="S712" s="75"/>
      <c r="T712" s="75"/>
      <c r="U712" s="75"/>
      <c r="V712" s="76"/>
      <c r="W712" s="205"/>
      <c r="X712" s="1"/>
      <c r="Y712" s="78">
        <f t="shared" si="90"/>
        <v>0</v>
      </c>
      <c r="Z712" s="78">
        <f t="shared" si="91"/>
        <v>0</v>
      </c>
      <c r="AA712" s="78">
        <f t="shared" si="92"/>
        <v>0</v>
      </c>
      <c r="AB712" s="78">
        <f t="shared" si="93"/>
        <v>0</v>
      </c>
      <c r="AC712" s="78"/>
      <c r="AD712" s="78">
        <v>0</v>
      </c>
      <c r="AE712" s="80">
        <f t="shared" si="87"/>
        <v>0</v>
      </c>
      <c r="AF712" s="82">
        <v>0</v>
      </c>
      <c r="AG712" s="69">
        <v>40353</v>
      </c>
      <c r="AH712" s="84"/>
      <c r="AI712" s="69" t="s">
        <v>1984</v>
      </c>
      <c r="AJ712" s="25" t="s">
        <v>1985</v>
      </c>
      <c r="AK712" s="65"/>
      <c r="AL712" s="185" t="s">
        <v>1257</v>
      </c>
      <c r="AM712" s="85" t="s">
        <v>851</v>
      </c>
      <c r="AN712" s="3"/>
      <c r="AO712" s="4"/>
      <c r="AP712" s="5"/>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6"/>
      <c r="CQ712" s="7"/>
      <c r="CR712" s="6"/>
      <c r="CS712" s="7"/>
      <c r="CT712" s="6"/>
      <c r="CU712" s="7"/>
      <c r="CV712" s="8">
        <f t="shared" si="94"/>
        <v>0</v>
      </c>
      <c r="CW712" s="9"/>
      <c r="CX712" s="10"/>
      <c r="CY712" s="11"/>
      <c r="CZ712" s="12"/>
      <c r="DA712" s="29"/>
      <c r="DB712" s="12"/>
      <c r="DC712" s="9"/>
      <c r="DD712" s="10"/>
      <c r="DE712" s="71"/>
      <c r="EO712" s="353" t="str">
        <f t="shared" si="89"/>
        <v>NARIÑO_SAN ANDRES DE TUMACO</v>
      </c>
      <c r="EP712" s="350"/>
      <c r="EQ712" s="350" t="s">
        <v>4466</v>
      </c>
      <c r="ER712" s="358" t="s">
        <v>3349</v>
      </c>
      <c r="ES712" s="350" t="s">
        <v>5377</v>
      </c>
      <c r="ET712" s="350" t="s">
        <v>3363</v>
      </c>
      <c r="EU712" s="350" t="str">
        <f t="shared" si="88"/>
        <v>Meta_La Macarena</v>
      </c>
    </row>
    <row r="713" spans="1:151" ht="25.5" x14ac:dyDescent="0.2">
      <c r="A713" s="242">
        <v>40353</v>
      </c>
      <c r="B713" s="107" t="s">
        <v>2401</v>
      </c>
      <c r="C713" s="107" t="s">
        <v>1203</v>
      </c>
      <c r="D713" s="427" t="s">
        <v>2352</v>
      </c>
      <c r="E713" s="107" t="str">
        <f>VLOOKUP(B713&amp;C713,Divipola!$C$2:$F$1138,4,FALSE)</f>
        <v>05031</v>
      </c>
      <c r="F713" s="330"/>
      <c r="G713" s="224">
        <v>2</v>
      </c>
      <c r="H713" s="75">
        <v>2</v>
      </c>
      <c r="I713" s="75"/>
      <c r="J713" s="75">
        <v>5</v>
      </c>
      <c r="K713" s="75">
        <v>1</v>
      </c>
      <c r="L713" s="75">
        <v>1</v>
      </c>
      <c r="M713" s="75"/>
      <c r="N713" s="75"/>
      <c r="O713" s="75"/>
      <c r="P713" s="75"/>
      <c r="Q713" s="75"/>
      <c r="R713" s="75"/>
      <c r="S713" s="75"/>
      <c r="T713" s="75"/>
      <c r="U713" s="75"/>
      <c r="V713" s="76"/>
      <c r="W713" s="205"/>
      <c r="X713" s="1"/>
      <c r="Y713" s="78">
        <f t="shared" si="90"/>
        <v>0</v>
      </c>
      <c r="Z713" s="78">
        <f t="shared" si="91"/>
        <v>0</v>
      </c>
      <c r="AA713" s="78">
        <f t="shared" si="92"/>
        <v>0</v>
      </c>
      <c r="AB713" s="78">
        <f t="shared" si="93"/>
        <v>0</v>
      </c>
      <c r="AC713" s="78"/>
      <c r="AD713" s="78">
        <v>0</v>
      </c>
      <c r="AE713" s="80">
        <f t="shared" ref="AE713:AE776" si="95">Y713+Z713+AA713+AB713+AC713+AD713</f>
        <v>0</v>
      </c>
      <c r="AF713" s="82">
        <v>0</v>
      </c>
      <c r="AG713" s="69">
        <v>40353</v>
      </c>
      <c r="AH713" s="84"/>
      <c r="AI713" s="69" t="s">
        <v>1984</v>
      </c>
      <c r="AJ713" s="25" t="s">
        <v>1985</v>
      </c>
      <c r="AK713" s="65"/>
      <c r="AL713" s="185" t="s">
        <v>1257</v>
      </c>
      <c r="AM713" s="85" t="s">
        <v>1268</v>
      </c>
      <c r="AN713" s="3"/>
      <c r="AO713" s="4"/>
      <c r="AP713" s="5"/>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6"/>
      <c r="CQ713" s="7"/>
      <c r="CR713" s="6"/>
      <c r="CS713" s="7"/>
      <c r="CT713" s="6"/>
      <c r="CU713" s="7"/>
      <c r="CV713" s="8">
        <f t="shared" si="94"/>
        <v>0</v>
      </c>
      <c r="CW713" s="9"/>
      <c r="CX713" s="10"/>
      <c r="CY713" s="11"/>
      <c r="CZ713" s="12"/>
      <c r="DA713" s="29"/>
      <c r="DB713" s="12"/>
      <c r="DC713" s="9"/>
      <c r="DD713" s="10"/>
      <c r="DE713" s="71"/>
      <c r="EO713" s="353" t="str">
        <f t="shared" si="89"/>
        <v>ANTIOQUIA_AMALFI</v>
      </c>
      <c r="EP713" s="350"/>
      <c r="EQ713" s="350" t="s">
        <v>4466</v>
      </c>
      <c r="ER713" s="358" t="s">
        <v>3349</v>
      </c>
      <c r="ES713" s="350" t="s">
        <v>5378</v>
      </c>
      <c r="ET713" s="350" t="s">
        <v>3364</v>
      </c>
      <c r="EU713" s="350" t="str">
        <f t="shared" si="88"/>
        <v>Meta_Uribe</v>
      </c>
    </row>
    <row r="714" spans="1:151" ht="25.5" x14ac:dyDescent="0.2">
      <c r="A714" s="246">
        <v>40353</v>
      </c>
      <c r="B714" s="238" t="s">
        <v>2401</v>
      </c>
      <c r="C714" s="238" t="s">
        <v>1551</v>
      </c>
      <c r="D714" s="431" t="s">
        <v>2307</v>
      </c>
      <c r="E714" s="107" t="str">
        <f>VLOOKUP(B714&amp;C714,Divipola!$C$2:$F$1138,4,FALSE)</f>
        <v>05854</v>
      </c>
      <c r="F714" s="334"/>
      <c r="G714" s="224">
        <v>1</v>
      </c>
      <c r="H714" s="75"/>
      <c r="I714" s="75"/>
      <c r="J714" s="75">
        <v>50</v>
      </c>
      <c r="K714" s="75">
        <v>10</v>
      </c>
      <c r="L714" s="75">
        <v>1</v>
      </c>
      <c r="M714" s="75">
        <v>9</v>
      </c>
      <c r="N714" s="75"/>
      <c r="O714" s="75"/>
      <c r="P714" s="75"/>
      <c r="Q714" s="75"/>
      <c r="R714" s="75"/>
      <c r="S714" s="75"/>
      <c r="T714" s="75"/>
      <c r="U714" s="75"/>
      <c r="V714" s="76"/>
      <c r="W714" s="205"/>
      <c r="X714" s="1"/>
      <c r="Y714" s="78">
        <f t="shared" si="90"/>
        <v>0</v>
      </c>
      <c r="Z714" s="78">
        <f t="shared" si="91"/>
        <v>0</v>
      </c>
      <c r="AA714" s="78">
        <f t="shared" si="92"/>
        <v>0</v>
      </c>
      <c r="AB714" s="78">
        <f t="shared" si="93"/>
        <v>0</v>
      </c>
      <c r="AC714" s="78"/>
      <c r="AD714" s="78">
        <v>0</v>
      </c>
      <c r="AE714" s="80">
        <f t="shared" si="95"/>
        <v>0</v>
      </c>
      <c r="AF714" s="82">
        <v>0</v>
      </c>
      <c r="AG714" s="69">
        <v>40357</v>
      </c>
      <c r="AH714" s="84"/>
      <c r="AI714" s="69" t="s">
        <v>1984</v>
      </c>
      <c r="AJ714" s="25" t="s">
        <v>1985</v>
      </c>
      <c r="AK714" s="65"/>
      <c r="AL714" s="185" t="s">
        <v>1257</v>
      </c>
      <c r="AM714" s="85" t="s">
        <v>1726</v>
      </c>
      <c r="AN714" s="3"/>
      <c r="AO714" s="4"/>
      <c r="AP714" s="5"/>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6"/>
      <c r="CQ714" s="7"/>
      <c r="CR714" s="6"/>
      <c r="CS714" s="7"/>
      <c r="CT714" s="6"/>
      <c r="CU714" s="7"/>
      <c r="CV714" s="8">
        <f t="shared" si="94"/>
        <v>0</v>
      </c>
      <c r="CW714" s="9"/>
      <c r="CX714" s="10"/>
      <c r="CY714" s="11"/>
      <c r="CZ714" s="12"/>
      <c r="DA714" s="29"/>
      <c r="DB714" s="12"/>
      <c r="DC714" s="9"/>
      <c r="DD714" s="10"/>
      <c r="DE714" s="71"/>
      <c r="EO714" s="353" t="str">
        <f t="shared" si="89"/>
        <v>ANTIOQUIA_VALDIVIA</v>
      </c>
      <c r="EP714" s="350"/>
      <c r="EQ714" s="350" t="s">
        <v>4466</v>
      </c>
      <c r="ER714" s="358" t="s">
        <v>3349</v>
      </c>
      <c r="ES714" s="350" t="s">
        <v>5379</v>
      </c>
      <c r="ET714" s="350" t="s">
        <v>3365</v>
      </c>
      <c r="EU714" s="350" t="str">
        <f t="shared" si="88"/>
        <v>Meta_Lejanias</v>
      </c>
    </row>
    <row r="715" spans="1:151" ht="38.25" x14ac:dyDescent="0.2">
      <c r="A715" s="242">
        <v>40353</v>
      </c>
      <c r="B715" s="107" t="s">
        <v>1189</v>
      </c>
      <c r="C715" s="107" t="s">
        <v>713</v>
      </c>
      <c r="D715" s="427" t="s">
        <v>837</v>
      </c>
      <c r="E715" s="107" t="str">
        <f>VLOOKUP(B715&amp;C715,Divipola!$C$2:$F$1138,4,FALSE)</f>
        <v>85125</v>
      </c>
      <c r="F715" s="330"/>
      <c r="G715" s="224"/>
      <c r="H715" s="75"/>
      <c r="I715" s="75"/>
      <c r="J715" s="75">
        <v>210</v>
      </c>
      <c r="K715" s="75">
        <v>48</v>
      </c>
      <c r="L715" s="75"/>
      <c r="M715" s="75">
        <v>48</v>
      </c>
      <c r="N715" s="75"/>
      <c r="O715" s="75"/>
      <c r="P715" s="75"/>
      <c r="Q715" s="75"/>
      <c r="R715" s="75"/>
      <c r="S715" s="75"/>
      <c r="T715" s="75"/>
      <c r="U715" s="75"/>
      <c r="V715" s="76"/>
      <c r="W715" s="205"/>
      <c r="X715" s="1"/>
      <c r="Y715" s="78">
        <f t="shared" si="90"/>
        <v>0</v>
      </c>
      <c r="Z715" s="78">
        <f t="shared" si="91"/>
        <v>0</v>
      </c>
      <c r="AA715" s="78">
        <f t="shared" si="92"/>
        <v>0</v>
      </c>
      <c r="AB715" s="78">
        <f t="shared" si="93"/>
        <v>0</v>
      </c>
      <c r="AC715" s="78"/>
      <c r="AD715" s="78">
        <v>0</v>
      </c>
      <c r="AE715" s="80">
        <f t="shared" si="95"/>
        <v>0</v>
      </c>
      <c r="AF715" s="82">
        <v>0</v>
      </c>
      <c r="AG715" s="69">
        <v>40353</v>
      </c>
      <c r="AH715" s="84"/>
      <c r="AI715" s="69" t="s">
        <v>1984</v>
      </c>
      <c r="AJ715" s="25" t="s">
        <v>1985</v>
      </c>
      <c r="AK715" s="65"/>
      <c r="AL715" s="185" t="s">
        <v>1257</v>
      </c>
      <c r="AM715" s="85" t="s">
        <v>1723</v>
      </c>
      <c r="AN715" s="3"/>
      <c r="AO715" s="4"/>
      <c r="AP715" s="5"/>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6"/>
      <c r="CQ715" s="7"/>
      <c r="CR715" s="6"/>
      <c r="CS715" s="7"/>
      <c r="CT715" s="6"/>
      <c r="CU715" s="7"/>
      <c r="CV715" s="8">
        <f t="shared" si="94"/>
        <v>0</v>
      </c>
      <c r="CW715" s="9"/>
      <c r="CX715" s="10"/>
      <c r="CY715" s="11"/>
      <c r="CZ715" s="12"/>
      <c r="DA715" s="29"/>
      <c r="DB715" s="12"/>
      <c r="DC715" s="9"/>
      <c r="DD715" s="10"/>
      <c r="DE715" s="71"/>
      <c r="EO715" s="353" t="str">
        <f t="shared" si="89"/>
        <v>CASANARE_HATO COROZAL</v>
      </c>
      <c r="EP715" s="350"/>
      <c r="EQ715" s="350" t="s">
        <v>4466</v>
      </c>
      <c r="ER715" s="358" t="s">
        <v>3349</v>
      </c>
      <c r="ES715" s="350" t="s">
        <v>5380</v>
      </c>
      <c r="ET715" s="350" t="s">
        <v>3366</v>
      </c>
      <c r="EU715" s="350" t="str">
        <f t="shared" ref="EU715:EU771" si="96">ER715&amp;"_"&amp;ET715</f>
        <v>Meta_Puerto Concordia</v>
      </c>
    </row>
    <row r="716" spans="1:151" ht="48" x14ac:dyDescent="0.2">
      <c r="A716" s="242">
        <v>40353</v>
      </c>
      <c r="B716" s="107" t="s">
        <v>1719</v>
      </c>
      <c r="C716" s="107" t="s">
        <v>282</v>
      </c>
      <c r="D716" s="427" t="s">
        <v>2307</v>
      </c>
      <c r="E716" s="107" t="str">
        <f>VLOOKUP(B716&amp;C716,Divipola!$C$2:$F$1138,4,FALSE)</f>
        <v>19137</v>
      </c>
      <c r="F716" s="330"/>
      <c r="G716" s="224"/>
      <c r="H716" s="75"/>
      <c r="I716" s="75"/>
      <c r="J716" s="75"/>
      <c r="K716" s="75"/>
      <c r="L716" s="75"/>
      <c r="M716" s="75"/>
      <c r="N716" s="75">
        <v>4</v>
      </c>
      <c r="O716" s="75"/>
      <c r="P716" s="75"/>
      <c r="Q716" s="75"/>
      <c r="R716" s="75"/>
      <c r="S716" s="75"/>
      <c r="T716" s="75"/>
      <c r="U716" s="75"/>
      <c r="V716" s="76"/>
      <c r="W716" s="205"/>
      <c r="X716" s="1"/>
      <c r="Y716" s="78">
        <f t="shared" si="90"/>
        <v>0</v>
      </c>
      <c r="Z716" s="78">
        <f t="shared" si="91"/>
        <v>0</v>
      </c>
      <c r="AA716" s="78">
        <f t="shared" si="92"/>
        <v>0</v>
      </c>
      <c r="AB716" s="78">
        <f t="shared" si="93"/>
        <v>0</v>
      </c>
      <c r="AC716" s="78"/>
      <c r="AD716" s="78">
        <v>0</v>
      </c>
      <c r="AE716" s="80">
        <f t="shared" si="95"/>
        <v>0</v>
      </c>
      <c r="AF716" s="82">
        <v>0</v>
      </c>
      <c r="AG716" s="69">
        <v>40360</v>
      </c>
      <c r="AH716" s="84"/>
      <c r="AI716" s="69" t="s">
        <v>1984</v>
      </c>
      <c r="AJ716" s="25" t="s">
        <v>1985</v>
      </c>
      <c r="AK716" s="65"/>
      <c r="AL716" s="185" t="s">
        <v>1257</v>
      </c>
      <c r="AM716" s="85" t="s">
        <v>2733</v>
      </c>
      <c r="AN716" s="3"/>
      <c r="AO716" s="4"/>
      <c r="AP716" s="5"/>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6"/>
      <c r="CQ716" s="7"/>
      <c r="CR716" s="6"/>
      <c r="CS716" s="7"/>
      <c r="CT716" s="6"/>
      <c r="CU716" s="7"/>
      <c r="CV716" s="8">
        <f t="shared" si="94"/>
        <v>0</v>
      </c>
      <c r="CW716" s="9"/>
      <c r="CX716" s="10"/>
      <c r="CY716" s="11"/>
      <c r="CZ716" s="12"/>
      <c r="DA716" s="29"/>
      <c r="DB716" s="12"/>
      <c r="DC716" s="9"/>
      <c r="DD716" s="10"/>
      <c r="DE716" s="71"/>
      <c r="DF716" s="23">
        <v>1136</v>
      </c>
      <c r="EO716" s="353" t="str">
        <f t="shared" si="89"/>
        <v>CAUCA_CALDONO</v>
      </c>
      <c r="EP716" s="350"/>
      <c r="EQ716" s="350" t="s">
        <v>4466</v>
      </c>
      <c r="ER716" s="358" t="s">
        <v>3349</v>
      </c>
      <c r="ES716" s="350" t="s">
        <v>5381</v>
      </c>
      <c r="ET716" s="350" t="s">
        <v>3367</v>
      </c>
      <c r="EU716" s="350" t="str">
        <f t="shared" si="96"/>
        <v>Meta_Puerto Gaitan</v>
      </c>
    </row>
    <row r="717" spans="1:151" ht="72" x14ac:dyDescent="0.2">
      <c r="A717" s="242">
        <v>40353</v>
      </c>
      <c r="B717" s="107" t="s">
        <v>2791</v>
      </c>
      <c r="C717" s="107" t="s">
        <v>1095</v>
      </c>
      <c r="D717" s="427" t="s">
        <v>837</v>
      </c>
      <c r="E717" s="107" t="str">
        <f>VLOOKUP(B717&amp;C717,Divipola!$C$2:$F$1138,4,FALSE)</f>
        <v>73861</v>
      </c>
      <c r="F717" s="330"/>
      <c r="G717" s="224"/>
      <c r="H717" s="75"/>
      <c r="I717" s="75"/>
      <c r="J717" s="75"/>
      <c r="K717" s="75"/>
      <c r="L717" s="75"/>
      <c r="M717" s="75"/>
      <c r="N717" s="75"/>
      <c r="O717" s="75"/>
      <c r="P717" s="75"/>
      <c r="Q717" s="75"/>
      <c r="R717" s="75"/>
      <c r="S717" s="75"/>
      <c r="T717" s="75"/>
      <c r="U717" s="75"/>
      <c r="V717" s="76"/>
      <c r="W717" s="205"/>
      <c r="X717" s="1"/>
      <c r="Y717" s="78">
        <f t="shared" si="90"/>
        <v>0</v>
      </c>
      <c r="Z717" s="78">
        <f t="shared" si="91"/>
        <v>0</v>
      </c>
      <c r="AA717" s="78">
        <f t="shared" si="92"/>
        <v>0</v>
      </c>
      <c r="AB717" s="78">
        <f t="shared" si="93"/>
        <v>0</v>
      </c>
      <c r="AC717" s="78"/>
      <c r="AD717" s="78">
        <v>0</v>
      </c>
      <c r="AE717" s="80">
        <f t="shared" si="95"/>
        <v>0</v>
      </c>
      <c r="AF717" s="82">
        <v>0</v>
      </c>
      <c r="AG717" s="69">
        <v>40357</v>
      </c>
      <c r="AH717" s="84"/>
      <c r="AI717" s="69" t="s">
        <v>1984</v>
      </c>
      <c r="AJ717" s="25" t="s">
        <v>1985</v>
      </c>
      <c r="AK717" s="65"/>
      <c r="AL717" s="212" t="s">
        <v>1257</v>
      </c>
      <c r="AM717" s="85" t="s">
        <v>1023</v>
      </c>
      <c r="AN717" s="3"/>
      <c r="AO717" s="4"/>
      <c r="AP717" s="5"/>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6"/>
      <c r="CQ717" s="7"/>
      <c r="CR717" s="6"/>
      <c r="CS717" s="7"/>
      <c r="CT717" s="6"/>
      <c r="CU717" s="7"/>
      <c r="CV717" s="8">
        <f t="shared" si="94"/>
        <v>0</v>
      </c>
      <c r="CW717" s="9"/>
      <c r="CX717" s="10"/>
      <c r="CY717" s="11"/>
      <c r="CZ717" s="12"/>
      <c r="DA717" s="29"/>
      <c r="DB717" s="12"/>
      <c r="DC717" s="9"/>
      <c r="DD717" s="10"/>
      <c r="DE717" s="71"/>
      <c r="EO717" s="353" t="str">
        <f t="shared" si="89"/>
        <v>TOLIMA_VENADILLO</v>
      </c>
      <c r="EP717" s="350"/>
      <c r="EQ717" s="350" t="s">
        <v>4466</v>
      </c>
      <c r="ER717" s="358" t="s">
        <v>3349</v>
      </c>
      <c r="ES717" s="350" t="s">
        <v>5382</v>
      </c>
      <c r="ET717" s="350" t="s">
        <v>3368</v>
      </c>
      <c r="EU717" s="350" t="str">
        <f t="shared" si="96"/>
        <v>Meta_Puerto Lopez</v>
      </c>
    </row>
    <row r="718" spans="1:151" ht="38.25" x14ac:dyDescent="0.2">
      <c r="A718" s="242">
        <v>40354</v>
      </c>
      <c r="B718" s="107" t="s">
        <v>2401</v>
      </c>
      <c r="C718" s="107" t="s">
        <v>1582</v>
      </c>
      <c r="D718" s="427" t="s">
        <v>2352</v>
      </c>
      <c r="E718" s="107" t="str">
        <f>VLOOKUP(B718&amp;C718,Divipola!$C$2:$F$1138,4,FALSE)</f>
        <v>05895</v>
      </c>
      <c r="F718" s="330"/>
      <c r="G718" s="224">
        <v>1</v>
      </c>
      <c r="H718" s="75">
        <v>1</v>
      </c>
      <c r="I718" s="75"/>
      <c r="J718" s="75"/>
      <c r="K718" s="75"/>
      <c r="L718" s="75"/>
      <c r="M718" s="75"/>
      <c r="N718" s="75"/>
      <c r="O718" s="75"/>
      <c r="P718" s="75"/>
      <c r="Q718" s="75"/>
      <c r="R718" s="75"/>
      <c r="S718" s="75"/>
      <c r="T718" s="75"/>
      <c r="U718" s="75"/>
      <c r="V718" s="76"/>
      <c r="W718" s="205"/>
      <c r="X718" s="1"/>
      <c r="Y718" s="78">
        <f t="shared" si="90"/>
        <v>0</v>
      </c>
      <c r="Z718" s="78">
        <f t="shared" si="91"/>
        <v>0</v>
      </c>
      <c r="AA718" s="78">
        <f t="shared" si="92"/>
        <v>0</v>
      </c>
      <c r="AB718" s="78">
        <f t="shared" si="93"/>
        <v>0</v>
      </c>
      <c r="AC718" s="78"/>
      <c r="AD718" s="78">
        <v>0</v>
      </c>
      <c r="AE718" s="80">
        <f t="shared" si="95"/>
        <v>0</v>
      </c>
      <c r="AF718" s="82">
        <v>0</v>
      </c>
      <c r="AG718" s="69">
        <v>40357</v>
      </c>
      <c r="AH718" s="84"/>
      <c r="AI718" s="69" t="s">
        <v>1984</v>
      </c>
      <c r="AJ718" s="25" t="s">
        <v>1985</v>
      </c>
      <c r="AK718" s="65"/>
      <c r="AL718" s="185" t="s">
        <v>1257</v>
      </c>
      <c r="AM718" s="85" t="s">
        <v>1810</v>
      </c>
      <c r="AN718" s="3"/>
      <c r="AO718" s="4"/>
      <c r="AP718" s="5"/>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6"/>
      <c r="CQ718" s="7"/>
      <c r="CR718" s="6"/>
      <c r="CS718" s="7"/>
      <c r="CT718" s="6"/>
      <c r="CU718" s="7"/>
      <c r="CV718" s="8">
        <f t="shared" si="94"/>
        <v>0</v>
      </c>
      <c r="CW718" s="9"/>
      <c r="CX718" s="10"/>
      <c r="CY718" s="11"/>
      <c r="CZ718" s="12"/>
      <c r="DA718" s="29"/>
      <c r="DB718" s="12"/>
      <c r="DC718" s="9"/>
      <c r="DD718" s="10"/>
      <c r="DE718" s="71"/>
      <c r="EO718" s="353" t="str">
        <f t="shared" si="89"/>
        <v>ANTIOQUIA_ZARAGOZA</v>
      </c>
      <c r="EP718" s="350"/>
      <c r="EQ718" s="350" t="s">
        <v>4466</v>
      </c>
      <c r="ER718" s="358" t="s">
        <v>3349</v>
      </c>
      <c r="ES718" s="350" t="s">
        <v>5384</v>
      </c>
      <c r="ET718" s="350" t="s">
        <v>6175</v>
      </c>
      <c r="EU718" s="350" t="str">
        <f t="shared" si="96"/>
        <v>Meta_Puerto Rico</v>
      </c>
    </row>
    <row r="719" spans="1:151" ht="25.5" x14ac:dyDescent="0.2">
      <c r="A719" s="242">
        <v>40354</v>
      </c>
      <c r="B719" s="222" t="s">
        <v>1719</v>
      </c>
      <c r="C719" s="222" t="s">
        <v>1785</v>
      </c>
      <c r="D719" s="430" t="s">
        <v>837</v>
      </c>
      <c r="E719" s="107" t="str">
        <f>VLOOKUP(B719&amp;C719,Divipola!$C$2:$F$1138,4,FALSE)</f>
        <v>19318</v>
      </c>
      <c r="F719" s="333"/>
      <c r="G719" s="221"/>
      <c r="H719" s="157"/>
      <c r="I719" s="157"/>
      <c r="J719" s="157">
        <f>16*5</f>
        <v>80</v>
      </c>
      <c r="K719" s="157">
        <v>16</v>
      </c>
      <c r="L719" s="157"/>
      <c r="M719" s="157">
        <v>16</v>
      </c>
      <c r="N719" s="157"/>
      <c r="O719" s="157"/>
      <c r="P719" s="157"/>
      <c r="Q719" s="157"/>
      <c r="R719" s="157"/>
      <c r="S719" s="157"/>
      <c r="T719" s="157"/>
      <c r="U719" s="157"/>
      <c r="V719" s="158"/>
      <c r="W719" s="182"/>
      <c r="X719" s="1">
        <v>40515</v>
      </c>
      <c r="Y719" s="78">
        <f t="shared" si="90"/>
        <v>0</v>
      </c>
      <c r="Z719" s="78">
        <f t="shared" si="91"/>
        <v>0</v>
      </c>
      <c r="AA719" s="78">
        <f t="shared" si="92"/>
        <v>9999970</v>
      </c>
      <c r="AB719" s="78">
        <f t="shared" si="93"/>
        <v>0</v>
      </c>
      <c r="AC719" s="78"/>
      <c r="AD719" s="78">
        <v>0</v>
      </c>
      <c r="AE719" s="80">
        <f t="shared" si="95"/>
        <v>9999970</v>
      </c>
      <c r="AF719" s="82">
        <v>0</v>
      </c>
      <c r="AG719" s="69">
        <v>40445</v>
      </c>
      <c r="AH719" s="84">
        <v>51102</v>
      </c>
      <c r="AI719" s="69" t="s">
        <v>2009</v>
      </c>
      <c r="AJ719" s="25" t="s">
        <v>2010</v>
      </c>
      <c r="AK719" s="65">
        <v>25682</v>
      </c>
      <c r="AL719" s="176" t="s">
        <v>1831</v>
      </c>
      <c r="AM719" s="173" t="s">
        <v>1520</v>
      </c>
      <c r="AN719" s="159"/>
      <c r="AO719" s="160"/>
      <c r="AP719" s="161"/>
      <c r="AQ719" s="160"/>
      <c r="AR719" s="160"/>
      <c r="AS719" s="160"/>
      <c r="AT719" s="160"/>
      <c r="AU719" s="160"/>
      <c r="AV719" s="160"/>
      <c r="AW719" s="160"/>
      <c r="AX719" s="160"/>
      <c r="AY719" s="160"/>
      <c r="AZ719" s="160"/>
      <c r="BA719" s="160"/>
      <c r="BB719" s="160"/>
      <c r="BC719" s="160"/>
      <c r="BD719" s="160"/>
      <c r="BE719" s="160"/>
      <c r="BF719" s="160"/>
      <c r="BG719" s="160"/>
      <c r="BH719" s="160"/>
      <c r="BI719" s="160"/>
      <c r="BJ719" s="160"/>
      <c r="BK719" s="160"/>
      <c r="BL719" s="160"/>
      <c r="BM719" s="160"/>
      <c r="BN719" s="160"/>
      <c r="BO719" s="160"/>
      <c r="BP719" s="160"/>
      <c r="BQ719" s="160"/>
      <c r="BR719" s="160"/>
      <c r="BS719" s="160"/>
      <c r="BT719" s="160"/>
      <c r="BU719" s="160"/>
      <c r="BV719" s="160"/>
      <c r="BW719" s="160"/>
      <c r="BX719" s="160"/>
      <c r="BY719" s="160"/>
      <c r="BZ719" s="160"/>
      <c r="CA719" s="160"/>
      <c r="CB719" s="160"/>
      <c r="CC719" s="160"/>
      <c r="CD719" s="160"/>
      <c r="CE719" s="160"/>
      <c r="CF719" s="160"/>
      <c r="CG719" s="160"/>
      <c r="CH719" s="160"/>
      <c r="CI719" s="160"/>
      <c r="CJ719" s="160"/>
      <c r="CK719" s="160"/>
      <c r="CL719" s="160"/>
      <c r="CM719" s="160"/>
      <c r="CN719" s="160"/>
      <c r="CO719" s="160"/>
      <c r="CP719" s="162"/>
      <c r="CQ719" s="163"/>
      <c r="CR719" s="162"/>
      <c r="CS719" s="163"/>
      <c r="CT719" s="162"/>
      <c r="CU719" s="163"/>
      <c r="CV719" s="164">
        <f t="shared" si="94"/>
        <v>0</v>
      </c>
      <c r="CW719" s="165"/>
      <c r="CX719" s="166"/>
      <c r="CY719" s="167"/>
      <c r="CZ719" s="168"/>
      <c r="DA719" s="169"/>
      <c r="DB719" s="168"/>
      <c r="DC719" s="165">
        <v>500</v>
      </c>
      <c r="DD719" s="166">
        <f>500*18999.98+2000*249.99</f>
        <v>9999970</v>
      </c>
      <c r="DE719" s="71"/>
      <c r="DF719" s="170"/>
      <c r="EO719" s="353" t="str">
        <f t="shared" si="89"/>
        <v>CAUCA_GUAPI</v>
      </c>
      <c r="EP719" s="350"/>
      <c r="EQ719" s="350" t="s">
        <v>4466</v>
      </c>
      <c r="ER719" s="358" t="s">
        <v>3349</v>
      </c>
      <c r="ES719" s="350" t="s">
        <v>5385</v>
      </c>
      <c r="ET719" s="350" t="s">
        <v>3369</v>
      </c>
      <c r="EU719" s="350" t="str">
        <f t="shared" si="96"/>
        <v>Meta_Restrepo</v>
      </c>
    </row>
    <row r="720" spans="1:151" ht="72" x14ac:dyDescent="0.2">
      <c r="A720" s="242">
        <v>40354</v>
      </c>
      <c r="B720" s="107" t="s">
        <v>2242</v>
      </c>
      <c r="C720" s="107" t="s">
        <v>1024</v>
      </c>
      <c r="D720" s="427" t="s">
        <v>2352</v>
      </c>
      <c r="E720" s="107" t="str">
        <f>VLOOKUP(B720&amp;C720,Divipola!$C$2:$F$1138,4,FALSE)</f>
        <v>20400</v>
      </c>
      <c r="F720" s="330"/>
      <c r="G720" s="224"/>
      <c r="H720" s="75"/>
      <c r="I720" s="75"/>
      <c r="J720" s="75"/>
      <c r="K720" s="75"/>
      <c r="L720" s="75"/>
      <c r="M720" s="75"/>
      <c r="N720" s="75"/>
      <c r="O720" s="75">
        <v>1</v>
      </c>
      <c r="P720" s="75"/>
      <c r="Q720" s="75"/>
      <c r="R720" s="75"/>
      <c r="S720" s="75"/>
      <c r="T720" s="75"/>
      <c r="U720" s="75"/>
      <c r="V720" s="76"/>
      <c r="W720" s="205"/>
      <c r="X720" s="1"/>
      <c r="Y720" s="78">
        <f t="shared" si="90"/>
        <v>0</v>
      </c>
      <c r="Z720" s="78">
        <f t="shared" si="91"/>
        <v>0</v>
      </c>
      <c r="AA720" s="78">
        <f t="shared" si="92"/>
        <v>0</v>
      </c>
      <c r="AB720" s="78">
        <f t="shared" si="93"/>
        <v>0</v>
      </c>
      <c r="AC720" s="78"/>
      <c r="AD720" s="78">
        <v>0</v>
      </c>
      <c r="AE720" s="80">
        <f t="shared" si="95"/>
        <v>0</v>
      </c>
      <c r="AF720" s="82">
        <v>0</v>
      </c>
      <c r="AG720" s="69">
        <v>40357</v>
      </c>
      <c r="AH720" s="84"/>
      <c r="AI720" s="69" t="s">
        <v>1984</v>
      </c>
      <c r="AJ720" s="25" t="s">
        <v>1985</v>
      </c>
      <c r="AK720" s="65"/>
      <c r="AL720" s="185" t="s">
        <v>1257</v>
      </c>
      <c r="AM720" s="85" t="s">
        <v>1825</v>
      </c>
      <c r="AN720" s="3"/>
      <c r="AO720" s="4"/>
      <c r="AP720" s="5"/>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6"/>
      <c r="CQ720" s="7"/>
      <c r="CR720" s="6"/>
      <c r="CS720" s="7"/>
      <c r="CT720" s="6"/>
      <c r="CU720" s="7"/>
      <c r="CV720" s="8">
        <f t="shared" si="94"/>
        <v>0</v>
      </c>
      <c r="CW720" s="9"/>
      <c r="CX720" s="10"/>
      <c r="CY720" s="11"/>
      <c r="CZ720" s="12"/>
      <c r="DA720" s="29"/>
      <c r="DB720" s="12"/>
      <c r="DC720" s="9"/>
      <c r="DD720" s="10"/>
      <c r="DE720" s="71"/>
      <c r="EO720" s="353" t="str">
        <f t="shared" si="89"/>
        <v>CESAR_LA JAGUA DE IBIRICO</v>
      </c>
      <c r="EP720" s="350"/>
      <c r="EQ720" s="350" t="s">
        <v>4466</v>
      </c>
      <c r="ER720" s="358" t="s">
        <v>3349</v>
      </c>
      <c r="ES720" s="350" t="s">
        <v>5386</v>
      </c>
      <c r="ET720" s="350" t="s">
        <v>3370</v>
      </c>
      <c r="EU720" s="350" t="str">
        <f t="shared" si="96"/>
        <v>Meta_San Carlos de Guaroa</v>
      </c>
    </row>
    <row r="721" spans="1:151" ht="84" x14ac:dyDescent="0.2">
      <c r="A721" s="242">
        <v>40354</v>
      </c>
      <c r="B721" s="107" t="s">
        <v>708</v>
      </c>
      <c r="C721" s="107" t="s">
        <v>2328</v>
      </c>
      <c r="D721" s="427" t="s">
        <v>837</v>
      </c>
      <c r="E721" s="107" t="str">
        <f>VLOOKUP(B721&amp;C721,Divipola!$C$2:$F$1138,4,FALSE)</f>
        <v>50001</v>
      </c>
      <c r="F721" s="330"/>
      <c r="G721" s="224"/>
      <c r="H721" s="75"/>
      <c r="I721" s="75"/>
      <c r="J721" s="75">
        <v>487</v>
      </c>
      <c r="K721" s="75">
        <v>108</v>
      </c>
      <c r="L721" s="75">
        <v>1</v>
      </c>
      <c r="M721" s="75">
        <v>107</v>
      </c>
      <c r="N721" s="75"/>
      <c r="O721" s="75"/>
      <c r="P721" s="75"/>
      <c r="Q721" s="75"/>
      <c r="R721" s="75"/>
      <c r="S721" s="75"/>
      <c r="T721" s="75"/>
      <c r="U721" s="75"/>
      <c r="V721" s="76"/>
      <c r="W721" s="205"/>
      <c r="X721" s="1"/>
      <c r="Y721" s="78">
        <f t="shared" si="90"/>
        <v>0</v>
      </c>
      <c r="Z721" s="78">
        <f t="shared" si="91"/>
        <v>0</v>
      </c>
      <c r="AA721" s="78">
        <f t="shared" si="92"/>
        <v>0</v>
      </c>
      <c r="AB721" s="78">
        <f t="shared" si="93"/>
        <v>0</v>
      </c>
      <c r="AC721" s="78"/>
      <c r="AD721" s="78">
        <v>0</v>
      </c>
      <c r="AE721" s="80">
        <f t="shared" si="95"/>
        <v>0</v>
      </c>
      <c r="AF721" s="82">
        <v>0</v>
      </c>
      <c r="AG721" s="69">
        <v>40357</v>
      </c>
      <c r="AH721" s="84"/>
      <c r="AI721" s="69" t="s">
        <v>1984</v>
      </c>
      <c r="AJ721" s="25" t="s">
        <v>1985</v>
      </c>
      <c r="AK721" s="65"/>
      <c r="AL721" s="185" t="s">
        <v>1257</v>
      </c>
      <c r="AM721" s="85" t="s">
        <v>1015</v>
      </c>
      <c r="AN721" s="3"/>
      <c r="AO721" s="4"/>
      <c r="AP721" s="5"/>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6"/>
      <c r="CQ721" s="7"/>
      <c r="CR721" s="6"/>
      <c r="CS721" s="7"/>
      <c r="CT721" s="6"/>
      <c r="CU721" s="7"/>
      <c r="CV721" s="8">
        <f t="shared" si="94"/>
        <v>0</v>
      </c>
      <c r="CW721" s="9"/>
      <c r="CX721" s="10"/>
      <c r="CY721" s="11"/>
      <c r="CZ721" s="12"/>
      <c r="DA721" s="29"/>
      <c r="DB721" s="12"/>
      <c r="DC721" s="9"/>
      <c r="DD721" s="10"/>
      <c r="DE721" s="71"/>
      <c r="DF721" s="23">
        <v>1129</v>
      </c>
      <c r="EO721" s="353" t="str">
        <f t="shared" si="89"/>
        <v>META_VILLAVICENCIO</v>
      </c>
      <c r="EP721" s="350"/>
      <c r="EQ721" s="350" t="s">
        <v>4466</v>
      </c>
      <c r="ER721" s="358" t="s">
        <v>3349</v>
      </c>
      <c r="ES721" s="350" t="s">
        <v>5387</v>
      </c>
      <c r="ET721" s="350" t="s">
        <v>3371</v>
      </c>
      <c r="EU721" s="350" t="str">
        <f t="shared" si="96"/>
        <v>Meta_San Juan de Arama</v>
      </c>
    </row>
    <row r="722" spans="1:151" ht="25.5" x14ac:dyDescent="0.2">
      <c r="A722" s="242">
        <v>40354</v>
      </c>
      <c r="B722" s="107" t="s">
        <v>708</v>
      </c>
      <c r="C722" s="107" t="s">
        <v>2328</v>
      </c>
      <c r="D722" s="427" t="s">
        <v>2307</v>
      </c>
      <c r="E722" s="107" t="str">
        <f>VLOOKUP(B722&amp;C722,Divipola!$C$2:$F$1138,4,FALSE)</f>
        <v>50001</v>
      </c>
      <c r="F722" s="330"/>
      <c r="G722" s="224">
        <v>1</v>
      </c>
      <c r="H722" s="75">
        <v>3</v>
      </c>
      <c r="I722" s="75"/>
      <c r="J722" s="75"/>
      <c r="K722" s="75"/>
      <c r="L722" s="75"/>
      <c r="M722" s="75"/>
      <c r="N722" s="75">
        <v>1</v>
      </c>
      <c r="O722" s="75"/>
      <c r="P722" s="75"/>
      <c r="Q722" s="75"/>
      <c r="R722" s="75"/>
      <c r="S722" s="75"/>
      <c r="T722" s="75"/>
      <c r="U722" s="75"/>
      <c r="V722" s="76"/>
      <c r="W722" s="205"/>
      <c r="X722" s="1"/>
      <c r="Y722" s="78">
        <f t="shared" si="90"/>
        <v>0</v>
      </c>
      <c r="Z722" s="78">
        <f t="shared" si="91"/>
        <v>0</v>
      </c>
      <c r="AA722" s="78">
        <f t="shared" si="92"/>
        <v>0</v>
      </c>
      <c r="AB722" s="78">
        <f t="shared" si="93"/>
        <v>0</v>
      </c>
      <c r="AC722" s="78"/>
      <c r="AD722" s="78">
        <v>0</v>
      </c>
      <c r="AE722" s="80">
        <f t="shared" si="95"/>
        <v>0</v>
      </c>
      <c r="AF722" s="82">
        <v>0</v>
      </c>
      <c r="AG722" s="69">
        <v>40357</v>
      </c>
      <c r="AH722" s="84"/>
      <c r="AI722" s="69" t="s">
        <v>1984</v>
      </c>
      <c r="AJ722" s="25" t="s">
        <v>1985</v>
      </c>
      <c r="AK722" s="65"/>
      <c r="AL722" s="185" t="s">
        <v>1257</v>
      </c>
      <c r="AM722" s="85" t="s">
        <v>1016</v>
      </c>
      <c r="AN722" s="3"/>
      <c r="AO722" s="4"/>
      <c r="AP722" s="5"/>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6"/>
      <c r="CQ722" s="7"/>
      <c r="CR722" s="6"/>
      <c r="CS722" s="7"/>
      <c r="CT722" s="6"/>
      <c r="CU722" s="7"/>
      <c r="CV722" s="8">
        <f t="shared" si="94"/>
        <v>0</v>
      </c>
      <c r="CW722" s="9"/>
      <c r="CX722" s="10"/>
      <c r="CY722" s="11"/>
      <c r="CZ722" s="12"/>
      <c r="DA722" s="29"/>
      <c r="DB722" s="12"/>
      <c r="DC722" s="9"/>
      <c r="DD722" s="10"/>
      <c r="DE722" s="71"/>
      <c r="EO722" s="353" t="str">
        <f t="shared" si="89"/>
        <v>META_VILLAVICENCIO</v>
      </c>
      <c r="EP722" s="350"/>
      <c r="EQ722" s="350" t="s">
        <v>4466</v>
      </c>
      <c r="ER722" s="358" t="s">
        <v>3349</v>
      </c>
      <c r="ES722" s="350" t="s">
        <v>5388</v>
      </c>
      <c r="ET722" s="350" t="s">
        <v>3372</v>
      </c>
      <c r="EU722" s="350" t="str">
        <f t="shared" si="96"/>
        <v>Meta_San Juanito</v>
      </c>
    </row>
    <row r="723" spans="1:151" ht="38.25" x14ac:dyDescent="0.2">
      <c r="A723" s="242">
        <v>40355</v>
      </c>
      <c r="B723" s="107" t="s">
        <v>2017</v>
      </c>
      <c r="C723" s="107" t="s">
        <v>2008</v>
      </c>
      <c r="D723" s="427" t="s">
        <v>837</v>
      </c>
      <c r="E723" s="107">
        <f>VLOOKUP(B723&amp;C723,Divipola!$C$2:$F$1138,4,FALSE)</f>
        <v>13</v>
      </c>
      <c r="F723" s="330"/>
      <c r="G723" s="224"/>
      <c r="H723" s="75"/>
      <c r="I723" s="75"/>
      <c r="J723" s="75"/>
      <c r="K723" s="75"/>
      <c r="L723" s="75"/>
      <c r="M723" s="75"/>
      <c r="N723" s="75"/>
      <c r="O723" s="75"/>
      <c r="P723" s="75"/>
      <c r="Q723" s="75"/>
      <c r="R723" s="75"/>
      <c r="S723" s="75"/>
      <c r="T723" s="75"/>
      <c r="U723" s="75"/>
      <c r="V723" s="76"/>
      <c r="W723" s="205"/>
      <c r="X723" s="1">
        <v>40375</v>
      </c>
      <c r="Y723" s="78">
        <f t="shared" si="90"/>
        <v>0</v>
      </c>
      <c r="Z723" s="78">
        <f t="shared" si="91"/>
        <v>0</v>
      </c>
      <c r="AA723" s="78">
        <f t="shared" si="92"/>
        <v>0</v>
      </c>
      <c r="AB723" s="78">
        <f t="shared" si="93"/>
        <v>143550000</v>
      </c>
      <c r="AC723" s="78"/>
      <c r="AD723" s="78">
        <v>0</v>
      </c>
      <c r="AE723" s="80">
        <f t="shared" si="95"/>
        <v>143550000</v>
      </c>
      <c r="AF723" s="82">
        <v>0</v>
      </c>
      <c r="AG723" s="69">
        <v>40373</v>
      </c>
      <c r="AH723" s="84">
        <v>34449</v>
      </c>
      <c r="AI723" s="69" t="s">
        <v>2009</v>
      </c>
      <c r="AJ723" s="25" t="s">
        <v>2010</v>
      </c>
      <c r="AK723" s="88" t="s">
        <v>1044</v>
      </c>
      <c r="AL723" s="185" t="s">
        <v>1781</v>
      </c>
      <c r="AM723" s="85"/>
      <c r="AN723" s="3"/>
      <c r="AO723" s="4"/>
      <c r="AP723" s="5"/>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6"/>
      <c r="CQ723" s="7"/>
      <c r="CR723" s="6"/>
      <c r="CS723" s="7"/>
      <c r="CT723" s="6"/>
      <c r="CU723" s="7"/>
      <c r="CV723" s="8">
        <f t="shared" si="94"/>
        <v>0</v>
      </c>
      <c r="CW723" s="9">
        <f>100000+50000</f>
        <v>150000</v>
      </c>
      <c r="CX723" s="10">
        <f>100000*986+50000*899</f>
        <v>143550000</v>
      </c>
      <c r="CY723" s="11"/>
      <c r="CZ723" s="12"/>
      <c r="DA723" s="29"/>
      <c r="DB723" s="12"/>
      <c r="DC723" s="9"/>
      <c r="DD723" s="10"/>
      <c r="DE723" s="71"/>
      <c r="EO723" s="353" t="str">
        <f t="shared" si="89"/>
        <v>BOLIVAR_DEPARTAMENTO</v>
      </c>
      <c r="EP723" s="350"/>
      <c r="EQ723" s="350" t="s">
        <v>4466</v>
      </c>
      <c r="ER723" s="358" t="s">
        <v>3349</v>
      </c>
      <c r="ES723" s="350" t="s">
        <v>5389</v>
      </c>
      <c r="ET723" s="350" t="s">
        <v>6234</v>
      </c>
      <c r="EU723" s="350" t="str">
        <f t="shared" si="96"/>
        <v>Meta_San Martin</v>
      </c>
    </row>
    <row r="724" spans="1:151" ht="25.5" x14ac:dyDescent="0.2">
      <c r="A724" s="246">
        <v>40356</v>
      </c>
      <c r="B724" s="238" t="s">
        <v>2401</v>
      </c>
      <c r="C724" s="238" t="s">
        <v>113</v>
      </c>
      <c r="D724" s="431" t="s">
        <v>2209</v>
      </c>
      <c r="E724" s="107" t="str">
        <f>VLOOKUP(B724&amp;C724,Divipola!$C$2:$F$1138,4,FALSE)</f>
        <v>05400</v>
      </c>
      <c r="F724" s="334"/>
      <c r="G724" s="224"/>
      <c r="H724" s="75"/>
      <c r="I724" s="75"/>
      <c r="J724" s="75">
        <v>60</v>
      </c>
      <c r="K724" s="75">
        <v>15</v>
      </c>
      <c r="L724" s="75"/>
      <c r="M724" s="75">
        <v>15</v>
      </c>
      <c r="N724" s="75"/>
      <c r="O724" s="75"/>
      <c r="P724" s="75"/>
      <c r="Q724" s="75"/>
      <c r="R724" s="75"/>
      <c r="S724" s="75"/>
      <c r="T724" s="75"/>
      <c r="U724" s="75"/>
      <c r="V724" s="76"/>
      <c r="W724" s="205"/>
      <c r="X724" s="1"/>
      <c r="Y724" s="78">
        <f t="shared" si="90"/>
        <v>0</v>
      </c>
      <c r="Z724" s="78">
        <f t="shared" si="91"/>
        <v>0</v>
      </c>
      <c r="AA724" s="78">
        <f t="shared" si="92"/>
        <v>0</v>
      </c>
      <c r="AB724" s="78">
        <f t="shared" si="93"/>
        <v>0</v>
      </c>
      <c r="AC724" s="78"/>
      <c r="AD724" s="78">
        <v>0</v>
      </c>
      <c r="AE724" s="80">
        <f t="shared" si="95"/>
        <v>0</v>
      </c>
      <c r="AF724" s="82">
        <v>0</v>
      </c>
      <c r="AG724" s="69">
        <v>40357</v>
      </c>
      <c r="AH724" s="84"/>
      <c r="AI724" s="69" t="s">
        <v>1984</v>
      </c>
      <c r="AJ724" s="25" t="s">
        <v>1985</v>
      </c>
      <c r="AK724" s="65"/>
      <c r="AL724" s="185" t="s">
        <v>1257</v>
      </c>
      <c r="AM724" s="85" t="s">
        <v>952</v>
      </c>
      <c r="AN724" s="3"/>
      <c r="AO724" s="4"/>
      <c r="AP724" s="5"/>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6"/>
      <c r="CQ724" s="7"/>
      <c r="CR724" s="6"/>
      <c r="CS724" s="7"/>
      <c r="CT724" s="6"/>
      <c r="CU724" s="7"/>
      <c r="CV724" s="8">
        <f t="shared" si="94"/>
        <v>0</v>
      </c>
      <c r="CW724" s="9"/>
      <c r="CX724" s="10"/>
      <c r="CY724" s="11"/>
      <c r="CZ724" s="12"/>
      <c r="DA724" s="29"/>
      <c r="DB724" s="12"/>
      <c r="DC724" s="9"/>
      <c r="DD724" s="10"/>
      <c r="DE724" s="71"/>
      <c r="EO724" s="353" t="str">
        <f t="shared" si="89"/>
        <v>ANTIOQUIA_LA UNION</v>
      </c>
      <c r="EP724" s="350"/>
      <c r="EQ724" s="350" t="s">
        <v>4485</v>
      </c>
      <c r="ER724" s="358" t="s">
        <v>4486</v>
      </c>
      <c r="ES724" s="350" t="s">
        <v>5391</v>
      </c>
      <c r="ET724" s="350" t="s">
        <v>3373</v>
      </c>
      <c r="EU724" s="350" t="str">
        <f t="shared" si="96"/>
        <v>Nariño_Pasto</v>
      </c>
    </row>
    <row r="725" spans="1:151" ht="36" x14ac:dyDescent="0.2">
      <c r="A725" s="242">
        <v>40356</v>
      </c>
      <c r="B725" s="107" t="s">
        <v>2242</v>
      </c>
      <c r="C725" s="107" t="s">
        <v>2424</v>
      </c>
      <c r="D725" s="427" t="s">
        <v>1993</v>
      </c>
      <c r="E725" s="107" t="str">
        <f>VLOOKUP(B725&amp;C725,Divipola!$C$2:$F$1138,4,FALSE)</f>
        <v>20443</v>
      </c>
      <c r="F725" s="330"/>
      <c r="G725" s="224">
        <v>1</v>
      </c>
      <c r="H725" s="75"/>
      <c r="I725" s="75"/>
      <c r="J725" s="75"/>
      <c r="K725" s="75"/>
      <c r="L725" s="75"/>
      <c r="M725" s="75"/>
      <c r="N725" s="75"/>
      <c r="O725" s="75"/>
      <c r="P725" s="75"/>
      <c r="Q725" s="75"/>
      <c r="R725" s="75"/>
      <c r="S725" s="75"/>
      <c r="T725" s="75"/>
      <c r="U725" s="75"/>
      <c r="V725" s="76"/>
      <c r="W725" s="205"/>
      <c r="X725" s="1"/>
      <c r="Y725" s="78">
        <f t="shared" si="90"/>
        <v>0</v>
      </c>
      <c r="Z725" s="78">
        <f t="shared" si="91"/>
        <v>0</v>
      </c>
      <c r="AA725" s="78">
        <f t="shared" si="92"/>
        <v>0</v>
      </c>
      <c r="AB725" s="78">
        <f t="shared" si="93"/>
        <v>0</v>
      </c>
      <c r="AC725" s="78"/>
      <c r="AD725" s="78">
        <v>0</v>
      </c>
      <c r="AE725" s="80">
        <f t="shared" si="95"/>
        <v>0</v>
      </c>
      <c r="AF725" s="82">
        <v>0</v>
      </c>
      <c r="AG725" s="69">
        <v>40357</v>
      </c>
      <c r="AH725" s="84"/>
      <c r="AI725" s="69" t="s">
        <v>1984</v>
      </c>
      <c r="AJ725" s="25" t="s">
        <v>1985</v>
      </c>
      <c r="AK725" s="65"/>
      <c r="AL725" s="212" t="s">
        <v>1257</v>
      </c>
      <c r="AM725" s="85" t="s">
        <v>1827</v>
      </c>
      <c r="AN725" s="3"/>
      <c r="AO725" s="4"/>
      <c r="AP725" s="5"/>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6"/>
      <c r="CQ725" s="7"/>
      <c r="CR725" s="6"/>
      <c r="CS725" s="7"/>
      <c r="CT725" s="6"/>
      <c r="CU725" s="7"/>
      <c r="CV725" s="8">
        <f t="shared" si="94"/>
        <v>0</v>
      </c>
      <c r="CW725" s="9"/>
      <c r="CX725" s="10"/>
      <c r="CY725" s="11"/>
      <c r="CZ725" s="12"/>
      <c r="DA725" s="29"/>
      <c r="DB725" s="12"/>
      <c r="DC725" s="9"/>
      <c r="DD725" s="10"/>
      <c r="DE725" s="71"/>
      <c r="EO725" s="353" t="str">
        <f t="shared" si="89"/>
        <v>CESAR_MANAURE</v>
      </c>
      <c r="EP725" s="350"/>
      <c r="EQ725" s="350" t="s">
        <v>4485</v>
      </c>
      <c r="ER725" s="358" t="s">
        <v>4486</v>
      </c>
      <c r="ES725" s="350" t="s">
        <v>5392</v>
      </c>
      <c r="ET725" s="350" t="s">
        <v>6262</v>
      </c>
      <c r="EU725" s="350" t="str">
        <f t="shared" si="96"/>
        <v>Nariño_Alban</v>
      </c>
    </row>
    <row r="726" spans="1:151" ht="51" x14ac:dyDescent="0.2">
      <c r="A726" s="242">
        <v>40356</v>
      </c>
      <c r="B726" s="107" t="s">
        <v>2012</v>
      </c>
      <c r="C726" s="107" t="s">
        <v>2118</v>
      </c>
      <c r="D726" s="427" t="s">
        <v>837</v>
      </c>
      <c r="E726" s="107" t="str">
        <f>VLOOKUP(B726&amp;C726,Divipola!$C$2:$F$1138,4,FALSE)</f>
        <v>66682</v>
      </c>
      <c r="F726" s="330"/>
      <c r="G726" s="224"/>
      <c r="H726" s="75"/>
      <c r="I726" s="75"/>
      <c r="J726" s="75">
        <f>28*5</f>
        <v>140</v>
      </c>
      <c r="K726" s="75">
        <v>28</v>
      </c>
      <c r="L726" s="75">
        <v>28</v>
      </c>
      <c r="M726" s="75"/>
      <c r="N726" s="75">
        <v>1</v>
      </c>
      <c r="O726" s="75"/>
      <c r="P726" s="75"/>
      <c r="Q726" s="75"/>
      <c r="R726" s="75"/>
      <c r="S726" s="75"/>
      <c r="T726" s="75"/>
      <c r="U726" s="75"/>
      <c r="V726" s="76">
        <v>228</v>
      </c>
      <c r="W726" s="205" t="s">
        <v>471</v>
      </c>
      <c r="X726" s="1"/>
      <c r="Y726" s="78">
        <f t="shared" si="90"/>
        <v>0</v>
      </c>
      <c r="Z726" s="78">
        <f t="shared" si="91"/>
        <v>0</v>
      </c>
      <c r="AA726" s="78">
        <f t="shared" si="92"/>
        <v>0</v>
      </c>
      <c r="AB726" s="78">
        <f t="shared" si="93"/>
        <v>0</v>
      </c>
      <c r="AC726" s="78"/>
      <c r="AD726" s="78">
        <v>0</v>
      </c>
      <c r="AE726" s="80">
        <f t="shared" si="95"/>
        <v>0</v>
      </c>
      <c r="AF726" s="82">
        <v>0</v>
      </c>
      <c r="AG726" s="69">
        <v>40358</v>
      </c>
      <c r="AH726" s="84"/>
      <c r="AI726" s="69" t="s">
        <v>1984</v>
      </c>
      <c r="AJ726" s="25" t="s">
        <v>1985</v>
      </c>
      <c r="AK726" s="65"/>
      <c r="AL726" s="185" t="s">
        <v>1257</v>
      </c>
      <c r="AM726" s="85" t="s">
        <v>2047</v>
      </c>
      <c r="AN726" s="3"/>
      <c r="AO726" s="4"/>
      <c r="AP726" s="5"/>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6"/>
      <c r="CQ726" s="7"/>
      <c r="CR726" s="6"/>
      <c r="CS726" s="7"/>
      <c r="CT726" s="6"/>
      <c r="CU726" s="7"/>
      <c r="CV726" s="8">
        <f t="shared" si="94"/>
        <v>0</v>
      </c>
      <c r="CW726" s="9"/>
      <c r="CX726" s="10"/>
      <c r="CY726" s="11"/>
      <c r="CZ726" s="12"/>
      <c r="DA726" s="29"/>
      <c r="DB726" s="12"/>
      <c r="DC726" s="9"/>
      <c r="DD726" s="10"/>
      <c r="DE726" s="71"/>
      <c r="EO726" s="353" t="str">
        <f t="shared" si="89"/>
        <v>RISARALDA_SANTA ROSA DE CABAL</v>
      </c>
      <c r="EP726" s="350"/>
      <c r="EQ726" s="350" t="s">
        <v>4485</v>
      </c>
      <c r="ER726" s="358" t="s">
        <v>4486</v>
      </c>
      <c r="ES726" s="350" t="s">
        <v>5393</v>
      </c>
      <c r="ET726" s="350" t="s">
        <v>3374</v>
      </c>
      <c r="EU726" s="350" t="str">
        <f t="shared" si="96"/>
        <v>Nariño_Aldana</v>
      </c>
    </row>
    <row r="727" spans="1:151" ht="36" x14ac:dyDescent="0.2">
      <c r="A727" s="246">
        <v>40357</v>
      </c>
      <c r="B727" s="238" t="s">
        <v>2401</v>
      </c>
      <c r="C727" s="238" t="s">
        <v>856</v>
      </c>
      <c r="D727" s="431" t="s">
        <v>837</v>
      </c>
      <c r="E727" s="107" t="str">
        <f>VLOOKUP(B727&amp;C727,Divipola!$C$2:$F$1138,4,FALSE)</f>
        <v>05088</v>
      </c>
      <c r="F727" s="334"/>
      <c r="G727" s="224"/>
      <c r="H727" s="75"/>
      <c r="I727" s="75"/>
      <c r="J727" s="75">
        <v>400</v>
      </c>
      <c r="K727" s="75">
        <v>80</v>
      </c>
      <c r="L727" s="75"/>
      <c r="M727" s="75">
        <v>80</v>
      </c>
      <c r="N727" s="75"/>
      <c r="O727" s="75"/>
      <c r="P727" s="75"/>
      <c r="Q727" s="75"/>
      <c r="R727" s="75"/>
      <c r="S727" s="75"/>
      <c r="T727" s="75"/>
      <c r="U727" s="75"/>
      <c r="V727" s="76"/>
      <c r="W727" s="205"/>
      <c r="X727" s="1"/>
      <c r="Y727" s="78">
        <f t="shared" si="90"/>
        <v>0</v>
      </c>
      <c r="Z727" s="78">
        <f t="shared" si="91"/>
        <v>0</v>
      </c>
      <c r="AA727" s="78">
        <f t="shared" si="92"/>
        <v>0</v>
      </c>
      <c r="AB727" s="78">
        <f t="shared" si="93"/>
        <v>0</v>
      </c>
      <c r="AC727" s="78"/>
      <c r="AD727" s="78">
        <v>0</v>
      </c>
      <c r="AE727" s="80">
        <f t="shared" si="95"/>
        <v>0</v>
      </c>
      <c r="AF727" s="82">
        <v>0</v>
      </c>
      <c r="AG727" s="69">
        <v>40360</v>
      </c>
      <c r="AH727" s="84"/>
      <c r="AI727" s="69" t="s">
        <v>1984</v>
      </c>
      <c r="AJ727" s="25" t="s">
        <v>1985</v>
      </c>
      <c r="AK727" s="65"/>
      <c r="AL727" s="185" t="s">
        <v>1257</v>
      </c>
      <c r="AM727" s="85" t="s">
        <v>1466</v>
      </c>
      <c r="AN727" s="3"/>
      <c r="AO727" s="4"/>
      <c r="AP727" s="5"/>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6"/>
      <c r="CQ727" s="7"/>
      <c r="CR727" s="6"/>
      <c r="CS727" s="7"/>
      <c r="CT727" s="6"/>
      <c r="CU727" s="7"/>
      <c r="CV727" s="8">
        <f t="shared" si="94"/>
        <v>0</v>
      </c>
      <c r="CW727" s="9"/>
      <c r="CX727" s="10"/>
      <c r="CY727" s="11"/>
      <c r="CZ727" s="12"/>
      <c r="DA727" s="29"/>
      <c r="DB727" s="12"/>
      <c r="DC727" s="9"/>
      <c r="DD727" s="10"/>
      <c r="DE727" s="71"/>
      <c r="EO727" s="353" t="str">
        <f t="shared" si="89"/>
        <v>ANTIOQUIA_BELLO</v>
      </c>
      <c r="EP727" s="350"/>
      <c r="EQ727" s="350" t="s">
        <v>4485</v>
      </c>
      <c r="ER727" s="358" t="s">
        <v>4486</v>
      </c>
      <c r="ES727" s="350" t="s">
        <v>5394</v>
      </c>
      <c r="ET727" s="350" t="s">
        <v>3375</v>
      </c>
      <c r="EU727" s="350" t="str">
        <f t="shared" si="96"/>
        <v>Nariño_Ancuya</v>
      </c>
    </row>
    <row r="728" spans="1:151" ht="25.5" x14ac:dyDescent="0.2">
      <c r="A728" s="246">
        <v>40357</v>
      </c>
      <c r="B728" s="238" t="s">
        <v>2401</v>
      </c>
      <c r="C728" s="238" t="s">
        <v>113</v>
      </c>
      <c r="D728" s="431" t="s">
        <v>2209</v>
      </c>
      <c r="E728" s="107" t="str">
        <f>VLOOKUP(B728&amp;C728,Divipola!$C$2:$F$1138,4,FALSE)</f>
        <v>05400</v>
      </c>
      <c r="F728" s="334"/>
      <c r="G728" s="224"/>
      <c r="H728" s="75"/>
      <c r="I728" s="75"/>
      <c r="J728" s="75">
        <v>70</v>
      </c>
      <c r="K728" s="75">
        <v>14</v>
      </c>
      <c r="L728" s="75">
        <v>4</v>
      </c>
      <c r="M728" s="75">
        <v>4</v>
      </c>
      <c r="N728" s="75"/>
      <c r="O728" s="75"/>
      <c r="P728" s="75"/>
      <c r="Q728" s="75"/>
      <c r="R728" s="75"/>
      <c r="S728" s="75"/>
      <c r="T728" s="75"/>
      <c r="U728" s="75"/>
      <c r="V728" s="76"/>
      <c r="W728" s="205"/>
      <c r="X728" s="1"/>
      <c r="Y728" s="78">
        <f t="shared" si="90"/>
        <v>0</v>
      </c>
      <c r="Z728" s="78">
        <f t="shared" si="91"/>
        <v>0</v>
      </c>
      <c r="AA728" s="78">
        <f t="shared" si="92"/>
        <v>0</v>
      </c>
      <c r="AB728" s="78">
        <f t="shared" si="93"/>
        <v>0</v>
      </c>
      <c r="AC728" s="78"/>
      <c r="AD728" s="78">
        <v>0</v>
      </c>
      <c r="AE728" s="80">
        <f t="shared" si="95"/>
        <v>0</v>
      </c>
      <c r="AF728" s="82">
        <v>0</v>
      </c>
      <c r="AG728" s="69">
        <v>40360</v>
      </c>
      <c r="AH728" s="84"/>
      <c r="AI728" s="69" t="s">
        <v>1984</v>
      </c>
      <c r="AJ728" s="25" t="s">
        <v>1985</v>
      </c>
      <c r="AK728" s="65"/>
      <c r="AL728" s="185" t="s">
        <v>1257</v>
      </c>
      <c r="AM728" s="85" t="s">
        <v>1268</v>
      </c>
      <c r="AN728" s="3"/>
      <c r="AO728" s="4"/>
      <c r="AP728" s="5"/>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6"/>
      <c r="CQ728" s="7"/>
      <c r="CR728" s="6"/>
      <c r="CS728" s="7"/>
      <c r="CT728" s="6"/>
      <c r="CU728" s="7"/>
      <c r="CV728" s="8">
        <f t="shared" si="94"/>
        <v>0</v>
      </c>
      <c r="CW728" s="9"/>
      <c r="CX728" s="10"/>
      <c r="CY728" s="11"/>
      <c r="CZ728" s="12"/>
      <c r="DA728" s="29"/>
      <c r="DB728" s="12"/>
      <c r="DC728" s="9"/>
      <c r="DD728" s="10"/>
      <c r="DE728" s="71"/>
      <c r="EO728" s="353" t="str">
        <f t="shared" si="89"/>
        <v>ANTIOQUIA_LA UNION</v>
      </c>
      <c r="EP728" s="350"/>
      <c r="EQ728" s="350" t="s">
        <v>4485</v>
      </c>
      <c r="ER728" s="358" t="s">
        <v>4486</v>
      </c>
      <c r="ES728" s="350" t="s">
        <v>5395</v>
      </c>
      <c r="ET728" s="350" t="s">
        <v>3376</v>
      </c>
      <c r="EU728" s="350" t="str">
        <f t="shared" si="96"/>
        <v>Nariño_Arboleda</v>
      </c>
    </row>
    <row r="729" spans="1:151" ht="36" x14ac:dyDescent="0.2">
      <c r="A729" s="246">
        <v>40357</v>
      </c>
      <c r="B729" s="238" t="s">
        <v>2401</v>
      </c>
      <c r="C729" s="238" t="s">
        <v>214</v>
      </c>
      <c r="D729" s="431" t="s">
        <v>837</v>
      </c>
      <c r="E729" s="107" t="str">
        <f>VLOOKUP(B729&amp;C729,Divipola!$C$2:$F$1138,4,FALSE)</f>
        <v>05756</v>
      </c>
      <c r="F729" s="334"/>
      <c r="G729" s="224"/>
      <c r="H729" s="75"/>
      <c r="I729" s="75"/>
      <c r="J729" s="75">
        <v>30</v>
      </c>
      <c r="K729" s="75">
        <v>6</v>
      </c>
      <c r="L729" s="75"/>
      <c r="M729" s="75"/>
      <c r="N729" s="75"/>
      <c r="O729" s="75"/>
      <c r="P729" s="75"/>
      <c r="Q729" s="75"/>
      <c r="R729" s="75"/>
      <c r="S729" s="75"/>
      <c r="T729" s="75"/>
      <c r="U729" s="75"/>
      <c r="V729" s="76"/>
      <c r="W729" s="205"/>
      <c r="X729" s="1"/>
      <c r="Y729" s="78">
        <f t="shared" si="90"/>
        <v>0</v>
      </c>
      <c r="Z729" s="78">
        <f t="shared" si="91"/>
        <v>0</v>
      </c>
      <c r="AA729" s="78">
        <f t="shared" si="92"/>
        <v>0</v>
      </c>
      <c r="AB729" s="78">
        <f t="shared" si="93"/>
        <v>0</v>
      </c>
      <c r="AC729" s="78"/>
      <c r="AD729" s="78">
        <v>0</v>
      </c>
      <c r="AE729" s="80">
        <f t="shared" si="95"/>
        <v>0</v>
      </c>
      <c r="AF729" s="82">
        <v>0</v>
      </c>
      <c r="AG729" s="69">
        <v>40360</v>
      </c>
      <c r="AH729" s="84"/>
      <c r="AI729" s="69" t="s">
        <v>1984</v>
      </c>
      <c r="AJ729" s="25" t="s">
        <v>1985</v>
      </c>
      <c r="AK729" s="65"/>
      <c r="AL729" s="185" t="s">
        <v>1257</v>
      </c>
      <c r="AM729" s="85" t="s">
        <v>1468</v>
      </c>
      <c r="AN729" s="3"/>
      <c r="AO729" s="4"/>
      <c r="AP729" s="5"/>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6"/>
      <c r="CQ729" s="7"/>
      <c r="CR729" s="6"/>
      <c r="CS729" s="7"/>
      <c r="CT729" s="6"/>
      <c r="CU729" s="7"/>
      <c r="CV729" s="8">
        <f t="shared" si="94"/>
        <v>0</v>
      </c>
      <c r="CW729" s="9"/>
      <c r="CX729" s="10"/>
      <c r="CY729" s="11"/>
      <c r="CZ729" s="12"/>
      <c r="DA729" s="29"/>
      <c r="DB729" s="12"/>
      <c r="DC729" s="9"/>
      <c r="DD729" s="10"/>
      <c r="DE729" s="71"/>
      <c r="EO729" s="353" t="str">
        <f t="shared" si="89"/>
        <v>ANTIOQUIA_SONSON</v>
      </c>
      <c r="EP729" s="350"/>
      <c r="EQ729" s="350" t="s">
        <v>4485</v>
      </c>
      <c r="ER729" s="358" t="s">
        <v>4486</v>
      </c>
      <c r="ES729" s="350" t="s">
        <v>5396</v>
      </c>
      <c r="ET729" s="350" t="s">
        <v>3377</v>
      </c>
      <c r="EU729" s="350" t="str">
        <f t="shared" si="96"/>
        <v>Nariño_Barbacoas</v>
      </c>
    </row>
    <row r="730" spans="1:151" ht="25.5" x14ac:dyDescent="0.2">
      <c r="A730" s="246">
        <v>40357</v>
      </c>
      <c r="B730" s="238" t="s">
        <v>2401</v>
      </c>
      <c r="C730" s="238" t="s">
        <v>1551</v>
      </c>
      <c r="D730" s="431" t="s">
        <v>2307</v>
      </c>
      <c r="E730" s="107" t="str">
        <f>VLOOKUP(B730&amp;C730,Divipola!$C$2:$F$1138,4,FALSE)</f>
        <v>05854</v>
      </c>
      <c r="F730" s="334"/>
      <c r="G730" s="224"/>
      <c r="H730" s="75"/>
      <c r="I730" s="75"/>
      <c r="J730" s="75">
        <v>200</v>
      </c>
      <c r="K730" s="75">
        <v>40</v>
      </c>
      <c r="L730" s="75"/>
      <c r="M730" s="75">
        <v>40</v>
      </c>
      <c r="N730" s="75"/>
      <c r="O730" s="75"/>
      <c r="P730" s="75"/>
      <c r="Q730" s="75"/>
      <c r="R730" s="75"/>
      <c r="S730" s="75"/>
      <c r="T730" s="75"/>
      <c r="U730" s="75"/>
      <c r="V730" s="76"/>
      <c r="W730" s="205"/>
      <c r="X730" s="1"/>
      <c r="Y730" s="78">
        <f t="shared" si="90"/>
        <v>0</v>
      </c>
      <c r="Z730" s="78">
        <f t="shared" si="91"/>
        <v>0</v>
      </c>
      <c r="AA730" s="78">
        <f t="shared" si="92"/>
        <v>0</v>
      </c>
      <c r="AB730" s="78">
        <f t="shared" si="93"/>
        <v>0</v>
      </c>
      <c r="AC730" s="78"/>
      <c r="AD730" s="78">
        <v>0</v>
      </c>
      <c r="AE730" s="80">
        <f t="shared" si="95"/>
        <v>0</v>
      </c>
      <c r="AF730" s="82">
        <v>0</v>
      </c>
      <c r="AG730" s="69">
        <v>40360</v>
      </c>
      <c r="AH730" s="84"/>
      <c r="AI730" s="69" t="s">
        <v>1984</v>
      </c>
      <c r="AJ730" s="25" t="s">
        <v>1985</v>
      </c>
      <c r="AK730" s="65"/>
      <c r="AL730" s="185" t="s">
        <v>1257</v>
      </c>
      <c r="AM730" s="85" t="s">
        <v>1467</v>
      </c>
      <c r="AN730" s="3"/>
      <c r="AO730" s="4"/>
      <c r="AP730" s="5"/>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6"/>
      <c r="CQ730" s="7"/>
      <c r="CR730" s="6"/>
      <c r="CS730" s="7"/>
      <c r="CT730" s="6"/>
      <c r="CU730" s="7"/>
      <c r="CV730" s="8">
        <f t="shared" si="94"/>
        <v>0</v>
      </c>
      <c r="CW730" s="9"/>
      <c r="CX730" s="10"/>
      <c r="CY730" s="11"/>
      <c r="CZ730" s="12"/>
      <c r="DA730" s="29"/>
      <c r="DB730" s="12"/>
      <c r="DC730" s="9"/>
      <c r="DD730" s="10"/>
      <c r="DE730" s="71"/>
      <c r="EO730" s="353" t="str">
        <f t="shared" si="89"/>
        <v>ANTIOQUIA_VALDIVIA</v>
      </c>
      <c r="EP730" s="350"/>
      <c r="EQ730" s="350" t="s">
        <v>4485</v>
      </c>
      <c r="ER730" s="358" t="s">
        <v>4486</v>
      </c>
      <c r="ES730" s="350" t="s">
        <v>5397</v>
      </c>
      <c r="ET730" s="350" t="s">
        <v>6026</v>
      </c>
      <c r="EU730" s="350" t="str">
        <f t="shared" si="96"/>
        <v>Nariño_Belen</v>
      </c>
    </row>
    <row r="731" spans="1:151" ht="84" x14ac:dyDescent="0.2">
      <c r="A731" s="242">
        <v>40357</v>
      </c>
      <c r="B731" s="107" t="s">
        <v>1719</v>
      </c>
      <c r="C731" s="107" t="s">
        <v>3128</v>
      </c>
      <c r="D731" s="427" t="s">
        <v>2331</v>
      </c>
      <c r="E731" s="107" t="str">
        <f>VLOOKUP(B731&amp;C731,Divipola!$C$2:$F$1138,4,FALSE)</f>
        <v>19455</v>
      </c>
      <c r="F731" s="330"/>
      <c r="G731" s="224"/>
      <c r="H731" s="75"/>
      <c r="I731" s="75"/>
      <c r="J731" s="75">
        <v>100</v>
      </c>
      <c r="K731" s="75">
        <v>20</v>
      </c>
      <c r="L731" s="75"/>
      <c r="M731" s="75">
        <v>20</v>
      </c>
      <c r="N731" s="75"/>
      <c r="O731" s="75"/>
      <c r="P731" s="75"/>
      <c r="Q731" s="75"/>
      <c r="R731" s="75"/>
      <c r="S731" s="75"/>
      <c r="T731" s="75"/>
      <c r="U731" s="75"/>
      <c r="V731" s="76"/>
      <c r="W731" s="205"/>
      <c r="X731" s="1">
        <v>40456</v>
      </c>
      <c r="Y731" s="78">
        <f t="shared" si="90"/>
        <v>0</v>
      </c>
      <c r="Z731" s="78">
        <f t="shared" si="91"/>
        <v>0</v>
      </c>
      <c r="AA731" s="78">
        <f t="shared" si="92"/>
        <v>0</v>
      </c>
      <c r="AB731" s="78">
        <f t="shared" si="93"/>
        <v>0</v>
      </c>
      <c r="AC731" s="78">
        <f>200*23652+600*10634+150*25481+25*1949+6*195002+2*240503</f>
        <v>16632693</v>
      </c>
      <c r="AD731" s="78">
        <v>0</v>
      </c>
      <c r="AE731" s="80">
        <f t="shared" si="95"/>
        <v>16632693</v>
      </c>
      <c r="AF731" s="82">
        <v>0</v>
      </c>
      <c r="AG731" s="69">
        <v>40380</v>
      </c>
      <c r="AH731" s="84">
        <v>35466</v>
      </c>
      <c r="AI731" s="69" t="s">
        <v>2009</v>
      </c>
      <c r="AJ731" s="25" t="s">
        <v>2010</v>
      </c>
      <c r="AK731" s="65">
        <v>19932</v>
      </c>
      <c r="AL731" s="185" t="s">
        <v>1628</v>
      </c>
      <c r="AM731" s="85" t="s">
        <v>1758</v>
      </c>
      <c r="AN731" s="3"/>
      <c r="AO731" s="4"/>
      <c r="AP731" s="5"/>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6"/>
      <c r="CQ731" s="7"/>
      <c r="CR731" s="6"/>
      <c r="CS731" s="7"/>
      <c r="CT731" s="6"/>
      <c r="CU731" s="7"/>
      <c r="CV731" s="8">
        <f t="shared" si="94"/>
        <v>0</v>
      </c>
      <c r="CW731" s="9"/>
      <c r="CX731" s="10"/>
      <c r="CY731" s="11"/>
      <c r="CZ731" s="12"/>
      <c r="DA731" s="29"/>
      <c r="DB731" s="12"/>
      <c r="DC731" s="9"/>
      <c r="DD731" s="10"/>
      <c r="DE731" s="71"/>
      <c r="DF731" s="23">
        <v>1185</v>
      </c>
      <c r="EO731" s="353" t="str">
        <f t="shared" si="89"/>
        <v>CAUCA_MIRANDA</v>
      </c>
      <c r="EP731" s="350"/>
      <c r="EQ731" s="350" t="s">
        <v>4485</v>
      </c>
      <c r="ER731" s="358" t="s">
        <v>4486</v>
      </c>
      <c r="ES731" s="350" t="s">
        <v>5398</v>
      </c>
      <c r="ET731" s="350" t="s">
        <v>3378</v>
      </c>
      <c r="EU731" s="350" t="str">
        <f t="shared" si="96"/>
        <v>Nariño_Buesaco</v>
      </c>
    </row>
    <row r="732" spans="1:151" ht="96" x14ac:dyDescent="0.2">
      <c r="A732" s="242">
        <v>40357</v>
      </c>
      <c r="B732" s="107" t="s">
        <v>708</v>
      </c>
      <c r="C732" s="107" t="s">
        <v>2328</v>
      </c>
      <c r="D732" s="427" t="s">
        <v>1721</v>
      </c>
      <c r="E732" s="107" t="str">
        <f>VLOOKUP(B732&amp;C732,Divipola!$C$2:$F$1138,4,FALSE)</f>
        <v>50001</v>
      </c>
      <c r="F732" s="330"/>
      <c r="G732" s="224"/>
      <c r="H732" s="75"/>
      <c r="I732" s="75"/>
      <c r="J732" s="75"/>
      <c r="K732" s="75"/>
      <c r="L732" s="75"/>
      <c r="M732" s="75"/>
      <c r="N732" s="75"/>
      <c r="O732" s="75"/>
      <c r="P732" s="75"/>
      <c r="Q732" s="75"/>
      <c r="R732" s="75"/>
      <c r="S732" s="75"/>
      <c r="T732" s="75"/>
      <c r="U732" s="75"/>
      <c r="V732" s="76"/>
      <c r="W732" s="205" t="s">
        <v>1278</v>
      </c>
      <c r="X732" s="1"/>
      <c r="Y732" s="78">
        <f t="shared" si="90"/>
        <v>0</v>
      </c>
      <c r="Z732" s="78">
        <f t="shared" si="91"/>
        <v>0</v>
      </c>
      <c r="AA732" s="78">
        <v>150021709.91999999</v>
      </c>
      <c r="AB732" s="78">
        <f t="shared" si="93"/>
        <v>0</v>
      </c>
      <c r="AC732" s="78"/>
      <c r="AD732" s="78">
        <v>0</v>
      </c>
      <c r="AE732" s="80">
        <f t="shared" si="95"/>
        <v>150021709.91999999</v>
      </c>
      <c r="AF732" s="82">
        <v>0</v>
      </c>
      <c r="AG732" s="69">
        <v>40358</v>
      </c>
      <c r="AH732" s="84"/>
      <c r="AI732" s="69" t="s">
        <v>2009</v>
      </c>
      <c r="AJ732" s="25" t="s">
        <v>2010</v>
      </c>
      <c r="AK732" s="65"/>
      <c r="AL732" s="185" t="s">
        <v>2182</v>
      </c>
      <c r="AM732" s="85" t="s">
        <v>2564</v>
      </c>
      <c r="AN732" s="3"/>
      <c r="AO732" s="4"/>
      <c r="AP732" s="5"/>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6"/>
      <c r="CQ732" s="7"/>
      <c r="CR732" s="6"/>
      <c r="CS732" s="7"/>
      <c r="CT732" s="6"/>
      <c r="CU732" s="7"/>
      <c r="CV732" s="8">
        <f t="shared" si="94"/>
        <v>0</v>
      </c>
      <c r="CW732" s="9"/>
      <c r="CX732" s="10"/>
      <c r="CY732" s="11"/>
      <c r="CZ732" s="12"/>
      <c r="DA732" s="29"/>
      <c r="DB732" s="12"/>
      <c r="DC732" s="9"/>
      <c r="DD732" s="10"/>
      <c r="DE732" s="71"/>
      <c r="EO732" s="353" t="str">
        <f t="shared" si="89"/>
        <v>META_VILLAVICENCIO</v>
      </c>
      <c r="EP732" s="350"/>
      <c r="EQ732" s="350" t="s">
        <v>4485</v>
      </c>
      <c r="ER732" s="358" t="s">
        <v>4486</v>
      </c>
      <c r="ES732" s="350" t="s">
        <v>5399</v>
      </c>
      <c r="ET732" s="350" t="s">
        <v>3379</v>
      </c>
      <c r="EU732" s="350" t="str">
        <f t="shared" si="96"/>
        <v>Nariño_Colon</v>
      </c>
    </row>
    <row r="733" spans="1:151" ht="38.25" x14ac:dyDescent="0.2">
      <c r="A733" s="242">
        <v>40358</v>
      </c>
      <c r="B733" s="107" t="s">
        <v>1700</v>
      </c>
      <c r="C733" s="107" t="s">
        <v>1469</v>
      </c>
      <c r="D733" s="427" t="s">
        <v>2209</v>
      </c>
      <c r="E733" s="107" t="str">
        <f>VLOOKUP(B733&amp;C733,Divipola!$C$2:$F$1138,4,FALSE)</f>
        <v>23686</v>
      </c>
      <c r="F733" s="330"/>
      <c r="G733" s="224"/>
      <c r="H733" s="75"/>
      <c r="I733" s="75"/>
      <c r="J733" s="75">
        <v>140</v>
      </c>
      <c r="K733" s="75">
        <v>28</v>
      </c>
      <c r="L733" s="75"/>
      <c r="M733" s="75">
        <v>25</v>
      </c>
      <c r="N733" s="75"/>
      <c r="O733" s="75"/>
      <c r="P733" s="75"/>
      <c r="Q733" s="75"/>
      <c r="R733" s="75"/>
      <c r="S733" s="75"/>
      <c r="T733" s="75"/>
      <c r="U733" s="75"/>
      <c r="V733" s="76"/>
      <c r="W733" s="205"/>
      <c r="X733" s="1"/>
      <c r="Y733" s="78">
        <f t="shared" si="90"/>
        <v>0</v>
      </c>
      <c r="Z733" s="78">
        <f t="shared" si="91"/>
        <v>0</v>
      </c>
      <c r="AA733" s="78">
        <f t="shared" ref="AA733:AA764" si="97">DB733+DD733</f>
        <v>0</v>
      </c>
      <c r="AB733" s="78">
        <f t="shared" si="93"/>
        <v>0</v>
      </c>
      <c r="AC733" s="78"/>
      <c r="AD733" s="78">
        <v>0</v>
      </c>
      <c r="AE733" s="80">
        <f t="shared" si="95"/>
        <v>0</v>
      </c>
      <c r="AF733" s="82">
        <v>0</v>
      </c>
      <c r="AG733" s="69">
        <v>40360</v>
      </c>
      <c r="AH733" s="84"/>
      <c r="AI733" s="69" t="s">
        <v>1984</v>
      </c>
      <c r="AJ733" s="25" t="s">
        <v>1985</v>
      </c>
      <c r="AK733" s="65"/>
      <c r="AL733" s="185" t="s">
        <v>1257</v>
      </c>
      <c r="AM733" s="85" t="s">
        <v>1470</v>
      </c>
      <c r="AN733" s="3"/>
      <c r="AO733" s="4"/>
      <c r="AP733" s="5"/>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6"/>
      <c r="CQ733" s="7"/>
      <c r="CR733" s="6"/>
      <c r="CS733" s="7"/>
      <c r="CT733" s="6"/>
      <c r="CU733" s="7"/>
      <c r="CV733" s="8">
        <f t="shared" si="94"/>
        <v>0</v>
      </c>
      <c r="CW733" s="9"/>
      <c r="CX733" s="10"/>
      <c r="CY733" s="11"/>
      <c r="CZ733" s="12"/>
      <c r="DA733" s="29"/>
      <c r="DB733" s="12"/>
      <c r="DC733" s="9"/>
      <c r="DD733" s="10"/>
      <c r="DE733" s="71"/>
      <c r="EO733" s="353" t="str">
        <f t="shared" si="89"/>
        <v>CORDOBA_SAN PELAYO</v>
      </c>
      <c r="EP733" s="350"/>
      <c r="EQ733" s="350" t="s">
        <v>4485</v>
      </c>
      <c r="ER733" s="358" t="s">
        <v>4486</v>
      </c>
      <c r="ES733" s="350" t="s">
        <v>5400</v>
      </c>
      <c r="ET733" s="350" t="s">
        <v>3380</v>
      </c>
      <c r="EU733" s="350" t="str">
        <f t="shared" si="96"/>
        <v>Nariño_Consaca</v>
      </c>
    </row>
    <row r="734" spans="1:151" ht="25.5" x14ac:dyDescent="0.2">
      <c r="A734" s="242">
        <v>40358</v>
      </c>
      <c r="B734" s="107" t="s">
        <v>708</v>
      </c>
      <c r="C734" s="107" t="s">
        <v>2736</v>
      </c>
      <c r="D734" s="427" t="s">
        <v>837</v>
      </c>
      <c r="E734" s="107" t="str">
        <f>VLOOKUP(B734&amp;C734,Divipola!$C$2:$F$1138,4,FALSE)</f>
        <v>50606</v>
      </c>
      <c r="F734" s="330"/>
      <c r="G734" s="224"/>
      <c r="H734" s="75"/>
      <c r="I734" s="75"/>
      <c r="J734" s="75">
        <v>40</v>
      </c>
      <c r="K734" s="75">
        <v>8</v>
      </c>
      <c r="L734" s="75"/>
      <c r="M734" s="75">
        <v>8</v>
      </c>
      <c r="N734" s="75"/>
      <c r="O734" s="75"/>
      <c r="P734" s="75"/>
      <c r="Q734" s="75"/>
      <c r="R734" s="75"/>
      <c r="S734" s="75"/>
      <c r="T734" s="75"/>
      <c r="U734" s="75"/>
      <c r="V734" s="76"/>
      <c r="W734" s="205"/>
      <c r="X734" s="1"/>
      <c r="Y734" s="78">
        <f t="shared" si="90"/>
        <v>0</v>
      </c>
      <c r="Z734" s="78">
        <f t="shared" si="91"/>
        <v>0</v>
      </c>
      <c r="AA734" s="78">
        <f t="shared" si="97"/>
        <v>0</v>
      </c>
      <c r="AB734" s="78">
        <f t="shared" si="93"/>
        <v>0</v>
      </c>
      <c r="AC734" s="78"/>
      <c r="AD734" s="78">
        <v>0</v>
      </c>
      <c r="AE734" s="80">
        <f t="shared" si="95"/>
        <v>0</v>
      </c>
      <c r="AF734" s="82">
        <v>0</v>
      </c>
      <c r="AG734" s="69">
        <v>40360</v>
      </c>
      <c r="AH734" s="84"/>
      <c r="AI734" s="69" t="s">
        <v>1984</v>
      </c>
      <c r="AJ734" s="25" t="s">
        <v>1985</v>
      </c>
      <c r="AK734" s="65"/>
      <c r="AL734" s="185" t="s">
        <v>1257</v>
      </c>
      <c r="AM734" s="85" t="s">
        <v>2737</v>
      </c>
      <c r="AN734" s="3"/>
      <c r="AO734" s="4"/>
      <c r="AP734" s="5"/>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6"/>
      <c r="CQ734" s="7"/>
      <c r="CR734" s="6"/>
      <c r="CS734" s="7"/>
      <c r="CT734" s="6"/>
      <c r="CU734" s="7"/>
      <c r="CV734" s="8">
        <f t="shared" si="94"/>
        <v>0</v>
      </c>
      <c r="CW734" s="9"/>
      <c r="CX734" s="10"/>
      <c r="CY734" s="11"/>
      <c r="CZ734" s="12"/>
      <c r="DA734" s="29"/>
      <c r="DB734" s="12"/>
      <c r="DC734" s="9"/>
      <c r="DD734" s="10"/>
      <c r="DE734" s="71"/>
      <c r="EO734" s="353" t="str">
        <f t="shared" si="89"/>
        <v>META_RESTREPO</v>
      </c>
      <c r="EP734" s="350"/>
      <c r="EQ734" s="350" t="s">
        <v>4485</v>
      </c>
      <c r="ER734" s="358" t="s">
        <v>4486</v>
      </c>
      <c r="ES734" s="350" t="s">
        <v>5401</v>
      </c>
      <c r="ET734" s="350" t="s">
        <v>3381</v>
      </c>
      <c r="EU734" s="350" t="str">
        <f t="shared" si="96"/>
        <v>Nariño_Contadero</v>
      </c>
    </row>
    <row r="735" spans="1:151" ht="36" x14ac:dyDescent="0.2">
      <c r="A735" s="242">
        <v>40358</v>
      </c>
      <c r="B735" s="107" t="s">
        <v>708</v>
      </c>
      <c r="C735" s="107" t="s">
        <v>2328</v>
      </c>
      <c r="D735" s="427" t="s">
        <v>2734</v>
      </c>
      <c r="E735" s="107" t="str">
        <f>VLOOKUP(B735&amp;C735,Divipola!$C$2:$F$1138,4,FALSE)</f>
        <v>50001</v>
      </c>
      <c r="F735" s="330"/>
      <c r="G735" s="224">
        <v>1</v>
      </c>
      <c r="H735" s="75"/>
      <c r="I735" s="75">
        <v>1</v>
      </c>
      <c r="J735" s="75"/>
      <c r="K735" s="75"/>
      <c r="L735" s="75"/>
      <c r="M735" s="75"/>
      <c r="N735" s="75"/>
      <c r="O735" s="75"/>
      <c r="P735" s="75"/>
      <c r="Q735" s="75"/>
      <c r="R735" s="75"/>
      <c r="S735" s="75"/>
      <c r="T735" s="75"/>
      <c r="U735" s="75"/>
      <c r="V735" s="76"/>
      <c r="W735" s="205"/>
      <c r="X735" s="1"/>
      <c r="Y735" s="78">
        <f t="shared" si="90"/>
        <v>0</v>
      </c>
      <c r="Z735" s="78">
        <f t="shared" si="91"/>
        <v>0</v>
      </c>
      <c r="AA735" s="78">
        <f t="shared" si="97"/>
        <v>0</v>
      </c>
      <c r="AB735" s="78">
        <f t="shared" si="93"/>
        <v>0</v>
      </c>
      <c r="AC735" s="78"/>
      <c r="AD735" s="78">
        <v>0</v>
      </c>
      <c r="AE735" s="80">
        <f t="shared" si="95"/>
        <v>0</v>
      </c>
      <c r="AF735" s="82">
        <v>0</v>
      </c>
      <c r="AG735" s="69">
        <v>40360</v>
      </c>
      <c r="AH735" s="84"/>
      <c r="AI735" s="69" t="s">
        <v>1984</v>
      </c>
      <c r="AJ735" s="25" t="s">
        <v>1985</v>
      </c>
      <c r="AK735" s="65"/>
      <c r="AL735" s="185" t="s">
        <v>1257</v>
      </c>
      <c r="AM735" s="85" t="s">
        <v>2735</v>
      </c>
      <c r="AN735" s="3"/>
      <c r="AO735" s="4"/>
      <c r="AP735" s="5"/>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6"/>
      <c r="CQ735" s="7"/>
      <c r="CR735" s="6"/>
      <c r="CS735" s="7"/>
      <c r="CT735" s="6"/>
      <c r="CU735" s="7"/>
      <c r="CV735" s="8">
        <f t="shared" si="94"/>
        <v>0</v>
      </c>
      <c r="CW735" s="9"/>
      <c r="CX735" s="10"/>
      <c r="CY735" s="11"/>
      <c r="CZ735" s="12"/>
      <c r="DA735" s="29"/>
      <c r="DB735" s="12"/>
      <c r="DC735" s="9"/>
      <c r="DD735" s="10"/>
      <c r="DE735" s="71"/>
      <c r="EO735" s="353" t="str">
        <f t="shared" si="89"/>
        <v>META_VILLAVICENCIO</v>
      </c>
      <c r="EP735" s="350"/>
      <c r="EQ735" s="350" t="s">
        <v>4485</v>
      </c>
      <c r="ER735" s="358" t="s">
        <v>4486</v>
      </c>
      <c r="ES735" s="350" t="s">
        <v>5402</v>
      </c>
      <c r="ET735" s="350" t="s">
        <v>4296</v>
      </c>
      <c r="EU735" s="350" t="str">
        <f t="shared" si="96"/>
        <v>Nariño_Cordoba</v>
      </c>
    </row>
    <row r="736" spans="1:151" ht="38.25" x14ac:dyDescent="0.2">
      <c r="A736" s="242">
        <v>40358</v>
      </c>
      <c r="B736" s="107" t="s">
        <v>1336</v>
      </c>
      <c r="C736" s="107" t="s">
        <v>151</v>
      </c>
      <c r="D736" s="427" t="s">
        <v>837</v>
      </c>
      <c r="E736" s="107" t="str">
        <f>VLOOKUP(B736&amp;C736,Divipola!$C$2:$F$1138,4,FALSE)</f>
        <v>54003</v>
      </c>
      <c r="F736" s="330"/>
      <c r="G736" s="224"/>
      <c r="H736" s="75"/>
      <c r="I736" s="75"/>
      <c r="J736" s="75">
        <f>4403-830</f>
        <v>3573</v>
      </c>
      <c r="K736" s="75">
        <f>818-166</f>
        <v>652</v>
      </c>
      <c r="L736" s="75">
        <v>5</v>
      </c>
      <c r="M736" s="75">
        <v>150</v>
      </c>
      <c r="N736" s="75">
        <v>22</v>
      </c>
      <c r="O736" s="75">
        <v>1</v>
      </c>
      <c r="P736" s="75">
        <v>16</v>
      </c>
      <c r="Q736" s="75"/>
      <c r="R736" s="75"/>
      <c r="S736" s="75"/>
      <c r="T736" s="75">
        <v>11</v>
      </c>
      <c r="U736" s="75"/>
      <c r="V736" s="76"/>
      <c r="W736" s="205"/>
      <c r="X736" s="1"/>
      <c r="Y736" s="78">
        <f t="shared" si="90"/>
        <v>0</v>
      </c>
      <c r="Z736" s="78">
        <f t="shared" si="91"/>
        <v>0</v>
      </c>
      <c r="AA736" s="78">
        <f t="shared" si="97"/>
        <v>0</v>
      </c>
      <c r="AB736" s="78">
        <f t="shared" si="93"/>
        <v>0</v>
      </c>
      <c r="AC736" s="78"/>
      <c r="AD736" s="78">
        <v>0</v>
      </c>
      <c r="AE736" s="80">
        <f t="shared" si="95"/>
        <v>0</v>
      </c>
      <c r="AF736" s="82">
        <v>0</v>
      </c>
      <c r="AG736" s="69">
        <v>40360</v>
      </c>
      <c r="AH736" s="84"/>
      <c r="AI736" s="69" t="s">
        <v>1984</v>
      </c>
      <c r="AJ736" s="25" t="s">
        <v>1985</v>
      </c>
      <c r="AK736" s="65"/>
      <c r="AL736" s="185" t="s">
        <v>1257</v>
      </c>
      <c r="AM736" s="85" t="s">
        <v>1471</v>
      </c>
      <c r="AN736" s="3"/>
      <c r="AO736" s="4"/>
      <c r="AP736" s="5"/>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6"/>
      <c r="CQ736" s="7"/>
      <c r="CR736" s="6"/>
      <c r="CS736" s="7"/>
      <c r="CT736" s="6"/>
      <c r="CU736" s="7"/>
      <c r="CV736" s="8">
        <f t="shared" si="94"/>
        <v>0</v>
      </c>
      <c r="CW736" s="9"/>
      <c r="CX736" s="10"/>
      <c r="CY736" s="11"/>
      <c r="CZ736" s="12"/>
      <c r="DA736" s="29"/>
      <c r="DB736" s="12"/>
      <c r="DC736" s="9"/>
      <c r="DD736" s="10"/>
      <c r="DE736" s="71"/>
      <c r="EO736" s="353" t="str">
        <f t="shared" si="89"/>
        <v>NORTE DE SANTANDER_ABREGO</v>
      </c>
      <c r="EP736" s="350"/>
      <c r="EQ736" s="350" t="s">
        <v>4485</v>
      </c>
      <c r="ER736" s="358" t="s">
        <v>4486</v>
      </c>
      <c r="ES736" s="350" t="s">
        <v>5403</v>
      </c>
      <c r="ET736" s="350" t="s">
        <v>3382</v>
      </c>
      <c r="EU736" s="350" t="str">
        <f t="shared" si="96"/>
        <v>Nariño_Cuaspud</v>
      </c>
    </row>
    <row r="737" spans="1:151" ht="51" x14ac:dyDescent="0.2">
      <c r="A737" s="242">
        <v>40358</v>
      </c>
      <c r="B737" s="107" t="s">
        <v>1462</v>
      </c>
      <c r="C737" s="107" t="s">
        <v>4615</v>
      </c>
      <c r="D737" s="427" t="s">
        <v>1721</v>
      </c>
      <c r="E737" s="107" t="str">
        <f>VLOOKUP(B737&amp;C737,Divipola!$C$2:$F$1138,4,FALSE)</f>
        <v>76001</v>
      </c>
      <c r="F737" s="330"/>
      <c r="G737" s="224"/>
      <c r="H737" s="75"/>
      <c r="I737" s="75"/>
      <c r="J737" s="75">
        <v>37</v>
      </c>
      <c r="K737" s="75">
        <v>9</v>
      </c>
      <c r="L737" s="75">
        <v>5</v>
      </c>
      <c r="M737" s="75">
        <v>2</v>
      </c>
      <c r="N737" s="75"/>
      <c r="O737" s="75"/>
      <c r="P737" s="75"/>
      <c r="Q737" s="75"/>
      <c r="R737" s="75"/>
      <c r="S737" s="75"/>
      <c r="T737" s="75"/>
      <c r="U737" s="75"/>
      <c r="V737" s="76"/>
      <c r="W737" s="205"/>
      <c r="X737" s="1"/>
      <c r="Y737" s="78">
        <f t="shared" si="90"/>
        <v>0</v>
      </c>
      <c r="Z737" s="78">
        <f t="shared" si="91"/>
        <v>0</v>
      </c>
      <c r="AA737" s="78">
        <f t="shared" si="97"/>
        <v>0</v>
      </c>
      <c r="AB737" s="78">
        <f t="shared" si="93"/>
        <v>0</v>
      </c>
      <c r="AC737" s="78"/>
      <c r="AD737" s="78">
        <v>0</v>
      </c>
      <c r="AE737" s="80">
        <f t="shared" si="95"/>
        <v>0</v>
      </c>
      <c r="AF737" s="82">
        <v>0</v>
      </c>
      <c r="AG737" s="69">
        <v>40360</v>
      </c>
      <c r="AH737" s="84"/>
      <c r="AI737" s="69" t="s">
        <v>1984</v>
      </c>
      <c r="AJ737" s="25" t="s">
        <v>1985</v>
      </c>
      <c r="AK737" s="65"/>
      <c r="AL737" s="185" t="s">
        <v>1257</v>
      </c>
      <c r="AM737" s="85" t="s">
        <v>1472</v>
      </c>
      <c r="AN737" s="3"/>
      <c r="AO737" s="4"/>
      <c r="AP737" s="5"/>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6"/>
      <c r="CQ737" s="7"/>
      <c r="CR737" s="6"/>
      <c r="CS737" s="7"/>
      <c r="CT737" s="6"/>
      <c r="CU737" s="7"/>
      <c r="CV737" s="8">
        <f t="shared" si="94"/>
        <v>0</v>
      </c>
      <c r="CW737" s="9"/>
      <c r="CX737" s="10"/>
      <c r="CY737" s="11"/>
      <c r="CZ737" s="12"/>
      <c r="DA737" s="29"/>
      <c r="DB737" s="12"/>
      <c r="DC737" s="9"/>
      <c r="DD737" s="10"/>
      <c r="DE737" s="71"/>
      <c r="EO737" s="353" t="str">
        <f t="shared" si="89"/>
        <v>VALLE DEL CAUCA_CALI</v>
      </c>
      <c r="EP737" s="350"/>
      <c r="EQ737" s="350" t="s">
        <v>4485</v>
      </c>
      <c r="ER737" s="358" t="s">
        <v>4486</v>
      </c>
      <c r="ES737" s="350" t="s">
        <v>5404</v>
      </c>
      <c r="ET737" s="350" t="s">
        <v>3383</v>
      </c>
      <c r="EU737" s="350" t="str">
        <f t="shared" si="96"/>
        <v>Nariño_Cumbal</v>
      </c>
    </row>
    <row r="738" spans="1:151" ht="36" x14ac:dyDescent="0.2">
      <c r="A738" s="242">
        <v>40360</v>
      </c>
      <c r="B738" s="107" t="s">
        <v>1189</v>
      </c>
      <c r="C738" s="107" t="s">
        <v>2414</v>
      </c>
      <c r="D738" s="427" t="s">
        <v>837</v>
      </c>
      <c r="E738" s="107" t="str">
        <f>VLOOKUP(B738&amp;C738,Divipola!$C$2:$F$1138,4,FALSE)</f>
        <v>85139</v>
      </c>
      <c r="F738" s="330"/>
      <c r="G738" s="224"/>
      <c r="H738" s="75"/>
      <c r="I738" s="75"/>
      <c r="J738" s="75">
        <v>102</v>
      </c>
      <c r="K738" s="75">
        <v>18</v>
      </c>
      <c r="L738" s="75"/>
      <c r="M738" s="75">
        <v>18</v>
      </c>
      <c r="N738" s="75"/>
      <c r="O738" s="75"/>
      <c r="P738" s="75"/>
      <c r="Q738" s="75"/>
      <c r="R738" s="75"/>
      <c r="S738" s="75"/>
      <c r="T738" s="75"/>
      <c r="U738" s="75"/>
      <c r="V738" s="76"/>
      <c r="W738" s="205"/>
      <c r="X738" s="1"/>
      <c r="Y738" s="78">
        <f t="shared" si="90"/>
        <v>0</v>
      </c>
      <c r="Z738" s="78">
        <f t="shared" si="91"/>
        <v>0</v>
      </c>
      <c r="AA738" s="78">
        <f t="shared" si="97"/>
        <v>0</v>
      </c>
      <c r="AB738" s="78">
        <f t="shared" si="93"/>
        <v>0</v>
      </c>
      <c r="AC738" s="78"/>
      <c r="AD738" s="78">
        <v>0</v>
      </c>
      <c r="AE738" s="80">
        <f t="shared" si="95"/>
        <v>0</v>
      </c>
      <c r="AF738" s="82">
        <v>0</v>
      </c>
      <c r="AG738" s="69">
        <v>40361</v>
      </c>
      <c r="AH738" s="84"/>
      <c r="AI738" s="69" t="s">
        <v>1984</v>
      </c>
      <c r="AJ738" s="25" t="s">
        <v>1985</v>
      </c>
      <c r="AK738" s="65"/>
      <c r="AL738" s="185" t="s">
        <v>1257</v>
      </c>
      <c r="AM738" s="85" t="s">
        <v>238</v>
      </c>
      <c r="AN738" s="3"/>
      <c r="AO738" s="4"/>
      <c r="AP738" s="5"/>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6"/>
      <c r="CQ738" s="7"/>
      <c r="CR738" s="6"/>
      <c r="CS738" s="7"/>
      <c r="CT738" s="6"/>
      <c r="CU738" s="7"/>
      <c r="CV738" s="8">
        <f t="shared" si="94"/>
        <v>0</v>
      </c>
      <c r="CW738" s="9"/>
      <c r="CX738" s="10"/>
      <c r="CY738" s="11"/>
      <c r="CZ738" s="12"/>
      <c r="DA738" s="29"/>
      <c r="DB738" s="12"/>
      <c r="DC738" s="9"/>
      <c r="DD738" s="10"/>
      <c r="DE738" s="71"/>
      <c r="DF738" s="23">
        <v>1139</v>
      </c>
      <c r="EO738" s="353" t="str">
        <f t="shared" si="89"/>
        <v>CASANARE_MANI</v>
      </c>
      <c r="EP738" s="350"/>
      <c r="EQ738" s="350" t="s">
        <v>4485</v>
      </c>
      <c r="ER738" s="358" t="s">
        <v>4486</v>
      </c>
      <c r="ES738" s="350" t="s">
        <v>5405</v>
      </c>
      <c r="ET738" s="350" t="s">
        <v>3384</v>
      </c>
      <c r="EU738" s="350" t="str">
        <f t="shared" si="96"/>
        <v>Nariño_Cumbitara</v>
      </c>
    </row>
    <row r="739" spans="1:151" ht="38.25" x14ac:dyDescent="0.2">
      <c r="A739" s="242">
        <v>40360</v>
      </c>
      <c r="B739" s="107" t="s">
        <v>5778</v>
      </c>
      <c r="C739" s="107" t="s">
        <v>1060</v>
      </c>
      <c r="D739" s="427" t="s">
        <v>837</v>
      </c>
      <c r="E739" s="107" t="str">
        <f>VLOOKUP(B739&amp;C739,Divipola!$C$2:$F$1138,4,FALSE)</f>
        <v>44001</v>
      </c>
      <c r="F739" s="330"/>
      <c r="G739" s="224"/>
      <c r="H739" s="75"/>
      <c r="I739" s="75"/>
      <c r="J739" s="75">
        <f>425*5</f>
        <v>2125</v>
      </c>
      <c r="K739" s="75">
        <v>425</v>
      </c>
      <c r="L739" s="75"/>
      <c r="M739" s="75"/>
      <c r="N739" s="75"/>
      <c r="O739" s="75"/>
      <c r="P739" s="75"/>
      <c r="Q739" s="75"/>
      <c r="R739" s="75"/>
      <c r="S739" s="75"/>
      <c r="T739" s="75"/>
      <c r="U739" s="75"/>
      <c r="V739" s="76"/>
      <c r="W739" s="205"/>
      <c r="X739" s="1"/>
      <c r="Y739" s="78">
        <f t="shared" si="90"/>
        <v>0</v>
      </c>
      <c r="Z739" s="78">
        <f t="shared" si="91"/>
        <v>0</v>
      </c>
      <c r="AA739" s="78">
        <f t="shared" si="97"/>
        <v>0</v>
      </c>
      <c r="AB739" s="78">
        <f t="shared" si="93"/>
        <v>0</v>
      </c>
      <c r="AC739" s="78"/>
      <c r="AD739" s="78">
        <v>0</v>
      </c>
      <c r="AE739" s="80">
        <f t="shared" si="95"/>
        <v>0</v>
      </c>
      <c r="AF739" s="82">
        <v>0</v>
      </c>
      <c r="AG739" s="69">
        <v>40392</v>
      </c>
      <c r="AH739" s="84"/>
      <c r="AI739" s="69" t="s">
        <v>2009</v>
      </c>
      <c r="AJ739" s="25" t="s">
        <v>2010</v>
      </c>
      <c r="AK739" s="65"/>
      <c r="AL739" s="214" t="s">
        <v>485</v>
      </c>
      <c r="AM739" s="85" t="s">
        <v>1061</v>
      </c>
      <c r="AN739" s="3"/>
      <c r="AO739" s="4"/>
      <c r="AP739" s="5"/>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6"/>
      <c r="CQ739" s="7"/>
      <c r="CR739" s="6"/>
      <c r="CS739" s="7"/>
      <c r="CT739" s="6"/>
      <c r="CU739" s="7"/>
      <c r="CV739" s="8">
        <f t="shared" si="94"/>
        <v>0</v>
      </c>
      <c r="CW739" s="9"/>
      <c r="CX739" s="10"/>
      <c r="CY739" s="11"/>
      <c r="CZ739" s="12"/>
      <c r="DA739" s="29"/>
      <c r="DB739" s="12"/>
      <c r="DC739" s="9"/>
      <c r="DD739" s="10"/>
      <c r="DE739" s="71"/>
      <c r="EO739" s="353" t="str">
        <f t="shared" si="89"/>
        <v>LA GUAJIRA_RIOHACHA</v>
      </c>
      <c r="EP739" s="350"/>
      <c r="EQ739" s="350" t="s">
        <v>4485</v>
      </c>
      <c r="ER739" s="358" t="s">
        <v>4486</v>
      </c>
      <c r="ES739" s="350" t="s">
        <v>5406</v>
      </c>
      <c r="ET739" s="350" t="s">
        <v>3385</v>
      </c>
      <c r="EU739" s="350" t="str">
        <f t="shared" si="96"/>
        <v>Nariño_Chachagui</v>
      </c>
    </row>
    <row r="740" spans="1:151" ht="45" x14ac:dyDescent="0.2">
      <c r="A740" s="242">
        <v>40360</v>
      </c>
      <c r="B740" s="107" t="s">
        <v>2014</v>
      </c>
      <c r="C740" s="107" t="s">
        <v>1992</v>
      </c>
      <c r="D740" s="427" t="s">
        <v>2209</v>
      </c>
      <c r="E740" s="107" t="str">
        <f>VLOOKUP(B740&amp;C740,Divipola!$C$2:$F$1138,4,FALSE)</f>
        <v>63401</v>
      </c>
      <c r="F740" s="330"/>
      <c r="G740" s="224"/>
      <c r="H740" s="75"/>
      <c r="I740" s="75"/>
      <c r="J740" s="75">
        <v>50</v>
      </c>
      <c r="K740" s="75">
        <v>10</v>
      </c>
      <c r="L740" s="75"/>
      <c r="M740" s="75">
        <v>10</v>
      </c>
      <c r="N740" s="75"/>
      <c r="O740" s="75"/>
      <c r="P740" s="75"/>
      <c r="Q740" s="75"/>
      <c r="R740" s="75"/>
      <c r="S740" s="75"/>
      <c r="T740" s="75"/>
      <c r="U740" s="75"/>
      <c r="V740" s="76"/>
      <c r="W740" s="205" t="s">
        <v>241</v>
      </c>
      <c r="X740" s="1">
        <v>40386</v>
      </c>
      <c r="Y740" s="78">
        <f t="shared" si="90"/>
        <v>1344000</v>
      </c>
      <c r="Z740" s="78">
        <f t="shared" si="91"/>
        <v>0</v>
      </c>
      <c r="AA740" s="78">
        <f t="shared" si="97"/>
        <v>1925000</v>
      </c>
      <c r="AB740" s="78">
        <f t="shared" si="93"/>
        <v>0</v>
      </c>
      <c r="AC740" s="78"/>
      <c r="AD740" s="78">
        <v>0</v>
      </c>
      <c r="AE740" s="80">
        <f t="shared" si="95"/>
        <v>3269000</v>
      </c>
      <c r="AF740" s="82">
        <v>0</v>
      </c>
      <c r="AG740" s="69">
        <v>40365</v>
      </c>
      <c r="AH740" s="84">
        <v>32813</v>
      </c>
      <c r="AI740" s="69" t="s">
        <v>2009</v>
      </c>
      <c r="AJ740" s="25" t="s">
        <v>2010</v>
      </c>
      <c r="AK740" s="65">
        <v>218</v>
      </c>
      <c r="AL740" s="185" t="s">
        <v>2182</v>
      </c>
      <c r="AM740" s="85" t="s">
        <v>1001</v>
      </c>
      <c r="AN740" s="3"/>
      <c r="AO740" s="4"/>
      <c r="AP740" s="5"/>
      <c r="AQ740" s="4"/>
      <c r="AR740" s="4"/>
      <c r="AS740" s="4"/>
      <c r="AT740" s="4"/>
      <c r="AU740" s="4"/>
      <c r="AV740" s="4"/>
      <c r="AW740" s="4"/>
      <c r="AX740" s="4"/>
      <c r="AY740" s="4"/>
      <c r="AZ740" s="4">
        <v>24</v>
      </c>
      <c r="BA740" s="4">
        <f>24*56000</f>
        <v>1344000</v>
      </c>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6"/>
      <c r="CQ740" s="7"/>
      <c r="CR740" s="6"/>
      <c r="CS740" s="7"/>
      <c r="CT740" s="6"/>
      <c r="CU740" s="7"/>
      <c r="CV740" s="8">
        <f t="shared" si="94"/>
        <v>1344000</v>
      </c>
      <c r="CW740" s="9"/>
      <c r="CX740" s="10"/>
      <c r="CY740" s="11"/>
      <c r="CZ740" s="12"/>
      <c r="DA740" s="29"/>
      <c r="DB740" s="12"/>
      <c r="DC740" s="9">
        <f>55+20</f>
        <v>75</v>
      </c>
      <c r="DD740" s="10">
        <f>55*27000+20*22000</f>
        <v>1925000</v>
      </c>
      <c r="DE740" s="71"/>
      <c r="EO740" s="353" t="str">
        <f t="shared" si="89"/>
        <v>QUINDIO_LA TEBAIDA</v>
      </c>
      <c r="EP740" s="350"/>
      <c r="EQ740" s="350" t="s">
        <v>4485</v>
      </c>
      <c r="ER740" s="358" t="s">
        <v>4486</v>
      </c>
      <c r="ES740" s="350" t="s">
        <v>5407</v>
      </c>
      <c r="ET740" s="350" t="s">
        <v>3386</v>
      </c>
      <c r="EU740" s="350" t="str">
        <f t="shared" si="96"/>
        <v>Nariño_El Charco</v>
      </c>
    </row>
    <row r="741" spans="1:151" ht="48" x14ac:dyDescent="0.2">
      <c r="A741" s="242">
        <v>40360</v>
      </c>
      <c r="B741" s="107" t="s">
        <v>2014</v>
      </c>
      <c r="C741" s="107" t="s">
        <v>239</v>
      </c>
      <c r="D741" s="427" t="s">
        <v>2209</v>
      </c>
      <c r="E741" s="107" t="str">
        <f>VLOOKUP(B741&amp;C741,Divipola!$C$2:$F$1138,4,FALSE)</f>
        <v>63470</v>
      </c>
      <c r="F741" s="330"/>
      <c r="G741" s="224"/>
      <c r="H741" s="75"/>
      <c r="I741" s="75"/>
      <c r="J741" s="75">
        <f>150*5</f>
        <v>750</v>
      </c>
      <c r="K741" s="75">
        <v>150</v>
      </c>
      <c r="L741" s="75"/>
      <c r="M741" s="75">
        <v>46</v>
      </c>
      <c r="N741" s="75"/>
      <c r="O741" s="75"/>
      <c r="P741" s="75"/>
      <c r="Q741" s="75"/>
      <c r="R741" s="75"/>
      <c r="S741" s="75"/>
      <c r="T741" s="75"/>
      <c r="U741" s="75"/>
      <c r="V741" s="76"/>
      <c r="W741" s="205"/>
      <c r="X741" s="1">
        <v>40386</v>
      </c>
      <c r="Y741" s="78">
        <f t="shared" si="90"/>
        <v>4480000</v>
      </c>
      <c r="Z741" s="78">
        <f t="shared" si="91"/>
        <v>0</v>
      </c>
      <c r="AA741" s="78">
        <f t="shared" si="97"/>
        <v>7990000</v>
      </c>
      <c r="AB741" s="78">
        <f t="shared" si="93"/>
        <v>0</v>
      </c>
      <c r="AC741" s="78"/>
      <c r="AD741" s="78">
        <v>0</v>
      </c>
      <c r="AE741" s="80">
        <f t="shared" si="95"/>
        <v>12470000</v>
      </c>
      <c r="AF741" s="82">
        <v>0</v>
      </c>
      <c r="AG741" s="69">
        <v>40365</v>
      </c>
      <c r="AH741" s="84">
        <v>32813</v>
      </c>
      <c r="AI741" s="69" t="s">
        <v>2009</v>
      </c>
      <c r="AJ741" s="25" t="s">
        <v>2010</v>
      </c>
      <c r="AK741" s="65">
        <v>218</v>
      </c>
      <c r="AL741" s="185" t="s">
        <v>2182</v>
      </c>
      <c r="AM741" s="85" t="s">
        <v>240</v>
      </c>
      <c r="AN741" s="3"/>
      <c r="AO741" s="4"/>
      <c r="AP741" s="5"/>
      <c r="AQ741" s="4"/>
      <c r="AR741" s="4"/>
      <c r="AS741" s="4"/>
      <c r="AT741" s="4"/>
      <c r="AU741" s="4"/>
      <c r="AV741" s="4"/>
      <c r="AW741" s="4"/>
      <c r="AX741" s="4"/>
      <c r="AY741" s="4"/>
      <c r="AZ741" s="4">
        <v>80</v>
      </c>
      <c r="BA741" s="4">
        <f>80*56000</f>
        <v>4480000</v>
      </c>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6"/>
      <c r="CQ741" s="7"/>
      <c r="CR741" s="6"/>
      <c r="CS741" s="7"/>
      <c r="CT741" s="6"/>
      <c r="CU741" s="7"/>
      <c r="CV741" s="8">
        <f t="shared" si="94"/>
        <v>4480000</v>
      </c>
      <c r="CW741" s="9"/>
      <c r="CX741" s="10"/>
      <c r="CY741" s="11"/>
      <c r="CZ741" s="12"/>
      <c r="DA741" s="29"/>
      <c r="DB741" s="12"/>
      <c r="DC741" s="9">
        <f>190+130</f>
        <v>320</v>
      </c>
      <c r="DD741" s="10">
        <f>190*27000+130*22000</f>
        <v>7990000</v>
      </c>
      <c r="DE741" s="71"/>
      <c r="EO741" s="353" t="str">
        <f t="shared" si="89"/>
        <v>QUINDIO_MONTENEGRO</v>
      </c>
      <c r="EP741" s="350"/>
      <c r="EQ741" s="350" t="s">
        <v>4485</v>
      </c>
      <c r="ER741" s="358" t="s">
        <v>4486</v>
      </c>
      <c r="ES741" s="350" t="s">
        <v>5408</v>
      </c>
      <c r="ET741" s="350" t="s">
        <v>3387</v>
      </c>
      <c r="EU741" s="350" t="str">
        <f t="shared" si="96"/>
        <v>Nariño_El Peñol</v>
      </c>
    </row>
    <row r="742" spans="1:151" ht="45" x14ac:dyDescent="0.2">
      <c r="A742" s="242">
        <v>40360</v>
      </c>
      <c r="B742" s="107" t="s">
        <v>2014</v>
      </c>
      <c r="C742" s="107" t="s">
        <v>1978</v>
      </c>
      <c r="D742" s="427" t="s">
        <v>2209</v>
      </c>
      <c r="E742" s="107" t="str">
        <f>VLOOKUP(B742&amp;C742,Divipola!$C$2:$F$1138,4,FALSE)</f>
        <v>63594</v>
      </c>
      <c r="F742" s="330"/>
      <c r="G742" s="224"/>
      <c r="H742" s="75"/>
      <c r="I742" s="75"/>
      <c r="J742" s="75">
        <f>21*5</f>
        <v>105</v>
      </c>
      <c r="K742" s="75">
        <v>21</v>
      </c>
      <c r="L742" s="75"/>
      <c r="M742" s="75">
        <v>21</v>
      </c>
      <c r="N742" s="75"/>
      <c r="O742" s="75"/>
      <c r="P742" s="75"/>
      <c r="Q742" s="75"/>
      <c r="R742" s="75"/>
      <c r="S742" s="75"/>
      <c r="T742" s="75"/>
      <c r="U742" s="75"/>
      <c r="V742" s="76"/>
      <c r="W742" s="205"/>
      <c r="X742" s="1">
        <v>40386</v>
      </c>
      <c r="Y742" s="78">
        <f t="shared" si="90"/>
        <v>3080000</v>
      </c>
      <c r="Z742" s="78">
        <f t="shared" si="91"/>
        <v>0</v>
      </c>
      <c r="AA742" s="78">
        <f t="shared" si="97"/>
        <v>4290000</v>
      </c>
      <c r="AB742" s="78">
        <f t="shared" si="93"/>
        <v>0</v>
      </c>
      <c r="AC742" s="78"/>
      <c r="AD742" s="78">
        <v>0</v>
      </c>
      <c r="AE742" s="80">
        <f t="shared" si="95"/>
        <v>7370000</v>
      </c>
      <c r="AF742" s="82">
        <v>0</v>
      </c>
      <c r="AG742" s="69">
        <v>40365</v>
      </c>
      <c r="AH742" s="84">
        <v>32813</v>
      </c>
      <c r="AI742" s="69" t="s">
        <v>2009</v>
      </c>
      <c r="AJ742" s="25" t="s">
        <v>2010</v>
      </c>
      <c r="AK742" s="65">
        <v>218</v>
      </c>
      <c r="AL742" s="185" t="s">
        <v>2182</v>
      </c>
      <c r="AM742" s="85" t="s">
        <v>283</v>
      </c>
      <c r="AN742" s="3"/>
      <c r="AO742" s="4"/>
      <c r="AP742" s="5"/>
      <c r="AQ742" s="4"/>
      <c r="AR742" s="4"/>
      <c r="AS742" s="4"/>
      <c r="AT742" s="4"/>
      <c r="AU742" s="4"/>
      <c r="AV742" s="4"/>
      <c r="AW742" s="4"/>
      <c r="AX742" s="4"/>
      <c r="AY742" s="4"/>
      <c r="AZ742" s="4">
        <v>55</v>
      </c>
      <c r="BA742" s="4">
        <f>55*56000</f>
        <v>3080000</v>
      </c>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6"/>
      <c r="CQ742" s="7"/>
      <c r="CR742" s="6"/>
      <c r="CS742" s="7"/>
      <c r="CT742" s="6"/>
      <c r="CU742" s="7"/>
      <c r="CV742" s="8">
        <f t="shared" si="94"/>
        <v>3080000</v>
      </c>
      <c r="CW742" s="9"/>
      <c r="CX742" s="10"/>
      <c r="CY742" s="11"/>
      <c r="CZ742" s="12"/>
      <c r="DA742" s="29"/>
      <c r="DB742" s="12"/>
      <c r="DC742" s="9">
        <f>110+60</f>
        <v>170</v>
      </c>
      <c r="DD742" s="10">
        <f>110*27000+60*22000</f>
        <v>4290000</v>
      </c>
      <c r="DE742" s="71"/>
      <c r="DF742" s="23">
        <v>1145</v>
      </c>
      <c r="EO742" s="353" t="str">
        <f t="shared" si="89"/>
        <v>QUINDIO_QUIMBAYA</v>
      </c>
      <c r="EP742" s="350"/>
      <c r="EQ742" s="350" t="s">
        <v>4485</v>
      </c>
      <c r="ER742" s="358" t="s">
        <v>4486</v>
      </c>
      <c r="ES742" s="350" t="s">
        <v>5409</v>
      </c>
      <c r="ET742" s="350" t="s">
        <v>3388</v>
      </c>
      <c r="EU742" s="350" t="str">
        <f t="shared" si="96"/>
        <v>Nariño_El Rosario</v>
      </c>
    </row>
    <row r="743" spans="1:151" ht="51" x14ac:dyDescent="0.2">
      <c r="A743" s="242">
        <v>40360</v>
      </c>
      <c r="B743" s="107" t="s">
        <v>2427</v>
      </c>
      <c r="C743" s="107" t="s">
        <v>1457</v>
      </c>
      <c r="D743" s="427" t="s">
        <v>2209</v>
      </c>
      <c r="E743" s="107" t="str">
        <f>VLOOKUP(B743&amp;C743,Divipola!$C$2:$F$1138,4,FALSE)</f>
        <v>68081</v>
      </c>
      <c r="F743" s="330"/>
      <c r="G743" s="277"/>
      <c r="H743" s="75"/>
      <c r="I743" s="75"/>
      <c r="J743" s="75">
        <v>105</v>
      </c>
      <c r="K743" s="75">
        <v>21</v>
      </c>
      <c r="L743" s="75"/>
      <c r="M743" s="75"/>
      <c r="N743" s="75"/>
      <c r="O743" s="75"/>
      <c r="P743" s="75"/>
      <c r="Q743" s="75"/>
      <c r="R743" s="75"/>
      <c r="S743" s="75"/>
      <c r="T743" s="75"/>
      <c r="U743" s="75"/>
      <c r="V743" s="76"/>
      <c r="W743" s="205"/>
      <c r="X743" s="1"/>
      <c r="Y743" s="78">
        <f t="shared" si="90"/>
        <v>0</v>
      </c>
      <c r="Z743" s="78">
        <f t="shared" si="91"/>
        <v>0</v>
      </c>
      <c r="AA743" s="78">
        <f t="shared" si="97"/>
        <v>0</v>
      </c>
      <c r="AB743" s="78">
        <f t="shared" si="93"/>
        <v>0</v>
      </c>
      <c r="AC743" s="78"/>
      <c r="AD743" s="78">
        <v>0</v>
      </c>
      <c r="AE743" s="80">
        <f t="shared" si="95"/>
        <v>0</v>
      </c>
      <c r="AF743" s="82">
        <v>0</v>
      </c>
      <c r="AG743" s="69">
        <v>40367</v>
      </c>
      <c r="AH743" s="84">
        <v>38854</v>
      </c>
      <c r="AI743" s="69" t="s">
        <v>2009</v>
      </c>
      <c r="AJ743" s="25" t="s">
        <v>2010</v>
      </c>
      <c r="AK743" s="65"/>
      <c r="AL743" s="214" t="s">
        <v>1183</v>
      </c>
      <c r="AM743" s="85"/>
      <c r="AN743" s="3"/>
      <c r="AO743" s="4"/>
      <c r="AP743" s="5"/>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6"/>
      <c r="CQ743" s="7"/>
      <c r="CR743" s="6"/>
      <c r="CS743" s="7"/>
      <c r="CT743" s="6"/>
      <c r="CU743" s="7"/>
      <c r="CV743" s="8">
        <f t="shared" si="94"/>
        <v>0</v>
      </c>
      <c r="CW743" s="9"/>
      <c r="CX743" s="10"/>
      <c r="CY743" s="11"/>
      <c r="CZ743" s="12"/>
      <c r="DA743" s="29"/>
      <c r="DB743" s="12"/>
      <c r="DC743" s="9"/>
      <c r="DD743" s="10"/>
      <c r="DE743" s="71"/>
      <c r="DF743" s="23">
        <v>1140</v>
      </c>
      <c r="EO743" s="353" t="str">
        <f t="shared" ref="EO743:EO801" si="98">B743&amp;"_"&amp;C743</f>
        <v>SANTANDER_BARRANCABERMEJA</v>
      </c>
      <c r="EP743" s="350"/>
      <c r="EQ743" s="350" t="s">
        <v>4485</v>
      </c>
      <c r="ER743" s="358" t="s">
        <v>4486</v>
      </c>
      <c r="ES743" s="350" t="s">
        <v>5410</v>
      </c>
      <c r="ET743" s="350" t="s">
        <v>3389</v>
      </c>
      <c r="EU743" s="350" t="str">
        <f t="shared" si="96"/>
        <v>Nariño_El Tablon de Gomez</v>
      </c>
    </row>
    <row r="744" spans="1:151" ht="25.5" x14ac:dyDescent="0.2">
      <c r="A744" s="242">
        <v>40360</v>
      </c>
      <c r="B744" s="222" t="s">
        <v>2791</v>
      </c>
      <c r="C744" s="222" t="s">
        <v>2216</v>
      </c>
      <c r="D744" s="430" t="s">
        <v>837</v>
      </c>
      <c r="E744" s="107" t="str">
        <f>VLOOKUP(B744&amp;C744,Divipola!$C$2:$F$1138,4,FALSE)</f>
        <v>73411</v>
      </c>
      <c r="F744" s="333"/>
      <c r="G744" s="221"/>
      <c r="H744" s="157"/>
      <c r="I744" s="157"/>
      <c r="J744" s="157">
        <v>572</v>
      </c>
      <c r="K744" s="157">
        <v>127</v>
      </c>
      <c r="L744" s="157">
        <v>24</v>
      </c>
      <c r="M744" s="157">
        <v>102</v>
      </c>
      <c r="N744" s="157"/>
      <c r="O744" s="157"/>
      <c r="P744" s="157"/>
      <c r="Q744" s="157"/>
      <c r="R744" s="157"/>
      <c r="S744" s="157"/>
      <c r="T744" s="157"/>
      <c r="U744" s="157"/>
      <c r="V744" s="158">
        <v>53.5</v>
      </c>
      <c r="W744" s="182"/>
      <c r="X744" s="1"/>
      <c r="Y744" s="78">
        <f t="shared" si="90"/>
        <v>0</v>
      </c>
      <c r="Z744" s="78">
        <f t="shared" si="91"/>
        <v>0</v>
      </c>
      <c r="AA744" s="78">
        <f t="shared" si="97"/>
        <v>0</v>
      </c>
      <c r="AB744" s="78">
        <f t="shared" si="93"/>
        <v>0</v>
      </c>
      <c r="AC744" s="78"/>
      <c r="AD744" s="78">
        <v>0</v>
      </c>
      <c r="AE744" s="80">
        <f t="shared" si="95"/>
        <v>0</v>
      </c>
      <c r="AF744" s="82">
        <v>0</v>
      </c>
      <c r="AG744" s="69"/>
      <c r="AH744" s="84"/>
      <c r="AI744" s="69" t="s">
        <v>1984</v>
      </c>
      <c r="AJ744" s="25" t="s">
        <v>1985</v>
      </c>
      <c r="AK744" s="65"/>
      <c r="AL744" s="176" t="s">
        <v>1257</v>
      </c>
      <c r="AM744" s="173" t="s">
        <v>457</v>
      </c>
      <c r="AN744" s="159"/>
      <c r="AO744" s="160"/>
      <c r="AP744" s="161"/>
      <c r="AQ744" s="160"/>
      <c r="AR744" s="160"/>
      <c r="AS744" s="160"/>
      <c r="AT744" s="160"/>
      <c r="AU744" s="160"/>
      <c r="AV744" s="160"/>
      <c r="AW744" s="160"/>
      <c r="AX744" s="160"/>
      <c r="AY744" s="160"/>
      <c r="AZ744" s="160"/>
      <c r="BA744" s="160"/>
      <c r="BB744" s="160"/>
      <c r="BC744" s="160"/>
      <c r="BD744" s="160"/>
      <c r="BE744" s="160"/>
      <c r="BF744" s="160"/>
      <c r="BG744" s="160"/>
      <c r="BH744" s="160"/>
      <c r="BI744" s="160"/>
      <c r="BJ744" s="160"/>
      <c r="BK744" s="160"/>
      <c r="BL744" s="160"/>
      <c r="BM744" s="160"/>
      <c r="BN744" s="160"/>
      <c r="BO744" s="160"/>
      <c r="BP744" s="160"/>
      <c r="BQ744" s="160"/>
      <c r="BR744" s="160"/>
      <c r="BS744" s="160"/>
      <c r="BT744" s="160"/>
      <c r="BU744" s="160"/>
      <c r="BV744" s="160"/>
      <c r="BW744" s="160"/>
      <c r="BX744" s="160"/>
      <c r="BY744" s="160"/>
      <c r="BZ744" s="160"/>
      <c r="CA744" s="160"/>
      <c r="CB744" s="160"/>
      <c r="CC744" s="160"/>
      <c r="CD744" s="160"/>
      <c r="CE744" s="160"/>
      <c r="CF744" s="160"/>
      <c r="CG744" s="160"/>
      <c r="CH744" s="160"/>
      <c r="CI744" s="160"/>
      <c r="CJ744" s="160"/>
      <c r="CK744" s="160"/>
      <c r="CL744" s="160"/>
      <c r="CM744" s="160"/>
      <c r="CN744" s="160"/>
      <c r="CO744" s="160"/>
      <c r="CP744" s="162"/>
      <c r="CQ744" s="163"/>
      <c r="CR744" s="162"/>
      <c r="CS744" s="163"/>
      <c r="CT744" s="162"/>
      <c r="CU744" s="163"/>
      <c r="CV744" s="164">
        <f t="shared" si="94"/>
        <v>0</v>
      </c>
      <c r="CW744" s="165"/>
      <c r="CX744" s="166"/>
      <c r="CY744" s="167"/>
      <c r="CZ744" s="168"/>
      <c r="DA744" s="169"/>
      <c r="DB744" s="168"/>
      <c r="DC744" s="165"/>
      <c r="DD744" s="166"/>
      <c r="DE744" s="71"/>
      <c r="DF744" s="170"/>
      <c r="EO744" s="353" t="str">
        <f t="shared" si="98"/>
        <v>TOLIMA_LIBANO</v>
      </c>
      <c r="EP744" s="350"/>
      <c r="EQ744" s="350" t="s">
        <v>4485</v>
      </c>
      <c r="ER744" s="358" t="s">
        <v>4486</v>
      </c>
      <c r="ES744" s="350" t="s">
        <v>5412</v>
      </c>
      <c r="ET744" s="350" t="s">
        <v>3390</v>
      </c>
      <c r="EU744" s="350" t="str">
        <f t="shared" si="96"/>
        <v>Nariño_Funes</v>
      </c>
    </row>
    <row r="745" spans="1:151" ht="36" x14ac:dyDescent="0.2">
      <c r="A745" s="242">
        <v>40361</v>
      </c>
      <c r="B745" s="107" t="s">
        <v>2756</v>
      </c>
      <c r="C745" s="107" t="s">
        <v>2756</v>
      </c>
      <c r="D745" s="427" t="s">
        <v>837</v>
      </c>
      <c r="E745" s="107" t="str">
        <f>VLOOKUP(B745&amp;C745,Divipola!$C$2:$F$1138,4,FALSE)</f>
        <v>81001</v>
      </c>
      <c r="F745" s="330"/>
      <c r="G745" s="224"/>
      <c r="H745" s="75"/>
      <c r="I745" s="75"/>
      <c r="J745" s="75">
        <v>232</v>
      </c>
      <c r="K745" s="75">
        <v>43</v>
      </c>
      <c r="L745" s="75"/>
      <c r="M745" s="75"/>
      <c r="N745" s="75"/>
      <c r="O745" s="75"/>
      <c r="P745" s="75"/>
      <c r="Q745" s="75"/>
      <c r="R745" s="75"/>
      <c r="S745" s="75"/>
      <c r="T745" s="75"/>
      <c r="U745" s="75"/>
      <c r="V745" s="76"/>
      <c r="W745" s="205"/>
      <c r="X745" s="1"/>
      <c r="Y745" s="78">
        <f t="shared" si="90"/>
        <v>0</v>
      </c>
      <c r="Z745" s="78">
        <f t="shared" si="91"/>
        <v>0</v>
      </c>
      <c r="AA745" s="78">
        <f t="shared" si="97"/>
        <v>0</v>
      </c>
      <c r="AB745" s="78">
        <f t="shared" si="93"/>
        <v>0</v>
      </c>
      <c r="AC745" s="78"/>
      <c r="AD745" s="78">
        <v>0</v>
      </c>
      <c r="AE745" s="80">
        <f t="shared" si="95"/>
        <v>0</v>
      </c>
      <c r="AF745" s="82">
        <v>0</v>
      </c>
      <c r="AG745" s="69">
        <v>40367</v>
      </c>
      <c r="AH745" s="84"/>
      <c r="AI745" s="69" t="s">
        <v>2009</v>
      </c>
      <c r="AJ745" s="25" t="s">
        <v>2010</v>
      </c>
      <c r="AK745" s="65"/>
      <c r="AL745" s="214" t="s">
        <v>1674</v>
      </c>
      <c r="AM745" s="85" t="s">
        <v>3185</v>
      </c>
      <c r="AN745" s="3"/>
      <c r="AO745" s="4"/>
      <c r="AP745" s="5"/>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6"/>
      <c r="CQ745" s="7"/>
      <c r="CR745" s="6"/>
      <c r="CS745" s="7"/>
      <c r="CT745" s="6"/>
      <c r="CU745" s="7"/>
      <c r="CV745" s="8">
        <f t="shared" si="94"/>
        <v>0</v>
      </c>
      <c r="CW745" s="9"/>
      <c r="CX745" s="10"/>
      <c r="CY745" s="11"/>
      <c r="CZ745" s="12"/>
      <c r="DA745" s="29"/>
      <c r="DB745" s="12"/>
      <c r="DC745" s="9"/>
      <c r="DD745" s="10"/>
      <c r="DE745" s="71"/>
      <c r="EO745" s="353" t="str">
        <f t="shared" si="98"/>
        <v>ARAUCA_ARAUCA</v>
      </c>
      <c r="EP745" s="350"/>
      <c r="EQ745" s="350" t="s">
        <v>4485</v>
      </c>
      <c r="ER745" s="358" t="s">
        <v>4486</v>
      </c>
      <c r="ES745" s="350" t="s">
        <v>5413</v>
      </c>
      <c r="ET745" s="350" t="s">
        <v>3391</v>
      </c>
      <c r="EU745" s="350" t="str">
        <f t="shared" si="96"/>
        <v>Nariño_Guachucal</v>
      </c>
    </row>
    <row r="746" spans="1:151" ht="36" x14ac:dyDescent="0.2">
      <c r="A746" s="242">
        <v>40361</v>
      </c>
      <c r="B746" s="107" t="s">
        <v>2017</v>
      </c>
      <c r="C746" s="107" t="s">
        <v>1215</v>
      </c>
      <c r="D746" s="427" t="s">
        <v>837</v>
      </c>
      <c r="E746" s="107" t="str">
        <f>VLOOKUP(B746&amp;C746,Divipola!$C$2:$F$1138,4,FALSE)</f>
        <v>13001</v>
      </c>
      <c r="F746" s="330"/>
      <c r="G746" s="224"/>
      <c r="H746" s="75"/>
      <c r="I746" s="75"/>
      <c r="J746" s="75">
        <v>1250</v>
      </c>
      <c r="K746" s="75">
        <v>250</v>
      </c>
      <c r="L746" s="75"/>
      <c r="M746" s="75">
        <v>250</v>
      </c>
      <c r="N746" s="75"/>
      <c r="O746" s="75"/>
      <c r="P746" s="75"/>
      <c r="Q746" s="75"/>
      <c r="R746" s="75"/>
      <c r="S746" s="75"/>
      <c r="T746" s="75"/>
      <c r="U746" s="75"/>
      <c r="V746" s="76"/>
      <c r="W746" s="205"/>
      <c r="X746" s="1"/>
      <c r="Y746" s="78">
        <f t="shared" si="90"/>
        <v>0</v>
      </c>
      <c r="Z746" s="78">
        <f t="shared" si="91"/>
        <v>0</v>
      </c>
      <c r="AA746" s="78">
        <f t="shared" si="97"/>
        <v>0</v>
      </c>
      <c r="AB746" s="78">
        <f t="shared" si="93"/>
        <v>0</v>
      </c>
      <c r="AC746" s="78"/>
      <c r="AD746" s="78">
        <v>0</v>
      </c>
      <c r="AE746" s="80">
        <f t="shared" si="95"/>
        <v>0</v>
      </c>
      <c r="AF746" s="82">
        <v>0</v>
      </c>
      <c r="AG746" s="69">
        <v>40367</v>
      </c>
      <c r="AH746" s="84"/>
      <c r="AI746" s="69" t="s">
        <v>1984</v>
      </c>
      <c r="AJ746" s="25" t="s">
        <v>1985</v>
      </c>
      <c r="AK746" s="65"/>
      <c r="AL746" s="185" t="s">
        <v>1257</v>
      </c>
      <c r="AM746" s="85" t="s">
        <v>3182</v>
      </c>
      <c r="AN746" s="3"/>
      <c r="AO746" s="4"/>
      <c r="AP746" s="5"/>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6"/>
      <c r="CQ746" s="7"/>
      <c r="CR746" s="6"/>
      <c r="CS746" s="7"/>
      <c r="CT746" s="6"/>
      <c r="CU746" s="7"/>
      <c r="CV746" s="8">
        <f t="shared" si="94"/>
        <v>0</v>
      </c>
      <c r="CW746" s="9"/>
      <c r="CX746" s="10"/>
      <c r="CY746" s="11"/>
      <c r="CZ746" s="12"/>
      <c r="DA746" s="29"/>
      <c r="DB746" s="12"/>
      <c r="DC746" s="9"/>
      <c r="DD746" s="10"/>
      <c r="DE746" s="71"/>
      <c r="EO746" s="353" t="str">
        <f t="shared" si="98"/>
        <v>BOLIVAR_CARTAGENA</v>
      </c>
      <c r="EP746" s="350"/>
      <c r="EQ746" s="350" t="s">
        <v>4485</v>
      </c>
      <c r="ER746" s="358" t="s">
        <v>4486</v>
      </c>
      <c r="ES746" s="350" t="s">
        <v>5414</v>
      </c>
      <c r="ET746" s="350" t="s">
        <v>3392</v>
      </c>
      <c r="EU746" s="350" t="str">
        <f t="shared" si="96"/>
        <v>Nariño_Guaitarilla</v>
      </c>
    </row>
    <row r="747" spans="1:151" ht="38.25" x14ac:dyDescent="0.2">
      <c r="A747" s="242">
        <v>40361</v>
      </c>
      <c r="B747" s="107" t="s">
        <v>2017</v>
      </c>
      <c r="C747" s="107" t="s">
        <v>1962</v>
      </c>
      <c r="D747" s="427" t="s">
        <v>1721</v>
      </c>
      <c r="E747" s="107" t="str">
        <f>VLOOKUP(B747&amp;C747,Divipola!$C$2:$F$1138,4,FALSE)</f>
        <v>13430</v>
      </c>
      <c r="F747" s="330"/>
      <c r="G747" s="224"/>
      <c r="H747" s="75"/>
      <c r="I747" s="75"/>
      <c r="J747" s="75"/>
      <c r="K747" s="75"/>
      <c r="L747" s="75"/>
      <c r="M747" s="75"/>
      <c r="N747" s="75"/>
      <c r="O747" s="75"/>
      <c r="P747" s="75"/>
      <c r="Q747" s="75"/>
      <c r="R747" s="75"/>
      <c r="S747" s="75"/>
      <c r="T747" s="75"/>
      <c r="U747" s="75"/>
      <c r="V747" s="76"/>
      <c r="W747" s="205" t="s">
        <v>3184</v>
      </c>
      <c r="X747" s="1"/>
      <c r="Y747" s="78">
        <f t="shared" si="90"/>
        <v>0</v>
      </c>
      <c r="Z747" s="78">
        <f t="shared" si="91"/>
        <v>0</v>
      </c>
      <c r="AA747" s="78">
        <f t="shared" si="97"/>
        <v>0</v>
      </c>
      <c r="AB747" s="78">
        <f t="shared" si="93"/>
        <v>0</v>
      </c>
      <c r="AC747" s="78"/>
      <c r="AD747" s="78">
        <v>0</v>
      </c>
      <c r="AE747" s="80">
        <f t="shared" si="95"/>
        <v>0</v>
      </c>
      <c r="AF747" s="82">
        <v>0</v>
      </c>
      <c r="AG747" s="69">
        <v>40367</v>
      </c>
      <c r="AH747" s="84"/>
      <c r="AI747" s="69" t="s">
        <v>1984</v>
      </c>
      <c r="AJ747" s="25" t="s">
        <v>1985</v>
      </c>
      <c r="AK747" s="65"/>
      <c r="AL747" s="185" t="s">
        <v>1257</v>
      </c>
      <c r="AM747" s="85"/>
      <c r="AN747" s="3"/>
      <c r="AO747" s="4"/>
      <c r="AP747" s="5"/>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6"/>
      <c r="CQ747" s="7"/>
      <c r="CR747" s="6"/>
      <c r="CS747" s="7"/>
      <c r="CT747" s="6"/>
      <c r="CU747" s="7"/>
      <c r="CV747" s="8">
        <f t="shared" si="94"/>
        <v>0</v>
      </c>
      <c r="CW747" s="9"/>
      <c r="CX747" s="10"/>
      <c r="CY747" s="11"/>
      <c r="CZ747" s="12"/>
      <c r="DA747" s="29"/>
      <c r="DB747" s="12"/>
      <c r="DC747" s="9"/>
      <c r="DD747" s="10"/>
      <c r="DE747" s="71"/>
      <c r="EO747" s="353" t="str">
        <f t="shared" si="98"/>
        <v>BOLIVAR_MAGANGUE</v>
      </c>
      <c r="EP747" s="350"/>
      <c r="EQ747" s="350" t="s">
        <v>4485</v>
      </c>
      <c r="ER747" s="358" t="s">
        <v>4486</v>
      </c>
      <c r="ES747" s="350" t="s">
        <v>5415</v>
      </c>
      <c r="ET747" s="350" t="s">
        <v>3393</v>
      </c>
      <c r="EU747" s="350" t="str">
        <f t="shared" si="96"/>
        <v>Nariño_Gualmatan</v>
      </c>
    </row>
    <row r="748" spans="1:151" ht="38.25" x14ac:dyDescent="0.2">
      <c r="A748" s="242">
        <v>40361</v>
      </c>
      <c r="B748" s="107" t="s">
        <v>5778</v>
      </c>
      <c r="C748" s="107" t="s">
        <v>3183</v>
      </c>
      <c r="D748" s="427" t="s">
        <v>837</v>
      </c>
      <c r="E748" s="107" t="str">
        <f>VLOOKUP(B748&amp;C748,Divipola!$C$2:$F$1138,4,FALSE)</f>
        <v>44279</v>
      </c>
      <c r="F748" s="330"/>
      <c r="G748" s="224"/>
      <c r="H748" s="75"/>
      <c r="I748" s="75"/>
      <c r="J748" s="75"/>
      <c r="K748" s="75"/>
      <c r="L748" s="75"/>
      <c r="M748" s="75"/>
      <c r="N748" s="75"/>
      <c r="O748" s="75"/>
      <c r="P748" s="75"/>
      <c r="Q748" s="75"/>
      <c r="R748" s="75"/>
      <c r="S748" s="75"/>
      <c r="T748" s="75"/>
      <c r="U748" s="75"/>
      <c r="V748" s="76"/>
      <c r="W748" s="205"/>
      <c r="X748" s="1"/>
      <c r="Y748" s="78">
        <f t="shared" si="90"/>
        <v>0</v>
      </c>
      <c r="Z748" s="78">
        <f t="shared" si="91"/>
        <v>0</v>
      </c>
      <c r="AA748" s="78">
        <f t="shared" si="97"/>
        <v>0</v>
      </c>
      <c r="AB748" s="78">
        <f t="shared" si="93"/>
        <v>0</v>
      </c>
      <c r="AC748" s="78"/>
      <c r="AD748" s="78">
        <v>0</v>
      </c>
      <c r="AE748" s="80">
        <f t="shared" si="95"/>
        <v>0</v>
      </c>
      <c r="AF748" s="82">
        <v>0</v>
      </c>
      <c r="AG748" s="69">
        <v>40367</v>
      </c>
      <c r="AH748" s="84"/>
      <c r="AI748" s="69" t="s">
        <v>2009</v>
      </c>
      <c r="AJ748" s="25" t="s">
        <v>2010</v>
      </c>
      <c r="AK748" s="65"/>
      <c r="AL748" s="214" t="s">
        <v>485</v>
      </c>
      <c r="AM748" s="85" t="s">
        <v>1049</v>
      </c>
      <c r="AN748" s="3"/>
      <c r="AO748" s="4"/>
      <c r="AP748" s="5"/>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6"/>
      <c r="CQ748" s="7"/>
      <c r="CR748" s="6"/>
      <c r="CS748" s="7"/>
      <c r="CT748" s="6"/>
      <c r="CU748" s="7"/>
      <c r="CV748" s="8">
        <f t="shared" si="94"/>
        <v>0</v>
      </c>
      <c r="CW748" s="9"/>
      <c r="CX748" s="10"/>
      <c r="CY748" s="11"/>
      <c r="CZ748" s="12"/>
      <c r="DA748" s="29"/>
      <c r="DB748" s="12"/>
      <c r="DC748" s="9"/>
      <c r="DD748" s="10"/>
      <c r="DE748" s="71"/>
      <c r="EO748" s="353" t="str">
        <f t="shared" si="98"/>
        <v>LA GUAJIRA_FONSECA</v>
      </c>
      <c r="EP748" s="350"/>
      <c r="EQ748" s="350" t="s">
        <v>4485</v>
      </c>
      <c r="ER748" s="358" t="s">
        <v>4486</v>
      </c>
      <c r="ES748" s="350" t="s">
        <v>5416</v>
      </c>
      <c r="ET748" s="350" t="s">
        <v>3394</v>
      </c>
      <c r="EU748" s="350" t="str">
        <f t="shared" si="96"/>
        <v>Nariño_Iles</v>
      </c>
    </row>
    <row r="749" spans="1:151" ht="25.5" x14ac:dyDescent="0.2">
      <c r="A749" s="242">
        <v>40362</v>
      </c>
      <c r="B749" s="107" t="s">
        <v>2401</v>
      </c>
      <c r="C749" s="107" t="s">
        <v>2747</v>
      </c>
      <c r="D749" s="427" t="s">
        <v>1721</v>
      </c>
      <c r="E749" s="107" t="str">
        <f>VLOOKUP(B749&amp;C749,Divipola!$C$2:$F$1138,4,FALSE)</f>
        <v>05001</v>
      </c>
      <c r="F749" s="330"/>
      <c r="G749" s="224"/>
      <c r="H749" s="75"/>
      <c r="I749" s="75"/>
      <c r="J749" s="75">
        <v>60</v>
      </c>
      <c r="K749" s="75">
        <v>12</v>
      </c>
      <c r="L749" s="75"/>
      <c r="M749" s="75">
        <v>12</v>
      </c>
      <c r="N749" s="75"/>
      <c r="O749" s="75"/>
      <c r="P749" s="75"/>
      <c r="Q749" s="75"/>
      <c r="R749" s="75"/>
      <c r="S749" s="75"/>
      <c r="T749" s="75"/>
      <c r="U749" s="75"/>
      <c r="V749" s="76"/>
      <c r="W749" s="205"/>
      <c r="X749" s="1"/>
      <c r="Y749" s="78">
        <f t="shared" si="90"/>
        <v>0</v>
      </c>
      <c r="Z749" s="78">
        <f t="shared" si="91"/>
        <v>0</v>
      </c>
      <c r="AA749" s="78">
        <f t="shared" si="97"/>
        <v>0</v>
      </c>
      <c r="AB749" s="78">
        <f t="shared" si="93"/>
        <v>0</v>
      </c>
      <c r="AC749" s="78"/>
      <c r="AD749" s="78">
        <v>0</v>
      </c>
      <c r="AE749" s="80">
        <f t="shared" si="95"/>
        <v>0</v>
      </c>
      <c r="AF749" s="82">
        <v>0</v>
      </c>
      <c r="AG749" s="69">
        <v>40367</v>
      </c>
      <c r="AH749" s="84"/>
      <c r="AI749" s="69" t="s">
        <v>1984</v>
      </c>
      <c r="AJ749" s="25" t="s">
        <v>1985</v>
      </c>
      <c r="AK749" s="65"/>
      <c r="AL749" s="185" t="s">
        <v>1257</v>
      </c>
      <c r="AM749" s="85" t="s">
        <v>3179</v>
      </c>
      <c r="AN749" s="3"/>
      <c r="AO749" s="4"/>
      <c r="AP749" s="5"/>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6"/>
      <c r="CQ749" s="7"/>
      <c r="CR749" s="6"/>
      <c r="CS749" s="7"/>
      <c r="CT749" s="6"/>
      <c r="CU749" s="7"/>
      <c r="CV749" s="8">
        <f t="shared" si="94"/>
        <v>0</v>
      </c>
      <c r="CW749" s="9"/>
      <c r="CX749" s="10"/>
      <c r="CY749" s="11"/>
      <c r="CZ749" s="12"/>
      <c r="DA749" s="29"/>
      <c r="DB749" s="12"/>
      <c r="DC749" s="9"/>
      <c r="DD749" s="10"/>
      <c r="DE749" s="71"/>
      <c r="EO749" s="353" t="str">
        <f t="shared" si="98"/>
        <v>ANTIOQUIA_MEDELLIN</v>
      </c>
      <c r="EP749" s="350"/>
      <c r="EQ749" s="350" t="s">
        <v>4485</v>
      </c>
      <c r="ER749" s="358" t="s">
        <v>4486</v>
      </c>
      <c r="ES749" s="350" t="s">
        <v>5417</v>
      </c>
      <c r="ET749" s="350" t="s">
        <v>3395</v>
      </c>
      <c r="EU749" s="350" t="str">
        <f t="shared" si="96"/>
        <v>Nariño_Imues</v>
      </c>
    </row>
    <row r="750" spans="1:151" ht="38.25" x14ac:dyDescent="0.2">
      <c r="A750" s="242">
        <v>40362</v>
      </c>
      <c r="B750" s="107" t="s">
        <v>1951</v>
      </c>
      <c r="C750" s="107" t="s">
        <v>1989</v>
      </c>
      <c r="D750" s="427" t="s">
        <v>837</v>
      </c>
      <c r="E750" s="107" t="str">
        <f>VLOOKUP(B750&amp;C750,Divipola!$C$2:$F$1138,4,FALSE)</f>
        <v>08001</v>
      </c>
      <c r="F750" s="330"/>
      <c r="G750" s="224"/>
      <c r="H750" s="75"/>
      <c r="I750" s="75"/>
      <c r="J750" s="75">
        <v>520</v>
      </c>
      <c r="K750" s="75">
        <v>104</v>
      </c>
      <c r="L750" s="75">
        <v>3</v>
      </c>
      <c r="M750" s="75">
        <v>101</v>
      </c>
      <c r="N750" s="75"/>
      <c r="O750" s="75"/>
      <c r="P750" s="75"/>
      <c r="Q750" s="75"/>
      <c r="R750" s="75"/>
      <c r="S750" s="75"/>
      <c r="T750" s="75"/>
      <c r="U750" s="75"/>
      <c r="V750" s="76"/>
      <c r="W750" s="205"/>
      <c r="X750" s="1"/>
      <c r="Y750" s="78">
        <f t="shared" si="90"/>
        <v>0</v>
      </c>
      <c r="Z750" s="78">
        <f t="shared" si="91"/>
        <v>0</v>
      </c>
      <c r="AA750" s="78">
        <f t="shared" si="97"/>
        <v>0</v>
      </c>
      <c r="AB750" s="78">
        <f t="shared" si="93"/>
        <v>0</v>
      </c>
      <c r="AC750" s="78"/>
      <c r="AD750" s="78">
        <v>0</v>
      </c>
      <c r="AE750" s="80">
        <f t="shared" si="95"/>
        <v>0</v>
      </c>
      <c r="AF750" s="82">
        <v>0</v>
      </c>
      <c r="AG750" s="69">
        <v>40367</v>
      </c>
      <c r="AH750" s="84"/>
      <c r="AI750" s="69" t="s">
        <v>1984</v>
      </c>
      <c r="AJ750" s="25" t="s">
        <v>1985</v>
      </c>
      <c r="AK750" s="65"/>
      <c r="AL750" s="185" t="s">
        <v>1257</v>
      </c>
      <c r="AM750" s="85" t="s">
        <v>3180</v>
      </c>
      <c r="AN750" s="3"/>
      <c r="AO750" s="4"/>
      <c r="AP750" s="5"/>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6"/>
      <c r="CQ750" s="7"/>
      <c r="CR750" s="6"/>
      <c r="CS750" s="7"/>
      <c r="CT750" s="6"/>
      <c r="CU750" s="7"/>
      <c r="CV750" s="8">
        <f t="shared" si="94"/>
        <v>0</v>
      </c>
      <c r="CW750" s="9"/>
      <c r="CX750" s="10"/>
      <c r="CY750" s="11"/>
      <c r="CZ750" s="12"/>
      <c r="DA750" s="29"/>
      <c r="DB750" s="12"/>
      <c r="DC750" s="9"/>
      <c r="DD750" s="10"/>
      <c r="DE750" s="71"/>
      <c r="EO750" s="353" t="str">
        <f t="shared" si="98"/>
        <v>ATLANTICO_BARRANQUILLA</v>
      </c>
      <c r="EP750" s="350"/>
      <c r="EQ750" s="350" t="s">
        <v>4485</v>
      </c>
      <c r="ER750" s="358" t="s">
        <v>4486</v>
      </c>
      <c r="ES750" s="350" t="s">
        <v>5418</v>
      </c>
      <c r="ET750" s="350" t="s">
        <v>3396</v>
      </c>
      <c r="EU750" s="350" t="str">
        <f t="shared" si="96"/>
        <v>Nariño_Ipiales</v>
      </c>
    </row>
    <row r="751" spans="1:151" ht="25.5" x14ac:dyDescent="0.2">
      <c r="A751" s="242">
        <v>40362</v>
      </c>
      <c r="B751" s="107" t="s">
        <v>1951</v>
      </c>
      <c r="C751" s="107" t="s">
        <v>678</v>
      </c>
      <c r="D751" s="427" t="s">
        <v>837</v>
      </c>
      <c r="E751" s="107" t="str">
        <f>VLOOKUP(B751&amp;C751,Divipola!$C$2:$F$1138,4,FALSE)</f>
        <v>08758</v>
      </c>
      <c r="F751" s="330"/>
      <c r="G751" s="224"/>
      <c r="H751" s="75"/>
      <c r="I751" s="75"/>
      <c r="J751" s="75">
        <f>53*5</f>
        <v>265</v>
      </c>
      <c r="K751" s="75">
        <v>53</v>
      </c>
      <c r="L751" s="75">
        <v>3</v>
      </c>
      <c r="M751" s="75">
        <v>50</v>
      </c>
      <c r="N751" s="75"/>
      <c r="O751" s="75"/>
      <c r="P751" s="75"/>
      <c r="Q751" s="75"/>
      <c r="R751" s="75"/>
      <c r="S751" s="75"/>
      <c r="T751" s="75"/>
      <c r="U751" s="75"/>
      <c r="V751" s="76"/>
      <c r="W751" s="205"/>
      <c r="X751" s="1"/>
      <c r="Y751" s="78">
        <f t="shared" si="90"/>
        <v>0</v>
      </c>
      <c r="Z751" s="78">
        <f t="shared" si="91"/>
        <v>0</v>
      </c>
      <c r="AA751" s="78">
        <f t="shared" si="97"/>
        <v>0</v>
      </c>
      <c r="AB751" s="78">
        <f t="shared" si="93"/>
        <v>0</v>
      </c>
      <c r="AC751" s="78"/>
      <c r="AD751" s="78">
        <v>0</v>
      </c>
      <c r="AE751" s="80">
        <f t="shared" si="95"/>
        <v>0</v>
      </c>
      <c r="AF751" s="82">
        <v>0</v>
      </c>
      <c r="AG751" s="69">
        <v>40367</v>
      </c>
      <c r="AH751" s="84"/>
      <c r="AI751" s="69" t="s">
        <v>1984</v>
      </c>
      <c r="AJ751" s="25" t="s">
        <v>1985</v>
      </c>
      <c r="AK751" s="65"/>
      <c r="AL751" s="185" t="s">
        <v>1257</v>
      </c>
      <c r="AM751" s="172" t="s">
        <v>3181</v>
      </c>
      <c r="AN751" s="3"/>
      <c r="AO751" s="4"/>
      <c r="AP751" s="5"/>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6"/>
      <c r="CQ751" s="7"/>
      <c r="CR751" s="6"/>
      <c r="CS751" s="7"/>
      <c r="CT751" s="6"/>
      <c r="CU751" s="7"/>
      <c r="CV751" s="8">
        <f t="shared" si="94"/>
        <v>0</v>
      </c>
      <c r="CW751" s="9"/>
      <c r="CX751" s="10"/>
      <c r="CY751" s="11"/>
      <c r="CZ751" s="12"/>
      <c r="DA751" s="29"/>
      <c r="DB751" s="12"/>
      <c r="DC751" s="9"/>
      <c r="DD751" s="10"/>
      <c r="DE751" s="71"/>
      <c r="EO751" s="353" t="str">
        <f t="shared" si="98"/>
        <v>ATLANTICO_SOLEDAD</v>
      </c>
      <c r="EP751" s="350"/>
      <c r="EQ751" s="350" t="s">
        <v>4485</v>
      </c>
      <c r="ER751" s="358" t="s">
        <v>4486</v>
      </c>
      <c r="ES751" s="350" t="s">
        <v>5419</v>
      </c>
      <c r="ET751" s="350" t="s">
        <v>3397</v>
      </c>
      <c r="EU751" s="350" t="str">
        <f t="shared" si="96"/>
        <v>Nariño_La Cruz</v>
      </c>
    </row>
    <row r="752" spans="1:151" ht="51" x14ac:dyDescent="0.2">
      <c r="A752" s="242">
        <v>40362</v>
      </c>
      <c r="B752" s="107" t="s">
        <v>1462</v>
      </c>
      <c r="C752" s="107" t="s">
        <v>609</v>
      </c>
      <c r="D752" s="427" t="s">
        <v>837</v>
      </c>
      <c r="E752" s="107" t="str">
        <f>VLOOKUP(B752&amp;C752,Divipola!$C$2:$F$1138,4,FALSE)</f>
        <v>76364</v>
      </c>
      <c r="F752" s="330"/>
      <c r="G752" s="224"/>
      <c r="H752" s="75"/>
      <c r="I752" s="75"/>
      <c r="J752" s="75">
        <v>600</v>
      </c>
      <c r="K752" s="75">
        <v>120</v>
      </c>
      <c r="L752" s="75"/>
      <c r="M752" s="75">
        <v>120</v>
      </c>
      <c r="N752" s="75"/>
      <c r="O752" s="75"/>
      <c r="P752" s="75"/>
      <c r="Q752" s="75"/>
      <c r="R752" s="75"/>
      <c r="S752" s="75"/>
      <c r="T752" s="75"/>
      <c r="U752" s="75"/>
      <c r="V752" s="76"/>
      <c r="W752" s="205"/>
      <c r="X752" s="1"/>
      <c r="Y752" s="78">
        <f t="shared" si="90"/>
        <v>0</v>
      </c>
      <c r="Z752" s="78">
        <f t="shared" si="91"/>
        <v>0</v>
      </c>
      <c r="AA752" s="78">
        <f t="shared" si="97"/>
        <v>0</v>
      </c>
      <c r="AB752" s="78">
        <f t="shared" si="93"/>
        <v>0</v>
      </c>
      <c r="AC752" s="78"/>
      <c r="AD752" s="78">
        <v>0</v>
      </c>
      <c r="AE752" s="80">
        <f t="shared" si="95"/>
        <v>0</v>
      </c>
      <c r="AF752" s="82">
        <v>0</v>
      </c>
      <c r="AG752" s="69">
        <v>40367</v>
      </c>
      <c r="AH752" s="84"/>
      <c r="AI752" s="69" t="s">
        <v>1984</v>
      </c>
      <c r="AJ752" s="25" t="s">
        <v>1985</v>
      </c>
      <c r="AK752" s="65"/>
      <c r="AL752" s="185" t="s">
        <v>1257</v>
      </c>
      <c r="AM752" s="85" t="s">
        <v>896</v>
      </c>
      <c r="AN752" s="3"/>
      <c r="AO752" s="4"/>
      <c r="AP752" s="5"/>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6"/>
      <c r="CQ752" s="7"/>
      <c r="CR752" s="6"/>
      <c r="CS752" s="7"/>
      <c r="CT752" s="6"/>
      <c r="CU752" s="7"/>
      <c r="CV752" s="8">
        <f t="shared" si="94"/>
        <v>0</v>
      </c>
      <c r="CW752" s="9"/>
      <c r="CX752" s="10"/>
      <c r="CY752" s="11"/>
      <c r="CZ752" s="12"/>
      <c r="DA752" s="29"/>
      <c r="DB752" s="12"/>
      <c r="DC752" s="9"/>
      <c r="DD752" s="10"/>
      <c r="DE752" s="71"/>
      <c r="EO752" s="353" t="str">
        <f t="shared" si="98"/>
        <v>VALLE DEL CAUCA_JAMUNDI</v>
      </c>
      <c r="EP752" s="350"/>
      <c r="EQ752" s="350" t="s">
        <v>4485</v>
      </c>
      <c r="ER752" s="358" t="s">
        <v>4486</v>
      </c>
      <c r="ES752" s="350" t="s">
        <v>5422</v>
      </c>
      <c r="ET752" s="350" t="s">
        <v>3398</v>
      </c>
      <c r="EU752" s="350" t="str">
        <f t="shared" si="96"/>
        <v>Nariño_La Tola</v>
      </c>
    </row>
    <row r="753" spans="1:151" ht="25.5" x14ac:dyDescent="0.2">
      <c r="A753" s="242">
        <v>40363</v>
      </c>
      <c r="B753" s="107" t="s">
        <v>2245</v>
      </c>
      <c r="C753" s="107" t="s">
        <v>893</v>
      </c>
      <c r="D753" s="427" t="s">
        <v>837</v>
      </c>
      <c r="E753" s="107" t="str">
        <f>VLOOKUP(B753&amp;C753,Divipola!$C$2:$F$1138,4,FALSE)</f>
        <v>52079</v>
      </c>
      <c r="F753" s="330"/>
      <c r="G753" s="224"/>
      <c r="H753" s="75"/>
      <c r="I753" s="75"/>
      <c r="J753" s="75">
        <v>1200</v>
      </c>
      <c r="K753" s="75">
        <v>345</v>
      </c>
      <c r="L753" s="75"/>
      <c r="M753" s="75">
        <v>345</v>
      </c>
      <c r="N753" s="75"/>
      <c r="O753" s="75"/>
      <c r="P753" s="75"/>
      <c r="Q753" s="75"/>
      <c r="R753" s="75"/>
      <c r="S753" s="75"/>
      <c r="T753" s="75"/>
      <c r="U753" s="75"/>
      <c r="V753" s="76"/>
      <c r="W753" s="205"/>
      <c r="X753" s="1"/>
      <c r="Y753" s="78">
        <f t="shared" si="90"/>
        <v>0</v>
      </c>
      <c r="Z753" s="78">
        <f t="shared" si="91"/>
        <v>0</v>
      </c>
      <c r="AA753" s="78">
        <f t="shared" si="97"/>
        <v>0</v>
      </c>
      <c r="AB753" s="78">
        <f t="shared" si="93"/>
        <v>0</v>
      </c>
      <c r="AC753" s="78"/>
      <c r="AD753" s="78">
        <v>0</v>
      </c>
      <c r="AE753" s="80">
        <f t="shared" si="95"/>
        <v>0</v>
      </c>
      <c r="AF753" s="82">
        <v>0</v>
      </c>
      <c r="AG753" s="69">
        <v>40367</v>
      </c>
      <c r="AH753" s="84"/>
      <c r="AI753" s="69" t="s">
        <v>1984</v>
      </c>
      <c r="AJ753" s="25" t="s">
        <v>1985</v>
      </c>
      <c r="AK753" s="65"/>
      <c r="AL753" s="185" t="s">
        <v>1257</v>
      </c>
      <c r="AM753" s="85" t="s">
        <v>2788</v>
      </c>
      <c r="AN753" s="3"/>
      <c r="AO753" s="4"/>
      <c r="AP753" s="5"/>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6"/>
      <c r="CQ753" s="7"/>
      <c r="CR753" s="6"/>
      <c r="CS753" s="7"/>
      <c r="CT753" s="6"/>
      <c r="CU753" s="7"/>
      <c r="CV753" s="8">
        <f t="shared" si="94"/>
        <v>0</v>
      </c>
      <c r="CW753" s="9"/>
      <c r="CX753" s="10"/>
      <c r="CY753" s="11"/>
      <c r="CZ753" s="12"/>
      <c r="DA753" s="29"/>
      <c r="DB753" s="12"/>
      <c r="DC753" s="9"/>
      <c r="DD753" s="10"/>
      <c r="DE753" s="71"/>
      <c r="EO753" s="353" t="str">
        <f t="shared" si="98"/>
        <v>NARIÑO_BARBACOAS</v>
      </c>
      <c r="EP753" s="350"/>
      <c r="EQ753" s="350" t="s">
        <v>4485</v>
      </c>
      <c r="ER753" s="358" t="s">
        <v>4486</v>
      </c>
      <c r="ES753" s="350" t="s">
        <v>5423</v>
      </c>
      <c r="ET753" s="350" t="s">
        <v>5893</v>
      </c>
      <c r="EU753" s="350" t="str">
        <f t="shared" si="96"/>
        <v>Nariño_La Union</v>
      </c>
    </row>
    <row r="754" spans="1:151" ht="25.5" x14ac:dyDescent="0.2">
      <c r="A754" s="242">
        <v>40363</v>
      </c>
      <c r="B754" s="222" t="s">
        <v>2245</v>
      </c>
      <c r="C754" s="222" t="s">
        <v>1586</v>
      </c>
      <c r="D754" s="430" t="s">
        <v>837</v>
      </c>
      <c r="E754" s="107" t="str">
        <f>VLOOKUP(B754&amp;C754,Divipola!$C$2:$F$1138,4,FALSE)</f>
        <v>52473</v>
      </c>
      <c r="F754" s="333"/>
      <c r="G754" s="221"/>
      <c r="H754" s="157"/>
      <c r="I754" s="157"/>
      <c r="J754" s="157">
        <v>250</v>
      </c>
      <c r="K754" s="157">
        <v>50</v>
      </c>
      <c r="L754" s="157"/>
      <c r="M754" s="157"/>
      <c r="N754" s="157"/>
      <c r="O754" s="157"/>
      <c r="P754" s="157"/>
      <c r="Q754" s="157"/>
      <c r="R754" s="157"/>
      <c r="S754" s="157"/>
      <c r="T754" s="157"/>
      <c r="U754" s="157"/>
      <c r="V754" s="158"/>
      <c r="W754" s="182"/>
      <c r="X754" s="1"/>
      <c r="Y754" s="78">
        <f t="shared" si="90"/>
        <v>0</v>
      </c>
      <c r="Z754" s="78">
        <f t="shared" si="91"/>
        <v>0</v>
      </c>
      <c r="AA754" s="78">
        <f t="shared" si="97"/>
        <v>0</v>
      </c>
      <c r="AB754" s="78">
        <f t="shared" si="93"/>
        <v>0</v>
      </c>
      <c r="AC754" s="78"/>
      <c r="AD754" s="78">
        <v>0</v>
      </c>
      <c r="AE754" s="80">
        <f t="shared" si="95"/>
        <v>0</v>
      </c>
      <c r="AF754" s="82">
        <v>0</v>
      </c>
      <c r="AG754" s="69">
        <v>40624</v>
      </c>
      <c r="AH754" s="84"/>
      <c r="AI754" s="69" t="s">
        <v>1984</v>
      </c>
      <c r="AJ754" s="25" t="s">
        <v>1985</v>
      </c>
      <c r="AK754" s="65"/>
      <c r="AL754" s="185" t="s">
        <v>1257</v>
      </c>
      <c r="AM754" s="85" t="s">
        <v>457</v>
      </c>
      <c r="AN754" s="3"/>
      <c r="AO754" s="4"/>
      <c r="AP754" s="5"/>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6"/>
      <c r="CQ754" s="7"/>
      <c r="CR754" s="6"/>
      <c r="CS754" s="7"/>
      <c r="CT754" s="6"/>
      <c r="CU754" s="7"/>
      <c r="CV754" s="8">
        <f t="shared" si="94"/>
        <v>0</v>
      </c>
      <c r="CW754" s="9"/>
      <c r="CX754" s="10"/>
      <c r="CY754" s="11"/>
      <c r="CZ754" s="12"/>
      <c r="DA754" s="29"/>
      <c r="DB754" s="12"/>
      <c r="DC754" s="9"/>
      <c r="DD754" s="10"/>
      <c r="DE754" s="71"/>
      <c r="DF754" s="170"/>
      <c r="EO754" s="353" t="str">
        <f t="shared" si="98"/>
        <v>NARIÑO_MOSQUERA</v>
      </c>
      <c r="EP754" s="350"/>
      <c r="EQ754" s="350" t="s">
        <v>4485</v>
      </c>
      <c r="ER754" s="358" t="s">
        <v>4486</v>
      </c>
      <c r="ES754" s="350" t="s">
        <v>5424</v>
      </c>
      <c r="ET754" s="350" t="s">
        <v>3399</v>
      </c>
      <c r="EU754" s="350" t="str">
        <f t="shared" si="96"/>
        <v>Nariño_Leiva</v>
      </c>
    </row>
    <row r="755" spans="1:151" ht="38.25" x14ac:dyDescent="0.2">
      <c r="A755" s="242">
        <v>40364</v>
      </c>
      <c r="B755" s="107" t="s">
        <v>1951</v>
      </c>
      <c r="C755" s="107" t="s">
        <v>1989</v>
      </c>
      <c r="D755" s="427" t="s">
        <v>2209</v>
      </c>
      <c r="E755" s="107" t="str">
        <f>VLOOKUP(B755&amp;C755,Divipola!$C$2:$F$1138,4,FALSE)</f>
        <v>08001</v>
      </c>
      <c r="F755" s="330"/>
      <c r="G755" s="224"/>
      <c r="H755" s="75">
        <v>7</v>
      </c>
      <c r="I755" s="75"/>
      <c r="J755" s="75">
        <v>390</v>
      </c>
      <c r="K755" s="75">
        <v>78</v>
      </c>
      <c r="L755" s="75">
        <v>2</v>
      </c>
      <c r="M755" s="75">
        <v>76</v>
      </c>
      <c r="N755" s="75"/>
      <c r="O755" s="75"/>
      <c r="P755" s="75"/>
      <c r="Q755" s="75"/>
      <c r="R755" s="75"/>
      <c r="S755" s="75"/>
      <c r="T755" s="75"/>
      <c r="U755" s="75">
        <v>1</v>
      </c>
      <c r="V755" s="76"/>
      <c r="W755" s="205" t="s">
        <v>3187</v>
      </c>
      <c r="X755" s="1"/>
      <c r="Y755" s="78">
        <f t="shared" si="90"/>
        <v>0</v>
      </c>
      <c r="Z755" s="78">
        <f t="shared" si="91"/>
        <v>0</v>
      </c>
      <c r="AA755" s="78">
        <f t="shared" si="97"/>
        <v>0</v>
      </c>
      <c r="AB755" s="78">
        <f t="shared" si="93"/>
        <v>0</v>
      </c>
      <c r="AC755" s="78"/>
      <c r="AD755" s="78">
        <v>0</v>
      </c>
      <c r="AE755" s="80">
        <f t="shared" si="95"/>
        <v>0</v>
      </c>
      <c r="AF755" s="82">
        <v>0</v>
      </c>
      <c r="AG755" s="69">
        <v>40367</v>
      </c>
      <c r="AH755" s="84"/>
      <c r="AI755" s="69" t="s">
        <v>1984</v>
      </c>
      <c r="AJ755" s="25" t="s">
        <v>1985</v>
      </c>
      <c r="AK755" s="65"/>
      <c r="AL755" s="185" t="s">
        <v>1257</v>
      </c>
      <c r="AM755" s="85" t="s">
        <v>3188</v>
      </c>
      <c r="AN755" s="3"/>
      <c r="AO755" s="4"/>
      <c r="AP755" s="5"/>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6"/>
      <c r="CQ755" s="7"/>
      <c r="CR755" s="6"/>
      <c r="CS755" s="7"/>
      <c r="CT755" s="6"/>
      <c r="CU755" s="7"/>
      <c r="CV755" s="8">
        <f t="shared" si="94"/>
        <v>0</v>
      </c>
      <c r="CW755" s="9"/>
      <c r="CX755" s="10"/>
      <c r="CY755" s="11"/>
      <c r="CZ755" s="12"/>
      <c r="DA755" s="29"/>
      <c r="DB755" s="12"/>
      <c r="DC755" s="9"/>
      <c r="DD755" s="10"/>
      <c r="DE755" s="71"/>
      <c r="EO755" s="353" t="str">
        <f t="shared" si="98"/>
        <v>ATLANTICO_BARRANQUILLA</v>
      </c>
      <c r="EP755" s="350"/>
      <c r="EQ755" s="350" t="s">
        <v>4485</v>
      </c>
      <c r="ER755" s="358" t="s">
        <v>4486</v>
      </c>
      <c r="ES755" s="350" t="s">
        <v>5427</v>
      </c>
      <c r="ET755" s="350" t="s">
        <v>3400</v>
      </c>
      <c r="EU755" s="350" t="str">
        <f t="shared" si="96"/>
        <v>Nariño_Magui</v>
      </c>
    </row>
    <row r="756" spans="1:151" ht="72" x14ac:dyDescent="0.2">
      <c r="A756" s="242">
        <v>40364</v>
      </c>
      <c r="B756" s="236" t="s">
        <v>2425</v>
      </c>
      <c r="C756" s="236" t="s">
        <v>173</v>
      </c>
      <c r="D756" s="433" t="s">
        <v>837</v>
      </c>
      <c r="E756" s="107" t="str">
        <f>VLOOKUP(B756&amp;C756,Divipola!$C$2:$F$1138,4,FALSE)</f>
        <v>27006</v>
      </c>
      <c r="F756" s="335"/>
      <c r="G756" s="221"/>
      <c r="H756" s="157"/>
      <c r="I756" s="157"/>
      <c r="J756" s="157">
        <v>2698</v>
      </c>
      <c r="K756" s="157">
        <v>575</v>
      </c>
      <c r="L756" s="157"/>
      <c r="M756" s="157"/>
      <c r="N756" s="157"/>
      <c r="O756" s="157"/>
      <c r="P756" s="157"/>
      <c r="Q756" s="157"/>
      <c r="R756" s="157"/>
      <c r="S756" s="157"/>
      <c r="T756" s="157"/>
      <c r="U756" s="157"/>
      <c r="V756" s="158"/>
      <c r="W756" s="182"/>
      <c r="X756" s="1">
        <v>40417</v>
      </c>
      <c r="Y756" s="78">
        <f t="shared" si="90"/>
        <v>6660000</v>
      </c>
      <c r="Z756" s="78">
        <f t="shared" si="91"/>
        <v>71400000</v>
      </c>
      <c r="AA756" s="78">
        <f t="shared" si="97"/>
        <v>0</v>
      </c>
      <c r="AB756" s="78">
        <f t="shared" si="93"/>
        <v>0</v>
      </c>
      <c r="AC756" s="78"/>
      <c r="AD756" s="78">
        <v>55154567</v>
      </c>
      <c r="AE756" s="80">
        <f t="shared" si="95"/>
        <v>133214567</v>
      </c>
      <c r="AF756" s="82">
        <v>0</v>
      </c>
      <c r="AG756" s="69">
        <v>40375</v>
      </c>
      <c r="AH756" s="84">
        <v>35353</v>
      </c>
      <c r="AI756" s="69" t="s">
        <v>2009</v>
      </c>
      <c r="AJ756" s="25" t="s">
        <v>2010</v>
      </c>
      <c r="AK756" s="65">
        <v>22559</v>
      </c>
      <c r="AL756" s="176" t="s">
        <v>2182</v>
      </c>
      <c r="AM756" s="173" t="s">
        <v>174</v>
      </c>
      <c r="AN756" s="159"/>
      <c r="AO756" s="160"/>
      <c r="AP756" s="161"/>
      <c r="AQ756" s="160"/>
      <c r="AR756" s="160"/>
      <c r="AS756" s="160"/>
      <c r="AT756" s="160"/>
      <c r="AU756" s="160"/>
      <c r="AV756" s="160"/>
      <c r="AW756" s="160"/>
      <c r="AX756" s="160"/>
      <c r="AY756" s="160"/>
      <c r="AZ756" s="160"/>
      <c r="BA756" s="160"/>
      <c r="BB756" s="160">
        <v>90</v>
      </c>
      <c r="BC756" s="160">
        <f>90*56000</f>
        <v>5040000</v>
      </c>
      <c r="BD756" s="160"/>
      <c r="BE756" s="160"/>
      <c r="BF756" s="160"/>
      <c r="BG756" s="160"/>
      <c r="BH756" s="160"/>
      <c r="BI756" s="160"/>
      <c r="BJ756" s="160"/>
      <c r="BK756" s="160"/>
      <c r="BL756" s="160"/>
      <c r="BM756" s="160"/>
      <c r="BN756" s="160"/>
      <c r="BO756" s="160"/>
      <c r="BP756" s="160"/>
      <c r="BQ756" s="160"/>
      <c r="BR756" s="160"/>
      <c r="BS756" s="160"/>
      <c r="BT756" s="160"/>
      <c r="BU756" s="160"/>
      <c r="BV756" s="160"/>
      <c r="BW756" s="160"/>
      <c r="BX756" s="160"/>
      <c r="BY756" s="160"/>
      <c r="BZ756" s="160"/>
      <c r="CA756" s="160"/>
      <c r="CB756" s="160"/>
      <c r="CC756" s="160"/>
      <c r="CD756" s="160"/>
      <c r="CE756" s="160"/>
      <c r="CF756" s="160"/>
      <c r="CG756" s="160"/>
      <c r="CH756" s="160"/>
      <c r="CI756" s="160"/>
      <c r="CJ756" s="160"/>
      <c r="CK756" s="160"/>
      <c r="CL756" s="160"/>
      <c r="CM756" s="160"/>
      <c r="CN756" s="160">
        <v>90</v>
      </c>
      <c r="CO756" s="160">
        <f>90*18000</f>
        <v>1620000</v>
      </c>
      <c r="CP756" s="162"/>
      <c r="CQ756" s="163"/>
      <c r="CR756" s="162"/>
      <c r="CS756" s="163"/>
      <c r="CT756" s="162"/>
      <c r="CU756" s="163"/>
      <c r="CV756" s="164">
        <f t="shared" si="94"/>
        <v>6660000</v>
      </c>
      <c r="CW756" s="165"/>
      <c r="CX756" s="166"/>
      <c r="CY756" s="167">
        <f>750+90</f>
        <v>840</v>
      </c>
      <c r="CZ756" s="168">
        <f>750*85000+90*85000</f>
        <v>71400000</v>
      </c>
      <c r="DA756" s="169"/>
      <c r="DB756" s="168"/>
      <c r="DC756" s="165"/>
      <c r="DD756" s="166"/>
      <c r="DE756" s="71">
        <v>2</v>
      </c>
      <c r="DF756" s="170"/>
      <c r="EO756" s="353" t="str">
        <f t="shared" si="98"/>
        <v>CHOCO_ACANDI</v>
      </c>
      <c r="EP756" s="350"/>
      <c r="EQ756" s="350" t="s">
        <v>4485</v>
      </c>
      <c r="ER756" s="358" t="s">
        <v>4486</v>
      </c>
      <c r="ES756" s="350" t="s">
        <v>5428</v>
      </c>
      <c r="ET756" s="350" t="s">
        <v>3401</v>
      </c>
      <c r="EU756" s="350" t="str">
        <f t="shared" si="96"/>
        <v>Nariño_Mallama</v>
      </c>
    </row>
    <row r="757" spans="1:151" ht="72" x14ac:dyDescent="0.2">
      <c r="A757" s="242">
        <v>40365</v>
      </c>
      <c r="B757" s="236" t="s">
        <v>1719</v>
      </c>
      <c r="C757" s="236" t="s">
        <v>170</v>
      </c>
      <c r="D757" s="433" t="s">
        <v>837</v>
      </c>
      <c r="E757" s="107" t="str">
        <f>VLOOKUP(B757&amp;C757,Divipola!$C$2:$F$1138,4,FALSE)</f>
        <v>19256</v>
      </c>
      <c r="F757" s="335"/>
      <c r="G757" s="221"/>
      <c r="H757" s="157"/>
      <c r="I757" s="157"/>
      <c r="J757" s="157">
        <f>2180*5</f>
        <v>10900</v>
      </c>
      <c r="K757" s="157">
        <f>2720-540</f>
        <v>2180</v>
      </c>
      <c r="L757" s="157"/>
      <c r="M757" s="157">
        <v>2180</v>
      </c>
      <c r="N757" s="157">
        <v>1</v>
      </c>
      <c r="O757" s="157"/>
      <c r="P757" s="157"/>
      <c r="Q757" s="157"/>
      <c r="R757" s="157"/>
      <c r="S757" s="157"/>
      <c r="T757" s="157"/>
      <c r="U757" s="157"/>
      <c r="V757" s="158"/>
      <c r="W757" s="182"/>
      <c r="X757" s="1">
        <v>40466</v>
      </c>
      <c r="Y757" s="78">
        <f t="shared" si="90"/>
        <v>106805617.80000001</v>
      </c>
      <c r="Z757" s="78">
        <f t="shared" si="91"/>
        <v>92819159.159999996</v>
      </c>
      <c r="AA757" s="78">
        <f t="shared" si="97"/>
        <v>38999940</v>
      </c>
      <c r="AB757" s="78">
        <f t="shared" si="93"/>
        <v>0</v>
      </c>
      <c r="AC757" s="78"/>
      <c r="AD757" s="78">
        <v>45474800</v>
      </c>
      <c r="AE757" s="80">
        <f t="shared" si="95"/>
        <v>284099516.96000004</v>
      </c>
      <c r="AF757" s="82">
        <v>0</v>
      </c>
      <c r="AG757" s="69">
        <v>40393</v>
      </c>
      <c r="AH757" s="84">
        <v>38287</v>
      </c>
      <c r="AI757" s="69" t="s">
        <v>2009</v>
      </c>
      <c r="AJ757" s="25" t="s">
        <v>2010</v>
      </c>
      <c r="AK757" s="88" t="s">
        <v>1161</v>
      </c>
      <c r="AL757" s="176" t="s">
        <v>1676</v>
      </c>
      <c r="AM757" s="173" t="s">
        <v>327</v>
      </c>
      <c r="AN757" s="159"/>
      <c r="AO757" s="160"/>
      <c r="AP757" s="161"/>
      <c r="AQ757" s="160"/>
      <c r="AR757" s="160"/>
      <c r="AS757" s="160"/>
      <c r="AT757" s="160"/>
      <c r="AU757" s="160"/>
      <c r="AV757" s="160"/>
      <c r="AW757" s="160"/>
      <c r="AX757" s="160"/>
      <c r="AY757" s="160"/>
      <c r="AZ757" s="160">
        <v>600</v>
      </c>
      <c r="BA757" s="160">
        <f>600*56000</f>
        <v>33600000</v>
      </c>
      <c r="BB757" s="160"/>
      <c r="BC757" s="160"/>
      <c r="BD757" s="160"/>
      <c r="BE757" s="160"/>
      <c r="BF757" s="160"/>
      <c r="BG757" s="160"/>
      <c r="BH757" s="160"/>
      <c r="BI757" s="160"/>
      <c r="BJ757" s="160"/>
      <c r="BK757" s="160"/>
      <c r="BL757" s="160"/>
      <c r="BM757" s="160"/>
      <c r="BN757" s="160"/>
      <c r="BO757" s="160"/>
      <c r="BP757" s="160"/>
      <c r="BQ757" s="160"/>
      <c r="BR757" s="160"/>
      <c r="BS757" s="160"/>
      <c r="BT757" s="160"/>
      <c r="BU757" s="160"/>
      <c r="BV757" s="160"/>
      <c r="BW757" s="160"/>
      <c r="BX757" s="160"/>
      <c r="BY757" s="160"/>
      <c r="BZ757" s="160"/>
      <c r="CA757" s="160"/>
      <c r="CB757" s="160"/>
      <c r="CC757" s="160"/>
      <c r="CD757" s="160"/>
      <c r="CE757" s="160"/>
      <c r="CF757" s="160"/>
      <c r="CG757" s="160"/>
      <c r="CH757" s="160"/>
      <c r="CI757" s="160"/>
      <c r="CJ757" s="160">
        <v>600</v>
      </c>
      <c r="CK757" s="160">
        <f>600*21000</f>
        <v>12600000</v>
      </c>
      <c r="CL757" s="160"/>
      <c r="CM757" s="160"/>
      <c r="CN757" s="160"/>
      <c r="CO757" s="160"/>
      <c r="CP757" s="162">
        <f>546+546</f>
        <v>1092</v>
      </c>
      <c r="CQ757" s="163">
        <f>546*37999.86+546*37000</f>
        <v>40949923.560000002</v>
      </c>
      <c r="CR757" s="162">
        <v>546</v>
      </c>
      <c r="CS757" s="163">
        <f>546*35999.44</f>
        <v>19655694.240000002</v>
      </c>
      <c r="CT757" s="162"/>
      <c r="CU757" s="163"/>
      <c r="CV757" s="164">
        <f t="shared" si="94"/>
        <v>106805617.80000001</v>
      </c>
      <c r="CW757" s="165"/>
      <c r="CX757" s="166"/>
      <c r="CY757" s="167">
        <f>546+546</f>
        <v>1092</v>
      </c>
      <c r="CZ757" s="168">
        <f>546*84998.46+546*85000</f>
        <v>92819159.159999996</v>
      </c>
      <c r="DA757" s="169"/>
      <c r="DB757" s="168"/>
      <c r="DC757" s="165">
        <v>2000</v>
      </c>
      <c r="DD757" s="166">
        <f>2000*18999.99+4000*249.99</f>
        <v>38999940</v>
      </c>
      <c r="DE757" s="71">
        <v>2</v>
      </c>
      <c r="DF757" s="170"/>
      <c r="EO757" s="353" t="str">
        <f t="shared" si="98"/>
        <v>CAUCA_EL TAMBO</v>
      </c>
      <c r="EP757" s="350"/>
      <c r="EQ757" s="350" t="s">
        <v>4485</v>
      </c>
      <c r="ER757" s="358" t="s">
        <v>4486</v>
      </c>
      <c r="ES757" s="350" t="s">
        <v>5429</v>
      </c>
      <c r="ET757" s="350" t="s">
        <v>3197</v>
      </c>
      <c r="EU757" s="350" t="str">
        <f t="shared" si="96"/>
        <v>Nariño_Mosquera</v>
      </c>
    </row>
    <row r="758" spans="1:151" ht="38.25" x14ac:dyDescent="0.2">
      <c r="A758" s="242">
        <v>40365</v>
      </c>
      <c r="B758" s="107" t="s">
        <v>2007</v>
      </c>
      <c r="C758" s="107" t="s">
        <v>897</v>
      </c>
      <c r="D758" s="427" t="s">
        <v>837</v>
      </c>
      <c r="E758" s="107" t="str">
        <f>VLOOKUP(B758&amp;C758,Divipola!$C$2:$F$1138,4,FALSE)</f>
        <v>25841</v>
      </c>
      <c r="F758" s="330"/>
      <c r="G758" s="224"/>
      <c r="H758" s="75"/>
      <c r="I758" s="75"/>
      <c r="J758" s="75">
        <v>488</v>
      </c>
      <c r="K758" s="75">
        <v>144</v>
      </c>
      <c r="L758" s="75"/>
      <c r="M758" s="75">
        <v>2</v>
      </c>
      <c r="N758" s="75"/>
      <c r="O758" s="75"/>
      <c r="P758" s="75"/>
      <c r="Q758" s="75"/>
      <c r="R758" s="75"/>
      <c r="S758" s="75"/>
      <c r="T758" s="75"/>
      <c r="U758" s="75"/>
      <c r="V758" s="76"/>
      <c r="W758" s="205"/>
      <c r="X758" s="1"/>
      <c r="Y758" s="78">
        <f t="shared" si="90"/>
        <v>0</v>
      </c>
      <c r="Z758" s="78">
        <f t="shared" si="91"/>
        <v>0</v>
      </c>
      <c r="AA758" s="78">
        <f t="shared" si="97"/>
        <v>0</v>
      </c>
      <c r="AB758" s="78">
        <f t="shared" si="93"/>
        <v>0</v>
      </c>
      <c r="AC758" s="78"/>
      <c r="AD758" s="78">
        <v>0</v>
      </c>
      <c r="AE758" s="80">
        <f t="shared" si="95"/>
        <v>0</v>
      </c>
      <c r="AF758" s="82">
        <v>0</v>
      </c>
      <c r="AG758" s="69">
        <v>40371</v>
      </c>
      <c r="AH758" s="84"/>
      <c r="AI758" s="69" t="s">
        <v>1984</v>
      </c>
      <c r="AJ758" s="25" t="s">
        <v>1985</v>
      </c>
      <c r="AK758" s="65"/>
      <c r="AL758" s="185" t="s">
        <v>1257</v>
      </c>
      <c r="AM758" s="85" t="s">
        <v>1443</v>
      </c>
      <c r="AN758" s="3"/>
      <c r="AO758" s="4"/>
      <c r="AP758" s="5"/>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6"/>
      <c r="CQ758" s="7"/>
      <c r="CR758" s="6"/>
      <c r="CS758" s="7"/>
      <c r="CT758" s="6"/>
      <c r="CU758" s="7"/>
      <c r="CV758" s="8">
        <f t="shared" si="94"/>
        <v>0</v>
      </c>
      <c r="CW758" s="9"/>
      <c r="CX758" s="10"/>
      <c r="CY758" s="11"/>
      <c r="CZ758" s="12"/>
      <c r="DA758" s="29"/>
      <c r="DB758" s="12"/>
      <c r="DC758" s="9"/>
      <c r="DD758" s="10"/>
      <c r="DE758" s="71"/>
      <c r="EO758" s="353" t="str">
        <f t="shared" si="98"/>
        <v>CUNDINAMARCA_UBAQUE</v>
      </c>
      <c r="EP758" s="350"/>
      <c r="EQ758" s="350" t="s">
        <v>4485</v>
      </c>
      <c r="ER758" s="358" t="s">
        <v>4486</v>
      </c>
      <c r="ES758" s="350" t="s">
        <v>5430</v>
      </c>
      <c r="ET758" s="350" t="s">
        <v>4486</v>
      </c>
      <c r="EU758" s="350" t="str">
        <f t="shared" si="96"/>
        <v>Nariño_Nariño</v>
      </c>
    </row>
    <row r="759" spans="1:151" ht="36" x14ac:dyDescent="0.2">
      <c r="A759" s="242">
        <v>40366</v>
      </c>
      <c r="B759" s="107" t="s">
        <v>2242</v>
      </c>
      <c r="C759" s="107" t="s">
        <v>221</v>
      </c>
      <c r="D759" s="427" t="s">
        <v>837</v>
      </c>
      <c r="E759" s="107" t="str">
        <f>VLOOKUP(B759&amp;C759,Divipola!$C$2:$F$1138,4,FALSE)</f>
        <v>20001</v>
      </c>
      <c r="F759" s="330"/>
      <c r="G759" s="224"/>
      <c r="H759" s="75"/>
      <c r="I759" s="75"/>
      <c r="J759" s="75">
        <v>2500</v>
      </c>
      <c r="K759" s="75">
        <v>500</v>
      </c>
      <c r="L759" s="75"/>
      <c r="M759" s="75">
        <v>500</v>
      </c>
      <c r="N759" s="75"/>
      <c r="O759" s="75"/>
      <c r="P759" s="75"/>
      <c r="Q759" s="75"/>
      <c r="R759" s="75"/>
      <c r="S759" s="75"/>
      <c r="T759" s="75"/>
      <c r="U759" s="75"/>
      <c r="V759" s="76"/>
      <c r="W759" s="205" t="s">
        <v>894</v>
      </c>
      <c r="X759" s="1">
        <v>40389</v>
      </c>
      <c r="Y759" s="78">
        <f t="shared" si="90"/>
        <v>73476000</v>
      </c>
      <c r="Z759" s="78">
        <f t="shared" si="91"/>
        <v>42500000</v>
      </c>
      <c r="AA759" s="78">
        <f t="shared" si="97"/>
        <v>0</v>
      </c>
      <c r="AB759" s="78">
        <f t="shared" si="93"/>
        <v>0</v>
      </c>
      <c r="AC759" s="78"/>
      <c r="AD759" s="78">
        <v>0</v>
      </c>
      <c r="AE759" s="80">
        <f t="shared" si="95"/>
        <v>115976000</v>
      </c>
      <c r="AF759" s="82">
        <v>0</v>
      </c>
      <c r="AG759" s="69">
        <v>40368</v>
      </c>
      <c r="AH759" s="84">
        <v>33531</v>
      </c>
      <c r="AI759" s="69" t="s">
        <v>2009</v>
      </c>
      <c r="AJ759" s="25" t="s">
        <v>2010</v>
      </c>
      <c r="AK759" s="65">
        <v>226</v>
      </c>
      <c r="AL759" s="185" t="s">
        <v>1831</v>
      </c>
      <c r="AM759" s="85" t="s">
        <v>895</v>
      </c>
      <c r="AN759" s="3"/>
      <c r="AO759" s="4"/>
      <c r="AP759" s="5"/>
      <c r="AQ759" s="4"/>
      <c r="AR759" s="4"/>
      <c r="AS759" s="4"/>
      <c r="AT759" s="4"/>
      <c r="AU759" s="4"/>
      <c r="AV759" s="4"/>
      <c r="AW759" s="4"/>
      <c r="AX759" s="4"/>
      <c r="AY759" s="4"/>
      <c r="AZ759" s="4">
        <v>500</v>
      </c>
      <c r="BA759" s="4">
        <f>500*56000</f>
        <v>28000000</v>
      </c>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v>500</v>
      </c>
      <c r="CK759" s="4">
        <f>500*18000</f>
        <v>9000000</v>
      </c>
      <c r="CL759" s="4"/>
      <c r="CM759" s="4"/>
      <c r="CN759" s="4"/>
      <c r="CO759" s="4"/>
      <c r="CP759" s="6">
        <v>500</v>
      </c>
      <c r="CQ759" s="7">
        <f>500*36952</f>
        <v>18476000</v>
      </c>
      <c r="CR759" s="6">
        <v>500</v>
      </c>
      <c r="CS759" s="7">
        <f>500*36000</f>
        <v>18000000</v>
      </c>
      <c r="CT759" s="6"/>
      <c r="CU759" s="7"/>
      <c r="CV759" s="8">
        <f t="shared" si="94"/>
        <v>73476000</v>
      </c>
      <c r="CW759" s="9"/>
      <c r="CX759" s="10"/>
      <c r="CY759" s="11">
        <v>500</v>
      </c>
      <c r="CZ759" s="12">
        <f>500*85000</f>
        <v>42500000</v>
      </c>
      <c r="DA759" s="29"/>
      <c r="DB759" s="12"/>
      <c r="DC759" s="9"/>
      <c r="DD759" s="10"/>
      <c r="DE759" s="71"/>
      <c r="EO759" s="353" t="str">
        <f t="shared" si="98"/>
        <v>CESAR_VALLEDUPAR</v>
      </c>
      <c r="EP759" s="350"/>
      <c r="EQ759" s="350" t="s">
        <v>4485</v>
      </c>
      <c r="ER759" s="358" t="s">
        <v>4486</v>
      </c>
      <c r="ES759" s="350" t="s">
        <v>5431</v>
      </c>
      <c r="ET759" s="350" t="s">
        <v>3402</v>
      </c>
      <c r="EU759" s="350" t="str">
        <f t="shared" si="96"/>
        <v>Nariño_Olaya Herrera</v>
      </c>
    </row>
    <row r="760" spans="1:151" ht="96" x14ac:dyDescent="0.2">
      <c r="A760" s="242">
        <v>40366</v>
      </c>
      <c r="B760" s="107" t="s">
        <v>2007</v>
      </c>
      <c r="C760" s="107" t="s">
        <v>2740</v>
      </c>
      <c r="D760" s="427" t="s">
        <v>837</v>
      </c>
      <c r="E760" s="107" t="str">
        <f>VLOOKUP(B760&amp;C760,Divipola!$C$2:$F$1138,4,FALSE)</f>
        <v>25754</v>
      </c>
      <c r="F760" s="330"/>
      <c r="G760" s="224"/>
      <c r="H760" s="75"/>
      <c r="I760" s="75"/>
      <c r="J760" s="75">
        <v>1236</v>
      </c>
      <c r="K760" s="75">
        <v>500</v>
      </c>
      <c r="L760" s="75"/>
      <c r="M760" s="75">
        <v>500</v>
      </c>
      <c r="N760" s="75"/>
      <c r="O760" s="75"/>
      <c r="P760" s="75"/>
      <c r="Q760" s="75"/>
      <c r="R760" s="75"/>
      <c r="S760" s="75"/>
      <c r="T760" s="75"/>
      <c r="U760" s="75"/>
      <c r="V760" s="76"/>
      <c r="W760" s="205"/>
      <c r="X760" s="1">
        <v>40381</v>
      </c>
      <c r="Y760" s="78">
        <f t="shared" si="90"/>
        <v>95525000</v>
      </c>
      <c r="Z760" s="78">
        <f t="shared" si="91"/>
        <v>0</v>
      </c>
      <c r="AA760" s="78">
        <f t="shared" si="97"/>
        <v>0</v>
      </c>
      <c r="AB760" s="78">
        <f t="shared" si="93"/>
        <v>0</v>
      </c>
      <c r="AC760" s="78"/>
      <c r="AD760" s="78">
        <v>0</v>
      </c>
      <c r="AE760" s="80">
        <f t="shared" si="95"/>
        <v>95525000</v>
      </c>
      <c r="AF760" s="82">
        <v>0</v>
      </c>
      <c r="AG760" s="69">
        <v>40375</v>
      </c>
      <c r="AH760" s="84">
        <v>35428</v>
      </c>
      <c r="AI760" s="69" t="s">
        <v>2009</v>
      </c>
      <c r="AJ760" s="25" t="s">
        <v>2010</v>
      </c>
      <c r="AK760" s="65">
        <v>211</v>
      </c>
      <c r="AL760" s="185" t="s">
        <v>1831</v>
      </c>
      <c r="AM760" s="85" t="s">
        <v>1817</v>
      </c>
      <c r="AN760" s="3"/>
      <c r="AO760" s="4"/>
      <c r="AP760" s="5"/>
      <c r="AQ760" s="4"/>
      <c r="AR760" s="4"/>
      <c r="AS760" s="4"/>
      <c r="AT760" s="4"/>
      <c r="AU760" s="4"/>
      <c r="AV760" s="4">
        <v>750</v>
      </c>
      <c r="AW760" s="4">
        <f>750*18000</f>
        <v>13500000</v>
      </c>
      <c r="AX760" s="4"/>
      <c r="AY760" s="4"/>
      <c r="AZ760" s="4">
        <v>133</v>
      </c>
      <c r="BA760" s="4">
        <f>133*56000</f>
        <v>7448000</v>
      </c>
      <c r="BB760" s="4">
        <v>967</v>
      </c>
      <c r="BC760" s="4">
        <f>967*56000</f>
        <v>54152000</v>
      </c>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6">
        <v>250</v>
      </c>
      <c r="CQ760" s="7">
        <f>250*38500</f>
        <v>9625000</v>
      </c>
      <c r="CR760" s="6">
        <v>300</v>
      </c>
      <c r="CS760" s="7">
        <f>300*36000</f>
        <v>10800000</v>
      </c>
      <c r="CT760" s="6"/>
      <c r="CU760" s="7"/>
      <c r="CV760" s="8">
        <f t="shared" si="94"/>
        <v>95525000</v>
      </c>
      <c r="CW760" s="9"/>
      <c r="CX760" s="10"/>
      <c r="CY760" s="11"/>
      <c r="CZ760" s="12"/>
      <c r="DA760" s="29"/>
      <c r="DB760" s="12"/>
      <c r="DC760" s="9"/>
      <c r="DD760" s="10"/>
      <c r="DE760" s="71"/>
      <c r="EO760" s="353" t="str">
        <f t="shared" si="98"/>
        <v>CUNDINAMARCA_SOACHA</v>
      </c>
      <c r="EP760" s="350"/>
      <c r="EQ760" s="350" t="s">
        <v>4485</v>
      </c>
      <c r="ER760" s="358" t="s">
        <v>4486</v>
      </c>
      <c r="ES760" s="350" t="s">
        <v>5432</v>
      </c>
      <c r="ET760" s="350" t="s">
        <v>3403</v>
      </c>
      <c r="EU760" s="350" t="str">
        <f t="shared" si="96"/>
        <v>Nariño_Ospina</v>
      </c>
    </row>
    <row r="761" spans="1:151" ht="38.25" x14ac:dyDescent="0.2">
      <c r="A761" s="242">
        <v>40367</v>
      </c>
      <c r="B761" s="236" t="s">
        <v>1951</v>
      </c>
      <c r="C761" s="236" t="s">
        <v>1864</v>
      </c>
      <c r="D761" s="433" t="s">
        <v>837</v>
      </c>
      <c r="E761" s="107" t="str">
        <f>VLOOKUP(B761&amp;C761,Divipola!$C$2:$F$1138,4,FALSE)</f>
        <v>08372</v>
      </c>
      <c r="F761" s="335"/>
      <c r="G761" s="221"/>
      <c r="H761" s="157"/>
      <c r="I761" s="157"/>
      <c r="J761" s="157">
        <f>45*5</f>
        <v>225</v>
      </c>
      <c r="K761" s="157">
        <v>45</v>
      </c>
      <c r="L761" s="157"/>
      <c r="M761" s="157">
        <v>1</v>
      </c>
      <c r="N761" s="157"/>
      <c r="O761" s="157"/>
      <c r="P761" s="157"/>
      <c r="Q761" s="157"/>
      <c r="R761" s="157"/>
      <c r="S761" s="157"/>
      <c r="T761" s="157"/>
      <c r="U761" s="157"/>
      <c r="V761" s="158"/>
      <c r="W761" s="182"/>
      <c r="X761" s="1"/>
      <c r="Y761" s="78">
        <f t="shared" si="90"/>
        <v>0</v>
      </c>
      <c r="Z761" s="78">
        <f t="shared" si="91"/>
        <v>0</v>
      </c>
      <c r="AA761" s="78">
        <f t="shared" si="97"/>
        <v>0</v>
      </c>
      <c r="AB761" s="78">
        <f t="shared" si="93"/>
        <v>0</v>
      </c>
      <c r="AC761" s="78"/>
      <c r="AD761" s="78">
        <v>0</v>
      </c>
      <c r="AE761" s="80">
        <f t="shared" si="95"/>
        <v>0</v>
      </c>
      <c r="AF761" s="82">
        <v>0</v>
      </c>
      <c r="AG761" s="69">
        <v>40413</v>
      </c>
      <c r="AH761" s="84">
        <v>42603</v>
      </c>
      <c r="AI761" s="69" t="s">
        <v>2009</v>
      </c>
      <c r="AJ761" s="25" t="s">
        <v>1196</v>
      </c>
      <c r="AK761" s="65"/>
      <c r="AL761" s="185" t="s">
        <v>184</v>
      </c>
      <c r="AM761" s="173" t="s">
        <v>183</v>
      </c>
      <c r="AN761" s="159"/>
      <c r="AO761" s="160"/>
      <c r="AP761" s="161"/>
      <c r="AQ761" s="160"/>
      <c r="AR761" s="160"/>
      <c r="AS761" s="160"/>
      <c r="AT761" s="160"/>
      <c r="AU761" s="160"/>
      <c r="AV761" s="160"/>
      <c r="AW761" s="160"/>
      <c r="AX761" s="160"/>
      <c r="AY761" s="160"/>
      <c r="AZ761" s="160"/>
      <c r="BA761" s="160"/>
      <c r="BB761" s="160"/>
      <c r="BC761" s="160"/>
      <c r="BD761" s="160"/>
      <c r="BE761" s="160"/>
      <c r="BF761" s="160"/>
      <c r="BG761" s="160"/>
      <c r="BH761" s="160"/>
      <c r="BI761" s="160"/>
      <c r="BJ761" s="160"/>
      <c r="BK761" s="160"/>
      <c r="BL761" s="160"/>
      <c r="BM761" s="160"/>
      <c r="BN761" s="160"/>
      <c r="BO761" s="160"/>
      <c r="BP761" s="160"/>
      <c r="BQ761" s="160"/>
      <c r="BR761" s="160"/>
      <c r="BS761" s="160"/>
      <c r="BT761" s="160"/>
      <c r="BU761" s="160"/>
      <c r="BV761" s="160"/>
      <c r="BW761" s="160"/>
      <c r="BX761" s="160"/>
      <c r="BY761" s="160"/>
      <c r="BZ761" s="160"/>
      <c r="CA761" s="160"/>
      <c r="CB761" s="160"/>
      <c r="CC761" s="160"/>
      <c r="CD761" s="160"/>
      <c r="CE761" s="160"/>
      <c r="CF761" s="160"/>
      <c r="CG761" s="160"/>
      <c r="CH761" s="160"/>
      <c r="CI761" s="160"/>
      <c r="CJ761" s="160"/>
      <c r="CK761" s="160"/>
      <c r="CL761" s="160"/>
      <c r="CM761" s="160"/>
      <c r="CN761" s="160"/>
      <c r="CO761" s="160"/>
      <c r="CP761" s="162"/>
      <c r="CQ761" s="163"/>
      <c r="CR761" s="162"/>
      <c r="CS761" s="163"/>
      <c r="CT761" s="162"/>
      <c r="CU761" s="163"/>
      <c r="CV761" s="164">
        <f t="shared" si="94"/>
        <v>0</v>
      </c>
      <c r="CW761" s="165"/>
      <c r="CX761" s="166"/>
      <c r="CY761" s="167"/>
      <c r="CZ761" s="168"/>
      <c r="DA761" s="169"/>
      <c r="DB761" s="168"/>
      <c r="DC761" s="165"/>
      <c r="DD761" s="166"/>
      <c r="DE761" s="71"/>
      <c r="DF761" s="170"/>
      <c r="EO761" s="353" t="str">
        <f t="shared" si="98"/>
        <v>ATLANTICO_JUAN DE ACOSTA</v>
      </c>
      <c r="EP761" s="350"/>
      <c r="EQ761" s="350" t="s">
        <v>4485</v>
      </c>
      <c r="ER761" s="358" t="s">
        <v>4486</v>
      </c>
      <c r="ES761" s="350" t="s">
        <v>5433</v>
      </c>
      <c r="ET761" s="350" t="s">
        <v>3404</v>
      </c>
      <c r="EU761" s="350" t="str">
        <f t="shared" si="96"/>
        <v>Nariño_Francisco Pizarro</v>
      </c>
    </row>
    <row r="762" spans="1:151" ht="36" x14ac:dyDescent="0.2">
      <c r="A762" s="242">
        <v>40367</v>
      </c>
      <c r="B762" s="107" t="s">
        <v>2017</v>
      </c>
      <c r="C762" s="107" t="s">
        <v>1215</v>
      </c>
      <c r="D762" s="427" t="s">
        <v>837</v>
      </c>
      <c r="E762" s="107" t="str">
        <f>VLOOKUP(B762&amp;C762,Divipola!$C$2:$F$1138,4,FALSE)</f>
        <v>13001</v>
      </c>
      <c r="F762" s="330"/>
      <c r="G762" s="224"/>
      <c r="H762" s="75"/>
      <c r="I762" s="75"/>
      <c r="J762" s="75"/>
      <c r="K762" s="75"/>
      <c r="L762" s="75"/>
      <c r="M762" s="75"/>
      <c r="N762" s="75"/>
      <c r="O762" s="75"/>
      <c r="P762" s="75"/>
      <c r="Q762" s="75"/>
      <c r="R762" s="75"/>
      <c r="S762" s="75"/>
      <c r="T762" s="75"/>
      <c r="U762" s="75"/>
      <c r="V762" s="76"/>
      <c r="W762" s="205"/>
      <c r="X762" s="1"/>
      <c r="Y762" s="78">
        <f t="shared" si="90"/>
        <v>0</v>
      </c>
      <c r="Z762" s="78">
        <f t="shared" si="91"/>
        <v>0</v>
      </c>
      <c r="AA762" s="78">
        <f t="shared" si="97"/>
        <v>0</v>
      </c>
      <c r="AB762" s="78">
        <f t="shared" si="93"/>
        <v>0</v>
      </c>
      <c r="AC762" s="78"/>
      <c r="AD762" s="78">
        <v>0</v>
      </c>
      <c r="AE762" s="80">
        <f t="shared" si="95"/>
        <v>0</v>
      </c>
      <c r="AF762" s="82">
        <v>0</v>
      </c>
      <c r="AG762" s="69">
        <v>40371</v>
      </c>
      <c r="AH762" s="84"/>
      <c r="AI762" s="69" t="s">
        <v>1984</v>
      </c>
      <c r="AJ762" s="25" t="s">
        <v>1985</v>
      </c>
      <c r="AK762" s="65"/>
      <c r="AL762" s="185" t="s">
        <v>1257</v>
      </c>
      <c r="AM762" s="85" t="s">
        <v>1789</v>
      </c>
      <c r="AN762" s="3"/>
      <c r="AO762" s="4"/>
      <c r="AP762" s="5"/>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6"/>
      <c r="CQ762" s="7"/>
      <c r="CR762" s="6"/>
      <c r="CS762" s="7"/>
      <c r="CT762" s="6"/>
      <c r="CU762" s="7"/>
      <c r="CV762" s="8">
        <f t="shared" si="94"/>
        <v>0</v>
      </c>
      <c r="CW762" s="9"/>
      <c r="CX762" s="10"/>
      <c r="CY762" s="11"/>
      <c r="CZ762" s="12"/>
      <c r="DA762" s="29"/>
      <c r="DB762" s="12"/>
      <c r="DC762" s="9"/>
      <c r="DD762" s="10"/>
      <c r="DE762" s="71"/>
      <c r="EO762" s="353" t="str">
        <f t="shared" si="98"/>
        <v>BOLIVAR_CARTAGENA</v>
      </c>
      <c r="EP762" s="350"/>
      <c r="EQ762" s="350" t="s">
        <v>4485</v>
      </c>
      <c r="ER762" s="358" t="s">
        <v>4486</v>
      </c>
      <c r="ES762" s="350" t="s">
        <v>5434</v>
      </c>
      <c r="ET762" s="350" t="s">
        <v>3405</v>
      </c>
      <c r="EU762" s="350" t="str">
        <f t="shared" si="96"/>
        <v>Nariño_Policarpa</v>
      </c>
    </row>
    <row r="763" spans="1:151" ht="36" x14ac:dyDescent="0.2">
      <c r="A763" s="242">
        <v>40367</v>
      </c>
      <c r="B763" s="107" t="s">
        <v>2242</v>
      </c>
      <c r="C763" s="107" t="s">
        <v>1790</v>
      </c>
      <c r="D763" s="427" t="s">
        <v>837</v>
      </c>
      <c r="E763" s="107" t="str">
        <f>VLOOKUP(B763&amp;C763,Divipola!$C$2:$F$1138,4,FALSE)</f>
        <v>20228</v>
      </c>
      <c r="F763" s="330"/>
      <c r="G763" s="224"/>
      <c r="H763" s="75"/>
      <c r="I763" s="75"/>
      <c r="J763" s="75">
        <f>27*5</f>
        <v>135</v>
      </c>
      <c r="K763" s="75">
        <v>27</v>
      </c>
      <c r="L763" s="75"/>
      <c r="M763" s="75">
        <v>27</v>
      </c>
      <c r="N763" s="75"/>
      <c r="O763" s="75"/>
      <c r="P763" s="75"/>
      <c r="Q763" s="75"/>
      <c r="R763" s="75"/>
      <c r="S763" s="75"/>
      <c r="T763" s="75"/>
      <c r="U763" s="75"/>
      <c r="V763" s="76"/>
      <c r="W763" s="205"/>
      <c r="X763" s="1"/>
      <c r="Y763" s="78">
        <f t="shared" si="90"/>
        <v>0</v>
      </c>
      <c r="Z763" s="78">
        <f t="shared" si="91"/>
        <v>0</v>
      </c>
      <c r="AA763" s="78">
        <f t="shared" si="97"/>
        <v>0</v>
      </c>
      <c r="AB763" s="78">
        <f t="shared" si="93"/>
        <v>0</v>
      </c>
      <c r="AC763" s="78"/>
      <c r="AD763" s="78">
        <v>0</v>
      </c>
      <c r="AE763" s="80">
        <f t="shared" si="95"/>
        <v>0</v>
      </c>
      <c r="AF763" s="82">
        <v>0</v>
      </c>
      <c r="AG763" s="69">
        <v>40371</v>
      </c>
      <c r="AH763" s="84"/>
      <c r="AI763" s="69" t="s">
        <v>1984</v>
      </c>
      <c r="AJ763" s="25" t="s">
        <v>1985</v>
      </c>
      <c r="AK763" s="65"/>
      <c r="AL763" s="185" t="s">
        <v>1257</v>
      </c>
      <c r="AM763" s="85" t="s">
        <v>1230</v>
      </c>
      <c r="AN763" s="3"/>
      <c r="AO763" s="4"/>
      <c r="AP763" s="5"/>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6"/>
      <c r="CQ763" s="7"/>
      <c r="CR763" s="6"/>
      <c r="CS763" s="7"/>
      <c r="CT763" s="6"/>
      <c r="CU763" s="7"/>
      <c r="CV763" s="8">
        <f t="shared" si="94"/>
        <v>0</v>
      </c>
      <c r="CW763" s="9"/>
      <c r="CX763" s="10"/>
      <c r="CY763" s="11"/>
      <c r="CZ763" s="12"/>
      <c r="DA763" s="29"/>
      <c r="DB763" s="12"/>
      <c r="DC763" s="9"/>
      <c r="DD763" s="10"/>
      <c r="DE763" s="71"/>
      <c r="EO763" s="353" t="str">
        <f t="shared" si="98"/>
        <v>CESAR_CURUMANI</v>
      </c>
      <c r="EP763" s="350"/>
      <c r="EQ763" s="350" t="s">
        <v>4485</v>
      </c>
      <c r="ER763" s="358" t="s">
        <v>4486</v>
      </c>
      <c r="ES763" s="350" t="s">
        <v>5435</v>
      </c>
      <c r="ET763" s="350" t="s">
        <v>3406</v>
      </c>
      <c r="EU763" s="350" t="str">
        <f t="shared" si="96"/>
        <v>Nariño_Potosi</v>
      </c>
    </row>
    <row r="764" spans="1:151" ht="38.25" x14ac:dyDescent="0.2">
      <c r="A764" s="242">
        <v>40367</v>
      </c>
      <c r="B764" s="107" t="s">
        <v>2007</v>
      </c>
      <c r="C764" s="107" t="s">
        <v>504</v>
      </c>
      <c r="D764" s="427" t="s">
        <v>837</v>
      </c>
      <c r="E764" s="107" t="str">
        <f>VLOOKUP(B764&amp;C764,Divipola!$C$2:$F$1138,4,FALSE)</f>
        <v>25740</v>
      </c>
      <c r="F764" s="330"/>
      <c r="G764" s="224"/>
      <c r="H764" s="75"/>
      <c r="I764" s="75"/>
      <c r="J764" s="75">
        <v>35</v>
      </c>
      <c r="K764" s="75">
        <v>7</v>
      </c>
      <c r="L764" s="75"/>
      <c r="M764" s="75">
        <v>7</v>
      </c>
      <c r="N764" s="75"/>
      <c r="O764" s="75"/>
      <c r="P764" s="75"/>
      <c r="Q764" s="75"/>
      <c r="R764" s="75"/>
      <c r="S764" s="75"/>
      <c r="T764" s="75"/>
      <c r="U764" s="75"/>
      <c r="V764" s="76"/>
      <c r="W764" s="205"/>
      <c r="X764" s="1"/>
      <c r="Y764" s="78">
        <f t="shared" si="90"/>
        <v>0</v>
      </c>
      <c r="Z764" s="78">
        <f t="shared" si="91"/>
        <v>0</v>
      </c>
      <c r="AA764" s="78">
        <f t="shared" si="97"/>
        <v>0</v>
      </c>
      <c r="AB764" s="78">
        <f t="shared" si="93"/>
        <v>0</v>
      </c>
      <c r="AC764" s="78"/>
      <c r="AD764" s="78">
        <v>0</v>
      </c>
      <c r="AE764" s="80">
        <f t="shared" si="95"/>
        <v>0</v>
      </c>
      <c r="AF764" s="82">
        <v>0</v>
      </c>
      <c r="AG764" s="69">
        <v>40371</v>
      </c>
      <c r="AH764" s="84"/>
      <c r="AI764" s="69" t="s">
        <v>1984</v>
      </c>
      <c r="AJ764" s="25" t="s">
        <v>1985</v>
      </c>
      <c r="AK764" s="65"/>
      <c r="AL764" s="185" t="s">
        <v>1257</v>
      </c>
      <c r="AM764" s="85" t="s">
        <v>1812</v>
      </c>
      <c r="AN764" s="3"/>
      <c r="AO764" s="4"/>
      <c r="AP764" s="5"/>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6"/>
      <c r="CQ764" s="7"/>
      <c r="CR764" s="6"/>
      <c r="CS764" s="7"/>
      <c r="CT764" s="6"/>
      <c r="CU764" s="7"/>
      <c r="CV764" s="8">
        <f t="shared" si="94"/>
        <v>0</v>
      </c>
      <c r="CW764" s="9"/>
      <c r="CX764" s="10"/>
      <c r="CY764" s="11"/>
      <c r="CZ764" s="12"/>
      <c r="DA764" s="29"/>
      <c r="DB764" s="12"/>
      <c r="DC764" s="9"/>
      <c r="DD764" s="10"/>
      <c r="DE764" s="71"/>
      <c r="EO764" s="353" t="str">
        <f t="shared" si="98"/>
        <v>CUNDINAMARCA_SIBATE</v>
      </c>
      <c r="EP764" s="350"/>
      <c r="EQ764" s="350" t="s">
        <v>4485</v>
      </c>
      <c r="ER764" s="358" t="s">
        <v>4486</v>
      </c>
      <c r="ES764" s="350" t="s">
        <v>5436</v>
      </c>
      <c r="ET764" s="350" t="s">
        <v>3407</v>
      </c>
      <c r="EU764" s="350" t="str">
        <f t="shared" si="96"/>
        <v>Nariño_Providencia</v>
      </c>
    </row>
    <row r="765" spans="1:151" ht="38.25" x14ac:dyDescent="0.2">
      <c r="A765" s="242">
        <v>40367</v>
      </c>
      <c r="B765" s="107" t="s">
        <v>2007</v>
      </c>
      <c r="C765" s="107" t="s">
        <v>2740</v>
      </c>
      <c r="D765" s="427" t="s">
        <v>2307</v>
      </c>
      <c r="E765" s="107" t="str">
        <f>VLOOKUP(B765&amp;C765,Divipola!$C$2:$F$1138,4,FALSE)</f>
        <v>25754</v>
      </c>
      <c r="F765" s="330"/>
      <c r="G765" s="224">
        <v>1</v>
      </c>
      <c r="H765" s="75"/>
      <c r="I765" s="75"/>
      <c r="J765" s="75">
        <v>15</v>
      </c>
      <c r="K765" s="75">
        <v>3</v>
      </c>
      <c r="L765" s="75">
        <v>2</v>
      </c>
      <c r="M765" s="75">
        <v>1</v>
      </c>
      <c r="N765" s="75"/>
      <c r="O765" s="75"/>
      <c r="P765" s="75"/>
      <c r="Q765" s="75"/>
      <c r="R765" s="75"/>
      <c r="S765" s="75"/>
      <c r="T765" s="75"/>
      <c r="U765" s="75"/>
      <c r="V765" s="76"/>
      <c r="W765" s="205"/>
      <c r="X765" s="1"/>
      <c r="Y765" s="78">
        <f t="shared" si="90"/>
        <v>0</v>
      </c>
      <c r="Z765" s="78">
        <f t="shared" si="91"/>
        <v>0</v>
      </c>
      <c r="AA765" s="78">
        <f t="shared" ref="AA765:AA796" si="99">DB765+DD765</f>
        <v>0</v>
      </c>
      <c r="AB765" s="78">
        <f t="shared" si="93"/>
        <v>0</v>
      </c>
      <c r="AC765" s="78"/>
      <c r="AD765" s="78">
        <v>0</v>
      </c>
      <c r="AE765" s="80">
        <f t="shared" si="95"/>
        <v>0</v>
      </c>
      <c r="AF765" s="82">
        <v>0</v>
      </c>
      <c r="AG765" s="69">
        <v>40371</v>
      </c>
      <c r="AH765" s="84"/>
      <c r="AI765" s="69" t="s">
        <v>1984</v>
      </c>
      <c r="AJ765" s="25" t="s">
        <v>1985</v>
      </c>
      <c r="AK765" s="65"/>
      <c r="AL765" s="185" t="s">
        <v>1257</v>
      </c>
      <c r="AM765" s="85" t="s">
        <v>1811</v>
      </c>
      <c r="AN765" s="3"/>
      <c r="AO765" s="4"/>
      <c r="AP765" s="5"/>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6"/>
      <c r="CQ765" s="7"/>
      <c r="CR765" s="6"/>
      <c r="CS765" s="7"/>
      <c r="CT765" s="6"/>
      <c r="CU765" s="7"/>
      <c r="CV765" s="8">
        <f t="shared" si="94"/>
        <v>0</v>
      </c>
      <c r="CW765" s="9"/>
      <c r="CX765" s="10"/>
      <c r="CY765" s="11"/>
      <c r="CZ765" s="12"/>
      <c r="DA765" s="29"/>
      <c r="DB765" s="12"/>
      <c r="DC765" s="9"/>
      <c r="DD765" s="10"/>
      <c r="DE765" s="71"/>
      <c r="EO765" s="353" t="str">
        <f t="shared" si="98"/>
        <v>CUNDINAMARCA_SOACHA</v>
      </c>
      <c r="EP765" s="350"/>
      <c r="EQ765" s="350" t="s">
        <v>4485</v>
      </c>
      <c r="ER765" s="358" t="s">
        <v>4486</v>
      </c>
      <c r="ES765" s="350" t="s">
        <v>5437</v>
      </c>
      <c r="ET765" s="350" t="s">
        <v>3408</v>
      </c>
      <c r="EU765" s="350" t="str">
        <f t="shared" si="96"/>
        <v>Nariño_Puerres</v>
      </c>
    </row>
    <row r="766" spans="1:151" ht="108" x14ac:dyDescent="0.2">
      <c r="A766" s="242">
        <v>40367</v>
      </c>
      <c r="B766" s="107" t="s">
        <v>5778</v>
      </c>
      <c r="C766" s="107" t="s">
        <v>874</v>
      </c>
      <c r="D766" s="427" t="s">
        <v>837</v>
      </c>
      <c r="E766" s="107" t="str">
        <f>VLOOKUP(B766&amp;C766,Divipola!$C$2:$F$1138,4,FALSE)</f>
        <v>44430</v>
      </c>
      <c r="F766" s="330"/>
      <c r="G766" s="224"/>
      <c r="H766" s="75"/>
      <c r="I766" s="75"/>
      <c r="J766" s="75">
        <f>395*5</f>
        <v>1975</v>
      </c>
      <c r="K766" s="139">
        <v>395</v>
      </c>
      <c r="L766" s="75"/>
      <c r="M766" s="75"/>
      <c r="N766" s="75"/>
      <c r="O766" s="75"/>
      <c r="P766" s="75"/>
      <c r="Q766" s="75"/>
      <c r="R766" s="75"/>
      <c r="S766" s="75"/>
      <c r="T766" s="75"/>
      <c r="U766" s="75"/>
      <c r="V766" s="76"/>
      <c r="W766" s="205"/>
      <c r="X766" s="1"/>
      <c r="Y766" s="78">
        <f t="shared" si="90"/>
        <v>0</v>
      </c>
      <c r="Z766" s="78">
        <f t="shared" si="91"/>
        <v>0</v>
      </c>
      <c r="AA766" s="78">
        <f t="shared" si="99"/>
        <v>0</v>
      </c>
      <c r="AB766" s="78">
        <f t="shared" si="93"/>
        <v>0</v>
      </c>
      <c r="AC766" s="78"/>
      <c r="AD766" s="78">
        <v>0</v>
      </c>
      <c r="AE766" s="80">
        <f t="shared" si="95"/>
        <v>0</v>
      </c>
      <c r="AF766" s="82">
        <v>0</v>
      </c>
      <c r="AG766" s="69">
        <v>40371</v>
      </c>
      <c r="AH766" s="84"/>
      <c r="AI766" s="69" t="s">
        <v>2009</v>
      </c>
      <c r="AJ766" s="25" t="s">
        <v>2010</v>
      </c>
      <c r="AK766" s="65"/>
      <c r="AL766" s="214" t="s">
        <v>485</v>
      </c>
      <c r="AM766" s="85" t="s">
        <v>3742</v>
      </c>
      <c r="AN766" s="3"/>
      <c r="AO766" s="4"/>
      <c r="AP766" s="5"/>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6"/>
      <c r="CQ766" s="7"/>
      <c r="CR766" s="6"/>
      <c r="CS766" s="7"/>
      <c r="CT766" s="6"/>
      <c r="CU766" s="7"/>
      <c r="CV766" s="8">
        <f t="shared" si="94"/>
        <v>0</v>
      </c>
      <c r="CW766" s="9"/>
      <c r="CX766" s="10"/>
      <c r="CY766" s="11"/>
      <c r="CZ766" s="12"/>
      <c r="DA766" s="29"/>
      <c r="DB766" s="12"/>
      <c r="DC766" s="9"/>
      <c r="DD766" s="10"/>
      <c r="DE766" s="71"/>
      <c r="EO766" s="353" t="str">
        <f t="shared" si="98"/>
        <v>LA GUAJIRA_MAICAO</v>
      </c>
      <c r="EP766" s="350"/>
      <c r="EQ766" s="350" t="s">
        <v>4485</v>
      </c>
      <c r="ER766" s="358" t="s">
        <v>4486</v>
      </c>
      <c r="ES766" s="350" t="s">
        <v>5438</v>
      </c>
      <c r="ET766" s="350" t="s">
        <v>3409</v>
      </c>
      <c r="EU766" s="350" t="str">
        <f t="shared" si="96"/>
        <v>Nariño_Pupiales</v>
      </c>
    </row>
    <row r="767" spans="1:151" ht="25.5" x14ac:dyDescent="0.2">
      <c r="A767" s="242">
        <v>40367</v>
      </c>
      <c r="B767" s="107" t="s">
        <v>2791</v>
      </c>
      <c r="C767" s="107" t="s">
        <v>1945</v>
      </c>
      <c r="D767" s="427" t="s">
        <v>837</v>
      </c>
      <c r="E767" s="107" t="str">
        <f>VLOOKUP(B767&amp;C767,Divipola!$C$2:$F$1138,4,FALSE)</f>
        <v>73001</v>
      </c>
      <c r="F767" s="330"/>
      <c r="G767" s="224"/>
      <c r="H767" s="75"/>
      <c r="I767" s="75"/>
      <c r="J767" s="75">
        <v>95</v>
      </c>
      <c r="K767" s="75">
        <v>18</v>
      </c>
      <c r="L767" s="75"/>
      <c r="M767" s="75">
        <v>18</v>
      </c>
      <c r="N767" s="75"/>
      <c r="O767" s="75"/>
      <c r="P767" s="75"/>
      <c r="Q767" s="75"/>
      <c r="R767" s="75"/>
      <c r="S767" s="75"/>
      <c r="T767" s="75"/>
      <c r="U767" s="75"/>
      <c r="V767" s="76"/>
      <c r="W767" s="205"/>
      <c r="X767" s="1"/>
      <c r="Y767" s="78">
        <f t="shared" si="90"/>
        <v>0</v>
      </c>
      <c r="Z767" s="78">
        <f t="shared" si="91"/>
        <v>0</v>
      </c>
      <c r="AA767" s="78">
        <f t="shared" si="99"/>
        <v>0</v>
      </c>
      <c r="AB767" s="78">
        <f t="shared" si="93"/>
        <v>0</v>
      </c>
      <c r="AC767" s="78"/>
      <c r="AD767" s="78">
        <v>0</v>
      </c>
      <c r="AE767" s="80">
        <f t="shared" si="95"/>
        <v>0</v>
      </c>
      <c r="AF767" s="82">
        <v>0</v>
      </c>
      <c r="AG767" s="69">
        <v>40367</v>
      </c>
      <c r="AH767" s="84"/>
      <c r="AI767" s="69" t="s">
        <v>1984</v>
      </c>
      <c r="AJ767" s="25" t="s">
        <v>1985</v>
      </c>
      <c r="AK767" s="65"/>
      <c r="AL767" s="185" t="s">
        <v>1257</v>
      </c>
      <c r="AM767" s="85" t="s">
        <v>1444</v>
      </c>
      <c r="AN767" s="3"/>
      <c r="AO767" s="4"/>
      <c r="AP767" s="5"/>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6"/>
      <c r="CQ767" s="7"/>
      <c r="CR767" s="6"/>
      <c r="CS767" s="7"/>
      <c r="CT767" s="6"/>
      <c r="CU767" s="7"/>
      <c r="CV767" s="8">
        <f t="shared" si="94"/>
        <v>0</v>
      </c>
      <c r="CW767" s="9"/>
      <c r="CX767" s="10"/>
      <c r="CY767" s="11"/>
      <c r="CZ767" s="12"/>
      <c r="DA767" s="29"/>
      <c r="DB767" s="12"/>
      <c r="DC767" s="9"/>
      <c r="DD767" s="10"/>
      <c r="DE767" s="71"/>
      <c r="EO767" s="353" t="str">
        <f t="shared" si="98"/>
        <v>TOLIMA_IBAGUE</v>
      </c>
      <c r="EP767" s="350"/>
      <c r="EQ767" s="350" t="s">
        <v>4485</v>
      </c>
      <c r="ER767" s="358" t="s">
        <v>4486</v>
      </c>
      <c r="ES767" s="350" t="s">
        <v>5439</v>
      </c>
      <c r="ET767" s="350" t="s">
        <v>3213</v>
      </c>
      <c r="EU767" s="350" t="str">
        <f t="shared" si="96"/>
        <v>Nariño_Ricaurte</v>
      </c>
    </row>
    <row r="768" spans="1:151" ht="25.5" x14ac:dyDescent="0.2">
      <c r="A768" s="242">
        <v>40367</v>
      </c>
      <c r="B768" s="107" t="s">
        <v>2791</v>
      </c>
      <c r="C768" s="107" t="s">
        <v>1945</v>
      </c>
      <c r="D768" s="427" t="s">
        <v>2307</v>
      </c>
      <c r="E768" s="107" t="str">
        <f>VLOOKUP(B768&amp;C768,Divipola!$C$2:$F$1138,4,FALSE)</f>
        <v>73001</v>
      </c>
      <c r="F768" s="330"/>
      <c r="G768" s="224"/>
      <c r="H768" s="75"/>
      <c r="I768" s="75"/>
      <c r="J768" s="75">
        <v>5</v>
      </c>
      <c r="K768" s="75">
        <v>1</v>
      </c>
      <c r="L768" s="75"/>
      <c r="M768" s="75">
        <v>1</v>
      </c>
      <c r="N768" s="75">
        <v>1</v>
      </c>
      <c r="O768" s="75"/>
      <c r="P768" s="75"/>
      <c r="Q768" s="75"/>
      <c r="R768" s="75"/>
      <c r="S768" s="75"/>
      <c r="T768" s="75"/>
      <c r="U768" s="75"/>
      <c r="V768" s="76"/>
      <c r="W768" s="205"/>
      <c r="X768" s="1"/>
      <c r="Y768" s="78">
        <f t="shared" si="90"/>
        <v>0</v>
      </c>
      <c r="Z768" s="78">
        <f t="shared" si="91"/>
        <v>0</v>
      </c>
      <c r="AA768" s="78">
        <f t="shared" si="99"/>
        <v>0</v>
      </c>
      <c r="AB768" s="78">
        <f t="shared" si="93"/>
        <v>0</v>
      </c>
      <c r="AC768" s="78"/>
      <c r="AD768" s="78">
        <v>0</v>
      </c>
      <c r="AE768" s="80">
        <f t="shared" si="95"/>
        <v>0</v>
      </c>
      <c r="AF768" s="82">
        <v>0</v>
      </c>
      <c r="AG768" s="69">
        <v>40371</v>
      </c>
      <c r="AH768" s="84"/>
      <c r="AI768" s="69" t="s">
        <v>1984</v>
      </c>
      <c r="AJ768" s="25" t="s">
        <v>1985</v>
      </c>
      <c r="AK768" s="65"/>
      <c r="AL768" s="185" t="s">
        <v>1257</v>
      </c>
      <c r="AM768" s="85" t="s">
        <v>1369</v>
      </c>
      <c r="AN768" s="3"/>
      <c r="AO768" s="4"/>
      <c r="AP768" s="5"/>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6"/>
      <c r="CQ768" s="7"/>
      <c r="CR768" s="6"/>
      <c r="CS768" s="7"/>
      <c r="CT768" s="6"/>
      <c r="CU768" s="7"/>
      <c r="CV768" s="8">
        <f t="shared" si="94"/>
        <v>0</v>
      </c>
      <c r="CW768" s="9"/>
      <c r="CX768" s="10"/>
      <c r="CY768" s="11"/>
      <c r="CZ768" s="12"/>
      <c r="DA768" s="29"/>
      <c r="DB768" s="12"/>
      <c r="DC768" s="9"/>
      <c r="DD768" s="10"/>
      <c r="DE768" s="71"/>
      <c r="EO768" s="353" t="str">
        <f t="shared" si="98"/>
        <v>TOLIMA_IBAGUE</v>
      </c>
      <c r="EP768" s="350"/>
      <c r="EQ768" s="350" t="s">
        <v>4485</v>
      </c>
      <c r="ER768" s="358" t="s">
        <v>4486</v>
      </c>
      <c r="ES768" s="350" t="s">
        <v>5440</v>
      </c>
      <c r="ET768" s="350" t="s">
        <v>3410</v>
      </c>
      <c r="EU768" s="350" t="str">
        <f t="shared" si="96"/>
        <v>Nariño_Roberto Payan</v>
      </c>
    </row>
    <row r="769" spans="1:151" ht="51" x14ac:dyDescent="0.2">
      <c r="A769" s="242">
        <v>40367</v>
      </c>
      <c r="B769" s="107" t="s">
        <v>1462</v>
      </c>
      <c r="C769" s="107" t="s">
        <v>609</v>
      </c>
      <c r="D769" s="427" t="s">
        <v>2307</v>
      </c>
      <c r="E769" s="107" t="str">
        <f>VLOOKUP(B769&amp;C769,Divipola!$C$2:$F$1138,4,FALSE)</f>
        <v>76364</v>
      </c>
      <c r="F769" s="330"/>
      <c r="G769" s="224"/>
      <c r="H769" s="75"/>
      <c r="I769" s="75"/>
      <c r="J769" s="75">
        <v>5</v>
      </c>
      <c r="K769" s="75">
        <v>1</v>
      </c>
      <c r="L769" s="75"/>
      <c r="M769" s="75">
        <v>1</v>
      </c>
      <c r="N769" s="75"/>
      <c r="O769" s="75"/>
      <c r="P769" s="75"/>
      <c r="Q769" s="75"/>
      <c r="R769" s="75"/>
      <c r="S769" s="75"/>
      <c r="T769" s="75"/>
      <c r="U769" s="75"/>
      <c r="V769" s="76"/>
      <c r="W769" s="205"/>
      <c r="X769" s="1"/>
      <c r="Y769" s="78">
        <f t="shared" si="90"/>
        <v>0</v>
      </c>
      <c r="Z769" s="78">
        <f t="shared" si="91"/>
        <v>0</v>
      </c>
      <c r="AA769" s="78">
        <f t="shared" si="99"/>
        <v>0</v>
      </c>
      <c r="AB769" s="78">
        <f t="shared" si="93"/>
        <v>0</v>
      </c>
      <c r="AC769" s="78"/>
      <c r="AD769" s="78">
        <v>0</v>
      </c>
      <c r="AE769" s="80">
        <f t="shared" si="95"/>
        <v>0</v>
      </c>
      <c r="AF769" s="82">
        <v>0</v>
      </c>
      <c r="AG769" s="69">
        <v>40371</v>
      </c>
      <c r="AH769" s="84"/>
      <c r="AI769" s="69" t="s">
        <v>1984</v>
      </c>
      <c r="AJ769" s="25" t="s">
        <v>1985</v>
      </c>
      <c r="AK769" s="65"/>
      <c r="AL769" s="185" t="s">
        <v>1257</v>
      </c>
      <c r="AM769" s="85" t="s">
        <v>1813</v>
      </c>
      <c r="AN769" s="3"/>
      <c r="AO769" s="4"/>
      <c r="AP769" s="5"/>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6"/>
      <c r="CQ769" s="7"/>
      <c r="CR769" s="6"/>
      <c r="CS769" s="7"/>
      <c r="CT769" s="6"/>
      <c r="CU769" s="7"/>
      <c r="CV769" s="8">
        <f t="shared" si="94"/>
        <v>0</v>
      </c>
      <c r="CW769" s="9"/>
      <c r="CX769" s="10"/>
      <c r="CY769" s="11"/>
      <c r="CZ769" s="12"/>
      <c r="DA769" s="29"/>
      <c r="DB769" s="12"/>
      <c r="DC769" s="9"/>
      <c r="DD769" s="10"/>
      <c r="DE769" s="71"/>
      <c r="EO769" s="353" t="str">
        <f t="shared" si="98"/>
        <v>VALLE DEL CAUCA_JAMUNDI</v>
      </c>
      <c r="EP769" s="350"/>
      <c r="EQ769" s="350" t="s">
        <v>4485</v>
      </c>
      <c r="ER769" s="358" t="s">
        <v>4486</v>
      </c>
      <c r="ES769" s="350" t="s">
        <v>5441</v>
      </c>
      <c r="ET769" s="350" t="s">
        <v>3411</v>
      </c>
      <c r="EU769" s="350" t="str">
        <f t="shared" si="96"/>
        <v>Nariño_Samaniego</v>
      </c>
    </row>
    <row r="770" spans="1:151" ht="60" x14ac:dyDescent="0.2">
      <c r="A770" s="242">
        <v>40368</v>
      </c>
      <c r="B770" s="107" t="s">
        <v>828</v>
      </c>
      <c r="C770" s="107" t="s">
        <v>621</v>
      </c>
      <c r="D770" s="427" t="s">
        <v>837</v>
      </c>
      <c r="E770" s="107" t="str">
        <f>VLOOKUP(B770&amp;C770,Divipola!$C$2:$F$1138,4,FALSE)</f>
        <v>15001</v>
      </c>
      <c r="F770" s="330"/>
      <c r="G770" s="224"/>
      <c r="H770" s="75"/>
      <c r="I770" s="75"/>
      <c r="J770" s="75">
        <v>600</v>
      </c>
      <c r="K770" s="75">
        <v>120</v>
      </c>
      <c r="L770" s="75"/>
      <c r="M770" s="75">
        <v>120</v>
      </c>
      <c r="N770" s="75"/>
      <c r="O770" s="75"/>
      <c r="P770" s="75"/>
      <c r="Q770" s="75"/>
      <c r="R770" s="75"/>
      <c r="S770" s="75"/>
      <c r="T770" s="75">
        <v>1</v>
      </c>
      <c r="U770" s="75"/>
      <c r="V770" s="76"/>
      <c r="W770" s="205"/>
      <c r="X770" s="1"/>
      <c r="Y770" s="78">
        <f t="shared" si="90"/>
        <v>0</v>
      </c>
      <c r="Z770" s="78">
        <f t="shared" si="91"/>
        <v>0</v>
      </c>
      <c r="AA770" s="78">
        <f t="shared" si="99"/>
        <v>0</v>
      </c>
      <c r="AB770" s="78">
        <f t="shared" si="93"/>
        <v>0</v>
      </c>
      <c r="AC770" s="78"/>
      <c r="AD770" s="78">
        <v>0</v>
      </c>
      <c r="AE770" s="80">
        <f t="shared" si="95"/>
        <v>0</v>
      </c>
      <c r="AF770" s="82">
        <v>0</v>
      </c>
      <c r="AG770" s="69">
        <v>40371</v>
      </c>
      <c r="AH770" s="84"/>
      <c r="AI770" s="69" t="s">
        <v>2009</v>
      </c>
      <c r="AJ770" s="25" t="s">
        <v>2010</v>
      </c>
      <c r="AK770" s="65"/>
      <c r="AL770" s="184" t="s">
        <v>1678</v>
      </c>
      <c r="AM770" s="85" t="s">
        <v>1701</v>
      </c>
      <c r="AN770" s="3"/>
      <c r="AO770" s="4"/>
      <c r="AP770" s="5"/>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6"/>
      <c r="CQ770" s="7"/>
      <c r="CR770" s="6"/>
      <c r="CS770" s="7"/>
      <c r="CT770" s="6"/>
      <c r="CU770" s="7"/>
      <c r="CV770" s="8">
        <f t="shared" si="94"/>
        <v>0</v>
      </c>
      <c r="CW770" s="9"/>
      <c r="CX770" s="10"/>
      <c r="CY770" s="11"/>
      <c r="CZ770" s="12"/>
      <c r="DA770" s="29"/>
      <c r="DB770" s="12"/>
      <c r="DC770" s="9"/>
      <c r="DD770" s="10"/>
      <c r="DE770" s="71"/>
      <c r="EO770" s="353" t="str">
        <f t="shared" si="98"/>
        <v>BOYACA_TUNJA</v>
      </c>
      <c r="EP770" s="350"/>
      <c r="EQ770" s="350" t="s">
        <v>4485</v>
      </c>
      <c r="ER770" s="358" t="s">
        <v>4486</v>
      </c>
      <c r="ES770" s="350" t="s">
        <v>5442</v>
      </c>
      <c r="ET770" s="350" t="s">
        <v>3412</v>
      </c>
      <c r="EU770" s="350" t="str">
        <f t="shared" si="96"/>
        <v>Nariño_Sandona</v>
      </c>
    </row>
    <row r="771" spans="1:151" ht="38.25" x14ac:dyDescent="0.2">
      <c r="A771" s="242">
        <v>40368</v>
      </c>
      <c r="B771" s="107" t="s">
        <v>2007</v>
      </c>
      <c r="C771" s="107" t="s">
        <v>2740</v>
      </c>
      <c r="D771" s="427" t="s">
        <v>2307</v>
      </c>
      <c r="E771" s="107" t="str">
        <f>VLOOKUP(B771&amp;C771,Divipola!$C$2:$F$1138,4,FALSE)</f>
        <v>25754</v>
      </c>
      <c r="F771" s="330"/>
      <c r="G771" s="224"/>
      <c r="H771" s="75"/>
      <c r="I771" s="75"/>
      <c r="J771" s="75">
        <v>5</v>
      </c>
      <c r="K771" s="75">
        <v>1</v>
      </c>
      <c r="L771" s="75"/>
      <c r="M771" s="75">
        <v>1</v>
      </c>
      <c r="N771" s="75"/>
      <c r="O771" s="75"/>
      <c r="P771" s="75"/>
      <c r="Q771" s="75"/>
      <c r="R771" s="75"/>
      <c r="S771" s="75"/>
      <c r="T771" s="75"/>
      <c r="U771" s="75"/>
      <c r="V771" s="76"/>
      <c r="W771" s="205"/>
      <c r="X771" s="1"/>
      <c r="Y771" s="78">
        <f t="shared" ref="Y771:Y834" si="100">CV771</f>
        <v>0</v>
      </c>
      <c r="Z771" s="78">
        <f t="shared" ref="Z771:Z834" si="101">CZ771</f>
        <v>0</v>
      </c>
      <c r="AA771" s="78">
        <f t="shared" si="99"/>
        <v>0</v>
      </c>
      <c r="AB771" s="78">
        <f t="shared" ref="AB771:AB834" si="102">CX771</f>
        <v>0</v>
      </c>
      <c r="AC771" s="78"/>
      <c r="AD771" s="78">
        <v>0</v>
      </c>
      <c r="AE771" s="80">
        <f t="shared" si="95"/>
        <v>0</v>
      </c>
      <c r="AF771" s="82">
        <v>0</v>
      </c>
      <c r="AG771" s="69">
        <v>40371</v>
      </c>
      <c r="AH771" s="84"/>
      <c r="AI771" s="69" t="s">
        <v>1984</v>
      </c>
      <c r="AJ771" s="25" t="s">
        <v>1985</v>
      </c>
      <c r="AK771" s="65"/>
      <c r="AL771" s="185" t="s">
        <v>1257</v>
      </c>
      <c r="AM771" s="85" t="s">
        <v>1777</v>
      </c>
      <c r="AN771" s="3"/>
      <c r="AO771" s="4"/>
      <c r="AP771" s="5"/>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6"/>
      <c r="CQ771" s="7"/>
      <c r="CR771" s="6"/>
      <c r="CS771" s="7"/>
      <c r="CT771" s="6"/>
      <c r="CU771" s="7"/>
      <c r="CV771" s="8">
        <f t="shared" ref="CV771:CV834" si="103">AO771+AQ771+AS771+AU771+AW771+AY771+BA771+BC771+BE771+BG771+BI771+BK771+BM771+BO771+BQ771+BS771+BU771+BW771+BY771+CA771+CC771+CE771+CG771+CI771+CK771+CM771+CO771+CQ771+CS771+CU771</f>
        <v>0</v>
      </c>
      <c r="CW771" s="9"/>
      <c r="CX771" s="10"/>
      <c r="CY771" s="11"/>
      <c r="CZ771" s="12"/>
      <c r="DA771" s="29"/>
      <c r="DB771" s="12"/>
      <c r="DC771" s="9"/>
      <c r="DD771" s="10"/>
      <c r="DE771" s="71"/>
      <c r="EO771" s="353" t="str">
        <f t="shared" si="98"/>
        <v>CUNDINAMARCA_SOACHA</v>
      </c>
      <c r="EP771" s="350"/>
      <c r="EQ771" s="350" t="s">
        <v>4485</v>
      </c>
      <c r="ER771" s="358" t="s">
        <v>4486</v>
      </c>
      <c r="ES771" s="350" t="s">
        <v>5443</v>
      </c>
      <c r="ET771" s="350" t="s">
        <v>3215</v>
      </c>
      <c r="EU771" s="350" t="str">
        <f t="shared" si="96"/>
        <v>Nariño_San Bernardo</v>
      </c>
    </row>
    <row r="772" spans="1:151" ht="38.25" x14ac:dyDescent="0.2">
      <c r="A772" s="242">
        <v>40368</v>
      </c>
      <c r="B772" s="107" t="s">
        <v>1836</v>
      </c>
      <c r="C772" s="107" t="s">
        <v>1814</v>
      </c>
      <c r="D772" s="427" t="s">
        <v>2307</v>
      </c>
      <c r="E772" s="107" t="str">
        <f>VLOOKUP(B772&amp;C772,Divipola!$C$2:$F$1138,4,FALSE)</f>
        <v>47001</v>
      </c>
      <c r="F772" s="330"/>
      <c r="G772" s="224"/>
      <c r="H772" s="75"/>
      <c r="I772" s="75"/>
      <c r="J772" s="75">
        <v>25</v>
      </c>
      <c r="K772" s="75">
        <v>5</v>
      </c>
      <c r="L772" s="75"/>
      <c r="M772" s="75">
        <v>4</v>
      </c>
      <c r="N772" s="75"/>
      <c r="O772" s="75"/>
      <c r="P772" s="75"/>
      <c r="Q772" s="75"/>
      <c r="R772" s="75"/>
      <c r="S772" s="75"/>
      <c r="T772" s="75"/>
      <c r="U772" s="75"/>
      <c r="V772" s="76"/>
      <c r="W772" s="205"/>
      <c r="X772" s="1"/>
      <c r="Y772" s="78">
        <f t="shared" si="100"/>
        <v>0</v>
      </c>
      <c r="Z772" s="78">
        <f t="shared" si="101"/>
        <v>0</v>
      </c>
      <c r="AA772" s="78">
        <f t="shared" si="99"/>
        <v>0</v>
      </c>
      <c r="AB772" s="78">
        <f t="shared" si="102"/>
        <v>0</v>
      </c>
      <c r="AC772" s="78"/>
      <c r="AD772" s="78">
        <v>0</v>
      </c>
      <c r="AE772" s="80">
        <f t="shared" si="95"/>
        <v>0</v>
      </c>
      <c r="AF772" s="82">
        <v>0</v>
      </c>
      <c r="AG772" s="69">
        <v>40371</v>
      </c>
      <c r="AH772" s="84"/>
      <c r="AI772" s="69" t="s">
        <v>1984</v>
      </c>
      <c r="AJ772" s="25" t="s">
        <v>1985</v>
      </c>
      <c r="AK772" s="65"/>
      <c r="AL772" s="185" t="s">
        <v>1257</v>
      </c>
      <c r="AM772" s="85" t="s">
        <v>1815</v>
      </c>
      <c r="AN772" s="3"/>
      <c r="AO772" s="4"/>
      <c r="AP772" s="5"/>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6"/>
      <c r="CQ772" s="7"/>
      <c r="CR772" s="6"/>
      <c r="CS772" s="7"/>
      <c r="CT772" s="6"/>
      <c r="CU772" s="7"/>
      <c r="CV772" s="8">
        <f t="shared" si="103"/>
        <v>0</v>
      </c>
      <c r="CW772" s="9"/>
      <c r="CX772" s="10"/>
      <c r="CY772" s="11"/>
      <c r="CZ772" s="12"/>
      <c r="DA772" s="29"/>
      <c r="DB772" s="12"/>
      <c r="DC772" s="9"/>
      <c r="DD772" s="10"/>
      <c r="DE772" s="71"/>
      <c r="EO772" s="353" t="str">
        <f t="shared" si="98"/>
        <v>MAGDALENA_SANTA MARTA</v>
      </c>
      <c r="EP772" s="350"/>
      <c r="EQ772" s="350" t="s">
        <v>4485</v>
      </c>
      <c r="ER772" s="358" t="s">
        <v>4486</v>
      </c>
      <c r="ES772" s="350" t="s">
        <v>5444</v>
      </c>
      <c r="ET772" s="350" t="s">
        <v>3413</v>
      </c>
      <c r="EU772" s="350" t="str">
        <f t="shared" ref="EU772:EU830" si="104">ER772&amp;"_"&amp;ET772</f>
        <v>Nariño_San Lorenzo</v>
      </c>
    </row>
    <row r="773" spans="1:151" ht="108" x14ac:dyDescent="0.2">
      <c r="A773" s="242">
        <v>40368</v>
      </c>
      <c r="B773" s="107" t="s">
        <v>1836</v>
      </c>
      <c r="C773" s="107" t="s">
        <v>1814</v>
      </c>
      <c r="D773" s="427" t="s">
        <v>837</v>
      </c>
      <c r="E773" s="107" t="str">
        <f>VLOOKUP(B773&amp;C773,Divipola!$C$2:$F$1138,4,FALSE)</f>
        <v>47001</v>
      </c>
      <c r="F773" s="330"/>
      <c r="G773" s="224"/>
      <c r="H773" s="75"/>
      <c r="I773" s="75"/>
      <c r="J773" s="75">
        <v>11000</v>
      </c>
      <c r="K773" s="75">
        <v>2200</v>
      </c>
      <c r="L773" s="75">
        <v>15</v>
      </c>
      <c r="M773" s="75">
        <v>2185</v>
      </c>
      <c r="N773" s="75"/>
      <c r="O773" s="75"/>
      <c r="P773" s="75"/>
      <c r="Q773" s="75"/>
      <c r="R773" s="75"/>
      <c r="S773" s="75"/>
      <c r="T773" s="75"/>
      <c r="U773" s="75"/>
      <c r="V773" s="76"/>
      <c r="W773" s="205"/>
      <c r="X773" s="1">
        <v>40392</v>
      </c>
      <c r="Y773" s="78">
        <f t="shared" si="100"/>
        <v>101000000</v>
      </c>
      <c r="Z773" s="78">
        <f t="shared" si="101"/>
        <v>84900000</v>
      </c>
      <c r="AA773" s="78">
        <f t="shared" si="99"/>
        <v>0</v>
      </c>
      <c r="AB773" s="78">
        <f t="shared" si="102"/>
        <v>9001600</v>
      </c>
      <c r="AC773" s="78"/>
      <c r="AD773" s="78">
        <v>0</v>
      </c>
      <c r="AE773" s="80">
        <f t="shared" si="95"/>
        <v>194901600</v>
      </c>
      <c r="AF773" s="82">
        <v>0</v>
      </c>
      <c r="AG773" s="69">
        <v>40388</v>
      </c>
      <c r="AH773" s="84">
        <v>37438</v>
      </c>
      <c r="AI773" s="69" t="s">
        <v>2009</v>
      </c>
      <c r="AJ773" s="25" t="s">
        <v>2010</v>
      </c>
      <c r="AK773" s="88" t="s">
        <v>1884</v>
      </c>
      <c r="AL773" s="185" t="s">
        <v>1831</v>
      </c>
      <c r="AM773" s="85" t="s">
        <v>2137</v>
      </c>
      <c r="AN773" s="3"/>
      <c r="AO773" s="4"/>
      <c r="AP773" s="5"/>
      <c r="AQ773" s="4"/>
      <c r="AR773" s="4"/>
      <c r="AS773" s="4"/>
      <c r="AT773" s="4"/>
      <c r="AU773" s="4"/>
      <c r="AV773" s="4"/>
      <c r="AW773" s="4"/>
      <c r="AX773" s="4"/>
      <c r="AY773" s="4"/>
      <c r="AZ773" s="4">
        <v>500</v>
      </c>
      <c r="BA773" s="4">
        <f>500*56000</f>
        <v>28000000</v>
      </c>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6">
        <v>1000</v>
      </c>
      <c r="CQ773" s="7">
        <f>1000*37000</f>
        <v>37000000</v>
      </c>
      <c r="CR773" s="6">
        <v>1000</v>
      </c>
      <c r="CS773" s="7">
        <f>1000*36000</f>
        <v>36000000</v>
      </c>
      <c r="CT773" s="6"/>
      <c r="CU773" s="7"/>
      <c r="CV773" s="8">
        <f t="shared" si="103"/>
        <v>101000000</v>
      </c>
      <c r="CW773" s="9">
        <v>10000</v>
      </c>
      <c r="CX773" s="10">
        <f>10000*900.16</f>
        <v>9001600</v>
      </c>
      <c r="CY773" s="11">
        <v>1000</v>
      </c>
      <c r="CZ773" s="12">
        <f>1000*84900</f>
        <v>84900000</v>
      </c>
      <c r="DA773" s="29"/>
      <c r="DB773" s="12"/>
      <c r="DC773" s="9"/>
      <c r="DD773" s="10"/>
      <c r="DE773" s="71"/>
      <c r="EO773" s="353" t="str">
        <f t="shared" si="98"/>
        <v>MAGDALENA_SANTA MARTA</v>
      </c>
      <c r="EP773" s="350"/>
      <c r="EQ773" s="350" t="s">
        <v>4485</v>
      </c>
      <c r="ER773" s="358" t="s">
        <v>4486</v>
      </c>
      <c r="ES773" s="350" t="s">
        <v>5445</v>
      </c>
      <c r="ET773" s="350" t="s">
        <v>6009</v>
      </c>
      <c r="EU773" s="350" t="str">
        <f t="shared" si="104"/>
        <v>Nariño_San Pablo</v>
      </c>
    </row>
    <row r="774" spans="1:151" ht="51" x14ac:dyDescent="0.2">
      <c r="A774" s="242">
        <v>40368</v>
      </c>
      <c r="B774" s="107" t="s">
        <v>1462</v>
      </c>
      <c r="C774" s="107" t="s">
        <v>609</v>
      </c>
      <c r="D774" s="427" t="s">
        <v>2352</v>
      </c>
      <c r="E774" s="107" t="str">
        <f>VLOOKUP(B774&amp;C774,Divipola!$C$2:$F$1138,4,FALSE)</f>
        <v>76364</v>
      </c>
      <c r="F774" s="330"/>
      <c r="G774" s="224">
        <v>3</v>
      </c>
      <c r="H774" s="75"/>
      <c r="I774" s="75"/>
      <c r="J774" s="75"/>
      <c r="K774" s="75"/>
      <c r="L774" s="75"/>
      <c r="M774" s="75"/>
      <c r="N774" s="75"/>
      <c r="O774" s="75"/>
      <c r="P774" s="75"/>
      <c r="Q774" s="75"/>
      <c r="R774" s="75"/>
      <c r="S774" s="75"/>
      <c r="T774" s="75"/>
      <c r="U774" s="75"/>
      <c r="V774" s="76"/>
      <c r="W774" s="205"/>
      <c r="X774" s="1"/>
      <c r="Y774" s="78">
        <f t="shared" si="100"/>
        <v>0</v>
      </c>
      <c r="Z774" s="78">
        <f t="shared" si="101"/>
        <v>0</v>
      </c>
      <c r="AA774" s="78">
        <f t="shared" si="99"/>
        <v>0</v>
      </c>
      <c r="AB774" s="78">
        <f t="shared" si="102"/>
        <v>0</v>
      </c>
      <c r="AC774" s="78"/>
      <c r="AD774" s="78">
        <v>0</v>
      </c>
      <c r="AE774" s="80">
        <f t="shared" si="95"/>
        <v>0</v>
      </c>
      <c r="AF774" s="82">
        <v>0</v>
      </c>
      <c r="AG774" s="69">
        <v>40371</v>
      </c>
      <c r="AH774" s="84"/>
      <c r="AI774" s="69" t="s">
        <v>1984</v>
      </c>
      <c r="AJ774" s="25" t="s">
        <v>1985</v>
      </c>
      <c r="AK774" s="65"/>
      <c r="AL774" s="185" t="s">
        <v>1257</v>
      </c>
      <c r="AM774" s="85" t="s">
        <v>1788</v>
      </c>
      <c r="AN774" s="3"/>
      <c r="AO774" s="4"/>
      <c r="AP774" s="5"/>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6"/>
      <c r="CQ774" s="7"/>
      <c r="CR774" s="6"/>
      <c r="CS774" s="7"/>
      <c r="CT774" s="6"/>
      <c r="CU774" s="7"/>
      <c r="CV774" s="8">
        <f t="shared" si="103"/>
        <v>0</v>
      </c>
      <c r="CW774" s="9"/>
      <c r="CX774" s="10"/>
      <c r="CY774" s="11"/>
      <c r="CZ774" s="12"/>
      <c r="DA774" s="29"/>
      <c r="DB774" s="12"/>
      <c r="DC774" s="9"/>
      <c r="DD774" s="10"/>
      <c r="DE774" s="71"/>
      <c r="EO774" s="353" t="str">
        <f t="shared" si="98"/>
        <v>VALLE DEL CAUCA_JAMUNDI</v>
      </c>
      <c r="EP774" s="350"/>
      <c r="EQ774" s="350" t="s">
        <v>4485</v>
      </c>
      <c r="ER774" s="358" t="s">
        <v>4486</v>
      </c>
      <c r="ES774" s="350" t="s">
        <v>5446</v>
      </c>
      <c r="ET774" s="350" t="s">
        <v>3414</v>
      </c>
      <c r="EU774" s="350" t="str">
        <f t="shared" si="104"/>
        <v>Nariño_San Pedro de Cartago</v>
      </c>
    </row>
    <row r="775" spans="1:151" ht="38.25" x14ac:dyDescent="0.2">
      <c r="A775" s="242">
        <v>40368.053472222222</v>
      </c>
      <c r="B775" s="107" t="s">
        <v>6305</v>
      </c>
      <c r="C775" s="107" t="s">
        <v>6305</v>
      </c>
      <c r="D775" s="430" t="s">
        <v>2307</v>
      </c>
      <c r="E775" s="107" t="str">
        <f>VLOOKUP(B775&amp;C775,Divipola!$C$2:$F$1138,4,FALSE)</f>
        <v>11001</v>
      </c>
      <c r="F775" s="333"/>
      <c r="G775" s="221"/>
      <c r="H775" s="157"/>
      <c r="I775" s="157"/>
      <c r="J775" s="157">
        <v>144</v>
      </c>
      <c r="K775" s="414">
        <v>36</v>
      </c>
      <c r="L775" s="157"/>
      <c r="M775" s="157"/>
      <c r="N775" s="157"/>
      <c r="O775" s="157"/>
      <c r="P775" s="157"/>
      <c r="Q775" s="157"/>
      <c r="R775" s="157"/>
      <c r="S775" s="157"/>
      <c r="T775" s="157"/>
      <c r="U775" s="157"/>
      <c r="V775" s="158"/>
      <c r="W775" s="182"/>
      <c r="X775" s="1"/>
      <c r="Y775" s="78">
        <f t="shared" si="100"/>
        <v>0</v>
      </c>
      <c r="Z775" s="78">
        <f t="shared" si="101"/>
        <v>0</v>
      </c>
      <c r="AA775" s="78">
        <f t="shared" si="99"/>
        <v>0</v>
      </c>
      <c r="AB775" s="78">
        <f t="shared" si="102"/>
        <v>0</v>
      </c>
      <c r="AC775" s="78"/>
      <c r="AD775" s="78">
        <v>0</v>
      </c>
      <c r="AE775" s="80">
        <f t="shared" si="95"/>
        <v>0</v>
      </c>
      <c r="AF775" s="82">
        <v>0</v>
      </c>
      <c r="AG775" s="306">
        <v>40624</v>
      </c>
      <c r="AH775" s="307"/>
      <c r="AI775" s="306" t="s">
        <v>1984</v>
      </c>
      <c r="AJ775" s="308" t="s">
        <v>1985</v>
      </c>
      <c r="AK775" s="309"/>
      <c r="AL775" s="310" t="s">
        <v>1257</v>
      </c>
      <c r="AM775" s="419" t="s">
        <v>3754</v>
      </c>
      <c r="AN775" s="159"/>
      <c r="AO775" s="160"/>
      <c r="AP775" s="161"/>
      <c r="AQ775" s="160"/>
      <c r="AR775" s="160"/>
      <c r="AS775" s="160"/>
      <c r="AT775" s="160"/>
      <c r="AU775" s="160"/>
      <c r="AV775" s="160"/>
      <c r="AW775" s="160"/>
      <c r="AX775" s="160"/>
      <c r="AY775" s="160"/>
      <c r="AZ775" s="160"/>
      <c r="BA775" s="160"/>
      <c r="BB775" s="160"/>
      <c r="BC775" s="160"/>
      <c r="BD775" s="160"/>
      <c r="BE775" s="160"/>
      <c r="BF775" s="160"/>
      <c r="BG775" s="160"/>
      <c r="BH775" s="160"/>
      <c r="BI775" s="160"/>
      <c r="BJ775" s="160"/>
      <c r="BK775" s="160"/>
      <c r="BL775" s="160"/>
      <c r="BM775" s="160"/>
      <c r="BN775" s="160"/>
      <c r="BO775" s="160"/>
      <c r="BP775" s="160"/>
      <c r="BQ775" s="160"/>
      <c r="BR775" s="160"/>
      <c r="BS775" s="160"/>
      <c r="BT775" s="160"/>
      <c r="BU775" s="160"/>
      <c r="BV775" s="160"/>
      <c r="BW775" s="160"/>
      <c r="BX775" s="160"/>
      <c r="BY775" s="160"/>
      <c r="BZ775" s="160"/>
      <c r="CA775" s="160"/>
      <c r="CB775" s="160"/>
      <c r="CC775" s="160"/>
      <c r="CD775" s="160"/>
      <c r="CE775" s="160"/>
      <c r="CF775" s="160"/>
      <c r="CG775" s="160"/>
      <c r="CH775" s="160"/>
      <c r="CI775" s="160"/>
      <c r="CJ775" s="160"/>
      <c r="CK775" s="160"/>
      <c r="CL775" s="160"/>
      <c r="CM775" s="160"/>
      <c r="CN775" s="160"/>
      <c r="CO775" s="160"/>
      <c r="CP775" s="162"/>
      <c r="CQ775" s="163"/>
      <c r="CR775" s="162"/>
      <c r="CS775" s="163"/>
      <c r="CT775" s="162"/>
      <c r="CU775" s="163"/>
      <c r="CV775" s="164">
        <f t="shared" si="103"/>
        <v>0</v>
      </c>
      <c r="CW775" s="165"/>
      <c r="CX775" s="166"/>
      <c r="CY775" s="167"/>
      <c r="CZ775" s="168"/>
      <c r="DA775" s="169"/>
      <c r="DB775" s="168"/>
      <c r="DC775" s="165"/>
      <c r="DD775" s="166"/>
      <c r="DE775" s="71"/>
      <c r="DF775" s="170"/>
      <c r="EO775" s="353" t="str">
        <f t="shared" si="98"/>
        <v>BOGOTA, D.C._BOGOTA, D.C.</v>
      </c>
      <c r="EP775" s="350"/>
      <c r="EQ775" s="350" t="s">
        <v>4485</v>
      </c>
      <c r="ER775" s="358" t="s">
        <v>4486</v>
      </c>
      <c r="ES775" s="350" t="s">
        <v>5447</v>
      </c>
      <c r="ET775" s="350" t="s">
        <v>5927</v>
      </c>
      <c r="EU775" s="350" t="str">
        <f t="shared" si="104"/>
        <v>Nariño_Santa Barbara</v>
      </c>
    </row>
    <row r="776" spans="1:151" ht="45" x14ac:dyDescent="0.2">
      <c r="A776" s="246">
        <v>40369</v>
      </c>
      <c r="B776" s="238" t="s">
        <v>2401</v>
      </c>
      <c r="C776" s="238" t="s">
        <v>1824</v>
      </c>
      <c r="D776" s="431" t="s">
        <v>2307</v>
      </c>
      <c r="E776" s="107" t="str">
        <f>VLOOKUP(B776&amp;C776,Divipola!$C$2:$F$1138,4,FALSE)</f>
        <v>05789</v>
      </c>
      <c r="F776" s="334"/>
      <c r="G776" s="224"/>
      <c r="H776" s="75"/>
      <c r="I776" s="75"/>
      <c r="J776" s="75">
        <f>491-250</f>
        <v>241</v>
      </c>
      <c r="K776" s="75">
        <f>128-50</f>
        <v>78</v>
      </c>
      <c r="L776" s="75">
        <f>124-50</f>
        <v>74</v>
      </c>
      <c r="M776" s="75"/>
      <c r="N776" s="75">
        <v>1</v>
      </c>
      <c r="O776" s="75"/>
      <c r="P776" s="75"/>
      <c r="Q776" s="75">
        <v>1</v>
      </c>
      <c r="R776" s="75"/>
      <c r="S776" s="75"/>
      <c r="T776" s="75"/>
      <c r="U776" s="75"/>
      <c r="V776" s="76"/>
      <c r="W776" s="205"/>
      <c r="X776" s="1">
        <v>40421</v>
      </c>
      <c r="Y776" s="78">
        <f t="shared" si="100"/>
        <v>11185650</v>
      </c>
      <c r="Z776" s="78">
        <f t="shared" si="101"/>
        <v>12750000</v>
      </c>
      <c r="AA776" s="78">
        <f t="shared" si="99"/>
        <v>0</v>
      </c>
      <c r="AB776" s="78">
        <f t="shared" si="102"/>
        <v>0</v>
      </c>
      <c r="AC776" s="78"/>
      <c r="AD776" s="78">
        <v>0</v>
      </c>
      <c r="AE776" s="80">
        <f t="shared" si="95"/>
        <v>23935650</v>
      </c>
      <c r="AF776" s="82">
        <v>0</v>
      </c>
      <c r="AG776" s="69">
        <v>40371</v>
      </c>
      <c r="AH776" s="84">
        <v>35524</v>
      </c>
      <c r="AI776" s="69" t="s">
        <v>2009</v>
      </c>
      <c r="AJ776" s="25" t="s">
        <v>2010</v>
      </c>
      <c r="AK776" s="65">
        <v>283</v>
      </c>
      <c r="AL776" s="185" t="s">
        <v>2182</v>
      </c>
      <c r="AM776" s="85" t="s">
        <v>1047</v>
      </c>
      <c r="AN776" s="3"/>
      <c r="AO776" s="4"/>
      <c r="AP776" s="5"/>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6">
        <v>150</v>
      </c>
      <c r="CQ776" s="7">
        <f>150*36595</f>
        <v>5489250</v>
      </c>
      <c r="CR776" s="6">
        <v>150</v>
      </c>
      <c r="CS776" s="7">
        <f>150*37976</f>
        <v>5696400</v>
      </c>
      <c r="CT776" s="6"/>
      <c r="CU776" s="7"/>
      <c r="CV776" s="8">
        <f t="shared" si="103"/>
        <v>11185650</v>
      </c>
      <c r="CW776" s="9"/>
      <c r="CX776" s="10"/>
      <c r="CY776" s="11">
        <v>150</v>
      </c>
      <c r="CZ776" s="12">
        <f>150*85000</f>
        <v>12750000</v>
      </c>
      <c r="DA776" s="29"/>
      <c r="DB776" s="12"/>
      <c r="DC776" s="9"/>
      <c r="DD776" s="10"/>
      <c r="DE776" s="71"/>
      <c r="EO776" s="353" t="str">
        <f t="shared" si="98"/>
        <v>ANTIOQUIA_TAMESIS</v>
      </c>
      <c r="EP776" s="350"/>
      <c r="EQ776" s="350" t="s">
        <v>4485</v>
      </c>
      <c r="ER776" s="358" t="s">
        <v>4486</v>
      </c>
      <c r="ES776" s="350" t="s">
        <v>5448</v>
      </c>
      <c r="ET776" s="350" t="s">
        <v>3415</v>
      </c>
      <c r="EU776" s="350" t="str">
        <f t="shared" si="104"/>
        <v>Nariño_Santacruz</v>
      </c>
    </row>
    <row r="777" spans="1:151" ht="36" x14ac:dyDescent="0.2">
      <c r="A777" s="242">
        <v>40369</v>
      </c>
      <c r="B777" s="107" t="s">
        <v>1951</v>
      </c>
      <c r="C777" s="107" t="s">
        <v>1818</v>
      </c>
      <c r="D777" s="427" t="s">
        <v>837</v>
      </c>
      <c r="E777" s="107" t="str">
        <f>VLOOKUP(B777&amp;C777,Divipola!$C$2:$F$1138,4,FALSE)</f>
        <v>08849</v>
      </c>
      <c r="F777" s="330"/>
      <c r="G777" s="224"/>
      <c r="H777" s="75"/>
      <c r="I777" s="75"/>
      <c r="J777" s="75">
        <f>12*5</f>
        <v>60</v>
      </c>
      <c r="K777" s="75">
        <v>12</v>
      </c>
      <c r="L777" s="75"/>
      <c r="M777" s="75">
        <v>5</v>
      </c>
      <c r="N777" s="75"/>
      <c r="O777" s="75"/>
      <c r="P777" s="75"/>
      <c r="Q777" s="75"/>
      <c r="R777" s="75"/>
      <c r="S777" s="75"/>
      <c r="T777" s="75"/>
      <c r="U777" s="75"/>
      <c r="V777" s="76"/>
      <c r="W777" s="205"/>
      <c r="X777" s="1"/>
      <c r="Y777" s="78">
        <f t="shared" si="100"/>
        <v>0</v>
      </c>
      <c r="Z777" s="78">
        <f t="shared" si="101"/>
        <v>0</v>
      </c>
      <c r="AA777" s="78">
        <f t="shared" si="99"/>
        <v>0</v>
      </c>
      <c r="AB777" s="78">
        <f t="shared" si="102"/>
        <v>0</v>
      </c>
      <c r="AC777" s="78"/>
      <c r="AD777" s="78">
        <v>0</v>
      </c>
      <c r="AE777" s="80">
        <f t="shared" ref="AE777:AE840" si="105">Y777+Z777+AA777+AB777+AC777+AD777</f>
        <v>0</v>
      </c>
      <c r="AF777" s="82">
        <v>0</v>
      </c>
      <c r="AG777" s="69">
        <v>40371</v>
      </c>
      <c r="AH777" s="84"/>
      <c r="AI777" s="69" t="s">
        <v>1984</v>
      </c>
      <c r="AJ777" s="25" t="s">
        <v>1985</v>
      </c>
      <c r="AK777" s="65"/>
      <c r="AL777" s="185" t="s">
        <v>1257</v>
      </c>
      <c r="AM777" s="85" t="s">
        <v>1362</v>
      </c>
      <c r="AN777" s="3"/>
      <c r="AO777" s="4"/>
      <c r="AP777" s="5"/>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6"/>
      <c r="CQ777" s="7"/>
      <c r="CR777" s="6"/>
      <c r="CS777" s="7"/>
      <c r="CT777" s="6"/>
      <c r="CU777" s="7"/>
      <c r="CV777" s="8">
        <f t="shared" si="103"/>
        <v>0</v>
      </c>
      <c r="CW777" s="9"/>
      <c r="CX777" s="10"/>
      <c r="CY777" s="11"/>
      <c r="CZ777" s="12"/>
      <c r="DA777" s="29"/>
      <c r="DB777" s="12"/>
      <c r="DC777" s="9"/>
      <c r="DD777" s="10"/>
      <c r="DE777" s="71"/>
      <c r="EO777" s="353" t="str">
        <f t="shared" si="98"/>
        <v>ATLANTICO_USIACURI</v>
      </c>
      <c r="EP777" s="350"/>
      <c r="EQ777" s="350" t="s">
        <v>4485</v>
      </c>
      <c r="ER777" s="358" t="s">
        <v>4486</v>
      </c>
      <c r="ES777" s="350" t="s">
        <v>5449</v>
      </c>
      <c r="ET777" s="350" t="s">
        <v>3416</v>
      </c>
      <c r="EU777" s="350" t="str">
        <f t="shared" si="104"/>
        <v>Nariño_Sapuyes</v>
      </c>
    </row>
    <row r="778" spans="1:151" ht="25.5" x14ac:dyDescent="0.2">
      <c r="A778" s="242">
        <v>40369</v>
      </c>
      <c r="B778" s="107" t="s">
        <v>1951</v>
      </c>
      <c r="C778" s="107" t="s">
        <v>1818</v>
      </c>
      <c r="D778" s="427" t="s">
        <v>2307</v>
      </c>
      <c r="E778" s="107" t="str">
        <f>VLOOKUP(B778&amp;C778,Divipola!$C$2:$F$1138,4,FALSE)</f>
        <v>08849</v>
      </c>
      <c r="F778" s="330"/>
      <c r="G778" s="224"/>
      <c r="H778" s="75"/>
      <c r="I778" s="75"/>
      <c r="J778" s="75">
        <v>40</v>
      </c>
      <c r="K778" s="75">
        <v>8</v>
      </c>
      <c r="L778" s="75"/>
      <c r="M778" s="75">
        <v>2</v>
      </c>
      <c r="N778" s="75"/>
      <c r="O778" s="75"/>
      <c r="P778" s="75"/>
      <c r="Q778" s="75"/>
      <c r="R778" s="75"/>
      <c r="S778" s="75"/>
      <c r="T778" s="75"/>
      <c r="U778" s="75"/>
      <c r="V778" s="76"/>
      <c r="W778" s="205"/>
      <c r="X778" s="1"/>
      <c r="Y778" s="78">
        <f t="shared" si="100"/>
        <v>0</v>
      </c>
      <c r="Z778" s="78">
        <f t="shared" si="101"/>
        <v>0</v>
      </c>
      <c r="AA778" s="78">
        <f t="shared" si="99"/>
        <v>0</v>
      </c>
      <c r="AB778" s="78">
        <f t="shared" si="102"/>
        <v>0</v>
      </c>
      <c r="AC778" s="78"/>
      <c r="AD778" s="78">
        <v>0</v>
      </c>
      <c r="AE778" s="80">
        <f t="shared" si="105"/>
        <v>0</v>
      </c>
      <c r="AF778" s="82">
        <v>0</v>
      </c>
      <c r="AG778" s="69">
        <v>40371</v>
      </c>
      <c r="AH778" s="84"/>
      <c r="AI778" s="69" t="s">
        <v>1984</v>
      </c>
      <c r="AJ778" s="25" t="s">
        <v>1985</v>
      </c>
      <c r="AK778" s="65"/>
      <c r="AL778" s="212" t="s">
        <v>1257</v>
      </c>
      <c r="AM778" s="85" t="s">
        <v>1363</v>
      </c>
      <c r="AN778" s="3"/>
      <c r="AO778" s="4"/>
      <c r="AP778" s="5"/>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6"/>
      <c r="CQ778" s="7"/>
      <c r="CR778" s="6"/>
      <c r="CS778" s="7"/>
      <c r="CT778" s="6"/>
      <c r="CU778" s="7"/>
      <c r="CV778" s="8">
        <f t="shared" si="103"/>
        <v>0</v>
      </c>
      <c r="CW778" s="9"/>
      <c r="CX778" s="10"/>
      <c r="CY778" s="11"/>
      <c r="CZ778" s="12"/>
      <c r="DA778" s="29"/>
      <c r="DB778" s="12"/>
      <c r="DC778" s="9"/>
      <c r="DD778" s="10"/>
      <c r="DE778" s="71"/>
      <c r="EO778" s="353" t="str">
        <f t="shared" si="98"/>
        <v>ATLANTICO_USIACURI</v>
      </c>
      <c r="EP778" s="350"/>
      <c r="EQ778" s="350" t="s">
        <v>4485</v>
      </c>
      <c r="ER778" s="358" t="s">
        <v>4486</v>
      </c>
      <c r="ES778" s="350" t="s">
        <v>5450</v>
      </c>
      <c r="ET778" s="350" t="s">
        <v>3417</v>
      </c>
      <c r="EU778" s="350" t="str">
        <f t="shared" si="104"/>
        <v>Nariño_Taminango</v>
      </c>
    </row>
    <row r="779" spans="1:151" ht="38.25" x14ac:dyDescent="0.2">
      <c r="A779" s="242">
        <v>40369</v>
      </c>
      <c r="B779" s="107" t="s">
        <v>2007</v>
      </c>
      <c r="C779" s="107" t="s">
        <v>1778</v>
      </c>
      <c r="D779" s="427" t="s">
        <v>2307</v>
      </c>
      <c r="E779" s="107" t="str">
        <f>VLOOKUP(B779&amp;C779,Divipola!$C$2:$F$1138,4,FALSE)</f>
        <v>25126</v>
      </c>
      <c r="F779" s="330"/>
      <c r="G779" s="224"/>
      <c r="H779" s="75"/>
      <c r="I779" s="75"/>
      <c r="J779" s="75">
        <v>5</v>
      </c>
      <c r="K779" s="75">
        <v>1</v>
      </c>
      <c r="L779" s="75"/>
      <c r="M779" s="75">
        <v>1</v>
      </c>
      <c r="N779" s="75"/>
      <c r="O779" s="75"/>
      <c r="P779" s="75"/>
      <c r="Q779" s="75"/>
      <c r="R779" s="75"/>
      <c r="S779" s="75"/>
      <c r="T779" s="75"/>
      <c r="U779" s="75"/>
      <c r="V779" s="76"/>
      <c r="W779" s="205"/>
      <c r="X779" s="1"/>
      <c r="Y779" s="78">
        <f t="shared" si="100"/>
        <v>0</v>
      </c>
      <c r="Z779" s="78">
        <f t="shared" si="101"/>
        <v>0</v>
      </c>
      <c r="AA779" s="78">
        <f t="shared" si="99"/>
        <v>0</v>
      </c>
      <c r="AB779" s="78">
        <f t="shared" si="102"/>
        <v>0</v>
      </c>
      <c r="AC779" s="78"/>
      <c r="AD779" s="78">
        <v>0</v>
      </c>
      <c r="AE779" s="80">
        <f t="shared" si="105"/>
        <v>0</v>
      </c>
      <c r="AF779" s="82">
        <v>0</v>
      </c>
      <c r="AG779" s="69">
        <v>40375</v>
      </c>
      <c r="AH779" s="84"/>
      <c r="AI779" s="69" t="s">
        <v>1984</v>
      </c>
      <c r="AJ779" s="25" t="s">
        <v>1985</v>
      </c>
      <c r="AK779" s="65"/>
      <c r="AL779" s="185" t="s">
        <v>1257</v>
      </c>
      <c r="AM779" s="85" t="s">
        <v>1779</v>
      </c>
      <c r="AN779" s="3"/>
      <c r="AO779" s="4"/>
      <c r="AP779" s="5"/>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6"/>
      <c r="CQ779" s="7"/>
      <c r="CR779" s="6"/>
      <c r="CS779" s="7"/>
      <c r="CT779" s="6"/>
      <c r="CU779" s="7"/>
      <c r="CV779" s="8">
        <f t="shared" si="103"/>
        <v>0</v>
      </c>
      <c r="CW779" s="9"/>
      <c r="CX779" s="10"/>
      <c r="CY779" s="11"/>
      <c r="CZ779" s="12"/>
      <c r="DA779" s="29"/>
      <c r="DB779" s="12"/>
      <c r="DC779" s="9"/>
      <c r="DD779" s="10"/>
      <c r="DE779" s="71"/>
      <c r="EO779" s="353" t="str">
        <f t="shared" si="98"/>
        <v>CUNDINAMARCA_CAJICA</v>
      </c>
      <c r="EP779" s="350"/>
      <c r="EQ779" s="350" t="s">
        <v>4485</v>
      </c>
      <c r="ER779" s="358" t="s">
        <v>4486</v>
      </c>
      <c r="ES779" s="350" t="s">
        <v>5451</v>
      </c>
      <c r="ET779" s="350" t="s">
        <v>3418</v>
      </c>
      <c r="EU779" s="350" t="str">
        <f t="shared" si="104"/>
        <v>Nariño_Tangua</v>
      </c>
    </row>
    <row r="780" spans="1:151" ht="84" x14ac:dyDescent="0.2">
      <c r="A780" s="242">
        <v>40369</v>
      </c>
      <c r="B780" s="107" t="s">
        <v>2007</v>
      </c>
      <c r="C780" s="107" t="s">
        <v>2387</v>
      </c>
      <c r="D780" s="427" t="s">
        <v>2209</v>
      </c>
      <c r="E780" s="107" t="str">
        <f>VLOOKUP(B780&amp;C780,Divipola!$C$2:$F$1138,4,FALSE)</f>
        <v>25394</v>
      </c>
      <c r="F780" s="330"/>
      <c r="G780" s="224"/>
      <c r="H780" s="75"/>
      <c r="I780" s="75"/>
      <c r="J780" s="75">
        <v>300</v>
      </c>
      <c r="K780" s="75">
        <v>100</v>
      </c>
      <c r="L780" s="75"/>
      <c r="M780" s="75">
        <v>100</v>
      </c>
      <c r="N780" s="75">
        <v>1</v>
      </c>
      <c r="O780" s="75"/>
      <c r="P780" s="75"/>
      <c r="Q780" s="75">
        <v>1</v>
      </c>
      <c r="R780" s="75"/>
      <c r="S780" s="75">
        <v>1</v>
      </c>
      <c r="T780" s="75">
        <v>1</v>
      </c>
      <c r="U780" s="75"/>
      <c r="V780" s="76"/>
      <c r="W780" s="205"/>
      <c r="X780" s="1"/>
      <c r="Y780" s="78">
        <f t="shared" si="100"/>
        <v>0</v>
      </c>
      <c r="Z780" s="78">
        <f t="shared" si="101"/>
        <v>0</v>
      </c>
      <c r="AA780" s="78">
        <f t="shared" si="99"/>
        <v>0</v>
      </c>
      <c r="AB780" s="78">
        <f t="shared" si="102"/>
        <v>0</v>
      </c>
      <c r="AC780" s="78"/>
      <c r="AD780" s="78">
        <v>0</v>
      </c>
      <c r="AE780" s="80">
        <f t="shared" si="105"/>
        <v>0</v>
      </c>
      <c r="AF780" s="82">
        <v>0</v>
      </c>
      <c r="AG780" s="69">
        <v>40371</v>
      </c>
      <c r="AH780" s="84"/>
      <c r="AI780" s="69" t="s">
        <v>1984</v>
      </c>
      <c r="AJ780" s="25" t="s">
        <v>1985</v>
      </c>
      <c r="AK780" s="65"/>
      <c r="AL780" s="185" t="s">
        <v>1257</v>
      </c>
      <c r="AM780" s="85" t="s">
        <v>1821</v>
      </c>
      <c r="AN780" s="3"/>
      <c r="AO780" s="4"/>
      <c r="AP780" s="5"/>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6"/>
      <c r="CQ780" s="7"/>
      <c r="CR780" s="6"/>
      <c r="CS780" s="7"/>
      <c r="CT780" s="6"/>
      <c r="CU780" s="7"/>
      <c r="CV780" s="8">
        <f t="shared" si="103"/>
        <v>0</v>
      </c>
      <c r="CW780" s="9"/>
      <c r="CX780" s="10"/>
      <c r="CY780" s="11"/>
      <c r="CZ780" s="12"/>
      <c r="DA780" s="29"/>
      <c r="DB780" s="12"/>
      <c r="DC780" s="9"/>
      <c r="DD780" s="10"/>
      <c r="DE780" s="71"/>
      <c r="EO780" s="353" t="str">
        <f t="shared" si="98"/>
        <v>CUNDINAMARCA_LA PALMA</v>
      </c>
      <c r="EP780" s="350"/>
      <c r="EQ780" s="350" t="s">
        <v>4485</v>
      </c>
      <c r="ER780" s="358" t="s">
        <v>4486</v>
      </c>
      <c r="ES780" s="350" t="s">
        <v>5452</v>
      </c>
      <c r="ET780" s="350" t="s">
        <v>3419</v>
      </c>
      <c r="EU780" s="350" t="str">
        <f t="shared" si="104"/>
        <v>Nariño_San Andres de Tumaco</v>
      </c>
    </row>
    <row r="781" spans="1:151" ht="25.5" x14ac:dyDescent="0.2">
      <c r="A781" s="242">
        <v>40369</v>
      </c>
      <c r="B781" s="107" t="s">
        <v>2014</v>
      </c>
      <c r="C781" s="107" t="s">
        <v>2015</v>
      </c>
      <c r="D781" s="427" t="s">
        <v>2209</v>
      </c>
      <c r="E781" s="107" t="str">
        <f>VLOOKUP(B781&amp;C781,Divipola!$C$2:$F$1138,4,FALSE)</f>
        <v>63001</v>
      </c>
      <c r="F781" s="330"/>
      <c r="G781" s="224"/>
      <c r="H781" s="75"/>
      <c r="I781" s="75"/>
      <c r="J781" s="75">
        <v>10</v>
      </c>
      <c r="K781" s="75">
        <v>2</v>
      </c>
      <c r="L781" s="75"/>
      <c r="M781" s="75">
        <v>2</v>
      </c>
      <c r="N781" s="75"/>
      <c r="O781" s="75"/>
      <c r="P781" s="75"/>
      <c r="Q781" s="75"/>
      <c r="R781" s="75"/>
      <c r="S781" s="75"/>
      <c r="T781" s="75"/>
      <c r="U781" s="75"/>
      <c r="V781" s="76"/>
      <c r="W781" s="205" t="s">
        <v>2042</v>
      </c>
      <c r="X781" s="1"/>
      <c r="Y781" s="78">
        <f t="shared" si="100"/>
        <v>0</v>
      </c>
      <c r="Z781" s="78">
        <f t="shared" si="101"/>
        <v>0</v>
      </c>
      <c r="AA781" s="78">
        <f t="shared" si="99"/>
        <v>0</v>
      </c>
      <c r="AB781" s="78">
        <f t="shared" si="102"/>
        <v>0</v>
      </c>
      <c r="AC781" s="78"/>
      <c r="AD781" s="78">
        <v>0</v>
      </c>
      <c r="AE781" s="80">
        <f t="shared" si="105"/>
        <v>0</v>
      </c>
      <c r="AF781" s="82">
        <v>0</v>
      </c>
      <c r="AG781" s="69">
        <v>40371</v>
      </c>
      <c r="AH781" s="84"/>
      <c r="AI781" s="69" t="s">
        <v>1984</v>
      </c>
      <c r="AJ781" s="25" t="s">
        <v>1985</v>
      </c>
      <c r="AK781" s="65"/>
      <c r="AL781" s="185" t="s">
        <v>1257</v>
      </c>
      <c r="AM781" s="85" t="s">
        <v>1819</v>
      </c>
      <c r="AN781" s="3"/>
      <c r="AO781" s="4"/>
      <c r="AP781" s="5"/>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6"/>
      <c r="CQ781" s="7"/>
      <c r="CR781" s="6"/>
      <c r="CS781" s="7"/>
      <c r="CT781" s="6"/>
      <c r="CU781" s="7"/>
      <c r="CV781" s="8">
        <f t="shared" si="103"/>
        <v>0</v>
      </c>
      <c r="CW781" s="9"/>
      <c r="CX781" s="10"/>
      <c r="CY781" s="11"/>
      <c r="CZ781" s="12"/>
      <c r="DA781" s="29"/>
      <c r="DB781" s="12"/>
      <c r="DC781" s="9"/>
      <c r="DD781" s="10"/>
      <c r="DE781" s="71"/>
      <c r="EO781" s="353" t="str">
        <f t="shared" si="98"/>
        <v>QUINDIO_ARMENIA</v>
      </c>
      <c r="EP781" s="350"/>
      <c r="EQ781" s="350" t="s">
        <v>4485</v>
      </c>
      <c r="ER781" s="358" t="s">
        <v>4486</v>
      </c>
      <c r="ES781" s="350" t="s">
        <v>5453</v>
      </c>
      <c r="ET781" s="350" t="s">
        <v>3420</v>
      </c>
      <c r="EU781" s="350" t="str">
        <f t="shared" si="104"/>
        <v>Nariño_Tuquerres</v>
      </c>
    </row>
    <row r="782" spans="1:151" ht="75.75" customHeight="1" x14ac:dyDescent="0.2">
      <c r="A782" s="242">
        <v>40369</v>
      </c>
      <c r="B782" s="107" t="s">
        <v>2427</v>
      </c>
      <c r="C782" s="107" t="s">
        <v>1890</v>
      </c>
      <c r="D782" s="427" t="s">
        <v>2209</v>
      </c>
      <c r="E782" s="107" t="str">
        <f>VLOOKUP(B782&amp;C782,Divipola!$C$2:$F$1138,4,FALSE)</f>
        <v>68296</v>
      </c>
      <c r="F782" s="330"/>
      <c r="G782" s="277"/>
      <c r="H782" s="75"/>
      <c r="I782" s="75"/>
      <c r="J782" s="75">
        <v>1500</v>
      </c>
      <c r="K782" s="75">
        <v>300</v>
      </c>
      <c r="L782" s="75">
        <v>10</v>
      </c>
      <c r="M782" s="75">
        <v>30</v>
      </c>
      <c r="N782" s="75">
        <v>3</v>
      </c>
      <c r="O782" s="75"/>
      <c r="P782" s="75"/>
      <c r="Q782" s="75">
        <v>2</v>
      </c>
      <c r="R782" s="75"/>
      <c r="S782" s="75"/>
      <c r="T782" s="75"/>
      <c r="U782" s="75"/>
      <c r="V782" s="76"/>
      <c r="W782" s="205"/>
      <c r="X782" s="1"/>
      <c r="Y782" s="78">
        <f t="shared" si="100"/>
        <v>0</v>
      </c>
      <c r="Z782" s="78">
        <f t="shared" si="101"/>
        <v>0</v>
      </c>
      <c r="AA782" s="78">
        <f t="shared" si="99"/>
        <v>0</v>
      </c>
      <c r="AB782" s="78">
        <f t="shared" si="102"/>
        <v>0</v>
      </c>
      <c r="AC782" s="78"/>
      <c r="AD782" s="78">
        <v>0</v>
      </c>
      <c r="AE782" s="80">
        <f t="shared" si="105"/>
        <v>0</v>
      </c>
      <c r="AF782" s="82">
        <v>0</v>
      </c>
      <c r="AG782" s="69">
        <v>40399</v>
      </c>
      <c r="AH782" s="84">
        <v>39494</v>
      </c>
      <c r="AI782" s="69" t="s">
        <v>2009</v>
      </c>
      <c r="AJ782" s="25" t="s">
        <v>2010</v>
      </c>
      <c r="AK782" s="65"/>
      <c r="AL782" s="214" t="s">
        <v>1183</v>
      </c>
      <c r="AM782" s="85" t="s">
        <v>283</v>
      </c>
      <c r="AN782" s="3"/>
      <c r="AO782" s="4"/>
      <c r="AP782" s="5"/>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6"/>
      <c r="CQ782" s="7"/>
      <c r="CR782" s="6"/>
      <c r="CS782" s="7"/>
      <c r="CT782" s="6"/>
      <c r="CU782" s="7"/>
      <c r="CV782" s="8">
        <f t="shared" si="103"/>
        <v>0</v>
      </c>
      <c r="CW782" s="9"/>
      <c r="CX782" s="10"/>
      <c r="CY782" s="11"/>
      <c r="CZ782" s="12"/>
      <c r="DA782" s="29"/>
      <c r="DB782" s="12"/>
      <c r="DC782" s="9"/>
      <c r="DD782" s="10"/>
      <c r="DE782" s="71"/>
      <c r="EO782" s="353" t="str">
        <f t="shared" si="98"/>
        <v>SANTANDER_GALAN</v>
      </c>
      <c r="EP782" s="350"/>
      <c r="EQ782" s="350" t="s">
        <v>4485</v>
      </c>
      <c r="ER782" s="358" t="s">
        <v>4486</v>
      </c>
      <c r="ES782" s="350" t="s">
        <v>5454</v>
      </c>
      <c r="ET782" s="350" t="s">
        <v>3421</v>
      </c>
      <c r="EU782" s="350" t="str">
        <f t="shared" si="104"/>
        <v>Nariño_Yacuanquer</v>
      </c>
    </row>
    <row r="783" spans="1:151" ht="51" x14ac:dyDescent="0.2">
      <c r="A783" s="242">
        <v>40369</v>
      </c>
      <c r="B783" s="107" t="s">
        <v>2427</v>
      </c>
      <c r="C783" s="107" t="s">
        <v>1891</v>
      </c>
      <c r="D783" s="427" t="s">
        <v>2209</v>
      </c>
      <c r="E783" s="107" t="str">
        <f>VLOOKUP(B783&amp;C783,Divipola!$C$2:$F$1138,4,FALSE)</f>
        <v>68524</v>
      </c>
      <c r="F783" s="330"/>
      <c r="G783" s="277"/>
      <c r="H783" s="75"/>
      <c r="I783" s="75"/>
      <c r="J783" s="75">
        <f>60*5</f>
        <v>300</v>
      </c>
      <c r="K783" s="75">
        <v>60</v>
      </c>
      <c r="L783" s="75">
        <v>12</v>
      </c>
      <c r="M783" s="75"/>
      <c r="N783" s="75">
        <v>3</v>
      </c>
      <c r="O783" s="75"/>
      <c r="P783" s="75"/>
      <c r="Q783" s="75"/>
      <c r="R783" s="75"/>
      <c r="S783" s="75"/>
      <c r="T783" s="75"/>
      <c r="U783" s="75"/>
      <c r="V783" s="76">
        <v>120</v>
      </c>
      <c r="W783" s="205"/>
      <c r="X783" s="1"/>
      <c r="Y783" s="78">
        <f t="shared" si="100"/>
        <v>0</v>
      </c>
      <c r="Z783" s="78">
        <f t="shared" si="101"/>
        <v>0</v>
      </c>
      <c r="AA783" s="78">
        <f t="shared" si="99"/>
        <v>0</v>
      </c>
      <c r="AB783" s="78">
        <f t="shared" si="102"/>
        <v>0</v>
      </c>
      <c r="AC783" s="78"/>
      <c r="AD783" s="78">
        <v>0</v>
      </c>
      <c r="AE783" s="80">
        <f t="shared" si="105"/>
        <v>0</v>
      </c>
      <c r="AF783" s="82">
        <v>0</v>
      </c>
      <c r="AG783" s="69">
        <v>40399</v>
      </c>
      <c r="AH783" s="84">
        <v>39494</v>
      </c>
      <c r="AI783" s="69" t="s">
        <v>2009</v>
      </c>
      <c r="AJ783" s="25" t="s">
        <v>2010</v>
      </c>
      <c r="AK783" s="65"/>
      <c r="AL783" s="214" t="s">
        <v>1183</v>
      </c>
      <c r="AM783" s="85" t="s">
        <v>283</v>
      </c>
      <c r="AN783" s="3"/>
      <c r="AO783" s="4"/>
      <c r="AP783" s="5"/>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6"/>
      <c r="CQ783" s="7"/>
      <c r="CR783" s="6"/>
      <c r="CS783" s="7"/>
      <c r="CT783" s="6"/>
      <c r="CU783" s="7"/>
      <c r="CV783" s="8">
        <f t="shared" si="103"/>
        <v>0</v>
      </c>
      <c r="CW783" s="9"/>
      <c r="CX783" s="10"/>
      <c r="CY783" s="11"/>
      <c r="CZ783" s="12"/>
      <c r="DA783" s="29"/>
      <c r="DB783" s="12"/>
      <c r="DC783" s="9"/>
      <c r="DD783" s="10"/>
      <c r="DE783" s="71"/>
      <c r="EO783" s="353" t="str">
        <f t="shared" si="98"/>
        <v>SANTANDER_PALMAS DEL SOCORRO</v>
      </c>
      <c r="EP783" s="350"/>
      <c r="EQ783" s="350" t="s">
        <v>4515</v>
      </c>
      <c r="ER783" s="358" t="s">
        <v>4516</v>
      </c>
      <c r="ES783" s="350" t="s">
        <v>5455</v>
      </c>
      <c r="ET783" s="350" t="s">
        <v>3422</v>
      </c>
      <c r="EU783" s="350" t="str">
        <f t="shared" si="104"/>
        <v>Norte de Santander_Cucuta</v>
      </c>
    </row>
    <row r="784" spans="1:151" ht="38.25" x14ac:dyDescent="0.2">
      <c r="A784" s="242">
        <v>40369</v>
      </c>
      <c r="B784" s="107" t="s">
        <v>2427</v>
      </c>
      <c r="C784" s="107" t="s">
        <v>1822</v>
      </c>
      <c r="D784" s="427" t="s">
        <v>2209</v>
      </c>
      <c r="E784" s="107" t="str">
        <f>VLOOKUP(B784&amp;C784,Divipola!$C$2:$F$1138,4,FALSE)</f>
        <v>68573</v>
      </c>
      <c r="F784" s="330"/>
      <c r="G784" s="277"/>
      <c r="H784" s="75"/>
      <c r="I784" s="75"/>
      <c r="J784" s="75">
        <f>37*5</f>
        <v>185</v>
      </c>
      <c r="K784" s="75">
        <v>37</v>
      </c>
      <c r="L784" s="75"/>
      <c r="M784" s="75"/>
      <c r="N784" s="75"/>
      <c r="O784" s="75"/>
      <c r="P784" s="75"/>
      <c r="Q784" s="75"/>
      <c r="R784" s="75"/>
      <c r="S784" s="75"/>
      <c r="T784" s="75"/>
      <c r="U784" s="75"/>
      <c r="V784" s="76"/>
      <c r="W784" s="205"/>
      <c r="X784" s="1"/>
      <c r="Y784" s="78">
        <f t="shared" si="100"/>
        <v>0</v>
      </c>
      <c r="Z784" s="78">
        <f t="shared" si="101"/>
        <v>0</v>
      </c>
      <c r="AA784" s="78">
        <f t="shared" si="99"/>
        <v>0</v>
      </c>
      <c r="AB784" s="78">
        <f t="shared" si="102"/>
        <v>0</v>
      </c>
      <c r="AC784" s="78"/>
      <c r="AD784" s="78">
        <v>0</v>
      </c>
      <c r="AE784" s="80">
        <f t="shared" si="105"/>
        <v>0</v>
      </c>
      <c r="AF784" s="82">
        <v>0</v>
      </c>
      <c r="AG784" s="69">
        <v>40399</v>
      </c>
      <c r="AH784" s="84">
        <v>39494</v>
      </c>
      <c r="AI784" s="69" t="s">
        <v>2009</v>
      </c>
      <c r="AJ784" s="25" t="s">
        <v>2010</v>
      </c>
      <c r="AK784" s="65"/>
      <c r="AL784" s="214" t="s">
        <v>1183</v>
      </c>
      <c r="AM784" s="85" t="s">
        <v>1823</v>
      </c>
      <c r="AN784" s="3"/>
      <c r="AO784" s="4"/>
      <c r="AP784" s="5"/>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6"/>
      <c r="CQ784" s="7"/>
      <c r="CR784" s="6"/>
      <c r="CS784" s="7"/>
      <c r="CT784" s="6"/>
      <c r="CU784" s="7"/>
      <c r="CV784" s="8">
        <f t="shared" si="103"/>
        <v>0</v>
      </c>
      <c r="CW784" s="9"/>
      <c r="CX784" s="10"/>
      <c r="CY784" s="11"/>
      <c r="CZ784" s="12"/>
      <c r="DA784" s="29"/>
      <c r="DB784" s="12"/>
      <c r="DC784" s="9"/>
      <c r="DD784" s="10"/>
      <c r="DE784" s="71"/>
      <c r="EO784" s="353" t="str">
        <f t="shared" si="98"/>
        <v>SANTANDER_PUERTO PARRA</v>
      </c>
      <c r="EP784" s="350"/>
      <c r="EQ784" s="350" t="s">
        <v>4515</v>
      </c>
      <c r="ER784" s="358" t="s">
        <v>4516</v>
      </c>
      <c r="ES784" s="350" t="s">
        <v>5456</v>
      </c>
      <c r="ET784" s="350" t="s">
        <v>3423</v>
      </c>
      <c r="EU784" s="350" t="str">
        <f t="shared" si="104"/>
        <v>Norte de Santander_Abrego</v>
      </c>
    </row>
    <row r="785" spans="1:151" ht="72" x14ac:dyDescent="0.2">
      <c r="A785" s="242">
        <v>40369</v>
      </c>
      <c r="B785" s="107" t="s">
        <v>2372</v>
      </c>
      <c r="C785" s="107" t="s">
        <v>2325</v>
      </c>
      <c r="D785" s="427" t="s">
        <v>837</v>
      </c>
      <c r="E785" s="107" t="str">
        <f>VLOOKUP(B785&amp;C785,Divipola!$C$2:$F$1138,4,FALSE)</f>
        <v>70708</v>
      </c>
      <c r="F785" s="330"/>
      <c r="G785" s="224"/>
      <c r="H785" s="75"/>
      <c r="I785" s="75"/>
      <c r="J785" s="75">
        <f>5100*3.7</f>
        <v>18870</v>
      </c>
      <c r="K785" s="75">
        <v>5100</v>
      </c>
      <c r="L785" s="75"/>
      <c r="M785" s="75">
        <v>5100</v>
      </c>
      <c r="N785" s="75"/>
      <c r="O785" s="75"/>
      <c r="P785" s="75"/>
      <c r="Q785" s="75"/>
      <c r="R785" s="75"/>
      <c r="S785" s="75"/>
      <c r="T785" s="75"/>
      <c r="U785" s="75"/>
      <c r="V785" s="76">
        <v>670</v>
      </c>
      <c r="W785" s="205"/>
      <c r="X785" s="1">
        <v>40445</v>
      </c>
      <c r="Y785" s="78">
        <f t="shared" si="100"/>
        <v>141306000</v>
      </c>
      <c r="Z785" s="78">
        <f t="shared" si="101"/>
        <v>471070000</v>
      </c>
      <c r="AA785" s="78">
        <f t="shared" si="99"/>
        <v>0</v>
      </c>
      <c r="AB785" s="78">
        <f t="shared" si="102"/>
        <v>0</v>
      </c>
      <c r="AC785" s="78"/>
      <c r="AD785" s="78">
        <v>0</v>
      </c>
      <c r="AE785" s="80">
        <f t="shared" si="105"/>
        <v>612376000</v>
      </c>
      <c r="AF785" s="82">
        <v>0</v>
      </c>
      <c r="AG785" s="69">
        <v>40375</v>
      </c>
      <c r="AH785" s="84">
        <v>41524</v>
      </c>
      <c r="AI785" s="69" t="s">
        <v>2009</v>
      </c>
      <c r="AJ785" s="25" t="s">
        <v>2010</v>
      </c>
      <c r="AK785" s="65">
        <v>20208</v>
      </c>
      <c r="AL785" s="185" t="s">
        <v>1679</v>
      </c>
      <c r="AM785" s="85" t="s">
        <v>972</v>
      </c>
      <c r="AN785" s="3"/>
      <c r="AO785" s="4"/>
      <c r="AP785" s="5"/>
      <c r="AQ785" s="4"/>
      <c r="AR785" s="4"/>
      <c r="AS785" s="4"/>
      <c r="AT785" s="4"/>
      <c r="AU785" s="4"/>
      <c r="AV785" s="4"/>
      <c r="AW785" s="4"/>
      <c r="AX785" s="4"/>
      <c r="AY785" s="4"/>
      <c r="AZ785" s="4"/>
      <c r="BA785" s="4"/>
      <c r="BB785" s="4"/>
      <c r="BC785" s="4"/>
      <c r="BD785" s="4"/>
      <c r="BE785" s="4"/>
      <c r="BF785" s="4"/>
      <c r="BG785" s="4"/>
      <c r="BH785" s="4"/>
      <c r="BI785" s="4"/>
      <c r="BJ785" s="4"/>
      <c r="BK785" s="4"/>
      <c r="BL785" s="4">
        <v>500</v>
      </c>
      <c r="BM785" s="4">
        <f>500*25500</f>
        <v>12750000</v>
      </c>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f>3000+4142</f>
        <v>7142</v>
      </c>
      <c r="CO785" s="4">
        <f>3000*18000+4142*18000</f>
        <v>128556000</v>
      </c>
      <c r="CP785" s="6"/>
      <c r="CQ785" s="7"/>
      <c r="CR785" s="6"/>
      <c r="CS785" s="7"/>
      <c r="CT785" s="6"/>
      <c r="CU785" s="7"/>
      <c r="CV785" s="8">
        <f t="shared" si="103"/>
        <v>141306000</v>
      </c>
      <c r="CW785" s="9"/>
      <c r="CX785" s="10"/>
      <c r="CY785" s="11">
        <f>1400+2071+2071</f>
        <v>5542</v>
      </c>
      <c r="CZ785" s="12">
        <f>1400*85000+2071*85000+2071*85000</f>
        <v>471070000</v>
      </c>
      <c r="DA785" s="29"/>
      <c r="DB785" s="12"/>
      <c r="DC785" s="9"/>
      <c r="DD785" s="10"/>
      <c r="DE785" s="71"/>
      <c r="EO785" s="353" t="str">
        <f t="shared" si="98"/>
        <v>SUCRE_SAN MARCOS</v>
      </c>
      <c r="EP785" s="350"/>
      <c r="EQ785" s="350" t="s">
        <v>4515</v>
      </c>
      <c r="ER785" s="358" t="s">
        <v>4516</v>
      </c>
      <c r="ES785" s="350" t="s">
        <v>5457</v>
      </c>
      <c r="ET785" s="350" t="s">
        <v>3424</v>
      </c>
      <c r="EU785" s="350" t="str">
        <f t="shared" si="104"/>
        <v>Norte de Santander_Arboledas</v>
      </c>
    </row>
    <row r="786" spans="1:151" ht="48" x14ac:dyDescent="0.2">
      <c r="A786" s="242">
        <v>40369</v>
      </c>
      <c r="B786" s="107" t="s">
        <v>2791</v>
      </c>
      <c r="C786" s="107" t="s">
        <v>1945</v>
      </c>
      <c r="D786" s="427" t="s">
        <v>2307</v>
      </c>
      <c r="E786" s="107" t="str">
        <f>VLOOKUP(B786&amp;C786,Divipola!$C$2:$F$1138,4,FALSE)</f>
        <v>73001</v>
      </c>
      <c r="F786" s="330"/>
      <c r="G786" s="224"/>
      <c r="H786" s="75"/>
      <c r="I786" s="75"/>
      <c r="J786" s="75">
        <v>7</v>
      </c>
      <c r="K786" s="75">
        <v>1</v>
      </c>
      <c r="L786" s="75"/>
      <c r="M786" s="75">
        <v>1</v>
      </c>
      <c r="N786" s="75">
        <v>1</v>
      </c>
      <c r="O786" s="75"/>
      <c r="P786" s="75"/>
      <c r="Q786" s="75"/>
      <c r="R786" s="75"/>
      <c r="S786" s="75"/>
      <c r="T786" s="75"/>
      <c r="U786" s="75"/>
      <c r="V786" s="76"/>
      <c r="W786" s="205"/>
      <c r="X786" s="1"/>
      <c r="Y786" s="78">
        <f t="shared" si="100"/>
        <v>0</v>
      </c>
      <c r="Z786" s="78">
        <f t="shared" si="101"/>
        <v>0</v>
      </c>
      <c r="AA786" s="78">
        <f t="shared" si="99"/>
        <v>0</v>
      </c>
      <c r="AB786" s="78">
        <f t="shared" si="102"/>
        <v>0</v>
      </c>
      <c r="AC786" s="78"/>
      <c r="AD786" s="78">
        <v>0</v>
      </c>
      <c r="AE786" s="80">
        <f t="shared" si="105"/>
        <v>0</v>
      </c>
      <c r="AF786" s="82">
        <v>0</v>
      </c>
      <c r="AG786" s="69">
        <v>40371</v>
      </c>
      <c r="AH786" s="84"/>
      <c r="AI786" s="69" t="s">
        <v>1984</v>
      </c>
      <c r="AJ786" s="25" t="s">
        <v>1985</v>
      </c>
      <c r="AK786" s="65"/>
      <c r="AL786" s="185" t="s">
        <v>1257</v>
      </c>
      <c r="AM786" s="85" t="s">
        <v>1816</v>
      </c>
      <c r="AN786" s="3"/>
      <c r="AO786" s="4"/>
      <c r="AP786" s="5"/>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6"/>
      <c r="CQ786" s="7"/>
      <c r="CR786" s="6"/>
      <c r="CS786" s="7"/>
      <c r="CT786" s="6"/>
      <c r="CU786" s="7"/>
      <c r="CV786" s="8">
        <f t="shared" si="103"/>
        <v>0</v>
      </c>
      <c r="CW786" s="9"/>
      <c r="CX786" s="10"/>
      <c r="CY786" s="11"/>
      <c r="CZ786" s="12"/>
      <c r="DA786" s="29"/>
      <c r="DB786" s="12"/>
      <c r="DC786" s="9"/>
      <c r="DD786" s="10"/>
      <c r="DE786" s="71"/>
      <c r="EO786" s="353" t="str">
        <f t="shared" si="98"/>
        <v>TOLIMA_IBAGUE</v>
      </c>
      <c r="EP786" s="350"/>
      <c r="EQ786" s="350" t="s">
        <v>4515</v>
      </c>
      <c r="ER786" s="358" t="s">
        <v>4516</v>
      </c>
      <c r="ES786" s="350" t="s">
        <v>5458</v>
      </c>
      <c r="ET786" s="350" t="s">
        <v>3425</v>
      </c>
      <c r="EU786" s="350" t="str">
        <f t="shared" si="104"/>
        <v>Norte de Santander_Bochalema</v>
      </c>
    </row>
    <row r="787" spans="1:151" ht="51" x14ac:dyDescent="0.2">
      <c r="A787" s="242">
        <v>40369</v>
      </c>
      <c r="B787" s="107" t="s">
        <v>1462</v>
      </c>
      <c r="C787" s="107" t="s">
        <v>4619</v>
      </c>
      <c r="D787" s="427" t="s">
        <v>837</v>
      </c>
      <c r="E787" s="107" t="str">
        <f>VLOOKUP(B787&amp;C787,Divipola!$C$2:$F$1138,4,FALSE)</f>
        <v>76126</v>
      </c>
      <c r="F787" s="330"/>
      <c r="G787" s="224"/>
      <c r="H787" s="75"/>
      <c r="I787" s="75"/>
      <c r="J787" s="75"/>
      <c r="K787" s="75"/>
      <c r="L787" s="75"/>
      <c r="M787" s="75"/>
      <c r="N787" s="75">
        <v>1</v>
      </c>
      <c r="O787" s="75"/>
      <c r="P787" s="75"/>
      <c r="Q787" s="75"/>
      <c r="R787" s="75"/>
      <c r="S787" s="75"/>
      <c r="T787" s="75"/>
      <c r="U787" s="75"/>
      <c r="V787" s="76"/>
      <c r="W787" s="205"/>
      <c r="X787" s="1"/>
      <c r="Y787" s="78">
        <f t="shared" si="100"/>
        <v>0</v>
      </c>
      <c r="Z787" s="78">
        <f t="shared" si="101"/>
        <v>0</v>
      </c>
      <c r="AA787" s="78">
        <f t="shared" si="99"/>
        <v>0</v>
      </c>
      <c r="AB787" s="78">
        <f t="shared" si="102"/>
        <v>0</v>
      </c>
      <c r="AC787" s="78"/>
      <c r="AD787" s="78">
        <v>0</v>
      </c>
      <c r="AE787" s="80">
        <f t="shared" si="105"/>
        <v>0</v>
      </c>
      <c r="AF787" s="82">
        <v>0</v>
      </c>
      <c r="AG787" s="69">
        <v>40371</v>
      </c>
      <c r="AH787" s="84"/>
      <c r="AI787" s="69" t="s">
        <v>1984</v>
      </c>
      <c r="AJ787" s="25" t="s">
        <v>1985</v>
      </c>
      <c r="AK787" s="65"/>
      <c r="AL787" s="185" t="s">
        <v>1257</v>
      </c>
      <c r="AM787" s="85" t="s">
        <v>1820</v>
      </c>
      <c r="AN787" s="3"/>
      <c r="AO787" s="4"/>
      <c r="AP787" s="5"/>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6"/>
      <c r="CQ787" s="7"/>
      <c r="CR787" s="6"/>
      <c r="CS787" s="7"/>
      <c r="CT787" s="6"/>
      <c r="CU787" s="7"/>
      <c r="CV787" s="8">
        <f t="shared" si="103"/>
        <v>0</v>
      </c>
      <c r="CW787" s="9"/>
      <c r="CX787" s="10"/>
      <c r="CY787" s="11"/>
      <c r="CZ787" s="12"/>
      <c r="DA787" s="29"/>
      <c r="DB787" s="12"/>
      <c r="DC787" s="9"/>
      <c r="DD787" s="10"/>
      <c r="DE787" s="71"/>
      <c r="EO787" s="353" t="str">
        <f t="shared" si="98"/>
        <v>VALLE DEL CAUCA_CALIMA</v>
      </c>
      <c r="EP787" s="350"/>
      <c r="EQ787" s="350" t="s">
        <v>4515</v>
      </c>
      <c r="ER787" s="358" t="s">
        <v>4516</v>
      </c>
      <c r="ES787" s="350" t="s">
        <v>5459</v>
      </c>
      <c r="ET787" s="350" t="s">
        <v>3426</v>
      </c>
      <c r="EU787" s="350" t="str">
        <f t="shared" si="104"/>
        <v>Norte de Santander_Bucarasica</v>
      </c>
    </row>
    <row r="788" spans="1:151" ht="38.25" x14ac:dyDescent="0.2">
      <c r="A788" s="242">
        <v>40370</v>
      </c>
      <c r="B788" s="107" t="s">
        <v>2756</v>
      </c>
      <c r="C788" s="107" t="s">
        <v>2756</v>
      </c>
      <c r="D788" s="427" t="s">
        <v>2209</v>
      </c>
      <c r="E788" s="107" t="str">
        <f>VLOOKUP(B788&amp;C788,Divipola!$C$2:$F$1138,4,FALSE)</f>
        <v>81001</v>
      </c>
      <c r="F788" s="330"/>
      <c r="G788" s="224"/>
      <c r="H788" s="75"/>
      <c r="I788" s="75"/>
      <c r="J788" s="75">
        <f>1398-165-232</f>
        <v>1001</v>
      </c>
      <c r="K788" s="75">
        <f>296-33-43</f>
        <v>220</v>
      </c>
      <c r="L788" s="75"/>
      <c r="M788" s="75">
        <v>22</v>
      </c>
      <c r="N788" s="75"/>
      <c r="O788" s="75"/>
      <c r="P788" s="75"/>
      <c r="Q788" s="75"/>
      <c r="R788" s="75"/>
      <c r="S788" s="75"/>
      <c r="T788" s="75"/>
      <c r="U788" s="75"/>
      <c r="V788" s="76"/>
      <c r="W788" s="205"/>
      <c r="X788" s="1"/>
      <c r="Y788" s="78">
        <f t="shared" si="100"/>
        <v>0</v>
      </c>
      <c r="Z788" s="78">
        <f t="shared" si="101"/>
        <v>0</v>
      </c>
      <c r="AA788" s="78">
        <f t="shared" si="99"/>
        <v>0</v>
      </c>
      <c r="AB788" s="78">
        <f t="shared" si="102"/>
        <v>0</v>
      </c>
      <c r="AC788" s="78"/>
      <c r="AD788" s="78">
        <v>0</v>
      </c>
      <c r="AE788" s="80">
        <f t="shared" si="105"/>
        <v>0</v>
      </c>
      <c r="AF788" s="82">
        <v>0</v>
      </c>
      <c r="AG788" s="69">
        <v>40371</v>
      </c>
      <c r="AH788" s="84"/>
      <c r="AI788" s="69" t="s">
        <v>2009</v>
      </c>
      <c r="AJ788" s="25" t="s">
        <v>2010</v>
      </c>
      <c r="AK788" s="65"/>
      <c r="AL788" s="214" t="s">
        <v>1674</v>
      </c>
      <c r="AM788" s="85" t="s">
        <v>1270</v>
      </c>
      <c r="AN788" s="3"/>
      <c r="AO788" s="4"/>
      <c r="AP788" s="5"/>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6"/>
      <c r="CQ788" s="7"/>
      <c r="CR788" s="6"/>
      <c r="CS788" s="7"/>
      <c r="CT788" s="6"/>
      <c r="CU788" s="7"/>
      <c r="CV788" s="8">
        <f t="shared" si="103"/>
        <v>0</v>
      </c>
      <c r="CW788" s="9"/>
      <c r="CX788" s="10"/>
      <c r="CY788" s="11"/>
      <c r="CZ788" s="12"/>
      <c r="DA788" s="29"/>
      <c r="DB788" s="12"/>
      <c r="DC788" s="9"/>
      <c r="DD788" s="10"/>
      <c r="DE788" s="71"/>
      <c r="EO788" s="353" t="str">
        <f t="shared" si="98"/>
        <v>ARAUCA_ARAUCA</v>
      </c>
      <c r="EP788" s="350"/>
      <c r="EQ788" s="350" t="s">
        <v>4515</v>
      </c>
      <c r="ER788" s="358" t="s">
        <v>4516</v>
      </c>
      <c r="ES788" s="350" t="s">
        <v>5460</v>
      </c>
      <c r="ET788" s="350" t="s">
        <v>3427</v>
      </c>
      <c r="EU788" s="350" t="str">
        <f t="shared" si="104"/>
        <v>Norte de Santander_Cacota</v>
      </c>
    </row>
    <row r="789" spans="1:151" ht="60" x14ac:dyDescent="0.2">
      <c r="A789" s="242">
        <v>40370</v>
      </c>
      <c r="B789" s="107" t="s">
        <v>2756</v>
      </c>
      <c r="C789" s="107" t="s">
        <v>1942</v>
      </c>
      <c r="D789" s="427" t="s">
        <v>837</v>
      </c>
      <c r="E789" s="107" t="str">
        <f>VLOOKUP(B789&amp;C789,Divipola!$C$2:$F$1138,4,FALSE)</f>
        <v>81736</v>
      </c>
      <c r="F789" s="330"/>
      <c r="G789" s="224">
        <v>1</v>
      </c>
      <c r="H789" s="75"/>
      <c r="I789" s="75"/>
      <c r="J789" s="75">
        <v>25</v>
      </c>
      <c r="K789" s="75">
        <v>5</v>
      </c>
      <c r="L789" s="75"/>
      <c r="M789" s="75">
        <v>5</v>
      </c>
      <c r="N789" s="75"/>
      <c r="O789" s="75"/>
      <c r="P789" s="75"/>
      <c r="Q789" s="75"/>
      <c r="R789" s="75"/>
      <c r="S789" s="75"/>
      <c r="T789" s="75"/>
      <c r="U789" s="75"/>
      <c r="V789" s="76"/>
      <c r="W789" s="205"/>
      <c r="X789" s="1"/>
      <c r="Y789" s="78">
        <f t="shared" si="100"/>
        <v>0</v>
      </c>
      <c r="Z789" s="78">
        <f t="shared" si="101"/>
        <v>0</v>
      </c>
      <c r="AA789" s="78">
        <f t="shared" si="99"/>
        <v>0</v>
      </c>
      <c r="AB789" s="78">
        <f t="shared" si="102"/>
        <v>0</v>
      </c>
      <c r="AC789" s="78"/>
      <c r="AD789" s="78">
        <v>0</v>
      </c>
      <c r="AE789" s="80">
        <f t="shared" si="105"/>
        <v>0</v>
      </c>
      <c r="AF789" s="82">
        <v>0</v>
      </c>
      <c r="AG789" s="69">
        <v>40371</v>
      </c>
      <c r="AH789" s="84"/>
      <c r="AI789" s="69" t="s">
        <v>2009</v>
      </c>
      <c r="AJ789" s="25" t="s">
        <v>2010</v>
      </c>
      <c r="AK789" s="65"/>
      <c r="AL789" s="214" t="s">
        <v>1674</v>
      </c>
      <c r="AM789" s="85" t="s">
        <v>1446</v>
      </c>
      <c r="AN789" s="3"/>
      <c r="AO789" s="4"/>
      <c r="AP789" s="5"/>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6"/>
      <c r="CQ789" s="7"/>
      <c r="CR789" s="6"/>
      <c r="CS789" s="7"/>
      <c r="CT789" s="6"/>
      <c r="CU789" s="7"/>
      <c r="CV789" s="8">
        <f t="shared" si="103"/>
        <v>0</v>
      </c>
      <c r="CW789" s="9"/>
      <c r="CX789" s="10"/>
      <c r="CY789" s="11"/>
      <c r="CZ789" s="12"/>
      <c r="DA789" s="29"/>
      <c r="DB789" s="12"/>
      <c r="DC789" s="9"/>
      <c r="DD789" s="10"/>
      <c r="DE789" s="71"/>
      <c r="EO789" s="353" t="str">
        <f t="shared" si="98"/>
        <v>ARAUCA_SARAVENA</v>
      </c>
      <c r="EP789" s="350"/>
      <c r="EQ789" s="350" t="s">
        <v>4515</v>
      </c>
      <c r="ER789" s="358" t="s">
        <v>4516</v>
      </c>
      <c r="ES789" s="350" t="s">
        <v>5461</v>
      </c>
      <c r="ET789" s="350" t="s">
        <v>3428</v>
      </c>
      <c r="EU789" s="350" t="str">
        <f t="shared" si="104"/>
        <v>Norte de Santander_Cachira</v>
      </c>
    </row>
    <row r="790" spans="1:151" ht="38.25" x14ac:dyDescent="0.2">
      <c r="A790" s="242">
        <v>40370</v>
      </c>
      <c r="B790" s="107" t="s">
        <v>2756</v>
      </c>
      <c r="C790" s="107" t="s">
        <v>619</v>
      </c>
      <c r="D790" s="427" t="s">
        <v>2209</v>
      </c>
      <c r="E790" s="107" t="str">
        <f>VLOOKUP(B790&amp;C790,Divipola!$C$2:$F$1138,4,FALSE)</f>
        <v>81794</v>
      </c>
      <c r="F790" s="330"/>
      <c r="G790" s="224"/>
      <c r="H790" s="75"/>
      <c r="I790" s="75"/>
      <c r="J790" s="75">
        <v>35</v>
      </c>
      <c r="K790" s="75">
        <v>7</v>
      </c>
      <c r="L790" s="75"/>
      <c r="M790" s="75">
        <v>7</v>
      </c>
      <c r="N790" s="75"/>
      <c r="O790" s="75"/>
      <c r="P790" s="75"/>
      <c r="Q790" s="75"/>
      <c r="R790" s="75"/>
      <c r="S790" s="75"/>
      <c r="T790" s="75"/>
      <c r="U790" s="75"/>
      <c r="V790" s="76"/>
      <c r="W790" s="205"/>
      <c r="X790" s="1"/>
      <c r="Y790" s="78">
        <f t="shared" si="100"/>
        <v>0</v>
      </c>
      <c r="Z790" s="78">
        <f t="shared" si="101"/>
        <v>0</v>
      </c>
      <c r="AA790" s="78">
        <f t="shared" si="99"/>
        <v>0</v>
      </c>
      <c r="AB790" s="78">
        <f t="shared" si="102"/>
        <v>0</v>
      </c>
      <c r="AC790" s="78"/>
      <c r="AD790" s="78">
        <v>0</v>
      </c>
      <c r="AE790" s="80">
        <f t="shared" si="105"/>
        <v>0</v>
      </c>
      <c r="AF790" s="82">
        <v>0</v>
      </c>
      <c r="AG790" s="69">
        <v>40371</v>
      </c>
      <c r="AH790" s="84"/>
      <c r="AI790" s="69" t="s">
        <v>1984</v>
      </c>
      <c r="AJ790" s="25" t="s">
        <v>1985</v>
      </c>
      <c r="AK790" s="65"/>
      <c r="AL790" s="185" t="s">
        <v>1257</v>
      </c>
      <c r="AM790" s="85" t="s">
        <v>1269</v>
      </c>
      <c r="AN790" s="3"/>
      <c r="AO790" s="4"/>
      <c r="AP790" s="5"/>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6"/>
      <c r="CQ790" s="7"/>
      <c r="CR790" s="6"/>
      <c r="CS790" s="7"/>
      <c r="CT790" s="6"/>
      <c r="CU790" s="7"/>
      <c r="CV790" s="8">
        <f t="shared" si="103"/>
        <v>0</v>
      </c>
      <c r="CW790" s="9"/>
      <c r="CX790" s="10"/>
      <c r="CY790" s="11"/>
      <c r="CZ790" s="12"/>
      <c r="DA790" s="29"/>
      <c r="DB790" s="12"/>
      <c r="DC790" s="9"/>
      <c r="DD790" s="10"/>
      <c r="DE790" s="71"/>
      <c r="EO790" s="353" t="str">
        <f t="shared" si="98"/>
        <v>ARAUCA_TAME</v>
      </c>
      <c r="EP790" s="350"/>
      <c r="EQ790" s="350" t="s">
        <v>4515</v>
      </c>
      <c r="ER790" s="358" t="s">
        <v>4516</v>
      </c>
      <c r="ES790" s="350" t="s">
        <v>5462</v>
      </c>
      <c r="ET790" s="350" t="s">
        <v>3429</v>
      </c>
      <c r="EU790" s="350" t="str">
        <f t="shared" si="104"/>
        <v>Norte de Santander_Chinacota</v>
      </c>
    </row>
    <row r="791" spans="1:151" ht="38.25" x14ac:dyDescent="0.2">
      <c r="A791" s="242">
        <v>40370</v>
      </c>
      <c r="B791" s="107" t="s">
        <v>1951</v>
      </c>
      <c r="C791" s="107" t="s">
        <v>1989</v>
      </c>
      <c r="D791" s="427" t="s">
        <v>837</v>
      </c>
      <c r="E791" s="107" t="str">
        <f>VLOOKUP(B791&amp;C791,Divipola!$C$2:$F$1138,4,FALSE)</f>
        <v>08001</v>
      </c>
      <c r="F791" s="330"/>
      <c r="G791" s="224"/>
      <c r="H791" s="75"/>
      <c r="I791" s="75"/>
      <c r="J791" s="75">
        <v>1175</v>
      </c>
      <c r="K791" s="75">
        <v>235</v>
      </c>
      <c r="L791" s="75"/>
      <c r="M791" s="75">
        <v>235</v>
      </c>
      <c r="N791" s="75"/>
      <c r="O791" s="75"/>
      <c r="P791" s="75"/>
      <c r="Q791" s="75"/>
      <c r="R791" s="75"/>
      <c r="S791" s="75"/>
      <c r="T791" s="75"/>
      <c r="U791" s="75"/>
      <c r="V791" s="76"/>
      <c r="W791" s="205"/>
      <c r="X791" s="1"/>
      <c r="Y791" s="78">
        <f t="shared" si="100"/>
        <v>0</v>
      </c>
      <c r="Z791" s="78">
        <f t="shared" si="101"/>
        <v>0</v>
      </c>
      <c r="AA791" s="78">
        <f t="shared" si="99"/>
        <v>0</v>
      </c>
      <c r="AB791" s="78">
        <f t="shared" si="102"/>
        <v>0</v>
      </c>
      <c r="AC791" s="78"/>
      <c r="AD791" s="78">
        <v>0</v>
      </c>
      <c r="AE791" s="80">
        <f t="shared" si="105"/>
        <v>0</v>
      </c>
      <c r="AF791" s="82">
        <v>0</v>
      </c>
      <c r="AG791" s="69">
        <v>40371</v>
      </c>
      <c r="AH791" s="84"/>
      <c r="AI791" s="69" t="s">
        <v>1984</v>
      </c>
      <c r="AJ791" s="25" t="s">
        <v>1985</v>
      </c>
      <c r="AK791" s="65"/>
      <c r="AL791" s="185" t="s">
        <v>1257</v>
      </c>
      <c r="AM791" s="85" t="s">
        <v>1367</v>
      </c>
      <c r="AN791" s="3"/>
      <c r="AO791" s="4"/>
      <c r="AP791" s="5"/>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6"/>
      <c r="CQ791" s="7"/>
      <c r="CR791" s="6"/>
      <c r="CS791" s="7"/>
      <c r="CT791" s="6"/>
      <c r="CU791" s="7"/>
      <c r="CV791" s="8">
        <f t="shared" si="103"/>
        <v>0</v>
      </c>
      <c r="CW791" s="9"/>
      <c r="CX791" s="10"/>
      <c r="CY791" s="11"/>
      <c r="CZ791" s="12"/>
      <c r="DA791" s="29"/>
      <c r="DB791" s="12"/>
      <c r="DC791" s="9"/>
      <c r="DD791" s="10"/>
      <c r="DE791" s="71"/>
      <c r="EO791" s="353" t="str">
        <f t="shared" si="98"/>
        <v>ATLANTICO_BARRANQUILLA</v>
      </c>
      <c r="EP791" s="350"/>
      <c r="EQ791" s="350" t="s">
        <v>4515</v>
      </c>
      <c r="ER791" s="358" t="s">
        <v>4516</v>
      </c>
      <c r="ES791" s="350" t="s">
        <v>5463</v>
      </c>
      <c r="ET791" s="350" t="s">
        <v>3430</v>
      </c>
      <c r="EU791" s="350" t="str">
        <f t="shared" si="104"/>
        <v>Norte de Santander_Chitaga</v>
      </c>
    </row>
    <row r="792" spans="1:151" ht="38.25" x14ac:dyDescent="0.2">
      <c r="A792" s="242">
        <v>40370</v>
      </c>
      <c r="B792" s="107" t="s">
        <v>1189</v>
      </c>
      <c r="C792" s="107" t="s">
        <v>2416</v>
      </c>
      <c r="D792" s="427" t="s">
        <v>837</v>
      </c>
      <c r="E792" s="107" t="str">
        <f>VLOOKUP(B792&amp;C792,Divipola!$C$2:$F$1138,4,FALSE)</f>
        <v>85001</v>
      </c>
      <c r="F792" s="330"/>
      <c r="G792" s="224"/>
      <c r="H792" s="75"/>
      <c r="I792" s="75"/>
      <c r="J792" s="75">
        <v>450</v>
      </c>
      <c r="K792" s="75">
        <v>90</v>
      </c>
      <c r="L792" s="75"/>
      <c r="M792" s="75">
        <v>90</v>
      </c>
      <c r="N792" s="75"/>
      <c r="O792" s="75"/>
      <c r="P792" s="75"/>
      <c r="Q792" s="75"/>
      <c r="R792" s="75"/>
      <c r="S792" s="75"/>
      <c r="T792" s="75"/>
      <c r="U792" s="75"/>
      <c r="V792" s="76"/>
      <c r="W792" s="205"/>
      <c r="X792" s="1"/>
      <c r="Y792" s="78">
        <f t="shared" si="100"/>
        <v>0</v>
      </c>
      <c r="Z792" s="78">
        <f t="shared" si="101"/>
        <v>0</v>
      </c>
      <c r="AA792" s="78">
        <f t="shared" si="99"/>
        <v>0</v>
      </c>
      <c r="AB792" s="78">
        <f t="shared" si="102"/>
        <v>0</v>
      </c>
      <c r="AC792" s="78"/>
      <c r="AD792" s="78">
        <v>0</v>
      </c>
      <c r="AE792" s="80">
        <f t="shared" si="105"/>
        <v>0</v>
      </c>
      <c r="AF792" s="82">
        <v>0</v>
      </c>
      <c r="AG792" s="69">
        <v>40371</v>
      </c>
      <c r="AH792" s="84"/>
      <c r="AI792" s="69" t="s">
        <v>1984</v>
      </c>
      <c r="AJ792" s="25" t="s">
        <v>1985</v>
      </c>
      <c r="AK792" s="65"/>
      <c r="AL792" s="185" t="s">
        <v>1257</v>
      </c>
      <c r="AM792" s="85" t="s">
        <v>1445</v>
      </c>
      <c r="AN792" s="3"/>
      <c r="AO792" s="4"/>
      <c r="AP792" s="5"/>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6"/>
      <c r="CQ792" s="7"/>
      <c r="CR792" s="6"/>
      <c r="CS792" s="7"/>
      <c r="CT792" s="6"/>
      <c r="CU792" s="7"/>
      <c r="CV792" s="8">
        <f t="shared" si="103"/>
        <v>0</v>
      </c>
      <c r="CW792" s="9"/>
      <c r="CX792" s="10"/>
      <c r="CY792" s="11"/>
      <c r="CZ792" s="12"/>
      <c r="DA792" s="29"/>
      <c r="DB792" s="12"/>
      <c r="DC792" s="9"/>
      <c r="DD792" s="10"/>
      <c r="DE792" s="71"/>
      <c r="EO792" s="353" t="str">
        <f t="shared" si="98"/>
        <v>CASANARE_YOPAL</v>
      </c>
      <c r="EP792" s="350"/>
      <c r="EQ792" s="350" t="s">
        <v>4515</v>
      </c>
      <c r="ER792" s="358" t="s">
        <v>4516</v>
      </c>
      <c r="ES792" s="350" t="s">
        <v>5464</v>
      </c>
      <c r="ET792" s="350" t="s">
        <v>3431</v>
      </c>
      <c r="EU792" s="350" t="str">
        <f t="shared" si="104"/>
        <v>Norte de Santander_Convencion</v>
      </c>
    </row>
    <row r="793" spans="1:151" ht="38.25" x14ac:dyDescent="0.2">
      <c r="A793" s="242">
        <v>40370</v>
      </c>
      <c r="B793" s="107" t="s">
        <v>2012</v>
      </c>
      <c r="C793" s="107" t="s">
        <v>2433</v>
      </c>
      <c r="D793" s="427" t="s">
        <v>2209</v>
      </c>
      <c r="E793" s="107" t="str">
        <f>VLOOKUP(B793&amp;C793,Divipola!$C$2:$F$1138,4,FALSE)</f>
        <v>66001</v>
      </c>
      <c r="F793" s="330"/>
      <c r="G793" s="224"/>
      <c r="H793" s="75"/>
      <c r="I793" s="75"/>
      <c r="J793" s="75">
        <v>35</v>
      </c>
      <c r="K793" s="75">
        <v>7</v>
      </c>
      <c r="L793" s="75"/>
      <c r="M793" s="75">
        <v>7</v>
      </c>
      <c r="N793" s="75"/>
      <c r="O793" s="75"/>
      <c r="P793" s="75"/>
      <c r="Q793" s="75"/>
      <c r="R793" s="75"/>
      <c r="S793" s="75"/>
      <c r="T793" s="75"/>
      <c r="U793" s="75"/>
      <c r="V793" s="76"/>
      <c r="W793" s="205"/>
      <c r="X793" s="1"/>
      <c r="Y793" s="78">
        <f t="shared" si="100"/>
        <v>0</v>
      </c>
      <c r="Z793" s="78">
        <f t="shared" si="101"/>
        <v>0</v>
      </c>
      <c r="AA793" s="78">
        <f t="shared" si="99"/>
        <v>0</v>
      </c>
      <c r="AB793" s="78">
        <f t="shared" si="102"/>
        <v>0</v>
      </c>
      <c r="AC793" s="78"/>
      <c r="AD793" s="78">
        <v>0</v>
      </c>
      <c r="AE793" s="80">
        <f t="shared" si="105"/>
        <v>0</v>
      </c>
      <c r="AF793" s="82">
        <v>0</v>
      </c>
      <c r="AG793" s="69">
        <v>40371</v>
      </c>
      <c r="AH793" s="84"/>
      <c r="AI793" s="69" t="s">
        <v>1984</v>
      </c>
      <c r="AJ793" s="25" t="s">
        <v>1985</v>
      </c>
      <c r="AK793" s="65"/>
      <c r="AL793" s="185" t="s">
        <v>1257</v>
      </c>
      <c r="AM793" s="85" t="s">
        <v>1368</v>
      </c>
      <c r="AN793" s="3"/>
      <c r="AO793" s="4"/>
      <c r="AP793" s="5"/>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6"/>
      <c r="CQ793" s="7"/>
      <c r="CR793" s="6"/>
      <c r="CS793" s="7"/>
      <c r="CT793" s="6"/>
      <c r="CU793" s="7"/>
      <c r="CV793" s="8">
        <f t="shared" si="103"/>
        <v>0</v>
      </c>
      <c r="CW793" s="9"/>
      <c r="CX793" s="10"/>
      <c r="CY793" s="11"/>
      <c r="CZ793" s="12"/>
      <c r="DA793" s="29"/>
      <c r="DB793" s="12"/>
      <c r="DC793" s="9"/>
      <c r="DD793" s="10"/>
      <c r="DE793" s="71"/>
      <c r="EO793" s="353" t="str">
        <f t="shared" si="98"/>
        <v>RISARALDA_PEREIRA</v>
      </c>
      <c r="EP793" s="350"/>
      <c r="EQ793" s="350" t="s">
        <v>4515</v>
      </c>
      <c r="ER793" s="358" t="s">
        <v>4516</v>
      </c>
      <c r="ES793" s="350" t="s">
        <v>5465</v>
      </c>
      <c r="ET793" s="350" t="s">
        <v>3432</v>
      </c>
      <c r="EU793" s="350" t="str">
        <f t="shared" si="104"/>
        <v>Norte de Santander_Cucutilla</v>
      </c>
    </row>
    <row r="794" spans="1:151" ht="216" x14ac:dyDescent="0.2">
      <c r="A794" s="242">
        <v>40370</v>
      </c>
      <c r="B794" s="107" t="s">
        <v>2372</v>
      </c>
      <c r="C794" s="107" t="s">
        <v>2372</v>
      </c>
      <c r="D794" s="427" t="s">
        <v>837</v>
      </c>
      <c r="E794" s="107" t="str">
        <f>VLOOKUP(B794&amp;C794,Divipola!$C$2:$F$1138,4,FALSE)</f>
        <v>70771</v>
      </c>
      <c r="F794" s="330"/>
      <c r="G794" s="224"/>
      <c r="H794" s="75"/>
      <c r="I794" s="75"/>
      <c r="J794" s="422">
        <f>7532*3</f>
        <v>22596</v>
      </c>
      <c r="K794" s="75">
        <v>7532</v>
      </c>
      <c r="L794" s="75"/>
      <c r="M794" s="75">
        <v>5060</v>
      </c>
      <c r="N794" s="75"/>
      <c r="O794" s="75"/>
      <c r="P794" s="75"/>
      <c r="Q794" s="75"/>
      <c r="R794" s="75"/>
      <c r="S794" s="75"/>
      <c r="T794" s="75"/>
      <c r="U794" s="75"/>
      <c r="V794" s="76">
        <v>7215</v>
      </c>
      <c r="W794" s="205" t="s">
        <v>20</v>
      </c>
      <c r="X794" s="1">
        <v>40392</v>
      </c>
      <c r="Y794" s="78">
        <f t="shared" si="100"/>
        <v>351799000</v>
      </c>
      <c r="Z794" s="78">
        <f t="shared" si="101"/>
        <v>1150220000</v>
      </c>
      <c r="AA794" s="78">
        <f t="shared" si="99"/>
        <v>0</v>
      </c>
      <c r="AB794" s="78">
        <f t="shared" si="102"/>
        <v>0</v>
      </c>
      <c r="AC794" s="78">
        <v>11460800</v>
      </c>
      <c r="AD794" s="78">
        <v>75000000</v>
      </c>
      <c r="AE794" s="80">
        <f t="shared" si="105"/>
        <v>1588479800</v>
      </c>
      <c r="AF794" s="82">
        <v>0</v>
      </c>
      <c r="AG794" s="72">
        <v>40367</v>
      </c>
      <c r="AH794" s="416" t="s">
        <v>668</v>
      </c>
      <c r="AI794" s="72" t="s">
        <v>2009</v>
      </c>
      <c r="AJ794" s="58" t="s">
        <v>2010</v>
      </c>
      <c r="AK794" s="418" t="s">
        <v>669</v>
      </c>
      <c r="AL794" s="211" t="s">
        <v>1831</v>
      </c>
      <c r="AM794" s="85" t="s">
        <v>19</v>
      </c>
      <c r="AN794" s="3"/>
      <c r="AO794" s="4"/>
      <c r="AP794" s="5"/>
      <c r="AQ794" s="4"/>
      <c r="AR794" s="4"/>
      <c r="AS794" s="4"/>
      <c r="AT794" s="4"/>
      <c r="AU794" s="4"/>
      <c r="AV794" s="4"/>
      <c r="AW794" s="4"/>
      <c r="AX794" s="4"/>
      <c r="AY794" s="4"/>
      <c r="AZ794" s="4">
        <v>1000</v>
      </c>
      <c r="BA794" s="4">
        <f>1000*57758</f>
        <v>57758000</v>
      </c>
      <c r="BB794" s="4"/>
      <c r="BC794" s="4"/>
      <c r="BD794" s="4"/>
      <c r="BE794" s="4"/>
      <c r="BF794" s="4"/>
      <c r="BG794" s="4"/>
      <c r="BH794" s="4"/>
      <c r="BI794" s="4"/>
      <c r="BJ794" s="4"/>
      <c r="BK794" s="4"/>
      <c r="BL794" s="4">
        <v>1000</v>
      </c>
      <c r="BM794" s="4">
        <f>1000*25500</f>
        <v>25500000</v>
      </c>
      <c r="BN794" s="4"/>
      <c r="BO794" s="4"/>
      <c r="BP794" s="4"/>
      <c r="BQ794" s="4"/>
      <c r="BR794" s="4"/>
      <c r="BS794" s="4"/>
      <c r="BT794" s="4"/>
      <c r="BU794" s="4"/>
      <c r="BV794" s="4"/>
      <c r="BW794" s="4"/>
      <c r="BX794" s="4"/>
      <c r="BY794" s="4"/>
      <c r="BZ794" s="4">
        <f>15+15</f>
        <v>30</v>
      </c>
      <c r="CA794" s="4">
        <f>15*504600+15*468000</f>
        <v>14589000</v>
      </c>
      <c r="CB794" s="4"/>
      <c r="CC794" s="4"/>
      <c r="CD794" s="4"/>
      <c r="CE794" s="4"/>
      <c r="CF794" s="4"/>
      <c r="CG794" s="4"/>
      <c r="CH794" s="4"/>
      <c r="CI794" s="4"/>
      <c r="CJ794" s="4"/>
      <c r="CK794" s="4"/>
      <c r="CL794" s="4"/>
      <c r="CM794" s="4"/>
      <c r="CN794" s="4">
        <f>7000+1000</f>
        <v>8000</v>
      </c>
      <c r="CO794" s="4">
        <f>7000*18000+1000*18000</f>
        <v>144000000</v>
      </c>
      <c r="CP794" s="6">
        <f>1000+1000</f>
        <v>2000</v>
      </c>
      <c r="CQ794" s="7">
        <f>1000*37000+1000*36952</f>
        <v>73952000</v>
      </c>
      <c r="CR794" s="6">
        <v>1000</v>
      </c>
      <c r="CS794" s="7">
        <f>1000*36000</f>
        <v>36000000</v>
      </c>
      <c r="CT794" s="6"/>
      <c r="CU794" s="7"/>
      <c r="CV794" s="8">
        <f t="shared" si="103"/>
        <v>351799000</v>
      </c>
      <c r="CW794" s="9"/>
      <c r="CX794" s="10"/>
      <c r="CY794" s="11">
        <f>1000+1000+2000+2000+7532</f>
        <v>13532</v>
      </c>
      <c r="CZ794" s="12">
        <f>1000*85000+1000*85000+2000*85000+2000*85000+7532*85000</f>
        <v>1150220000</v>
      </c>
      <c r="DA794" s="29"/>
      <c r="DB794" s="12"/>
      <c r="DC794" s="9"/>
      <c r="DD794" s="10"/>
      <c r="DE794" s="71">
        <v>2</v>
      </c>
      <c r="EO794" s="353" t="str">
        <f t="shared" si="98"/>
        <v>SUCRE_SUCRE</v>
      </c>
      <c r="EP794" s="350"/>
      <c r="EQ794" s="350" t="s">
        <v>4515</v>
      </c>
      <c r="ER794" s="358" t="s">
        <v>4516</v>
      </c>
      <c r="ES794" s="350" t="s">
        <v>5466</v>
      </c>
      <c r="ET794" s="350" t="s">
        <v>3433</v>
      </c>
      <c r="EU794" s="350" t="str">
        <f t="shared" si="104"/>
        <v>Norte de Santander_Durania</v>
      </c>
    </row>
    <row r="795" spans="1:151" ht="51" x14ac:dyDescent="0.2">
      <c r="A795" s="242">
        <v>40370</v>
      </c>
      <c r="B795" s="107" t="s">
        <v>1462</v>
      </c>
      <c r="C795" s="107" t="s">
        <v>3152</v>
      </c>
      <c r="D795" s="427" t="s">
        <v>837</v>
      </c>
      <c r="E795" s="107" t="str">
        <f>VLOOKUP(B795&amp;C795,Divipola!$C$2:$F$1138,4,FALSE)</f>
        <v>76036</v>
      </c>
      <c r="F795" s="330"/>
      <c r="G795" s="224"/>
      <c r="H795" s="75"/>
      <c r="I795" s="75"/>
      <c r="J795" s="75">
        <v>72</v>
      </c>
      <c r="K795" s="75">
        <v>17</v>
      </c>
      <c r="L795" s="75"/>
      <c r="M795" s="75"/>
      <c r="N795" s="75"/>
      <c r="O795" s="75"/>
      <c r="P795" s="75"/>
      <c r="Q795" s="75"/>
      <c r="R795" s="75"/>
      <c r="S795" s="75"/>
      <c r="T795" s="75"/>
      <c r="U795" s="75"/>
      <c r="V795" s="76"/>
      <c r="W795" s="205"/>
      <c r="X795" s="1"/>
      <c r="Y795" s="78">
        <f t="shared" si="100"/>
        <v>0</v>
      </c>
      <c r="Z795" s="78">
        <f t="shared" si="101"/>
        <v>0</v>
      </c>
      <c r="AA795" s="78">
        <f t="shared" si="99"/>
        <v>0</v>
      </c>
      <c r="AB795" s="78">
        <f t="shared" si="102"/>
        <v>0</v>
      </c>
      <c r="AC795" s="78"/>
      <c r="AD795" s="78">
        <v>0</v>
      </c>
      <c r="AE795" s="80">
        <f t="shared" si="105"/>
        <v>0</v>
      </c>
      <c r="AF795" s="82">
        <v>0</v>
      </c>
      <c r="AG795" s="69">
        <v>40371</v>
      </c>
      <c r="AH795" s="84"/>
      <c r="AI795" s="69" t="s">
        <v>1984</v>
      </c>
      <c r="AJ795" s="25" t="s">
        <v>1985</v>
      </c>
      <c r="AK795" s="65"/>
      <c r="AL795" s="185" t="s">
        <v>1257</v>
      </c>
      <c r="AM795" s="85" t="s">
        <v>1268</v>
      </c>
      <c r="AN795" s="3"/>
      <c r="AO795" s="4"/>
      <c r="AP795" s="5"/>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6"/>
      <c r="CQ795" s="7"/>
      <c r="CR795" s="6"/>
      <c r="CS795" s="7"/>
      <c r="CT795" s="6"/>
      <c r="CU795" s="7"/>
      <c r="CV795" s="8">
        <f t="shared" si="103"/>
        <v>0</v>
      </c>
      <c r="CW795" s="9"/>
      <c r="CX795" s="10"/>
      <c r="CY795" s="11"/>
      <c r="CZ795" s="12"/>
      <c r="DA795" s="29"/>
      <c r="DB795" s="12"/>
      <c r="DC795" s="9"/>
      <c r="DD795" s="10"/>
      <c r="DE795" s="71"/>
      <c r="EO795" s="353" t="str">
        <f t="shared" si="98"/>
        <v>VALLE DEL CAUCA_ANDALUCIA</v>
      </c>
      <c r="EP795" s="350"/>
      <c r="EQ795" s="350" t="s">
        <v>4515</v>
      </c>
      <c r="ER795" s="358" t="s">
        <v>4516</v>
      </c>
      <c r="ES795" s="350" t="s">
        <v>5467</v>
      </c>
      <c r="ET795" s="350" t="s">
        <v>3434</v>
      </c>
      <c r="EU795" s="350" t="str">
        <f t="shared" si="104"/>
        <v>Norte de Santander_El Carmen</v>
      </c>
    </row>
    <row r="796" spans="1:151" ht="38.25" x14ac:dyDescent="0.2">
      <c r="A796" s="242">
        <v>40371</v>
      </c>
      <c r="B796" s="107" t="s">
        <v>2756</v>
      </c>
      <c r="C796" s="107" t="s">
        <v>1773</v>
      </c>
      <c r="D796" s="427" t="s">
        <v>837</v>
      </c>
      <c r="E796" s="107" t="str">
        <f>VLOOKUP(B796&amp;C796,Divipola!$C$2:$F$1138,4,FALSE)</f>
        <v>81065</v>
      </c>
      <c r="F796" s="330"/>
      <c r="G796" s="224"/>
      <c r="H796" s="75"/>
      <c r="I796" s="75"/>
      <c r="J796" s="75">
        <v>2396</v>
      </c>
      <c r="K796" s="75">
        <v>499</v>
      </c>
      <c r="L796" s="75"/>
      <c r="M796" s="75">
        <v>499</v>
      </c>
      <c r="N796" s="75"/>
      <c r="O796" s="75"/>
      <c r="P796" s="75"/>
      <c r="Q796" s="75"/>
      <c r="R796" s="75"/>
      <c r="S796" s="75"/>
      <c r="T796" s="75"/>
      <c r="U796" s="75"/>
      <c r="V796" s="76"/>
      <c r="W796" s="205"/>
      <c r="X796" s="1"/>
      <c r="Y796" s="78">
        <f t="shared" si="100"/>
        <v>0</v>
      </c>
      <c r="Z796" s="78">
        <f t="shared" si="101"/>
        <v>0</v>
      </c>
      <c r="AA796" s="78">
        <f t="shared" si="99"/>
        <v>0</v>
      </c>
      <c r="AB796" s="78">
        <f t="shared" si="102"/>
        <v>0</v>
      </c>
      <c r="AC796" s="78"/>
      <c r="AD796" s="78">
        <v>0</v>
      </c>
      <c r="AE796" s="80">
        <f t="shared" si="105"/>
        <v>0</v>
      </c>
      <c r="AF796" s="82">
        <v>0</v>
      </c>
      <c r="AG796" s="69">
        <v>40343</v>
      </c>
      <c r="AH796" s="84"/>
      <c r="AI796" s="69" t="s">
        <v>2009</v>
      </c>
      <c r="AJ796" s="25" t="s">
        <v>2010</v>
      </c>
      <c r="AK796" s="65"/>
      <c r="AL796" s="214" t="s">
        <v>1674</v>
      </c>
      <c r="AM796" s="85" t="s">
        <v>1774</v>
      </c>
      <c r="AN796" s="3"/>
      <c r="AO796" s="4"/>
      <c r="AP796" s="5"/>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6"/>
      <c r="CQ796" s="7"/>
      <c r="CR796" s="6"/>
      <c r="CS796" s="7"/>
      <c r="CT796" s="6"/>
      <c r="CU796" s="7"/>
      <c r="CV796" s="8">
        <f t="shared" si="103"/>
        <v>0</v>
      </c>
      <c r="CW796" s="9"/>
      <c r="CX796" s="10"/>
      <c r="CY796" s="11"/>
      <c r="CZ796" s="12"/>
      <c r="DA796" s="29"/>
      <c r="DB796" s="12"/>
      <c r="DC796" s="9"/>
      <c r="DD796" s="10"/>
      <c r="DE796" s="71"/>
      <c r="EO796" s="353" t="str">
        <f t="shared" si="98"/>
        <v>ARAUCA_ARAUQUITA</v>
      </c>
      <c r="EP796" s="350"/>
      <c r="EQ796" s="350" t="s">
        <v>4515</v>
      </c>
      <c r="ER796" s="358" t="s">
        <v>4516</v>
      </c>
      <c r="ES796" s="350" t="s">
        <v>5468</v>
      </c>
      <c r="ET796" s="350" t="s">
        <v>3435</v>
      </c>
      <c r="EU796" s="350" t="str">
        <f t="shared" si="104"/>
        <v>Norte de Santander_El Tarra</v>
      </c>
    </row>
    <row r="797" spans="1:151" ht="38.25" x14ac:dyDescent="0.2">
      <c r="A797" s="242">
        <v>40371</v>
      </c>
      <c r="B797" s="236" t="s">
        <v>2756</v>
      </c>
      <c r="C797" s="236" t="s">
        <v>1772</v>
      </c>
      <c r="D797" s="433" t="s">
        <v>837</v>
      </c>
      <c r="E797" s="107" t="str">
        <f>VLOOKUP(B797&amp;C797,Divipola!$C$2:$F$1138,4,FALSE)</f>
        <v>81591</v>
      </c>
      <c r="F797" s="335"/>
      <c r="G797" s="221"/>
      <c r="H797" s="157"/>
      <c r="I797" s="157"/>
      <c r="J797" s="157">
        <v>332</v>
      </c>
      <c r="K797" s="157">
        <v>73</v>
      </c>
      <c r="L797" s="157"/>
      <c r="M797" s="157">
        <v>73</v>
      </c>
      <c r="N797" s="157"/>
      <c r="O797" s="157"/>
      <c r="P797" s="157"/>
      <c r="Q797" s="157"/>
      <c r="R797" s="157"/>
      <c r="S797" s="157"/>
      <c r="T797" s="157"/>
      <c r="U797" s="157"/>
      <c r="V797" s="158"/>
      <c r="W797" s="182"/>
      <c r="X797" s="1"/>
      <c r="Y797" s="78">
        <f t="shared" si="100"/>
        <v>0</v>
      </c>
      <c r="Z797" s="78">
        <f t="shared" si="101"/>
        <v>0</v>
      </c>
      <c r="AA797" s="78">
        <f t="shared" ref="AA797:AA828" si="106">DB797+DD797</f>
        <v>0</v>
      </c>
      <c r="AB797" s="78">
        <f t="shared" si="102"/>
        <v>0</v>
      </c>
      <c r="AC797" s="78"/>
      <c r="AD797" s="78">
        <v>0</v>
      </c>
      <c r="AE797" s="80">
        <f t="shared" si="105"/>
        <v>0</v>
      </c>
      <c r="AF797" s="82">
        <v>0</v>
      </c>
      <c r="AG797" s="69">
        <v>40441</v>
      </c>
      <c r="AH797" s="84"/>
      <c r="AI797" s="69" t="s">
        <v>2009</v>
      </c>
      <c r="AJ797" s="25" t="s">
        <v>2010</v>
      </c>
      <c r="AK797" s="65"/>
      <c r="AL797" s="214" t="s">
        <v>1674</v>
      </c>
      <c r="AM797" s="173" t="s">
        <v>5784</v>
      </c>
      <c r="AN797" s="159"/>
      <c r="AO797" s="160"/>
      <c r="AP797" s="161"/>
      <c r="AQ797" s="160"/>
      <c r="AR797" s="160"/>
      <c r="AS797" s="160"/>
      <c r="AT797" s="160"/>
      <c r="AU797" s="160"/>
      <c r="AV797" s="160"/>
      <c r="AW797" s="160"/>
      <c r="AX797" s="160"/>
      <c r="AY797" s="160"/>
      <c r="AZ797" s="160"/>
      <c r="BA797" s="160"/>
      <c r="BB797" s="160"/>
      <c r="BC797" s="160"/>
      <c r="BD797" s="160"/>
      <c r="BE797" s="160"/>
      <c r="BF797" s="160"/>
      <c r="BG797" s="160"/>
      <c r="BH797" s="160"/>
      <c r="BI797" s="160"/>
      <c r="BJ797" s="160"/>
      <c r="BK797" s="160"/>
      <c r="BL797" s="160"/>
      <c r="BM797" s="160"/>
      <c r="BN797" s="160"/>
      <c r="BO797" s="160"/>
      <c r="BP797" s="160"/>
      <c r="BQ797" s="160"/>
      <c r="BR797" s="160"/>
      <c r="BS797" s="160"/>
      <c r="BT797" s="160"/>
      <c r="BU797" s="160"/>
      <c r="BV797" s="160"/>
      <c r="BW797" s="160"/>
      <c r="BX797" s="160"/>
      <c r="BY797" s="160"/>
      <c r="BZ797" s="160"/>
      <c r="CA797" s="160"/>
      <c r="CB797" s="160"/>
      <c r="CC797" s="160"/>
      <c r="CD797" s="160"/>
      <c r="CE797" s="160"/>
      <c r="CF797" s="160"/>
      <c r="CG797" s="160"/>
      <c r="CH797" s="160"/>
      <c r="CI797" s="160"/>
      <c r="CJ797" s="160"/>
      <c r="CK797" s="160"/>
      <c r="CL797" s="160"/>
      <c r="CM797" s="160"/>
      <c r="CN797" s="160"/>
      <c r="CO797" s="160"/>
      <c r="CP797" s="162"/>
      <c r="CQ797" s="163"/>
      <c r="CR797" s="162"/>
      <c r="CS797" s="163"/>
      <c r="CT797" s="162"/>
      <c r="CU797" s="163"/>
      <c r="CV797" s="164">
        <f t="shared" si="103"/>
        <v>0</v>
      </c>
      <c r="CW797" s="165"/>
      <c r="CX797" s="166"/>
      <c r="CY797" s="167"/>
      <c r="CZ797" s="168"/>
      <c r="DA797" s="169"/>
      <c r="DB797" s="168"/>
      <c r="DC797" s="165"/>
      <c r="DD797" s="166"/>
      <c r="DE797" s="71"/>
      <c r="DF797" s="170"/>
      <c r="EO797" s="353" t="str">
        <f t="shared" si="98"/>
        <v>ARAUCA_PUERTO RONDON</v>
      </c>
      <c r="EP797" s="350"/>
      <c r="EQ797" s="350" t="s">
        <v>4515</v>
      </c>
      <c r="ER797" s="358" t="s">
        <v>4516</v>
      </c>
      <c r="ES797" s="350" t="s">
        <v>5469</v>
      </c>
      <c r="ET797" s="350" t="s">
        <v>3436</v>
      </c>
      <c r="EU797" s="350" t="str">
        <f t="shared" si="104"/>
        <v>Norte de Santander_El Zulia</v>
      </c>
    </row>
    <row r="798" spans="1:151" ht="156" x14ac:dyDescent="0.2">
      <c r="A798" s="242">
        <v>40371</v>
      </c>
      <c r="B798" s="107" t="s">
        <v>1951</v>
      </c>
      <c r="C798" s="107" t="s">
        <v>1989</v>
      </c>
      <c r="D798" s="427" t="s">
        <v>837</v>
      </c>
      <c r="E798" s="107" t="str">
        <f>VLOOKUP(B798&amp;C798,Divipola!$C$2:$F$1138,4,FALSE)</f>
        <v>08001</v>
      </c>
      <c r="F798" s="330"/>
      <c r="G798" s="224">
        <v>1</v>
      </c>
      <c r="H798" s="75"/>
      <c r="I798" s="75"/>
      <c r="J798" s="75">
        <f>2200*5</f>
        <v>11000</v>
      </c>
      <c r="K798" s="75">
        <v>2200</v>
      </c>
      <c r="L798" s="75">
        <v>34</v>
      </c>
      <c r="M798" s="75">
        <v>2166</v>
      </c>
      <c r="N798" s="75"/>
      <c r="O798" s="75"/>
      <c r="P798" s="75"/>
      <c r="Q798" s="75"/>
      <c r="R798" s="75"/>
      <c r="S798" s="75"/>
      <c r="T798" s="75">
        <v>4</v>
      </c>
      <c r="U798" s="75"/>
      <c r="V798" s="76"/>
      <c r="W798" s="205"/>
      <c r="X798" s="1">
        <v>40402</v>
      </c>
      <c r="Y798" s="78">
        <f t="shared" si="100"/>
        <v>51100000</v>
      </c>
      <c r="Z798" s="78">
        <f t="shared" si="101"/>
        <v>59500000</v>
      </c>
      <c r="AA798" s="78">
        <f t="shared" si="106"/>
        <v>0</v>
      </c>
      <c r="AB798" s="78">
        <f t="shared" si="102"/>
        <v>18000000</v>
      </c>
      <c r="AC798" s="78"/>
      <c r="AD798" s="78">
        <v>0</v>
      </c>
      <c r="AE798" s="80">
        <f t="shared" si="105"/>
        <v>128600000</v>
      </c>
      <c r="AF798" s="82">
        <v>0</v>
      </c>
      <c r="AG798" s="69"/>
      <c r="AH798" s="84">
        <v>36755</v>
      </c>
      <c r="AI798" s="69" t="s">
        <v>2009</v>
      </c>
      <c r="AJ798" s="25" t="s">
        <v>2010</v>
      </c>
      <c r="AK798" s="65">
        <v>241</v>
      </c>
      <c r="AL798" s="185" t="s">
        <v>1831</v>
      </c>
      <c r="AM798" s="85" t="s">
        <v>1769</v>
      </c>
      <c r="AN798" s="3"/>
      <c r="AO798" s="4"/>
      <c r="AP798" s="5"/>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6">
        <v>700</v>
      </c>
      <c r="CQ798" s="7">
        <f>700*37000</f>
        <v>25900000</v>
      </c>
      <c r="CR798" s="6">
        <v>700</v>
      </c>
      <c r="CS798" s="7">
        <f>700*36000</f>
        <v>25200000</v>
      </c>
      <c r="CT798" s="6"/>
      <c r="CU798" s="7"/>
      <c r="CV798" s="8">
        <f t="shared" si="103"/>
        <v>51100000</v>
      </c>
      <c r="CW798" s="9">
        <v>20000</v>
      </c>
      <c r="CX798" s="10">
        <f>20000*900</f>
        <v>18000000</v>
      </c>
      <c r="CY798" s="11">
        <v>700</v>
      </c>
      <c r="CZ798" s="12">
        <f>700*85000</f>
        <v>59500000</v>
      </c>
      <c r="DA798" s="29"/>
      <c r="DB798" s="12"/>
      <c r="DC798" s="9"/>
      <c r="DD798" s="10"/>
      <c r="DE798" s="71"/>
      <c r="EO798" s="353" t="str">
        <f t="shared" si="98"/>
        <v>ATLANTICO_BARRANQUILLA</v>
      </c>
      <c r="EP798" s="350"/>
      <c r="EQ798" s="350" t="s">
        <v>4515</v>
      </c>
      <c r="ER798" s="358" t="s">
        <v>4516</v>
      </c>
      <c r="ES798" s="350" t="s">
        <v>5470</v>
      </c>
      <c r="ET798" s="350" t="s">
        <v>3437</v>
      </c>
      <c r="EU798" s="350" t="str">
        <f t="shared" si="104"/>
        <v>Norte de Santander_Gramalote</v>
      </c>
    </row>
    <row r="799" spans="1:151" ht="48" x14ac:dyDescent="0.2">
      <c r="A799" s="242">
        <v>40371</v>
      </c>
      <c r="B799" s="107" t="s">
        <v>1951</v>
      </c>
      <c r="C799" s="107" t="s">
        <v>2008</v>
      </c>
      <c r="D799" s="427" t="s">
        <v>837</v>
      </c>
      <c r="E799" s="107">
        <f>VLOOKUP(B799&amp;C799,Divipola!$C$2:$F$1138,4,FALSE)</f>
        <v>8</v>
      </c>
      <c r="F799" s="330"/>
      <c r="G799" s="224"/>
      <c r="H799" s="75"/>
      <c r="I799" s="75"/>
      <c r="J799" s="75"/>
      <c r="K799" s="75"/>
      <c r="L799" s="75"/>
      <c r="M799" s="75"/>
      <c r="N799" s="75"/>
      <c r="O799" s="75"/>
      <c r="P799" s="75"/>
      <c r="Q799" s="75"/>
      <c r="R799" s="75"/>
      <c r="S799" s="75"/>
      <c r="T799" s="75"/>
      <c r="U799" s="75"/>
      <c r="V799" s="76"/>
      <c r="W799" s="205"/>
      <c r="X799" s="1">
        <v>40386</v>
      </c>
      <c r="Y799" s="78">
        <f t="shared" si="100"/>
        <v>94852000</v>
      </c>
      <c r="Z799" s="78">
        <f t="shared" si="101"/>
        <v>110500000</v>
      </c>
      <c r="AA799" s="78">
        <f t="shared" si="106"/>
        <v>0</v>
      </c>
      <c r="AB799" s="78">
        <f t="shared" si="102"/>
        <v>45000000</v>
      </c>
      <c r="AC799" s="78"/>
      <c r="AD799" s="78">
        <v>0</v>
      </c>
      <c r="AE799" s="80">
        <f t="shared" si="105"/>
        <v>250352000</v>
      </c>
      <c r="AF799" s="82">
        <v>0</v>
      </c>
      <c r="AG799" s="69">
        <v>40384</v>
      </c>
      <c r="AH799" s="94" t="s">
        <v>2794</v>
      </c>
      <c r="AI799" s="69" t="s">
        <v>2009</v>
      </c>
      <c r="AJ799" s="25" t="s">
        <v>2010</v>
      </c>
      <c r="AK799" s="88" t="s">
        <v>1906</v>
      </c>
      <c r="AL799" s="185" t="s">
        <v>1831</v>
      </c>
      <c r="AM799" s="85" t="s">
        <v>1782</v>
      </c>
      <c r="AN799" s="3"/>
      <c r="AO799" s="4"/>
      <c r="AP799" s="5"/>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6">
        <f>1000+300</f>
        <v>1300</v>
      </c>
      <c r="CQ799" s="7">
        <f>1000*36952+300*37000</f>
        <v>48052000</v>
      </c>
      <c r="CR799" s="6">
        <f>1000+300</f>
        <v>1300</v>
      </c>
      <c r="CS799" s="7">
        <f>1000*36000+300*36000</f>
        <v>46800000</v>
      </c>
      <c r="CT799" s="6"/>
      <c r="CU799" s="7"/>
      <c r="CV799" s="8">
        <f t="shared" si="103"/>
        <v>94852000</v>
      </c>
      <c r="CW799" s="9">
        <v>50000</v>
      </c>
      <c r="CX799" s="10">
        <f>50000*900</f>
        <v>45000000</v>
      </c>
      <c r="CY799" s="11">
        <f>1000+300</f>
        <v>1300</v>
      </c>
      <c r="CZ799" s="12">
        <f>1000*85000+300*85000</f>
        <v>110500000</v>
      </c>
      <c r="DA799" s="29"/>
      <c r="DB799" s="12"/>
      <c r="DC799" s="9"/>
      <c r="DD799" s="10"/>
      <c r="DE799" s="71"/>
      <c r="EO799" s="353" t="str">
        <f t="shared" si="98"/>
        <v>ATLANTICO_DEPARTAMENTO</v>
      </c>
      <c r="EP799" s="350"/>
      <c r="EQ799" s="350" t="s">
        <v>4515</v>
      </c>
      <c r="ER799" s="358" t="s">
        <v>4516</v>
      </c>
      <c r="ES799" s="350" t="s">
        <v>5471</v>
      </c>
      <c r="ET799" s="350" t="s">
        <v>3438</v>
      </c>
      <c r="EU799" s="350" t="str">
        <f t="shared" si="104"/>
        <v>Norte de Santander_Hacari</v>
      </c>
    </row>
    <row r="800" spans="1:151" ht="38.25" x14ac:dyDescent="0.2">
      <c r="A800" s="242">
        <v>40371</v>
      </c>
      <c r="B800" s="107" t="s">
        <v>1951</v>
      </c>
      <c r="C800" s="107" t="s">
        <v>974</v>
      </c>
      <c r="D800" s="427" t="s">
        <v>837</v>
      </c>
      <c r="E800" s="107" t="str">
        <f>VLOOKUP(B800&amp;C800,Divipola!$C$2:$F$1138,4,FALSE)</f>
        <v>08433</v>
      </c>
      <c r="F800" s="330"/>
      <c r="G800" s="224"/>
      <c r="H800" s="75"/>
      <c r="I800" s="75"/>
      <c r="J800" s="75">
        <v>20</v>
      </c>
      <c r="K800" s="75">
        <v>4</v>
      </c>
      <c r="L800" s="75"/>
      <c r="M800" s="75">
        <v>4</v>
      </c>
      <c r="N800" s="75"/>
      <c r="O800" s="75"/>
      <c r="P800" s="75"/>
      <c r="Q800" s="75"/>
      <c r="R800" s="75"/>
      <c r="S800" s="75"/>
      <c r="T800" s="75"/>
      <c r="U800" s="75"/>
      <c r="V800" s="76"/>
      <c r="W800" s="205"/>
      <c r="X800" s="1"/>
      <c r="Y800" s="78">
        <f t="shared" si="100"/>
        <v>0</v>
      </c>
      <c r="Z800" s="78">
        <f t="shared" si="101"/>
        <v>0</v>
      </c>
      <c r="AA800" s="78">
        <f t="shared" si="106"/>
        <v>0</v>
      </c>
      <c r="AB800" s="78">
        <f t="shared" si="102"/>
        <v>0</v>
      </c>
      <c r="AC800" s="78"/>
      <c r="AD800" s="78">
        <v>0</v>
      </c>
      <c r="AE800" s="80">
        <f t="shared" si="105"/>
        <v>0</v>
      </c>
      <c r="AF800" s="82">
        <v>0</v>
      </c>
      <c r="AG800" s="69">
        <v>40375</v>
      </c>
      <c r="AH800" s="84"/>
      <c r="AI800" s="69" t="s">
        <v>1984</v>
      </c>
      <c r="AJ800" s="25" t="s">
        <v>1985</v>
      </c>
      <c r="AK800" s="65"/>
      <c r="AL800" s="185" t="s">
        <v>1257</v>
      </c>
      <c r="AM800" s="85" t="s">
        <v>975</v>
      </c>
      <c r="AN800" s="3"/>
      <c r="AO800" s="4"/>
      <c r="AP800" s="5"/>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6"/>
      <c r="CQ800" s="7"/>
      <c r="CR800" s="6"/>
      <c r="CS800" s="7"/>
      <c r="CT800" s="6"/>
      <c r="CU800" s="7"/>
      <c r="CV800" s="8">
        <f t="shared" si="103"/>
        <v>0</v>
      </c>
      <c r="CW800" s="9"/>
      <c r="CX800" s="10"/>
      <c r="CY800" s="11"/>
      <c r="CZ800" s="12"/>
      <c r="DA800" s="29"/>
      <c r="DB800" s="12"/>
      <c r="DC800" s="9"/>
      <c r="DD800" s="10"/>
      <c r="DE800" s="71"/>
      <c r="EO800" s="353" t="str">
        <f t="shared" si="98"/>
        <v>ATLANTICO_MALAMBO</v>
      </c>
      <c r="EP800" s="350"/>
      <c r="EQ800" s="350" t="s">
        <v>4515</v>
      </c>
      <c r="ER800" s="358" t="s">
        <v>4516</v>
      </c>
      <c r="ES800" s="350" t="s">
        <v>5472</v>
      </c>
      <c r="ET800" s="350" t="s">
        <v>3439</v>
      </c>
      <c r="EU800" s="350" t="str">
        <f t="shared" si="104"/>
        <v>Norte de Santander_Herran</v>
      </c>
    </row>
    <row r="801" spans="1:151" ht="132" x14ac:dyDescent="0.2">
      <c r="A801" s="242">
        <v>40371</v>
      </c>
      <c r="B801" s="107" t="s">
        <v>1951</v>
      </c>
      <c r="C801" s="107" t="s">
        <v>678</v>
      </c>
      <c r="D801" s="427" t="s">
        <v>837</v>
      </c>
      <c r="E801" s="107" t="str">
        <f>VLOOKUP(B801&amp;C801,Divipola!$C$2:$F$1138,4,FALSE)</f>
        <v>08758</v>
      </c>
      <c r="F801" s="330"/>
      <c r="G801" s="224">
        <v>1</v>
      </c>
      <c r="H801" s="75"/>
      <c r="I801" s="75"/>
      <c r="J801" s="75">
        <f>1460*5</f>
        <v>7300</v>
      </c>
      <c r="K801" s="75">
        <v>1460</v>
      </c>
      <c r="L801" s="75"/>
      <c r="M801" s="75">
        <v>1460</v>
      </c>
      <c r="N801" s="75"/>
      <c r="O801" s="75"/>
      <c r="P801" s="75"/>
      <c r="Q801" s="75"/>
      <c r="R801" s="75"/>
      <c r="S801" s="75"/>
      <c r="T801" s="75"/>
      <c r="U801" s="75"/>
      <c r="V801" s="76"/>
      <c r="W801" s="205"/>
      <c r="X801" s="1">
        <v>40476</v>
      </c>
      <c r="Y801" s="78">
        <f t="shared" si="100"/>
        <v>77435400</v>
      </c>
      <c r="Z801" s="78">
        <f t="shared" si="101"/>
        <v>0</v>
      </c>
      <c r="AA801" s="78">
        <f t="shared" si="106"/>
        <v>0</v>
      </c>
      <c r="AB801" s="78">
        <f t="shared" si="102"/>
        <v>0</v>
      </c>
      <c r="AC801" s="78"/>
      <c r="AD801" s="78">
        <v>0</v>
      </c>
      <c r="AE801" s="80">
        <f t="shared" si="105"/>
        <v>77435400</v>
      </c>
      <c r="AF801" s="82">
        <v>0</v>
      </c>
      <c r="AG801" s="72">
        <v>40408</v>
      </c>
      <c r="AH801" s="83">
        <v>41544</v>
      </c>
      <c r="AI801" s="72" t="s">
        <v>2009</v>
      </c>
      <c r="AJ801" s="58" t="s">
        <v>2010</v>
      </c>
      <c r="AK801" s="64">
        <v>22559</v>
      </c>
      <c r="AL801" s="211" t="s">
        <v>1831</v>
      </c>
      <c r="AM801" s="172" t="s">
        <v>486</v>
      </c>
      <c r="AN801" s="3"/>
      <c r="AO801" s="4"/>
      <c r="AP801" s="5"/>
      <c r="AQ801" s="4"/>
      <c r="AR801" s="4"/>
      <c r="AS801" s="4"/>
      <c r="AT801" s="4"/>
      <c r="AU801" s="4"/>
      <c r="AV801" s="4"/>
      <c r="AW801" s="4"/>
      <c r="AX801" s="4"/>
      <c r="AY801" s="4"/>
      <c r="AZ801" s="4">
        <v>1300</v>
      </c>
      <c r="BA801" s="4">
        <f>1300*57758</f>
        <v>75085400</v>
      </c>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v>5</v>
      </c>
      <c r="CA801" s="4">
        <f>5*470000</f>
        <v>2350000</v>
      </c>
      <c r="CB801" s="4"/>
      <c r="CC801" s="4"/>
      <c r="CD801" s="4"/>
      <c r="CE801" s="4"/>
      <c r="CF801" s="4"/>
      <c r="CG801" s="4"/>
      <c r="CH801" s="4"/>
      <c r="CI801" s="4"/>
      <c r="CJ801" s="4"/>
      <c r="CK801" s="4"/>
      <c r="CL801" s="4"/>
      <c r="CM801" s="4"/>
      <c r="CN801" s="4"/>
      <c r="CO801" s="4"/>
      <c r="CP801" s="6"/>
      <c r="CQ801" s="7"/>
      <c r="CR801" s="6"/>
      <c r="CS801" s="7"/>
      <c r="CT801" s="6"/>
      <c r="CU801" s="7"/>
      <c r="CV801" s="8">
        <f t="shared" si="103"/>
        <v>77435400</v>
      </c>
      <c r="CW801" s="9"/>
      <c r="CX801" s="10"/>
      <c r="CY801" s="11"/>
      <c r="CZ801" s="12"/>
      <c r="DA801" s="29"/>
      <c r="DB801" s="12"/>
      <c r="DC801" s="9"/>
      <c r="DD801" s="10"/>
      <c r="DE801" s="71"/>
      <c r="EO801" s="353" t="str">
        <f t="shared" si="98"/>
        <v>ATLANTICO_SOLEDAD</v>
      </c>
      <c r="EP801" s="350"/>
      <c r="EQ801" s="350" t="s">
        <v>4515</v>
      </c>
      <c r="ER801" s="358" t="s">
        <v>4516</v>
      </c>
      <c r="ES801" s="350" t="s">
        <v>5473</v>
      </c>
      <c r="ET801" s="350" t="s">
        <v>3440</v>
      </c>
      <c r="EU801" s="350" t="str">
        <f t="shared" si="104"/>
        <v>Norte de Santander_Labateca</v>
      </c>
    </row>
    <row r="802" spans="1:151" ht="38.25" x14ac:dyDescent="0.2">
      <c r="A802" s="242">
        <v>40371</v>
      </c>
      <c r="B802" s="107" t="s">
        <v>828</v>
      </c>
      <c r="C802" s="107" t="s">
        <v>1775</v>
      </c>
      <c r="D802" s="427" t="s">
        <v>837</v>
      </c>
      <c r="E802" s="107" t="str">
        <f>VLOOKUP(B802&amp;C802,Divipola!$C$2:$F$1138,4,FALSE)</f>
        <v>15759</v>
      </c>
      <c r="F802" s="330"/>
      <c r="G802" s="224"/>
      <c r="H802" s="75"/>
      <c r="I802" s="75"/>
      <c r="J802" s="75">
        <f>171*5</f>
        <v>855</v>
      </c>
      <c r="K802" s="75">
        <v>171</v>
      </c>
      <c r="L802" s="75"/>
      <c r="M802" s="75">
        <v>30</v>
      </c>
      <c r="N802" s="75"/>
      <c r="O802" s="75"/>
      <c r="P802" s="75"/>
      <c r="Q802" s="75"/>
      <c r="R802" s="75"/>
      <c r="S802" s="75"/>
      <c r="T802" s="75"/>
      <c r="U802" s="75"/>
      <c r="V802" s="76"/>
      <c r="W802" s="205"/>
      <c r="X802" s="1"/>
      <c r="Y802" s="78">
        <f t="shared" si="100"/>
        <v>0</v>
      </c>
      <c r="Z802" s="78">
        <f t="shared" si="101"/>
        <v>0</v>
      </c>
      <c r="AA802" s="78">
        <f t="shared" si="106"/>
        <v>0</v>
      </c>
      <c r="AB802" s="78">
        <f t="shared" si="102"/>
        <v>0</v>
      </c>
      <c r="AC802" s="78"/>
      <c r="AD802" s="78">
        <v>0</v>
      </c>
      <c r="AE802" s="80">
        <f t="shared" si="105"/>
        <v>0</v>
      </c>
      <c r="AF802" s="82">
        <v>0</v>
      </c>
      <c r="AG802" s="69">
        <v>40343</v>
      </c>
      <c r="AH802" s="84"/>
      <c r="AI802" s="69" t="s">
        <v>1984</v>
      </c>
      <c r="AJ802" s="25" t="s">
        <v>1985</v>
      </c>
      <c r="AK802" s="65"/>
      <c r="AL802" s="185" t="s">
        <v>1257</v>
      </c>
      <c r="AM802" s="85" t="s">
        <v>1776</v>
      </c>
      <c r="AN802" s="3"/>
      <c r="AO802" s="4"/>
      <c r="AP802" s="5"/>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6"/>
      <c r="CQ802" s="7"/>
      <c r="CR802" s="6"/>
      <c r="CS802" s="7"/>
      <c r="CT802" s="6"/>
      <c r="CU802" s="7"/>
      <c r="CV802" s="8">
        <f t="shared" si="103"/>
        <v>0</v>
      </c>
      <c r="CW802" s="9"/>
      <c r="CX802" s="10"/>
      <c r="CY802" s="11"/>
      <c r="CZ802" s="12"/>
      <c r="DA802" s="29"/>
      <c r="DB802" s="12"/>
      <c r="DC802" s="9"/>
      <c r="DD802" s="10"/>
      <c r="DE802" s="71"/>
      <c r="EO802" s="353" t="str">
        <f t="shared" ref="EO802:EO857" si="107">B802&amp;"_"&amp;C802</f>
        <v>BOYACA_SOGAMOSO</v>
      </c>
      <c r="EP802" s="350"/>
      <c r="EQ802" s="350" t="s">
        <v>4515</v>
      </c>
      <c r="ER802" s="358" t="s">
        <v>4516</v>
      </c>
      <c r="ES802" s="350" t="s">
        <v>5474</v>
      </c>
      <c r="ET802" s="350" t="s">
        <v>3441</v>
      </c>
      <c r="EU802" s="350" t="str">
        <f t="shared" si="104"/>
        <v>Norte de Santander_La Esperanza</v>
      </c>
    </row>
    <row r="803" spans="1:151" ht="60" x14ac:dyDescent="0.2">
      <c r="A803" s="242">
        <v>40371</v>
      </c>
      <c r="B803" s="222" t="s">
        <v>828</v>
      </c>
      <c r="C803" s="222" t="s">
        <v>871</v>
      </c>
      <c r="D803" s="430" t="s">
        <v>2307</v>
      </c>
      <c r="E803" s="107" t="str">
        <f>VLOOKUP(B803&amp;C803,Divipola!$C$2:$F$1138,4,FALSE)</f>
        <v>15762</v>
      </c>
      <c r="F803" s="333"/>
      <c r="G803" s="221"/>
      <c r="H803" s="157"/>
      <c r="I803" s="157"/>
      <c r="J803" s="157">
        <f>52*5</f>
        <v>260</v>
      </c>
      <c r="K803" s="157">
        <v>52</v>
      </c>
      <c r="L803" s="157"/>
      <c r="M803" s="157">
        <v>52</v>
      </c>
      <c r="N803" s="157"/>
      <c r="O803" s="157"/>
      <c r="P803" s="157"/>
      <c r="Q803" s="157"/>
      <c r="R803" s="157"/>
      <c r="S803" s="157"/>
      <c r="T803" s="157"/>
      <c r="U803" s="157"/>
      <c r="V803" s="158"/>
      <c r="W803" s="182"/>
      <c r="X803" s="1"/>
      <c r="Y803" s="78">
        <f t="shared" si="100"/>
        <v>0</v>
      </c>
      <c r="Z803" s="78">
        <f t="shared" si="101"/>
        <v>0</v>
      </c>
      <c r="AA803" s="78">
        <f t="shared" si="106"/>
        <v>0</v>
      </c>
      <c r="AB803" s="78">
        <f t="shared" si="102"/>
        <v>0</v>
      </c>
      <c r="AC803" s="78"/>
      <c r="AD803" s="78">
        <v>0</v>
      </c>
      <c r="AE803" s="80">
        <f t="shared" si="105"/>
        <v>0</v>
      </c>
      <c r="AF803" s="82">
        <v>0</v>
      </c>
      <c r="AG803" s="69">
        <v>40589</v>
      </c>
      <c r="AH803" s="84"/>
      <c r="AI803" s="69" t="s">
        <v>1984</v>
      </c>
      <c r="AJ803" s="25" t="s">
        <v>1985</v>
      </c>
      <c r="AK803" s="65"/>
      <c r="AL803" s="176" t="s">
        <v>1257</v>
      </c>
      <c r="AM803" s="173" t="s">
        <v>452</v>
      </c>
      <c r="AN803" s="159"/>
      <c r="AO803" s="160"/>
      <c r="AP803" s="161"/>
      <c r="AQ803" s="160"/>
      <c r="AR803" s="160"/>
      <c r="AS803" s="160"/>
      <c r="AT803" s="160"/>
      <c r="AU803" s="160"/>
      <c r="AV803" s="160"/>
      <c r="AW803" s="160"/>
      <c r="AX803" s="160"/>
      <c r="AY803" s="160"/>
      <c r="AZ803" s="160"/>
      <c r="BA803" s="160"/>
      <c r="BB803" s="160"/>
      <c r="BC803" s="160"/>
      <c r="BD803" s="160"/>
      <c r="BE803" s="160"/>
      <c r="BF803" s="160"/>
      <c r="BG803" s="160"/>
      <c r="BH803" s="160"/>
      <c r="BI803" s="160"/>
      <c r="BJ803" s="160"/>
      <c r="BK803" s="160"/>
      <c r="BL803" s="160"/>
      <c r="BM803" s="160"/>
      <c r="BN803" s="160"/>
      <c r="BO803" s="160"/>
      <c r="BP803" s="160"/>
      <c r="BQ803" s="160"/>
      <c r="BR803" s="160"/>
      <c r="BS803" s="160"/>
      <c r="BT803" s="160"/>
      <c r="BU803" s="160"/>
      <c r="BV803" s="160"/>
      <c r="BW803" s="160"/>
      <c r="BX803" s="160"/>
      <c r="BY803" s="160"/>
      <c r="BZ803" s="160"/>
      <c r="CA803" s="160"/>
      <c r="CB803" s="160"/>
      <c r="CC803" s="160"/>
      <c r="CD803" s="160"/>
      <c r="CE803" s="160"/>
      <c r="CF803" s="160"/>
      <c r="CG803" s="160"/>
      <c r="CH803" s="160"/>
      <c r="CI803" s="160"/>
      <c r="CJ803" s="160"/>
      <c r="CK803" s="160"/>
      <c r="CL803" s="160"/>
      <c r="CM803" s="160"/>
      <c r="CN803" s="160"/>
      <c r="CO803" s="160"/>
      <c r="CP803" s="162"/>
      <c r="CQ803" s="163"/>
      <c r="CR803" s="162"/>
      <c r="CS803" s="163"/>
      <c r="CT803" s="162"/>
      <c r="CU803" s="163"/>
      <c r="CV803" s="164">
        <f t="shared" si="103"/>
        <v>0</v>
      </c>
      <c r="CW803" s="165"/>
      <c r="CX803" s="166"/>
      <c r="CY803" s="167"/>
      <c r="CZ803" s="168"/>
      <c r="DA803" s="169"/>
      <c r="DB803" s="168"/>
      <c r="DC803" s="165"/>
      <c r="DD803" s="166"/>
      <c r="DE803" s="71"/>
      <c r="DF803" s="170"/>
      <c r="EO803" s="353" t="str">
        <f t="shared" si="107"/>
        <v>BOYACA_SORA</v>
      </c>
      <c r="EP803" s="350"/>
      <c r="EQ803" s="350" t="s">
        <v>4515</v>
      </c>
      <c r="ER803" s="358" t="s">
        <v>4516</v>
      </c>
      <c r="ES803" s="350" t="s">
        <v>5475</v>
      </c>
      <c r="ET803" s="350" t="s">
        <v>3442</v>
      </c>
      <c r="EU803" s="350" t="str">
        <f t="shared" si="104"/>
        <v>Norte de Santander_La Playa</v>
      </c>
    </row>
    <row r="804" spans="1:151" ht="38.25" x14ac:dyDescent="0.2">
      <c r="A804" s="242">
        <v>40371</v>
      </c>
      <c r="B804" s="222" t="s">
        <v>828</v>
      </c>
      <c r="C804" s="222" t="s">
        <v>287</v>
      </c>
      <c r="D804" s="430" t="s">
        <v>2307</v>
      </c>
      <c r="E804" s="107" t="str">
        <f>VLOOKUP(B804&amp;C804,Divipola!$C$2:$F$1138,4,FALSE)</f>
        <v>15763</v>
      </c>
      <c r="F804" s="333"/>
      <c r="G804" s="221"/>
      <c r="H804" s="157"/>
      <c r="I804" s="157"/>
      <c r="J804" s="157">
        <v>150</v>
      </c>
      <c r="K804" s="157">
        <v>30</v>
      </c>
      <c r="L804" s="157"/>
      <c r="M804" s="157"/>
      <c r="N804" s="157"/>
      <c r="O804" s="157"/>
      <c r="P804" s="157"/>
      <c r="Q804" s="157"/>
      <c r="R804" s="157"/>
      <c r="S804" s="157"/>
      <c r="T804" s="157"/>
      <c r="U804" s="157"/>
      <c r="V804" s="158"/>
      <c r="W804" s="182"/>
      <c r="X804" s="1"/>
      <c r="Y804" s="78">
        <f t="shared" si="100"/>
        <v>0</v>
      </c>
      <c r="Z804" s="78">
        <f t="shared" si="101"/>
        <v>0</v>
      </c>
      <c r="AA804" s="78">
        <f t="shared" si="106"/>
        <v>0</v>
      </c>
      <c r="AB804" s="78">
        <f t="shared" si="102"/>
        <v>0</v>
      </c>
      <c r="AC804" s="78"/>
      <c r="AD804" s="78">
        <v>0</v>
      </c>
      <c r="AE804" s="80">
        <f t="shared" si="105"/>
        <v>0</v>
      </c>
      <c r="AF804" s="82">
        <v>0</v>
      </c>
      <c r="AG804" s="69">
        <v>40589</v>
      </c>
      <c r="AH804" s="84"/>
      <c r="AI804" s="69" t="s">
        <v>1984</v>
      </c>
      <c r="AJ804" s="25" t="s">
        <v>1985</v>
      </c>
      <c r="AK804" s="65"/>
      <c r="AL804" s="176" t="s">
        <v>1257</v>
      </c>
      <c r="AM804" s="173" t="s">
        <v>391</v>
      </c>
      <c r="AN804" s="159"/>
      <c r="AO804" s="160"/>
      <c r="AP804" s="161"/>
      <c r="AQ804" s="160"/>
      <c r="AR804" s="160"/>
      <c r="AS804" s="160"/>
      <c r="AT804" s="160"/>
      <c r="AU804" s="160"/>
      <c r="AV804" s="160"/>
      <c r="AW804" s="160"/>
      <c r="AX804" s="160"/>
      <c r="AY804" s="160"/>
      <c r="AZ804" s="160"/>
      <c r="BA804" s="160"/>
      <c r="BB804" s="160"/>
      <c r="BC804" s="160"/>
      <c r="BD804" s="160"/>
      <c r="BE804" s="160"/>
      <c r="BF804" s="160"/>
      <c r="BG804" s="160"/>
      <c r="BH804" s="160"/>
      <c r="BI804" s="160"/>
      <c r="BJ804" s="160"/>
      <c r="BK804" s="160"/>
      <c r="BL804" s="160"/>
      <c r="BM804" s="160"/>
      <c r="BN804" s="160"/>
      <c r="BO804" s="160"/>
      <c r="BP804" s="160"/>
      <c r="BQ804" s="160"/>
      <c r="BR804" s="160"/>
      <c r="BS804" s="160"/>
      <c r="BT804" s="160"/>
      <c r="BU804" s="160"/>
      <c r="BV804" s="160"/>
      <c r="BW804" s="160"/>
      <c r="BX804" s="160"/>
      <c r="BY804" s="160"/>
      <c r="BZ804" s="160"/>
      <c r="CA804" s="160"/>
      <c r="CB804" s="160"/>
      <c r="CC804" s="160"/>
      <c r="CD804" s="160"/>
      <c r="CE804" s="160"/>
      <c r="CF804" s="160"/>
      <c r="CG804" s="160"/>
      <c r="CH804" s="160"/>
      <c r="CI804" s="160"/>
      <c r="CJ804" s="160"/>
      <c r="CK804" s="160"/>
      <c r="CL804" s="160"/>
      <c r="CM804" s="160"/>
      <c r="CN804" s="160"/>
      <c r="CO804" s="160"/>
      <c r="CP804" s="162"/>
      <c r="CQ804" s="163"/>
      <c r="CR804" s="162"/>
      <c r="CS804" s="163"/>
      <c r="CT804" s="162"/>
      <c r="CU804" s="163"/>
      <c r="CV804" s="164">
        <f t="shared" si="103"/>
        <v>0</v>
      </c>
      <c r="CW804" s="165"/>
      <c r="CX804" s="166"/>
      <c r="CY804" s="167"/>
      <c r="CZ804" s="168"/>
      <c r="DA804" s="169"/>
      <c r="DB804" s="168"/>
      <c r="DC804" s="165"/>
      <c r="DD804" s="166"/>
      <c r="DE804" s="71"/>
      <c r="DF804" s="170"/>
      <c r="EO804" s="353" t="str">
        <f t="shared" si="107"/>
        <v>BOYACA_SOTAQUIRA</v>
      </c>
      <c r="EP804" s="350"/>
      <c r="EQ804" s="350" t="s">
        <v>4515</v>
      </c>
      <c r="ER804" s="358" t="s">
        <v>4516</v>
      </c>
      <c r="ES804" s="350" t="s">
        <v>5477</v>
      </c>
      <c r="ET804" s="350" t="s">
        <v>3443</v>
      </c>
      <c r="EU804" s="350" t="str">
        <f t="shared" si="104"/>
        <v>Norte de Santander_Lourdes</v>
      </c>
    </row>
    <row r="805" spans="1:151" ht="38.25" x14ac:dyDescent="0.2">
      <c r="A805" s="242">
        <v>40371</v>
      </c>
      <c r="B805" s="107" t="s">
        <v>708</v>
      </c>
      <c r="C805" s="107" t="s">
        <v>2328</v>
      </c>
      <c r="D805" s="427" t="s">
        <v>837</v>
      </c>
      <c r="E805" s="107" t="str">
        <f>VLOOKUP(B805&amp;C805,Divipola!$C$2:$F$1138,4,FALSE)</f>
        <v>50001</v>
      </c>
      <c r="F805" s="330"/>
      <c r="G805" s="224"/>
      <c r="H805" s="75"/>
      <c r="I805" s="75"/>
      <c r="J805" s="75">
        <v>18</v>
      </c>
      <c r="K805" s="75">
        <v>3</v>
      </c>
      <c r="L805" s="75"/>
      <c r="M805" s="75">
        <v>3</v>
      </c>
      <c r="N805" s="75"/>
      <c r="O805" s="75"/>
      <c r="P805" s="75"/>
      <c r="Q805" s="75"/>
      <c r="R805" s="75"/>
      <c r="S805" s="75"/>
      <c r="T805" s="75"/>
      <c r="U805" s="75"/>
      <c r="V805" s="76"/>
      <c r="W805" s="205"/>
      <c r="X805" s="1"/>
      <c r="Y805" s="78">
        <f t="shared" si="100"/>
        <v>0</v>
      </c>
      <c r="Z805" s="78">
        <f t="shared" si="101"/>
        <v>0</v>
      </c>
      <c r="AA805" s="78">
        <f t="shared" si="106"/>
        <v>0</v>
      </c>
      <c r="AB805" s="78">
        <f t="shared" si="102"/>
        <v>0</v>
      </c>
      <c r="AC805" s="78"/>
      <c r="AD805" s="78">
        <v>0</v>
      </c>
      <c r="AE805" s="80">
        <f t="shared" si="105"/>
        <v>0</v>
      </c>
      <c r="AF805" s="82">
        <v>0</v>
      </c>
      <c r="AG805" s="69">
        <v>40343</v>
      </c>
      <c r="AH805" s="84"/>
      <c r="AI805" s="69" t="s">
        <v>1984</v>
      </c>
      <c r="AJ805" s="25" t="s">
        <v>1985</v>
      </c>
      <c r="AK805" s="65"/>
      <c r="AL805" s="185" t="s">
        <v>1257</v>
      </c>
      <c r="AM805" s="85" t="s">
        <v>1770</v>
      </c>
      <c r="AN805" s="3"/>
      <c r="AO805" s="4"/>
      <c r="AP805" s="5"/>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6"/>
      <c r="CQ805" s="7"/>
      <c r="CR805" s="6"/>
      <c r="CS805" s="7"/>
      <c r="CT805" s="6"/>
      <c r="CU805" s="7"/>
      <c r="CV805" s="8">
        <f t="shared" si="103"/>
        <v>0</v>
      </c>
      <c r="CW805" s="9"/>
      <c r="CX805" s="10"/>
      <c r="CY805" s="11"/>
      <c r="CZ805" s="12"/>
      <c r="DA805" s="29"/>
      <c r="DB805" s="12"/>
      <c r="DC805" s="9"/>
      <c r="DD805" s="10"/>
      <c r="DE805" s="71"/>
      <c r="EO805" s="353" t="str">
        <f t="shared" si="107"/>
        <v>META_VILLAVICENCIO</v>
      </c>
      <c r="EP805" s="350"/>
      <c r="EQ805" s="350" t="s">
        <v>4515</v>
      </c>
      <c r="ER805" s="358" t="s">
        <v>4516</v>
      </c>
      <c r="ES805" s="350" t="s">
        <v>5478</v>
      </c>
      <c r="ET805" s="350" t="s">
        <v>3444</v>
      </c>
      <c r="EU805" s="350" t="str">
        <f t="shared" si="104"/>
        <v>Norte de Santander_Mutiscua</v>
      </c>
    </row>
    <row r="806" spans="1:151" ht="108" x14ac:dyDescent="0.2">
      <c r="A806" s="242">
        <v>40371</v>
      </c>
      <c r="B806" s="107" t="s">
        <v>2245</v>
      </c>
      <c r="C806" s="107" t="s">
        <v>893</v>
      </c>
      <c r="D806" s="427" t="s">
        <v>837</v>
      </c>
      <c r="E806" s="107" t="str">
        <f>VLOOKUP(B806&amp;C806,Divipola!$C$2:$F$1138,4,FALSE)</f>
        <v>52079</v>
      </c>
      <c r="F806" s="330"/>
      <c r="G806" s="224"/>
      <c r="H806" s="75"/>
      <c r="I806" s="75"/>
      <c r="J806" s="75">
        <v>9130</v>
      </c>
      <c r="K806" s="75">
        <v>2001</v>
      </c>
      <c r="L806" s="75">
        <v>3</v>
      </c>
      <c r="M806" s="75">
        <v>1998</v>
      </c>
      <c r="N806" s="75"/>
      <c r="O806" s="75"/>
      <c r="P806" s="75"/>
      <c r="Q806" s="75"/>
      <c r="R806" s="75"/>
      <c r="S806" s="75"/>
      <c r="T806" s="75"/>
      <c r="U806" s="75"/>
      <c r="V806" s="76"/>
      <c r="W806" s="205"/>
      <c r="X806" s="1"/>
      <c r="Y806" s="78">
        <f t="shared" si="100"/>
        <v>0</v>
      </c>
      <c r="Z806" s="78">
        <f t="shared" si="101"/>
        <v>0</v>
      </c>
      <c r="AA806" s="78">
        <f t="shared" si="106"/>
        <v>0</v>
      </c>
      <c r="AB806" s="78">
        <f t="shared" si="102"/>
        <v>0</v>
      </c>
      <c r="AC806" s="78"/>
      <c r="AD806" s="78">
        <v>0</v>
      </c>
      <c r="AE806" s="80">
        <f t="shared" si="105"/>
        <v>0</v>
      </c>
      <c r="AF806" s="82">
        <v>0</v>
      </c>
      <c r="AG806" s="69">
        <v>40375</v>
      </c>
      <c r="AH806" s="84"/>
      <c r="AI806" s="69" t="s">
        <v>1984</v>
      </c>
      <c r="AJ806" s="25" t="s">
        <v>1985</v>
      </c>
      <c r="AK806" s="65"/>
      <c r="AL806" s="185" t="s">
        <v>1257</v>
      </c>
      <c r="AM806" s="85" t="s">
        <v>2695</v>
      </c>
      <c r="AN806" s="3"/>
      <c r="AO806" s="4"/>
      <c r="AP806" s="5"/>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6"/>
      <c r="CQ806" s="7"/>
      <c r="CR806" s="6"/>
      <c r="CS806" s="7"/>
      <c r="CT806" s="6"/>
      <c r="CU806" s="7"/>
      <c r="CV806" s="8">
        <f t="shared" si="103"/>
        <v>0</v>
      </c>
      <c r="CW806" s="9"/>
      <c r="CX806" s="10"/>
      <c r="CY806" s="11"/>
      <c r="CZ806" s="12"/>
      <c r="DA806" s="29"/>
      <c r="DB806" s="12"/>
      <c r="DC806" s="9"/>
      <c r="DD806" s="10"/>
      <c r="DE806" s="71"/>
      <c r="EO806" s="353" t="str">
        <f t="shared" si="107"/>
        <v>NARIÑO_BARBACOAS</v>
      </c>
      <c r="EP806" s="350"/>
      <c r="EQ806" s="350" t="s">
        <v>4515</v>
      </c>
      <c r="ER806" s="358" t="s">
        <v>4516</v>
      </c>
      <c r="ES806" s="350" t="s">
        <v>5479</v>
      </c>
      <c r="ET806" s="350" t="s">
        <v>3445</v>
      </c>
      <c r="EU806" s="350" t="str">
        <f t="shared" si="104"/>
        <v>Norte de Santander_Ocaña</v>
      </c>
    </row>
    <row r="807" spans="1:151" ht="60" x14ac:dyDescent="0.2">
      <c r="A807" s="242">
        <v>40371</v>
      </c>
      <c r="B807" s="107" t="s">
        <v>2245</v>
      </c>
      <c r="C807" s="107" t="s">
        <v>6309</v>
      </c>
      <c r="D807" s="427" t="s">
        <v>837</v>
      </c>
      <c r="E807" s="107" t="str">
        <f>VLOOKUP(B807&amp;C807,Divipola!$C$2:$F$1138,4,FALSE)</f>
        <v>52427</v>
      </c>
      <c r="F807" s="330"/>
      <c r="G807" s="224"/>
      <c r="H807" s="75"/>
      <c r="I807" s="75"/>
      <c r="J807" s="75">
        <v>9424</v>
      </c>
      <c r="K807" s="75">
        <v>2097</v>
      </c>
      <c r="L807" s="75"/>
      <c r="M807" s="75"/>
      <c r="N807" s="75"/>
      <c r="O807" s="75"/>
      <c r="P807" s="75"/>
      <c r="Q807" s="75"/>
      <c r="R807" s="75"/>
      <c r="S807" s="75"/>
      <c r="T807" s="75"/>
      <c r="U807" s="75"/>
      <c r="V807" s="76"/>
      <c r="W807" s="205"/>
      <c r="X807" s="1"/>
      <c r="Y807" s="78">
        <f t="shared" si="100"/>
        <v>0</v>
      </c>
      <c r="Z807" s="78">
        <f t="shared" si="101"/>
        <v>0</v>
      </c>
      <c r="AA807" s="78">
        <f t="shared" si="106"/>
        <v>0</v>
      </c>
      <c r="AB807" s="78">
        <f t="shared" si="102"/>
        <v>0</v>
      </c>
      <c r="AC807" s="78"/>
      <c r="AD807" s="78">
        <v>0</v>
      </c>
      <c r="AE807" s="80">
        <f t="shared" si="105"/>
        <v>0</v>
      </c>
      <c r="AF807" s="82">
        <v>0</v>
      </c>
      <c r="AG807" s="69">
        <v>40343</v>
      </c>
      <c r="AH807" s="84"/>
      <c r="AI807" s="69" t="s">
        <v>1984</v>
      </c>
      <c r="AJ807" s="25" t="s">
        <v>1985</v>
      </c>
      <c r="AK807" s="65"/>
      <c r="AL807" s="185" t="s">
        <v>1257</v>
      </c>
      <c r="AM807" s="85" t="s">
        <v>1771</v>
      </c>
      <c r="AN807" s="3"/>
      <c r="AO807" s="4"/>
      <c r="AP807" s="5"/>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6"/>
      <c r="CQ807" s="7"/>
      <c r="CR807" s="6"/>
      <c r="CS807" s="7"/>
      <c r="CT807" s="6"/>
      <c r="CU807" s="7"/>
      <c r="CV807" s="8">
        <f t="shared" si="103"/>
        <v>0</v>
      </c>
      <c r="CW807" s="9"/>
      <c r="CX807" s="10"/>
      <c r="CY807" s="11"/>
      <c r="CZ807" s="12"/>
      <c r="DA807" s="29"/>
      <c r="DB807" s="12"/>
      <c r="DC807" s="9"/>
      <c r="DD807" s="10"/>
      <c r="DE807" s="71"/>
      <c r="EO807" s="353" t="str">
        <f t="shared" si="107"/>
        <v>NARIÑO_MAGUI PAYAN</v>
      </c>
      <c r="EP807" s="350"/>
      <c r="EQ807" s="350" t="s">
        <v>4515</v>
      </c>
      <c r="ER807" s="358" t="s">
        <v>4516</v>
      </c>
      <c r="ES807" s="350" t="s">
        <v>5480</v>
      </c>
      <c r="ET807" s="350" t="s">
        <v>3446</v>
      </c>
      <c r="EU807" s="350" t="str">
        <f t="shared" si="104"/>
        <v>Norte de Santander_Pamplona</v>
      </c>
    </row>
    <row r="808" spans="1:151" ht="38.25" x14ac:dyDescent="0.2">
      <c r="A808" s="242">
        <v>40371</v>
      </c>
      <c r="B808" s="107" t="s">
        <v>2014</v>
      </c>
      <c r="C808" s="107" t="s">
        <v>2015</v>
      </c>
      <c r="D808" s="427" t="s">
        <v>1721</v>
      </c>
      <c r="E808" s="107" t="str">
        <f>VLOOKUP(B808&amp;C808,Divipola!$C$2:$F$1138,4,FALSE)</f>
        <v>63001</v>
      </c>
      <c r="F808" s="330"/>
      <c r="G808" s="224"/>
      <c r="H808" s="75"/>
      <c r="I808" s="75"/>
      <c r="J808" s="75">
        <v>1</v>
      </c>
      <c r="K808" s="75">
        <v>1</v>
      </c>
      <c r="L808" s="75">
        <v>1</v>
      </c>
      <c r="M808" s="75"/>
      <c r="N808" s="75"/>
      <c r="O808" s="75"/>
      <c r="P808" s="75"/>
      <c r="Q808" s="75"/>
      <c r="R808" s="75"/>
      <c r="S808" s="75"/>
      <c r="T808" s="75"/>
      <c r="U808" s="75"/>
      <c r="V808" s="76"/>
      <c r="W808" s="205"/>
      <c r="X808" s="1"/>
      <c r="Y808" s="78">
        <f t="shared" si="100"/>
        <v>0</v>
      </c>
      <c r="Z808" s="78">
        <f t="shared" si="101"/>
        <v>0</v>
      </c>
      <c r="AA808" s="78">
        <f t="shared" si="106"/>
        <v>0</v>
      </c>
      <c r="AB808" s="78">
        <f t="shared" si="102"/>
        <v>0</v>
      </c>
      <c r="AC808" s="78"/>
      <c r="AD808" s="78">
        <v>0</v>
      </c>
      <c r="AE808" s="80">
        <f t="shared" si="105"/>
        <v>0</v>
      </c>
      <c r="AF808" s="82">
        <v>0</v>
      </c>
      <c r="AG808" s="69">
        <v>40343</v>
      </c>
      <c r="AH808" s="84"/>
      <c r="AI808" s="69" t="s">
        <v>1984</v>
      </c>
      <c r="AJ808" s="25" t="s">
        <v>1985</v>
      </c>
      <c r="AK808" s="65"/>
      <c r="AL808" s="185" t="s">
        <v>1257</v>
      </c>
      <c r="AM808" s="85" t="s">
        <v>1472</v>
      </c>
      <c r="AN808" s="3"/>
      <c r="AO808" s="4"/>
      <c r="AP808" s="5"/>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6"/>
      <c r="CQ808" s="7"/>
      <c r="CR808" s="6"/>
      <c r="CS808" s="7"/>
      <c r="CT808" s="6"/>
      <c r="CU808" s="7"/>
      <c r="CV808" s="8">
        <f t="shared" si="103"/>
        <v>0</v>
      </c>
      <c r="CW808" s="9"/>
      <c r="CX808" s="10"/>
      <c r="CY808" s="11"/>
      <c r="CZ808" s="12"/>
      <c r="DA808" s="29"/>
      <c r="DB808" s="12"/>
      <c r="DC808" s="9"/>
      <c r="DD808" s="10"/>
      <c r="DE808" s="71"/>
      <c r="EO808" s="353" t="str">
        <f t="shared" si="107"/>
        <v>QUINDIO_ARMENIA</v>
      </c>
      <c r="EP808" s="350"/>
      <c r="EQ808" s="350" t="s">
        <v>4515</v>
      </c>
      <c r="ER808" s="358" t="s">
        <v>4516</v>
      </c>
      <c r="ES808" s="350" t="s">
        <v>5481</v>
      </c>
      <c r="ET808" s="350" t="s">
        <v>3447</v>
      </c>
      <c r="EU808" s="350" t="str">
        <f t="shared" si="104"/>
        <v>Norte de Santander_Pamplonita</v>
      </c>
    </row>
    <row r="809" spans="1:151" ht="51" x14ac:dyDescent="0.2">
      <c r="A809" s="242">
        <v>40371</v>
      </c>
      <c r="B809" s="107" t="s">
        <v>1972</v>
      </c>
      <c r="C809" s="107" t="s">
        <v>1972</v>
      </c>
      <c r="D809" s="427" t="s">
        <v>1721</v>
      </c>
      <c r="E809" s="107" t="str">
        <f>VLOOKUP(B809&amp;C809,Divipola!$C$2:$F$1138,4,FALSE)</f>
        <v>88001</v>
      </c>
      <c r="F809" s="330"/>
      <c r="G809" s="224"/>
      <c r="H809" s="75"/>
      <c r="I809" s="75"/>
      <c r="J809" s="75">
        <v>5</v>
      </c>
      <c r="K809" s="75">
        <v>1</v>
      </c>
      <c r="L809" s="75">
        <v>1</v>
      </c>
      <c r="M809" s="75"/>
      <c r="N809" s="75"/>
      <c r="O809" s="75"/>
      <c r="P809" s="75"/>
      <c r="Q809" s="75"/>
      <c r="R809" s="75"/>
      <c r="S809" s="75"/>
      <c r="T809" s="75"/>
      <c r="U809" s="75"/>
      <c r="V809" s="76"/>
      <c r="W809" s="205"/>
      <c r="X809" s="1"/>
      <c r="Y809" s="78">
        <f t="shared" si="100"/>
        <v>0</v>
      </c>
      <c r="Z809" s="78">
        <f t="shared" si="101"/>
        <v>0</v>
      </c>
      <c r="AA809" s="78">
        <f t="shared" si="106"/>
        <v>0</v>
      </c>
      <c r="AB809" s="78">
        <f t="shared" si="102"/>
        <v>0</v>
      </c>
      <c r="AC809" s="78"/>
      <c r="AD809" s="78">
        <v>0</v>
      </c>
      <c r="AE809" s="80">
        <f t="shared" si="105"/>
        <v>0</v>
      </c>
      <c r="AF809" s="82">
        <v>0</v>
      </c>
      <c r="AG809" s="69">
        <v>40343</v>
      </c>
      <c r="AH809" s="84"/>
      <c r="AI809" s="69" t="s">
        <v>1984</v>
      </c>
      <c r="AJ809" s="25" t="s">
        <v>1985</v>
      </c>
      <c r="AK809" s="65"/>
      <c r="AL809" s="185" t="s">
        <v>1257</v>
      </c>
      <c r="AM809" s="85" t="s">
        <v>1780</v>
      </c>
      <c r="AN809" s="3"/>
      <c r="AO809" s="4"/>
      <c r="AP809" s="5"/>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6"/>
      <c r="CQ809" s="7"/>
      <c r="CR809" s="6"/>
      <c r="CS809" s="7"/>
      <c r="CT809" s="6"/>
      <c r="CU809" s="7"/>
      <c r="CV809" s="8">
        <f t="shared" si="103"/>
        <v>0</v>
      </c>
      <c r="CW809" s="9"/>
      <c r="CX809" s="10"/>
      <c r="CY809" s="11"/>
      <c r="CZ809" s="12"/>
      <c r="DA809" s="29"/>
      <c r="DB809" s="12"/>
      <c r="DC809" s="9"/>
      <c r="DD809" s="10"/>
      <c r="DE809" s="71"/>
      <c r="EO809" s="353" t="str">
        <f t="shared" si="107"/>
        <v>SAN ANDRES_SAN ANDRES</v>
      </c>
      <c r="EP809" s="350"/>
      <c r="EQ809" s="350" t="s">
        <v>4515</v>
      </c>
      <c r="ER809" s="358" t="s">
        <v>4516</v>
      </c>
      <c r="ES809" s="350" t="s">
        <v>5482</v>
      </c>
      <c r="ET809" s="350" t="s">
        <v>3448</v>
      </c>
      <c r="EU809" s="350" t="str">
        <f t="shared" si="104"/>
        <v>Norte de Santander_Puerto Santander</v>
      </c>
    </row>
    <row r="810" spans="1:151" ht="72" x14ac:dyDescent="0.2">
      <c r="A810" s="242">
        <v>40372</v>
      </c>
      <c r="B810" s="222" t="s">
        <v>2014</v>
      </c>
      <c r="C810" s="222" t="s">
        <v>2008</v>
      </c>
      <c r="D810" s="430" t="s">
        <v>250</v>
      </c>
      <c r="E810" s="107">
        <f>VLOOKUP(B810&amp;C810,Divipola!$C$2:$F$1138,4,FALSE)</f>
        <v>63</v>
      </c>
      <c r="F810" s="333"/>
      <c r="G810" s="221"/>
      <c r="H810" s="157"/>
      <c r="I810" s="157"/>
      <c r="J810" s="157"/>
      <c r="K810" s="157"/>
      <c r="L810" s="157"/>
      <c r="M810" s="157"/>
      <c r="N810" s="157"/>
      <c r="O810" s="157"/>
      <c r="P810" s="157"/>
      <c r="Q810" s="157"/>
      <c r="R810" s="157"/>
      <c r="S810" s="157"/>
      <c r="T810" s="157"/>
      <c r="U810" s="157"/>
      <c r="V810" s="158"/>
      <c r="W810" s="182"/>
      <c r="X810" s="1">
        <v>40464</v>
      </c>
      <c r="Y810" s="78">
        <f t="shared" si="100"/>
        <v>0</v>
      </c>
      <c r="Z810" s="78">
        <f t="shared" si="101"/>
        <v>0</v>
      </c>
      <c r="AA810" s="78">
        <f t="shared" si="106"/>
        <v>0</v>
      </c>
      <c r="AB810" s="78">
        <f t="shared" si="102"/>
        <v>0</v>
      </c>
      <c r="AC810" s="78"/>
      <c r="AD810" s="78">
        <v>92066000</v>
      </c>
      <c r="AE810" s="80">
        <f t="shared" si="105"/>
        <v>92066000</v>
      </c>
      <c r="AF810" s="82">
        <v>0</v>
      </c>
      <c r="AG810" s="69">
        <v>40372</v>
      </c>
      <c r="AH810" s="84">
        <v>34445</v>
      </c>
      <c r="AI810" s="69" t="s">
        <v>2009</v>
      </c>
      <c r="AJ810" s="25" t="s">
        <v>2010</v>
      </c>
      <c r="AK810" s="65">
        <v>37144</v>
      </c>
      <c r="AL810" s="176" t="s">
        <v>3118</v>
      </c>
      <c r="AM810" s="177" t="s">
        <v>3119</v>
      </c>
      <c r="AN810" s="159"/>
      <c r="AO810" s="160"/>
      <c r="AP810" s="161"/>
      <c r="AQ810" s="160"/>
      <c r="AR810" s="160"/>
      <c r="AS810" s="160"/>
      <c r="AT810" s="160"/>
      <c r="AU810" s="160"/>
      <c r="AV810" s="160"/>
      <c r="AW810" s="160"/>
      <c r="AX810" s="160"/>
      <c r="AY810" s="160"/>
      <c r="AZ810" s="160"/>
      <c r="BA810" s="160"/>
      <c r="BB810" s="160"/>
      <c r="BC810" s="160"/>
      <c r="BD810" s="160"/>
      <c r="BE810" s="160"/>
      <c r="BF810" s="160"/>
      <c r="BG810" s="160"/>
      <c r="BH810" s="160"/>
      <c r="BI810" s="160"/>
      <c r="BJ810" s="160"/>
      <c r="BK810" s="160"/>
      <c r="BL810" s="160"/>
      <c r="BM810" s="160"/>
      <c r="BN810" s="160"/>
      <c r="BO810" s="160"/>
      <c r="BP810" s="160"/>
      <c r="BQ810" s="160"/>
      <c r="BR810" s="160"/>
      <c r="BS810" s="160"/>
      <c r="BT810" s="160"/>
      <c r="BU810" s="160"/>
      <c r="BV810" s="160"/>
      <c r="BW810" s="160"/>
      <c r="BX810" s="160"/>
      <c r="BY810" s="160"/>
      <c r="BZ810" s="160"/>
      <c r="CA810" s="160"/>
      <c r="CB810" s="160"/>
      <c r="CC810" s="160"/>
      <c r="CD810" s="160"/>
      <c r="CE810" s="160"/>
      <c r="CF810" s="160"/>
      <c r="CG810" s="160"/>
      <c r="CH810" s="160"/>
      <c r="CI810" s="160"/>
      <c r="CJ810" s="160"/>
      <c r="CK810" s="160"/>
      <c r="CL810" s="160"/>
      <c r="CM810" s="160"/>
      <c r="CN810" s="160"/>
      <c r="CO810" s="160"/>
      <c r="CP810" s="162"/>
      <c r="CQ810" s="163"/>
      <c r="CR810" s="162"/>
      <c r="CS810" s="163"/>
      <c r="CT810" s="162"/>
      <c r="CU810" s="163"/>
      <c r="CV810" s="164">
        <f t="shared" si="103"/>
        <v>0</v>
      </c>
      <c r="CW810" s="165"/>
      <c r="CX810" s="166"/>
      <c r="CY810" s="167"/>
      <c r="CZ810" s="168"/>
      <c r="DA810" s="169"/>
      <c r="DB810" s="168"/>
      <c r="DC810" s="165"/>
      <c r="DD810" s="166"/>
      <c r="DE810" s="71">
        <v>5</v>
      </c>
      <c r="DF810" s="170"/>
      <c r="EO810" s="353" t="str">
        <f t="shared" si="107"/>
        <v>QUINDIO_DEPARTAMENTO</v>
      </c>
      <c r="EP810" s="350"/>
      <c r="EQ810" s="350" t="s">
        <v>4515</v>
      </c>
      <c r="ER810" s="358" t="s">
        <v>4516</v>
      </c>
      <c r="ES810" s="350" t="s">
        <v>5483</v>
      </c>
      <c r="ET810" s="350" t="s">
        <v>3449</v>
      </c>
      <c r="EU810" s="350" t="str">
        <f t="shared" si="104"/>
        <v>Norte de Santander_Ragonvalia</v>
      </c>
    </row>
    <row r="811" spans="1:151" ht="38.25" x14ac:dyDescent="0.2">
      <c r="A811" s="242">
        <v>40372</v>
      </c>
      <c r="B811" s="107" t="s">
        <v>2012</v>
      </c>
      <c r="C811" s="107" t="s">
        <v>2761</v>
      </c>
      <c r="D811" s="427" t="s">
        <v>2307</v>
      </c>
      <c r="E811" s="107" t="str">
        <f>VLOOKUP(B811&amp;C811,Divipola!$C$2:$F$1138,4,FALSE)</f>
        <v>66045</v>
      </c>
      <c r="F811" s="330"/>
      <c r="G811" s="224"/>
      <c r="H811" s="75"/>
      <c r="I811" s="75"/>
      <c r="J811" s="75">
        <v>5</v>
      </c>
      <c r="K811" s="75">
        <v>1</v>
      </c>
      <c r="L811" s="75">
        <v>1</v>
      </c>
      <c r="M811" s="75"/>
      <c r="N811" s="75"/>
      <c r="O811" s="75"/>
      <c r="P811" s="75"/>
      <c r="Q811" s="75"/>
      <c r="R811" s="75"/>
      <c r="S811" s="75"/>
      <c r="T811" s="75"/>
      <c r="U811" s="75"/>
      <c r="V811" s="76"/>
      <c r="W811" s="205"/>
      <c r="X811" s="1"/>
      <c r="Y811" s="78">
        <f t="shared" si="100"/>
        <v>0</v>
      </c>
      <c r="Z811" s="78">
        <f t="shared" si="101"/>
        <v>0</v>
      </c>
      <c r="AA811" s="78">
        <f t="shared" si="106"/>
        <v>0</v>
      </c>
      <c r="AB811" s="78">
        <f t="shared" si="102"/>
        <v>0</v>
      </c>
      <c r="AC811" s="78"/>
      <c r="AD811" s="78">
        <v>0</v>
      </c>
      <c r="AE811" s="80">
        <f t="shared" si="105"/>
        <v>0</v>
      </c>
      <c r="AF811" s="82">
        <v>0</v>
      </c>
      <c r="AG811" s="69">
        <v>40372</v>
      </c>
      <c r="AH811" s="84"/>
      <c r="AI811" s="69" t="s">
        <v>1984</v>
      </c>
      <c r="AJ811" s="25" t="s">
        <v>1985</v>
      </c>
      <c r="AK811" s="65"/>
      <c r="AL811" s="185" t="s">
        <v>1257</v>
      </c>
      <c r="AM811" s="85" t="s">
        <v>464</v>
      </c>
      <c r="AN811" s="3"/>
      <c r="AO811" s="4"/>
      <c r="AP811" s="5"/>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6"/>
      <c r="CQ811" s="7"/>
      <c r="CR811" s="6"/>
      <c r="CS811" s="7"/>
      <c r="CT811" s="6"/>
      <c r="CU811" s="7"/>
      <c r="CV811" s="8">
        <f t="shared" si="103"/>
        <v>0</v>
      </c>
      <c r="CW811" s="9"/>
      <c r="CX811" s="10"/>
      <c r="CY811" s="11"/>
      <c r="CZ811" s="12"/>
      <c r="DA811" s="29"/>
      <c r="DB811" s="12"/>
      <c r="DC811" s="9"/>
      <c r="DD811" s="10"/>
      <c r="DE811" s="71"/>
      <c r="EO811" s="353" t="str">
        <f t="shared" si="107"/>
        <v>RISARALDA_APIA</v>
      </c>
      <c r="EP811" s="350"/>
      <c r="EQ811" s="350" t="s">
        <v>4515</v>
      </c>
      <c r="ER811" s="358" t="s">
        <v>4516</v>
      </c>
      <c r="ES811" s="350" t="s">
        <v>5484</v>
      </c>
      <c r="ET811" s="350" t="s">
        <v>3450</v>
      </c>
      <c r="EU811" s="350" t="str">
        <f t="shared" si="104"/>
        <v>Norte de Santander_Salazar</v>
      </c>
    </row>
    <row r="812" spans="1:151" ht="120" x14ac:dyDescent="0.2">
      <c r="A812" s="246">
        <v>40373</v>
      </c>
      <c r="B812" s="238" t="s">
        <v>2401</v>
      </c>
      <c r="C812" s="238" t="s">
        <v>1012</v>
      </c>
      <c r="D812" s="431" t="s">
        <v>2307</v>
      </c>
      <c r="E812" s="107" t="str">
        <f>VLOOKUP(B812&amp;C812,Divipola!$C$2:$F$1138,4,FALSE)</f>
        <v>05364</v>
      </c>
      <c r="F812" s="334"/>
      <c r="G812" s="224"/>
      <c r="H812" s="75"/>
      <c r="I812" s="75"/>
      <c r="J812" s="75">
        <v>145</v>
      </c>
      <c r="K812" s="75">
        <v>30</v>
      </c>
      <c r="L812" s="75"/>
      <c r="M812" s="75">
        <v>30</v>
      </c>
      <c r="N812" s="75">
        <v>1</v>
      </c>
      <c r="O812" s="75"/>
      <c r="P812" s="75"/>
      <c r="Q812" s="75"/>
      <c r="R812" s="75"/>
      <c r="S812" s="75"/>
      <c r="T812" s="75"/>
      <c r="U812" s="75"/>
      <c r="V812" s="76"/>
      <c r="W812" s="205"/>
      <c r="X812" s="1">
        <v>40388</v>
      </c>
      <c r="Y812" s="78">
        <f t="shared" si="100"/>
        <v>0</v>
      </c>
      <c r="Z812" s="78">
        <f t="shared" si="101"/>
        <v>0</v>
      </c>
      <c r="AA812" s="78">
        <f t="shared" si="106"/>
        <v>0</v>
      </c>
      <c r="AB812" s="78">
        <f t="shared" si="102"/>
        <v>0</v>
      </c>
      <c r="AC812" s="78"/>
      <c r="AD812" s="78">
        <v>67850933</v>
      </c>
      <c r="AE812" s="80">
        <f t="shared" si="105"/>
        <v>67850933</v>
      </c>
      <c r="AF812" s="82">
        <v>0</v>
      </c>
      <c r="AG812" s="69">
        <v>40375</v>
      </c>
      <c r="AH812" s="84">
        <v>35347</v>
      </c>
      <c r="AI812" s="69" t="s">
        <v>2009</v>
      </c>
      <c r="AJ812" s="25" t="s">
        <v>2010</v>
      </c>
      <c r="AK812" s="65">
        <v>384</v>
      </c>
      <c r="AL812" s="185" t="s">
        <v>1013</v>
      </c>
      <c r="AM812" s="85" t="s">
        <v>1029</v>
      </c>
      <c r="AN812" s="3"/>
      <c r="AO812" s="4"/>
      <c r="AP812" s="5"/>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6"/>
      <c r="CQ812" s="7"/>
      <c r="CR812" s="6"/>
      <c r="CS812" s="7"/>
      <c r="CT812" s="6"/>
      <c r="CU812" s="7"/>
      <c r="CV812" s="8">
        <f t="shared" si="103"/>
        <v>0</v>
      </c>
      <c r="CW812" s="9"/>
      <c r="CX812" s="10"/>
      <c r="CY812" s="11"/>
      <c r="CZ812" s="12"/>
      <c r="DA812" s="29"/>
      <c r="DB812" s="12"/>
      <c r="DC812" s="9"/>
      <c r="DD812" s="10"/>
      <c r="DE812" s="89" t="s">
        <v>844</v>
      </c>
      <c r="EO812" s="353" t="str">
        <f t="shared" si="107"/>
        <v>ANTIOQUIA_JARDIN</v>
      </c>
      <c r="EP812" s="350"/>
      <c r="EQ812" s="350" t="s">
        <v>4515</v>
      </c>
      <c r="ER812" s="358" t="s">
        <v>4516</v>
      </c>
      <c r="ES812" s="350" t="s">
        <v>5485</v>
      </c>
      <c r="ET812" s="350" t="s">
        <v>3451</v>
      </c>
      <c r="EU812" s="350" t="str">
        <f t="shared" si="104"/>
        <v>Norte de Santander_San Calixto</v>
      </c>
    </row>
    <row r="813" spans="1:151" ht="60" x14ac:dyDescent="0.2">
      <c r="A813" s="242">
        <v>40373</v>
      </c>
      <c r="B813" s="107" t="s">
        <v>2017</v>
      </c>
      <c r="C813" s="107" t="s">
        <v>1215</v>
      </c>
      <c r="D813" s="427" t="s">
        <v>2307</v>
      </c>
      <c r="E813" s="107" t="str">
        <f>VLOOKUP(B813&amp;C813,Divipola!$C$2:$F$1138,4,FALSE)</f>
        <v>13001</v>
      </c>
      <c r="F813" s="330"/>
      <c r="G813" s="224">
        <v>3</v>
      </c>
      <c r="H813" s="75"/>
      <c r="I813" s="75"/>
      <c r="J813" s="75">
        <f>61*5</f>
        <v>305</v>
      </c>
      <c r="K813" s="75">
        <v>61</v>
      </c>
      <c r="L813" s="75">
        <v>1</v>
      </c>
      <c r="M813" s="75">
        <v>60</v>
      </c>
      <c r="N813" s="75"/>
      <c r="O813" s="75"/>
      <c r="P813" s="75"/>
      <c r="Q813" s="75"/>
      <c r="R813" s="75"/>
      <c r="S813" s="75"/>
      <c r="T813" s="75"/>
      <c r="U813" s="75"/>
      <c r="V813" s="76"/>
      <c r="W813" s="205"/>
      <c r="X813" s="1"/>
      <c r="Y813" s="78">
        <f t="shared" si="100"/>
        <v>0</v>
      </c>
      <c r="Z813" s="78">
        <f t="shared" si="101"/>
        <v>0</v>
      </c>
      <c r="AA813" s="78">
        <f t="shared" si="106"/>
        <v>0</v>
      </c>
      <c r="AB813" s="78">
        <f t="shared" si="102"/>
        <v>0</v>
      </c>
      <c r="AC813" s="78"/>
      <c r="AD813" s="78">
        <v>0</v>
      </c>
      <c r="AE813" s="80">
        <f t="shared" si="105"/>
        <v>0</v>
      </c>
      <c r="AF813" s="82">
        <v>0</v>
      </c>
      <c r="AG813" s="69">
        <v>40375</v>
      </c>
      <c r="AH813" s="84"/>
      <c r="AI813" s="69" t="s">
        <v>1984</v>
      </c>
      <c r="AJ813" s="25" t="s">
        <v>1985</v>
      </c>
      <c r="AK813" s="65"/>
      <c r="AL813" s="185" t="s">
        <v>1257</v>
      </c>
      <c r="AM813" s="85" t="s">
        <v>968</v>
      </c>
      <c r="AN813" s="3"/>
      <c r="AO813" s="4"/>
      <c r="AP813" s="5"/>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6"/>
      <c r="CQ813" s="7"/>
      <c r="CR813" s="6"/>
      <c r="CS813" s="7"/>
      <c r="CT813" s="6"/>
      <c r="CU813" s="7"/>
      <c r="CV813" s="8">
        <f t="shared" si="103"/>
        <v>0</v>
      </c>
      <c r="CW813" s="9"/>
      <c r="CX813" s="10"/>
      <c r="CY813" s="11"/>
      <c r="CZ813" s="12"/>
      <c r="DA813" s="29"/>
      <c r="DB813" s="12"/>
      <c r="DC813" s="9"/>
      <c r="DD813" s="10"/>
      <c r="DE813" s="71"/>
      <c r="EO813" s="353" t="str">
        <f t="shared" si="107"/>
        <v>BOLIVAR_CARTAGENA</v>
      </c>
      <c r="EP813" s="350"/>
      <c r="EQ813" s="350" t="s">
        <v>4515</v>
      </c>
      <c r="ER813" s="358" t="s">
        <v>4516</v>
      </c>
      <c r="ES813" s="350" t="s">
        <v>5486</v>
      </c>
      <c r="ET813" s="350" t="s">
        <v>3216</v>
      </c>
      <c r="EU813" s="350" t="str">
        <f t="shared" si="104"/>
        <v>Norte de Santander_San Cayetano</v>
      </c>
    </row>
    <row r="814" spans="1:151" ht="45" x14ac:dyDescent="0.2">
      <c r="A814" s="242">
        <v>40373</v>
      </c>
      <c r="B814" s="107" t="s">
        <v>1719</v>
      </c>
      <c r="C814" s="107" t="s">
        <v>3159</v>
      </c>
      <c r="D814" s="427" t="s">
        <v>837</v>
      </c>
      <c r="E814" s="107" t="str">
        <f>VLOOKUP(B814&amp;C814,Divipola!$C$2:$F$1138,4,FALSE)</f>
        <v>19845</v>
      </c>
      <c r="F814" s="330"/>
      <c r="G814" s="224"/>
      <c r="H814" s="75"/>
      <c r="I814" s="75"/>
      <c r="J814" s="75">
        <f>155*5</f>
        <v>775</v>
      </c>
      <c r="K814" s="75">
        <v>155</v>
      </c>
      <c r="L814" s="75"/>
      <c r="M814" s="75">
        <v>155</v>
      </c>
      <c r="N814" s="75"/>
      <c r="O814" s="75"/>
      <c r="P814" s="75"/>
      <c r="Q814" s="75"/>
      <c r="R814" s="75"/>
      <c r="S814" s="75"/>
      <c r="T814" s="75"/>
      <c r="U814" s="75"/>
      <c r="V814" s="76"/>
      <c r="W814" s="205"/>
      <c r="X814" s="1">
        <v>40466</v>
      </c>
      <c r="Y814" s="78">
        <f t="shared" si="100"/>
        <v>15399580</v>
      </c>
      <c r="Z814" s="78">
        <f t="shared" si="101"/>
        <v>16999692</v>
      </c>
      <c r="AA814" s="78">
        <f t="shared" si="106"/>
        <v>0</v>
      </c>
      <c r="AB814" s="78">
        <f t="shared" si="102"/>
        <v>0</v>
      </c>
      <c r="AC814" s="78"/>
      <c r="AD814" s="78">
        <v>0</v>
      </c>
      <c r="AE814" s="80">
        <f t="shared" si="105"/>
        <v>32399272</v>
      </c>
      <c r="AF814" s="82">
        <v>0</v>
      </c>
      <c r="AG814" s="69">
        <v>40396</v>
      </c>
      <c r="AH814" s="84">
        <v>39180</v>
      </c>
      <c r="AI814" s="69" t="s">
        <v>2009</v>
      </c>
      <c r="AJ814" s="25" t="s">
        <v>2010</v>
      </c>
      <c r="AK814" s="65">
        <v>22122</v>
      </c>
      <c r="AL814" s="185" t="s">
        <v>2182</v>
      </c>
      <c r="AM814" s="85" t="s">
        <v>1885</v>
      </c>
      <c r="AN814" s="3"/>
      <c r="AO814" s="4"/>
      <c r="AP814" s="5"/>
      <c r="AQ814" s="4"/>
      <c r="AR814" s="4"/>
      <c r="AS814" s="4"/>
      <c r="AT814" s="4"/>
      <c r="AU814" s="4"/>
      <c r="AV814" s="4">
        <v>200</v>
      </c>
      <c r="AW814" s="4">
        <f>200*20998.32</f>
        <v>4199664</v>
      </c>
      <c r="AX814" s="4"/>
      <c r="AY814" s="4"/>
      <c r="AZ814" s="4">
        <v>200</v>
      </c>
      <c r="BA814" s="4">
        <f>200*55999.58</f>
        <v>11199916</v>
      </c>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6"/>
      <c r="CQ814" s="7"/>
      <c r="CR814" s="6"/>
      <c r="CS814" s="7"/>
      <c r="CT814" s="6"/>
      <c r="CU814" s="7"/>
      <c r="CV814" s="8">
        <f t="shared" si="103"/>
        <v>15399580</v>
      </c>
      <c r="CW814" s="9"/>
      <c r="CX814" s="10"/>
      <c r="CY814" s="11">
        <v>200</v>
      </c>
      <c r="CZ814" s="12">
        <f>200*84998.46</f>
        <v>16999692</v>
      </c>
      <c r="DA814" s="29"/>
      <c r="DB814" s="12"/>
      <c r="DC814" s="9"/>
      <c r="DD814" s="10"/>
      <c r="DE814" s="71"/>
      <c r="EO814" s="353" t="str">
        <f t="shared" si="107"/>
        <v>CAUCA_VILLA RICA</v>
      </c>
      <c r="EP814" s="350"/>
      <c r="EQ814" s="350" t="s">
        <v>4515</v>
      </c>
      <c r="ER814" s="358" t="s">
        <v>4516</v>
      </c>
      <c r="ES814" s="350" t="s">
        <v>5487</v>
      </c>
      <c r="ET814" s="350" t="s">
        <v>3452</v>
      </c>
      <c r="EU814" s="350" t="str">
        <f t="shared" si="104"/>
        <v>Norte de Santander_Santiago</v>
      </c>
    </row>
    <row r="815" spans="1:151" ht="38.25" x14ac:dyDescent="0.2">
      <c r="A815" s="242">
        <v>40373</v>
      </c>
      <c r="B815" s="107" t="s">
        <v>2012</v>
      </c>
      <c r="C815" s="107" t="s">
        <v>2260</v>
      </c>
      <c r="D815" s="427" t="s">
        <v>837</v>
      </c>
      <c r="E815" s="107" t="str">
        <f>VLOOKUP(B815&amp;C815,Divipola!$C$2:$F$1138,4,FALSE)</f>
        <v>66170</v>
      </c>
      <c r="F815" s="330"/>
      <c r="G815" s="224"/>
      <c r="H815" s="75"/>
      <c r="I815" s="75"/>
      <c r="J815" s="75">
        <f>326*5</f>
        <v>1630</v>
      </c>
      <c r="K815" s="75">
        <f>340-14</f>
        <v>326</v>
      </c>
      <c r="L815" s="75">
        <v>106</v>
      </c>
      <c r="M815" s="75">
        <v>203</v>
      </c>
      <c r="N815" s="75"/>
      <c r="O815" s="75"/>
      <c r="P815" s="75">
        <v>4</v>
      </c>
      <c r="Q815" s="75">
        <v>2</v>
      </c>
      <c r="R815" s="75">
        <v>2</v>
      </c>
      <c r="S815" s="75"/>
      <c r="T815" s="75"/>
      <c r="U815" s="75"/>
      <c r="V815" s="76">
        <v>81</v>
      </c>
      <c r="W815" s="205" t="s">
        <v>465</v>
      </c>
      <c r="X815" s="1"/>
      <c r="Y815" s="78">
        <f t="shared" si="100"/>
        <v>0</v>
      </c>
      <c r="Z815" s="78">
        <f t="shared" si="101"/>
        <v>0</v>
      </c>
      <c r="AA815" s="78">
        <f t="shared" si="106"/>
        <v>0</v>
      </c>
      <c r="AB815" s="78">
        <f t="shared" si="102"/>
        <v>0</v>
      </c>
      <c r="AC815" s="78"/>
      <c r="AD815" s="78">
        <v>0</v>
      </c>
      <c r="AE815" s="80">
        <f t="shared" si="105"/>
        <v>0</v>
      </c>
      <c r="AF815" s="82">
        <v>0</v>
      </c>
      <c r="AG815" s="69">
        <v>40375</v>
      </c>
      <c r="AH815" s="84"/>
      <c r="AI815" s="69" t="s">
        <v>1984</v>
      </c>
      <c r="AJ815" s="25" t="s">
        <v>1985</v>
      </c>
      <c r="AK815" s="65"/>
      <c r="AL815" s="185" t="s">
        <v>1257</v>
      </c>
      <c r="AM815" s="85" t="s">
        <v>970</v>
      </c>
      <c r="AN815" s="3"/>
      <c r="AO815" s="4"/>
      <c r="AP815" s="5"/>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6"/>
      <c r="CQ815" s="7"/>
      <c r="CR815" s="6"/>
      <c r="CS815" s="7"/>
      <c r="CT815" s="6"/>
      <c r="CU815" s="7"/>
      <c r="CV815" s="8">
        <f t="shared" si="103"/>
        <v>0</v>
      </c>
      <c r="CW815" s="9"/>
      <c r="CX815" s="10"/>
      <c r="CY815" s="11"/>
      <c r="CZ815" s="12"/>
      <c r="DA815" s="29"/>
      <c r="DB815" s="12"/>
      <c r="DC815" s="9"/>
      <c r="DD815" s="10"/>
      <c r="DE815" s="71"/>
      <c r="EO815" s="353" t="str">
        <f t="shared" si="107"/>
        <v>RISARALDA_DOSQUEBRADAS</v>
      </c>
      <c r="EP815" s="350"/>
      <c r="EQ815" s="350" t="s">
        <v>4515</v>
      </c>
      <c r="ER815" s="358" t="s">
        <v>4516</v>
      </c>
      <c r="ES815" s="350" t="s">
        <v>5488</v>
      </c>
      <c r="ET815" s="350" t="s">
        <v>3453</v>
      </c>
      <c r="EU815" s="350" t="str">
        <f t="shared" si="104"/>
        <v>Norte de Santander_Sardinata</v>
      </c>
    </row>
    <row r="816" spans="1:151" ht="60" x14ac:dyDescent="0.2">
      <c r="A816" s="242">
        <v>40373</v>
      </c>
      <c r="B816" s="107" t="s">
        <v>2012</v>
      </c>
      <c r="C816" s="107" t="s">
        <v>1853</v>
      </c>
      <c r="D816" s="427" t="s">
        <v>2307</v>
      </c>
      <c r="E816" s="107" t="str">
        <f>VLOOKUP(B816&amp;C816,Divipola!$C$2:$F$1138,4,FALSE)</f>
        <v>66318</v>
      </c>
      <c r="F816" s="330"/>
      <c r="G816" s="224"/>
      <c r="H816" s="75"/>
      <c r="I816" s="75"/>
      <c r="J816" s="75">
        <v>50</v>
      </c>
      <c r="K816" s="75">
        <v>10</v>
      </c>
      <c r="L816" s="75"/>
      <c r="M816" s="75">
        <v>10</v>
      </c>
      <c r="N816" s="75"/>
      <c r="O816" s="75"/>
      <c r="P816" s="75"/>
      <c r="Q816" s="75"/>
      <c r="R816" s="75"/>
      <c r="S816" s="75"/>
      <c r="T816" s="75"/>
      <c r="U816" s="75"/>
      <c r="V816" s="76"/>
      <c r="W816" s="205" t="s">
        <v>1855</v>
      </c>
      <c r="X816" s="1"/>
      <c r="Y816" s="78">
        <f t="shared" si="100"/>
        <v>0</v>
      </c>
      <c r="Z816" s="78">
        <f t="shared" si="101"/>
        <v>0</v>
      </c>
      <c r="AA816" s="78">
        <f t="shared" si="106"/>
        <v>0</v>
      </c>
      <c r="AB816" s="78">
        <f t="shared" si="102"/>
        <v>0</v>
      </c>
      <c r="AC816" s="78"/>
      <c r="AD816" s="78">
        <v>0</v>
      </c>
      <c r="AE816" s="80">
        <f t="shared" si="105"/>
        <v>0</v>
      </c>
      <c r="AF816" s="82">
        <v>0</v>
      </c>
      <c r="AG816" s="69">
        <v>40373</v>
      </c>
      <c r="AH816" s="84"/>
      <c r="AI816" s="69" t="s">
        <v>1984</v>
      </c>
      <c r="AJ816" s="25" t="s">
        <v>1985</v>
      </c>
      <c r="AK816" s="65"/>
      <c r="AL816" s="185" t="s">
        <v>1257</v>
      </c>
      <c r="AM816" s="85" t="s">
        <v>1854</v>
      </c>
      <c r="AN816" s="3"/>
      <c r="AO816" s="4"/>
      <c r="AP816" s="5"/>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6"/>
      <c r="CQ816" s="7"/>
      <c r="CR816" s="6"/>
      <c r="CS816" s="7"/>
      <c r="CT816" s="6"/>
      <c r="CU816" s="7"/>
      <c r="CV816" s="8">
        <f t="shared" si="103"/>
        <v>0</v>
      </c>
      <c r="CW816" s="9"/>
      <c r="CX816" s="10"/>
      <c r="CY816" s="11"/>
      <c r="CZ816" s="12"/>
      <c r="DA816" s="29"/>
      <c r="DB816" s="12"/>
      <c r="DC816" s="9"/>
      <c r="DD816" s="10"/>
      <c r="DE816" s="71"/>
      <c r="EO816" s="353" t="str">
        <f t="shared" si="107"/>
        <v>RISARALDA_GUATICA</v>
      </c>
      <c r="EP816" s="350"/>
      <c r="EQ816" s="350" t="s">
        <v>4515</v>
      </c>
      <c r="ER816" s="358" t="s">
        <v>4516</v>
      </c>
      <c r="ES816" s="350" t="s">
        <v>5489</v>
      </c>
      <c r="ET816" s="350" t="s">
        <v>3454</v>
      </c>
      <c r="EU816" s="350" t="str">
        <f t="shared" si="104"/>
        <v>Norte de Santander_Silos</v>
      </c>
    </row>
    <row r="817" spans="1:151" ht="38.25" x14ac:dyDescent="0.2">
      <c r="A817" s="242">
        <v>40373</v>
      </c>
      <c r="B817" s="107" t="s">
        <v>2012</v>
      </c>
      <c r="C817" s="107" t="s">
        <v>2433</v>
      </c>
      <c r="D817" s="427" t="s">
        <v>2307</v>
      </c>
      <c r="E817" s="107" t="str">
        <f>VLOOKUP(B817&amp;C817,Divipola!$C$2:$F$1138,4,FALSE)</f>
        <v>66001</v>
      </c>
      <c r="F817" s="330"/>
      <c r="G817" s="224"/>
      <c r="H817" s="75"/>
      <c r="I817" s="75"/>
      <c r="J817" s="75">
        <v>10</v>
      </c>
      <c r="K817" s="75">
        <v>2</v>
      </c>
      <c r="L817" s="75">
        <v>1</v>
      </c>
      <c r="M817" s="75">
        <v>1</v>
      </c>
      <c r="N817" s="75"/>
      <c r="O817" s="75"/>
      <c r="P817" s="75"/>
      <c r="Q817" s="75"/>
      <c r="R817" s="75"/>
      <c r="S817" s="75"/>
      <c r="T817" s="75"/>
      <c r="U817" s="75"/>
      <c r="V817" s="76"/>
      <c r="W817" s="205"/>
      <c r="X817" s="1"/>
      <c r="Y817" s="78">
        <f t="shared" si="100"/>
        <v>0</v>
      </c>
      <c r="Z817" s="78">
        <f t="shared" si="101"/>
        <v>0</v>
      </c>
      <c r="AA817" s="78">
        <f t="shared" si="106"/>
        <v>0</v>
      </c>
      <c r="AB817" s="78">
        <f t="shared" si="102"/>
        <v>0</v>
      </c>
      <c r="AC817" s="78"/>
      <c r="AD817" s="78">
        <v>0</v>
      </c>
      <c r="AE817" s="80">
        <f t="shared" si="105"/>
        <v>0</v>
      </c>
      <c r="AF817" s="82">
        <v>0</v>
      </c>
      <c r="AG817" s="72">
        <v>40375</v>
      </c>
      <c r="AH817" s="83"/>
      <c r="AI817" s="72" t="s">
        <v>1984</v>
      </c>
      <c r="AJ817" s="58" t="s">
        <v>1985</v>
      </c>
      <c r="AK817" s="64"/>
      <c r="AL817" s="185" t="s">
        <v>1257</v>
      </c>
      <c r="AM817" s="85" t="s">
        <v>971</v>
      </c>
      <c r="AN817" s="3"/>
      <c r="AO817" s="4"/>
      <c r="AP817" s="5"/>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6"/>
      <c r="CQ817" s="7"/>
      <c r="CR817" s="6"/>
      <c r="CS817" s="7"/>
      <c r="CT817" s="6"/>
      <c r="CU817" s="7"/>
      <c r="CV817" s="8">
        <f t="shared" si="103"/>
        <v>0</v>
      </c>
      <c r="CW817" s="9"/>
      <c r="CX817" s="10"/>
      <c r="CY817" s="11"/>
      <c r="CZ817" s="12"/>
      <c r="DA817" s="29"/>
      <c r="DB817" s="12"/>
      <c r="DC817" s="9"/>
      <c r="DD817" s="10"/>
      <c r="DE817" s="71"/>
      <c r="EO817" s="353" t="str">
        <f t="shared" si="107"/>
        <v>RISARALDA_PEREIRA</v>
      </c>
      <c r="EP817" s="350"/>
      <c r="EQ817" s="350" t="s">
        <v>4515</v>
      </c>
      <c r="ER817" s="358" t="s">
        <v>4516</v>
      </c>
      <c r="ES817" s="350" t="s">
        <v>5490</v>
      </c>
      <c r="ET817" s="350" t="s">
        <v>3455</v>
      </c>
      <c r="EU817" s="350" t="str">
        <f t="shared" si="104"/>
        <v>Norte de Santander_Teorama</v>
      </c>
    </row>
    <row r="818" spans="1:151" ht="63.75" x14ac:dyDescent="0.2">
      <c r="A818" s="242">
        <v>40373</v>
      </c>
      <c r="B818" s="107" t="s">
        <v>1462</v>
      </c>
      <c r="C818" s="107" t="s">
        <v>1944</v>
      </c>
      <c r="D818" s="427" t="s">
        <v>2209</v>
      </c>
      <c r="E818" s="107" t="str">
        <f>VLOOKUP(B818&amp;C818,Divipola!$C$2:$F$1138,4,FALSE)</f>
        <v>76109</v>
      </c>
      <c r="F818" s="330"/>
      <c r="G818" s="224"/>
      <c r="H818" s="75"/>
      <c r="I818" s="75"/>
      <c r="J818" s="75">
        <v>115</v>
      </c>
      <c r="K818" s="75">
        <v>23</v>
      </c>
      <c r="L818" s="75"/>
      <c r="M818" s="75">
        <v>23</v>
      </c>
      <c r="N818" s="75"/>
      <c r="O818" s="75"/>
      <c r="P818" s="75"/>
      <c r="Q818" s="75"/>
      <c r="R818" s="75"/>
      <c r="S818" s="75"/>
      <c r="T818" s="75"/>
      <c r="U818" s="75"/>
      <c r="V818" s="76"/>
      <c r="W818" s="205"/>
      <c r="X818" s="1"/>
      <c r="Y818" s="78">
        <f t="shared" si="100"/>
        <v>0</v>
      </c>
      <c r="Z818" s="78">
        <f t="shared" si="101"/>
        <v>0</v>
      </c>
      <c r="AA818" s="78">
        <f t="shared" si="106"/>
        <v>0</v>
      </c>
      <c r="AB818" s="78">
        <f t="shared" si="102"/>
        <v>0</v>
      </c>
      <c r="AC818" s="78"/>
      <c r="AD818" s="78">
        <v>0</v>
      </c>
      <c r="AE818" s="80">
        <f t="shared" si="105"/>
        <v>0</v>
      </c>
      <c r="AF818" s="82">
        <v>0</v>
      </c>
      <c r="AG818" s="69">
        <v>40375</v>
      </c>
      <c r="AH818" s="84"/>
      <c r="AI818" s="69" t="s">
        <v>1984</v>
      </c>
      <c r="AJ818" s="25" t="s">
        <v>1985</v>
      </c>
      <c r="AK818" s="65"/>
      <c r="AL818" s="185" t="s">
        <v>1257</v>
      </c>
      <c r="AM818" s="85" t="s">
        <v>969</v>
      </c>
      <c r="AN818" s="3"/>
      <c r="AO818" s="4"/>
      <c r="AP818" s="5"/>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6"/>
      <c r="CQ818" s="7"/>
      <c r="CR818" s="6"/>
      <c r="CS818" s="7"/>
      <c r="CT818" s="6"/>
      <c r="CU818" s="7"/>
      <c r="CV818" s="8">
        <f t="shared" si="103"/>
        <v>0</v>
      </c>
      <c r="CW818" s="9"/>
      <c r="CX818" s="10"/>
      <c r="CY818" s="11"/>
      <c r="CZ818" s="12"/>
      <c r="DA818" s="29"/>
      <c r="DB818" s="12"/>
      <c r="DC818" s="9"/>
      <c r="DD818" s="10"/>
      <c r="DE818" s="71"/>
      <c r="EO818" s="353" t="str">
        <f t="shared" si="107"/>
        <v>VALLE DEL CAUCA_BUENAVENTURA</v>
      </c>
      <c r="EP818" s="350"/>
      <c r="EQ818" s="350" t="s">
        <v>4515</v>
      </c>
      <c r="ER818" s="358" t="s">
        <v>4516</v>
      </c>
      <c r="ES818" s="350" t="s">
        <v>5491</v>
      </c>
      <c r="ET818" s="350" t="s">
        <v>3456</v>
      </c>
      <c r="EU818" s="350" t="str">
        <f t="shared" si="104"/>
        <v>Norte de Santander_Tibu</v>
      </c>
    </row>
    <row r="819" spans="1:151" ht="38.25" x14ac:dyDescent="0.2">
      <c r="A819" s="246">
        <v>40374</v>
      </c>
      <c r="B819" s="238" t="s">
        <v>2401</v>
      </c>
      <c r="C819" s="238" t="s">
        <v>2264</v>
      </c>
      <c r="D819" s="431" t="s">
        <v>2307</v>
      </c>
      <c r="E819" s="107" t="str">
        <f>VLOOKUP(B819&amp;C819,Divipola!$C$2:$F$1138,4,FALSE)</f>
        <v>05736</v>
      </c>
      <c r="F819" s="334"/>
      <c r="G819" s="224"/>
      <c r="H819" s="75"/>
      <c r="I819" s="75"/>
      <c r="J819" s="75">
        <v>30</v>
      </c>
      <c r="K819" s="75">
        <v>6</v>
      </c>
      <c r="L819" s="75"/>
      <c r="M819" s="75">
        <v>6</v>
      </c>
      <c r="N819" s="75"/>
      <c r="O819" s="75"/>
      <c r="P819" s="75"/>
      <c r="Q819" s="75"/>
      <c r="R819" s="75"/>
      <c r="S819" s="75"/>
      <c r="T819" s="75"/>
      <c r="U819" s="75"/>
      <c r="V819" s="76"/>
      <c r="W819" s="205"/>
      <c r="X819" s="1"/>
      <c r="Y819" s="78">
        <f t="shared" si="100"/>
        <v>0</v>
      </c>
      <c r="Z819" s="78">
        <f t="shared" si="101"/>
        <v>0</v>
      </c>
      <c r="AA819" s="78">
        <f t="shared" si="106"/>
        <v>0</v>
      </c>
      <c r="AB819" s="78">
        <f t="shared" si="102"/>
        <v>0</v>
      </c>
      <c r="AC819" s="78"/>
      <c r="AD819" s="78">
        <v>0</v>
      </c>
      <c r="AE819" s="80">
        <f t="shared" si="105"/>
        <v>0</v>
      </c>
      <c r="AF819" s="82">
        <v>0</v>
      </c>
      <c r="AG819" s="69">
        <v>40375</v>
      </c>
      <c r="AH819" s="84"/>
      <c r="AI819" s="69" t="s">
        <v>1984</v>
      </c>
      <c r="AJ819" s="25" t="s">
        <v>1985</v>
      </c>
      <c r="AK819" s="65"/>
      <c r="AL819" s="185" t="s">
        <v>1257</v>
      </c>
      <c r="AM819" s="85" t="s">
        <v>2787</v>
      </c>
      <c r="AN819" s="3"/>
      <c r="AO819" s="4"/>
      <c r="AP819" s="5"/>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6"/>
      <c r="CQ819" s="7"/>
      <c r="CR819" s="6"/>
      <c r="CS819" s="7"/>
      <c r="CT819" s="6"/>
      <c r="CU819" s="7"/>
      <c r="CV819" s="8">
        <f t="shared" si="103"/>
        <v>0</v>
      </c>
      <c r="CW819" s="9"/>
      <c r="CX819" s="10"/>
      <c r="CY819" s="11"/>
      <c r="CZ819" s="12"/>
      <c r="DA819" s="29"/>
      <c r="DB819" s="12"/>
      <c r="DC819" s="9"/>
      <c r="DD819" s="10"/>
      <c r="DE819" s="71"/>
      <c r="EO819" s="353" t="str">
        <f t="shared" si="107"/>
        <v>ANTIOQUIA_SEGOVIA</v>
      </c>
      <c r="EP819" s="350"/>
      <c r="EQ819" s="350" t="s">
        <v>4515</v>
      </c>
      <c r="ER819" s="358" t="s">
        <v>4516</v>
      </c>
      <c r="ES819" s="350" t="s">
        <v>5492</v>
      </c>
      <c r="ET819" s="350" t="s">
        <v>5938</v>
      </c>
      <c r="EU819" s="350" t="str">
        <f t="shared" si="104"/>
        <v>Norte de Santander_Toledo</v>
      </c>
    </row>
    <row r="820" spans="1:151" ht="132" x14ac:dyDescent="0.2">
      <c r="A820" s="242">
        <v>40374</v>
      </c>
      <c r="B820" s="222" t="s">
        <v>828</v>
      </c>
      <c r="C820" s="222" t="s">
        <v>2008</v>
      </c>
      <c r="D820" s="430" t="s">
        <v>837</v>
      </c>
      <c r="E820" s="107">
        <f>VLOOKUP(B820&amp;C820,Divipola!$C$2:$F$1138,4,FALSE)</f>
        <v>15</v>
      </c>
      <c r="F820" s="333"/>
      <c r="G820" s="221"/>
      <c r="H820" s="157"/>
      <c r="I820" s="157"/>
      <c r="J820" s="157"/>
      <c r="K820" s="157"/>
      <c r="L820" s="157"/>
      <c r="M820" s="157"/>
      <c r="N820" s="157"/>
      <c r="O820" s="157"/>
      <c r="P820" s="157"/>
      <c r="Q820" s="157"/>
      <c r="R820" s="157"/>
      <c r="S820" s="157"/>
      <c r="T820" s="157"/>
      <c r="U820" s="157"/>
      <c r="V820" s="158"/>
      <c r="W820" s="182"/>
      <c r="X820" s="1">
        <v>40480</v>
      </c>
      <c r="Y820" s="78">
        <f t="shared" si="100"/>
        <v>76652000</v>
      </c>
      <c r="Z820" s="78">
        <f t="shared" si="101"/>
        <v>85000000</v>
      </c>
      <c r="AA820" s="78">
        <f t="shared" si="106"/>
        <v>0</v>
      </c>
      <c r="AB820" s="78">
        <f t="shared" si="102"/>
        <v>0</v>
      </c>
      <c r="AC820" s="78"/>
      <c r="AD820" s="78">
        <v>80000000</v>
      </c>
      <c r="AE820" s="80">
        <f t="shared" si="105"/>
        <v>241652000</v>
      </c>
      <c r="AF820" s="82">
        <v>0</v>
      </c>
      <c r="AG820" s="69">
        <v>40480</v>
      </c>
      <c r="AH820" s="84">
        <v>45198</v>
      </c>
      <c r="AI820" s="69" t="s">
        <v>2009</v>
      </c>
      <c r="AJ820" s="25" t="s">
        <v>2010</v>
      </c>
      <c r="AK820" s="65">
        <v>23125</v>
      </c>
      <c r="AL820" s="184" t="s">
        <v>1678</v>
      </c>
      <c r="AM820" s="173" t="s">
        <v>2900</v>
      </c>
      <c r="AN820" s="159"/>
      <c r="AO820" s="160"/>
      <c r="AP820" s="161"/>
      <c r="AQ820" s="160"/>
      <c r="AR820" s="160"/>
      <c r="AS820" s="160"/>
      <c r="AT820" s="160"/>
      <c r="AU820" s="160"/>
      <c r="AV820" s="160"/>
      <c r="AW820" s="160"/>
      <c r="AX820" s="160"/>
      <c r="AY820" s="160"/>
      <c r="AZ820" s="160"/>
      <c r="BA820" s="160"/>
      <c r="BB820" s="160"/>
      <c r="BC820" s="160"/>
      <c r="BD820" s="160"/>
      <c r="BE820" s="160"/>
      <c r="BF820" s="160"/>
      <c r="BG820" s="160"/>
      <c r="BH820" s="160"/>
      <c r="BI820" s="160"/>
      <c r="BJ820" s="160"/>
      <c r="BK820" s="160"/>
      <c r="BL820" s="160"/>
      <c r="BM820" s="160"/>
      <c r="BN820" s="160"/>
      <c r="BO820" s="160"/>
      <c r="BP820" s="160"/>
      <c r="BQ820" s="160"/>
      <c r="BR820" s="160"/>
      <c r="BS820" s="160"/>
      <c r="BT820" s="160"/>
      <c r="BU820" s="160"/>
      <c r="BV820" s="160"/>
      <c r="BW820" s="160"/>
      <c r="BX820" s="160"/>
      <c r="BY820" s="160"/>
      <c r="BZ820" s="160"/>
      <c r="CA820" s="160"/>
      <c r="CB820" s="160"/>
      <c r="CC820" s="160"/>
      <c r="CD820" s="160"/>
      <c r="CE820" s="160"/>
      <c r="CF820" s="160"/>
      <c r="CG820" s="160"/>
      <c r="CH820" s="160"/>
      <c r="CI820" s="160"/>
      <c r="CJ820" s="160"/>
      <c r="CK820" s="160"/>
      <c r="CL820" s="160"/>
      <c r="CM820" s="160"/>
      <c r="CN820" s="160"/>
      <c r="CO820" s="160"/>
      <c r="CP820" s="162">
        <v>1000</v>
      </c>
      <c r="CQ820" s="163">
        <f>1000*36952</f>
        <v>36952000</v>
      </c>
      <c r="CR820" s="162">
        <v>1000</v>
      </c>
      <c r="CS820" s="163">
        <f>1000*39700</f>
        <v>39700000</v>
      </c>
      <c r="CT820" s="162"/>
      <c r="CU820" s="163"/>
      <c r="CV820" s="164">
        <f t="shared" si="103"/>
        <v>76652000</v>
      </c>
      <c r="CW820" s="165"/>
      <c r="CX820" s="166"/>
      <c r="CY820" s="167">
        <v>1000</v>
      </c>
      <c r="CZ820" s="168">
        <f>1000*85000</f>
        <v>85000000</v>
      </c>
      <c r="DA820" s="169"/>
      <c r="DB820" s="168"/>
      <c r="DC820" s="165"/>
      <c r="DD820" s="166"/>
      <c r="DE820" s="71">
        <v>2</v>
      </c>
      <c r="DF820" s="170"/>
      <c r="EO820" s="353" t="str">
        <f t="shared" si="107"/>
        <v>BOYACA_DEPARTAMENTO</v>
      </c>
      <c r="EP820" s="350"/>
      <c r="EQ820" s="350" t="s">
        <v>4515</v>
      </c>
      <c r="ER820" s="358" t="s">
        <v>4516</v>
      </c>
      <c r="ES820" s="350" t="s">
        <v>5493</v>
      </c>
      <c r="ET820" s="350" t="s">
        <v>3457</v>
      </c>
      <c r="EU820" s="350" t="str">
        <f t="shared" si="104"/>
        <v>Norte de Santander_Villa Caro</v>
      </c>
    </row>
    <row r="821" spans="1:151" ht="51" x14ac:dyDescent="0.2">
      <c r="A821" s="242">
        <v>40374</v>
      </c>
      <c r="B821" s="107" t="s">
        <v>828</v>
      </c>
      <c r="C821" s="107" t="s">
        <v>2347</v>
      </c>
      <c r="D821" s="427" t="s">
        <v>837</v>
      </c>
      <c r="E821" s="107" t="str">
        <f>VLOOKUP(B821&amp;C821,Divipola!$C$2:$F$1138,4,FALSE)</f>
        <v>15238</v>
      </c>
      <c r="F821" s="330"/>
      <c r="G821" s="224"/>
      <c r="H821" s="75"/>
      <c r="I821" s="75"/>
      <c r="J821" s="75">
        <f>60*5</f>
        <v>300</v>
      </c>
      <c r="K821" s="75">
        <v>60</v>
      </c>
      <c r="L821" s="75">
        <v>1</v>
      </c>
      <c r="M821" s="75">
        <v>38</v>
      </c>
      <c r="N821" s="75"/>
      <c r="O821" s="75"/>
      <c r="P821" s="75"/>
      <c r="Q821" s="75"/>
      <c r="R821" s="75"/>
      <c r="S821" s="75"/>
      <c r="T821" s="75"/>
      <c r="U821" s="75"/>
      <c r="V821" s="76">
        <v>770</v>
      </c>
      <c r="W821" s="205"/>
      <c r="X821" s="1"/>
      <c r="Y821" s="78">
        <f t="shared" si="100"/>
        <v>0</v>
      </c>
      <c r="Z821" s="78">
        <f t="shared" si="101"/>
        <v>0</v>
      </c>
      <c r="AA821" s="78">
        <f t="shared" si="106"/>
        <v>0</v>
      </c>
      <c r="AB821" s="78">
        <f t="shared" si="102"/>
        <v>0</v>
      </c>
      <c r="AC821" s="78"/>
      <c r="AD821" s="78">
        <v>0</v>
      </c>
      <c r="AE821" s="80">
        <f t="shared" si="105"/>
        <v>0</v>
      </c>
      <c r="AF821" s="82">
        <v>0</v>
      </c>
      <c r="AG821" s="69">
        <v>40379</v>
      </c>
      <c r="AH821" s="84"/>
      <c r="AI821" s="69" t="s">
        <v>2009</v>
      </c>
      <c r="AJ821" s="25" t="s">
        <v>2010</v>
      </c>
      <c r="AK821" s="65"/>
      <c r="AL821" s="184" t="s">
        <v>1678</v>
      </c>
      <c r="AM821" s="85" t="s">
        <v>2128</v>
      </c>
      <c r="AN821" s="3"/>
      <c r="AO821" s="4"/>
      <c r="AP821" s="5"/>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6"/>
      <c r="CQ821" s="7"/>
      <c r="CR821" s="6"/>
      <c r="CS821" s="7"/>
      <c r="CT821" s="6"/>
      <c r="CU821" s="7"/>
      <c r="CV821" s="8">
        <f t="shared" si="103"/>
        <v>0</v>
      </c>
      <c r="CW821" s="9"/>
      <c r="CX821" s="10"/>
      <c r="CY821" s="11"/>
      <c r="CZ821" s="12"/>
      <c r="DA821" s="29"/>
      <c r="DB821" s="12"/>
      <c r="DC821" s="9"/>
      <c r="DD821" s="10"/>
      <c r="DE821" s="71"/>
      <c r="EO821" s="353" t="str">
        <f t="shared" si="107"/>
        <v>BOYACA_DUITAMA</v>
      </c>
      <c r="EP821" s="350"/>
      <c r="EQ821" s="350" t="s">
        <v>4515</v>
      </c>
      <c r="ER821" s="358" t="s">
        <v>4516</v>
      </c>
      <c r="ES821" s="350" t="s">
        <v>5494</v>
      </c>
      <c r="ET821" s="350" t="s">
        <v>3458</v>
      </c>
      <c r="EU821" s="350" t="str">
        <f t="shared" si="104"/>
        <v>Norte de Santander_Villa del Rosario</v>
      </c>
    </row>
    <row r="822" spans="1:151" ht="36" x14ac:dyDescent="0.2">
      <c r="A822" s="242">
        <v>40374</v>
      </c>
      <c r="B822" s="236" t="s">
        <v>828</v>
      </c>
      <c r="C822" s="236" t="s">
        <v>2348</v>
      </c>
      <c r="D822" s="433" t="s">
        <v>837</v>
      </c>
      <c r="E822" s="107" t="str">
        <f>VLOOKUP(B822&amp;C822,Divipola!$C$2:$F$1138,4,FALSE)</f>
        <v>15272</v>
      </c>
      <c r="F822" s="335"/>
      <c r="G822" s="221"/>
      <c r="H822" s="157"/>
      <c r="I822" s="157"/>
      <c r="J822" s="157">
        <f>35*5</f>
        <v>175</v>
      </c>
      <c r="K822" s="157">
        <v>35</v>
      </c>
      <c r="L822" s="157"/>
      <c r="M822" s="157">
        <v>35</v>
      </c>
      <c r="N822" s="157"/>
      <c r="O822" s="157"/>
      <c r="P822" s="157"/>
      <c r="Q822" s="157"/>
      <c r="R822" s="157"/>
      <c r="S822" s="157"/>
      <c r="T822" s="157"/>
      <c r="U822" s="157"/>
      <c r="V822" s="158"/>
      <c r="W822" s="182"/>
      <c r="X822" s="1"/>
      <c r="Y822" s="78">
        <f t="shared" si="100"/>
        <v>0</v>
      </c>
      <c r="Z822" s="78">
        <f t="shared" si="101"/>
        <v>0</v>
      </c>
      <c r="AA822" s="78">
        <f t="shared" si="106"/>
        <v>0</v>
      </c>
      <c r="AB822" s="78">
        <f t="shared" si="102"/>
        <v>0</v>
      </c>
      <c r="AC822" s="78"/>
      <c r="AD822" s="78">
        <v>0</v>
      </c>
      <c r="AE822" s="80">
        <f t="shared" si="105"/>
        <v>0</v>
      </c>
      <c r="AF822" s="82">
        <v>0</v>
      </c>
      <c r="AG822" s="69">
        <v>40441</v>
      </c>
      <c r="AH822" s="84"/>
      <c r="AI822" s="69" t="s">
        <v>2009</v>
      </c>
      <c r="AJ822" s="25" t="s">
        <v>2010</v>
      </c>
      <c r="AK822" s="65"/>
      <c r="AL822" s="184" t="s">
        <v>1678</v>
      </c>
      <c r="AM822" s="173" t="s">
        <v>1430</v>
      </c>
      <c r="AN822" s="159"/>
      <c r="AO822" s="160"/>
      <c r="AP822" s="161"/>
      <c r="AQ822" s="160"/>
      <c r="AR822" s="160"/>
      <c r="AS822" s="160"/>
      <c r="AT822" s="160"/>
      <c r="AU822" s="160"/>
      <c r="AV822" s="160"/>
      <c r="AW822" s="160"/>
      <c r="AX822" s="160"/>
      <c r="AY822" s="160"/>
      <c r="AZ822" s="160"/>
      <c r="BA822" s="160"/>
      <c r="BB822" s="160"/>
      <c r="BC822" s="160"/>
      <c r="BD822" s="160"/>
      <c r="BE822" s="160"/>
      <c r="BF822" s="160"/>
      <c r="BG822" s="160"/>
      <c r="BH822" s="160"/>
      <c r="BI822" s="160"/>
      <c r="BJ822" s="160"/>
      <c r="BK822" s="160"/>
      <c r="BL822" s="160"/>
      <c r="BM822" s="160"/>
      <c r="BN822" s="160"/>
      <c r="BO822" s="160"/>
      <c r="BP822" s="160"/>
      <c r="BQ822" s="160"/>
      <c r="BR822" s="160"/>
      <c r="BS822" s="160"/>
      <c r="BT822" s="160"/>
      <c r="BU822" s="160"/>
      <c r="BV822" s="160"/>
      <c r="BW822" s="160"/>
      <c r="BX822" s="160"/>
      <c r="BY822" s="160"/>
      <c r="BZ822" s="160"/>
      <c r="CA822" s="160"/>
      <c r="CB822" s="160"/>
      <c r="CC822" s="160"/>
      <c r="CD822" s="160"/>
      <c r="CE822" s="160"/>
      <c r="CF822" s="160"/>
      <c r="CG822" s="160"/>
      <c r="CH822" s="160"/>
      <c r="CI822" s="160"/>
      <c r="CJ822" s="160"/>
      <c r="CK822" s="160"/>
      <c r="CL822" s="160"/>
      <c r="CM822" s="160"/>
      <c r="CN822" s="160"/>
      <c r="CO822" s="160"/>
      <c r="CP822" s="162"/>
      <c r="CQ822" s="163"/>
      <c r="CR822" s="162"/>
      <c r="CS822" s="163"/>
      <c r="CT822" s="162"/>
      <c r="CU822" s="163"/>
      <c r="CV822" s="164">
        <f t="shared" si="103"/>
        <v>0</v>
      </c>
      <c r="CW822" s="165"/>
      <c r="CX822" s="166"/>
      <c r="CY822" s="167"/>
      <c r="CZ822" s="168"/>
      <c r="DA822" s="169"/>
      <c r="DB822" s="168"/>
      <c r="DC822" s="165"/>
      <c r="DD822" s="166"/>
      <c r="DE822" s="71"/>
      <c r="DF822" s="170"/>
      <c r="EO822" s="353" t="str">
        <f t="shared" si="107"/>
        <v>BOYACA_FIRAVITOBA</v>
      </c>
      <c r="EP822" s="350"/>
      <c r="EQ822" s="350" t="s">
        <v>4526</v>
      </c>
      <c r="ER822" s="358" t="s">
        <v>4527</v>
      </c>
      <c r="ES822" s="350" t="s">
        <v>5495</v>
      </c>
      <c r="ET822" s="350" t="s">
        <v>5844</v>
      </c>
      <c r="EU822" s="350" t="str">
        <f t="shared" si="104"/>
        <v>Quindio_Armenia</v>
      </c>
    </row>
    <row r="823" spans="1:151" ht="76.5" x14ac:dyDescent="0.2">
      <c r="A823" s="242">
        <v>40374</v>
      </c>
      <c r="B823" s="107" t="s">
        <v>828</v>
      </c>
      <c r="C823" s="107" t="s">
        <v>1849</v>
      </c>
      <c r="D823" s="427" t="s">
        <v>837</v>
      </c>
      <c r="E823" s="107" t="e">
        <f>VLOOKUP(B823&amp;C823,Divipola!$C$2:$F$1138,4,FALSE)</f>
        <v>#N/A</v>
      </c>
      <c r="F823" s="330"/>
      <c r="G823" s="224"/>
      <c r="H823" s="75"/>
      <c r="I823" s="75"/>
      <c r="J823" s="75"/>
      <c r="K823" s="75"/>
      <c r="L823" s="75"/>
      <c r="M823" s="75"/>
      <c r="N823" s="75"/>
      <c r="O823" s="75"/>
      <c r="P823" s="75"/>
      <c r="Q823" s="75"/>
      <c r="R823" s="75"/>
      <c r="S823" s="75"/>
      <c r="T823" s="75"/>
      <c r="U823" s="75"/>
      <c r="V823" s="76"/>
      <c r="W823" s="205"/>
      <c r="X823" s="1">
        <v>40392</v>
      </c>
      <c r="Y823" s="78">
        <f t="shared" si="100"/>
        <v>0</v>
      </c>
      <c r="Z823" s="78">
        <f t="shared" si="101"/>
        <v>0</v>
      </c>
      <c r="AA823" s="78">
        <f t="shared" si="106"/>
        <v>0</v>
      </c>
      <c r="AB823" s="78">
        <f t="shared" si="102"/>
        <v>27898000</v>
      </c>
      <c r="AC823" s="78">
        <v>54380800</v>
      </c>
      <c r="AD823" s="78">
        <v>0</v>
      </c>
      <c r="AE823" s="80">
        <f t="shared" si="105"/>
        <v>82278800</v>
      </c>
      <c r="AF823" s="82">
        <v>0</v>
      </c>
      <c r="AG823" s="69">
        <v>40392</v>
      </c>
      <c r="AH823" s="84">
        <v>38281</v>
      </c>
      <c r="AI823" s="69" t="s">
        <v>2009</v>
      </c>
      <c r="AJ823" s="25" t="s">
        <v>2010</v>
      </c>
      <c r="AK823" s="88" t="s">
        <v>159</v>
      </c>
      <c r="AL823" s="185" t="s">
        <v>2045</v>
      </c>
      <c r="AM823" s="85" t="s">
        <v>1907</v>
      </c>
      <c r="AN823" s="3"/>
      <c r="AO823" s="4"/>
      <c r="AP823" s="5"/>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6"/>
      <c r="CQ823" s="7"/>
      <c r="CR823" s="6"/>
      <c r="CS823" s="7"/>
      <c r="CT823" s="6"/>
      <c r="CU823" s="7"/>
      <c r="CV823" s="8">
        <f t="shared" si="103"/>
        <v>0</v>
      </c>
      <c r="CW823" s="9">
        <f>10000+10000+10000</f>
        <v>30000</v>
      </c>
      <c r="CX823" s="10">
        <f>10000*899+10000*986+10000*904.8</f>
        <v>27898000</v>
      </c>
      <c r="CY823" s="11"/>
      <c r="CZ823" s="12"/>
      <c r="DA823" s="29"/>
      <c r="DB823" s="12"/>
      <c r="DC823" s="9"/>
      <c r="DD823" s="10"/>
      <c r="DE823" s="71"/>
      <c r="EO823" s="353" t="str">
        <f t="shared" si="107"/>
        <v>BOYACA_NOBSA/FIRAVITOVA/ PAIPA/PUERTO BOYACA</v>
      </c>
      <c r="EP823" s="350"/>
      <c r="EQ823" s="350" t="s">
        <v>4526</v>
      </c>
      <c r="ER823" s="358" t="s">
        <v>4527</v>
      </c>
      <c r="ES823" s="350" t="s">
        <v>5496</v>
      </c>
      <c r="ET823" s="350" t="s">
        <v>6030</v>
      </c>
      <c r="EU823" s="350" t="str">
        <f t="shared" si="104"/>
        <v>Quindio_Buenavista</v>
      </c>
    </row>
    <row r="824" spans="1:151" ht="38.25" x14ac:dyDescent="0.2">
      <c r="A824" s="242">
        <v>40374</v>
      </c>
      <c r="B824" s="222" t="s">
        <v>828</v>
      </c>
      <c r="C824" s="222" t="s">
        <v>397</v>
      </c>
      <c r="D824" s="430" t="s">
        <v>2307</v>
      </c>
      <c r="E824" s="107" t="str">
        <f>VLOOKUP(B824&amp;C824,Divipola!$C$2:$F$1138,4,FALSE)</f>
        <v>15494</v>
      </c>
      <c r="F824" s="333"/>
      <c r="G824" s="221"/>
      <c r="H824" s="157"/>
      <c r="I824" s="157"/>
      <c r="J824" s="157">
        <v>125</v>
      </c>
      <c r="K824" s="157">
        <v>25</v>
      </c>
      <c r="L824" s="157"/>
      <c r="M824" s="157">
        <v>25</v>
      </c>
      <c r="N824" s="157"/>
      <c r="O824" s="157"/>
      <c r="P824" s="157"/>
      <c r="Q824" s="157"/>
      <c r="R824" s="157"/>
      <c r="S824" s="157"/>
      <c r="T824" s="157"/>
      <c r="U824" s="157"/>
      <c r="V824" s="158"/>
      <c r="W824" s="182"/>
      <c r="X824" s="1"/>
      <c r="Y824" s="78">
        <f t="shared" si="100"/>
        <v>0</v>
      </c>
      <c r="Z824" s="78">
        <f t="shared" si="101"/>
        <v>0</v>
      </c>
      <c r="AA824" s="78">
        <f t="shared" si="106"/>
        <v>0</v>
      </c>
      <c r="AB824" s="78">
        <f t="shared" si="102"/>
        <v>0</v>
      </c>
      <c r="AC824" s="78"/>
      <c r="AD824" s="78">
        <v>0</v>
      </c>
      <c r="AE824" s="80">
        <f t="shared" si="105"/>
        <v>0</v>
      </c>
      <c r="AF824" s="82">
        <v>0</v>
      </c>
      <c r="AG824" s="69">
        <v>40589</v>
      </c>
      <c r="AH824" s="84"/>
      <c r="AI824" s="69" t="s">
        <v>1984</v>
      </c>
      <c r="AJ824" s="25" t="s">
        <v>1985</v>
      </c>
      <c r="AK824" s="65"/>
      <c r="AL824" s="176" t="s">
        <v>1257</v>
      </c>
      <c r="AM824" s="173" t="s">
        <v>391</v>
      </c>
      <c r="AN824" s="159"/>
      <c r="AO824" s="160"/>
      <c r="AP824" s="161"/>
      <c r="AQ824" s="160"/>
      <c r="AR824" s="160"/>
      <c r="AS824" s="160"/>
      <c r="AT824" s="160"/>
      <c r="AU824" s="160"/>
      <c r="AV824" s="160"/>
      <c r="AW824" s="160"/>
      <c r="AX824" s="160"/>
      <c r="AY824" s="160"/>
      <c r="AZ824" s="160"/>
      <c r="BA824" s="160"/>
      <c r="BB824" s="160"/>
      <c r="BC824" s="160"/>
      <c r="BD824" s="160"/>
      <c r="BE824" s="160"/>
      <c r="BF824" s="160"/>
      <c r="BG824" s="160"/>
      <c r="BH824" s="160"/>
      <c r="BI824" s="160"/>
      <c r="BJ824" s="160"/>
      <c r="BK824" s="160"/>
      <c r="BL824" s="160"/>
      <c r="BM824" s="160"/>
      <c r="BN824" s="160"/>
      <c r="BO824" s="160"/>
      <c r="BP824" s="160"/>
      <c r="BQ824" s="160"/>
      <c r="BR824" s="160"/>
      <c r="BS824" s="160"/>
      <c r="BT824" s="160"/>
      <c r="BU824" s="160"/>
      <c r="BV824" s="160"/>
      <c r="BW824" s="160"/>
      <c r="BX824" s="160"/>
      <c r="BY824" s="160"/>
      <c r="BZ824" s="160"/>
      <c r="CA824" s="160"/>
      <c r="CB824" s="160"/>
      <c r="CC824" s="160"/>
      <c r="CD824" s="160"/>
      <c r="CE824" s="160"/>
      <c r="CF824" s="160"/>
      <c r="CG824" s="160"/>
      <c r="CH824" s="160"/>
      <c r="CI824" s="160"/>
      <c r="CJ824" s="160"/>
      <c r="CK824" s="160"/>
      <c r="CL824" s="160"/>
      <c r="CM824" s="160"/>
      <c r="CN824" s="160"/>
      <c r="CO824" s="160"/>
      <c r="CP824" s="162"/>
      <c r="CQ824" s="163"/>
      <c r="CR824" s="162"/>
      <c r="CS824" s="163"/>
      <c r="CT824" s="162"/>
      <c r="CU824" s="163"/>
      <c r="CV824" s="164">
        <f t="shared" si="103"/>
        <v>0</v>
      </c>
      <c r="CW824" s="165"/>
      <c r="CX824" s="166"/>
      <c r="CY824" s="167"/>
      <c r="CZ824" s="168"/>
      <c r="DA824" s="169"/>
      <c r="DB824" s="168"/>
      <c r="DC824" s="165"/>
      <c r="DD824" s="166"/>
      <c r="DE824" s="71"/>
      <c r="DF824" s="170"/>
      <c r="EO824" s="353" t="str">
        <f t="shared" si="107"/>
        <v>BOYACA_NUEVO COLON</v>
      </c>
      <c r="EP824" s="350"/>
      <c r="EQ824" s="350" t="s">
        <v>4526</v>
      </c>
      <c r="ER824" s="358" t="s">
        <v>4527</v>
      </c>
      <c r="ES824" s="350" t="s">
        <v>5497</v>
      </c>
      <c r="ET824" s="350" t="s">
        <v>3459</v>
      </c>
      <c r="EU824" s="350" t="str">
        <f t="shared" si="104"/>
        <v>Quindio_Calarca</v>
      </c>
    </row>
    <row r="825" spans="1:151" ht="25.5" x14ac:dyDescent="0.2">
      <c r="A825" s="242">
        <v>40374</v>
      </c>
      <c r="B825" s="222" t="s">
        <v>828</v>
      </c>
      <c r="C825" s="222" t="s">
        <v>2362</v>
      </c>
      <c r="D825" s="430" t="s">
        <v>2307</v>
      </c>
      <c r="E825" s="107" t="str">
        <f>VLOOKUP(B825&amp;C825,Divipola!$C$2:$F$1138,4,FALSE)</f>
        <v>15500</v>
      </c>
      <c r="F825" s="333"/>
      <c r="G825" s="221"/>
      <c r="H825" s="157"/>
      <c r="I825" s="157"/>
      <c r="J825" s="157">
        <v>35</v>
      </c>
      <c r="K825" s="157">
        <v>7</v>
      </c>
      <c r="L825" s="157"/>
      <c r="M825" s="157">
        <v>7</v>
      </c>
      <c r="N825" s="157"/>
      <c r="O825" s="157"/>
      <c r="P825" s="157"/>
      <c r="Q825" s="157"/>
      <c r="R825" s="157"/>
      <c r="S825" s="157"/>
      <c r="T825" s="157"/>
      <c r="U825" s="157"/>
      <c r="V825" s="158"/>
      <c r="W825" s="182"/>
      <c r="X825" s="1"/>
      <c r="Y825" s="78">
        <f t="shared" si="100"/>
        <v>0</v>
      </c>
      <c r="Z825" s="78">
        <f t="shared" si="101"/>
        <v>0</v>
      </c>
      <c r="AA825" s="78">
        <f t="shared" si="106"/>
        <v>0</v>
      </c>
      <c r="AB825" s="78">
        <f t="shared" si="102"/>
        <v>0</v>
      </c>
      <c r="AC825" s="78"/>
      <c r="AD825" s="78">
        <v>0</v>
      </c>
      <c r="AE825" s="80">
        <f t="shared" si="105"/>
        <v>0</v>
      </c>
      <c r="AF825" s="82">
        <v>0</v>
      </c>
      <c r="AG825" s="69">
        <v>40589</v>
      </c>
      <c r="AH825" s="84"/>
      <c r="AI825" s="69" t="s">
        <v>1984</v>
      </c>
      <c r="AJ825" s="25" t="s">
        <v>1985</v>
      </c>
      <c r="AK825" s="65"/>
      <c r="AL825" s="176" t="s">
        <v>1257</v>
      </c>
      <c r="AM825" s="173" t="s">
        <v>391</v>
      </c>
      <c r="AN825" s="159"/>
      <c r="AO825" s="160"/>
      <c r="AP825" s="161"/>
      <c r="AQ825" s="160"/>
      <c r="AR825" s="160"/>
      <c r="AS825" s="160"/>
      <c r="AT825" s="160"/>
      <c r="AU825" s="160"/>
      <c r="AV825" s="160"/>
      <c r="AW825" s="160"/>
      <c r="AX825" s="160"/>
      <c r="AY825" s="160"/>
      <c r="AZ825" s="160"/>
      <c r="BA825" s="160"/>
      <c r="BB825" s="160"/>
      <c r="BC825" s="160"/>
      <c r="BD825" s="160"/>
      <c r="BE825" s="160"/>
      <c r="BF825" s="160"/>
      <c r="BG825" s="160"/>
      <c r="BH825" s="160"/>
      <c r="BI825" s="160"/>
      <c r="BJ825" s="160"/>
      <c r="BK825" s="160"/>
      <c r="BL825" s="160"/>
      <c r="BM825" s="160"/>
      <c r="BN825" s="160"/>
      <c r="BO825" s="160"/>
      <c r="BP825" s="160"/>
      <c r="BQ825" s="160"/>
      <c r="BR825" s="160"/>
      <c r="BS825" s="160"/>
      <c r="BT825" s="160"/>
      <c r="BU825" s="160"/>
      <c r="BV825" s="160"/>
      <c r="BW825" s="160"/>
      <c r="BX825" s="160"/>
      <c r="BY825" s="160"/>
      <c r="BZ825" s="160"/>
      <c r="CA825" s="160"/>
      <c r="CB825" s="160"/>
      <c r="CC825" s="160"/>
      <c r="CD825" s="160"/>
      <c r="CE825" s="160"/>
      <c r="CF825" s="160"/>
      <c r="CG825" s="160"/>
      <c r="CH825" s="160"/>
      <c r="CI825" s="160"/>
      <c r="CJ825" s="160"/>
      <c r="CK825" s="160"/>
      <c r="CL825" s="160"/>
      <c r="CM825" s="160"/>
      <c r="CN825" s="160"/>
      <c r="CO825" s="160"/>
      <c r="CP825" s="162"/>
      <c r="CQ825" s="163"/>
      <c r="CR825" s="162"/>
      <c r="CS825" s="163"/>
      <c r="CT825" s="162"/>
      <c r="CU825" s="163"/>
      <c r="CV825" s="164">
        <f t="shared" si="103"/>
        <v>0</v>
      </c>
      <c r="CW825" s="165"/>
      <c r="CX825" s="166"/>
      <c r="CY825" s="167"/>
      <c r="CZ825" s="168"/>
      <c r="DA825" s="169"/>
      <c r="DB825" s="168"/>
      <c r="DC825" s="165"/>
      <c r="DD825" s="166"/>
      <c r="DE825" s="71"/>
      <c r="DF825" s="170"/>
      <c r="EO825" s="353" t="str">
        <f t="shared" si="107"/>
        <v>BOYACA_OICATA</v>
      </c>
      <c r="EP825" s="350"/>
      <c r="EQ825" s="350" t="s">
        <v>4526</v>
      </c>
      <c r="ER825" s="358" t="s">
        <v>4527</v>
      </c>
      <c r="ES825" s="350" t="s">
        <v>5502</v>
      </c>
      <c r="ET825" s="350" t="s">
        <v>3460</v>
      </c>
      <c r="EU825" s="350" t="str">
        <f t="shared" si="104"/>
        <v>Quindio_La Tebaida</v>
      </c>
    </row>
    <row r="826" spans="1:151" ht="36" x14ac:dyDescent="0.2">
      <c r="A826" s="242">
        <v>40374</v>
      </c>
      <c r="B826" s="236" t="s">
        <v>828</v>
      </c>
      <c r="C826" s="236" t="s">
        <v>2370</v>
      </c>
      <c r="D826" s="433" t="s">
        <v>837</v>
      </c>
      <c r="E826" s="107" t="str">
        <f>VLOOKUP(B826&amp;C826,Divipola!$C$2:$F$1138,4,FALSE)</f>
        <v>15814</v>
      </c>
      <c r="F826" s="335"/>
      <c r="G826" s="221"/>
      <c r="H826" s="157"/>
      <c r="I826" s="157"/>
      <c r="J826" s="157">
        <f>76*5</f>
        <v>380</v>
      </c>
      <c r="K826" s="157">
        <v>76</v>
      </c>
      <c r="L826" s="157"/>
      <c r="M826" s="157"/>
      <c r="N826" s="157"/>
      <c r="O826" s="157"/>
      <c r="P826" s="157"/>
      <c r="Q826" s="157"/>
      <c r="R826" s="157"/>
      <c r="S826" s="157"/>
      <c r="T826" s="157"/>
      <c r="U826" s="157"/>
      <c r="V826" s="158">
        <v>90</v>
      </c>
      <c r="W826" s="182"/>
      <c r="X826" s="1"/>
      <c r="Y826" s="78">
        <f t="shared" si="100"/>
        <v>0</v>
      </c>
      <c r="Z826" s="78">
        <f t="shared" si="101"/>
        <v>0</v>
      </c>
      <c r="AA826" s="78">
        <f t="shared" si="106"/>
        <v>0</v>
      </c>
      <c r="AB826" s="78">
        <f t="shared" si="102"/>
        <v>0</v>
      </c>
      <c r="AC826" s="78"/>
      <c r="AD826" s="78">
        <v>0</v>
      </c>
      <c r="AE826" s="80">
        <f t="shared" si="105"/>
        <v>0</v>
      </c>
      <c r="AF826" s="82">
        <v>0</v>
      </c>
      <c r="AG826" s="69">
        <v>40441</v>
      </c>
      <c r="AH826" s="84"/>
      <c r="AI826" s="69" t="s">
        <v>2009</v>
      </c>
      <c r="AJ826" s="25" t="s">
        <v>2010</v>
      </c>
      <c r="AK826" s="65"/>
      <c r="AL826" s="184" t="s">
        <v>1678</v>
      </c>
      <c r="AM826" s="173" t="s">
        <v>1427</v>
      </c>
      <c r="AN826" s="159"/>
      <c r="AO826" s="160"/>
      <c r="AP826" s="161"/>
      <c r="AQ826" s="160"/>
      <c r="AR826" s="160"/>
      <c r="AS826" s="160"/>
      <c r="AT826" s="160"/>
      <c r="AU826" s="160"/>
      <c r="AV826" s="160"/>
      <c r="AW826" s="160"/>
      <c r="AX826" s="160"/>
      <c r="AY826" s="160"/>
      <c r="AZ826" s="160"/>
      <c r="BA826" s="160"/>
      <c r="BB826" s="160"/>
      <c r="BC826" s="160"/>
      <c r="BD826" s="160"/>
      <c r="BE826" s="160"/>
      <c r="BF826" s="160"/>
      <c r="BG826" s="160"/>
      <c r="BH826" s="160"/>
      <c r="BI826" s="160"/>
      <c r="BJ826" s="160"/>
      <c r="BK826" s="160"/>
      <c r="BL826" s="160"/>
      <c r="BM826" s="160"/>
      <c r="BN826" s="160"/>
      <c r="BO826" s="160"/>
      <c r="BP826" s="160"/>
      <c r="BQ826" s="160"/>
      <c r="BR826" s="160"/>
      <c r="BS826" s="160"/>
      <c r="BT826" s="160"/>
      <c r="BU826" s="160"/>
      <c r="BV826" s="160"/>
      <c r="BW826" s="160"/>
      <c r="BX826" s="160"/>
      <c r="BY826" s="160"/>
      <c r="BZ826" s="160"/>
      <c r="CA826" s="160"/>
      <c r="CB826" s="160"/>
      <c r="CC826" s="160"/>
      <c r="CD826" s="160"/>
      <c r="CE826" s="160"/>
      <c r="CF826" s="160"/>
      <c r="CG826" s="160"/>
      <c r="CH826" s="160"/>
      <c r="CI826" s="160"/>
      <c r="CJ826" s="160"/>
      <c r="CK826" s="160"/>
      <c r="CL826" s="160"/>
      <c r="CM826" s="160"/>
      <c r="CN826" s="160"/>
      <c r="CO826" s="160"/>
      <c r="CP826" s="162"/>
      <c r="CQ826" s="163"/>
      <c r="CR826" s="162"/>
      <c r="CS826" s="163"/>
      <c r="CT826" s="162"/>
      <c r="CU826" s="163"/>
      <c r="CV826" s="164">
        <f t="shared" si="103"/>
        <v>0</v>
      </c>
      <c r="CW826" s="165"/>
      <c r="CX826" s="166"/>
      <c r="CY826" s="167"/>
      <c r="CZ826" s="168"/>
      <c r="DA826" s="169"/>
      <c r="DB826" s="168"/>
      <c r="DC826" s="165"/>
      <c r="DD826" s="166"/>
      <c r="DE826" s="71"/>
      <c r="DF826" s="170"/>
      <c r="EO826" s="353" t="str">
        <f t="shared" si="107"/>
        <v>BOYACA_TOCA</v>
      </c>
      <c r="EP826" s="350"/>
      <c r="EQ826" s="350" t="s">
        <v>4526</v>
      </c>
      <c r="ER826" s="358" t="s">
        <v>4527</v>
      </c>
      <c r="ES826" s="350" t="s">
        <v>5503</v>
      </c>
      <c r="ET826" s="350" t="s">
        <v>3461</v>
      </c>
      <c r="EU826" s="350" t="str">
        <f t="shared" si="104"/>
        <v>Quindio_Montenegro</v>
      </c>
    </row>
    <row r="827" spans="1:151" ht="25.5" x14ac:dyDescent="0.2">
      <c r="A827" s="242">
        <v>40374</v>
      </c>
      <c r="B827" s="236" t="s">
        <v>828</v>
      </c>
      <c r="C827" s="236" t="s">
        <v>1425</v>
      </c>
      <c r="D827" s="433" t="s">
        <v>837</v>
      </c>
      <c r="E827" s="107" t="str">
        <f>VLOOKUP(B827&amp;C827,Divipola!$C$2:$F$1138,4,FALSE)</f>
        <v>15837</v>
      </c>
      <c r="F827" s="335"/>
      <c r="G827" s="221"/>
      <c r="H827" s="157"/>
      <c r="I827" s="157"/>
      <c r="J827" s="157">
        <f>59*5</f>
        <v>295</v>
      </c>
      <c r="K827" s="157">
        <v>59</v>
      </c>
      <c r="L827" s="157"/>
      <c r="M827" s="157"/>
      <c r="N827" s="157"/>
      <c r="O827" s="157"/>
      <c r="P827" s="157"/>
      <c r="Q827" s="157"/>
      <c r="R827" s="157"/>
      <c r="S827" s="157"/>
      <c r="T827" s="157"/>
      <c r="U827" s="157"/>
      <c r="V827" s="158">
        <v>20</v>
      </c>
      <c r="W827" s="182"/>
      <c r="X827" s="1"/>
      <c r="Y827" s="78">
        <f t="shared" si="100"/>
        <v>0</v>
      </c>
      <c r="Z827" s="78">
        <f t="shared" si="101"/>
        <v>0</v>
      </c>
      <c r="AA827" s="78">
        <f t="shared" si="106"/>
        <v>0</v>
      </c>
      <c r="AB827" s="78">
        <f t="shared" si="102"/>
        <v>0</v>
      </c>
      <c r="AC827" s="78"/>
      <c r="AD827" s="78">
        <v>0</v>
      </c>
      <c r="AE827" s="80">
        <f t="shared" si="105"/>
        <v>0</v>
      </c>
      <c r="AF827" s="82">
        <v>0</v>
      </c>
      <c r="AG827" s="69">
        <v>40441</v>
      </c>
      <c r="AH827" s="84"/>
      <c r="AI827" s="69" t="s">
        <v>2009</v>
      </c>
      <c r="AJ827" s="25" t="s">
        <v>2010</v>
      </c>
      <c r="AK827" s="65"/>
      <c r="AL827" s="184" t="s">
        <v>1678</v>
      </c>
      <c r="AM827" s="173" t="s">
        <v>1426</v>
      </c>
      <c r="AN827" s="159"/>
      <c r="AO827" s="160"/>
      <c r="AP827" s="161"/>
      <c r="AQ827" s="160"/>
      <c r="AR827" s="160"/>
      <c r="AS827" s="160"/>
      <c r="AT827" s="160"/>
      <c r="AU827" s="160"/>
      <c r="AV827" s="160"/>
      <c r="AW827" s="160"/>
      <c r="AX827" s="160"/>
      <c r="AY827" s="160"/>
      <c r="AZ827" s="160"/>
      <c r="BA827" s="160"/>
      <c r="BB827" s="160"/>
      <c r="BC827" s="160"/>
      <c r="BD827" s="160"/>
      <c r="BE827" s="160"/>
      <c r="BF827" s="160"/>
      <c r="BG827" s="160"/>
      <c r="BH827" s="160"/>
      <c r="BI827" s="160"/>
      <c r="BJ827" s="160"/>
      <c r="BK827" s="160"/>
      <c r="BL827" s="160"/>
      <c r="BM827" s="160"/>
      <c r="BN827" s="160"/>
      <c r="BO827" s="160"/>
      <c r="BP827" s="160"/>
      <c r="BQ827" s="160"/>
      <c r="BR827" s="160"/>
      <c r="BS827" s="160"/>
      <c r="BT827" s="160"/>
      <c r="BU827" s="160"/>
      <c r="BV827" s="160"/>
      <c r="BW827" s="160"/>
      <c r="BX827" s="160"/>
      <c r="BY827" s="160"/>
      <c r="BZ827" s="160"/>
      <c r="CA827" s="160"/>
      <c r="CB827" s="160"/>
      <c r="CC827" s="160"/>
      <c r="CD827" s="160"/>
      <c r="CE827" s="160"/>
      <c r="CF827" s="160"/>
      <c r="CG827" s="160"/>
      <c r="CH827" s="160"/>
      <c r="CI827" s="160"/>
      <c r="CJ827" s="160"/>
      <c r="CK827" s="160"/>
      <c r="CL827" s="160"/>
      <c r="CM827" s="160"/>
      <c r="CN827" s="160"/>
      <c r="CO827" s="160"/>
      <c r="CP827" s="162"/>
      <c r="CQ827" s="163"/>
      <c r="CR827" s="162"/>
      <c r="CS827" s="163"/>
      <c r="CT827" s="162"/>
      <c r="CU827" s="163"/>
      <c r="CV827" s="164">
        <f t="shared" si="103"/>
        <v>0</v>
      </c>
      <c r="CW827" s="165"/>
      <c r="CX827" s="166"/>
      <c r="CY827" s="167"/>
      <c r="CZ827" s="168"/>
      <c r="DA827" s="169"/>
      <c r="DB827" s="168"/>
      <c r="DC827" s="165"/>
      <c r="DD827" s="166"/>
      <c r="DE827" s="71"/>
      <c r="DF827" s="170"/>
      <c r="EO827" s="353" t="str">
        <f t="shared" si="107"/>
        <v>BOYACA_TUTA</v>
      </c>
      <c r="EP827" s="350"/>
      <c r="EQ827" s="350" t="s">
        <v>4526</v>
      </c>
      <c r="ER827" s="358" t="s">
        <v>4527</v>
      </c>
      <c r="ES827" s="350" t="s">
        <v>5504</v>
      </c>
      <c r="ET827" s="350" t="s">
        <v>3462</v>
      </c>
      <c r="EU827" s="350" t="str">
        <f t="shared" si="104"/>
        <v>Quindio_Pijao</v>
      </c>
    </row>
    <row r="828" spans="1:151" ht="204" x14ac:dyDescent="0.2">
      <c r="A828" s="242">
        <v>40374</v>
      </c>
      <c r="B828" s="107" t="s">
        <v>1700</v>
      </c>
      <c r="C828" s="107" t="s">
        <v>2134</v>
      </c>
      <c r="D828" s="427" t="s">
        <v>837</v>
      </c>
      <c r="E828" s="107" t="str">
        <f>VLOOKUP(B828&amp;C828,Divipola!$C$2:$F$1138,4,FALSE)</f>
        <v>23001</v>
      </c>
      <c r="F828" s="330"/>
      <c r="G828" s="224"/>
      <c r="H828" s="75"/>
      <c r="I828" s="75"/>
      <c r="J828" s="75">
        <f>1135*5</f>
        <v>5675</v>
      </c>
      <c r="K828" s="75">
        <v>1135</v>
      </c>
      <c r="L828" s="75"/>
      <c r="M828" s="75">
        <v>1135</v>
      </c>
      <c r="N828" s="75"/>
      <c r="O828" s="75"/>
      <c r="P828" s="75"/>
      <c r="Q828" s="75"/>
      <c r="R828" s="75"/>
      <c r="S828" s="75"/>
      <c r="T828" s="75"/>
      <c r="U828" s="75"/>
      <c r="V828" s="76"/>
      <c r="W828" s="205"/>
      <c r="X828" s="1">
        <v>40436</v>
      </c>
      <c r="Y828" s="78">
        <f t="shared" si="100"/>
        <v>25057680</v>
      </c>
      <c r="Z828" s="78">
        <f t="shared" si="101"/>
        <v>181475000</v>
      </c>
      <c r="AA828" s="78">
        <f t="shared" si="106"/>
        <v>0</v>
      </c>
      <c r="AB828" s="78">
        <f t="shared" si="102"/>
        <v>0</v>
      </c>
      <c r="AC828" s="78"/>
      <c r="AD828" s="78">
        <v>0</v>
      </c>
      <c r="AE828" s="80">
        <f t="shared" si="105"/>
        <v>206532680</v>
      </c>
      <c r="AF828" s="82">
        <v>0</v>
      </c>
      <c r="AG828" s="69">
        <v>40379</v>
      </c>
      <c r="AH828" s="84">
        <v>38767</v>
      </c>
      <c r="AI828" s="69" t="s">
        <v>2009</v>
      </c>
      <c r="AJ828" s="25" t="s">
        <v>2010</v>
      </c>
      <c r="AK828" s="88" t="s">
        <v>1669</v>
      </c>
      <c r="AL828" s="185" t="s">
        <v>2182</v>
      </c>
      <c r="AM828" s="85" t="s">
        <v>2281</v>
      </c>
      <c r="AN828" s="3"/>
      <c r="AO828" s="4"/>
      <c r="AP828" s="5"/>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f>10+3</f>
        <v>13</v>
      </c>
      <c r="CA828" s="4">
        <f>10*504600+3*504000</f>
        <v>6558000</v>
      </c>
      <c r="CB828" s="4"/>
      <c r="CC828" s="4"/>
      <c r="CD828" s="4"/>
      <c r="CE828" s="4"/>
      <c r="CF828" s="4"/>
      <c r="CG828" s="4"/>
      <c r="CH828" s="4"/>
      <c r="CI828" s="4"/>
      <c r="CJ828" s="4"/>
      <c r="CK828" s="4"/>
      <c r="CL828" s="4"/>
      <c r="CM828" s="4"/>
      <c r="CN828" s="4"/>
      <c r="CO828" s="4"/>
      <c r="CP828" s="6">
        <v>500</v>
      </c>
      <c r="CQ828" s="7">
        <f>500*36999.36</f>
        <v>18499680</v>
      </c>
      <c r="CR828" s="6"/>
      <c r="CS828" s="7"/>
      <c r="CT828" s="6"/>
      <c r="CU828" s="7"/>
      <c r="CV828" s="8">
        <f t="shared" si="103"/>
        <v>25057680</v>
      </c>
      <c r="CW828" s="9"/>
      <c r="CX828" s="10"/>
      <c r="CY828" s="11">
        <f>500+1135+500</f>
        <v>2135</v>
      </c>
      <c r="CZ828" s="12">
        <f>500*85000+1135*85000+500*85000</f>
        <v>181475000</v>
      </c>
      <c r="DA828" s="29"/>
      <c r="DB828" s="12"/>
      <c r="DC828" s="9"/>
      <c r="DD828" s="10"/>
      <c r="DE828" s="71"/>
      <c r="EO828" s="353" t="str">
        <f t="shared" si="107"/>
        <v>CORDOBA_MONTERIA</v>
      </c>
      <c r="EP828" s="350"/>
      <c r="EQ828" s="350" t="s">
        <v>4526</v>
      </c>
      <c r="ER828" s="358" t="s">
        <v>4527</v>
      </c>
      <c r="ES828" s="350" t="s">
        <v>5505</v>
      </c>
      <c r="ET828" s="350" t="s">
        <v>3463</v>
      </c>
      <c r="EU828" s="350" t="str">
        <f t="shared" si="104"/>
        <v>Quindio_Quimbaya</v>
      </c>
    </row>
    <row r="829" spans="1:151" ht="38.25" x14ac:dyDescent="0.2">
      <c r="A829" s="242">
        <v>40374</v>
      </c>
      <c r="B829" s="107" t="s">
        <v>2007</v>
      </c>
      <c r="C829" s="107" t="s">
        <v>1089</v>
      </c>
      <c r="D829" s="427" t="s">
        <v>2307</v>
      </c>
      <c r="E829" s="107" t="str">
        <f>VLOOKUP(B829&amp;C829,Divipola!$C$2:$F$1138,4,FALSE)</f>
        <v>25181</v>
      </c>
      <c r="F829" s="330"/>
      <c r="G829" s="224"/>
      <c r="H829" s="75"/>
      <c r="I829" s="75"/>
      <c r="J829" s="75"/>
      <c r="K829" s="75"/>
      <c r="L829" s="75"/>
      <c r="M829" s="75"/>
      <c r="N829" s="75">
        <v>1</v>
      </c>
      <c r="O829" s="75"/>
      <c r="P829" s="75"/>
      <c r="Q829" s="75"/>
      <c r="R829" s="75"/>
      <c r="S829" s="75"/>
      <c r="T829" s="75"/>
      <c r="U829" s="75"/>
      <c r="V829" s="76"/>
      <c r="W829" s="205"/>
      <c r="X829" s="1"/>
      <c r="Y829" s="78">
        <f t="shared" si="100"/>
        <v>0</v>
      </c>
      <c r="Z829" s="78">
        <f t="shared" si="101"/>
        <v>0</v>
      </c>
      <c r="AA829" s="78">
        <f t="shared" ref="AA829:AA860" si="108">DB829+DD829</f>
        <v>0</v>
      </c>
      <c r="AB829" s="78">
        <f t="shared" si="102"/>
        <v>0</v>
      </c>
      <c r="AC829" s="78"/>
      <c r="AD829" s="78">
        <v>0</v>
      </c>
      <c r="AE829" s="80">
        <f t="shared" si="105"/>
        <v>0</v>
      </c>
      <c r="AF829" s="82">
        <v>0</v>
      </c>
      <c r="AG829" s="69">
        <v>40377</v>
      </c>
      <c r="AH829" s="84"/>
      <c r="AI829" s="69" t="s">
        <v>1984</v>
      </c>
      <c r="AJ829" s="70" t="s">
        <v>1985</v>
      </c>
      <c r="AK829" s="65"/>
      <c r="AL829" s="185" t="s">
        <v>1257</v>
      </c>
      <c r="AM829" s="85" t="s">
        <v>1090</v>
      </c>
      <c r="AN829" s="3"/>
      <c r="AO829" s="4"/>
      <c r="AP829" s="5"/>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6"/>
      <c r="CQ829" s="7"/>
      <c r="CR829" s="6"/>
      <c r="CS829" s="7"/>
      <c r="CT829" s="6"/>
      <c r="CU829" s="7"/>
      <c r="CV829" s="8">
        <f t="shared" si="103"/>
        <v>0</v>
      </c>
      <c r="CW829" s="9"/>
      <c r="CX829" s="10"/>
      <c r="CY829" s="11"/>
      <c r="CZ829" s="12"/>
      <c r="DA829" s="29"/>
      <c r="DB829" s="12"/>
      <c r="DC829" s="9"/>
      <c r="DD829" s="10"/>
      <c r="DE829" s="71"/>
      <c r="EO829" s="353" t="str">
        <f t="shared" si="107"/>
        <v>CUNDINAMARCA_CHOACHI</v>
      </c>
      <c r="EP829" s="350"/>
      <c r="EQ829" s="350" t="s">
        <v>4526</v>
      </c>
      <c r="ER829" s="358" t="s">
        <v>4527</v>
      </c>
      <c r="ES829" s="350" t="s">
        <v>5506</v>
      </c>
      <c r="ET829" s="350" t="s">
        <v>3464</v>
      </c>
      <c r="EU829" s="350" t="str">
        <f t="shared" si="104"/>
        <v>Quindio_Salento</v>
      </c>
    </row>
    <row r="830" spans="1:151" ht="51" x14ac:dyDescent="0.2">
      <c r="A830" s="242">
        <v>40374</v>
      </c>
      <c r="B830" s="107" t="s">
        <v>1336</v>
      </c>
      <c r="C830" s="107" t="s">
        <v>1360</v>
      </c>
      <c r="D830" s="427" t="s">
        <v>2307</v>
      </c>
      <c r="E830" s="107" t="str">
        <f>VLOOKUP(B830&amp;C830,Divipola!$C$2:$F$1138,4,FALSE)</f>
        <v>54099</v>
      </c>
      <c r="F830" s="330"/>
      <c r="G830" s="224"/>
      <c r="H830" s="75"/>
      <c r="I830" s="75"/>
      <c r="J830" s="75">
        <v>11</v>
      </c>
      <c r="K830" s="75">
        <v>2</v>
      </c>
      <c r="L830" s="75"/>
      <c r="M830" s="75"/>
      <c r="N830" s="75"/>
      <c r="O830" s="75"/>
      <c r="P830" s="75"/>
      <c r="Q830" s="75"/>
      <c r="R830" s="75"/>
      <c r="S830" s="75"/>
      <c r="T830" s="75"/>
      <c r="U830" s="75"/>
      <c r="V830" s="76"/>
      <c r="W830" s="205"/>
      <c r="X830" s="1"/>
      <c r="Y830" s="78">
        <f t="shared" si="100"/>
        <v>0</v>
      </c>
      <c r="Z830" s="78">
        <f t="shared" si="101"/>
        <v>0</v>
      </c>
      <c r="AA830" s="78">
        <f t="shared" si="108"/>
        <v>0</v>
      </c>
      <c r="AB830" s="78">
        <f t="shared" si="102"/>
        <v>0</v>
      </c>
      <c r="AC830" s="78"/>
      <c r="AD830" s="78">
        <v>0</v>
      </c>
      <c r="AE830" s="80">
        <f t="shared" si="105"/>
        <v>0</v>
      </c>
      <c r="AF830" s="82">
        <v>0</v>
      </c>
      <c r="AG830" s="69">
        <v>40375</v>
      </c>
      <c r="AH830" s="84"/>
      <c r="AI830" s="69" t="s">
        <v>1984</v>
      </c>
      <c r="AJ830" s="25" t="s">
        <v>1985</v>
      </c>
      <c r="AK830" s="65"/>
      <c r="AL830" s="185" t="s">
        <v>1257</v>
      </c>
      <c r="AM830" s="85" t="s">
        <v>978</v>
      </c>
      <c r="AN830" s="3"/>
      <c r="AO830" s="4"/>
      <c r="AP830" s="5"/>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6"/>
      <c r="CQ830" s="7"/>
      <c r="CR830" s="6"/>
      <c r="CS830" s="7"/>
      <c r="CT830" s="6"/>
      <c r="CU830" s="7"/>
      <c r="CV830" s="8">
        <f t="shared" si="103"/>
        <v>0</v>
      </c>
      <c r="CW830" s="9"/>
      <c r="CX830" s="10"/>
      <c r="CY830" s="11"/>
      <c r="CZ830" s="12"/>
      <c r="DA830" s="29"/>
      <c r="DB830" s="12"/>
      <c r="DC830" s="9"/>
      <c r="DD830" s="10"/>
      <c r="DE830" s="71"/>
      <c r="EO830" s="353" t="str">
        <f t="shared" si="107"/>
        <v>NORTE DE SANTANDER_BOCHALEMA</v>
      </c>
      <c r="EP830" s="350"/>
      <c r="EQ830" s="350" t="s">
        <v>4531</v>
      </c>
      <c r="ER830" s="358" t="s">
        <v>4532</v>
      </c>
      <c r="ES830" s="350" t="s">
        <v>5507</v>
      </c>
      <c r="ET830" s="350" t="s">
        <v>3465</v>
      </c>
      <c r="EU830" s="350" t="str">
        <f t="shared" si="104"/>
        <v>Risaralda_Pereira</v>
      </c>
    </row>
    <row r="831" spans="1:151" ht="25.5" x14ac:dyDescent="0.2">
      <c r="A831" s="242">
        <v>40374</v>
      </c>
      <c r="B831" s="107" t="s">
        <v>2014</v>
      </c>
      <c r="C831" s="107" t="s">
        <v>2015</v>
      </c>
      <c r="D831" s="427" t="s">
        <v>2352</v>
      </c>
      <c r="E831" s="107" t="str">
        <f>VLOOKUP(B831&amp;C831,Divipola!$C$2:$F$1138,4,FALSE)</f>
        <v>63001</v>
      </c>
      <c r="F831" s="330"/>
      <c r="G831" s="224"/>
      <c r="H831" s="75"/>
      <c r="I831" s="75"/>
      <c r="J831" s="75">
        <v>10</v>
      </c>
      <c r="K831" s="75">
        <v>2</v>
      </c>
      <c r="L831" s="75">
        <v>2</v>
      </c>
      <c r="M831" s="75"/>
      <c r="N831" s="75"/>
      <c r="O831" s="75"/>
      <c r="P831" s="75"/>
      <c r="Q831" s="75"/>
      <c r="R831" s="75"/>
      <c r="S831" s="75"/>
      <c r="T831" s="75"/>
      <c r="U831" s="75"/>
      <c r="V831" s="76"/>
      <c r="W831" s="205"/>
      <c r="X831" s="1"/>
      <c r="Y831" s="78">
        <f t="shared" si="100"/>
        <v>0</v>
      </c>
      <c r="Z831" s="78">
        <f t="shared" si="101"/>
        <v>0</v>
      </c>
      <c r="AA831" s="78">
        <f t="shared" si="108"/>
        <v>0</v>
      </c>
      <c r="AB831" s="78">
        <f t="shared" si="102"/>
        <v>0</v>
      </c>
      <c r="AC831" s="78"/>
      <c r="AD831" s="78">
        <v>0</v>
      </c>
      <c r="AE831" s="80">
        <f t="shared" si="105"/>
        <v>0</v>
      </c>
      <c r="AF831" s="82">
        <v>0</v>
      </c>
      <c r="AG831" s="69">
        <v>40375</v>
      </c>
      <c r="AH831" s="84"/>
      <c r="AI831" s="69" t="s">
        <v>1984</v>
      </c>
      <c r="AJ831" s="25" t="s">
        <v>1985</v>
      </c>
      <c r="AK831" s="65"/>
      <c r="AL831" s="185" t="s">
        <v>1257</v>
      </c>
      <c r="AM831" s="85" t="s">
        <v>973</v>
      </c>
      <c r="AN831" s="3"/>
      <c r="AO831" s="4"/>
      <c r="AP831" s="5"/>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6"/>
      <c r="CQ831" s="7"/>
      <c r="CR831" s="6"/>
      <c r="CS831" s="7"/>
      <c r="CT831" s="6"/>
      <c r="CU831" s="7"/>
      <c r="CV831" s="8">
        <f t="shared" si="103"/>
        <v>0</v>
      </c>
      <c r="CW831" s="9"/>
      <c r="CX831" s="10"/>
      <c r="CY831" s="11"/>
      <c r="CZ831" s="12"/>
      <c r="DA831" s="29"/>
      <c r="DB831" s="12"/>
      <c r="DC831" s="9"/>
      <c r="DD831" s="10"/>
      <c r="DE831" s="71"/>
      <c r="EO831" s="353" t="str">
        <f t="shared" si="107"/>
        <v>QUINDIO_ARMENIA</v>
      </c>
      <c r="EP831" s="350"/>
      <c r="EQ831" s="350" t="s">
        <v>4531</v>
      </c>
      <c r="ER831" s="358" t="s">
        <v>4532</v>
      </c>
      <c r="ES831" s="350" t="s">
        <v>5508</v>
      </c>
      <c r="ET831" s="350" t="s">
        <v>3466</v>
      </c>
      <c r="EU831" s="350" t="str">
        <f t="shared" ref="EU831:EU891" si="109">ER831&amp;"_"&amp;ET831</f>
        <v>Risaralda_Apia</v>
      </c>
    </row>
    <row r="832" spans="1:151" ht="38.25" x14ac:dyDescent="0.2">
      <c r="A832" s="242">
        <v>40374</v>
      </c>
      <c r="B832" s="107" t="s">
        <v>2012</v>
      </c>
      <c r="C832" s="107" t="s">
        <v>2260</v>
      </c>
      <c r="D832" s="427" t="s">
        <v>2307</v>
      </c>
      <c r="E832" s="107" t="str">
        <f>VLOOKUP(B832&amp;C832,Divipola!$C$2:$F$1138,4,FALSE)</f>
        <v>66170</v>
      </c>
      <c r="F832" s="330"/>
      <c r="G832" s="224"/>
      <c r="H832" s="75"/>
      <c r="I832" s="75"/>
      <c r="J832" s="75">
        <v>15</v>
      </c>
      <c r="K832" s="75">
        <v>3</v>
      </c>
      <c r="L832" s="75"/>
      <c r="M832" s="75"/>
      <c r="N832" s="75"/>
      <c r="O832" s="75"/>
      <c r="P832" s="75"/>
      <c r="Q832" s="75">
        <v>1</v>
      </c>
      <c r="R832" s="75"/>
      <c r="S832" s="75"/>
      <c r="T832" s="75"/>
      <c r="U832" s="75"/>
      <c r="V832" s="76"/>
      <c r="W832" s="205"/>
      <c r="X832" s="1"/>
      <c r="Y832" s="78">
        <f t="shared" si="100"/>
        <v>0</v>
      </c>
      <c r="Z832" s="78">
        <f t="shared" si="101"/>
        <v>0</v>
      </c>
      <c r="AA832" s="78">
        <f t="shared" si="108"/>
        <v>0</v>
      </c>
      <c r="AB832" s="78">
        <f t="shared" si="102"/>
        <v>0</v>
      </c>
      <c r="AC832" s="78"/>
      <c r="AD832" s="78">
        <v>0</v>
      </c>
      <c r="AE832" s="80">
        <f t="shared" si="105"/>
        <v>0</v>
      </c>
      <c r="AF832" s="82">
        <v>0</v>
      </c>
      <c r="AG832" s="69">
        <v>40375</v>
      </c>
      <c r="AH832" s="84"/>
      <c r="AI832" s="69" t="s">
        <v>1984</v>
      </c>
      <c r="AJ832" s="25" t="s">
        <v>1985</v>
      </c>
      <c r="AK832" s="65"/>
      <c r="AL832" s="185" t="s">
        <v>1257</v>
      </c>
      <c r="AM832" s="85" t="s">
        <v>977</v>
      </c>
      <c r="AN832" s="3"/>
      <c r="AO832" s="4"/>
      <c r="AP832" s="5"/>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6"/>
      <c r="CQ832" s="7"/>
      <c r="CR832" s="6"/>
      <c r="CS832" s="7"/>
      <c r="CT832" s="6"/>
      <c r="CU832" s="7"/>
      <c r="CV832" s="8">
        <f t="shared" si="103"/>
        <v>0</v>
      </c>
      <c r="CW832" s="9"/>
      <c r="CX832" s="10"/>
      <c r="CY832" s="11"/>
      <c r="CZ832" s="12"/>
      <c r="DA832" s="29"/>
      <c r="DB832" s="12"/>
      <c r="DC832" s="9"/>
      <c r="DD832" s="10"/>
      <c r="DE832" s="71"/>
      <c r="EO832" s="353" t="str">
        <f t="shared" si="107"/>
        <v>RISARALDA_DOSQUEBRADAS</v>
      </c>
      <c r="EP832" s="350"/>
      <c r="EQ832" s="350" t="s">
        <v>4531</v>
      </c>
      <c r="ER832" s="358" t="s">
        <v>4532</v>
      </c>
      <c r="ES832" s="350" t="s">
        <v>5509</v>
      </c>
      <c r="ET832" s="350" t="s">
        <v>6182</v>
      </c>
      <c r="EU832" s="350" t="str">
        <f t="shared" si="109"/>
        <v>Risaralda_Balboa</v>
      </c>
    </row>
    <row r="833" spans="1:151" ht="72" x14ac:dyDescent="0.2">
      <c r="A833" s="242">
        <v>40374</v>
      </c>
      <c r="B833" s="107" t="s">
        <v>2372</v>
      </c>
      <c r="C833" s="107" t="s">
        <v>880</v>
      </c>
      <c r="D833" s="427" t="s">
        <v>837</v>
      </c>
      <c r="E833" s="107" t="str">
        <f>VLOOKUP(B833&amp;C833,Divipola!$C$2:$F$1138,4,FALSE)</f>
        <v>70124</v>
      </c>
      <c r="F833" s="330"/>
      <c r="G833" s="224"/>
      <c r="H833" s="75"/>
      <c r="I833" s="75"/>
      <c r="J833" s="75">
        <f>5600-300</f>
        <v>5300</v>
      </c>
      <c r="K833" s="75">
        <f>1400-75</f>
        <v>1325</v>
      </c>
      <c r="L833" s="75"/>
      <c r="M833" s="75">
        <v>1151</v>
      </c>
      <c r="N833" s="75"/>
      <c r="O833" s="75"/>
      <c r="P833" s="75"/>
      <c r="Q833" s="75"/>
      <c r="R833" s="75"/>
      <c r="S833" s="75"/>
      <c r="T833" s="75"/>
      <c r="U833" s="75"/>
      <c r="V833" s="76">
        <v>1222</v>
      </c>
      <c r="W833" s="205" t="s">
        <v>2180</v>
      </c>
      <c r="X833" s="1">
        <v>40429</v>
      </c>
      <c r="Y833" s="78">
        <f t="shared" si="100"/>
        <v>75600000</v>
      </c>
      <c r="Z833" s="78">
        <f t="shared" si="101"/>
        <v>187000000</v>
      </c>
      <c r="AA833" s="78">
        <f t="shared" si="108"/>
        <v>0</v>
      </c>
      <c r="AB833" s="78">
        <f t="shared" si="102"/>
        <v>0</v>
      </c>
      <c r="AC833" s="78"/>
      <c r="AD833" s="78">
        <v>0</v>
      </c>
      <c r="AE833" s="80">
        <f t="shared" si="105"/>
        <v>262600000</v>
      </c>
      <c r="AF833" s="82">
        <v>0</v>
      </c>
      <c r="AG833" s="69">
        <v>40409</v>
      </c>
      <c r="AH833" s="84">
        <v>41943</v>
      </c>
      <c r="AI833" s="69" t="s">
        <v>2009</v>
      </c>
      <c r="AJ833" s="25" t="s">
        <v>2010</v>
      </c>
      <c r="AK833" s="65"/>
      <c r="AL833" s="185" t="s">
        <v>667</v>
      </c>
      <c r="AM833" s="85" t="s">
        <v>1935</v>
      </c>
      <c r="AN833" s="3"/>
      <c r="AO833" s="4"/>
      <c r="AP833" s="5"/>
      <c r="AQ833" s="4"/>
      <c r="AR833" s="4"/>
      <c r="AS833" s="4"/>
      <c r="AT833" s="4"/>
      <c r="AU833" s="4"/>
      <c r="AV833" s="4"/>
      <c r="AW833" s="4"/>
      <c r="AX833" s="4"/>
      <c r="AY833" s="4"/>
      <c r="AZ833" s="4"/>
      <c r="BA833" s="4"/>
      <c r="BB833" s="4">
        <v>800</v>
      </c>
      <c r="BC833" s="4">
        <f>800*56000</f>
        <v>44800000</v>
      </c>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6">
        <v>800</v>
      </c>
      <c r="CQ833" s="7">
        <f>800*38500</f>
        <v>30800000</v>
      </c>
      <c r="CR833" s="6"/>
      <c r="CS833" s="7"/>
      <c r="CT833" s="6"/>
      <c r="CU833" s="7"/>
      <c r="CV833" s="8">
        <f t="shared" si="103"/>
        <v>75600000</v>
      </c>
      <c r="CW833" s="9"/>
      <c r="CX833" s="10"/>
      <c r="CY833" s="11">
        <f>800+1400</f>
        <v>2200</v>
      </c>
      <c r="CZ833" s="12">
        <f>800*85000+1400*85000</f>
        <v>187000000</v>
      </c>
      <c r="DA833" s="29"/>
      <c r="DB833" s="12"/>
      <c r="DC833" s="9"/>
      <c r="DD833" s="10"/>
      <c r="DE833" s="71"/>
      <c r="EO833" s="353" t="str">
        <f t="shared" si="107"/>
        <v>SUCRE_CAIMITO</v>
      </c>
      <c r="EP833" s="350"/>
      <c r="EQ833" s="350" t="s">
        <v>4531</v>
      </c>
      <c r="ER833" s="358" t="s">
        <v>4532</v>
      </c>
      <c r="ES833" s="350" t="s">
        <v>5510</v>
      </c>
      <c r="ET833" s="350" t="s">
        <v>3467</v>
      </c>
      <c r="EU833" s="350" t="str">
        <f t="shared" si="109"/>
        <v>Risaralda_Belen de Umbria</v>
      </c>
    </row>
    <row r="834" spans="1:151" ht="38.25" x14ac:dyDescent="0.2">
      <c r="A834" s="242">
        <v>40374</v>
      </c>
      <c r="B834" s="107" t="s">
        <v>2372</v>
      </c>
      <c r="C834" s="107" t="s">
        <v>2008</v>
      </c>
      <c r="D834" s="427" t="s">
        <v>837</v>
      </c>
      <c r="E834" s="107">
        <f>VLOOKUP(B834&amp;C834,Divipola!$C$2:$F$1138,4,FALSE)</f>
        <v>70</v>
      </c>
      <c r="F834" s="330"/>
      <c r="G834" s="224"/>
      <c r="H834" s="75"/>
      <c r="I834" s="75"/>
      <c r="J834" s="75"/>
      <c r="K834" s="75"/>
      <c r="L834" s="75"/>
      <c r="M834" s="75"/>
      <c r="N834" s="75"/>
      <c r="O834" s="75"/>
      <c r="P834" s="75"/>
      <c r="Q834" s="75"/>
      <c r="R834" s="75"/>
      <c r="S834" s="75"/>
      <c r="T834" s="75"/>
      <c r="U834" s="75"/>
      <c r="V834" s="76"/>
      <c r="W834" s="205"/>
      <c r="X834" s="1">
        <v>40392</v>
      </c>
      <c r="Y834" s="78">
        <f t="shared" si="100"/>
        <v>0</v>
      </c>
      <c r="Z834" s="78">
        <f t="shared" si="101"/>
        <v>0</v>
      </c>
      <c r="AA834" s="78">
        <f t="shared" si="108"/>
        <v>0</v>
      </c>
      <c r="AB834" s="78">
        <f t="shared" si="102"/>
        <v>189439600</v>
      </c>
      <c r="AC834" s="78"/>
      <c r="AD834" s="78">
        <v>0</v>
      </c>
      <c r="AE834" s="80">
        <f t="shared" si="105"/>
        <v>189439600</v>
      </c>
      <c r="AF834" s="82">
        <v>0</v>
      </c>
      <c r="AG834" s="69">
        <v>40381</v>
      </c>
      <c r="AH834" s="84">
        <v>35952</v>
      </c>
      <c r="AI834" s="69" t="s">
        <v>2009</v>
      </c>
      <c r="AJ834" s="25" t="s">
        <v>2010</v>
      </c>
      <c r="AK834" s="88" t="s">
        <v>1851</v>
      </c>
      <c r="AL834" s="185" t="s">
        <v>2045</v>
      </c>
      <c r="AM834" s="85" t="s">
        <v>3132</v>
      </c>
      <c r="AN834" s="3"/>
      <c r="AO834" s="4"/>
      <c r="AP834" s="5"/>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6"/>
      <c r="CQ834" s="7"/>
      <c r="CR834" s="6"/>
      <c r="CS834" s="7"/>
      <c r="CT834" s="6"/>
      <c r="CU834" s="7"/>
      <c r="CV834" s="8">
        <f t="shared" si="103"/>
        <v>0</v>
      </c>
      <c r="CW834" s="9">
        <f>60000+50000+100000</f>
        <v>210000</v>
      </c>
      <c r="CX834" s="10">
        <f>60000*900.16+50000*899+100000*904.8</f>
        <v>189439600</v>
      </c>
      <c r="CY834" s="11"/>
      <c r="CZ834" s="12"/>
      <c r="DA834" s="29"/>
      <c r="DB834" s="12"/>
      <c r="DC834" s="9"/>
      <c r="DD834" s="10"/>
      <c r="DE834" s="71"/>
      <c r="EO834" s="367" t="str">
        <f t="shared" si="107"/>
        <v>SUCRE_DEPARTAMENTO</v>
      </c>
      <c r="EP834" s="368"/>
      <c r="EQ834" s="350" t="s">
        <v>4531</v>
      </c>
      <c r="ER834" s="358" t="s">
        <v>4532</v>
      </c>
      <c r="ES834" s="350" t="s">
        <v>5511</v>
      </c>
      <c r="ET834" s="350" t="s">
        <v>3468</v>
      </c>
      <c r="EU834" s="350" t="str">
        <f t="shared" si="109"/>
        <v>Risaralda_Dosquebradas</v>
      </c>
    </row>
    <row r="835" spans="1:151" ht="156" x14ac:dyDescent="0.2">
      <c r="A835" s="242">
        <v>40374</v>
      </c>
      <c r="B835" s="107" t="s">
        <v>2372</v>
      </c>
      <c r="C835" s="107" t="s">
        <v>881</v>
      </c>
      <c r="D835" s="427" t="s">
        <v>837</v>
      </c>
      <c r="E835" s="107" t="str">
        <f>VLOOKUP(B835&amp;C835,Divipola!$C$2:$F$1138,4,FALSE)</f>
        <v>70678</v>
      </c>
      <c r="F835" s="330"/>
      <c r="G835" s="224"/>
      <c r="H835" s="75"/>
      <c r="I835" s="75"/>
      <c r="J835" s="75">
        <f>19561-135</f>
        <v>19426</v>
      </c>
      <c r="K835" s="75">
        <f>5589-27</f>
        <v>5562</v>
      </c>
      <c r="L835" s="75">
        <v>6</v>
      </c>
      <c r="M835" s="75">
        <f>3560-27</f>
        <v>3533</v>
      </c>
      <c r="N835" s="75"/>
      <c r="O835" s="75"/>
      <c r="P835" s="75"/>
      <c r="Q835" s="75"/>
      <c r="R835" s="75"/>
      <c r="S835" s="75"/>
      <c r="T835" s="75"/>
      <c r="U835" s="75"/>
      <c r="V835" s="76">
        <v>4052</v>
      </c>
      <c r="W835" s="205"/>
      <c r="X835" s="1">
        <v>40434</v>
      </c>
      <c r="Y835" s="78">
        <f t="shared" ref="Y835:Y898" si="110">CV835</f>
        <v>201204000</v>
      </c>
      <c r="Z835" s="78">
        <f t="shared" ref="Z835:Z898" si="111">CZ835</f>
        <v>1162630000</v>
      </c>
      <c r="AA835" s="78">
        <f t="shared" si="108"/>
        <v>0</v>
      </c>
      <c r="AB835" s="78">
        <f t="shared" ref="AB835:AB898" si="112">CX835</f>
        <v>0</v>
      </c>
      <c r="AC835" s="78"/>
      <c r="AD835" s="78">
        <v>0</v>
      </c>
      <c r="AE835" s="80">
        <f t="shared" si="105"/>
        <v>1363834000</v>
      </c>
      <c r="AF835" s="82">
        <v>0</v>
      </c>
      <c r="AG835" s="69">
        <v>40385</v>
      </c>
      <c r="AH835" s="94" t="s">
        <v>3024</v>
      </c>
      <c r="AI835" s="69" t="s">
        <v>2009</v>
      </c>
      <c r="AJ835" s="25" t="s">
        <v>2010</v>
      </c>
      <c r="AK835" s="88" t="s">
        <v>3025</v>
      </c>
      <c r="AL835" s="185" t="s">
        <v>163</v>
      </c>
      <c r="AM835" s="85" t="s">
        <v>1530</v>
      </c>
      <c r="AN835" s="3"/>
      <c r="AO835" s="4"/>
      <c r="AP835" s="5"/>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v>11178</v>
      </c>
      <c r="CO835" s="4">
        <f>11178*18000</f>
        <v>201204000</v>
      </c>
      <c r="CP835" s="6"/>
      <c r="CQ835" s="7"/>
      <c r="CR835" s="6"/>
      <c r="CS835" s="7"/>
      <c r="CT835" s="6"/>
      <c r="CU835" s="7"/>
      <c r="CV835" s="8">
        <f t="shared" ref="CV835:CV898" si="113">AO835+AQ835+AS835+AU835+AW835+AY835+BA835+BC835+BE835+BG835+BI835+BK835+BM835+BO835+BQ835+BS835+BU835+BW835+BY835+CA835+CC835+CE835+CG835+CI835+CK835+CM835+CO835+CQ835+CS835+CU835</f>
        <v>201204000</v>
      </c>
      <c r="CW835" s="9"/>
      <c r="CX835" s="10"/>
      <c r="CY835" s="11">
        <f>1000+1500+5589+5589</f>
        <v>13678</v>
      </c>
      <c r="CZ835" s="12">
        <f>1000*85000+1500*85000+5589*85000+5589*85000</f>
        <v>1162630000</v>
      </c>
      <c r="DA835" s="29"/>
      <c r="DB835" s="12"/>
      <c r="DC835" s="9"/>
      <c r="DD835" s="10"/>
      <c r="DE835" s="71"/>
      <c r="EO835" s="367" t="str">
        <f t="shared" si="107"/>
        <v>SUCRE_SAN BENITO ABAD</v>
      </c>
      <c r="EP835" s="368"/>
      <c r="EQ835" s="350" t="s">
        <v>4531</v>
      </c>
      <c r="ER835" s="358" t="s">
        <v>4532</v>
      </c>
      <c r="ES835" s="350" t="s">
        <v>5512</v>
      </c>
      <c r="ET835" s="350" t="s">
        <v>3469</v>
      </c>
      <c r="EU835" s="350" t="str">
        <f t="shared" si="109"/>
        <v>Risaralda_Guatica</v>
      </c>
    </row>
    <row r="836" spans="1:151" ht="38.25" x14ac:dyDescent="0.2">
      <c r="A836" s="242">
        <v>40374.972222222219</v>
      </c>
      <c r="B836" s="107" t="s">
        <v>6305</v>
      </c>
      <c r="C836" s="107" t="s">
        <v>6305</v>
      </c>
      <c r="D836" s="430" t="s">
        <v>2307</v>
      </c>
      <c r="E836" s="107" t="str">
        <f>VLOOKUP(B836&amp;C836,Divipola!$C$2:$F$1138,4,FALSE)</f>
        <v>11001</v>
      </c>
      <c r="F836" s="333"/>
      <c r="G836" s="221"/>
      <c r="H836" s="157"/>
      <c r="I836" s="157"/>
      <c r="J836" s="157"/>
      <c r="K836" s="414"/>
      <c r="L836" s="157"/>
      <c r="M836" s="157"/>
      <c r="N836" s="157"/>
      <c r="O836" s="157"/>
      <c r="P836" s="157"/>
      <c r="Q836" s="157"/>
      <c r="R836" s="157"/>
      <c r="S836" s="157"/>
      <c r="T836" s="157"/>
      <c r="U836" s="157"/>
      <c r="V836" s="158"/>
      <c r="W836" s="182"/>
      <c r="X836" s="1"/>
      <c r="Y836" s="78">
        <f t="shared" si="110"/>
        <v>0</v>
      </c>
      <c r="Z836" s="78">
        <f t="shared" si="111"/>
        <v>0</v>
      </c>
      <c r="AA836" s="78">
        <f t="shared" si="108"/>
        <v>0</v>
      </c>
      <c r="AB836" s="78">
        <f t="shared" si="112"/>
        <v>0</v>
      </c>
      <c r="AC836" s="78"/>
      <c r="AD836" s="78">
        <v>0</v>
      </c>
      <c r="AE836" s="80">
        <f t="shared" si="105"/>
        <v>0</v>
      </c>
      <c r="AF836" s="82">
        <v>0</v>
      </c>
      <c r="AG836" s="306">
        <v>40624</v>
      </c>
      <c r="AH836" s="307"/>
      <c r="AI836" s="306" t="s">
        <v>1984</v>
      </c>
      <c r="AJ836" s="308" t="s">
        <v>1985</v>
      </c>
      <c r="AK836" s="309"/>
      <c r="AL836" s="310" t="s">
        <v>1257</v>
      </c>
      <c r="AM836" s="413" t="s">
        <v>3744</v>
      </c>
      <c r="AN836" s="175"/>
      <c r="AO836" s="160"/>
      <c r="AP836" s="161"/>
      <c r="AQ836" s="160"/>
      <c r="AR836" s="160"/>
      <c r="AS836" s="160"/>
      <c r="AT836" s="160"/>
      <c r="AU836" s="160"/>
      <c r="AV836" s="160"/>
      <c r="AW836" s="160"/>
      <c r="AX836" s="160"/>
      <c r="AY836" s="160"/>
      <c r="AZ836" s="160"/>
      <c r="BA836" s="160"/>
      <c r="BB836" s="160"/>
      <c r="BC836" s="160"/>
      <c r="BD836" s="160"/>
      <c r="BE836" s="160"/>
      <c r="BF836" s="160"/>
      <c r="BG836" s="160"/>
      <c r="BH836" s="160"/>
      <c r="BI836" s="160"/>
      <c r="BJ836" s="160"/>
      <c r="BK836" s="160"/>
      <c r="BL836" s="160"/>
      <c r="BM836" s="160"/>
      <c r="BN836" s="160"/>
      <c r="BO836" s="160"/>
      <c r="BP836" s="160"/>
      <c r="BQ836" s="160"/>
      <c r="BR836" s="160"/>
      <c r="BS836" s="160"/>
      <c r="BT836" s="160"/>
      <c r="BU836" s="160"/>
      <c r="BV836" s="160"/>
      <c r="BW836" s="160"/>
      <c r="BX836" s="160"/>
      <c r="BY836" s="160"/>
      <c r="BZ836" s="160"/>
      <c r="CA836" s="160"/>
      <c r="CB836" s="160"/>
      <c r="CC836" s="160"/>
      <c r="CD836" s="160"/>
      <c r="CE836" s="160"/>
      <c r="CF836" s="160"/>
      <c r="CG836" s="160"/>
      <c r="CH836" s="160"/>
      <c r="CI836" s="160"/>
      <c r="CJ836" s="160"/>
      <c r="CK836" s="160"/>
      <c r="CL836" s="160"/>
      <c r="CM836" s="160"/>
      <c r="CN836" s="160"/>
      <c r="CO836" s="160"/>
      <c r="CP836" s="162"/>
      <c r="CQ836" s="163"/>
      <c r="CR836" s="162"/>
      <c r="CS836" s="163"/>
      <c r="CT836" s="162"/>
      <c r="CU836" s="163"/>
      <c r="CV836" s="164">
        <f t="shared" si="113"/>
        <v>0</v>
      </c>
      <c r="CW836" s="165"/>
      <c r="CX836" s="166"/>
      <c r="CY836" s="167"/>
      <c r="CZ836" s="168"/>
      <c r="DA836" s="169"/>
      <c r="DB836" s="168"/>
      <c r="DC836" s="165"/>
      <c r="DD836" s="166"/>
      <c r="DE836" s="71"/>
      <c r="DF836" s="170"/>
      <c r="EO836" s="353" t="str">
        <f t="shared" si="107"/>
        <v>BOGOTA, D.C._BOGOTA, D.C.</v>
      </c>
      <c r="EP836" s="350"/>
      <c r="EQ836" s="350" t="s">
        <v>4531</v>
      </c>
      <c r="ER836" s="358" t="s">
        <v>4532</v>
      </c>
      <c r="ES836" s="350" t="s">
        <v>5513</v>
      </c>
      <c r="ET836" s="350" t="s">
        <v>3470</v>
      </c>
      <c r="EU836" s="350" t="str">
        <f t="shared" si="109"/>
        <v>Risaralda_La Celia</v>
      </c>
    </row>
    <row r="837" spans="1:151" ht="180" x14ac:dyDescent="0.2">
      <c r="A837" s="246">
        <v>40375</v>
      </c>
      <c r="B837" s="238" t="s">
        <v>2401</v>
      </c>
      <c r="C837" s="238" t="s">
        <v>1590</v>
      </c>
      <c r="D837" s="431" t="s">
        <v>837</v>
      </c>
      <c r="E837" s="107" t="str">
        <f>VLOOKUP(B837&amp;C837,Divipola!$C$2:$F$1138,4,FALSE)</f>
        <v>05154</v>
      </c>
      <c r="F837" s="334"/>
      <c r="G837" s="224"/>
      <c r="H837" s="75"/>
      <c r="I837" s="75"/>
      <c r="J837" s="75"/>
      <c r="K837" s="75"/>
      <c r="L837" s="75"/>
      <c r="M837" s="75"/>
      <c r="N837" s="75"/>
      <c r="O837" s="75"/>
      <c r="P837" s="75"/>
      <c r="Q837" s="75"/>
      <c r="R837" s="75"/>
      <c r="S837" s="75"/>
      <c r="T837" s="75"/>
      <c r="U837" s="75"/>
      <c r="V837" s="76"/>
      <c r="W837" s="205"/>
      <c r="X837" s="1"/>
      <c r="Y837" s="78">
        <f t="shared" si="110"/>
        <v>0</v>
      </c>
      <c r="Z837" s="78">
        <f t="shared" si="111"/>
        <v>0</v>
      </c>
      <c r="AA837" s="78">
        <f t="shared" si="108"/>
        <v>0</v>
      </c>
      <c r="AB837" s="78">
        <f t="shared" si="112"/>
        <v>0</v>
      </c>
      <c r="AC837" s="78"/>
      <c r="AD837" s="78">
        <v>0</v>
      </c>
      <c r="AE837" s="80">
        <f t="shared" si="105"/>
        <v>0</v>
      </c>
      <c r="AF837" s="82">
        <v>0</v>
      </c>
      <c r="AG837" s="69">
        <v>40377</v>
      </c>
      <c r="AH837" s="84"/>
      <c r="AI837" s="69" t="s">
        <v>1984</v>
      </c>
      <c r="AJ837" s="25" t="s">
        <v>1985</v>
      </c>
      <c r="AK837" s="65"/>
      <c r="AL837" s="185" t="s">
        <v>1257</v>
      </c>
      <c r="AM837" s="85" t="s">
        <v>1529</v>
      </c>
      <c r="AN837" s="3"/>
      <c r="AO837" s="4"/>
      <c r="AP837" s="5"/>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6"/>
      <c r="CQ837" s="7"/>
      <c r="CR837" s="6"/>
      <c r="CS837" s="7"/>
      <c r="CT837" s="6"/>
      <c r="CU837" s="7"/>
      <c r="CV837" s="8">
        <f t="shared" si="113"/>
        <v>0</v>
      </c>
      <c r="CW837" s="9"/>
      <c r="CX837" s="10"/>
      <c r="CY837" s="11"/>
      <c r="CZ837" s="12"/>
      <c r="DA837" s="29"/>
      <c r="DB837" s="12"/>
      <c r="DC837" s="9"/>
      <c r="DD837" s="10"/>
      <c r="DE837" s="71"/>
      <c r="EO837" s="353" t="str">
        <f t="shared" si="107"/>
        <v>ANTIOQUIA_CAUCASIA</v>
      </c>
      <c r="EP837" s="350"/>
      <c r="EQ837" s="350" t="s">
        <v>4531</v>
      </c>
      <c r="ER837" s="358" t="s">
        <v>4532</v>
      </c>
      <c r="ES837" s="350" t="s">
        <v>5514</v>
      </c>
      <c r="ET837" s="350" t="s">
        <v>3471</v>
      </c>
      <c r="EU837" s="350" t="str">
        <f t="shared" si="109"/>
        <v>Risaralda_La Virginia</v>
      </c>
    </row>
    <row r="838" spans="1:151" ht="25.5" x14ac:dyDescent="0.2">
      <c r="A838" s="246">
        <v>40375</v>
      </c>
      <c r="B838" s="238" t="s">
        <v>2401</v>
      </c>
      <c r="C838" s="238" t="s">
        <v>3935</v>
      </c>
      <c r="D838" s="431" t="s">
        <v>837</v>
      </c>
      <c r="E838" s="107" t="str">
        <f>VLOOKUP(B838&amp;C838,Divipola!$C$2:$F$1138,4,FALSE)</f>
        <v>05250</v>
      </c>
      <c r="F838" s="334"/>
      <c r="G838" s="224"/>
      <c r="H838" s="75"/>
      <c r="I838" s="75"/>
      <c r="J838" s="75">
        <v>1000</v>
      </c>
      <c r="K838" s="75">
        <v>200</v>
      </c>
      <c r="L838" s="75"/>
      <c r="M838" s="75">
        <v>200</v>
      </c>
      <c r="N838" s="75"/>
      <c r="O838" s="75"/>
      <c r="P838" s="75"/>
      <c r="Q838" s="75"/>
      <c r="R838" s="75"/>
      <c r="S838" s="75"/>
      <c r="T838" s="75"/>
      <c r="U838" s="75"/>
      <c r="V838" s="76"/>
      <c r="W838" s="205"/>
      <c r="X838" s="1"/>
      <c r="Y838" s="78">
        <f t="shared" si="110"/>
        <v>0</v>
      </c>
      <c r="Z838" s="78">
        <f t="shared" si="111"/>
        <v>0</v>
      </c>
      <c r="AA838" s="78">
        <f t="shared" si="108"/>
        <v>0</v>
      </c>
      <c r="AB838" s="78">
        <f t="shared" si="112"/>
        <v>0</v>
      </c>
      <c r="AC838" s="78"/>
      <c r="AD838" s="78">
        <v>0</v>
      </c>
      <c r="AE838" s="80">
        <f t="shared" si="105"/>
        <v>0</v>
      </c>
      <c r="AF838" s="82">
        <v>0</v>
      </c>
      <c r="AG838" s="69">
        <v>40377</v>
      </c>
      <c r="AH838" s="84"/>
      <c r="AI838" s="69" t="s">
        <v>2009</v>
      </c>
      <c r="AJ838" s="25" t="s">
        <v>2010</v>
      </c>
      <c r="AK838" s="65"/>
      <c r="AL838" s="184" t="s">
        <v>2519</v>
      </c>
      <c r="AM838" s="85" t="s">
        <v>1591</v>
      </c>
      <c r="AN838" s="3"/>
      <c r="AO838" s="4"/>
      <c r="AP838" s="5"/>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6"/>
      <c r="CQ838" s="7"/>
      <c r="CR838" s="6"/>
      <c r="CS838" s="7"/>
      <c r="CT838" s="6"/>
      <c r="CU838" s="7"/>
      <c r="CV838" s="8">
        <f t="shared" si="113"/>
        <v>0</v>
      </c>
      <c r="CW838" s="9"/>
      <c r="CX838" s="10"/>
      <c r="CY838" s="11"/>
      <c r="CZ838" s="12"/>
      <c r="DA838" s="29"/>
      <c r="DB838" s="12"/>
      <c r="DC838" s="9"/>
      <c r="DD838" s="10"/>
      <c r="DE838" s="71"/>
      <c r="EO838" s="353" t="str">
        <f t="shared" si="107"/>
        <v>ANTIOQUIA_EL BAGRE</v>
      </c>
      <c r="EP838" s="350"/>
      <c r="EQ838" s="368" t="s">
        <v>4531</v>
      </c>
      <c r="ER838" s="358" t="s">
        <v>4532</v>
      </c>
      <c r="ES838" s="368" t="s">
        <v>5516</v>
      </c>
      <c r="ET838" s="368" t="s">
        <v>3472</v>
      </c>
      <c r="EU838" s="368" t="str">
        <f t="shared" si="109"/>
        <v>Risaralda_Mistrato</v>
      </c>
    </row>
    <row r="839" spans="1:151" ht="25.5" x14ac:dyDescent="0.2">
      <c r="A839" s="246">
        <v>40375</v>
      </c>
      <c r="B839" s="238" t="s">
        <v>2401</v>
      </c>
      <c r="C839" s="238" t="s">
        <v>2747</v>
      </c>
      <c r="D839" s="431" t="s">
        <v>2307</v>
      </c>
      <c r="E839" s="107" t="str">
        <f>VLOOKUP(B839&amp;C839,Divipola!$C$2:$F$1138,4,FALSE)</f>
        <v>05001</v>
      </c>
      <c r="F839" s="334"/>
      <c r="G839" s="224"/>
      <c r="H839" s="75"/>
      <c r="I839" s="75"/>
      <c r="J839" s="75">
        <v>5</v>
      </c>
      <c r="K839" s="75">
        <v>1</v>
      </c>
      <c r="L839" s="75"/>
      <c r="M839" s="75">
        <v>1</v>
      </c>
      <c r="N839" s="75"/>
      <c r="O839" s="75"/>
      <c r="P839" s="75"/>
      <c r="Q839" s="75"/>
      <c r="R839" s="75"/>
      <c r="S839" s="75"/>
      <c r="T839" s="75"/>
      <c r="U839" s="75"/>
      <c r="V839" s="76"/>
      <c r="W839" s="205"/>
      <c r="X839" s="1"/>
      <c r="Y839" s="78">
        <f t="shared" si="110"/>
        <v>0</v>
      </c>
      <c r="Z839" s="78">
        <f t="shared" si="111"/>
        <v>0</v>
      </c>
      <c r="AA839" s="78">
        <f t="shared" si="108"/>
        <v>0</v>
      </c>
      <c r="AB839" s="78">
        <f t="shared" si="112"/>
        <v>0</v>
      </c>
      <c r="AC839" s="78"/>
      <c r="AD839" s="78">
        <v>0</v>
      </c>
      <c r="AE839" s="80">
        <f t="shared" si="105"/>
        <v>0</v>
      </c>
      <c r="AF839" s="82">
        <v>0</v>
      </c>
      <c r="AG839" s="69">
        <v>40377</v>
      </c>
      <c r="AH839" s="84"/>
      <c r="AI839" s="69" t="s">
        <v>1984</v>
      </c>
      <c r="AJ839" s="25" t="s">
        <v>1985</v>
      </c>
      <c r="AK839" s="65"/>
      <c r="AL839" s="185" t="s">
        <v>1257</v>
      </c>
      <c r="AM839" s="85" t="s">
        <v>1589</v>
      </c>
      <c r="AN839" s="3"/>
      <c r="AO839" s="4"/>
      <c r="AP839" s="5"/>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6"/>
      <c r="CQ839" s="7"/>
      <c r="CR839" s="6"/>
      <c r="CS839" s="7"/>
      <c r="CT839" s="6"/>
      <c r="CU839" s="7"/>
      <c r="CV839" s="8">
        <f t="shared" si="113"/>
        <v>0</v>
      </c>
      <c r="CW839" s="9"/>
      <c r="CX839" s="10"/>
      <c r="CY839" s="11"/>
      <c r="CZ839" s="12"/>
      <c r="DA839" s="29"/>
      <c r="DB839" s="12"/>
      <c r="DC839" s="9"/>
      <c r="DD839" s="10"/>
      <c r="DE839" s="71"/>
      <c r="EO839" s="353" t="str">
        <f t="shared" si="107"/>
        <v>ANTIOQUIA_MEDELLIN</v>
      </c>
      <c r="EP839" s="350"/>
      <c r="EQ839" s="350" t="s">
        <v>4531</v>
      </c>
      <c r="ER839" s="358" t="s">
        <v>4532</v>
      </c>
      <c r="ES839" s="350" t="s">
        <v>5517</v>
      </c>
      <c r="ET839" s="350" t="s">
        <v>3473</v>
      </c>
      <c r="EU839" s="350" t="str">
        <f t="shared" si="109"/>
        <v>Risaralda_Pueblo Rico</v>
      </c>
    </row>
    <row r="840" spans="1:151" ht="56.25" x14ac:dyDescent="0.2">
      <c r="A840" s="246">
        <v>40375</v>
      </c>
      <c r="B840" s="238" t="s">
        <v>2401</v>
      </c>
      <c r="C840" s="238" t="s">
        <v>1253</v>
      </c>
      <c r="D840" s="431" t="s">
        <v>837</v>
      </c>
      <c r="E840" s="107" t="str">
        <f>VLOOKUP(B840&amp;C840,Divipola!$C$2:$F$1138,4,FALSE)</f>
        <v>05495</v>
      </c>
      <c r="F840" s="334"/>
      <c r="G840" s="224"/>
      <c r="H840" s="75"/>
      <c r="I840" s="75"/>
      <c r="J840" s="75"/>
      <c r="K840" s="75"/>
      <c r="L840" s="75"/>
      <c r="M840" s="75"/>
      <c r="N840" s="75"/>
      <c r="O840" s="75"/>
      <c r="P840" s="75"/>
      <c r="Q840" s="75"/>
      <c r="R840" s="75"/>
      <c r="S840" s="75"/>
      <c r="T840" s="75"/>
      <c r="U840" s="75"/>
      <c r="V840" s="76"/>
      <c r="W840" s="205"/>
      <c r="X840" s="1">
        <v>40396</v>
      </c>
      <c r="Y840" s="78">
        <f t="shared" si="110"/>
        <v>142418500</v>
      </c>
      <c r="Z840" s="78">
        <f t="shared" si="111"/>
        <v>127500000</v>
      </c>
      <c r="AA840" s="78">
        <f t="shared" si="108"/>
        <v>0</v>
      </c>
      <c r="AB840" s="78">
        <f t="shared" si="112"/>
        <v>18100000</v>
      </c>
      <c r="AC840" s="78">
        <f>350*25288+150*17400</f>
        <v>11460800</v>
      </c>
      <c r="AD840" s="78">
        <v>0</v>
      </c>
      <c r="AE840" s="80">
        <f t="shared" si="105"/>
        <v>299479300</v>
      </c>
      <c r="AF840" s="82">
        <v>0</v>
      </c>
      <c r="AG840" s="69">
        <v>40378</v>
      </c>
      <c r="AH840" s="84">
        <v>36530</v>
      </c>
      <c r="AI840" s="69" t="s">
        <v>2009</v>
      </c>
      <c r="AJ840" s="25" t="s">
        <v>2010</v>
      </c>
      <c r="AK840" s="88" t="s">
        <v>2927</v>
      </c>
      <c r="AL840" s="185" t="s">
        <v>1831</v>
      </c>
      <c r="AM840" s="85" t="s">
        <v>493</v>
      </c>
      <c r="AN840" s="3"/>
      <c r="AO840" s="4"/>
      <c r="AP840" s="5"/>
      <c r="AQ840" s="4"/>
      <c r="AR840" s="4"/>
      <c r="AS840" s="4"/>
      <c r="AT840" s="4"/>
      <c r="AU840" s="4"/>
      <c r="AV840" s="4"/>
      <c r="AW840" s="4"/>
      <c r="AX840" s="4"/>
      <c r="AY840" s="4"/>
      <c r="AZ840" s="4"/>
      <c r="BA840" s="4"/>
      <c r="BB840" s="4"/>
      <c r="BC840" s="4"/>
      <c r="BD840" s="4"/>
      <c r="BE840" s="4"/>
      <c r="BF840" s="4"/>
      <c r="BG840" s="4"/>
      <c r="BH840" s="4"/>
      <c r="BI840" s="4"/>
      <c r="BJ840" s="4"/>
      <c r="BK840" s="4"/>
      <c r="BL840" s="4">
        <v>500</v>
      </c>
      <c r="BM840" s="4">
        <f>500*25500</f>
        <v>12750000</v>
      </c>
      <c r="BN840" s="4"/>
      <c r="BO840" s="4"/>
      <c r="BP840" s="4"/>
      <c r="BQ840" s="4"/>
      <c r="BR840" s="4"/>
      <c r="BS840" s="4"/>
      <c r="BT840" s="4"/>
      <c r="BU840" s="4"/>
      <c r="BV840" s="4"/>
      <c r="BW840" s="4"/>
      <c r="BX840" s="4"/>
      <c r="BY840" s="4"/>
      <c r="BZ840" s="4">
        <v>15</v>
      </c>
      <c r="CA840" s="4">
        <f>15*504600</f>
        <v>7569000</v>
      </c>
      <c r="CB840" s="4"/>
      <c r="CC840" s="4"/>
      <c r="CD840" s="4"/>
      <c r="CE840" s="4"/>
      <c r="CF840" s="4"/>
      <c r="CG840" s="4"/>
      <c r="CH840" s="4"/>
      <c r="CI840" s="4"/>
      <c r="CJ840" s="4">
        <v>500</v>
      </c>
      <c r="CK840" s="4">
        <f>500*22000</f>
        <v>11000000</v>
      </c>
      <c r="CL840" s="4"/>
      <c r="CM840" s="4"/>
      <c r="CN840" s="4"/>
      <c r="CO840" s="4"/>
      <c r="CP840" s="6">
        <f>1000+500</f>
        <v>1500</v>
      </c>
      <c r="CQ840" s="7">
        <f>1000*36952+500*36595</f>
        <v>55249500</v>
      </c>
      <c r="CR840" s="6">
        <f>1000+500</f>
        <v>1500</v>
      </c>
      <c r="CS840" s="7">
        <f>1000*36000+500*39700</f>
        <v>55850000</v>
      </c>
      <c r="CT840" s="6"/>
      <c r="CU840" s="7"/>
      <c r="CV840" s="8">
        <f t="shared" si="113"/>
        <v>142418500</v>
      </c>
      <c r="CW840" s="9">
        <v>20000</v>
      </c>
      <c r="CX840" s="10">
        <f>20000*905</f>
        <v>18100000</v>
      </c>
      <c r="CY840" s="11">
        <f>1000+500</f>
        <v>1500</v>
      </c>
      <c r="CZ840" s="12">
        <f>1000*85000+500*85000</f>
        <v>127500000</v>
      </c>
      <c r="DA840" s="29"/>
      <c r="DB840" s="12"/>
      <c r="DC840" s="9"/>
      <c r="DD840" s="10"/>
      <c r="DE840" s="71"/>
      <c r="EO840" s="353" t="str">
        <f t="shared" si="107"/>
        <v>ANTIOQUIA_NECHI</v>
      </c>
      <c r="EP840" s="350"/>
      <c r="EQ840" s="350" t="s">
        <v>4531</v>
      </c>
      <c r="ER840" s="358" t="s">
        <v>4532</v>
      </c>
      <c r="ES840" s="350" t="s">
        <v>5518</v>
      </c>
      <c r="ET840" s="350" t="s">
        <v>3474</v>
      </c>
      <c r="EU840" s="350" t="str">
        <f t="shared" si="109"/>
        <v>Risaralda_Quinchia</v>
      </c>
    </row>
    <row r="841" spans="1:151" ht="48" x14ac:dyDescent="0.2">
      <c r="A841" s="246">
        <v>40375</v>
      </c>
      <c r="B841" s="238" t="s">
        <v>2401</v>
      </c>
      <c r="C841" s="238" t="s">
        <v>1201</v>
      </c>
      <c r="D841" s="431" t="s">
        <v>837</v>
      </c>
      <c r="E841" s="107" t="str">
        <f>VLOOKUP(B841&amp;C841,Divipola!$C$2:$F$1138,4,FALSE)</f>
        <v>05858</v>
      </c>
      <c r="F841" s="334"/>
      <c r="G841" s="224"/>
      <c r="H841" s="75">
        <v>5</v>
      </c>
      <c r="I841" s="75"/>
      <c r="J841" s="75">
        <v>600</v>
      </c>
      <c r="K841" s="75">
        <v>141</v>
      </c>
      <c r="L841" s="75">
        <v>11</v>
      </c>
      <c r="M841" s="75">
        <v>130</v>
      </c>
      <c r="N841" s="75"/>
      <c r="O841" s="75"/>
      <c r="P841" s="75"/>
      <c r="Q841" s="75"/>
      <c r="R841" s="75"/>
      <c r="S841" s="75"/>
      <c r="T841" s="75"/>
      <c r="U841" s="75"/>
      <c r="V841" s="76"/>
      <c r="W841" s="205"/>
      <c r="X841" s="1"/>
      <c r="Y841" s="78">
        <f t="shared" si="110"/>
        <v>0</v>
      </c>
      <c r="Z841" s="78">
        <f t="shared" si="111"/>
        <v>0</v>
      </c>
      <c r="AA841" s="78">
        <f t="shared" si="108"/>
        <v>0</v>
      </c>
      <c r="AB841" s="78">
        <f t="shared" si="112"/>
        <v>0</v>
      </c>
      <c r="AC841" s="78"/>
      <c r="AD841" s="78">
        <v>0</v>
      </c>
      <c r="AE841" s="80">
        <f t="shared" ref="AE841:AE904" si="114">Y841+Z841+AA841+AB841+AC841+AD841</f>
        <v>0</v>
      </c>
      <c r="AF841" s="82">
        <v>0</v>
      </c>
      <c r="AG841" s="69">
        <v>40381</v>
      </c>
      <c r="AH841" s="84"/>
      <c r="AI841" s="69" t="s">
        <v>1984</v>
      </c>
      <c r="AJ841" s="25" t="s">
        <v>1985</v>
      </c>
      <c r="AK841" s="65"/>
      <c r="AL841" s="185" t="s">
        <v>1257</v>
      </c>
      <c r="AM841" s="85" t="s">
        <v>2235</v>
      </c>
      <c r="AN841" s="3"/>
      <c r="AO841" s="4"/>
      <c r="AP841" s="5"/>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6"/>
      <c r="CQ841" s="7"/>
      <c r="CR841" s="6"/>
      <c r="CS841" s="7"/>
      <c r="CT841" s="6"/>
      <c r="CU841" s="7"/>
      <c r="CV841" s="8">
        <f t="shared" si="113"/>
        <v>0</v>
      </c>
      <c r="CW841" s="9"/>
      <c r="CX841" s="10"/>
      <c r="CY841" s="11"/>
      <c r="CZ841" s="12"/>
      <c r="DA841" s="29"/>
      <c r="DB841" s="12"/>
      <c r="DC841" s="9"/>
      <c r="DD841" s="10"/>
      <c r="DE841" s="71"/>
      <c r="EO841" s="353" t="str">
        <f t="shared" si="107"/>
        <v>ANTIOQUIA_VEGACHI</v>
      </c>
      <c r="EP841" s="350"/>
      <c r="EQ841" s="350" t="s">
        <v>4531</v>
      </c>
      <c r="ER841" s="358" t="s">
        <v>4532</v>
      </c>
      <c r="ES841" s="350" t="s">
        <v>5519</v>
      </c>
      <c r="ET841" s="350" t="s">
        <v>3475</v>
      </c>
      <c r="EU841" s="350" t="str">
        <f t="shared" si="109"/>
        <v>Risaralda_Santa Rosa de Cabal</v>
      </c>
    </row>
    <row r="842" spans="1:151" ht="38.25" x14ac:dyDescent="0.2">
      <c r="A842" s="242">
        <v>40375</v>
      </c>
      <c r="B842" s="107" t="s">
        <v>828</v>
      </c>
      <c r="C842" s="107" t="s">
        <v>1584</v>
      </c>
      <c r="D842" s="427" t="s">
        <v>2307</v>
      </c>
      <c r="E842" s="107" t="str">
        <f>VLOOKUP(B842&amp;C842,Divipola!$C$2:$F$1138,4,FALSE)</f>
        <v>15507</v>
      </c>
      <c r="F842" s="330"/>
      <c r="G842" s="224">
        <v>1</v>
      </c>
      <c r="H842" s="75"/>
      <c r="I842" s="75"/>
      <c r="J842" s="75"/>
      <c r="K842" s="75"/>
      <c r="L842" s="75"/>
      <c r="M842" s="75"/>
      <c r="N842" s="75"/>
      <c r="O842" s="75"/>
      <c r="P842" s="75"/>
      <c r="Q842" s="75"/>
      <c r="R842" s="75"/>
      <c r="S842" s="75"/>
      <c r="T842" s="75"/>
      <c r="U842" s="75"/>
      <c r="V842" s="76"/>
      <c r="W842" s="205"/>
      <c r="X842" s="1"/>
      <c r="Y842" s="78">
        <f t="shared" si="110"/>
        <v>0</v>
      </c>
      <c r="Z842" s="78">
        <f t="shared" si="111"/>
        <v>0</v>
      </c>
      <c r="AA842" s="78">
        <f t="shared" si="108"/>
        <v>0</v>
      </c>
      <c r="AB842" s="78">
        <f t="shared" si="112"/>
        <v>0</v>
      </c>
      <c r="AC842" s="78"/>
      <c r="AD842" s="78">
        <v>0</v>
      </c>
      <c r="AE842" s="80">
        <f t="shared" si="114"/>
        <v>0</v>
      </c>
      <c r="AF842" s="82">
        <v>0</v>
      </c>
      <c r="AG842" s="69">
        <v>40377</v>
      </c>
      <c r="AH842" s="84"/>
      <c r="AI842" s="69" t="s">
        <v>2009</v>
      </c>
      <c r="AJ842" s="25" t="s">
        <v>2010</v>
      </c>
      <c r="AK842" s="65"/>
      <c r="AL842" s="184" t="s">
        <v>1678</v>
      </c>
      <c r="AM842" s="85" t="s">
        <v>1585</v>
      </c>
      <c r="AN842" s="3"/>
      <c r="AO842" s="4"/>
      <c r="AP842" s="5"/>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6"/>
      <c r="CQ842" s="7"/>
      <c r="CR842" s="6"/>
      <c r="CS842" s="7"/>
      <c r="CT842" s="6"/>
      <c r="CU842" s="7"/>
      <c r="CV842" s="8">
        <f t="shared" si="113"/>
        <v>0</v>
      </c>
      <c r="CW842" s="9"/>
      <c r="CX842" s="10"/>
      <c r="CY842" s="11"/>
      <c r="CZ842" s="12"/>
      <c r="DA842" s="29"/>
      <c r="DB842" s="12"/>
      <c r="DC842" s="9"/>
      <c r="DD842" s="10"/>
      <c r="DE842" s="71"/>
      <c r="DF842" s="23">
        <v>1166</v>
      </c>
      <c r="EO842" s="353" t="str">
        <f t="shared" si="107"/>
        <v>BOYACA_OTANCHE</v>
      </c>
      <c r="EP842" s="350"/>
      <c r="EQ842" s="350" t="s">
        <v>4535</v>
      </c>
      <c r="ER842" s="358" t="s">
        <v>4536</v>
      </c>
      <c r="ES842" s="350" t="s">
        <v>5521</v>
      </c>
      <c r="ET842" s="350" t="s">
        <v>3476</v>
      </c>
      <c r="EU842" s="350" t="str">
        <f t="shared" si="109"/>
        <v>Santander_Bucaramanga</v>
      </c>
    </row>
    <row r="843" spans="1:151" ht="25.5" x14ac:dyDescent="0.2">
      <c r="A843" s="242">
        <v>40375</v>
      </c>
      <c r="B843" s="107" t="s">
        <v>828</v>
      </c>
      <c r="C843" s="107" t="s">
        <v>1584</v>
      </c>
      <c r="D843" s="427" t="s">
        <v>2352</v>
      </c>
      <c r="E843" s="107" t="str">
        <f>VLOOKUP(B843&amp;C843,Divipola!$C$2:$F$1138,4,FALSE)</f>
        <v>15507</v>
      </c>
      <c r="F843" s="330"/>
      <c r="G843" s="224">
        <v>2</v>
      </c>
      <c r="H843" s="75"/>
      <c r="I843" s="75"/>
      <c r="J843" s="75"/>
      <c r="K843" s="75"/>
      <c r="L843" s="75"/>
      <c r="M843" s="75"/>
      <c r="N843" s="75"/>
      <c r="O843" s="75"/>
      <c r="P843" s="75"/>
      <c r="Q843" s="75"/>
      <c r="R843" s="75"/>
      <c r="S843" s="75"/>
      <c r="T843" s="75"/>
      <c r="U843" s="75"/>
      <c r="V843" s="76"/>
      <c r="W843" s="205"/>
      <c r="X843" s="1"/>
      <c r="Y843" s="78">
        <f t="shared" si="110"/>
        <v>0</v>
      </c>
      <c r="Z843" s="78">
        <f t="shared" si="111"/>
        <v>0</v>
      </c>
      <c r="AA843" s="78">
        <f t="shared" si="108"/>
        <v>0</v>
      </c>
      <c r="AB843" s="78">
        <f t="shared" si="112"/>
        <v>0</v>
      </c>
      <c r="AC843" s="78"/>
      <c r="AD843" s="78">
        <v>0</v>
      </c>
      <c r="AE843" s="80">
        <f t="shared" si="114"/>
        <v>0</v>
      </c>
      <c r="AF843" s="82">
        <v>0</v>
      </c>
      <c r="AG843" s="69">
        <v>40377</v>
      </c>
      <c r="AH843" s="84"/>
      <c r="AI843" s="69" t="s">
        <v>1984</v>
      </c>
      <c r="AJ843" s="25" t="s">
        <v>1985</v>
      </c>
      <c r="AK843" s="65"/>
      <c r="AL843" s="185" t="s">
        <v>1257</v>
      </c>
      <c r="AM843" s="85" t="s">
        <v>1588</v>
      </c>
      <c r="AN843" s="3"/>
      <c r="AO843" s="4"/>
      <c r="AP843" s="5"/>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6"/>
      <c r="CQ843" s="7"/>
      <c r="CR843" s="6"/>
      <c r="CS843" s="7"/>
      <c r="CT843" s="6"/>
      <c r="CU843" s="7"/>
      <c r="CV843" s="8">
        <f t="shared" si="113"/>
        <v>0</v>
      </c>
      <c r="CW843" s="9"/>
      <c r="CX843" s="10"/>
      <c r="CY843" s="11"/>
      <c r="CZ843" s="12"/>
      <c r="DA843" s="29"/>
      <c r="DB843" s="12"/>
      <c r="DC843" s="9"/>
      <c r="DD843" s="10"/>
      <c r="DE843" s="71"/>
      <c r="EO843" s="353" t="str">
        <f t="shared" si="107"/>
        <v>BOYACA_OTANCHE</v>
      </c>
      <c r="EP843" s="350"/>
      <c r="EQ843" s="350" t="s">
        <v>4535</v>
      </c>
      <c r="ER843" s="358" t="s">
        <v>4536</v>
      </c>
      <c r="ES843" s="350" t="s">
        <v>5522</v>
      </c>
      <c r="ET843" s="350" t="s">
        <v>3477</v>
      </c>
      <c r="EU843" s="350" t="str">
        <f t="shared" si="109"/>
        <v>Santander_Aguada</v>
      </c>
    </row>
    <row r="844" spans="1:151" ht="38.25" x14ac:dyDescent="0.2">
      <c r="A844" s="242">
        <v>40375</v>
      </c>
      <c r="B844" s="222" t="s">
        <v>2242</v>
      </c>
      <c r="C844" s="222" t="s">
        <v>1238</v>
      </c>
      <c r="D844" s="430" t="s">
        <v>837</v>
      </c>
      <c r="E844" s="107" t="str">
        <f>VLOOKUP(B844&amp;C844,Divipola!$C$2:$F$1138,4,FALSE)</f>
        <v>20013</v>
      </c>
      <c r="F844" s="333"/>
      <c r="G844" s="221"/>
      <c r="H844" s="157"/>
      <c r="I844" s="157"/>
      <c r="J844" s="157">
        <v>65</v>
      </c>
      <c r="K844" s="157">
        <v>13</v>
      </c>
      <c r="L844" s="157"/>
      <c r="M844" s="157">
        <v>13</v>
      </c>
      <c r="N844" s="157"/>
      <c r="O844" s="157"/>
      <c r="P844" s="157"/>
      <c r="Q844" s="157"/>
      <c r="R844" s="157"/>
      <c r="S844" s="157"/>
      <c r="T844" s="157"/>
      <c r="U844" s="157"/>
      <c r="V844" s="158"/>
      <c r="W844" s="182" t="s">
        <v>1240</v>
      </c>
      <c r="X844" s="1"/>
      <c r="Y844" s="78">
        <f t="shared" si="110"/>
        <v>0</v>
      </c>
      <c r="Z844" s="78">
        <f t="shared" si="111"/>
        <v>0</v>
      </c>
      <c r="AA844" s="78">
        <f t="shared" si="108"/>
        <v>0</v>
      </c>
      <c r="AB844" s="78">
        <f t="shared" si="112"/>
        <v>0</v>
      </c>
      <c r="AC844" s="78"/>
      <c r="AD844" s="78">
        <v>0</v>
      </c>
      <c r="AE844" s="80">
        <f t="shared" si="114"/>
        <v>0</v>
      </c>
      <c r="AF844" s="82">
        <v>0</v>
      </c>
      <c r="AG844" s="69">
        <v>40484</v>
      </c>
      <c r="AH844" s="84"/>
      <c r="AI844" s="69" t="s">
        <v>1984</v>
      </c>
      <c r="AJ844" s="25" t="s">
        <v>1985</v>
      </c>
      <c r="AK844" s="109"/>
      <c r="AL844" s="176" t="s">
        <v>1257</v>
      </c>
      <c r="AM844" s="249" t="s">
        <v>1239</v>
      </c>
      <c r="AN844" s="175"/>
      <c r="AO844" s="160"/>
      <c r="AP844" s="161"/>
      <c r="AQ844" s="160"/>
      <c r="AR844" s="160"/>
      <c r="AS844" s="160"/>
      <c r="AT844" s="160"/>
      <c r="AU844" s="160"/>
      <c r="AV844" s="160"/>
      <c r="AW844" s="160"/>
      <c r="AX844" s="160"/>
      <c r="AY844" s="160"/>
      <c r="AZ844" s="160"/>
      <c r="BA844" s="160"/>
      <c r="BB844" s="160"/>
      <c r="BC844" s="160"/>
      <c r="BD844" s="160"/>
      <c r="BE844" s="160"/>
      <c r="BF844" s="160"/>
      <c r="BG844" s="160"/>
      <c r="BH844" s="160"/>
      <c r="BI844" s="160"/>
      <c r="BJ844" s="160"/>
      <c r="BK844" s="160"/>
      <c r="BL844" s="160"/>
      <c r="BM844" s="160"/>
      <c r="BN844" s="160"/>
      <c r="BO844" s="160"/>
      <c r="BP844" s="160"/>
      <c r="BQ844" s="160"/>
      <c r="BR844" s="160"/>
      <c r="BS844" s="160"/>
      <c r="BT844" s="160"/>
      <c r="BU844" s="160"/>
      <c r="BV844" s="160"/>
      <c r="BW844" s="160"/>
      <c r="BX844" s="160"/>
      <c r="BY844" s="160"/>
      <c r="BZ844" s="160"/>
      <c r="CA844" s="160"/>
      <c r="CB844" s="160"/>
      <c r="CC844" s="160"/>
      <c r="CD844" s="160"/>
      <c r="CE844" s="160"/>
      <c r="CF844" s="160"/>
      <c r="CG844" s="160"/>
      <c r="CH844" s="160"/>
      <c r="CI844" s="160"/>
      <c r="CJ844" s="160"/>
      <c r="CK844" s="160"/>
      <c r="CL844" s="160"/>
      <c r="CM844" s="160"/>
      <c r="CN844" s="160"/>
      <c r="CO844" s="160"/>
      <c r="CP844" s="162"/>
      <c r="CQ844" s="163"/>
      <c r="CR844" s="162"/>
      <c r="CS844" s="163"/>
      <c r="CT844" s="162"/>
      <c r="CU844" s="163"/>
      <c r="CV844" s="164">
        <f t="shared" si="113"/>
        <v>0</v>
      </c>
      <c r="CW844" s="165"/>
      <c r="CX844" s="166"/>
      <c r="CY844" s="167"/>
      <c r="CZ844" s="168"/>
      <c r="DA844" s="169"/>
      <c r="DB844" s="168"/>
      <c r="DC844" s="165"/>
      <c r="DD844" s="166"/>
      <c r="DE844" s="71"/>
      <c r="DF844" s="170"/>
      <c r="EO844" s="353" t="str">
        <f t="shared" si="107"/>
        <v>CESAR_AGUSTIN CODAZZI</v>
      </c>
      <c r="EP844" s="350"/>
      <c r="EQ844" s="350" t="s">
        <v>4535</v>
      </c>
      <c r="ER844" s="358" t="s">
        <v>4536</v>
      </c>
      <c r="ES844" s="350" t="s">
        <v>5523</v>
      </c>
      <c r="ET844" s="350" t="s">
        <v>6167</v>
      </c>
      <c r="EU844" s="350" t="str">
        <f t="shared" si="109"/>
        <v>Santander_Albania</v>
      </c>
    </row>
    <row r="845" spans="1:151" ht="60" x14ac:dyDescent="0.2">
      <c r="A845" s="242">
        <v>40375</v>
      </c>
      <c r="B845" s="107" t="s">
        <v>1700</v>
      </c>
      <c r="C845" s="236" t="s">
        <v>2690</v>
      </c>
      <c r="D845" s="433" t="s">
        <v>837</v>
      </c>
      <c r="E845" s="107" t="str">
        <f>VLOOKUP(B845&amp;C845,Divipola!$C$2:$F$1138,4,FALSE)</f>
        <v>23417</v>
      </c>
      <c r="F845" s="335"/>
      <c r="G845" s="221"/>
      <c r="H845" s="157"/>
      <c r="I845" s="157"/>
      <c r="J845" s="157">
        <f>12*5</f>
        <v>60</v>
      </c>
      <c r="K845" s="157">
        <v>12</v>
      </c>
      <c r="L845" s="157">
        <v>12</v>
      </c>
      <c r="M845" s="157"/>
      <c r="N845" s="157"/>
      <c r="O845" s="157"/>
      <c r="P845" s="157"/>
      <c r="Q845" s="157"/>
      <c r="R845" s="157"/>
      <c r="S845" s="157"/>
      <c r="T845" s="157"/>
      <c r="U845" s="157"/>
      <c r="V845" s="158"/>
      <c r="W845" s="182"/>
      <c r="X845" s="1">
        <v>40424</v>
      </c>
      <c r="Y845" s="78">
        <f t="shared" si="110"/>
        <v>0</v>
      </c>
      <c r="Z845" s="78">
        <f t="shared" si="111"/>
        <v>0</v>
      </c>
      <c r="AA845" s="78">
        <f t="shared" si="108"/>
        <v>0</v>
      </c>
      <c r="AB845" s="78">
        <f t="shared" si="112"/>
        <v>0</v>
      </c>
      <c r="AC845" s="78"/>
      <c r="AD845" s="78">
        <v>165793200</v>
      </c>
      <c r="AE845" s="80">
        <f t="shared" si="114"/>
        <v>165793200</v>
      </c>
      <c r="AF845" s="82">
        <v>0</v>
      </c>
      <c r="AG845" s="69">
        <v>40386</v>
      </c>
      <c r="AH845" s="84">
        <v>37105</v>
      </c>
      <c r="AI845" s="69" t="s">
        <v>2009</v>
      </c>
      <c r="AJ845" s="25" t="s">
        <v>2010</v>
      </c>
      <c r="AK845" s="65">
        <v>29245</v>
      </c>
      <c r="AL845" s="176" t="s">
        <v>2182</v>
      </c>
      <c r="AM845" s="177" t="s">
        <v>205</v>
      </c>
      <c r="AN845" s="159"/>
      <c r="AO845" s="160"/>
      <c r="AP845" s="161"/>
      <c r="AQ845" s="160"/>
      <c r="AR845" s="160"/>
      <c r="AS845" s="160"/>
      <c r="AT845" s="160"/>
      <c r="AU845" s="160"/>
      <c r="AV845" s="160"/>
      <c r="AW845" s="160"/>
      <c r="AX845" s="160"/>
      <c r="AY845" s="160"/>
      <c r="AZ845" s="160"/>
      <c r="BA845" s="160"/>
      <c r="BB845" s="160"/>
      <c r="BC845" s="160"/>
      <c r="BD845" s="160"/>
      <c r="BE845" s="160"/>
      <c r="BF845" s="160"/>
      <c r="BG845" s="160"/>
      <c r="BH845" s="160"/>
      <c r="BI845" s="160"/>
      <c r="BJ845" s="160"/>
      <c r="BK845" s="160"/>
      <c r="BL845" s="160"/>
      <c r="BM845" s="160"/>
      <c r="BN845" s="160"/>
      <c r="BO845" s="160"/>
      <c r="BP845" s="160"/>
      <c r="BQ845" s="160"/>
      <c r="BR845" s="160"/>
      <c r="BS845" s="160"/>
      <c r="BT845" s="160"/>
      <c r="BU845" s="160"/>
      <c r="BV845" s="160"/>
      <c r="BW845" s="160"/>
      <c r="BX845" s="160"/>
      <c r="BY845" s="160"/>
      <c r="BZ845" s="160"/>
      <c r="CA845" s="160"/>
      <c r="CB845" s="160"/>
      <c r="CC845" s="160"/>
      <c r="CD845" s="160"/>
      <c r="CE845" s="160"/>
      <c r="CF845" s="160"/>
      <c r="CG845" s="160"/>
      <c r="CH845" s="160"/>
      <c r="CI845" s="160"/>
      <c r="CJ845" s="160"/>
      <c r="CK845" s="160"/>
      <c r="CL845" s="160"/>
      <c r="CM845" s="160"/>
      <c r="CN845" s="160"/>
      <c r="CO845" s="160"/>
      <c r="CP845" s="162"/>
      <c r="CQ845" s="163"/>
      <c r="CR845" s="162"/>
      <c r="CS845" s="163"/>
      <c r="CT845" s="162"/>
      <c r="CU845" s="163"/>
      <c r="CV845" s="164">
        <f t="shared" si="113"/>
        <v>0</v>
      </c>
      <c r="CW845" s="165"/>
      <c r="CX845" s="166"/>
      <c r="CY845" s="167"/>
      <c r="CZ845" s="168"/>
      <c r="DA845" s="169"/>
      <c r="DB845" s="168"/>
      <c r="DC845" s="165"/>
      <c r="DD845" s="166"/>
      <c r="DE845" s="71">
        <v>8</v>
      </c>
      <c r="DF845" s="170"/>
      <c r="EO845" s="353" t="str">
        <f t="shared" si="107"/>
        <v>CORDOBA_LORICA</v>
      </c>
      <c r="EP845" s="350"/>
      <c r="EQ845" s="350" t="s">
        <v>4535</v>
      </c>
      <c r="ER845" s="358" t="s">
        <v>4536</v>
      </c>
      <c r="ES845" s="350" t="s">
        <v>5524</v>
      </c>
      <c r="ET845" s="350" t="s">
        <v>3478</v>
      </c>
      <c r="EU845" s="350" t="str">
        <f t="shared" si="109"/>
        <v>Santander_Aratoca</v>
      </c>
    </row>
    <row r="846" spans="1:151" ht="36" x14ac:dyDescent="0.2">
      <c r="A846" s="242">
        <v>40375</v>
      </c>
      <c r="B846" s="107" t="s">
        <v>2013</v>
      </c>
      <c r="C846" s="107" t="s">
        <v>2013</v>
      </c>
      <c r="D846" s="427" t="s">
        <v>837</v>
      </c>
      <c r="E846" s="107" t="str">
        <f>VLOOKUP(B846&amp;C846,Divipola!$C$2:$F$1138,4,FALSE)</f>
        <v>00000</v>
      </c>
      <c r="F846" s="330"/>
      <c r="G846" s="224"/>
      <c r="H846" s="75"/>
      <c r="I846" s="75"/>
      <c r="J846" s="75"/>
      <c r="K846" s="75"/>
      <c r="L846" s="75"/>
      <c r="M846" s="75"/>
      <c r="N846" s="75"/>
      <c r="O846" s="75"/>
      <c r="P846" s="75"/>
      <c r="Q846" s="75"/>
      <c r="R846" s="75"/>
      <c r="S846" s="75"/>
      <c r="T846" s="75"/>
      <c r="U846" s="75"/>
      <c r="V846" s="76"/>
      <c r="W846" s="205"/>
      <c r="X846" s="1">
        <v>40392</v>
      </c>
      <c r="Y846" s="78">
        <f t="shared" si="110"/>
        <v>0</v>
      </c>
      <c r="Z846" s="78">
        <f t="shared" si="111"/>
        <v>0</v>
      </c>
      <c r="AA846" s="78">
        <f t="shared" si="108"/>
        <v>0</v>
      </c>
      <c r="AB846" s="78">
        <f t="shared" si="112"/>
        <v>26970000</v>
      </c>
      <c r="AC846" s="78"/>
      <c r="AD846" s="78">
        <v>0</v>
      </c>
      <c r="AE846" s="80">
        <f t="shared" si="114"/>
        <v>26970000</v>
      </c>
      <c r="AF846" s="82">
        <v>0</v>
      </c>
      <c r="AG846" s="69">
        <v>40375</v>
      </c>
      <c r="AH846" s="84">
        <v>35343</v>
      </c>
      <c r="AI846" s="69" t="s">
        <v>2009</v>
      </c>
      <c r="AJ846" s="25" t="s">
        <v>2010</v>
      </c>
      <c r="AK846" s="65">
        <v>227</v>
      </c>
      <c r="AL846" s="185" t="s">
        <v>2045</v>
      </c>
      <c r="AM846" s="85" t="s">
        <v>1043</v>
      </c>
      <c r="AN846" s="3"/>
      <c r="AO846" s="4"/>
      <c r="AP846" s="5"/>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6"/>
      <c r="CQ846" s="7"/>
      <c r="CR846" s="6"/>
      <c r="CS846" s="7"/>
      <c r="CT846" s="6"/>
      <c r="CU846" s="7"/>
      <c r="CV846" s="8">
        <f t="shared" si="113"/>
        <v>0</v>
      </c>
      <c r="CW846" s="9">
        <v>30000</v>
      </c>
      <c r="CX846" s="10">
        <f>30000*899</f>
        <v>26970000</v>
      </c>
      <c r="CY846" s="11"/>
      <c r="CZ846" s="12"/>
      <c r="DA846" s="29"/>
      <c r="DB846" s="12"/>
      <c r="DC846" s="9"/>
      <c r="DD846" s="10"/>
      <c r="DE846" s="71"/>
      <c r="EO846" s="353" t="str">
        <f t="shared" si="107"/>
        <v>NACION_NACION</v>
      </c>
      <c r="EP846" s="350"/>
      <c r="EQ846" s="350" t="s">
        <v>4535</v>
      </c>
      <c r="ER846" s="358" t="s">
        <v>4536</v>
      </c>
      <c r="ES846" s="350" t="s">
        <v>5525</v>
      </c>
      <c r="ET846" s="350" t="s">
        <v>5845</v>
      </c>
      <c r="EU846" s="350" t="str">
        <f t="shared" si="109"/>
        <v>Santander_Barbosa</v>
      </c>
    </row>
    <row r="847" spans="1:151" ht="38.25" x14ac:dyDescent="0.2">
      <c r="A847" s="242">
        <v>40375</v>
      </c>
      <c r="B847" s="107" t="s">
        <v>2012</v>
      </c>
      <c r="C847" s="107" t="s">
        <v>2183</v>
      </c>
      <c r="D847" s="427" t="s">
        <v>2307</v>
      </c>
      <c r="E847" s="107" t="str">
        <f>VLOOKUP(B847&amp;C847,Divipola!$C$2:$F$1138,4,FALSE)</f>
        <v>66088</v>
      </c>
      <c r="F847" s="330"/>
      <c r="G847" s="224"/>
      <c r="H847" s="75"/>
      <c r="I847" s="75"/>
      <c r="J847" s="75">
        <v>5</v>
      </c>
      <c r="K847" s="75">
        <v>1</v>
      </c>
      <c r="L847" s="75"/>
      <c r="M847" s="75">
        <v>1</v>
      </c>
      <c r="N847" s="75"/>
      <c r="O847" s="75"/>
      <c r="P847" s="75"/>
      <c r="Q847" s="75"/>
      <c r="R847" s="75"/>
      <c r="S847" s="75"/>
      <c r="T847" s="75"/>
      <c r="U847" s="75"/>
      <c r="V847" s="76"/>
      <c r="W847" s="205"/>
      <c r="X847" s="1"/>
      <c r="Y847" s="78">
        <f t="shared" si="110"/>
        <v>0</v>
      </c>
      <c r="Z847" s="78">
        <f t="shared" si="111"/>
        <v>0</v>
      </c>
      <c r="AA847" s="78">
        <f t="shared" si="108"/>
        <v>0</v>
      </c>
      <c r="AB847" s="78">
        <f t="shared" si="112"/>
        <v>0</v>
      </c>
      <c r="AC847" s="78"/>
      <c r="AD847" s="78">
        <v>0</v>
      </c>
      <c r="AE847" s="80">
        <f t="shared" si="114"/>
        <v>0</v>
      </c>
      <c r="AF847" s="82">
        <v>0</v>
      </c>
      <c r="AG847" s="69">
        <v>40375</v>
      </c>
      <c r="AH847" s="84"/>
      <c r="AI847" s="69" t="s">
        <v>1984</v>
      </c>
      <c r="AJ847" s="25" t="s">
        <v>1985</v>
      </c>
      <c r="AK847" s="65"/>
      <c r="AL847" s="185" t="s">
        <v>1257</v>
      </c>
      <c r="AM847" s="87" t="s">
        <v>1852</v>
      </c>
      <c r="AN847" s="110"/>
      <c r="AO847" s="4"/>
      <c r="AP847" s="5"/>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6"/>
      <c r="CQ847" s="7"/>
      <c r="CR847" s="6"/>
      <c r="CS847" s="7"/>
      <c r="CT847" s="6"/>
      <c r="CU847" s="7"/>
      <c r="CV847" s="8">
        <f t="shared" si="113"/>
        <v>0</v>
      </c>
      <c r="CW847" s="9"/>
      <c r="CX847" s="10"/>
      <c r="CY847" s="11"/>
      <c r="CZ847" s="12"/>
      <c r="DA847" s="29"/>
      <c r="DB847" s="12"/>
      <c r="DC847" s="9"/>
      <c r="DD847" s="10"/>
      <c r="DE847" s="71"/>
      <c r="EO847" s="353" t="str">
        <f t="shared" si="107"/>
        <v>RISARALDA_BELEN DE UMBRIA</v>
      </c>
      <c r="EP847" s="350"/>
      <c r="EQ847" s="350" t="s">
        <v>4535</v>
      </c>
      <c r="ER847" s="358" t="s">
        <v>4536</v>
      </c>
      <c r="ES847" s="350" t="s">
        <v>5527</v>
      </c>
      <c r="ET847" s="350" t="s">
        <v>3479</v>
      </c>
      <c r="EU847" s="350" t="str">
        <f t="shared" si="109"/>
        <v>Santander_Barrancabermeja</v>
      </c>
    </row>
    <row r="848" spans="1:151" ht="38.25" x14ac:dyDescent="0.2">
      <c r="A848" s="246">
        <v>40376</v>
      </c>
      <c r="B848" s="238" t="s">
        <v>2401</v>
      </c>
      <c r="C848" s="238" t="s">
        <v>1092</v>
      </c>
      <c r="D848" s="431" t="s">
        <v>837</v>
      </c>
      <c r="E848" s="107" t="str">
        <f>VLOOKUP(B848&amp;C848,Divipola!$C$2:$F$1138,4,FALSE)</f>
        <v>05101</v>
      </c>
      <c r="F848" s="334"/>
      <c r="G848" s="224"/>
      <c r="H848" s="75"/>
      <c r="I848" s="75"/>
      <c r="J848" s="75">
        <v>117</v>
      </c>
      <c r="K848" s="75">
        <v>30</v>
      </c>
      <c r="L848" s="75"/>
      <c r="M848" s="75">
        <v>30</v>
      </c>
      <c r="N848" s="75"/>
      <c r="O848" s="75"/>
      <c r="P848" s="75"/>
      <c r="Q848" s="75"/>
      <c r="R848" s="75"/>
      <c r="S848" s="75"/>
      <c r="T848" s="75"/>
      <c r="U848" s="75"/>
      <c r="V848" s="76"/>
      <c r="W848" s="205"/>
      <c r="X848" s="1"/>
      <c r="Y848" s="78">
        <f t="shared" si="110"/>
        <v>0</v>
      </c>
      <c r="Z848" s="78">
        <f t="shared" si="111"/>
        <v>0</v>
      </c>
      <c r="AA848" s="78">
        <f t="shared" si="108"/>
        <v>0</v>
      </c>
      <c r="AB848" s="78">
        <f t="shared" si="112"/>
        <v>0</v>
      </c>
      <c r="AC848" s="78"/>
      <c r="AD848" s="78">
        <v>0</v>
      </c>
      <c r="AE848" s="80">
        <f t="shared" si="114"/>
        <v>0</v>
      </c>
      <c r="AF848" s="82">
        <v>0</v>
      </c>
      <c r="AG848" s="69">
        <v>40377</v>
      </c>
      <c r="AH848" s="84"/>
      <c r="AI848" s="69" t="s">
        <v>1984</v>
      </c>
      <c r="AJ848" s="25" t="s">
        <v>1985</v>
      </c>
      <c r="AK848" s="65"/>
      <c r="AL848" s="185" t="s">
        <v>1257</v>
      </c>
      <c r="AM848" s="85" t="s">
        <v>1093</v>
      </c>
      <c r="AN848" s="3"/>
      <c r="AO848" s="4"/>
      <c r="AP848" s="5"/>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6"/>
      <c r="CQ848" s="7"/>
      <c r="CR848" s="6"/>
      <c r="CS848" s="7"/>
      <c r="CT848" s="6"/>
      <c r="CU848" s="7"/>
      <c r="CV848" s="8">
        <f t="shared" si="113"/>
        <v>0</v>
      </c>
      <c r="CW848" s="9"/>
      <c r="CX848" s="10"/>
      <c r="CY848" s="11"/>
      <c r="CZ848" s="12"/>
      <c r="DA848" s="29"/>
      <c r="DB848" s="12"/>
      <c r="DC848" s="9"/>
      <c r="DD848" s="10"/>
      <c r="DE848" s="71"/>
      <c r="EO848" s="353" t="str">
        <f t="shared" si="107"/>
        <v>ANTIOQUIA_CIUDAD BOLIVAR</v>
      </c>
      <c r="EP848" s="350"/>
      <c r="EQ848" s="350" t="s">
        <v>4535</v>
      </c>
      <c r="ER848" s="358" t="s">
        <v>4536</v>
      </c>
      <c r="ES848" s="350" t="s">
        <v>5528</v>
      </c>
      <c r="ET848" s="350" t="s">
        <v>5849</v>
      </c>
      <c r="EU848" s="350" t="str">
        <f t="shared" si="109"/>
        <v>Santander_Betulia</v>
      </c>
    </row>
    <row r="849" spans="1:151" ht="25.5" x14ac:dyDescent="0.2">
      <c r="A849" s="246">
        <v>40376</v>
      </c>
      <c r="B849" s="238" t="s">
        <v>2401</v>
      </c>
      <c r="C849" s="238" t="s">
        <v>2747</v>
      </c>
      <c r="D849" s="431" t="s">
        <v>837</v>
      </c>
      <c r="E849" s="107" t="str">
        <f>VLOOKUP(B849&amp;C849,Divipola!$C$2:$F$1138,4,FALSE)</f>
        <v>05001</v>
      </c>
      <c r="F849" s="334"/>
      <c r="G849" s="224"/>
      <c r="H849" s="75"/>
      <c r="I849" s="75"/>
      <c r="J849" s="75">
        <v>50</v>
      </c>
      <c r="K849" s="75">
        <v>10</v>
      </c>
      <c r="L849" s="75"/>
      <c r="M849" s="75">
        <v>10</v>
      </c>
      <c r="N849" s="75"/>
      <c r="O849" s="75"/>
      <c r="P849" s="75"/>
      <c r="Q849" s="75"/>
      <c r="R849" s="75"/>
      <c r="S849" s="75"/>
      <c r="T849" s="75"/>
      <c r="U849" s="75"/>
      <c r="V849" s="76"/>
      <c r="W849" s="205"/>
      <c r="X849" s="1"/>
      <c r="Y849" s="78">
        <f t="shared" si="110"/>
        <v>0</v>
      </c>
      <c r="Z849" s="78">
        <f t="shared" si="111"/>
        <v>0</v>
      </c>
      <c r="AA849" s="78">
        <f t="shared" si="108"/>
        <v>0</v>
      </c>
      <c r="AB849" s="78">
        <f t="shared" si="112"/>
        <v>0</v>
      </c>
      <c r="AC849" s="78"/>
      <c r="AD849" s="78">
        <v>0</v>
      </c>
      <c r="AE849" s="80">
        <f t="shared" si="114"/>
        <v>0</v>
      </c>
      <c r="AF849" s="82">
        <v>0</v>
      </c>
      <c r="AG849" s="69">
        <v>40379</v>
      </c>
      <c r="AH849" s="84"/>
      <c r="AI849" s="69" t="s">
        <v>1984</v>
      </c>
      <c r="AJ849" s="25" t="s">
        <v>1985</v>
      </c>
      <c r="AK849" s="65"/>
      <c r="AL849" s="185" t="s">
        <v>1257</v>
      </c>
      <c r="AM849" s="85" t="s">
        <v>2131</v>
      </c>
      <c r="AN849" s="3"/>
      <c r="AO849" s="4"/>
      <c r="AP849" s="5"/>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6"/>
      <c r="CQ849" s="7"/>
      <c r="CR849" s="6"/>
      <c r="CS849" s="7"/>
      <c r="CT849" s="6"/>
      <c r="CU849" s="7"/>
      <c r="CV849" s="8">
        <f t="shared" si="113"/>
        <v>0</v>
      </c>
      <c r="CW849" s="9"/>
      <c r="CX849" s="10"/>
      <c r="CY849" s="11"/>
      <c r="CZ849" s="12"/>
      <c r="DA849" s="29"/>
      <c r="DB849" s="12"/>
      <c r="DC849" s="9"/>
      <c r="DD849" s="10"/>
      <c r="DE849" s="71"/>
      <c r="EO849" s="353" t="str">
        <f t="shared" si="107"/>
        <v>ANTIOQUIA_MEDELLIN</v>
      </c>
      <c r="EP849" s="350"/>
      <c r="EQ849" s="350" t="s">
        <v>4535</v>
      </c>
      <c r="ER849" s="358" t="s">
        <v>4536</v>
      </c>
      <c r="ES849" s="350" t="s">
        <v>5529</v>
      </c>
      <c r="ET849" s="350" t="s">
        <v>4052</v>
      </c>
      <c r="EU849" s="350" t="str">
        <f t="shared" si="109"/>
        <v>Santander_Bolivar</v>
      </c>
    </row>
    <row r="850" spans="1:151" ht="25.5" x14ac:dyDescent="0.2">
      <c r="A850" s="246">
        <v>40376</v>
      </c>
      <c r="B850" s="238" t="s">
        <v>2401</v>
      </c>
      <c r="C850" s="238" t="s">
        <v>2236</v>
      </c>
      <c r="D850" s="431" t="s">
        <v>837</v>
      </c>
      <c r="E850" s="107" t="str">
        <f>VLOOKUP(B850&amp;C850,Divipola!$C$2:$F$1138,4,FALSE)</f>
        <v>05885</v>
      </c>
      <c r="F850" s="334"/>
      <c r="G850" s="224"/>
      <c r="H850" s="75"/>
      <c r="I850" s="75"/>
      <c r="J850" s="75">
        <v>35</v>
      </c>
      <c r="K850" s="75">
        <v>7</v>
      </c>
      <c r="L850" s="75"/>
      <c r="M850" s="75">
        <v>7</v>
      </c>
      <c r="N850" s="75"/>
      <c r="O850" s="75"/>
      <c r="P850" s="75"/>
      <c r="Q850" s="75"/>
      <c r="R850" s="75"/>
      <c r="S850" s="75"/>
      <c r="T850" s="75">
        <v>1</v>
      </c>
      <c r="U850" s="75"/>
      <c r="V850" s="76"/>
      <c r="W850" s="205"/>
      <c r="X850" s="1"/>
      <c r="Y850" s="78">
        <f t="shared" si="110"/>
        <v>0</v>
      </c>
      <c r="Z850" s="78">
        <f t="shared" si="111"/>
        <v>0</v>
      </c>
      <c r="AA850" s="78">
        <f t="shared" si="108"/>
        <v>0</v>
      </c>
      <c r="AB850" s="78">
        <f t="shared" si="112"/>
        <v>0</v>
      </c>
      <c r="AC850" s="78"/>
      <c r="AD850" s="78">
        <v>0</v>
      </c>
      <c r="AE850" s="80">
        <f t="shared" si="114"/>
        <v>0</v>
      </c>
      <c r="AF850" s="82">
        <v>0</v>
      </c>
      <c r="AG850" s="69">
        <v>40381</v>
      </c>
      <c r="AH850" s="84"/>
      <c r="AI850" s="69" t="s">
        <v>1984</v>
      </c>
      <c r="AJ850" s="25" t="s">
        <v>1985</v>
      </c>
      <c r="AK850" s="65"/>
      <c r="AL850" s="185" t="s">
        <v>1257</v>
      </c>
      <c r="AM850" s="85" t="s">
        <v>2237</v>
      </c>
      <c r="AN850" s="3"/>
      <c r="AO850" s="4"/>
      <c r="AP850" s="5"/>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6"/>
      <c r="CQ850" s="7"/>
      <c r="CR850" s="6"/>
      <c r="CS850" s="7"/>
      <c r="CT850" s="6"/>
      <c r="CU850" s="7"/>
      <c r="CV850" s="8">
        <f t="shared" si="113"/>
        <v>0</v>
      </c>
      <c r="CW850" s="9"/>
      <c r="CX850" s="10"/>
      <c r="CY850" s="11"/>
      <c r="CZ850" s="12"/>
      <c r="DA850" s="29"/>
      <c r="DB850" s="12"/>
      <c r="DC850" s="9"/>
      <c r="DD850" s="10"/>
      <c r="DE850" s="71"/>
      <c r="EO850" s="353" t="str">
        <f t="shared" si="107"/>
        <v>ANTIOQUIA_YALI</v>
      </c>
      <c r="EP850" s="350"/>
      <c r="EQ850" s="350" t="s">
        <v>4535</v>
      </c>
      <c r="ER850" s="358" t="s">
        <v>4536</v>
      </c>
      <c r="ES850" s="350" t="s">
        <v>5530</v>
      </c>
      <c r="ET850" s="350" t="s">
        <v>6268</v>
      </c>
      <c r="EU850" s="350" t="str">
        <f t="shared" si="109"/>
        <v>Santander_Cabrera</v>
      </c>
    </row>
    <row r="851" spans="1:151" ht="25.5" x14ac:dyDescent="0.2">
      <c r="A851" s="242">
        <v>40376</v>
      </c>
      <c r="B851" s="107" t="s">
        <v>828</v>
      </c>
      <c r="C851" s="107" t="s">
        <v>2363</v>
      </c>
      <c r="D851" s="427" t="s">
        <v>837</v>
      </c>
      <c r="E851" s="107" t="str">
        <f>VLOOKUP(B851&amp;C851,Divipola!$C$2:$F$1138,4,FALSE)</f>
        <v>15516</v>
      </c>
      <c r="F851" s="330"/>
      <c r="G851" s="224"/>
      <c r="H851" s="75"/>
      <c r="I851" s="75"/>
      <c r="J851" s="75">
        <f>112*5</f>
        <v>560</v>
      </c>
      <c r="K851" s="75">
        <v>112</v>
      </c>
      <c r="L851" s="75"/>
      <c r="M851" s="75">
        <v>112</v>
      </c>
      <c r="N851" s="75"/>
      <c r="O851" s="75"/>
      <c r="P851" s="75"/>
      <c r="Q851" s="75"/>
      <c r="R851" s="75"/>
      <c r="S851" s="75"/>
      <c r="T851" s="75"/>
      <c r="U851" s="75"/>
      <c r="V851" s="76">
        <v>427</v>
      </c>
      <c r="W851" s="205"/>
      <c r="X851" s="1"/>
      <c r="Y851" s="78">
        <f t="shared" si="110"/>
        <v>0</v>
      </c>
      <c r="Z851" s="78">
        <f t="shared" si="111"/>
        <v>0</v>
      </c>
      <c r="AA851" s="78">
        <f t="shared" si="108"/>
        <v>0</v>
      </c>
      <c r="AB851" s="78">
        <f t="shared" si="112"/>
        <v>0</v>
      </c>
      <c r="AC851" s="78"/>
      <c r="AD851" s="78">
        <v>0</v>
      </c>
      <c r="AE851" s="80">
        <f t="shared" si="114"/>
        <v>0</v>
      </c>
      <c r="AF851" s="82">
        <v>0</v>
      </c>
      <c r="AG851" s="69">
        <v>40377</v>
      </c>
      <c r="AH851" s="84"/>
      <c r="AI851" s="69" t="s">
        <v>2009</v>
      </c>
      <c r="AJ851" s="25" t="s">
        <v>2010</v>
      </c>
      <c r="AK851" s="65"/>
      <c r="AL851" s="184" t="s">
        <v>1678</v>
      </c>
      <c r="AM851" s="85" t="s">
        <v>1247</v>
      </c>
      <c r="AN851" s="3"/>
      <c r="AO851" s="4"/>
      <c r="AP851" s="5"/>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6"/>
      <c r="CQ851" s="7"/>
      <c r="CR851" s="6"/>
      <c r="CS851" s="7"/>
      <c r="CT851" s="6"/>
      <c r="CU851" s="7"/>
      <c r="CV851" s="8">
        <f t="shared" si="113"/>
        <v>0</v>
      </c>
      <c r="CW851" s="9"/>
      <c r="CX851" s="10"/>
      <c r="CY851" s="11"/>
      <c r="CZ851" s="12"/>
      <c r="DA851" s="29"/>
      <c r="DB851" s="12"/>
      <c r="DC851" s="9"/>
      <c r="DD851" s="10"/>
      <c r="DE851" s="71"/>
      <c r="EO851" s="353" t="str">
        <f t="shared" si="107"/>
        <v>BOYACA_PAIPA</v>
      </c>
      <c r="EP851" s="350"/>
      <c r="EQ851" s="350" t="s">
        <v>4535</v>
      </c>
      <c r="ER851" s="358" t="s">
        <v>4536</v>
      </c>
      <c r="ES851" s="350" t="s">
        <v>5531</v>
      </c>
      <c r="ET851" s="350" t="s">
        <v>3480</v>
      </c>
      <c r="EU851" s="350" t="str">
        <f t="shared" si="109"/>
        <v>Santander_California</v>
      </c>
    </row>
    <row r="852" spans="1:151" ht="84" x14ac:dyDescent="0.2">
      <c r="A852" s="242">
        <v>40376</v>
      </c>
      <c r="B852" s="107" t="s">
        <v>1700</v>
      </c>
      <c r="C852" s="107" t="s">
        <v>272</v>
      </c>
      <c r="D852" s="427" t="s">
        <v>837</v>
      </c>
      <c r="E852" s="107" t="str">
        <f>VLOOKUP(B852&amp;C852,Divipola!$C$2:$F$1138,4,FALSE)</f>
        <v>23350</v>
      </c>
      <c r="F852" s="330"/>
      <c r="G852" s="224"/>
      <c r="H852" s="75"/>
      <c r="I852" s="75"/>
      <c r="J852" s="75">
        <f>2323-920</f>
        <v>1403</v>
      </c>
      <c r="K852" s="75">
        <f>557-230</f>
        <v>327</v>
      </c>
      <c r="L852" s="75"/>
      <c r="M852" s="75">
        <v>327</v>
      </c>
      <c r="N852" s="75"/>
      <c r="O852" s="75"/>
      <c r="P852" s="75"/>
      <c r="Q852" s="75"/>
      <c r="R852" s="75"/>
      <c r="S852" s="75"/>
      <c r="T852" s="75"/>
      <c r="U852" s="75"/>
      <c r="V852" s="76"/>
      <c r="W852" s="205"/>
      <c r="X852" s="1">
        <v>40437</v>
      </c>
      <c r="Y852" s="78">
        <f t="shared" si="110"/>
        <v>12107808</v>
      </c>
      <c r="Z852" s="78">
        <f t="shared" si="111"/>
        <v>120190000</v>
      </c>
      <c r="AA852" s="78">
        <f t="shared" si="108"/>
        <v>0</v>
      </c>
      <c r="AB852" s="78">
        <f t="shared" si="112"/>
        <v>0</v>
      </c>
      <c r="AC852" s="78"/>
      <c r="AD852" s="78">
        <v>0</v>
      </c>
      <c r="AE852" s="80">
        <f t="shared" si="114"/>
        <v>132297808</v>
      </c>
      <c r="AF852" s="82">
        <v>0</v>
      </c>
      <c r="AG852" s="69">
        <v>40346</v>
      </c>
      <c r="AH852" s="84">
        <v>38767</v>
      </c>
      <c r="AI852" s="69" t="s">
        <v>2009</v>
      </c>
      <c r="AJ852" s="25" t="s">
        <v>2010</v>
      </c>
      <c r="AK852" s="88" t="s">
        <v>2168</v>
      </c>
      <c r="AL852" s="185" t="s">
        <v>2182</v>
      </c>
      <c r="AM852" s="85" t="s">
        <v>1746</v>
      </c>
      <c r="AN852" s="3"/>
      <c r="AO852" s="4"/>
      <c r="AP852" s="5"/>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v>2</v>
      </c>
      <c r="CA852" s="4">
        <f>2*504000</f>
        <v>1008000</v>
      </c>
      <c r="CB852" s="4"/>
      <c r="CC852" s="4"/>
      <c r="CD852" s="4"/>
      <c r="CE852" s="4"/>
      <c r="CF852" s="4"/>
      <c r="CG852" s="4"/>
      <c r="CH852" s="4"/>
      <c r="CI852" s="4"/>
      <c r="CJ852" s="4"/>
      <c r="CK852" s="4"/>
      <c r="CL852" s="4"/>
      <c r="CM852" s="4"/>
      <c r="CN852" s="4"/>
      <c r="CO852" s="4"/>
      <c r="CP852" s="6">
        <v>300</v>
      </c>
      <c r="CQ852" s="7">
        <f>300*36999.36</f>
        <v>11099808</v>
      </c>
      <c r="CR852" s="6"/>
      <c r="CS852" s="7"/>
      <c r="CT852" s="6"/>
      <c r="CU852" s="7"/>
      <c r="CV852" s="8">
        <f t="shared" si="113"/>
        <v>12107808</v>
      </c>
      <c r="CW852" s="9"/>
      <c r="CX852" s="10"/>
      <c r="CY852" s="11">
        <f>300+557+557</f>
        <v>1414</v>
      </c>
      <c r="CZ852" s="12">
        <f>300*85000+557*85000+557*85000</f>
        <v>120190000</v>
      </c>
      <c r="DA852" s="29"/>
      <c r="DB852" s="12"/>
      <c r="DC852" s="9"/>
      <c r="DD852" s="10"/>
      <c r="DE852" s="71"/>
      <c r="EO852" s="353" t="str">
        <f t="shared" si="107"/>
        <v>CORDOBA_LA APARTADA</v>
      </c>
      <c r="EP852" s="350"/>
      <c r="EQ852" s="350" t="s">
        <v>4535</v>
      </c>
      <c r="ER852" s="358" t="s">
        <v>4536</v>
      </c>
      <c r="ES852" s="350" t="s">
        <v>5532</v>
      </c>
      <c r="ET852" s="350" t="s">
        <v>3481</v>
      </c>
      <c r="EU852" s="350" t="str">
        <f t="shared" si="109"/>
        <v>Santander_Capitanejo</v>
      </c>
    </row>
    <row r="853" spans="1:151" ht="192" x14ac:dyDescent="0.2">
      <c r="A853" s="242">
        <v>40376</v>
      </c>
      <c r="B853" s="107" t="s">
        <v>1700</v>
      </c>
      <c r="C853" s="107" t="s">
        <v>274</v>
      </c>
      <c r="D853" s="427" t="s">
        <v>837</v>
      </c>
      <c r="E853" s="107" t="str">
        <f>VLOOKUP(B853&amp;C853,Divipola!$C$2:$F$1138,4,FALSE)</f>
        <v>23466</v>
      </c>
      <c r="F853" s="330"/>
      <c r="G853" s="224"/>
      <c r="H853" s="75"/>
      <c r="I853" s="75"/>
      <c r="J853" s="75">
        <v>2576</v>
      </c>
      <c r="K853" s="75">
        <v>543</v>
      </c>
      <c r="L853" s="75"/>
      <c r="M853" s="75">
        <v>543</v>
      </c>
      <c r="N853" s="75"/>
      <c r="O853" s="75"/>
      <c r="P853" s="75"/>
      <c r="Q853" s="75"/>
      <c r="R853" s="75"/>
      <c r="S853" s="75"/>
      <c r="T853" s="75"/>
      <c r="U853" s="75"/>
      <c r="V853" s="76"/>
      <c r="W853" s="205"/>
      <c r="X853" s="1">
        <v>40436</v>
      </c>
      <c r="Y853" s="78">
        <f t="shared" si="110"/>
        <v>14592806.4</v>
      </c>
      <c r="Z853" s="78">
        <f t="shared" si="111"/>
        <v>153850000</v>
      </c>
      <c r="AA853" s="78">
        <f t="shared" si="108"/>
        <v>0</v>
      </c>
      <c r="AB853" s="78">
        <f t="shared" si="112"/>
        <v>0</v>
      </c>
      <c r="AC853" s="78"/>
      <c r="AD853" s="78">
        <v>0</v>
      </c>
      <c r="AE853" s="80">
        <f t="shared" si="114"/>
        <v>168442806.40000001</v>
      </c>
      <c r="AF853" s="82">
        <v>0</v>
      </c>
      <c r="AG853" s="69">
        <v>40377</v>
      </c>
      <c r="AH853" s="84">
        <v>38767</v>
      </c>
      <c r="AI853" s="69" t="s">
        <v>2009</v>
      </c>
      <c r="AJ853" s="25" t="s">
        <v>2010</v>
      </c>
      <c r="AK853" s="88" t="s">
        <v>2167</v>
      </c>
      <c r="AL853" s="185" t="s">
        <v>2182</v>
      </c>
      <c r="AM853" s="85" t="s">
        <v>685</v>
      </c>
      <c r="AN853" s="3"/>
      <c r="AO853" s="4"/>
      <c r="AP853" s="5"/>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f>5+2</f>
        <v>7</v>
      </c>
      <c r="CA853" s="4">
        <f>5*496999.68+2*504000</f>
        <v>3492998.4</v>
      </c>
      <c r="CB853" s="4"/>
      <c r="CC853" s="4"/>
      <c r="CD853" s="4"/>
      <c r="CE853" s="4"/>
      <c r="CF853" s="4"/>
      <c r="CG853" s="4"/>
      <c r="CH853" s="4"/>
      <c r="CI853" s="4"/>
      <c r="CJ853" s="4"/>
      <c r="CK853" s="4"/>
      <c r="CL853" s="4"/>
      <c r="CM853" s="4"/>
      <c r="CN853" s="4"/>
      <c r="CO853" s="4"/>
      <c r="CP853" s="6">
        <v>300</v>
      </c>
      <c r="CQ853" s="7">
        <f>300*36999.36</f>
        <v>11099808</v>
      </c>
      <c r="CR853" s="6"/>
      <c r="CS853" s="7"/>
      <c r="CT853" s="6"/>
      <c r="CU853" s="7"/>
      <c r="CV853" s="8">
        <f t="shared" si="113"/>
        <v>14592806.4</v>
      </c>
      <c r="CW853" s="9"/>
      <c r="CX853" s="10"/>
      <c r="CY853" s="11">
        <f>300+450+530+530</f>
        <v>1810</v>
      </c>
      <c r="CZ853" s="12">
        <f>300*85000+450*85000+530*85000+530*85000</f>
        <v>153850000</v>
      </c>
      <c r="DA853" s="29"/>
      <c r="DB853" s="12"/>
      <c r="DC853" s="9"/>
      <c r="DD853" s="10"/>
      <c r="DE853" s="71"/>
      <c r="EO853" s="353" t="str">
        <f t="shared" si="107"/>
        <v>CORDOBA_MONTELIBANO</v>
      </c>
      <c r="EP853" s="350"/>
      <c r="EQ853" s="350" t="s">
        <v>4535</v>
      </c>
      <c r="ER853" s="358" t="s">
        <v>4536</v>
      </c>
      <c r="ES853" s="350" t="s">
        <v>5533</v>
      </c>
      <c r="ET853" s="350" t="s">
        <v>3482</v>
      </c>
      <c r="EU853" s="350" t="str">
        <f t="shared" si="109"/>
        <v>Santander_Carcasi</v>
      </c>
    </row>
    <row r="854" spans="1:151" ht="84" x14ac:dyDescent="0.2">
      <c r="A854" s="242">
        <v>40376</v>
      </c>
      <c r="B854" s="107" t="s">
        <v>5778</v>
      </c>
      <c r="C854" s="107" t="s">
        <v>874</v>
      </c>
      <c r="D854" s="427" t="s">
        <v>837</v>
      </c>
      <c r="E854" s="107" t="str">
        <f>VLOOKUP(B854&amp;C854,Divipola!$C$2:$F$1138,4,FALSE)</f>
        <v>44430</v>
      </c>
      <c r="F854" s="330"/>
      <c r="G854" s="224"/>
      <c r="H854" s="75"/>
      <c r="I854" s="75"/>
      <c r="J854" s="75">
        <f>209*5</f>
        <v>1045</v>
      </c>
      <c r="K854" s="139">
        <v>209</v>
      </c>
      <c r="L854" s="75"/>
      <c r="M854" s="75"/>
      <c r="N854" s="75"/>
      <c r="O854" s="75"/>
      <c r="P854" s="75"/>
      <c r="Q854" s="75"/>
      <c r="R854" s="75"/>
      <c r="S854" s="75"/>
      <c r="T854" s="75"/>
      <c r="U854" s="75"/>
      <c r="V854" s="76"/>
      <c r="W854" s="205"/>
      <c r="X854" s="1"/>
      <c r="Y854" s="78">
        <f t="shared" si="110"/>
        <v>0</v>
      </c>
      <c r="Z854" s="78">
        <f t="shared" si="111"/>
        <v>0</v>
      </c>
      <c r="AA854" s="78">
        <f t="shared" si="108"/>
        <v>0</v>
      </c>
      <c r="AB854" s="78">
        <f t="shared" si="112"/>
        <v>0</v>
      </c>
      <c r="AC854" s="78"/>
      <c r="AD854" s="78">
        <v>0</v>
      </c>
      <c r="AE854" s="80">
        <f t="shared" si="114"/>
        <v>0</v>
      </c>
      <c r="AF854" s="82">
        <v>0</v>
      </c>
      <c r="AG854" s="69">
        <v>40377</v>
      </c>
      <c r="AH854" s="84"/>
      <c r="AI854" s="69" t="s">
        <v>2009</v>
      </c>
      <c r="AJ854" s="25" t="s">
        <v>2010</v>
      </c>
      <c r="AK854" s="65"/>
      <c r="AL854" s="215" t="s">
        <v>485</v>
      </c>
      <c r="AM854" s="85" t="s">
        <v>3741</v>
      </c>
      <c r="AN854" s="3"/>
      <c r="AO854" s="4"/>
      <c r="AP854" s="5"/>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6"/>
      <c r="CQ854" s="7"/>
      <c r="CR854" s="6"/>
      <c r="CS854" s="7"/>
      <c r="CT854" s="6"/>
      <c r="CU854" s="7"/>
      <c r="CV854" s="8">
        <f t="shared" si="113"/>
        <v>0</v>
      </c>
      <c r="CW854" s="9"/>
      <c r="CX854" s="10"/>
      <c r="CY854" s="11"/>
      <c r="CZ854" s="12"/>
      <c r="DA854" s="29"/>
      <c r="DB854" s="12"/>
      <c r="DC854" s="9"/>
      <c r="DD854" s="10"/>
      <c r="DE854" s="71"/>
      <c r="EO854" s="353" t="str">
        <f t="shared" si="107"/>
        <v>LA GUAJIRA_MAICAO</v>
      </c>
      <c r="EP854" s="350"/>
      <c r="EQ854" s="350" t="s">
        <v>4535</v>
      </c>
      <c r="ER854" s="358" t="s">
        <v>4536</v>
      </c>
      <c r="ES854" s="350" t="s">
        <v>5534</v>
      </c>
      <c r="ET854" s="350" t="s">
        <v>3483</v>
      </c>
      <c r="EU854" s="350" t="str">
        <f t="shared" si="109"/>
        <v>Santander_Cepita</v>
      </c>
    </row>
    <row r="855" spans="1:151" ht="25.5" x14ac:dyDescent="0.2">
      <c r="A855" s="242">
        <v>40376</v>
      </c>
      <c r="B855" s="107" t="s">
        <v>2012</v>
      </c>
      <c r="C855" s="107" t="s">
        <v>2199</v>
      </c>
      <c r="D855" s="427" t="s">
        <v>2209</v>
      </c>
      <c r="E855" s="107" t="str">
        <f>VLOOKUP(B855&amp;C855,Divipola!$C$2:$F$1138,4,FALSE)</f>
        <v>66383</v>
      </c>
      <c r="F855" s="330"/>
      <c r="G855" s="224"/>
      <c r="H855" s="75"/>
      <c r="I855" s="75"/>
      <c r="J855" s="75">
        <v>20</v>
      </c>
      <c r="K855" s="75">
        <v>4</v>
      </c>
      <c r="L855" s="75"/>
      <c r="M855" s="75">
        <v>4</v>
      </c>
      <c r="N855" s="75"/>
      <c r="O855" s="75"/>
      <c r="P855" s="75"/>
      <c r="Q855" s="75"/>
      <c r="R855" s="75"/>
      <c r="S855" s="75"/>
      <c r="T855" s="75"/>
      <c r="U855" s="75"/>
      <c r="V855" s="76"/>
      <c r="W855" s="205"/>
      <c r="X855" s="1"/>
      <c r="Y855" s="78">
        <f t="shared" si="110"/>
        <v>0</v>
      </c>
      <c r="Z855" s="78">
        <f t="shared" si="111"/>
        <v>0</v>
      </c>
      <c r="AA855" s="78">
        <f t="shared" si="108"/>
        <v>0</v>
      </c>
      <c r="AB855" s="78">
        <f t="shared" si="112"/>
        <v>0</v>
      </c>
      <c r="AC855" s="78"/>
      <c r="AD855" s="78">
        <v>0</v>
      </c>
      <c r="AE855" s="80">
        <f t="shared" si="114"/>
        <v>0</v>
      </c>
      <c r="AF855" s="82">
        <v>0</v>
      </c>
      <c r="AG855" s="69">
        <v>40376</v>
      </c>
      <c r="AH855" s="84"/>
      <c r="AI855" s="69" t="s">
        <v>1984</v>
      </c>
      <c r="AJ855" s="25" t="s">
        <v>1985</v>
      </c>
      <c r="AK855" s="65"/>
      <c r="AL855" s="185" t="s">
        <v>1257</v>
      </c>
      <c r="AM855" s="85" t="s">
        <v>1857</v>
      </c>
      <c r="AN855" s="3"/>
      <c r="AO855" s="4"/>
      <c r="AP855" s="5"/>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6"/>
      <c r="CQ855" s="7"/>
      <c r="CR855" s="6"/>
      <c r="CS855" s="7"/>
      <c r="CT855" s="6"/>
      <c r="CU855" s="7"/>
      <c r="CV855" s="8">
        <f t="shared" si="113"/>
        <v>0</v>
      </c>
      <c r="CW855" s="9"/>
      <c r="CX855" s="10"/>
      <c r="CY855" s="11"/>
      <c r="CZ855" s="12"/>
      <c r="DA855" s="29"/>
      <c r="DB855" s="12"/>
      <c r="DC855" s="9"/>
      <c r="DD855" s="10"/>
      <c r="DE855" s="71"/>
      <c r="EO855" s="353" t="str">
        <f t="shared" si="107"/>
        <v>RISARALDA_LA CELIA</v>
      </c>
      <c r="EP855" s="350"/>
      <c r="EQ855" s="350" t="s">
        <v>4535</v>
      </c>
      <c r="ER855" s="358" t="s">
        <v>4536</v>
      </c>
      <c r="ES855" s="350" t="s">
        <v>5535</v>
      </c>
      <c r="ET855" s="350" t="s">
        <v>3484</v>
      </c>
      <c r="EU855" s="350" t="str">
        <f t="shared" si="109"/>
        <v>Santander_Cerrito</v>
      </c>
    </row>
    <row r="856" spans="1:151" ht="48" x14ac:dyDescent="0.2">
      <c r="A856" s="242">
        <v>40376</v>
      </c>
      <c r="B856" s="107" t="s">
        <v>2427</v>
      </c>
      <c r="C856" s="107" t="s">
        <v>1382</v>
      </c>
      <c r="D856" s="427" t="s">
        <v>2307</v>
      </c>
      <c r="E856" s="107" t="str">
        <f>VLOOKUP(B856&amp;C856,Divipola!$C$2:$F$1138,4,FALSE)</f>
        <v>68079</v>
      </c>
      <c r="F856" s="330"/>
      <c r="G856" s="277">
        <v>2</v>
      </c>
      <c r="H856" s="75">
        <v>2</v>
      </c>
      <c r="I856" s="75"/>
      <c r="J856" s="75">
        <v>150</v>
      </c>
      <c r="K856" s="75">
        <v>30</v>
      </c>
      <c r="L856" s="75"/>
      <c r="M856" s="75">
        <v>10</v>
      </c>
      <c r="N856" s="75"/>
      <c r="O856" s="75"/>
      <c r="P856" s="75"/>
      <c r="Q856" s="75"/>
      <c r="R856" s="75"/>
      <c r="S856" s="75"/>
      <c r="T856" s="75"/>
      <c r="U856" s="75"/>
      <c r="V856" s="76">
        <v>89</v>
      </c>
      <c r="W856" s="205"/>
      <c r="X856" s="1"/>
      <c r="Y856" s="78">
        <f t="shared" si="110"/>
        <v>0</v>
      </c>
      <c r="Z856" s="78">
        <f t="shared" si="111"/>
        <v>0</v>
      </c>
      <c r="AA856" s="78">
        <f t="shared" si="108"/>
        <v>0</v>
      </c>
      <c r="AB856" s="78">
        <f t="shared" si="112"/>
        <v>0</v>
      </c>
      <c r="AC856" s="78"/>
      <c r="AD856" s="78">
        <v>0</v>
      </c>
      <c r="AE856" s="80">
        <f t="shared" si="114"/>
        <v>0</v>
      </c>
      <c r="AF856" s="82">
        <v>0</v>
      </c>
      <c r="AG856" s="69">
        <v>40377</v>
      </c>
      <c r="AH856" s="84"/>
      <c r="AI856" s="69" t="s">
        <v>1984</v>
      </c>
      <c r="AJ856" s="25" t="s">
        <v>1985</v>
      </c>
      <c r="AK856" s="65"/>
      <c r="AL856" s="185" t="s">
        <v>1257</v>
      </c>
      <c r="AM856" s="85" t="s">
        <v>1091</v>
      </c>
      <c r="AN856" s="3"/>
      <c r="AO856" s="4"/>
      <c r="AP856" s="5"/>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6"/>
      <c r="CQ856" s="7"/>
      <c r="CR856" s="6"/>
      <c r="CS856" s="7"/>
      <c r="CT856" s="6"/>
      <c r="CU856" s="7"/>
      <c r="CV856" s="8">
        <f t="shared" si="113"/>
        <v>0</v>
      </c>
      <c r="CW856" s="9"/>
      <c r="CX856" s="10"/>
      <c r="CY856" s="11"/>
      <c r="CZ856" s="12"/>
      <c r="DA856" s="29"/>
      <c r="DB856" s="12"/>
      <c r="DC856" s="9"/>
      <c r="DD856" s="10"/>
      <c r="DE856" s="71"/>
      <c r="EO856" s="353" t="str">
        <f t="shared" si="107"/>
        <v>SANTANDER_BARICHARA</v>
      </c>
      <c r="EP856" s="350"/>
      <c r="EQ856" s="350" t="s">
        <v>4535</v>
      </c>
      <c r="ER856" s="358" t="s">
        <v>4536</v>
      </c>
      <c r="ES856" s="350" t="s">
        <v>5536</v>
      </c>
      <c r="ET856" s="350" t="s">
        <v>3485</v>
      </c>
      <c r="EU856" s="350" t="str">
        <f t="shared" si="109"/>
        <v>Santander_Charala</v>
      </c>
    </row>
    <row r="857" spans="1:151" ht="51" x14ac:dyDescent="0.2">
      <c r="A857" s="242">
        <v>40376</v>
      </c>
      <c r="B857" s="107" t="s">
        <v>1462</v>
      </c>
      <c r="C857" s="107" t="s">
        <v>1385</v>
      </c>
      <c r="D857" s="427" t="s">
        <v>2209</v>
      </c>
      <c r="E857" s="107" t="str">
        <f>VLOOKUP(B857&amp;C857,Divipola!$C$2:$F$1138,4,FALSE)</f>
        <v>76845</v>
      </c>
      <c r="F857" s="330"/>
      <c r="G857" s="224"/>
      <c r="H857" s="75"/>
      <c r="I857" s="75"/>
      <c r="J857" s="75">
        <f>680*5</f>
        <v>3400</v>
      </c>
      <c r="K857" s="75">
        <v>680</v>
      </c>
      <c r="L857" s="75"/>
      <c r="M857" s="75">
        <v>633</v>
      </c>
      <c r="N857" s="75"/>
      <c r="O857" s="75"/>
      <c r="P857" s="75"/>
      <c r="Q857" s="75"/>
      <c r="R857" s="75"/>
      <c r="S857" s="75"/>
      <c r="T857" s="75"/>
      <c r="U857" s="75"/>
      <c r="V857" s="76"/>
      <c r="W857" s="205"/>
      <c r="X857" s="1"/>
      <c r="Y857" s="78">
        <f t="shared" si="110"/>
        <v>4884000</v>
      </c>
      <c r="Z857" s="78">
        <f t="shared" si="111"/>
        <v>11220000</v>
      </c>
      <c r="AA857" s="78">
        <f t="shared" si="108"/>
        <v>0</v>
      </c>
      <c r="AB857" s="78">
        <f t="shared" si="112"/>
        <v>0</v>
      </c>
      <c r="AC857" s="78"/>
      <c r="AD857" s="78">
        <v>0</v>
      </c>
      <c r="AE857" s="80">
        <f t="shared" si="114"/>
        <v>16104000</v>
      </c>
      <c r="AF857" s="82">
        <v>0</v>
      </c>
      <c r="AG857" s="69">
        <v>40389</v>
      </c>
      <c r="AH857" s="84">
        <v>38013</v>
      </c>
      <c r="AI857" s="69" t="s">
        <v>2009</v>
      </c>
      <c r="AJ857" s="25" t="s">
        <v>2010</v>
      </c>
      <c r="AK857" s="65"/>
      <c r="AL857" s="185" t="s">
        <v>1257</v>
      </c>
      <c r="AM857" s="85" t="s">
        <v>1268</v>
      </c>
      <c r="AN857" s="3"/>
      <c r="AO857" s="4"/>
      <c r="AP857" s="5"/>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6">
        <v>132</v>
      </c>
      <c r="CQ857" s="7">
        <f>132*37000</f>
        <v>4884000</v>
      </c>
      <c r="CR857" s="6"/>
      <c r="CS857" s="7"/>
      <c r="CT857" s="6"/>
      <c r="CU857" s="7"/>
      <c r="CV857" s="8">
        <f t="shared" si="113"/>
        <v>4884000</v>
      </c>
      <c r="CW857" s="9"/>
      <c r="CX857" s="10"/>
      <c r="CY857" s="11">
        <v>132</v>
      </c>
      <c r="CZ857" s="12">
        <f>132*85000</f>
        <v>11220000</v>
      </c>
      <c r="DA857" s="29"/>
      <c r="DB857" s="12"/>
      <c r="DC857" s="9"/>
      <c r="DD857" s="10"/>
      <c r="DE857" s="71"/>
      <c r="EO857" s="353" t="str">
        <f t="shared" si="107"/>
        <v>VALLE DEL CAUCA_ULLOA</v>
      </c>
      <c r="EP857" s="350"/>
      <c r="EQ857" s="350" t="s">
        <v>4535</v>
      </c>
      <c r="ER857" s="358" t="s">
        <v>4536</v>
      </c>
      <c r="ES857" s="350" t="s">
        <v>5537</v>
      </c>
      <c r="ET857" s="350" t="s">
        <v>3486</v>
      </c>
      <c r="EU857" s="350" t="str">
        <f t="shared" si="109"/>
        <v>Santander_Charta</v>
      </c>
    </row>
    <row r="858" spans="1:151" ht="36" x14ac:dyDescent="0.2">
      <c r="A858" s="242">
        <v>40377</v>
      </c>
      <c r="B858" s="107" t="s">
        <v>2401</v>
      </c>
      <c r="C858" s="107" t="s">
        <v>3935</v>
      </c>
      <c r="D858" s="427" t="s">
        <v>2352</v>
      </c>
      <c r="E858" s="107" t="str">
        <f>VLOOKUP(B858&amp;C858,Divipola!$C$2:$F$1138,4,FALSE)</f>
        <v>05250</v>
      </c>
      <c r="F858" s="330"/>
      <c r="G858" s="224"/>
      <c r="H858" s="75">
        <v>34</v>
      </c>
      <c r="I858" s="75"/>
      <c r="J858" s="75"/>
      <c r="K858" s="75"/>
      <c r="L858" s="75"/>
      <c r="M858" s="75"/>
      <c r="N858" s="75"/>
      <c r="O858" s="75"/>
      <c r="P858" s="75"/>
      <c r="Q858" s="75"/>
      <c r="R858" s="75"/>
      <c r="S858" s="75"/>
      <c r="T858" s="75"/>
      <c r="U858" s="75"/>
      <c r="V858" s="76"/>
      <c r="W858" s="205"/>
      <c r="X858" s="1"/>
      <c r="Y858" s="78">
        <f t="shared" si="110"/>
        <v>0</v>
      </c>
      <c r="Z858" s="78">
        <f t="shared" si="111"/>
        <v>0</v>
      </c>
      <c r="AA858" s="78">
        <f t="shared" si="108"/>
        <v>0</v>
      </c>
      <c r="AB858" s="78">
        <f t="shared" si="112"/>
        <v>0</v>
      </c>
      <c r="AC858" s="78"/>
      <c r="AD858" s="78">
        <v>0</v>
      </c>
      <c r="AE858" s="80">
        <f t="shared" si="114"/>
        <v>0</v>
      </c>
      <c r="AF858" s="82">
        <v>0</v>
      </c>
      <c r="AG858" s="69">
        <v>40378</v>
      </c>
      <c r="AH858" s="84"/>
      <c r="AI858" s="69" t="s">
        <v>1984</v>
      </c>
      <c r="AJ858" s="25" t="s">
        <v>1985</v>
      </c>
      <c r="AK858" s="65"/>
      <c r="AL858" s="185" t="s">
        <v>1257</v>
      </c>
      <c r="AM858" s="85" t="s">
        <v>1250</v>
      </c>
      <c r="AN858" s="3"/>
      <c r="AO858" s="4"/>
      <c r="AP858" s="5"/>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6"/>
      <c r="CQ858" s="7"/>
      <c r="CR858" s="6"/>
      <c r="CS858" s="7"/>
      <c r="CT858" s="6"/>
      <c r="CU858" s="7"/>
      <c r="CV858" s="8">
        <f t="shared" si="113"/>
        <v>0</v>
      </c>
      <c r="CW858" s="9"/>
      <c r="CX858" s="10"/>
      <c r="CY858" s="11"/>
      <c r="CZ858" s="12"/>
      <c r="DA858" s="29"/>
      <c r="DB858" s="12"/>
      <c r="DC858" s="9"/>
      <c r="DD858" s="10"/>
      <c r="DE858" s="71"/>
      <c r="EO858" s="353" t="str">
        <f t="shared" ref="EO858:EO921" si="115">B858&amp;"_"&amp;C858</f>
        <v>ANTIOQUIA_EL BAGRE</v>
      </c>
      <c r="EP858" s="350"/>
      <c r="EQ858" s="350" t="s">
        <v>4535</v>
      </c>
      <c r="ER858" s="358" t="s">
        <v>4536</v>
      </c>
      <c r="ES858" s="350" t="s">
        <v>5538</v>
      </c>
      <c r="ET858" s="350" t="s">
        <v>6239</v>
      </c>
      <c r="EU858" s="350" t="str">
        <f t="shared" si="109"/>
        <v>Santander_Chima</v>
      </c>
    </row>
    <row r="859" spans="1:151" ht="216" x14ac:dyDescent="0.2">
      <c r="A859" s="242">
        <v>40377</v>
      </c>
      <c r="B859" s="107" t="s">
        <v>2017</v>
      </c>
      <c r="C859" s="107" t="s">
        <v>2136</v>
      </c>
      <c r="D859" s="427" t="s">
        <v>837</v>
      </c>
      <c r="E859" s="107" t="str">
        <f>VLOOKUP(B859&amp;C859,Divipola!$C$2:$F$1138,4,FALSE)</f>
        <v>13006</v>
      </c>
      <c r="F859" s="330"/>
      <c r="G859" s="224"/>
      <c r="H859" s="75"/>
      <c r="I859" s="75"/>
      <c r="J859" s="422">
        <f>4906*3.7</f>
        <v>18152.2</v>
      </c>
      <c r="K859" s="75">
        <v>4906</v>
      </c>
      <c r="L859" s="75"/>
      <c r="M859" s="75">
        <v>4906</v>
      </c>
      <c r="N859" s="75"/>
      <c r="O859" s="75"/>
      <c r="P859" s="75"/>
      <c r="Q859" s="75"/>
      <c r="R859" s="75"/>
      <c r="S859" s="75"/>
      <c r="T859" s="75"/>
      <c r="U859" s="75"/>
      <c r="V859" s="76">
        <v>1200</v>
      </c>
      <c r="W859" s="205"/>
      <c r="X859" s="1">
        <v>40396</v>
      </c>
      <c r="Y859" s="78">
        <f t="shared" si="110"/>
        <v>168829000</v>
      </c>
      <c r="Z859" s="78">
        <f t="shared" si="111"/>
        <v>119510000</v>
      </c>
      <c r="AA859" s="78">
        <f t="shared" si="108"/>
        <v>0</v>
      </c>
      <c r="AB859" s="78">
        <f t="shared" si="112"/>
        <v>0</v>
      </c>
      <c r="AC859" s="78">
        <v>11460800</v>
      </c>
      <c r="AD859" s="78">
        <v>0</v>
      </c>
      <c r="AE859" s="80">
        <f t="shared" si="114"/>
        <v>299799800</v>
      </c>
      <c r="AF859" s="82">
        <v>0</v>
      </c>
      <c r="AG859" s="69">
        <v>40389</v>
      </c>
      <c r="AH859" s="84">
        <v>37971</v>
      </c>
      <c r="AI859" s="69" t="s">
        <v>2009</v>
      </c>
      <c r="AJ859" s="25" t="s">
        <v>2010</v>
      </c>
      <c r="AK859" s="88" t="s">
        <v>2714</v>
      </c>
      <c r="AL859" s="185" t="s">
        <v>1850</v>
      </c>
      <c r="AM859" s="85" t="s">
        <v>2692</v>
      </c>
      <c r="AN859" s="3"/>
      <c r="AO859" s="4"/>
      <c r="AP859" s="5"/>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v>15</v>
      </c>
      <c r="CA859" s="4">
        <f>15*504600</f>
        <v>7569000</v>
      </c>
      <c r="CB859" s="4"/>
      <c r="CC859" s="4"/>
      <c r="CD859" s="4"/>
      <c r="CE859" s="4"/>
      <c r="CF859" s="4"/>
      <c r="CG859" s="4"/>
      <c r="CH859" s="4"/>
      <c r="CI859" s="4"/>
      <c r="CJ859" s="4"/>
      <c r="CK859" s="4"/>
      <c r="CL859" s="4"/>
      <c r="CM859" s="4"/>
      <c r="CN859" s="4">
        <v>4906</v>
      </c>
      <c r="CO859" s="4">
        <f>4906*18000</f>
        <v>88308000</v>
      </c>
      <c r="CP859" s="6">
        <v>1000</v>
      </c>
      <c r="CQ859" s="7">
        <f>1000*36952</f>
        <v>36952000</v>
      </c>
      <c r="CR859" s="6">
        <v>1000</v>
      </c>
      <c r="CS859" s="7">
        <f>1000*36000</f>
        <v>36000000</v>
      </c>
      <c r="CT859" s="6"/>
      <c r="CU859" s="7"/>
      <c r="CV859" s="8">
        <f t="shared" si="113"/>
        <v>168829000</v>
      </c>
      <c r="CW859" s="9"/>
      <c r="CX859" s="10"/>
      <c r="CY859" s="11">
        <f>1000+406</f>
        <v>1406</v>
      </c>
      <c r="CZ859" s="12">
        <f>1000*85000+406*85000</f>
        <v>119510000</v>
      </c>
      <c r="DA859" s="29"/>
      <c r="DB859" s="12"/>
      <c r="DC859" s="9"/>
      <c r="DD859" s="10"/>
      <c r="DE859" s="71"/>
      <c r="EO859" s="353" t="str">
        <f t="shared" si="115"/>
        <v>BOLIVAR_ACHI</v>
      </c>
      <c r="EP859" s="350"/>
      <c r="EQ859" s="350" t="s">
        <v>4535</v>
      </c>
      <c r="ER859" s="358" t="s">
        <v>4536</v>
      </c>
      <c r="ES859" s="350" t="s">
        <v>5539</v>
      </c>
      <c r="ET859" s="350" t="s">
        <v>3487</v>
      </c>
      <c r="EU859" s="350" t="str">
        <f t="shared" si="109"/>
        <v>Santander_Chipata</v>
      </c>
    </row>
    <row r="860" spans="1:151" ht="36" x14ac:dyDescent="0.2">
      <c r="A860" s="242">
        <v>40377</v>
      </c>
      <c r="B860" s="107" t="s">
        <v>828</v>
      </c>
      <c r="C860" s="107" t="s">
        <v>1110</v>
      </c>
      <c r="D860" s="427" t="s">
        <v>837</v>
      </c>
      <c r="E860" s="107" t="str">
        <f>VLOOKUP(B860&amp;C860,Divipola!$C$2:$F$1138,4,FALSE)</f>
        <v>15806</v>
      </c>
      <c r="F860" s="330"/>
      <c r="G860" s="224"/>
      <c r="H860" s="75"/>
      <c r="I860" s="75"/>
      <c r="J860" s="75">
        <f>568*5</f>
        <v>2840</v>
      </c>
      <c r="K860" s="75">
        <f>571-3</f>
        <v>568</v>
      </c>
      <c r="L860" s="75"/>
      <c r="M860" s="75">
        <v>235</v>
      </c>
      <c r="N860" s="75"/>
      <c r="O860" s="75"/>
      <c r="P860" s="75"/>
      <c r="Q860" s="75"/>
      <c r="R860" s="75"/>
      <c r="S860" s="75"/>
      <c r="T860" s="75"/>
      <c r="U860" s="75"/>
      <c r="V860" s="76"/>
      <c r="W860" s="205"/>
      <c r="X860" s="1"/>
      <c r="Y860" s="78">
        <f t="shared" si="110"/>
        <v>0</v>
      </c>
      <c r="Z860" s="78">
        <f t="shared" si="111"/>
        <v>0</v>
      </c>
      <c r="AA860" s="78">
        <f t="shared" si="108"/>
        <v>0</v>
      </c>
      <c r="AB860" s="78">
        <f t="shared" si="112"/>
        <v>0</v>
      </c>
      <c r="AC860" s="78"/>
      <c r="AD860" s="78">
        <v>0</v>
      </c>
      <c r="AE860" s="80">
        <f t="shared" si="114"/>
        <v>0</v>
      </c>
      <c r="AF860" s="82">
        <v>0</v>
      </c>
      <c r="AG860" s="69">
        <v>40379</v>
      </c>
      <c r="AH860" s="84"/>
      <c r="AI860" s="69" t="s">
        <v>2009</v>
      </c>
      <c r="AJ860" s="25" t="s">
        <v>2010</v>
      </c>
      <c r="AK860" s="65"/>
      <c r="AL860" s="184" t="s">
        <v>1678</v>
      </c>
      <c r="AM860" s="85" t="s">
        <v>2127</v>
      </c>
      <c r="AN860" s="3"/>
      <c r="AO860" s="4"/>
      <c r="AP860" s="5"/>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6"/>
      <c r="CQ860" s="7"/>
      <c r="CR860" s="6"/>
      <c r="CS860" s="7"/>
      <c r="CT860" s="6"/>
      <c r="CU860" s="7"/>
      <c r="CV860" s="8">
        <f t="shared" si="113"/>
        <v>0</v>
      </c>
      <c r="CW860" s="9"/>
      <c r="CX860" s="10"/>
      <c r="CY860" s="11"/>
      <c r="CZ860" s="12"/>
      <c r="DA860" s="29"/>
      <c r="DB860" s="12"/>
      <c r="DC860" s="9"/>
      <c r="DD860" s="10"/>
      <c r="DE860" s="71"/>
      <c r="EO860" s="353" t="str">
        <f t="shared" si="115"/>
        <v>BOYACA_TIBASOSA</v>
      </c>
      <c r="EP860" s="350"/>
      <c r="EQ860" s="350" t="s">
        <v>4535</v>
      </c>
      <c r="ER860" s="358" t="s">
        <v>4536</v>
      </c>
      <c r="ES860" s="350" t="s">
        <v>5540</v>
      </c>
      <c r="ET860" s="350" t="s">
        <v>3488</v>
      </c>
      <c r="EU860" s="350" t="str">
        <f t="shared" si="109"/>
        <v>Santander_Cimitarra</v>
      </c>
    </row>
    <row r="861" spans="1:151" ht="84" x14ac:dyDescent="0.2">
      <c r="A861" s="242">
        <v>40377</v>
      </c>
      <c r="B861" s="107" t="s">
        <v>1700</v>
      </c>
      <c r="C861" s="107" t="s">
        <v>2135</v>
      </c>
      <c r="D861" s="427" t="s">
        <v>837</v>
      </c>
      <c r="E861" s="107" t="str">
        <f>VLOOKUP(B861&amp;C861,Divipola!$C$2:$F$1138,4,FALSE)</f>
        <v>23678</v>
      </c>
      <c r="F861" s="330"/>
      <c r="G861" s="224"/>
      <c r="H861" s="75"/>
      <c r="I861" s="75"/>
      <c r="J861" s="75">
        <v>1125</v>
      </c>
      <c r="K861" s="75">
        <v>286</v>
      </c>
      <c r="L861" s="75"/>
      <c r="M861" s="75">
        <v>202</v>
      </c>
      <c r="N861" s="75"/>
      <c r="O861" s="75"/>
      <c r="P861" s="75"/>
      <c r="Q861" s="75"/>
      <c r="R861" s="75"/>
      <c r="S861" s="75"/>
      <c r="T861" s="75"/>
      <c r="U861" s="75"/>
      <c r="V861" s="76"/>
      <c r="W861" s="205"/>
      <c r="X861" s="1">
        <v>40429</v>
      </c>
      <c r="Y861" s="78">
        <f t="shared" si="110"/>
        <v>14900000</v>
      </c>
      <c r="Z861" s="78">
        <f t="shared" si="111"/>
        <v>58480000</v>
      </c>
      <c r="AA861" s="78">
        <f t="shared" ref="AA861:AA874" si="116">DB861+DD861</f>
        <v>0</v>
      </c>
      <c r="AB861" s="78">
        <f t="shared" si="112"/>
        <v>0</v>
      </c>
      <c r="AC861" s="78"/>
      <c r="AD861" s="78">
        <v>0</v>
      </c>
      <c r="AE861" s="80">
        <f t="shared" si="114"/>
        <v>73380000</v>
      </c>
      <c r="AF861" s="82">
        <v>0</v>
      </c>
      <c r="AG861" s="69">
        <v>40394</v>
      </c>
      <c r="AH861" s="84">
        <v>38767</v>
      </c>
      <c r="AI861" s="69" t="s">
        <v>2009</v>
      </c>
      <c r="AJ861" s="25" t="s">
        <v>2010</v>
      </c>
      <c r="AK861" s="65">
        <v>295</v>
      </c>
      <c r="AL861" s="185" t="s">
        <v>666</v>
      </c>
      <c r="AM861" s="85" t="s">
        <v>684</v>
      </c>
      <c r="AN861" s="3"/>
      <c r="AO861" s="4"/>
      <c r="AP861" s="5"/>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6">
        <v>200</v>
      </c>
      <c r="CQ861" s="7">
        <f>200*38500</f>
        <v>7700000</v>
      </c>
      <c r="CR861" s="6">
        <v>200</v>
      </c>
      <c r="CS861" s="7">
        <f>200*36000</f>
        <v>7200000</v>
      </c>
      <c r="CT861" s="6"/>
      <c r="CU861" s="7"/>
      <c r="CV861" s="8">
        <f t="shared" si="113"/>
        <v>14900000</v>
      </c>
      <c r="CW861" s="9"/>
      <c r="CX861" s="10"/>
      <c r="CY861" s="11">
        <f>200+202+286</f>
        <v>688</v>
      </c>
      <c r="CZ861" s="12">
        <f>200*85000+202*85000+286*85000</f>
        <v>58480000</v>
      </c>
      <c r="DA861" s="29"/>
      <c r="DB861" s="12"/>
      <c r="DC861" s="9"/>
      <c r="DD861" s="10"/>
      <c r="DE861" s="71"/>
      <c r="EO861" s="353" t="str">
        <f t="shared" si="115"/>
        <v>CORDOBA_SAN CARLOS</v>
      </c>
      <c r="EP861" s="350"/>
      <c r="EQ861" s="350" t="s">
        <v>4535</v>
      </c>
      <c r="ER861" s="358" t="s">
        <v>4536</v>
      </c>
      <c r="ES861" s="350" t="s">
        <v>5541</v>
      </c>
      <c r="ET861" s="350" t="s">
        <v>5866</v>
      </c>
      <c r="EU861" s="350" t="str">
        <f t="shared" si="109"/>
        <v>Santander_Concepcion</v>
      </c>
    </row>
    <row r="862" spans="1:151" ht="38.25" x14ac:dyDescent="0.2">
      <c r="A862" s="242">
        <v>40377</v>
      </c>
      <c r="B862" s="107" t="s">
        <v>2007</v>
      </c>
      <c r="C862" s="107" t="s">
        <v>2378</v>
      </c>
      <c r="D862" s="427" t="s">
        <v>837</v>
      </c>
      <c r="E862" s="107" t="str">
        <f>VLOOKUP(B862&amp;C862,Divipola!$C$2:$F$1138,4,FALSE)</f>
        <v>25214</v>
      </c>
      <c r="F862" s="330"/>
      <c r="G862" s="224"/>
      <c r="H862" s="75"/>
      <c r="I862" s="75"/>
      <c r="J862" s="75"/>
      <c r="K862" s="75"/>
      <c r="L862" s="75"/>
      <c r="M862" s="75"/>
      <c r="N862" s="75">
        <v>1</v>
      </c>
      <c r="O862" s="75"/>
      <c r="P862" s="75"/>
      <c r="Q862" s="75"/>
      <c r="R862" s="75"/>
      <c r="S862" s="75"/>
      <c r="T862" s="75"/>
      <c r="U862" s="75"/>
      <c r="V862" s="76"/>
      <c r="W862" s="205"/>
      <c r="X862" s="1"/>
      <c r="Y862" s="78">
        <f t="shared" si="110"/>
        <v>0</v>
      </c>
      <c r="Z862" s="78">
        <f t="shared" si="111"/>
        <v>0</v>
      </c>
      <c r="AA862" s="78">
        <f t="shared" si="116"/>
        <v>0</v>
      </c>
      <c r="AB862" s="78">
        <f t="shared" si="112"/>
        <v>0</v>
      </c>
      <c r="AC862" s="78"/>
      <c r="AD862" s="78">
        <v>0</v>
      </c>
      <c r="AE862" s="80">
        <f t="shared" si="114"/>
        <v>0</v>
      </c>
      <c r="AF862" s="82">
        <v>0</v>
      </c>
      <c r="AG862" s="69">
        <v>40378</v>
      </c>
      <c r="AH862" s="84"/>
      <c r="AI862" s="69" t="s">
        <v>1984</v>
      </c>
      <c r="AJ862" s="25" t="s">
        <v>1985</v>
      </c>
      <c r="AK862" s="65"/>
      <c r="AL862" s="185" t="s">
        <v>1257</v>
      </c>
      <c r="AM862" s="85" t="s">
        <v>1251</v>
      </c>
      <c r="AN862" s="3"/>
      <c r="AO862" s="4"/>
      <c r="AP862" s="5"/>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6"/>
      <c r="CQ862" s="7"/>
      <c r="CR862" s="6"/>
      <c r="CS862" s="7"/>
      <c r="CT862" s="6"/>
      <c r="CU862" s="7"/>
      <c r="CV862" s="8">
        <f t="shared" si="113"/>
        <v>0</v>
      </c>
      <c r="CW862" s="9"/>
      <c r="CX862" s="10"/>
      <c r="CY862" s="11"/>
      <c r="CZ862" s="12"/>
      <c r="DA862" s="29"/>
      <c r="DB862" s="12"/>
      <c r="DC862" s="9"/>
      <c r="DD862" s="10"/>
      <c r="DE862" s="71"/>
      <c r="EO862" s="353" t="str">
        <f t="shared" si="115"/>
        <v>CUNDINAMARCA_COTA</v>
      </c>
      <c r="EP862" s="350"/>
      <c r="EQ862" s="350" t="s">
        <v>4535</v>
      </c>
      <c r="ER862" s="358" t="s">
        <v>4536</v>
      </c>
      <c r="ES862" s="350" t="s">
        <v>5542</v>
      </c>
      <c r="ET862" s="350" t="s">
        <v>3489</v>
      </c>
      <c r="EU862" s="350" t="str">
        <f t="shared" si="109"/>
        <v>Santander_Confines</v>
      </c>
    </row>
    <row r="863" spans="1:151" ht="38.25" x14ac:dyDescent="0.2">
      <c r="A863" s="242">
        <v>40377</v>
      </c>
      <c r="B863" s="107" t="s">
        <v>2427</v>
      </c>
      <c r="C863" s="107" t="s">
        <v>2480</v>
      </c>
      <c r="D863" s="427" t="s">
        <v>837</v>
      </c>
      <c r="E863" s="107" t="str">
        <f>VLOOKUP(B863&amp;C863,Divipola!$C$2:$F$1138,4,FALSE)</f>
        <v>68575</v>
      </c>
      <c r="F863" s="330"/>
      <c r="G863" s="277"/>
      <c r="H863" s="75"/>
      <c r="I863" s="75"/>
      <c r="J863" s="75">
        <v>42</v>
      </c>
      <c r="K863" s="75">
        <v>13</v>
      </c>
      <c r="L863" s="75"/>
      <c r="M863" s="75"/>
      <c r="N863" s="75"/>
      <c r="O863" s="75"/>
      <c r="P863" s="75"/>
      <c r="Q863" s="75"/>
      <c r="R863" s="75"/>
      <c r="S863" s="75"/>
      <c r="T863" s="75"/>
      <c r="U863" s="75"/>
      <c r="V863" s="76"/>
      <c r="W863" s="205"/>
      <c r="X863" s="1"/>
      <c r="Y863" s="78">
        <f t="shared" si="110"/>
        <v>0</v>
      </c>
      <c r="Z863" s="78">
        <f t="shared" si="111"/>
        <v>0</v>
      </c>
      <c r="AA863" s="78">
        <f t="shared" si="116"/>
        <v>0</v>
      </c>
      <c r="AB863" s="78">
        <f t="shared" si="112"/>
        <v>0</v>
      </c>
      <c r="AC863" s="78"/>
      <c r="AD863" s="78">
        <v>0</v>
      </c>
      <c r="AE863" s="80">
        <f t="shared" si="114"/>
        <v>0</v>
      </c>
      <c r="AF863" s="82">
        <v>0</v>
      </c>
      <c r="AG863" s="69">
        <v>40379</v>
      </c>
      <c r="AH863" s="84"/>
      <c r="AI863" s="69" t="s">
        <v>2009</v>
      </c>
      <c r="AJ863" s="25" t="s">
        <v>2010</v>
      </c>
      <c r="AK863" s="65"/>
      <c r="AL863" s="214" t="s">
        <v>1183</v>
      </c>
      <c r="AM863" s="85" t="s">
        <v>2124</v>
      </c>
      <c r="AN863" s="3"/>
      <c r="AO863" s="4"/>
      <c r="AP863" s="5"/>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6"/>
      <c r="CQ863" s="7"/>
      <c r="CR863" s="6"/>
      <c r="CS863" s="7"/>
      <c r="CT863" s="6"/>
      <c r="CU863" s="7"/>
      <c r="CV863" s="8">
        <f t="shared" si="113"/>
        <v>0</v>
      </c>
      <c r="CW863" s="9"/>
      <c r="CX863" s="10"/>
      <c r="CY863" s="11"/>
      <c r="CZ863" s="12"/>
      <c r="DA863" s="29"/>
      <c r="DB863" s="12"/>
      <c r="DC863" s="9"/>
      <c r="DD863" s="10"/>
      <c r="DE863" s="71"/>
      <c r="EO863" s="353" t="str">
        <f t="shared" si="115"/>
        <v>SANTANDER_PUERTO WILCHES</v>
      </c>
      <c r="EP863" s="350"/>
      <c r="EQ863" s="350" t="s">
        <v>4535</v>
      </c>
      <c r="ER863" s="358" t="s">
        <v>4536</v>
      </c>
      <c r="ES863" s="350" t="s">
        <v>5543</v>
      </c>
      <c r="ET863" s="350" t="s">
        <v>3490</v>
      </c>
      <c r="EU863" s="350" t="str">
        <f t="shared" si="109"/>
        <v>Santander_Contratacion</v>
      </c>
    </row>
    <row r="864" spans="1:151" ht="45" x14ac:dyDescent="0.2">
      <c r="A864" s="242">
        <v>40378</v>
      </c>
      <c r="B864" s="107" t="s">
        <v>2017</v>
      </c>
      <c r="C864" s="107" t="s">
        <v>1208</v>
      </c>
      <c r="D864" s="427" t="s">
        <v>837</v>
      </c>
      <c r="E864" s="107" t="str">
        <f>VLOOKUP(B864&amp;C864,Divipola!$C$2:$F$1138,4,FALSE)</f>
        <v>13160</v>
      </c>
      <c r="F864" s="330"/>
      <c r="G864" s="224"/>
      <c r="H864" s="75"/>
      <c r="I864" s="75"/>
      <c r="J864" s="75">
        <f>960*5</f>
        <v>4800</v>
      </c>
      <c r="K864" s="75">
        <v>960</v>
      </c>
      <c r="L864" s="75"/>
      <c r="M864" s="75">
        <v>960</v>
      </c>
      <c r="N864" s="75"/>
      <c r="O864" s="75"/>
      <c r="P864" s="75"/>
      <c r="Q864" s="75"/>
      <c r="R864" s="75"/>
      <c r="S864" s="75"/>
      <c r="T864" s="75"/>
      <c r="U864" s="75"/>
      <c r="V864" s="76"/>
      <c r="W864" s="205"/>
      <c r="X864" s="1">
        <v>40526</v>
      </c>
      <c r="Y864" s="78">
        <f t="shared" si="110"/>
        <v>9180000</v>
      </c>
      <c r="Z864" s="78">
        <f t="shared" si="111"/>
        <v>43350000</v>
      </c>
      <c r="AA864" s="78">
        <f t="shared" si="116"/>
        <v>0</v>
      </c>
      <c r="AB864" s="78">
        <f t="shared" si="112"/>
        <v>0</v>
      </c>
      <c r="AC864" s="78"/>
      <c r="AD864" s="78">
        <v>0</v>
      </c>
      <c r="AE864" s="80">
        <f t="shared" si="114"/>
        <v>52530000</v>
      </c>
      <c r="AF864" s="82">
        <v>0</v>
      </c>
      <c r="AG864" s="69">
        <v>40387</v>
      </c>
      <c r="AH864" s="84">
        <v>57681</v>
      </c>
      <c r="AI864" s="69" t="s">
        <v>2009</v>
      </c>
      <c r="AJ864" s="25" t="s">
        <v>2010</v>
      </c>
      <c r="AK864" s="65">
        <v>25667</v>
      </c>
      <c r="AL864" s="185" t="s">
        <v>2182</v>
      </c>
      <c r="AM864" s="85" t="s">
        <v>1472</v>
      </c>
      <c r="AN864" s="3"/>
      <c r="AO864" s="4"/>
      <c r="AP864" s="5"/>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v>510</v>
      </c>
      <c r="CO864" s="4">
        <f>510*18000</f>
        <v>9180000</v>
      </c>
      <c r="CP864" s="6"/>
      <c r="CQ864" s="7"/>
      <c r="CR864" s="6"/>
      <c r="CS864" s="7"/>
      <c r="CT864" s="6"/>
      <c r="CU864" s="7"/>
      <c r="CV864" s="8">
        <f t="shared" si="113"/>
        <v>9180000</v>
      </c>
      <c r="CW864" s="9"/>
      <c r="CX864" s="10"/>
      <c r="CY864" s="11">
        <v>510</v>
      </c>
      <c r="CZ864" s="12">
        <f>510*85000</f>
        <v>43350000</v>
      </c>
      <c r="DA864" s="29"/>
      <c r="DB864" s="12"/>
      <c r="DC864" s="9"/>
      <c r="DD864" s="10"/>
      <c r="DE864" s="71"/>
      <c r="EO864" s="353" t="str">
        <f t="shared" si="115"/>
        <v>BOLIVAR_CANTAGALLO</v>
      </c>
      <c r="EP864" s="350"/>
      <c r="EQ864" s="350" t="s">
        <v>4535</v>
      </c>
      <c r="ER864" s="358" t="s">
        <v>4536</v>
      </c>
      <c r="ES864" s="350" t="s">
        <v>5544</v>
      </c>
      <c r="ET864" s="350" t="s">
        <v>3491</v>
      </c>
      <c r="EU864" s="350" t="str">
        <f t="shared" si="109"/>
        <v>Santander_Coromoro</v>
      </c>
    </row>
    <row r="865" spans="1:151" ht="38.25" x14ac:dyDescent="0.2">
      <c r="A865" s="242">
        <v>40378</v>
      </c>
      <c r="B865" s="107" t="s">
        <v>2425</v>
      </c>
      <c r="C865" s="107" t="s">
        <v>4415</v>
      </c>
      <c r="D865" s="427" t="s">
        <v>2331</v>
      </c>
      <c r="E865" s="107" t="str">
        <f>VLOOKUP(B865&amp;C865,Divipola!$C$2:$F$1138,4,FALSE)</f>
        <v>27245</v>
      </c>
      <c r="F865" s="330"/>
      <c r="G865" s="224"/>
      <c r="H865" s="75"/>
      <c r="I865" s="75"/>
      <c r="J865" s="75">
        <v>100</v>
      </c>
      <c r="K865" s="75">
        <v>20</v>
      </c>
      <c r="L865" s="75"/>
      <c r="M865" s="75"/>
      <c r="N865" s="75"/>
      <c r="O865" s="75"/>
      <c r="P865" s="75">
        <v>19</v>
      </c>
      <c r="Q865" s="75"/>
      <c r="R865" s="75"/>
      <c r="S865" s="75"/>
      <c r="T865" s="75"/>
      <c r="U865" s="75"/>
      <c r="V865" s="76"/>
      <c r="W865" s="205"/>
      <c r="X865" s="1"/>
      <c r="Y865" s="78">
        <f t="shared" si="110"/>
        <v>0</v>
      </c>
      <c r="Z865" s="78">
        <f t="shared" si="111"/>
        <v>0</v>
      </c>
      <c r="AA865" s="78">
        <f t="shared" si="116"/>
        <v>0</v>
      </c>
      <c r="AB865" s="78">
        <f t="shared" si="112"/>
        <v>0</v>
      </c>
      <c r="AC865" s="78"/>
      <c r="AD865" s="78">
        <v>0</v>
      </c>
      <c r="AE865" s="80">
        <f t="shared" si="114"/>
        <v>0</v>
      </c>
      <c r="AF865" s="82">
        <v>0</v>
      </c>
      <c r="AG865" s="69">
        <v>40407</v>
      </c>
      <c r="AH865" s="84"/>
      <c r="AI865" s="69" t="s">
        <v>1984</v>
      </c>
      <c r="AJ865" s="25" t="s">
        <v>1985</v>
      </c>
      <c r="AK865" s="65"/>
      <c r="AL865" s="185" t="s">
        <v>1257</v>
      </c>
      <c r="AM865" s="85" t="s">
        <v>1910</v>
      </c>
      <c r="AN865" s="3"/>
      <c r="AO865" s="4"/>
      <c r="AP865" s="5"/>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6"/>
      <c r="CQ865" s="7"/>
      <c r="CR865" s="6"/>
      <c r="CS865" s="7"/>
      <c r="CT865" s="6"/>
      <c r="CU865" s="7"/>
      <c r="CV865" s="8">
        <f t="shared" si="113"/>
        <v>0</v>
      </c>
      <c r="CW865" s="9"/>
      <c r="CX865" s="10"/>
      <c r="CY865" s="11"/>
      <c r="CZ865" s="12"/>
      <c r="DA865" s="29"/>
      <c r="DB865" s="12"/>
      <c r="DC865" s="9"/>
      <c r="DD865" s="10"/>
      <c r="DE865" s="71"/>
      <c r="EO865" s="353" t="str">
        <f t="shared" si="115"/>
        <v>CHOCO_EL CARMEN DE ATRATO</v>
      </c>
      <c r="EP865" s="350"/>
      <c r="EQ865" s="350" t="s">
        <v>4535</v>
      </c>
      <c r="ER865" s="358" t="s">
        <v>4536</v>
      </c>
      <c r="ES865" s="350" t="s">
        <v>5545</v>
      </c>
      <c r="ET865" s="350" t="s">
        <v>3492</v>
      </c>
      <c r="EU865" s="350" t="str">
        <f t="shared" si="109"/>
        <v>Santander_Curiti</v>
      </c>
    </row>
    <row r="866" spans="1:151" ht="120" x14ac:dyDescent="0.2">
      <c r="A866" s="242">
        <v>40378</v>
      </c>
      <c r="B866" s="107" t="s">
        <v>1700</v>
      </c>
      <c r="C866" s="107" t="s">
        <v>2690</v>
      </c>
      <c r="D866" s="427" t="s">
        <v>837</v>
      </c>
      <c r="E866" s="107" t="str">
        <f>VLOOKUP(B866&amp;C866,Divipola!$C$2:$F$1138,4,FALSE)</f>
        <v>23417</v>
      </c>
      <c r="F866" s="330"/>
      <c r="G866" s="224"/>
      <c r="H866" s="75"/>
      <c r="I866" s="75"/>
      <c r="J866" s="157">
        <f>24809-60-2430</f>
        <v>22319</v>
      </c>
      <c r="K866" s="157">
        <v>6325</v>
      </c>
      <c r="L866" s="157"/>
      <c r="M866" s="157">
        <v>6325</v>
      </c>
      <c r="N866" s="75"/>
      <c r="O866" s="75"/>
      <c r="P866" s="75"/>
      <c r="Q866" s="75"/>
      <c r="R866" s="75"/>
      <c r="S866" s="75"/>
      <c r="T866" s="75"/>
      <c r="U866" s="75"/>
      <c r="V866" s="76"/>
      <c r="W866" s="205"/>
      <c r="X866" s="1">
        <v>40437</v>
      </c>
      <c r="Y866" s="78">
        <f t="shared" si="110"/>
        <v>12949776</v>
      </c>
      <c r="Z866" s="78">
        <f t="shared" si="111"/>
        <v>29750000</v>
      </c>
      <c r="AA866" s="78">
        <f t="shared" si="116"/>
        <v>0</v>
      </c>
      <c r="AB866" s="78">
        <f t="shared" si="112"/>
        <v>0</v>
      </c>
      <c r="AC866" s="78"/>
      <c r="AD866" s="78">
        <v>0</v>
      </c>
      <c r="AE866" s="80">
        <f t="shared" si="114"/>
        <v>42699776</v>
      </c>
      <c r="AF866" s="82">
        <v>0</v>
      </c>
      <c r="AG866" s="69">
        <v>40381</v>
      </c>
      <c r="AH866" s="84">
        <v>38767</v>
      </c>
      <c r="AI866" s="69" t="s">
        <v>2009</v>
      </c>
      <c r="AJ866" s="25" t="s">
        <v>2010</v>
      </c>
      <c r="AK866" s="88" t="s">
        <v>1682</v>
      </c>
      <c r="AL866" s="185" t="s">
        <v>2182</v>
      </c>
      <c r="AM866" s="181" t="s">
        <v>690</v>
      </c>
      <c r="AN866" s="3"/>
      <c r="AO866" s="4"/>
      <c r="AP866" s="5"/>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6">
        <v>350</v>
      </c>
      <c r="CQ866" s="7">
        <f>350*36999.36</f>
        <v>12949776</v>
      </c>
      <c r="CR866" s="6"/>
      <c r="CS866" s="7"/>
      <c r="CT866" s="6"/>
      <c r="CU866" s="7"/>
      <c r="CV866" s="8">
        <f t="shared" si="113"/>
        <v>12949776</v>
      </c>
      <c r="CW866" s="9"/>
      <c r="CX866" s="10"/>
      <c r="CY866" s="11">
        <v>350</v>
      </c>
      <c r="CZ866" s="12">
        <f>350*85000</f>
        <v>29750000</v>
      </c>
      <c r="DA866" s="29"/>
      <c r="DB866" s="12"/>
      <c r="DC866" s="9"/>
      <c r="DD866" s="10"/>
      <c r="DE866" s="71"/>
      <c r="DF866" s="23">
        <v>1175</v>
      </c>
      <c r="EO866" s="353" t="str">
        <f t="shared" si="115"/>
        <v>CORDOBA_LORICA</v>
      </c>
      <c r="EP866" s="350"/>
      <c r="EQ866" s="350" t="s">
        <v>4535</v>
      </c>
      <c r="ER866" s="358" t="s">
        <v>4536</v>
      </c>
      <c r="ES866" s="350" t="s">
        <v>5546</v>
      </c>
      <c r="ET866" s="350" t="s">
        <v>3493</v>
      </c>
      <c r="EU866" s="350" t="str">
        <f t="shared" si="109"/>
        <v>Santander_El Carmen de Chucuri</v>
      </c>
    </row>
    <row r="867" spans="1:151" ht="45" x14ac:dyDescent="0.2">
      <c r="A867" s="242">
        <v>40378</v>
      </c>
      <c r="B867" s="107" t="s">
        <v>1700</v>
      </c>
      <c r="C867" s="107" t="s">
        <v>2132</v>
      </c>
      <c r="D867" s="427" t="s">
        <v>837</v>
      </c>
      <c r="E867" s="107" t="str">
        <f>VLOOKUP(B867&amp;C867,Divipola!$C$2:$F$1138,4,FALSE)</f>
        <v>23815</v>
      </c>
      <c r="F867" s="330"/>
      <c r="G867" s="224"/>
      <c r="H867" s="75"/>
      <c r="I867" s="75"/>
      <c r="J867" s="75">
        <v>535</v>
      </c>
      <c r="K867" s="75">
        <v>107</v>
      </c>
      <c r="L867" s="75"/>
      <c r="M867" s="75">
        <v>88</v>
      </c>
      <c r="N867" s="75"/>
      <c r="O867" s="75"/>
      <c r="P867" s="75"/>
      <c r="Q867" s="75"/>
      <c r="R867" s="75"/>
      <c r="S867" s="75"/>
      <c r="T867" s="75"/>
      <c r="U867" s="75"/>
      <c r="V867" s="76"/>
      <c r="W867" s="205"/>
      <c r="X867" s="1"/>
      <c r="Y867" s="78">
        <f t="shared" si="110"/>
        <v>0</v>
      </c>
      <c r="Z867" s="78">
        <f t="shared" si="111"/>
        <v>14960000</v>
      </c>
      <c r="AA867" s="78">
        <f t="shared" si="116"/>
        <v>0</v>
      </c>
      <c r="AB867" s="78">
        <f t="shared" si="112"/>
        <v>0</v>
      </c>
      <c r="AC867" s="78"/>
      <c r="AD867" s="78">
        <v>0</v>
      </c>
      <c r="AE867" s="80">
        <f t="shared" si="114"/>
        <v>14960000</v>
      </c>
      <c r="AF867" s="82">
        <v>0</v>
      </c>
      <c r="AG867" s="69">
        <v>40379</v>
      </c>
      <c r="AH867" s="84"/>
      <c r="AI867" s="69" t="s">
        <v>2009</v>
      </c>
      <c r="AJ867" s="25" t="s">
        <v>2010</v>
      </c>
      <c r="AK867" s="65"/>
      <c r="AL867" s="185" t="s">
        <v>2182</v>
      </c>
      <c r="AM867" s="85" t="s">
        <v>2133</v>
      </c>
      <c r="AN867" s="3"/>
      <c r="AO867" s="4"/>
      <c r="AP867" s="5"/>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6"/>
      <c r="CQ867" s="7"/>
      <c r="CR867" s="6"/>
      <c r="CS867" s="7"/>
      <c r="CT867" s="6"/>
      <c r="CU867" s="7"/>
      <c r="CV867" s="8">
        <f t="shared" si="113"/>
        <v>0</v>
      </c>
      <c r="CW867" s="9"/>
      <c r="CX867" s="10"/>
      <c r="CY867" s="11">
        <f>88+88</f>
        <v>176</v>
      </c>
      <c r="CZ867" s="12">
        <f>88*85000+88*85000</f>
        <v>14960000</v>
      </c>
      <c r="DA867" s="29"/>
      <c r="DB867" s="12"/>
      <c r="DC867" s="9"/>
      <c r="DD867" s="10"/>
      <c r="DE867" s="71"/>
      <c r="EO867" s="353" t="str">
        <f t="shared" si="115"/>
        <v>CORDOBA_TUCHIN</v>
      </c>
      <c r="EP867" s="350"/>
      <c r="EQ867" s="350" t="s">
        <v>4535</v>
      </c>
      <c r="ER867" s="358" t="s">
        <v>4536</v>
      </c>
      <c r="ES867" s="350" t="s">
        <v>5547</v>
      </c>
      <c r="ET867" s="350" t="s">
        <v>3494</v>
      </c>
      <c r="EU867" s="350" t="str">
        <f t="shared" si="109"/>
        <v>Santander_El Guacamayo</v>
      </c>
    </row>
    <row r="868" spans="1:151" ht="51" x14ac:dyDescent="0.2">
      <c r="A868" s="242">
        <v>40378</v>
      </c>
      <c r="B868" s="107" t="s">
        <v>2007</v>
      </c>
      <c r="C868" s="107" t="s">
        <v>2129</v>
      </c>
      <c r="D868" s="427" t="s">
        <v>2307</v>
      </c>
      <c r="E868" s="107" t="str">
        <f>VLOOKUP(B868&amp;C868,Divipola!$C$2:$F$1138,4,FALSE)</f>
        <v>25154</v>
      </c>
      <c r="F868" s="330"/>
      <c r="G868" s="224"/>
      <c r="H868" s="75"/>
      <c r="I868" s="75"/>
      <c r="J868" s="75">
        <v>10</v>
      </c>
      <c r="K868" s="75">
        <v>2</v>
      </c>
      <c r="L868" s="75"/>
      <c r="M868" s="75"/>
      <c r="N868" s="75">
        <v>1</v>
      </c>
      <c r="O868" s="75"/>
      <c r="P868" s="75"/>
      <c r="Q868" s="75"/>
      <c r="R868" s="75"/>
      <c r="S868" s="75"/>
      <c r="T868" s="75"/>
      <c r="U868" s="75"/>
      <c r="V868" s="76"/>
      <c r="W868" s="205"/>
      <c r="X868" s="1"/>
      <c r="Y868" s="78">
        <f t="shared" si="110"/>
        <v>0</v>
      </c>
      <c r="Z868" s="78">
        <f t="shared" si="111"/>
        <v>0</v>
      </c>
      <c r="AA868" s="78">
        <f t="shared" si="116"/>
        <v>0</v>
      </c>
      <c r="AB868" s="78">
        <f t="shared" si="112"/>
        <v>0</v>
      </c>
      <c r="AC868" s="78"/>
      <c r="AD868" s="78">
        <v>0</v>
      </c>
      <c r="AE868" s="80">
        <f t="shared" si="114"/>
        <v>0</v>
      </c>
      <c r="AF868" s="82">
        <v>0</v>
      </c>
      <c r="AG868" s="69">
        <v>40379</v>
      </c>
      <c r="AH868" s="84"/>
      <c r="AI868" s="69" t="s">
        <v>1984</v>
      </c>
      <c r="AJ868" s="25" t="s">
        <v>1985</v>
      </c>
      <c r="AK868" s="65"/>
      <c r="AL868" s="185" t="s">
        <v>1257</v>
      </c>
      <c r="AM868" s="85" t="s">
        <v>2130</v>
      </c>
      <c r="AN868" s="3"/>
      <c r="AO868" s="4"/>
      <c r="AP868" s="5"/>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6"/>
      <c r="CQ868" s="7"/>
      <c r="CR868" s="6"/>
      <c r="CS868" s="7"/>
      <c r="CT868" s="6"/>
      <c r="CU868" s="7"/>
      <c r="CV868" s="8">
        <f t="shared" si="113"/>
        <v>0</v>
      </c>
      <c r="CW868" s="9"/>
      <c r="CX868" s="10"/>
      <c r="CY868" s="11"/>
      <c r="CZ868" s="12"/>
      <c r="DA868" s="29"/>
      <c r="DB868" s="12"/>
      <c r="DC868" s="9"/>
      <c r="DD868" s="10"/>
      <c r="DE868" s="71"/>
      <c r="EO868" s="353" t="str">
        <f t="shared" si="115"/>
        <v>CUNDINAMARCA_CARMEN DE CARUPA</v>
      </c>
      <c r="EP868" s="350"/>
      <c r="EQ868" s="350" t="s">
        <v>4535</v>
      </c>
      <c r="ER868" s="358" t="s">
        <v>4536</v>
      </c>
      <c r="ES868" s="350" t="s">
        <v>5548</v>
      </c>
      <c r="ET868" s="350" t="s">
        <v>5989</v>
      </c>
      <c r="EU868" s="350" t="str">
        <f t="shared" si="109"/>
        <v>Santander_El Peñon</v>
      </c>
    </row>
    <row r="869" spans="1:151" ht="38.25" x14ac:dyDescent="0.2">
      <c r="A869" s="242">
        <v>40378</v>
      </c>
      <c r="B869" s="107" t="s">
        <v>1336</v>
      </c>
      <c r="C869" s="107" t="s">
        <v>1732</v>
      </c>
      <c r="D869" s="427" t="s">
        <v>1721</v>
      </c>
      <c r="E869" s="107" t="str">
        <f>VLOOKUP(B869&amp;C869,Divipola!$C$2:$F$1138,4,FALSE)</f>
        <v>54001</v>
      </c>
      <c r="F869" s="330"/>
      <c r="G869" s="224">
        <v>1</v>
      </c>
      <c r="H869" s="75"/>
      <c r="I869" s="75"/>
      <c r="J869" s="75">
        <v>29</v>
      </c>
      <c r="K869" s="75">
        <v>8</v>
      </c>
      <c r="L869" s="75"/>
      <c r="M869" s="75">
        <v>8</v>
      </c>
      <c r="N869" s="75"/>
      <c r="O869" s="75"/>
      <c r="P869" s="75"/>
      <c r="Q869" s="75"/>
      <c r="R869" s="75"/>
      <c r="S869" s="75"/>
      <c r="T869" s="75"/>
      <c r="U869" s="75"/>
      <c r="V869" s="76"/>
      <c r="W869" s="205"/>
      <c r="X869" s="1"/>
      <c r="Y869" s="78">
        <f t="shared" si="110"/>
        <v>0</v>
      </c>
      <c r="Z869" s="78">
        <f t="shared" si="111"/>
        <v>0</v>
      </c>
      <c r="AA869" s="78">
        <f t="shared" si="116"/>
        <v>0</v>
      </c>
      <c r="AB869" s="78">
        <f t="shared" si="112"/>
        <v>0</v>
      </c>
      <c r="AC869" s="78"/>
      <c r="AD869" s="78">
        <v>0</v>
      </c>
      <c r="AE869" s="80">
        <f t="shared" si="114"/>
        <v>0</v>
      </c>
      <c r="AF869" s="82">
        <v>0</v>
      </c>
      <c r="AG869" s="69">
        <v>40379</v>
      </c>
      <c r="AH869" s="84"/>
      <c r="AI869" s="69" t="s">
        <v>1984</v>
      </c>
      <c r="AJ869" s="25" t="s">
        <v>1985</v>
      </c>
      <c r="AK869" s="65"/>
      <c r="AL869" s="185" t="s">
        <v>1257</v>
      </c>
      <c r="AM869" s="85"/>
      <c r="AN869" s="3"/>
      <c r="AO869" s="4"/>
      <c r="AP869" s="5"/>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6"/>
      <c r="CQ869" s="7"/>
      <c r="CR869" s="6"/>
      <c r="CS869" s="7"/>
      <c r="CT869" s="6"/>
      <c r="CU869" s="7"/>
      <c r="CV869" s="8">
        <f t="shared" si="113"/>
        <v>0</v>
      </c>
      <c r="CW869" s="9"/>
      <c r="CX869" s="10"/>
      <c r="CY869" s="11"/>
      <c r="CZ869" s="12"/>
      <c r="DA869" s="29"/>
      <c r="DB869" s="12"/>
      <c r="DC869" s="9"/>
      <c r="DD869" s="10"/>
      <c r="DE869" s="71"/>
      <c r="DF869" s="23">
        <v>1171</v>
      </c>
      <c r="EO869" s="353" t="str">
        <f t="shared" si="115"/>
        <v>NORTE DE SANTANDER_CUCUTA</v>
      </c>
      <c r="EP869" s="350"/>
      <c r="EQ869" s="350" t="s">
        <v>4535</v>
      </c>
      <c r="ER869" s="358" t="s">
        <v>4536</v>
      </c>
      <c r="ES869" s="350" t="s">
        <v>5549</v>
      </c>
      <c r="ET869" s="350" t="s">
        <v>3495</v>
      </c>
      <c r="EU869" s="350" t="str">
        <f t="shared" si="109"/>
        <v>Santander_El Playon</v>
      </c>
    </row>
    <row r="870" spans="1:151" ht="51" x14ac:dyDescent="0.2">
      <c r="A870" s="242">
        <v>40378</v>
      </c>
      <c r="B870" s="107" t="s">
        <v>2427</v>
      </c>
      <c r="C870" s="107" t="s">
        <v>1457</v>
      </c>
      <c r="D870" s="427" t="s">
        <v>837</v>
      </c>
      <c r="E870" s="107" t="str">
        <f>VLOOKUP(B870&amp;C870,Divipola!$C$2:$F$1138,4,FALSE)</f>
        <v>68081</v>
      </c>
      <c r="F870" s="330"/>
      <c r="G870" s="277"/>
      <c r="H870" s="75"/>
      <c r="I870" s="75"/>
      <c r="J870" s="75">
        <f>300*5</f>
        <v>1500</v>
      </c>
      <c r="K870" s="75">
        <v>300</v>
      </c>
      <c r="L870" s="75"/>
      <c r="M870" s="75"/>
      <c r="N870" s="75"/>
      <c r="O870" s="75"/>
      <c r="P870" s="75"/>
      <c r="Q870" s="75"/>
      <c r="R870" s="75"/>
      <c r="S870" s="75"/>
      <c r="T870" s="75"/>
      <c r="U870" s="75"/>
      <c r="V870" s="76"/>
      <c r="W870" s="205" t="s">
        <v>2180</v>
      </c>
      <c r="X870" s="1"/>
      <c r="Y870" s="78">
        <f t="shared" si="110"/>
        <v>0</v>
      </c>
      <c r="Z870" s="78">
        <f t="shared" si="111"/>
        <v>0</v>
      </c>
      <c r="AA870" s="78">
        <f t="shared" si="116"/>
        <v>0</v>
      </c>
      <c r="AB870" s="78">
        <f t="shared" si="112"/>
        <v>0</v>
      </c>
      <c r="AC870" s="78"/>
      <c r="AD870" s="78">
        <v>0</v>
      </c>
      <c r="AE870" s="80">
        <f t="shared" si="114"/>
        <v>0</v>
      </c>
      <c r="AF870" s="82">
        <v>0</v>
      </c>
      <c r="AG870" s="69">
        <v>40379</v>
      </c>
      <c r="AH870" s="84">
        <v>38584</v>
      </c>
      <c r="AI870" s="69" t="s">
        <v>2009</v>
      </c>
      <c r="AJ870" s="25" t="s">
        <v>2010</v>
      </c>
      <c r="AK870" s="65"/>
      <c r="AL870" s="214" t="s">
        <v>485</v>
      </c>
      <c r="AM870" s="85" t="s">
        <v>2125</v>
      </c>
      <c r="AN870" s="3"/>
      <c r="AO870" s="4"/>
      <c r="AP870" s="5"/>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6"/>
      <c r="CQ870" s="7"/>
      <c r="CR870" s="6"/>
      <c r="CS870" s="7"/>
      <c r="CT870" s="6"/>
      <c r="CU870" s="7"/>
      <c r="CV870" s="8">
        <f t="shared" si="113"/>
        <v>0</v>
      </c>
      <c r="CW870" s="9"/>
      <c r="CX870" s="10"/>
      <c r="CY870" s="11"/>
      <c r="CZ870" s="12"/>
      <c r="DA870" s="29"/>
      <c r="DB870" s="12"/>
      <c r="DC870" s="9"/>
      <c r="DD870" s="10"/>
      <c r="DE870" s="71"/>
      <c r="EO870" s="353" t="str">
        <f t="shared" si="115"/>
        <v>SANTANDER_BARRANCABERMEJA</v>
      </c>
      <c r="EP870" s="350"/>
      <c r="EQ870" s="350" t="s">
        <v>4535</v>
      </c>
      <c r="ER870" s="358" t="s">
        <v>4536</v>
      </c>
      <c r="ES870" s="350" t="s">
        <v>5550</v>
      </c>
      <c r="ET870" s="350" t="s">
        <v>3496</v>
      </c>
      <c r="EU870" s="350" t="str">
        <f t="shared" si="109"/>
        <v>Santander_Encino</v>
      </c>
    </row>
    <row r="871" spans="1:151" ht="38.25" x14ac:dyDescent="0.2">
      <c r="A871" s="242">
        <v>40378</v>
      </c>
      <c r="B871" s="107" t="s">
        <v>2427</v>
      </c>
      <c r="C871" s="107" t="s">
        <v>2008</v>
      </c>
      <c r="D871" s="427" t="s">
        <v>837</v>
      </c>
      <c r="E871" s="107">
        <f>VLOOKUP(B871&amp;C871,Divipola!$C$2:$F$1138,4,FALSE)</f>
        <v>68</v>
      </c>
      <c r="F871" s="330"/>
      <c r="G871" s="277"/>
      <c r="H871" s="75"/>
      <c r="I871" s="75"/>
      <c r="J871" s="75"/>
      <c r="K871" s="75"/>
      <c r="L871" s="75"/>
      <c r="M871" s="75"/>
      <c r="N871" s="75"/>
      <c r="O871" s="75"/>
      <c r="P871" s="75"/>
      <c r="Q871" s="75"/>
      <c r="R871" s="75"/>
      <c r="S871" s="75"/>
      <c r="T871" s="75"/>
      <c r="U871" s="75"/>
      <c r="V871" s="76"/>
      <c r="W871" s="205"/>
      <c r="X871" s="1">
        <v>40396</v>
      </c>
      <c r="Y871" s="78">
        <f t="shared" si="110"/>
        <v>0</v>
      </c>
      <c r="Z871" s="78">
        <f t="shared" si="111"/>
        <v>0</v>
      </c>
      <c r="AA871" s="78">
        <f t="shared" si="116"/>
        <v>0</v>
      </c>
      <c r="AB871" s="78">
        <f t="shared" si="112"/>
        <v>49300000</v>
      </c>
      <c r="AC871" s="78"/>
      <c r="AD871" s="78">
        <v>0</v>
      </c>
      <c r="AE871" s="80">
        <f t="shared" si="114"/>
        <v>49300000</v>
      </c>
      <c r="AF871" s="82">
        <v>0</v>
      </c>
      <c r="AG871" s="69">
        <v>40378</v>
      </c>
      <c r="AH871" s="84"/>
      <c r="AI871" s="69" t="s">
        <v>2009</v>
      </c>
      <c r="AJ871" s="25" t="s">
        <v>2010</v>
      </c>
      <c r="AK871" s="65">
        <v>229</v>
      </c>
      <c r="AL871" s="185" t="s">
        <v>942</v>
      </c>
      <c r="AM871" s="85" t="s">
        <v>943</v>
      </c>
      <c r="AN871" s="3"/>
      <c r="AO871" s="4"/>
      <c r="AP871" s="5"/>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6"/>
      <c r="CQ871" s="7"/>
      <c r="CR871" s="6"/>
      <c r="CS871" s="7"/>
      <c r="CT871" s="6"/>
      <c r="CU871" s="7"/>
      <c r="CV871" s="8">
        <f t="shared" si="113"/>
        <v>0</v>
      </c>
      <c r="CW871" s="9">
        <v>50000</v>
      </c>
      <c r="CX871" s="10">
        <f>50000*986</f>
        <v>49300000</v>
      </c>
      <c r="CY871" s="11"/>
      <c r="CZ871" s="12"/>
      <c r="DA871" s="29"/>
      <c r="DB871" s="12"/>
      <c r="DC871" s="9"/>
      <c r="DD871" s="10"/>
      <c r="DE871" s="71"/>
      <c r="EO871" s="353" t="str">
        <f t="shared" si="115"/>
        <v>SANTANDER_DEPARTAMENTO</v>
      </c>
      <c r="EP871" s="350"/>
      <c r="EQ871" s="350" t="s">
        <v>4535</v>
      </c>
      <c r="ER871" s="358" t="s">
        <v>4536</v>
      </c>
      <c r="ES871" s="350" t="s">
        <v>5551</v>
      </c>
      <c r="ET871" s="350" t="s">
        <v>3497</v>
      </c>
      <c r="EU871" s="350" t="str">
        <f t="shared" si="109"/>
        <v>Santander_Enciso</v>
      </c>
    </row>
    <row r="872" spans="1:151" ht="48" x14ac:dyDescent="0.2">
      <c r="A872" s="242">
        <v>40378</v>
      </c>
      <c r="B872" s="107" t="s">
        <v>2427</v>
      </c>
      <c r="C872" s="107" t="s">
        <v>2480</v>
      </c>
      <c r="D872" s="427" t="s">
        <v>837</v>
      </c>
      <c r="E872" s="107" t="str">
        <f>VLOOKUP(B872&amp;C872,Divipola!$C$2:$F$1138,4,FALSE)</f>
        <v>68575</v>
      </c>
      <c r="F872" s="330"/>
      <c r="G872" s="277"/>
      <c r="H872" s="75"/>
      <c r="I872" s="75"/>
      <c r="J872" s="75">
        <v>1250</v>
      </c>
      <c r="K872" s="75">
        <v>250</v>
      </c>
      <c r="L872" s="75">
        <v>11</v>
      </c>
      <c r="M872" s="75"/>
      <c r="N872" s="75"/>
      <c r="O872" s="75"/>
      <c r="P872" s="75"/>
      <c r="Q872" s="75"/>
      <c r="R872" s="75"/>
      <c r="S872" s="75"/>
      <c r="T872" s="75"/>
      <c r="U872" s="75"/>
      <c r="V872" s="76"/>
      <c r="W872" s="205"/>
      <c r="X872" s="1"/>
      <c r="Y872" s="78">
        <f t="shared" si="110"/>
        <v>0</v>
      </c>
      <c r="Z872" s="78">
        <f t="shared" si="111"/>
        <v>0</v>
      </c>
      <c r="AA872" s="78">
        <f t="shared" si="116"/>
        <v>0</v>
      </c>
      <c r="AB872" s="78">
        <f t="shared" si="112"/>
        <v>0</v>
      </c>
      <c r="AC872" s="78"/>
      <c r="AD872" s="78">
        <v>0</v>
      </c>
      <c r="AE872" s="80">
        <f t="shared" si="114"/>
        <v>0</v>
      </c>
      <c r="AF872" s="82">
        <v>0</v>
      </c>
      <c r="AG872" s="69">
        <v>40379</v>
      </c>
      <c r="AH872" s="84">
        <v>38584</v>
      </c>
      <c r="AI872" s="69" t="s">
        <v>2009</v>
      </c>
      <c r="AJ872" s="25" t="s">
        <v>2010</v>
      </c>
      <c r="AK872" s="65"/>
      <c r="AL872" s="214" t="s">
        <v>485</v>
      </c>
      <c r="AM872" s="85" t="s">
        <v>2126</v>
      </c>
      <c r="AN872" s="3"/>
      <c r="AO872" s="4"/>
      <c r="AP872" s="5"/>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6"/>
      <c r="CQ872" s="7"/>
      <c r="CR872" s="6"/>
      <c r="CS872" s="7"/>
      <c r="CT872" s="6"/>
      <c r="CU872" s="7"/>
      <c r="CV872" s="8">
        <f t="shared" si="113"/>
        <v>0</v>
      </c>
      <c r="CW872" s="9"/>
      <c r="CX872" s="10"/>
      <c r="CY872" s="11"/>
      <c r="CZ872" s="12"/>
      <c r="DA872" s="29"/>
      <c r="DB872" s="12"/>
      <c r="DC872" s="9"/>
      <c r="DD872" s="10"/>
      <c r="DE872" s="71"/>
      <c r="EO872" s="353" t="str">
        <f t="shared" si="115"/>
        <v>SANTANDER_PUERTO WILCHES</v>
      </c>
      <c r="EP872" s="350"/>
      <c r="EQ872" s="350" t="s">
        <v>4535</v>
      </c>
      <c r="ER872" s="358" t="s">
        <v>4536</v>
      </c>
      <c r="ES872" s="350" t="s">
        <v>5552</v>
      </c>
      <c r="ET872" s="350" t="s">
        <v>3498</v>
      </c>
      <c r="EU872" s="350" t="str">
        <f t="shared" si="109"/>
        <v>Santander_Florian</v>
      </c>
    </row>
    <row r="873" spans="1:151" ht="96" x14ac:dyDescent="0.2">
      <c r="A873" s="242">
        <v>40378</v>
      </c>
      <c r="B873" s="107" t="s">
        <v>2372</v>
      </c>
      <c r="C873" s="107" t="s">
        <v>229</v>
      </c>
      <c r="D873" s="427" t="s">
        <v>837</v>
      </c>
      <c r="E873" s="107" t="str">
        <f>VLOOKUP(B873&amp;C873,Divipola!$C$2:$F$1138,4,FALSE)</f>
        <v>70265</v>
      </c>
      <c r="F873" s="330"/>
      <c r="G873" s="224"/>
      <c r="H873" s="75"/>
      <c r="I873" s="75"/>
      <c r="J873" s="75">
        <f>4472-300</f>
        <v>4172</v>
      </c>
      <c r="K873" s="75">
        <f>1118-60</f>
        <v>1058</v>
      </c>
      <c r="L873" s="75"/>
      <c r="M873" s="75">
        <v>866</v>
      </c>
      <c r="N873" s="75"/>
      <c r="O873" s="75"/>
      <c r="P873" s="75"/>
      <c r="Q873" s="75"/>
      <c r="R873" s="75"/>
      <c r="S873" s="75"/>
      <c r="T873" s="75"/>
      <c r="U873" s="75"/>
      <c r="V873" s="76">
        <v>1886</v>
      </c>
      <c r="W873" s="205" t="s">
        <v>494</v>
      </c>
      <c r="X873" s="1">
        <v>40396</v>
      </c>
      <c r="Y873" s="78">
        <f t="shared" si="110"/>
        <v>122317000</v>
      </c>
      <c r="Z873" s="78">
        <f t="shared" si="111"/>
        <v>275060000</v>
      </c>
      <c r="AA873" s="78">
        <f t="shared" si="116"/>
        <v>0</v>
      </c>
      <c r="AB873" s="78">
        <f t="shared" si="112"/>
        <v>0</v>
      </c>
      <c r="AC873" s="78">
        <v>11460800</v>
      </c>
      <c r="AD873" s="78">
        <v>0</v>
      </c>
      <c r="AE873" s="80">
        <f t="shared" si="114"/>
        <v>408837800</v>
      </c>
      <c r="AF873" s="82">
        <v>0</v>
      </c>
      <c r="AG873" s="69">
        <v>40381</v>
      </c>
      <c r="AH873" s="84">
        <v>38879</v>
      </c>
      <c r="AI873" s="69" t="s">
        <v>2009</v>
      </c>
      <c r="AJ873" s="25" t="s">
        <v>2010</v>
      </c>
      <c r="AK873" s="88" t="s">
        <v>1908</v>
      </c>
      <c r="AL873" s="185" t="s">
        <v>1831</v>
      </c>
      <c r="AM873" s="85" t="s">
        <v>1531</v>
      </c>
      <c r="AN873" s="3"/>
      <c r="AO873" s="4"/>
      <c r="AP873" s="5"/>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v>15</v>
      </c>
      <c r="CA873" s="4">
        <f>15*504600</f>
        <v>7569000</v>
      </c>
      <c r="CB873" s="4"/>
      <c r="CC873" s="4"/>
      <c r="CD873" s="4"/>
      <c r="CE873" s="4"/>
      <c r="CF873" s="4"/>
      <c r="CG873" s="4"/>
      <c r="CH873" s="4"/>
      <c r="CI873" s="4"/>
      <c r="CJ873" s="4"/>
      <c r="CK873" s="4"/>
      <c r="CL873" s="4"/>
      <c r="CM873" s="4"/>
      <c r="CN873" s="4">
        <v>2236</v>
      </c>
      <c r="CO873" s="4">
        <f>2236*18000</f>
        <v>40248000</v>
      </c>
      <c r="CP873" s="6">
        <v>1000</v>
      </c>
      <c r="CQ873" s="7">
        <f>1000*38500</f>
        <v>38500000</v>
      </c>
      <c r="CR873" s="6">
        <v>1000</v>
      </c>
      <c r="CS873" s="7">
        <f>1000*36000</f>
        <v>36000000</v>
      </c>
      <c r="CT873" s="6"/>
      <c r="CU873" s="7"/>
      <c r="CV873" s="8">
        <f t="shared" si="113"/>
        <v>122317000</v>
      </c>
      <c r="CW873" s="9"/>
      <c r="CX873" s="10"/>
      <c r="CY873" s="11">
        <f>1000+1118+1118</f>
        <v>3236</v>
      </c>
      <c r="CZ873" s="12">
        <f>1000*85000+1118*85000+1118*85000</f>
        <v>275060000</v>
      </c>
      <c r="DA873" s="29"/>
      <c r="DB873" s="12"/>
      <c r="DC873" s="9"/>
      <c r="DD873" s="10"/>
      <c r="DE873" s="71"/>
      <c r="EO873" s="353" t="str">
        <f t="shared" si="115"/>
        <v>SUCRE_GUARANDA</v>
      </c>
      <c r="EP873" s="350"/>
      <c r="EQ873" s="350" t="s">
        <v>4535</v>
      </c>
      <c r="ER873" s="358" t="s">
        <v>4536</v>
      </c>
      <c r="ES873" s="350" t="s">
        <v>5553</v>
      </c>
      <c r="ET873" s="350" t="s">
        <v>3499</v>
      </c>
      <c r="EU873" s="350" t="str">
        <f t="shared" si="109"/>
        <v>Santander_Floridablanca</v>
      </c>
    </row>
    <row r="874" spans="1:151" ht="51" x14ac:dyDescent="0.2">
      <c r="A874" s="242">
        <v>40378</v>
      </c>
      <c r="B874" s="107" t="s">
        <v>1462</v>
      </c>
      <c r="C874" s="107" t="s">
        <v>1266</v>
      </c>
      <c r="D874" s="427" t="s">
        <v>2352</v>
      </c>
      <c r="E874" s="107" t="str">
        <f>VLOOKUP(B874&amp;C874,Divipola!$C$2:$F$1138,4,FALSE)</f>
        <v>76834</v>
      </c>
      <c r="F874" s="330"/>
      <c r="G874" s="224"/>
      <c r="H874" s="75">
        <v>4</v>
      </c>
      <c r="I874" s="75"/>
      <c r="J874" s="75"/>
      <c r="K874" s="75"/>
      <c r="L874" s="75"/>
      <c r="M874" s="75"/>
      <c r="N874" s="75"/>
      <c r="O874" s="75"/>
      <c r="P874" s="75"/>
      <c r="Q874" s="75"/>
      <c r="R874" s="75"/>
      <c r="S874" s="75"/>
      <c r="T874" s="75"/>
      <c r="U874" s="75"/>
      <c r="V874" s="76"/>
      <c r="W874" s="205"/>
      <c r="X874" s="1"/>
      <c r="Y874" s="78">
        <f t="shared" si="110"/>
        <v>0</v>
      </c>
      <c r="Z874" s="78">
        <f t="shared" si="111"/>
        <v>0</v>
      </c>
      <c r="AA874" s="78">
        <f t="shared" si="116"/>
        <v>0</v>
      </c>
      <c r="AB874" s="78">
        <f t="shared" si="112"/>
        <v>0</v>
      </c>
      <c r="AC874" s="78"/>
      <c r="AD874" s="78">
        <v>0</v>
      </c>
      <c r="AE874" s="80">
        <f t="shared" si="114"/>
        <v>0</v>
      </c>
      <c r="AF874" s="82">
        <v>0</v>
      </c>
      <c r="AG874" s="69">
        <v>40381</v>
      </c>
      <c r="AH874" s="84"/>
      <c r="AI874" s="69" t="s">
        <v>1984</v>
      </c>
      <c r="AJ874" s="25" t="s">
        <v>1985</v>
      </c>
      <c r="AK874" s="65"/>
      <c r="AL874" s="185" t="s">
        <v>1257</v>
      </c>
      <c r="AM874" s="85" t="s">
        <v>2233</v>
      </c>
      <c r="AN874" s="3"/>
      <c r="AO874" s="4"/>
      <c r="AP874" s="5"/>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6"/>
      <c r="CQ874" s="7"/>
      <c r="CR874" s="6"/>
      <c r="CS874" s="7"/>
      <c r="CT874" s="6"/>
      <c r="CU874" s="7"/>
      <c r="CV874" s="8">
        <f t="shared" si="113"/>
        <v>0</v>
      </c>
      <c r="CW874" s="9"/>
      <c r="CX874" s="10"/>
      <c r="CY874" s="11"/>
      <c r="CZ874" s="12"/>
      <c r="DA874" s="29"/>
      <c r="DB874" s="12"/>
      <c r="DC874" s="9"/>
      <c r="DD874" s="10"/>
      <c r="DE874" s="71"/>
      <c r="EO874" s="353" t="str">
        <f t="shared" si="115"/>
        <v>VALLE DEL CAUCA_TULUA</v>
      </c>
      <c r="EP874" s="350"/>
      <c r="EQ874" s="350" t="s">
        <v>4535</v>
      </c>
      <c r="ER874" s="358" t="s">
        <v>4536</v>
      </c>
      <c r="ES874" s="350" t="s">
        <v>5554</v>
      </c>
      <c r="ET874" s="350" t="s">
        <v>3500</v>
      </c>
      <c r="EU874" s="350" t="str">
        <f t="shared" si="109"/>
        <v>Santander_Galan</v>
      </c>
    </row>
    <row r="875" spans="1:151" ht="132" x14ac:dyDescent="0.2">
      <c r="A875" s="242">
        <v>40379</v>
      </c>
      <c r="B875" s="107" t="s">
        <v>2242</v>
      </c>
      <c r="C875" s="107" t="s">
        <v>1930</v>
      </c>
      <c r="D875" s="427" t="s">
        <v>837</v>
      </c>
      <c r="E875" s="107" t="str">
        <f>VLOOKUP(B875&amp;C875,Divipola!$C$2:$F$1138,4,FALSE)</f>
        <v>20011</v>
      </c>
      <c r="F875" s="330"/>
      <c r="G875" s="224"/>
      <c r="H875" s="75"/>
      <c r="I875" s="75"/>
      <c r="J875" s="75">
        <v>2770</v>
      </c>
      <c r="K875" s="75">
        <v>554</v>
      </c>
      <c r="L875" s="75"/>
      <c r="M875" s="75">
        <v>554</v>
      </c>
      <c r="N875" s="75"/>
      <c r="O875" s="75"/>
      <c r="P875" s="75"/>
      <c r="Q875" s="75"/>
      <c r="R875" s="75"/>
      <c r="S875" s="75"/>
      <c r="T875" s="75"/>
      <c r="U875" s="75"/>
      <c r="V875" s="76"/>
      <c r="W875" s="205"/>
      <c r="X875" s="1">
        <v>40427</v>
      </c>
      <c r="Y875" s="78">
        <f t="shared" si="110"/>
        <v>29916000</v>
      </c>
      <c r="Z875" s="78">
        <f t="shared" si="111"/>
        <v>47090000</v>
      </c>
      <c r="AA875" s="78">
        <f>30*225000.56+50*215296+50*200000.24+50*200000.24+40*140000.4</f>
        <v>43114856.799999997</v>
      </c>
      <c r="AB875" s="78">
        <f t="shared" si="112"/>
        <v>0</v>
      </c>
      <c r="AC875" s="78"/>
      <c r="AD875" s="78">
        <v>0</v>
      </c>
      <c r="AE875" s="80">
        <f t="shared" si="114"/>
        <v>120120856.8</v>
      </c>
      <c r="AF875" s="82">
        <v>0</v>
      </c>
      <c r="AG875" s="69">
        <v>40393</v>
      </c>
      <c r="AH875" s="84">
        <v>38583</v>
      </c>
      <c r="AI875" s="69" t="s">
        <v>2009</v>
      </c>
      <c r="AJ875" s="25" t="s">
        <v>2010</v>
      </c>
      <c r="AK875" s="88" t="s">
        <v>535</v>
      </c>
      <c r="AL875" s="185" t="s">
        <v>648</v>
      </c>
      <c r="AM875" s="85" t="s">
        <v>536</v>
      </c>
      <c r="AN875" s="3"/>
      <c r="AO875" s="4"/>
      <c r="AP875" s="5"/>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v>554</v>
      </c>
      <c r="CO875" s="4">
        <f>554*18000</f>
        <v>9972000</v>
      </c>
      <c r="CP875" s="6"/>
      <c r="CQ875" s="7"/>
      <c r="CR875" s="6">
        <v>554</v>
      </c>
      <c r="CS875" s="7">
        <f>554*36000</f>
        <v>19944000</v>
      </c>
      <c r="CT875" s="6"/>
      <c r="CU875" s="7"/>
      <c r="CV875" s="8">
        <f t="shared" si="113"/>
        <v>29916000</v>
      </c>
      <c r="CW875" s="9"/>
      <c r="CX875" s="10"/>
      <c r="CY875" s="11">
        <v>554</v>
      </c>
      <c r="CZ875" s="12">
        <f>554*85000</f>
        <v>47090000</v>
      </c>
      <c r="DA875" s="29"/>
      <c r="DB875" s="12"/>
      <c r="DC875" s="9"/>
      <c r="DD875" s="10"/>
      <c r="DE875" s="71"/>
      <c r="EO875" s="353" t="str">
        <f t="shared" si="115"/>
        <v>CESAR_AGUACHICA</v>
      </c>
      <c r="EP875" s="350"/>
      <c r="EQ875" s="350" t="s">
        <v>4535</v>
      </c>
      <c r="ER875" s="358" t="s">
        <v>4536</v>
      </c>
      <c r="ES875" s="350" t="s">
        <v>5555</v>
      </c>
      <c r="ET875" s="350" t="s">
        <v>3501</v>
      </c>
      <c r="EU875" s="350" t="str">
        <f t="shared" si="109"/>
        <v>Santander_Gambita</v>
      </c>
    </row>
    <row r="876" spans="1:151" ht="25.5" x14ac:dyDescent="0.2">
      <c r="A876" s="242">
        <v>40379</v>
      </c>
      <c r="B876" s="107" t="s">
        <v>2242</v>
      </c>
      <c r="C876" s="107" t="s">
        <v>1790</v>
      </c>
      <c r="D876" s="427" t="s">
        <v>837</v>
      </c>
      <c r="E876" s="107" t="str">
        <f>VLOOKUP(B876&amp;C876,Divipola!$C$2:$F$1138,4,FALSE)</f>
        <v>20228</v>
      </c>
      <c r="F876" s="330"/>
      <c r="G876" s="224"/>
      <c r="H876" s="75"/>
      <c r="I876" s="75"/>
      <c r="J876" s="75">
        <f>46*5</f>
        <v>230</v>
      </c>
      <c r="K876" s="75">
        <v>46</v>
      </c>
      <c r="L876" s="75"/>
      <c r="M876" s="75">
        <v>46</v>
      </c>
      <c r="N876" s="75"/>
      <c r="O876" s="75"/>
      <c r="P876" s="75"/>
      <c r="Q876" s="75"/>
      <c r="R876" s="75"/>
      <c r="S876" s="75"/>
      <c r="T876" s="75"/>
      <c r="U876" s="75"/>
      <c r="V876" s="76"/>
      <c r="W876" s="205" t="s">
        <v>1349</v>
      </c>
      <c r="X876" s="1">
        <v>40427</v>
      </c>
      <c r="Y876" s="78">
        <f t="shared" si="110"/>
        <v>2484000</v>
      </c>
      <c r="Z876" s="78">
        <f t="shared" si="111"/>
        <v>3910000</v>
      </c>
      <c r="AA876" s="78">
        <f t="shared" ref="AA876:AA907" si="117">DB876+DD876</f>
        <v>0</v>
      </c>
      <c r="AB876" s="78">
        <f t="shared" si="112"/>
        <v>0</v>
      </c>
      <c r="AC876" s="78"/>
      <c r="AD876" s="78">
        <v>0</v>
      </c>
      <c r="AE876" s="80">
        <f t="shared" si="114"/>
        <v>6394000</v>
      </c>
      <c r="AF876" s="82">
        <v>0</v>
      </c>
      <c r="AG876" s="69">
        <v>40393</v>
      </c>
      <c r="AH876" s="84">
        <v>38583</v>
      </c>
      <c r="AI876" s="69" t="s">
        <v>2009</v>
      </c>
      <c r="AJ876" s="25" t="s">
        <v>2010</v>
      </c>
      <c r="AK876" s="88" t="s">
        <v>1626</v>
      </c>
      <c r="AL876" s="185" t="s">
        <v>648</v>
      </c>
      <c r="AM876" s="85" t="s">
        <v>1932</v>
      </c>
      <c r="AN876" s="3"/>
      <c r="AO876" s="4"/>
      <c r="AP876" s="5"/>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v>46</v>
      </c>
      <c r="CO876" s="4">
        <f>46*18000</f>
        <v>828000</v>
      </c>
      <c r="CP876" s="6"/>
      <c r="CQ876" s="7"/>
      <c r="CR876" s="6">
        <v>46</v>
      </c>
      <c r="CS876" s="7">
        <f>46*36000</f>
        <v>1656000</v>
      </c>
      <c r="CT876" s="6"/>
      <c r="CU876" s="7"/>
      <c r="CV876" s="8">
        <f t="shared" si="113"/>
        <v>2484000</v>
      </c>
      <c r="CW876" s="9"/>
      <c r="CX876" s="10"/>
      <c r="CY876" s="11">
        <v>46</v>
      </c>
      <c r="CZ876" s="12">
        <f>46*85000</f>
        <v>3910000</v>
      </c>
      <c r="DA876" s="29"/>
      <c r="DB876" s="12"/>
      <c r="DC876" s="9"/>
      <c r="DD876" s="10"/>
      <c r="DE876" s="71"/>
      <c r="EO876" s="353" t="str">
        <f t="shared" si="115"/>
        <v>CESAR_CURUMANI</v>
      </c>
      <c r="EP876" s="350"/>
      <c r="EQ876" s="350" t="s">
        <v>4535</v>
      </c>
      <c r="ER876" s="358" t="s">
        <v>4536</v>
      </c>
      <c r="ES876" s="350" t="s">
        <v>5556</v>
      </c>
      <c r="ET876" s="350" t="s">
        <v>3502</v>
      </c>
      <c r="EU876" s="350" t="str">
        <f t="shared" si="109"/>
        <v>Santander_Giron</v>
      </c>
    </row>
    <row r="877" spans="1:151" ht="84" x14ac:dyDescent="0.2">
      <c r="A877" s="242">
        <v>40379</v>
      </c>
      <c r="B877" s="107" t="s">
        <v>2242</v>
      </c>
      <c r="C877" s="107" t="s">
        <v>1212</v>
      </c>
      <c r="D877" s="427" t="s">
        <v>837</v>
      </c>
      <c r="E877" s="107" t="str">
        <f>VLOOKUP(B877&amp;C877,Divipola!$C$2:$F$1138,4,FALSE)</f>
        <v>20787</v>
      </c>
      <c r="F877" s="330"/>
      <c r="G877" s="224"/>
      <c r="H877" s="75"/>
      <c r="I877" s="75"/>
      <c r="J877" s="75">
        <f>465*5</f>
        <v>2325</v>
      </c>
      <c r="K877" s="75">
        <f>955-487-3</f>
        <v>465</v>
      </c>
      <c r="L877" s="75"/>
      <c r="M877" s="75">
        <v>260</v>
      </c>
      <c r="N877" s="75"/>
      <c r="O877" s="75">
        <v>1</v>
      </c>
      <c r="P877" s="75"/>
      <c r="Q877" s="75"/>
      <c r="R877" s="75"/>
      <c r="S877" s="75"/>
      <c r="T877" s="75"/>
      <c r="U877" s="75"/>
      <c r="V877" s="76">
        <v>800</v>
      </c>
      <c r="W877" s="205" t="s">
        <v>1236</v>
      </c>
      <c r="X877" s="1">
        <v>40452</v>
      </c>
      <c r="Y877" s="78">
        <f t="shared" si="110"/>
        <v>11880000</v>
      </c>
      <c r="Z877" s="78">
        <f t="shared" si="111"/>
        <v>18700000</v>
      </c>
      <c r="AA877" s="78">
        <f t="shared" si="117"/>
        <v>0</v>
      </c>
      <c r="AB877" s="78">
        <f t="shared" si="112"/>
        <v>0</v>
      </c>
      <c r="AC877" s="78"/>
      <c r="AD877" s="78">
        <v>0</v>
      </c>
      <c r="AE877" s="80">
        <f t="shared" si="114"/>
        <v>30580000</v>
      </c>
      <c r="AF877" s="82">
        <v>0</v>
      </c>
      <c r="AG877" s="69">
        <v>40385</v>
      </c>
      <c r="AH877" s="84">
        <v>50562</v>
      </c>
      <c r="AI877" s="69" t="s">
        <v>2009</v>
      </c>
      <c r="AJ877" s="25" t="s">
        <v>2010</v>
      </c>
      <c r="AK877" s="65">
        <v>20729</v>
      </c>
      <c r="AL877" s="185" t="s">
        <v>1628</v>
      </c>
      <c r="AM877" s="87" t="s">
        <v>1237</v>
      </c>
      <c r="AN877" s="110"/>
      <c r="AO877" s="4"/>
      <c r="AP877" s="5"/>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v>220</v>
      </c>
      <c r="CO877" s="4">
        <f>220*18000</f>
        <v>3960000</v>
      </c>
      <c r="CP877" s="6"/>
      <c r="CQ877" s="7"/>
      <c r="CR877" s="6">
        <v>220</v>
      </c>
      <c r="CS877" s="7">
        <f>220*36000</f>
        <v>7920000</v>
      </c>
      <c r="CT877" s="6"/>
      <c r="CU877" s="7"/>
      <c r="CV877" s="8">
        <f t="shared" si="113"/>
        <v>11880000</v>
      </c>
      <c r="CW877" s="9"/>
      <c r="CX877" s="10"/>
      <c r="CY877" s="11">
        <v>220</v>
      </c>
      <c r="CZ877" s="12">
        <f>220*85000</f>
        <v>18700000</v>
      </c>
      <c r="DA877" s="29"/>
      <c r="DB877" s="12"/>
      <c r="DC877" s="9"/>
      <c r="DD877" s="10"/>
      <c r="DE877" s="71"/>
      <c r="EO877" s="353" t="str">
        <f t="shared" si="115"/>
        <v>CESAR_TAMALAMEQUE</v>
      </c>
      <c r="EP877" s="350"/>
      <c r="EQ877" s="350" t="s">
        <v>4535</v>
      </c>
      <c r="ER877" s="358" t="s">
        <v>4536</v>
      </c>
      <c r="ES877" s="350" t="s">
        <v>5557</v>
      </c>
      <c r="ET877" s="350" t="s">
        <v>3503</v>
      </c>
      <c r="EU877" s="350" t="str">
        <f t="shared" si="109"/>
        <v>Santander_Guaca</v>
      </c>
    </row>
    <row r="878" spans="1:151" ht="38.25" x14ac:dyDescent="0.2">
      <c r="A878" s="246">
        <v>40380</v>
      </c>
      <c r="B878" s="238" t="s">
        <v>2401</v>
      </c>
      <c r="C878" s="238" t="s">
        <v>1582</v>
      </c>
      <c r="D878" s="431" t="s">
        <v>837</v>
      </c>
      <c r="E878" s="107" t="str">
        <f>VLOOKUP(B878&amp;C878,Divipola!$C$2:$F$1138,4,FALSE)</f>
        <v>05895</v>
      </c>
      <c r="F878" s="334"/>
      <c r="G878" s="224"/>
      <c r="H878" s="75"/>
      <c r="I878" s="75"/>
      <c r="J878" s="75">
        <v>500</v>
      </c>
      <c r="K878" s="75">
        <v>200</v>
      </c>
      <c r="L878" s="75"/>
      <c r="M878" s="75"/>
      <c r="N878" s="75"/>
      <c r="O878" s="75"/>
      <c r="P878" s="75"/>
      <c r="Q878" s="75"/>
      <c r="R878" s="75"/>
      <c r="S878" s="75"/>
      <c r="T878" s="75"/>
      <c r="U878" s="75"/>
      <c r="V878" s="76"/>
      <c r="W878" s="205"/>
      <c r="X878" s="1"/>
      <c r="Y878" s="78">
        <f t="shared" si="110"/>
        <v>0</v>
      </c>
      <c r="Z878" s="78">
        <f t="shared" si="111"/>
        <v>0</v>
      </c>
      <c r="AA878" s="78">
        <f t="shared" si="117"/>
        <v>0</v>
      </c>
      <c r="AB878" s="78">
        <f t="shared" si="112"/>
        <v>0</v>
      </c>
      <c r="AC878" s="78"/>
      <c r="AD878" s="78">
        <v>0</v>
      </c>
      <c r="AE878" s="80">
        <f t="shared" si="114"/>
        <v>0</v>
      </c>
      <c r="AF878" s="82">
        <v>0</v>
      </c>
      <c r="AG878" s="69">
        <v>40381</v>
      </c>
      <c r="AH878" s="84"/>
      <c r="AI878" s="69" t="s">
        <v>1984</v>
      </c>
      <c r="AJ878" s="25" t="s">
        <v>1985</v>
      </c>
      <c r="AK878" s="65"/>
      <c r="AL878" s="185" t="s">
        <v>1257</v>
      </c>
      <c r="AM878" s="87" t="s">
        <v>1793</v>
      </c>
      <c r="AN878" s="110"/>
      <c r="AO878" s="4"/>
      <c r="AP878" s="5"/>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6"/>
      <c r="CQ878" s="7"/>
      <c r="CR878" s="6"/>
      <c r="CS878" s="7"/>
      <c r="CT878" s="6"/>
      <c r="CU878" s="7"/>
      <c r="CV878" s="8">
        <f t="shared" si="113"/>
        <v>0</v>
      </c>
      <c r="CW878" s="9"/>
      <c r="CX878" s="10"/>
      <c r="CY878" s="11"/>
      <c r="CZ878" s="12"/>
      <c r="DA878" s="29"/>
      <c r="DB878" s="12"/>
      <c r="DC878" s="9"/>
      <c r="DD878" s="10"/>
      <c r="DE878" s="71"/>
      <c r="EO878" s="353" t="str">
        <f t="shared" si="115"/>
        <v>ANTIOQUIA_ZARAGOZA</v>
      </c>
      <c r="EP878" s="350"/>
      <c r="EQ878" s="350" t="s">
        <v>4535</v>
      </c>
      <c r="ER878" s="358" t="s">
        <v>4536</v>
      </c>
      <c r="ES878" s="350" t="s">
        <v>5558</v>
      </c>
      <c r="ET878" s="350" t="s">
        <v>5881</v>
      </c>
      <c r="EU878" s="350" t="str">
        <f t="shared" si="109"/>
        <v>Santander_Guadalupe</v>
      </c>
    </row>
    <row r="879" spans="1:151" ht="38.25" x14ac:dyDescent="0.2">
      <c r="A879" s="242">
        <v>40380</v>
      </c>
      <c r="B879" s="107" t="s">
        <v>6305</v>
      </c>
      <c r="C879" s="107" t="s">
        <v>6305</v>
      </c>
      <c r="D879" s="427" t="s">
        <v>1721</v>
      </c>
      <c r="E879" s="107" t="str">
        <f>VLOOKUP(B879&amp;C879,Divipola!$C$2:$F$1138,4,FALSE)</f>
        <v>11001</v>
      </c>
      <c r="F879" s="330"/>
      <c r="G879" s="224"/>
      <c r="H879" s="75"/>
      <c r="I879" s="75"/>
      <c r="J879" s="75">
        <v>75</v>
      </c>
      <c r="K879" s="75">
        <v>15</v>
      </c>
      <c r="L879" s="75"/>
      <c r="M879" s="75">
        <v>15</v>
      </c>
      <c r="N879" s="75"/>
      <c r="O879" s="75"/>
      <c r="P879" s="75"/>
      <c r="Q879" s="75"/>
      <c r="R879" s="75"/>
      <c r="S879" s="75"/>
      <c r="T879" s="75"/>
      <c r="U879" s="75"/>
      <c r="V879" s="76"/>
      <c r="W879" s="205"/>
      <c r="X879" s="1"/>
      <c r="Y879" s="78">
        <f t="shared" si="110"/>
        <v>0</v>
      </c>
      <c r="Z879" s="78">
        <f t="shared" si="111"/>
        <v>0</v>
      </c>
      <c r="AA879" s="78">
        <f t="shared" si="117"/>
        <v>0</v>
      </c>
      <c r="AB879" s="78">
        <f t="shared" si="112"/>
        <v>0</v>
      </c>
      <c r="AC879" s="78"/>
      <c r="AD879" s="78">
        <v>0</v>
      </c>
      <c r="AE879" s="80">
        <f t="shared" si="114"/>
        <v>0</v>
      </c>
      <c r="AF879" s="82">
        <v>0</v>
      </c>
      <c r="AG879" s="69">
        <v>40381</v>
      </c>
      <c r="AH879" s="84"/>
      <c r="AI879" s="69" t="s">
        <v>1984</v>
      </c>
      <c r="AJ879" s="25" t="s">
        <v>1985</v>
      </c>
      <c r="AK879" s="65"/>
      <c r="AL879" s="185" t="s">
        <v>1257</v>
      </c>
      <c r="AM879" s="87" t="s">
        <v>2239</v>
      </c>
      <c r="AN879" s="110"/>
      <c r="AO879" s="4"/>
      <c r="AP879" s="5"/>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6"/>
      <c r="CQ879" s="7"/>
      <c r="CR879" s="6"/>
      <c r="CS879" s="7"/>
      <c r="CT879" s="6"/>
      <c r="CU879" s="7"/>
      <c r="CV879" s="8">
        <f t="shared" si="113"/>
        <v>0</v>
      </c>
      <c r="CW879" s="9"/>
      <c r="CX879" s="10"/>
      <c r="CY879" s="11"/>
      <c r="CZ879" s="12"/>
      <c r="DA879" s="29"/>
      <c r="DB879" s="12"/>
      <c r="DC879" s="9"/>
      <c r="DD879" s="10"/>
      <c r="DE879" s="71"/>
      <c r="EO879" s="353" t="str">
        <f t="shared" si="115"/>
        <v>BOGOTA, D.C._BOGOTA, D.C.</v>
      </c>
      <c r="EP879" s="350"/>
      <c r="EQ879" s="350" t="s">
        <v>4535</v>
      </c>
      <c r="ER879" s="358" t="s">
        <v>4536</v>
      </c>
      <c r="ES879" s="350" t="s">
        <v>5559</v>
      </c>
      <c r="ET879" s="350" t="s">
        <v>3504</v>
      </c>
      <c r="EU879" s="350" t="str">
        <f t="shared" si="109"/>
        <v>Santander_Guapota</v>
      </c>
    </row>
    <row r="880" spans="1:151" ht="38.25" x14ac:dyDescent="0.2">
      <c r="A880" s="242">
        <v>40380</v>
      </c>
      <c r="B880" s="107" t="s">
        <v>6305</v>
      </c>
      <c r="C880" s="107" t="s">
        <v>6305</v>
      </c>
      <c r="D880" s="427" t="s">
        <v>1721</v>
      </c>
      <c r="E880" s="107" t="str">
        <f>VLOOKUP(B880&amp;C880,Divipola!$C$2:$F$1138,4,FALSE)</f>
        <v>11001</v>
      </c>
      <c r="F880" s="330"/>
      <c r="G880" s="224"/>
      <c r="H880" s="75"/>
      <c r="I880" s="75"/>
      <c r="J880" s="75">
        <v>5</v>
      </c>
      <c r="K880" s="75">
        <v>1</v>
      </c>
      <c r="L880" s="75"/>
      <c r="M880" s="75">
        <v>1</v>
      </c>
      <c r="N880" s="75"/>
      <c r="O880" s="75"/>
      <c r="P880" s="75"/>
      <c r="Q880" s="75"/>
      <c r="R880" s="75"/>
      <c r="S880" s="75"/>
      <c r="T880" s="75"/>
      <c r="U880" s="75"/>
      <c r="V880" s="76"/>
      <c r="W880" s="205"/>
      <c r="X880" s="1"/>
      <c r="Y880" s="78">
        <f t="shared" si="110"/>
        <v>0</v>
      </c>
      <c r="Z880" s="78">
        <f t="shared" si="111"/>
        <v>0</v>
      </c>
      <c r="AA880" s="78">
        <f t="shared" si="117"/>
        <v>0</v>
      </c>
      <c r="AB880" s="78">
        <f t="shared" si="112"/>
        <v>0</v>
      </c>
      <c r="AC880" s="78"/>
      <c r="AD880" s="78">
        <v>0</v>
      </c>
      <c r="AE880" s="80">
        <f t="shared" si="114"/>
        <v>0</v>
      </c>
      <c r="AF880" s="82">
        <v>0</v>
      </c>
      <c r="AG880" s="69">
        <v>40381</v>
      </c>
      <c r="AH880" s="84"/>
      <c r="AI880" s="69" t="s">
        <v>1984</v>
      </c>
      <c r="AJ880" s="25" t="s">
        <v>1985</v>
      </c>
      <c r="AK880" s="65"/>
      <c r="AL880" s="185" t="s">
        <v>1257</v>
      </c>
      <c r="AM880" s="85" t="s">
        <v>2240</v>
      </c>
      <c r="AN880" s="3"/>
      <c r="AO880" s="4"/>
      <c r="AP880" s="5"/>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6"/>
      <c r="CQ880" s="7"/>
      <c r="CR880" s="6"/>
      <c r="CS880" s="7"/>
      <c r="CT880" s="6"/>
      <c r="CU880" s="7"/>
      <c r="CV880" s="8">
        <f t="shared" si="113"/>
        <v>0</v>
      </c>
      <c r="CW880" s="9"/>
      <c r="CX880" s="10"/>
      <c r="CY880" s="11"/>
      <c r="CZ880" s="12"/>
      <c r="DA880" s="29"/>
      <c r="DB880" s="12"/>
      <c r="DC880" s="9"/>
      <c r="DD880" s="10"/>
      <c r="DE880" s="71"/>
      <c r="EO880" s="353" t="str">
        <f t="shared" si="115"/>
        <v>BOGOTA, D.C._BOGOTA, D.C.</v>
      </c>
      <c r="EP880" s="350"/>
      <c r="EQ880" s="350" t="s">
        <v>4535</v>
      </c>
      <c r="ER880" s="358" t="s">
        <v>4536</v>
      </c>
      <c r="ES880" s="350" t="s">
        <v>5560</v>
      </c>
      <c r="ET880" s="350" t="s">
        <v>3505</v>
      </c>
      <c r="EU880" s="350" t="str">
        <f t="shared" si="109"/>
        <v>Santander_Guavata</v>
      </c>
    </row>
    <row r="881" spans="1:151" ht="84" x14ac:dyDescent="0.2">
      <c r="A881" s="242">
        <v>40380</v>
      </c>
      <c r="B881" s="107" t="s">
        <v>2017</v>
      </c>
      <c r="C881" s="107" t="s">
        <v>232</v>
      </c>
      <c r="D881" s="427" t="s">
        <v>837</v>
      </c>
      <c r="E881" s="107" t="str">
        <f>VLOOKUP(B881&amp;C881,Divipola!$C$2:$F$1138,4,FALSE)</f>
        <v>13052</v>
      </c>
      <c r="F881" s="330"/>
      <c r="G881" s="224"/>
      <c r="H881" s="75"/>
      <c r="I881" s="75"/>
      <c r="J881" s="75">
        <f>45*5</f>
        <v>225</v>
      </c>
      <c r="K881" s="75">
        <v>45</v>
      </c>
      <c r="L881" s="75"/>
      <c r="M881" s="75">
        <v>45</v>
      </c>
      <c r="N881" s="75"/>
      <c r="O881" s="75"/>
      <c r="P881" s="75"/>
      <c r="Q881" s="75"/>
      <c r="R881" s="75"/>
      <c r="S881" s="75"/>
      <c r="T881" s="75"/>
      <c r="U881" s="75"/>
      <c r="V881" s="76"/>
      <c r="W881" s="205"/>
      <c r="X881" s="1"/>
      <c r="Y881" s="78">
        <f t="shared" si="110"/>
        <v>0</v>
      </c>
      <c r="Z881" s="78">
        <f t="shared" si="111"/>
        <v>0</v>
      </c>
      <c r="AA881" s="78">
        <f t="shared" si="117"/>
        <v>0</v>
      </c>
      <c r="AB881" s="78">
        <f t="shared" si="112"/>
        <v>0</v>
      </c>
      <c r="AC881" s="78"/>
      <c r="AD881" s="78">
        <v>0</v>
      </c>
      <c r="AE881" s="80">
        <f t="shared" si="114"/>
        <v>0</v>
      </c>
      <c r="AF881" s="82">
        <v>0</v>
      </c>
      <c r="AG881" s="69">
        <v>40352</v>
      </c>
      <c r="AH881" s="84"/>
      <c r="AI881" s="69" t="s">
        <v>1984</v>
      </c>
      <c r="AJ881" s="25" t="s">
        <v>1985</v>
      </c>
      <c r="AK881" s="65"/>
      <c r="AL881" s="185" t="s">
        <v>1257</v>
      </c>
      <c r="AM881" s="85" t="s">
        <v>1495</v>
      </c>
      <c r="AN881" s="3"/>
      <c r="AO881" s="4"/>
      <c r="AP881" s="5"/>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6"/>
      <c r="CQ881" s="7"/>
      <c r="CR881" s="6"/>
      <c r="CS881" s="7"/>
      <c r="CT881" s="6"/>
      <c r="CU881" s="7"/>
      <c r="CV881" s="8">
        <f t="shared" si="113"/>
        <v>0</v>
      </c>
      <c r="CW881" s="9"/>
      <c r="CX881" s="10"/>
      <c r="CY881" s="11"/>
      <c r="CZ881" s="12"/>
      <c r="DA881" s="29"/>
      <c r="DB881" s="12"/>
      <c r="DC881" s="9"/>
      <c r="DD881" s="10"/>
      <c r="DE881" s="71"/>
      <c r="EO881" s="353" t="str">
        <f t="shared" si="115"/>
        <v>BOLIVAR_ARJONA</v>
      </c>
      <c r="EP881" s="350"/>
      <c r="EQ881" s="350" t="s">
        <v>4535</v>
      </c>
      <c r="ER881" s="358" t="s">
        <v>4536</v>
      </c>
      <c r="ES881" s="350" t="s">
        <v>5561</v>
      </c>
      <c r="ET881" s="350" t="s">
        <v>3506</v>
      </c>
      <c r="EU881" s="350" t="str">
        <f t="shared" si="109"/>
        <v>Santander_Guepsa</v>
      </c>
    </row>
    <row r="882" spans="1:151" ht="144" x14ac:dyDescent="0.2">
      <c r="A882" s="242">
        <v>40380</v>
      </c>
      <c r="B882" s="107" t="s">
        <v>2017</v>
      </c>
      <c r="C882" s="107" t="s">
        <v>4074</v>
      </c>
      <c r="D882" s="427" t="s">
        <v>837</v>
      </c>
      <c r="E882" s="107" t="str">
        <f>VLOOKUP(B882&amp;C882,Divipola!$C$2:$F$1138,4,FALSE)</f>
        <v>13600</v>
      </c>
      <c r="F882" s="330"/>
      <c r="G882" s="224"/>
      <c r="H882" s="75"/>
      <c r="I882" s="75"/>
      <c r="J882" s="75">
        <f>1444*5</f>
        <v>7220</v>
      </c>
      <c r="K882" s="75">
        <v>1444</v>
      </c>
      <c r="L882" s="75"/>
      <c r="M882" s="75">
        <v>1444</v>
      </c>
      <c r="N882" s="75"/>
      <c r="O882" s="75"/>
      <c r="P882" s="75"/>
      <c r="Q882" s="75"/>
      <c r="R882" s="75"/>
      <c r="S882" s="75"/>
      <c r="T882" s="75"/>
      <c r="U882" s="75"/>
      <c r="V882" s="76"/>
      <c r="W882" s="205"/>
      <c r="X882" s="1">
        <v>40415</v>
      </c>
      <c r="Y882" s="78">
        <f t="shared" si="110"/>
        <v>151945000</v>
      </c>
      <c r="Z882" s="78">
        <f t="shared" si="111"/>
        <v>162945000</v>
      </c>
      <c r="AA882" s="78">
        <f t="shared" si="117"/>
        <v>0</v>
      </c>
      <c r="AB882" s="78">
        <f t="shared" si="112"/>
        <v>27003200</v>
      </c>
      <c r="AC882" s="78">
        <f>500*24000+51250000*1.16</f>
        <v>71450000</v>
      </c>
      <c r="AD882" s="78">
        <v>0</v>
      </c>
      <c r="AE882" s="80">
        <f t="shared" si="114"/>
        <v>413343200</v>
      </c>
      <c r="AF882" s="82">
        <v>0</v>
      </c>
      <c r="AG882" s="69">
        <v>40395</v>
      </c>
      <c r="AH882" s="94" t="s">
        <v>1179</v>
      </c>
      <c r="AI882" s="69" t="s">
        <v>2009</v>
      </c>
      <c r="AJ882" s="25" t="s">
        <v>2010</v>
      </c>
      <c r="AK882" s="88" t="s">
        <v>782</v>
      </c>
      <c r="AL882" s="185" t="s">
        <v>1831</v>
      </c>
      <c r="AM882" s="85" t="s">
        <v>298</v>
      </c>
      <c r="AN882" s="3"/>
      <c r="AO882" s="4"/>
      <c r="AP882" s="5"/>
      <c r="AQ882" s="4"/>
      <c r="AR882" s="4"/>
      <c r="AS882" s="4"/>
      <c r="AT882" s="4"/>
      <c r="AU882" s="4"/>
      <c r="AV882" s="4"/>
      <c r="AW882" s="4"/>
      <c r="AX882" s="4"/>
      <c r="AY882" s="4"/>
      <c r="AZ882" s="4"/>
      <c r="BA882" s="4"/>
      <c r="BB882" s="4">
        <v>1000</v>
      </c>
      <c r="BC882" s="4">
        <f>1000*56000</f>
        <v>56000000</v>
      </c>
      <c r="BD882" s="4"/>
      <c r="BE882" s="4"/>
      <c r="BF882" s="4"/>
      <c r="BG882" s="4"/>
      <c r="BH882" s="4"/>
      <c r="BI882" s="4"/>
      <c r="BJ882" s="4"/>
      <c r="BK882" s="4"/>
      <c r="BL882" s="4"/>
      <c r="BM882" s="4"/>
      <c r="BN882" s="4"/>
      <c r="BO882" s="4"/>
      <c r="BP882" s="4"/>
      <c r="BQ882" s="4"/>
      <c r="BR882" s="4"/>
      <c r="BS882" s="4"/>
      <c r="BT882" s="4"/>
      <c r="BU882" s="4"/>
      <c r="BV882" s="4"/>
      <c r="BW882" s="4"/>
      <c r="BX882" s="4"/>
      <c r="BY882" s="4"/>
      <c r="BZ882" s="4">
        <v>10</v>
      </c>
      <c r="CA882" s="4">
        <f>10*520000</f>
        <v>5200000</v>
      </c>
      <c r="CB882" s="4"/>
      <c r="CC882" s="4"/>
      <c r="CD882" s="4"/>
      <c r="CE882" s="4"/>
      <c r="CF882" s="4"/>
      <c r="CG882" s="4"/>
      <c r="CH882" s="4"/>
      <c r="CI882" s="4"/>
      <c r="CJ882" s="4">
        <v>1000</v>
      </c>
      <c r="CK882" s="4">
        <f>1000*21000</f>
        <v>21000000</v>
      </c>
      <c r="CL882" s="4"/>
      <c r="CM882" s="4"/>
      <c r="CN882" s="4">
        <f>500+462</f>
        <v>962</v>
      </c>
      <c r="CO882" s="4">
        <f>500*18000+462*18000</f>
        <v>17316000</v>
      </c>
      <c r="CP882" s="6">
        <v>1417</v>
      </c>
      <c r="CQ882" s="7">
        <f>1417*37000</f>
        <v>52429000</v>
      </c>
      <c r="CR882" s="6"/>
      <c r="CS882" s="7"/>
      <c r="CT882" s="6"/>
      <c r="CU882" s="7"/>
      <c r="CV882" s="8">
        <f t="shared" si="113"/>
        <v>151945000</v>
      </c>
      <c r="CW882" s="9">
        <f>20000+10000</f>
        <v>30000</v>
      </c>
      <c r="CX882" s="10">
        <f>20000*900.16+10000*900</f>
        <v>27003200</v>
      </c>
      <c r="CY882" s="11">
        <f>500+1417</f>
        <v>1917</v>
      </c>
      <c r="CZ882" s="12">
        <f>500*85000+1417*85000</f>
        <v>162945000</v>
      </c>
      <c r="DA882" s="29"/>
      <c r="DB882" s="12"/>
      <c r="DC882" s="9"/>
      <c r="DD882" s="10"/>
      <c r="DE882" s="71"/>
      <c r="EO882" s="353" t="str">
        <f t="shared" si="115"/>
        <v>BOLIVAR_RIO VIEJO</v>
      </c>
      <c r="EP882" s="350"/>
      <c r="EQ882" s="350" t="s">
        <v>4535</v>
      </c>
      <c r="ER882" s="358" t="s">
        <v>4536</v>
      </c>
      <c r="ES882" s="350" t="s">
        <v>5562</v>
      </c>
      <c r="ET882" s="350" t="s">
        <v>3507</v>
      </c>
      <c r="EU882" s="350" t="str">
        <f t="shared" si="109"/>
        <v>Santander_Hato</v>
      </c>
    </row>
    <row r="883" spans="1:151" ht="49.5" x14ac:dyDescent="0.2">
      <c r="A883" s="242">
        <v>40380</v>
      </c>
      <c r="B883" s="107" t="s">
        <v>1700</v>
      </c>
      <c r="C883" s="107" t="s">
        <v>2371</v>
      </c>
      <c r="D883" s="427" t="s">
        <v>1721</v>
      </c>
      <c r="E883" s="107" t="str">
        <f>VLOOKUP(B883&amp;C883,Divipola!$C$2:$F$1138,4,FALSE)</f>
        <v>23079</v>
      </c>
      <c r="F883" s="330"/>
      <c r="G883" s="224"/>
      <c r="H883" s="75"/>
      <c r="I883" s="75"/>
      <c r="J883" s="75"/>
      <c r="K883" s="75"/>
      <c r="L883" s="75"/>
      <c r="M883" s="75"/>
      <c r="N883" s="75"/>
      <c r="O883" s="75"/>
      <c r="P883" s="75"/>
      <c r="Q883" s="75"/>
      <c r="R883" s="75"/>
      <c r="S883" s="75"/>
      <c r="T883" s="75"/>
      <c r="U883" s="75"/>
      <c r="V883" s="76"/>
      <c r="W883" s="205" t="s">
        <v>2238</v>
      </c>
      <c r="X883" s="1"/>
      <c r="Y883" s="78">
        <f t="shared" si="110"/>
        <v>0</v>
      </c>
      <c r="Z883" s="78">
        <f t="shared" si="111"/>
        <v>0</v>
      </c>
      <c r="AA883" s="78">
        <f t="shared" si="117"/>
        <v>0</v>
      </c>
      <c r="AB883" s="78">
        <f t="shared" si="112"/>
        <v>0</v>
      </c>
      <c r="AC883" s="78"/>
      <c r="AD883" s="78">
        <v>0</v>
      </c>
      <c r="AE883" s="80">
        <f t="shared" si="114"/>
        <v>0</v>
      </c>
      <c r="AF883" s="82">
        <v>0</v>
      </c>
      <c r="AG883" s="69">
        <v>40381</v>
      </c>
      <c r="AH883" s="84"/>
      <c r="AI883" s="69" t="s">
        <v>1984</v>
      </c>
      <c r="AJ883" s="25" t="s">
        <v>1985</v>
      </c>
      <c r="AK883" s="65"/>
      <c r="AL883" s="185" t="s">
        <v>1257</v>
      </c>
      <c r="AM883" s="85" t="s">
        <v>2213</v>
      </c>
      <c r="AN883" s="3"/>
      <c r="AO883" s="4"/>
      <c r="AP883" s="5"/>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6"/>
      <c r="CQ883" s="7"/>
      <c r="CR883" s="6"/>
      <c r="CS883" s="7"/>
      <c r="CT883" s="6"/>
      <c r="CU883" s="7"/>
      <c r="CV883" s="8">
        <f t="shared" si="113"/>
        <v>0</v>
      </c>
      <c r="CW883" s="9"/>
      <c r="CX883" s="10"/>
      <c r="CY883" s="11"/>
      <c r="CZ883" s="12"/>
      <c r="DA883" s="29"/>
      <c r="DB883" s="12"/>
      <c r="DC883" s="9"/>
      <c r="DD883" s="10"/>
      <c r="DE883" s="71"/>
      <c r="EO883" s="353" t="str">
        <f t="shared" si="115"/>
        <v>CORDOBA_BUENAVISTA</v>
      </c>
      <c r="EP883" s="350"/>
      <c r="EQ883" s="350" t="s">
        <v>4535</v>
      </c>
      <c r="ER883" s="358" t="s">
        <v>4536</v>
      </c>
      <c r="ES883" s="350" t="s">
        <v>5563</v>
      </c>
      <c r="ET883" s="350" t="s">
        <v>3508</v>
      </c>
      <c r="EU883" s="350" t="str">
        <f t="shared" si="109"/>
        <v>Santander_Jesus Maria</v>
      </c>
    </row>
    <row r="884" spans="1:151" ht="180" x14ac:dyDescent="0.2">
      <c r="A884" s="242">
        <v>40380</v>
      </c>
      <c r="B884" s="107" t="s">
        <v>1700</v>
      </c>
      <c r="C884" s="107" t="s">
        <v>1400</v>
      </c>
      <c r="D884" s="427" t="s">
        <v>837</v>
      </c>
      <c r="E884" s="107" t="str">
        <f>VLOOKUP(B884&amp;C884,Divipola!$C$2:$F$1138,4,FALSE)</f>
        <v>23168</v>
      </c>
      <c r="F884" s="330"/>
      <c r="G884" s="224"/>
      <c r="H884" s="75"/>
      <c r="I884" s="75"/>
      <c r="J884" s="75">
        <v>5862</v>
      </c>
      <c r="K884" s="75">
        <v>1717</v>
      </c>
      <c r="L884" s="75"/>
      <c r="M884" s="75">
        <v>858</v>
      </c>
      <c r="N884" s="75"/>
      <c r="O884" s="75"/>
      <c r="P884" s="75"/>
      <c r="Q884" s="75"/>
      <c r="R884" s="75"/>
      <c r="S884" s="75"/>
      <c r="T884" s="75"/>
      <c r="U884" s="75"/>
      <c r="V884" s="76"/>
      <c r="W884" s="205"/>
      <c r="X884" s="1">
        <v>40436</v>
      </c>
      <c r="Y884" s="78">
        <f t="shared" si="110"/>
        <v>23711616</v>
      </c>
      <c r="Z884" s="78">
        <f t="shared" si="111"/>
        <v>250240000</v>
      </c>
      <c r="AA884" s="78">
        <f t="shared" si="117"/>
        <v>0</v>
      </c>
      <c r="AB884" s="78">
        <f t="shared" si="112"/>
        <v>0</v>
      </c>
      <c r="AC884" s="78"/>
      <c r="AD884" s="78">
        <v>0</v>
      </c>
      <c r="AE884" s="80">
        <f t="shared" si="114"/>
        <v>273951616</v>
      </c>
      <c r="AF884" s="82">
        <v>0</v>
      </c>
      <c r="AG884" s="69">
        <v>40381</v>
      </c>
      <c r="AH884" s="84">
        <v>38767</v>
      </c>
      <c r="AI884" s="69" t="s">
        <v>2009</v>
      </c>
      <c r="AJ884" s="25" t="s">
        <v>2010</v>
      </c>
      <c r="AK884" s="88" t="s">
        <v>2165</v>
      </c>
      <c r="AL884" s="185" t="s">
        <v>2182</v>
      </c>
      <c r="AM884" s="181" t="s">
        <v>1021</v>
      </c>
      <c r="AN884" s="3"/>
      <c r="AO884" s="4"/>
      <c r="AP884" s="5"/>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v>3</v>
      </c>
      <c r="CA884" s="4">
        <f>3*504000</f>
        <v>1512000</v>
      </c>
      <c r="CB884" s="4"/>
      <c r="CC884" s="4"/>
      <c r="CD884" s="4"/>
      <c r="CE884" s="4"/>
      <c r="CF884" s="4"/>
      <c r="CG884" s="4"/>
      <c r="CH884" s="4"/>
      <c r="CI884" s="4"/>
      <c r="CJ884" s="4"/>
      <c r="CK884" s="4"/>
      <c r="CL884" s="4"/>
      <c r="CM884" s="4"/>
      <c r="CN884" s="4"/>
      <c r="CO884" s="4"/>
      <c r="CP884" s="6">
        <v>600</v>
      </c>
      <c r="CQ884" s="7">
        <f>600*36999.36</f>
        <v>22199616</v>
      </c>
      <c r="CR884" s="6"/>
      <c r="CS884" s="7"/>
      <c r="CT884" s="6"/>
      <c r="CU884" s="7"/>
      <c r="CV884" s="8">
        <f t="shared" si="113"/>
        <v>23711616</v>
      </c>
      <c r="CW884" s="9"/>
      <c r="CX884" s="10"/>
      <c r="CY884" s="11">
        <f>600+858+1486</f>
        <v>2944</v>
      </c>
      <c r="CZ884" s="12">
        <f>600*85000+858*85000+1486*85000</f>
        <v>250240000</v>
      </c>
      <c r="DA884" s="29"/>
      <c r="DB884" s="12"/>
      <c r="DC884" s="9"/>
      <c r="DD884" s="10"/>
      <c r="DE884" s="71"/>
      <c r="EO884" s="353" t="str">
        <f t="shared" si="115"/>
        <v>CORDOBA_CHIMA</v>
      </c>
      <c r="EP884" s="350"/>
      <c r="EQ884" s="350" t="s">
        <v>4535</v>
      </c>
      <c r="ER884" s="358" t="s">
        <v>4536</v>
      </c>
      <c r="ES884" s="350" t="s">
        <v>5564</v>
      </c>
      <c r="ET884" s="350" t="s">
        <v>3509</v>
      </c>
      <c r="EU884" s="350" t="str">
        <f t="shared" si="109"/>
        <v>Santander_Jordan</v>
      </c>
    </row>
    <row r="885" spans="1:151" ht="228" x14ac:dyDescent="0.2">
      <c r="A885" s="242">
        <v>40380</v>
      </c>
      <c r="B885" s="107" t="s">
        <v>1700</v>
      </c>
      <c r="C885" s="107" t="s">
        <v>704</v>
      </c>
      <c r="D885" s="427" t="s">
        <v>837</v>
      </c>
      <c r="E885" s="107" t="str">
        <f>VLOOKUP(B885&amp;C885,Divipola!$C$2:$F$1138,4,FALSE)</f>
        <v>23189</v>
      </c>
      <c r="F885" s="330"/>
      <c r="G885" s="224"/>
      <c r="H885" s="75"/>
      <c r="I885" s="75"/>
      <c r="J885" s="139">
        <f>1565*5</f>
        <v>7825</v>
      </c>
      <c r="K885" s="75">
        <v>1565</v>
      </c>
      <c r="L885" s="75"/>
      <c r="M885" s="75">
        <v>1565</v>
      </c>
      <c r="N885" s="75"/>
      <c r="O885" s="75"/>
      <c r="P885" s="75"/>
      <c r="Q885" s="75"/>
      <c r="R885" s="75"/>
      <c r="S885" s="75"/>
      <c r="T885" s="75"/>
      <c r="U885" s="75"/>
      <c r="V885" s="76"/>
      <c r="W885" s="205"/>
      <c r="X885" s="1">
        <v>40429</v>
      </c>
      <c r="Y885" s="78">
        <f t="shared" si="110"/>
        <v>33192742.399999999</v>
      </c>
      <c r="Z885" s="78">
        <f t="shared" si="111"/>
        <v>487050000</v>
      </c>
      <c r="AA885" s="78">
        <f t="shared" si="117"/>
        <v>0</v>
      </c>
      <c r="AB885" s="78">
        <f t="shared" si="112"/>
        <v>0</v>
      </c>
      <c r="AC885" s="78"/>
      <c r="AD885" s="78">
        <v>0</v>
      </c>
      <c r="AE885" s="80">
        <f t="shared" si="114"/>
        <v>520242742.39999998</v>
      </c>
      <c r="AF885" s="82">
        <v>0</v>
      </c>
      <c r="AG885" s="69">
        <v>40394</v>
      </c>
      <c r="AH885" s="84">
        <v>38767</v>
      </c>
      <c r="AI885" s="69" t="s">
        <v>2009</v>
      </c>
      <c r="AJ885" s="25" t="s">
        <v>2010</v>
      </c>
      <c r="AK885" s="88" t="s">
        <v>2166</v>
      </c>
      <c r="AL885" s="185" t="s">
        <v>666</v>
      </c>
      <c r="AM885" s="85" t="s">
        <v>683</v>
      </c>
      <c r="AN885" s="3"/>
      <c r="AO885" s="4"/>
      <c r="AP885" s="5"/>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f>5+2</f>
        <v>7</v>
      </c>
      <c r="CA885" s="4">
        <f>5*496999.68+2*504000</f>
        <v>3492998.4</v>
      </c>
      <c r="CB885" s="4"/>
      <c r="CC885" s="4"/>
      <c r="CD885" s="4"/>
      <c r="CE885" s="4"/>
      <c r="CF885" s="4"/>
      <c r="CG885" s="4"/>
      <c r="CH885" s="4"/>
      <c r="CI885" s="4"/>
      <c r="CJ885" s="4"/>
      <c r="CK885" s="4"/>
      <c r="CL885" s="4"/>
      <c r="CM885" s="4"/>
      <c r="CN885" s="4"/>
      <c r="CO885" s="4"/>
      <c r="CP885" s="6">
        <f>200+400</f>
        <v>600</v>
      </c>
      <c r="CQ885" s="7">
        <f>200*38500+400*36999.36</f>
        <v>22499744</v>
      </c>
      <c r="CR885" s="6">
        <v>200</v>
      </c>
      <c r="CS885" s="7">
        <f>200*36000</f>
        <v>7200000</v>
      </c>
      <c r="CT885" s="6"/>
      <c r="CU885" s="7"/>
      <c r="CV885" s="8">
        <f t="shared" si="113"/>
        <v>33192742.399999999</v>
      </c>
      <c r="CW885" s="9"/>
      <c r="CX885" s="10"/>
      <c r="CY885" s="11">
        <f>200+400+2000+1565+1565</f>
        <v>5730</v>
      </c>
      <c r="CZ885" s="12">
        <f>200*85000+400*85000+2000*85000+1565*85000+1565*85000</f>
        <v>487050000</v>
      </c>
      <c r="DA885" s="29"/>
      <c r="DB885" s="12"/>
      <c r="DC885" s="9"/>
      <c r="DD885" s="10"/>
      <c r="DE885" s="71"/>
      <c r="EO885" s="353" t="str">
        <f t="shared" si="115"/>
        <v>CORDOBA_CIENAGA DE ORO</v>
      </c>
      <c r="EP885" s="350"/>
      <c r="EQ885" s="350" t="s">
        <v>4535</v>
      </c>
      <c r="ER885" s="358" t="s">
        <v>4536</v>
      </c>
      <c r="ES885" s="350" t="s">
        <v>5565</v>
      </c>
      <c r="ET885" s="350" t="s">
        <v>3510</v>
      </c>
      <c r="EU885" s="350" t="str">
        <f t="shared" si="109"/>
        <v>Santander_La Belleza</v>
      </c>
    </row>
    <row r="886" spans="1:151" ht="84" x14ac:dyDescent="0.2">
      <c r="A886" s="242">
        <v>40380</v>
      </c>
      <c r="B886" s="107" t="s">
        <v>5778</v>
      </c>
      <c r="C886" s="107" t="s">
        <v>1953</v>
      </c>
      <c r="D886" s="427" t="s">
        <v>837</v>
      </c>
      <c r="E886" s="107" t="str">
        <f>VLOOKUP(B886&amp;C886,Divipola!$C$2:$F$1138,4,FALSE)</f>
        <v>44874</v>
      </c>
      <c r="F886" s="330"/>
      <c r="G886" s="224"/>
      <c r="H886" s="75"/>
      <c r="I886" s="75"/>
      <c r="J886" s="75">
        <v>726</v>
      </c>
      <c r="K886" s="75">
        <v>132</v>
      </c>
      <c r="L886" s="75">
        <v>1</v>
      </c>
      <c r="M886" s="75">
        <v>131</v>
      </c>
      <c r="N886" s="75"/>
      <c r="O886" s="75"/>
      <c r="P886" s="75"/>
      <c r="Q886" s="75"/>
      <c r="R886" s="75"/>
      <c r="S886" s="75"/>
      <c r="T886" s="75"/>
      <c r="U886" s="75"/>
      <c r="V886" s="76"/>
      <c r="W886" s="205"/>
      <c r="X886" s="1"/>
      <c r="Y886" s="78">
        <f t="shared" si="110"/>
        <v>0</v>
      </c>
      <c r="Z886" s="78">
        <f t="shared" si="111"/>
        <v>0</v>
      </c>
      <c r="AA886" s="78">
        <f t="shared" si="117"/>
        <v>0</v>
      </c>
      <c r="AB886" s="78">
        <f t="shared" si="112"/>
        <v>0</v>
      </c>
      <c r="AC886" s="78"/>
      <c r="AD886" s="78">
        <v>0</v>
      </c>
      <c r="AE886" s="80">
        <f t="shared" si="114"/>
        <v>0</v>
      </c>
      <c r="AF886" s="82">
        <v>0</v>
      </c>
      <c r="AG886" s="69">
        <v>40381</v>
      </c>
      <c r="AH886" s="84"/>
      <c r="AI886" s="69" t="s">
        <v>2009</v>
      </c>
      <c r="AJ886" s="25" t="s">
        <v>2010</v>
      </c>
      <c r="AK886" s="65"/>
      <c r="AL886" s="215" t="s">
        <v>485</v>
      </c>
      <c r="AM886" s="85" t="s">
        <v>1048</v>
      </c>
      <c r="AN886" s="3"/>
      <c r="AO886" s="4"/>
      <c r="AP886" s="5"/>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6"/>
      <c r="CQ886" s="7"/>
      <c r="CR886" s="6"/>
      <c r="CS886" s="7"/>
      <c r="CT886" s="6"/>
      <c r="CU886" s="7"/>
      <c r="CV886" s="8">
        <f t="shared" si="113"/>
        <v>0</v>
      </c>
      <c r="CW886" s="9"/>
      <c r="CX886" s="10"/>
      <c r="CY886" s="11"/>
      <c r="CZ886" s="12"/>
      <c r="DA886" s="29"/>
      <c r="DB886" s="12"/>
      <c r="DC886" s="9"/>
      <c r="DD886" s="10"/>
      <c r="DE886" s="71"/>
      <c r="EO886" s="353" t="str">
        <f t="shared" si="115"/>
        <v>LA GUAJIRA_VILLANUEVA</v>
      </c>
      <c r="EP886" s="350"/>
      <c r="EQ886" s="350" t="s">
        <v>4535</v>
      </c>
      <c r="ER886" s="358" t="s">
        <v>4536</v>
      </c>
      <c r="ES886" s="350" t="s">
        <v>5566</v>
      </c>
      <c r="ET886" s="350" t="s">
        <v>3511</v>
      </c>
      <c r="EU886" s="350" t="str">
        <f t="shared" si="109"/>
        <v>Santander_Landazuri</v>
      </c>
    </row>
    <row r="887" spans="1:151" ht="38.25" x14ac:dyDescent="0.2">
      <c r="A887" s="242">
        <v>40380</v>
      </c>
      <c r="B887" s="222" t="s">
        <v>1336</v>
      </c>
      <c r="C887" s="222" t="s">
        <v>3123</v>
      </c>
      <c r="D887" s="430" t="s">
        <v>2307</v>
      </c>
      <c r="E887" s="107" t="str">
        <f>VLOOKUP(B887&amp;C887,Divipola!$C$2:$F$1138,4,FALSE)</f>
        <v>54820</v>
      </c>
      <c r="F887" s="333"/>
      <c r="G887" s="221"/>
      <c r="H887" s="157"/>
      <c r="I887" s="157"/>
      <c r="J887" s="157">
        <v>400</v>
      </c>
      <c r="K887" s="157">
        <v>80</v>
      </c>
      <c r="L887" s="157"/>
      <c r="M887" s="157"/>
      <c r="N887" s="157">
        <v>2</v>
      </c>
      <c r="O887" s="157">
        <v>1</v>
      </c>
      <c r="P887" s="157"/>
      <c r="Q887" s="157"/>
      <c r="R887" s="157"/>
      <c r="S887" s="157"/>
      <c r="T887" s="157">
        <v>1</v>
      </c>
      <c r="U887" s="157"/>
      <c r="V887" s="158"/>
      <c r="W887" s="182"/>
      <c r="X887" s="1"/>
      <c r="Y887" s="78">
        <f t="shared" si="110"/>
        <v>0</v>
      </c>
      <c r="Z887" s="78">
        <f t="shared" si="111"/>
        <v>0</v>
      </c>
      <c r="AA887" s="78">
        <f t="shared" si="117"/>
        <v>0</v>
      </c>
      <c r="AB887" s="78">
        <f t="shared" si="112"/>
        <v>0</v>
      </c>
      <c r="AC887" s="78"/>
      <c r="AD887" s="78">
        <v>0</v>
      </c>
      <c r="AE887" s="80">
        <f t="shared" si="114"/>
        <v>0</v>
      </c>
      <c r="AF887" s="82">
        <v>0</v>
      </c>
      <c r="AG887" s="69">
        <v>40581</v>
      </c>
      <c r="AH887" s="84"/>
      <c r="AI887" s="69" t="s">
        <v>1984</v>
      </c>
      <c r="AJ887" s="25" t="s">
        <v>1985</v>
      </c>
      <c r="AK887" s="65"/>
      <c r="AL887" s="176" t="s">
        <v>1257</v>
      </c>
      <c r="AM887" s="173" t="s">
        <v>349</v>
      </c>
      <c r="AN887" s="159"/>
      <c r="AO887" s="160"/>
      <c r="AP887" s="161"/>
      <c r="AQ887" s="160"/>
      <c r="AR887" s="160"/>
      <c r="AS887" s="160"/>
      <c r="AT887" s="160"/>
      <c r="AU887" s="160"/>
      <c r="AV887" s="160"/>
      <c r="AW887" s="160"/>
      <c r="AX887" s="160"/>
      <c r="AY887" s="160"/>
      <c r="AZ887" s="160"/>
      <c r="BA887" s="160"/>
      <c r="BB887" s="160"/>
      <c r="BC887" s="160"/>
      <c r="BD887" s="160"/>
      <c r="BE887" s="160"/>
      <c r="BF887" s="160"/>
      <c r="BG887" s="160"/>
      <c r="BH887" s="160"/>
      <c r="BI887" s="160"/>
      <c r="BJ887" s="160"/>
      <c r="BK887" s="160"/>
      <c r="BL887" s="160"/>
      <c r="BM887" s="160"/>
      <c r="BN887" s="160"/>
      <c r="BO887" s="160"/>
      <c r="BP887" s="160"/>
      <c r="BQ887" s="160"/>
      <c r="BR887" s="160"/>
      <c r="BS887" s="160"/>
      <c r="BT887" s="160"/>
      <c r="BU887" s="160"/>
      <c r="BV887" s="160"/>
      <c r="BW887" s="160"/>
      <c r="BX887" s="160"/>
      <c r="BY887" s="160"/>
      <c r="BZ887" s="160"/>
      <c r="CA887" s="160"/>
      <c r="CB887" s="160"/>
      <c r="CC887" s="160"/>
      <c r="CD887" s="160"/>
      <c r="CE887" s="160"/>
      <c r="CF887" s="160"/>
      <c r="CG887" s="160"/>
      <c r="CH887" s="160"/>
      <c r="CI887" s="160"/>
      <c r="CJ887" s="160"/>
      <c r="CK887" s="160"/>
      <c r="CL887" s="160"/>
      <c r="CM887" s="160"/>
      <c r="CN887" s="160"/>
      <c r="CO887" s="160"/>
      <c r="CP887" s="162"/>
      <c r="CQ887" s="163"/>
      <c r="CR887" s="162"/>
      <c r="CS887" s="163"/>
      <c r="CT887" s="162"/>
      <c r="CU887" s="163"/>
      <c r="CV887" s="164">
        <f t="shared" si="113"/>
        <v>0</v>
      </c>
      <c r="CW887" s="165"/>
      <c r="CX887" s="166"/>
      <c r="CY887" s="167"/>
      <c r="CZ887" s="168"/>
      <c r="DA887" s="169"/>
      <c r="DB887" s="168"/>
      <c r="DC887" s="165"/>
      <c r="DD887" s="166"/>
      <c r="DE887" s="71"/>
      <c r="DF887" s="170"/>
      <c r="EO887" s="353" t="str">
        <f t="shared" si="115"/>
        <v>NORTE DE SANTANDER_TOLEDO</v>
      </c>
      <c r="EP887" s="350"/>
      <c r="EQ887" s="350" t="s">
        <v>4535</v>
      </c>
      <c r="ER887" s="358" t="s">
        <v>4536</v>
      </c>
      <c r="ES887" s="350" t="s">
        <v>5567</v>
      </c>
      <c r="ET887" s="350" t="s">
        <v>6231</v>
      </c>
      <c r="EU887" s="350" t="str">
        <f t="shared" si="109"/>
        <v>Santander_La Paz</v>
      </c>
    </row>
    <row r="888" spans="1:151" ht="48" x14ac:dyDescent="0.2">
      <c r="A888" s="242">
        <v>40381</v>
      </c>
      <c r="B888" s="107" t="s">
        <v>1951</v>
      </c>
      <c r="C888" s="107" t="s">
        <v>974</v>
      </c>
      <c r="D888" s="427" t="s">
        <v>837</v>
      </c>
      <c r="E888" s="107" t="str">
        <f>VLOOKUP(B888&amp;C888,Divipola!$C$2:$F$1138,4,FALSE)</f>
        <v>08433</v>
      </c>
      <c r="F888" s="330"/>
      <c r="G888" s="224"/>
      <c r="H888" s="75"/>
      <c r="I888" s="75"/>
      <c r="J888" s="75">
        <f>52*5</f>
        <v>260</v>
      </c>
      <c r="K888" s="75">
        <v>52</v>
      </c>
      <c r="L888" s="75">
        <v>1</v>
      </c>
      <c r="M888" s="75">
        <v>51</v>
      </c>
      <c r="N888" s="75"/>
      <c r="O888" s="75"/>
      <c r="P888" s="75"/>
      <c r="Q888" s="75"/>
      <c r="R888" s="75"/>
      <c r="S888" s="75"/>
      <c r="T888" s="75"/>
      <c r="U888" s="75"/>
      <c r="V888" s="76"/>
      <c r="W888" s="205" t="s">
        <v>1349</v>
      </c>
      <c r="X888" s="1"/>
      <c r="Y888" s="78">
        <f t="shared" si="110"/>
        <v>0</v>
      </c>
      <c r="Z888" s="78">
        <f t="shared" si="111"/>
        <v>0</v>
      </c>
      <c r="AA888" s="78">
        <f t="shared" si="117"/>
        <v>0</v>
      </c>
      <c r="AB888" s="78">
        <f t="shared" si="112"/>
        <v>0</v>
      </c>
      <c r="AC888" s="78"/>
      <c r="AD888" s="78">
        <v>0</v>
      </c>
      <c r="AE888" s="80">
        <f t="shared" si="114"/>
        <v>0</v>
      </c>
      <c r="AF888" s="82">
        <v>0</v>
      </c>
      <c r="AG888" s="1">
        <v>40381</v>
      </c>
      <c r="AH888" s="84"/>
      <c r="AI888" s="69" t="s">
        <v>1984</v>
      </c>
      <c r="AJ888" s="25" t="s">
        <v>1985</v>
      </c>
      <c r="AK888" s="65"/>
      <c r="AL888" s="185" t="s">
        <v>1257</v>
      </c>
      <c r="AM888" s="85" t="s">
        <v>2691</v>
      </c>
      <c r="AN888" s="3"/>
      <c r="AO888" s="4"/>
      <c r="AP888" s="5"/>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6"/>
      <c r="CQ888" s="7"/>
      <c r="CR888" s="6"/>
      <c r="CS888" s="7"/>
      <c r="CT888" s="6"/>
      <c r="CU888" s="7"/>
      <c r="CV888" s="8">
        <f t="shared" si="113"/>
        <v>0</v>
      </c>
      <c r="CW888" s="9"/>
      <c r="CX888" s="10"/>
      <c r="CY888" s="11"/>
      <c r="CZ888" s="12"/>
      <c r="DA888" s="29"/>
      <c r="DB888" s="12"/>
      <c r="DC888" s="9"/>
      <c r="DD888" s="10"/>
      <c r="DE888" s="71"/>
      <c r="EO888" s="353" t="str">
        <f t="shared" si="115"/>
        <v>ATLANTICO_MALAMBO</v>
      </c>
      <c r="EP888" s="350"/>
      <c r="EQ888" s="350" t="s">
        <v>4535</v>
      </c>
      <c r="ER888" s="358" t="s">
        <v>4536</v>
      </c>
      <c r="ES888" s="350" t="s">
        <v>5568</v>
      </c>
      <c r="ET888" s="350" t="s">
        <v>3512</v>
      </c>
      <c r="EU888" s="350" t="str">
        <f t="shared" si="109"/>
        <v>Santander_Lebrija</v>
      </c>
    </row>
    <row r="889" spans="1:151" ht="60" x14ac:dyDescent="0.2">
      <c r="A889" s="242">
        <v>40381</v>
      </c>
      <c r="B889" s="236" t="s">
        <v>2242</v>
      </c>
      <c r="C889" s="236" t="s">
        <v>1388</v>
      </c>
      <c r="D889" s="433" t="s">
        <v>837</v>
      </c>
      <c r="E889" s="107" t="str">
        <f>VLOOKUP(B889&amp;C889,Divipola!$C$2:$F$1138,4,FALSE)</f>
        <v>20383</v>
      </c>
      <c r="F889" s="335"/>
      <c r="G889" s="221"/>
      <c r="H889" s="157"/>
      <c r="I889" s="157"/>
      <c r="J889" s="157">
        <f>798*5</f>
        <v>3990</v>
      </c>
      <c r="K889" s="157">
        <v>798</v>
      </c>
      <c r="L889" s="157"/>
      <c r="M889" s="157">
        <v>645</v>
      </c>
      <c r="N889" s="157"/>
      <c r="O889" s="157"/>
      <c r="P889" s="157"/>
      <c r="Q889" s="157"/>
      <c r="R889" s="157"/>
      <c r="S889" s="157"/>
      <c r="T889" s="157"/>
      <c r="U889" s="157"/>
      <c r="V889" s="158"/>
      <c r="W889" s="182"/>
      <c r="X889" s="1">
        <v>40522</v>
      </c>
      <c r="Y889" s="78">
        <f t="shared" si="110"/>
        <v>16200000</v>
      </c>
      <c r="Z889" s="78">
        <f t="shared" si="111"/>
        <v>38250000</v>
      </c>
      <c r="AA889" s="78">
        <f t="shared" si="117"/>
        <v>0</v>
      </c>
      <c r="AB889" s="78">
        <f t="shared" si="112"/>
        <v>0</v>
      </c>
      <c r="AC889" s="78">
        <f>100*12528+100*19488+100*25520+50*17400</f>
        <v>6623600</v>
      </c>
      <c r="AD889" s="78">
        <v>0</v>
      </c>
      <c r="AE889" s="80">
        <f t="shared" si="114"/>
        <v>61073600</v>
      </c>
      <c r="AF889" s="82">
        <v>0</v>
      </c>
      <c r="AG889" s="1">
        <v>40422</v>
      </c>
      <c r="AH889" s="84">
        <v>58953</v>
      </c>
      <c r="AI889" s="69" t="s">
        <v>2009</v>
      </c>
      <c r="AJ889" s="25" t="s">
        <v>2010</v>
      </c>
      <c r="AK889" s="65">
        <v>26016</v>
      </c>
      <c r="AL889" s="185" t="s">
        <v>2182</v>
      </c>
      <c r="AM889" s="173" t="s">
        <v>1500</v>
      </c>
      <c r="AN889" s="159"/>
      <c r="AO889" s="160"/>
      <c r="AP889" s="161"/>
      <c r="AQ889" s="160"/>
      <c r="AR889" s="160"/>
      <c r="AS889" s="160"/>
      <c r="AT889" s="160"/>
      <c r="AU889" s="160"/>
      <c r="AV889" s="160"/>
      <c r="AW889" s="160"/>
      <c r="AX889" s="160"/>
      <c r="AY889" s="160"/>
      <c r="AZ889" s="160"/>
      <c r="BA889" s="160"/>
      <c r="BB889" s="160"/>
      <c r="BC889" s="160"/>
      <c r="BD889" s="160"/>
      <c r="BE889" s="160"/>
      <c r="BF889" s="160"/>
      <c r="BG889" s="160"/>
      <c r="BH889" s="160"/>
      <c r="BI889" s="160"/>
      <c r="BJ889" s="160"/>
      <c r="BK889" s="160"/>
      <c r="BL889" s="160"/>
      <c r="BM889" s="160"/>
      <c r="BN889" s="160"/>
      <c r="BO889" s="160"/>
      <c r="BP889" s="160"/>
      <c r="BQ889" s="160"/>
      <c r="BR889" s="160"/>
      <c r="BS889" s="160"/>
      <c r="BT889" s="160"/>
      <c r="BU889" s="160"/>
      <c r="BV889" s="160"/>
      <c r="BW889" s="160"/>
      <c r="BX889" s="160"/>
      <c r="BY889" s="160"/>
      <c r="BZ889" s="160"/>
      <c r="CA889" s="160"/>
      <c r="CB889" s="160"/>
      <c r="CC889" s="160"/>
      <c r="CD889" s="160"/>
      <c r="CE889" s="160"/>
      <c r="CF889" s="160"/>
      <c r="CG889" s="160"/>
      <c r="CH889" s="160"/>
      <c r="CI889" s="160"/>
      <c r="CJ889" s="160"/>
      <c r="CK889" s="160"/>
      <c r="CL889" s="160"/>
      <c r="CM889" s="160"/>
      <c r="CN889" s="160">
        <v>900</v>
      </c>
      <c r="CO889" s="160">
        <f>900*18000</f>
        <v>16200000</v>
      </c>
      <c r="CP889" s="162"/>
      <c r="CQ889" s="163"/>
      <c r="CR889" s="162"/>
      <c r="CS889" s="163"/>
      <c r="CT889" s="162"/>
      <c r="CU889" s="163"/>
      <c r="CV889" s="164">
        <f t="shared" si="113"/>
        <v>16200000</v>
      </c>
      <c r="CW889" s="165"/>
      <c r="CX889" s="166"/>
      <c r="CY889" s="167">
        <v>450</v>
      </c>
      <c r="CZ889" s="168">
        <f>450*85000</f>
        <v>38250000</v>
      </c>
      <c r="DA889" s="169"/>
      <c r="DB889" s="168"/>
      <c r="DC889" s="165"/>
      <c r="DD889" s="166"/>
      <c r="DE889" s="71"/>
      <c r="DF889" s="170"/>
      <c r="EO889" s="353" t="str">
        <f t="shared" si="115"/>
        <v>CESAR_LA GLORIA</v>
      </c>
      <c r="EP889" s="350"/>
      <c r="EQ889" s="350" t="s">
        <v>4535</v>
      </c>
      <c r="ER889" s="358" t="s">
        <v>4536</v>
      </c>
      <c r="ES889" s="350" t="s">
        <v>5569</v>
      </c>
      <c r="ET889" s="350" t="s">
        <v>3513</v>
      </c>
      <c r="EU889" s="350" t="str">
        <f t="shared" si="109"/>
        <v>Santander_Los Santos</v>
      </c>
    </row>
    <row r="890" spans="1:151" ht="48" x14ac:dyDescent="0.2">
      <c r="A890" s="242">
        <v>40381</v>
      </c>
      <c r="B890" s="107" t="s">
        <v>708</v>
      </c>
      <c r="C890" s="107" t="s">
        <v>2664</v>
      </c>
      <c r="D890" s="427" t="s">
        <v>837</v>
      </c>
      <c r="E890" s="107" t="str">
        <f>VLOOKUP(B890&amp;C890,Divipola!$C$2:$F$1138,4,FALSE)</f>
        <v>50245</v>
      </c>
      <c r="F890" s="330"/>
      <c r="G890" s="224"/>
      <c r="H890" s="75"/>
      <c r="I890" s="75"/>
      <c r="J890" s="75">
        <v>2043</v>
      </c>
      <c r="K890" s="75">
        <v>475</v>
      </c>
      <c r="L890" s="75"/>
      <c r="M890" s="75">
        <v>12</v>
      </c>
      <c r="N890" s="75">
        <v>4</v>
      </c>
      <c r="O890" s="75"/>
      <c r="P890" s="75"/>
      <c r="Q890" s="75"/>
      <c r="R890" s="75"/>
      <c r="S890" s="75"/>
      <c r="T890" s="75">
        <v>1</v>
      </c>
      <c r="U890" s="75"/>
      <c r="V890" s="76"/>
      <c r="W890" s="205" t="s">
        <v>441</v>
      </c>
      <c r="X890" s="1"/>
      <c r="Y890" s="78">
        <f t="shared" si="110"/>
        <v>0</v>
      </c>
      <c r="Z890" s="78">
        <f t="shared" si="111"/>
        <v>0</v>
      </c>
      <c r="AA890" s="78">
        <f t="shared" si="117"/>
        <v>0</v>
      </c>
      <c r="AB890" s="78">
        <f t="shared" si="112"/>
        <v>0</v>
      </c>
      <c r="AC890" s="78"/>
      <c r="AD890" s="78">
        <v>0</v>
      </c>
      <c r="AE890" s="80">
        <f t="shared" si="114"/>
        <v>0</v>
      </c>
      <c r="AF890" s="82">
        <v>0</v>
      </c>
      <c r="AG890" s="1">
        <v>40385</v>
      </c>
      <c r="AH890" s="84"/>
      <c r="AI890" s="69" t="s">
        <v>1984</v>
      </c>
      <c r="AJ890" s="25" t="s">
        <v>1985</v>
      </c>
      <c r="AK890" s="65"/>
      <c r="AL890" s="185" t="s">
        <v>1257</v>
      </c>
      <c r="AM890" s="85" t="s">
        <v>442</v>
      </c>
      <c r="AN890" s="3"/>
      <c r="AO890" s="4"/>
      <c r="AP890" s="5"/>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6"/>
      <c r="CQ890" s="7"/>
      <c r="CR890" s="6"/>
      <c r="CS890" s="7"/>
      <c r="CT890" s="6"/>
      <c r="CU890" s="7"/>
      <c r="CV890" s="8">
        <f t="shared" si="113"/>
        <v>0</v>
      </c>
      <c r="CW890" s="9"/>
      <c r="CX890" s="10"/>
      <c r="CY890" s="11"/>
      <c r="CZ890" s="12"/>
      <c r="DA890" s="29"/>
      <c r="DB890" s="12"/>
      <c r="DC890" s="9"/>
      <c r="DD890" s="10"/>
      <c r="DE890" s="71"/>
      <c r="DF890" s="23">
        <v>1177</v>
      </c>
      <c r="EO890" s="353" t="str">
        <f t="shared" si="115"/>
        <v>META_EL CALVARIO</v>
      </c>
      <c r="EP890" s="350"/>
      <c r="EQ890" s="350" t="s">
        <v>4535</v>
      </c>
      <c r="ER890" s="358" t="s">
        <v>4536</v>
      </c>
      <c r="ES890" s="350" t="s">
        <v>5570</v>
      </c>
      <c r="ET890" s="350" t="s">
        <v>3514</v>
      </c>
      <c r="EU890" s="350" t="str">
        <f t="shared" si="109"/>
        <v>Santander_Macaravita</v>
      </c>
    </row>
    <row r="891" spans="1:151" ht="25.5" x14ac:dyDescent="0.2">
      <c r="A891" s="242">
        <v>40382</v>
      </c>
      <c r="B891" s="107" t="s">
        <v>708</v>
      </c>
      <c r="C891" s="107" t="s">
        <v>2328</v>
      </c>
      <c r="D891" s="427" t="s">
        <v>2307</v>
      </c>
      <c r="E891" s="107" t="str">
        <f>VLOOKUP(B891&amp;C891,Divipola!$C$2:$F$1138,4,FALSE)</f>
        <v>50001</v>
      </c>
      <c r="F891" s="330"/>
      <c r="G891" s="224"/>
      <c r="H891" s="75"/>
      <c r="I891" s="75"/>
      <c r="J891" s="75"/>
      <c r="K891" s="75"/>
      <c r="L891" s="75"/>
      <c r="M891" s="75"/>
      <c r="N891" s="75">
        <v>1</v>
      </c>
      <c r="O891" s="75"/>
      <c r="P891" s="75"/>
      <c r="Q891" s="75"/>
      <c r="R891" s="75"/>
      <c r="S891" s="75"/>
      <c r="T891" s="75"/>
      <c r="U891" s="75"/>
      <c r="V891" s="76"/>
      <c r="W891" s="205"/>
      <c r="X891" s="1"/>
      <c r="Y891" s="78">
        <f t="shared" si="110"/>
        <v>0</v>
      </c>
      <c r="Z891" s="78">
        <f t="shared" si="111"/>
        <v>0</v>
      </c>
      <c r="AA891" s="78">
        <f t="shared" si="117"/>
        <v>0</v>
      </c>
      <c r="AB891" s="78">
        <f t="shared" si="112"/>
        <v>0</v>
      </c>
      <c r="AC891" s="78"/>
      <c r="AD891" s="78">
        <v>0</v>
      </c>
      <c r="AE891" s="80">
        <f t="shared" si="114"/>
        <v>0</v>
      </c>
      <c r="AF891" s="82">
        <v>0</v>
      </c>
      <c r="AG891" s="1">
        <v>40385</v>
      </c>
      <c r="AH891" s="84"/>
      <c r="AI891" s="69" t="s">
        <v>1984</v>
      </c>
      <c r="AJ891" s="25" t="s">
        <v>1985</v>
      </c>
      <c r="AK891" s="65"/>
      <c r="AL891" s="185" t="s">
        <v>1257</v>
      </c>
      <c r="AM891" s="85" t="s">
        <v>2268</v>
      </c>
      <c r="AN891" s="3"/>
      <c r="AO891" s="4"/>
      <c r="AP891" s="5"/>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6"/>
      <c r="CQ891" s="7"/>
      <c r="CR891" s="6"/>
      <c r="CS891" s="7"/>
      <c r="CT891" s="6"/>
      <c r="CU891" s="7"/>
      <c r="CV891" s="8">
        <f t="shared" si="113"/>
        <v>0</v>
      </c>
      <c r="CW891" s="9"/>
      <c r="CX891" s="10"/>
      <c r="CY891" s="11"/>
      <c r="CZ891" s="12"/>
      <c r="DA891" s="29"/>
      <c r="DB891" s="12"/>
      <c r="DC891" s="9"/>
      <c r="DD891" s="10"/>
      <c r="DE891" s="71"/>
      <c r="EO891" s="353" t="str">
        <f t="shared" si="115"/>
        <v>META_VILLAVICENCIO</v>
      </c>
      <c r="EP891" s="350"/>
      <c r="EQ891" s="350" t="s">
        <v>4535</v>
      </c>
      <c r="ER891" s="358" t="s">
        <v>4536</v>
      </c>
      <c r="ES891" s="350" t="s">
        <v>5571</v>
      </c>
      <c r="ET891" s="350" t="s">
        <v>3515</v>
      </c>
      <c r="EU891" s="350" t="str">
        <f t="shared" si="109"/>
        <v>Santander_Malaga</v>
      </c>
    </row>
    <row r="892" spans="1:151" ht="156" x14ac:dyDescent="0.2">
      <c r="A892" s="242">
        <v>40382</v>
      </c>
      <c r="B892" s="107" t="s">
        <v>2372</v>
      </c>
      <c r="C892" s="107" t="s">
        <v>2393</v>
      </c>
      <c r="D892" s="427" t="s">
        <v>837</v>
      </c>
      <c r="E892" s="107" t="str">
        <f>VLOOKUP(B892&amp;C892,Divipola!$C$2:$F$1138,4,FALSE)</f>
        <v>70429</v>
      </c>
      <c r="F892" s="330"/>
      <c r="G892" s="224"/>
      <c r="H892" s="75"/>
      <c r="I892" s="75"/>
      <c r="J892" s="75">
        <v>26309</v>
      </c>
      <c r="K892" s="75">
        <v>7205</v>
      </c>
      <c r="L892" s="75"/>
      <c r="M892" s="75"/>
      <c r="N892" s="75"/>
      <c r="O892" s="75"/>
      <c r="P892" s="75"/>
      <c r="Q892" s="75"/>
      <c r="R892" s="75"/>
      <c r="S892" s="75"/>
      <c r="T892" s="75"/>
      <c r="U892" s="75"/>
      <c r="V892" s="76">
        <v>5645</v>
      </c>
      <c r="W892" s="205"/>
      <c r="X892" s="1">
        <v>40396</v>
      </c>
      <c r="Y892" s="78">
        <f t="shared" si="110"/>
        <v>341449000</v>
      </c>
      <c r="Z892" s="78">
        <f t="shared" si="111"/>
        <v>1564850000</v>
      </c>
      <c r="AA892" s="78">
        <f t="shared" si="117"/>
        <v>0</v>
      </c>
      <c r="AB892" s="78">
        <f t="shared" si="112"/>
        <v>0</v>
      </c>
      <c r="AC892" s="78">
        <v>11460800</v>
      </c>
      <c r="AD892" s="78">
        <v>150000000</v>
      </c>
      <c r="AE892" s="80">
        <f t="shared" si="114"/>
        <v>2067759800</v>
      </c>
      <c r="AF892" s="82">
        <v>0</v>
      </c>
      <c r="AG892" s="1">
        <v>40385</v>
      </c>
      <c r="AH892" s="84">
        <v>31965</v>
      </c>
      <c r="AI892" s="69" t="s">
        <v>2009</v>
      </c>
      <c r="AJ892" s="25" t="s">
        <v>2010</v>
      </c>
      <c r="AK892" s="88" t="s">
        <v>823</v>
      </c>
      <c r="AL892" s="185" t="s">
        <v>1831</v>
      </c>
      <c r="AM892" s="85" t="s">
        <v>2693</v>
      </c>
      <c r="AN892" s="3"/>
      <c r="AO892" s="4"/>
      <c r="AP892" s="5"/>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v>15</v>
      </c>
      <c r="CA892" s="4">
        <f>15*504600</f>
        <v>7569000</v>
      </c>
      <c r="CB892" s="4"/>
      <c r="CC892" s="4"/>
      <c r="CD892" s="4"/>
      <c r="CE892" s="4"/>
      <c r="CF892" s="4"/>
      <c r="CG892" s="4"/>
      <c r="CH892" s="4"/>
      <c r="CI892" s="4"/>
      <c r="CJ892" s="4"/>
      <c r="CK892" s="4"/>
      <c r="CL892" s="4"/>
      <c r="CM892" s="4"/>
      <c r="CN892" s="4">
        <v>14410</v>
      </c>
      <c r="CO892" s="4">
        <f>14410*18000</f>
        <v>259380000</v>
      </c>
      <c r="CP892" s="6">
        <v>1000</v>
      </c>
      <c r="CQ892" s="7">
        <f>1000*38500</f>
        <v>38500000</v>
      </c>
      <c r="CR892" s="6">
        <v>1000</v>
      </c>
      <c r="CS892" s="7">
        <f>1000*36000</f>
        <v>36000000</v>
      </c>
      <c r="CT892" s="6"/>
      <c r="CU892" s="7"/>
      <c r="CV892" s="8">
        <f t="shared" si="113"/>
        <v>341449000</v>
      </c>
      <c r="CW892" s="9"/>
      <c r="CX892" s="10"/>
      <c r="CY892" s="11">
        <f>1000+3000+7205+7205</f>
        <v>18410</v>
      </c>
      <c r="CZ892" s="12">
        <f>1000*85000+3000*85000+7205*85000+7205*85000</f>
        <v>1564850000</v>
      </c>
      <c r="DA892" s="29"/>
      <c r="DB892" s="12"/>
      <c r="DC892" s="9"/>
      <c r="DD892" s="10"/>
      <c r="DE892" s="71">
        <v>2</v>
      </c>
      <c r="EO892" s="353" t="str">
        <f t="shared" si="115"/>
        <v>SUCRE_MAJAGUAL</v>
      </c>
      <c r="EP892" s="350"/>
      <c r="EQ892" s="350" t="s">
        <v>4535</v>
      </c>
      <c r="ER892" s="358" t="s">
        <v>4536</v>
      </c>
      <c r="ES892" s="350" t="s">
        <v>5572</v>
      </c>
      <c r="ET892" s="350" t="s">
        <v>3516</v>
      </c>
      <c r="EU892" s="350" t="str">
        <f t="shared" ref="EU892:EU955" si="118">ER892&amp;"_"&amp;ET892</f>
        <v>Santander_Matanza</v>
      </c>
    </row>
    <row r="893" spans="1:151" ht="25.5" x14ac:dyDescent="0.2">
      <c r="A893" s="242">
        <v>40382</v>
      </c>
      <c r="B893" s="107" t="s">
        <v>2791</v>
      </c>
      <c r="C893" s="107" t="s">
        <v>1945</v>
      </c>
      <c r="D893" s="427" t="s">
        <v>2352</v>
      </c>
      <c r="E893" s="107" t="str">
        <f>VLOOKUP(B893&amp;C893,Divipola!$C$2:$F$1138,4,FALSE)</f>
        <v>73001</v>
      </c>
      <c r="F893" s="330"/>
      <c r="G893" s="224"/>
      <c r="H893" s="75"/>
      <c r="I893" s="75"/>
      <c r="J893" s="75">
        <v>10</v>
      </c>
      <c r="K893" s="75">
        <v>2</v>
      </c>
      <c r="L893" s="75">
        <v>1</v>
      </c>
      <c r="M893" s="75">
        <v>1</v>
      </c>
      <c r="N893" s="75"/>
      <c r="O893" s="75"/>
      <c r="P893" s="75"/>
      <c r="Q893" s="75"/>
      <c r="R893" s="75"/>
      <c r="S893" s="75"/>
      <c r="T893" s="75"/>
      <c r="U893" s="75"/>
      <c r="V893" s="76"/>
      <c r="W893" s="205"/>
      <c r="X893" s="1"/>
      <c r="Y893" s="78">
        <f t="shared" si="110"/>
        <v>0</v>
      </c>
      <c r="Z893" s="78">
        <f t="shared" si="111"/>
        <v>0</v>
      </c>
      <c r="AA893" s="78">
        <f t="shared" si="117"/>
        <v>0</v>
      </c>
      <c r="AB893" s="78">
        <f t="shared" si="112"/>
        <v>0</v>
      </c>
      <c r="AC893" s="78"/>
      <c r="AD893" s="78">
        <v>0</v>
      </c>
      <c r="AE893" s="80">
        <f t="shared" si="114"/>
        <v>0</v>
      </c>
      <c r="AF893" s="82">
        <v>0</v>
      </c>
      <c r="AG893" s="69">
        <v>40385</v>
      </c>
      <c r="AH893" s="84"/>
      <c r="AI893" s="69" t="s">
        <v>1984</v>
      </c>
      <c r="AJ893" s="25" t="s">
        <v>1985</v>
      </c>
      <c r="AK893" s="65"/>
      <c r="AL893" s="185" t="s">
        <v>1257</v>
      </c>
      <c r="AM893" s="85" t="s">
        <v>1929</v>
      </c>
      <c r="AN893" s="3"/>
      <c r="AO893" s="4"/>
      <c r="AP893" s="5"/>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6"/>
      <c r="CQ893" s="7"/>
      <c r="CR893" s="6"/>
      <c r="CS893" s="7"/>
      <c r="CT893" s="6"/>
      <c r="CU893" s="7"/>
      <c r="CV893" s="8">
        <f t="shared" si="113"/>
        <v>0</v>
      </c>
      <c r="CW893" s="9"/>
      <c r="CX893" s="10"/>
      <c r="CY893" s="11"/>
      <c r="CZ893" s="12"/>
      <c r="DA893" s="29"/>
      <c r="DB893" s="12"/>
      <c r="DC893" s="9"/>
      <c r="DD893" s="10"/>
      <c r="DE893" s="71"/>
      <c r="EO893" s="353" t="str">
        <f t="shared" si="115"/>
        <v>TOLIMA_IBAGUE</v>
      </c>
      <c r="EP893" s="350"/>
      <c r="EQ893" s="350" t="s">
        <v>4535</v>
      </c>
      <c r="ER893" s="358" t="s">
        <v>4536</v>
      </c>
      <c r="ES893" s="350" t="s">
        <v>5573</v>
      </c>
      <c r="ET893" s="350" t="s">
        <v>3517</v>
      </c>
      <c r="EU893" s="350" t="str">
        <f t="shared" si="118"/>
        <v>Santander_Mogotes</v>
      </c>
    </row>
    <row r="894" spans="1:151" ht="38.25" x14ac:dyDescent="0.2">
      <c r="A894" s="242">
        <v>40383</v>
      </c>
      <c r="B894" s="107" t="s">
        <v>2017</v>
      </c>
      <c r="C894" s="107" t="s">
        <v>2008</v>
      </c>
      <c r="D894" s="427" t="s">
        <v>837</v>
      </c>
      <c r="E894" s="107">
        <f>VLOOKUP(B894&amp;C894,Divipola!$C$2:$F$1138,4,FALSE)</f>
        <v>13</v>
      </c>
      <c r="F894" s="330"/>
      <c r="G894" s="224"/>
      <c r="H894" s="75"/>
      <c r="I894" s="75"/>
      <c r="J894" s="75"/>
      <c r="K894" s="75"/>
      <c r="L894" s="75"/>
      <c r="M894" s="75"/>
      <c r="N894" s="75"/>
      <c r="O894" s="75"/>
      <c r="P894" s="75"/>
      <c r="Q894" s="75"/>
      <c r="R894" s="75"/>
      <c r="S894" s="75"/>
      <c r="T894" s="75"/>
      <c r="U894" s="75"/>
      <c r="V894" s="76"/>
      <c r="W894" s="205"/>
      <c r="X894" s="1">
        <v>40396</v>
      </c>
      <c r="Y894" s="78">
        <f t="shared" si="110"/>
        <v>0</v>
      </c>
      <c r="Z894" s="78">
        <f t="shared" si="111"/>
        <v>0</v>
      </c>
      <c r="AA894" s="78">
        <f t="shared" si="117"/>
        <v>0</v>
      </c>
      <c r="AB894" s="78">
        <f t="shared" si="112"/>
        <v>139316000</v>
      </c>
      <c r="AC894" s="78"/>
      <c r="AD894" s="78">
        <v>0</v>
      </c>
      <c r="AE894" s="80">
        <f t="shared" si="114"/>
        <v>139316000</v>
      </c>
      <c r="AF894" s="82">
        <v>0</v>
      </c>
      <c r="AG894" s="69">
        <v>40386</v>
      </c>
      <c r="AH894" s="84">
        <v>36853</v>
      </c>
      <c r="AI894" s="69" t="s">
        <v>2009</v>
      </c>
      <c r="AJ894" s="25" t="s">
        <v>2010</v>
      </c>
      <c r="AK894" s="88" t="s">
        <v>21</v>
      </c>
      <c r="AL894" s="185" t="s">
        <v>2045</v>
      </c>
      <c r="AM894" s="85" t="s">
        <v>3132</v>
      </c>
      <c r="AN894" s="3"/>
      <c r="AO894" s="4"/>
      <c r="AP894" s="5"/>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6"/>
      <c r="CQ894" s="7"/>
      <c r="CR894" s="6"/>
      <c r="CS894" s="7"/>
      <c r="CT894" s="6"/>
      <c r="CU894" s="7"/>
      <c r="CV894" s="8">
        <f t="shared" si="113"/>
        <v>0</v>
      </c>
      <c r="CW894" s="9">
        <f>50000+100000</f>
        <v>150000</v>
      </c>
      <c r="CX894" s="10">
        <f>50000*986+100000*900.16</f>
        <v>139316000</v>
      </c>
      <c r="CY894" s="11"/>
      <c r="CZ894" s="12"/>
      <c r="DA894" s="29"/>
      <c r="DB894" s="12"/>
      <c r="DC894" s="9" t="s">
        <v>838</v>
      </c>
      <c r="DD894" s="10"/>
      <c r="DE894" s="71"/>
      <c r="EO894" s="353" t="str">
        <f t="shared" si="115"/>
        <v>BOLIVAR_DEPARTAMENTO</v>
      </c>
      <c r="EP894" s="350"/>
      <c r="EQ894" s="350" t="s">
        <v>4535</v>
      </c>
      <c r="ER894" s="358" t="s">
        <v>4536</v>
      </c>
      <c r="ES894" s="350" t="s">
        <v>5574</v>
      </c>
      <c r="ET894" s="350" t="s">
        <v>3518</v>
      </c>
      <c r="EU894" s="350" t="str">
        <f t="shared" si="118"/>
        <v>Santander_Molagavita</v>
      </c>
    </row>
    <row r="895" spans="1:151" ht="48" x14ac:dyDescent="0.2">
      <c r="A895" s="242">
        <v>40383</v>
      </c>
      <c r="B895" s="107" t="s">
        <v>2017</v>
      </c>
      <c r="C895" s="107" t="s">
        <v>1933</v>
      </c>
      <c r="D895" s="427" t="s">
        <v>2209</v>
      </c>
      <c r="E895" s="107" t="str">
        <f>VLOOKUP(B895&amp;C895,Divipola!$C$2:$F$1138,4,FALSE)</f>
        <v>13810</v>
      </c>
      <c r="F895" s="330"/>
      <c r="G895" s="224"/>
      <c r="H895" s="75"/>
      <c r="I895" s="75"/>
      <c r="J895" s="75">
        <v>70</v>
      </c>
      <c r="K895" s="75">
        <v>15</v>
      </c>
      <c r="L895" s="75"/>
      <c r="M895" s="75">
        <v>15</v>
      </c>
      <c r="N895" s="75"/>
      <c r="O895" s="75"/>
      <c r="P895" s="75"/>
      <c r="Q895" s="75"/>
      <c r="R895" s="75"/>
      <c r="S895" s="75"/>
      <c r="T895" s="75">
        <v>1</v>
      </c>
      <c r="U895" s="75"/>
      <c r="V895" s="76"/>
      <c r="W895" s="205"/>
      <c r="X895" s="1"/>
      <c r="Y895" s="78">
        <f t="shared" si="110"/>
        <v>0</v>
      </c>
      <c r="Z895" s="78">
        <f t="shared" si="111"/>
        <v>0</v>
      </c>
      <c r="AA895" s="78">
        <f t="shared" si="117"/>
        <v>0</v>
      </c>
      <c r="AB895" s="78">
        <f t="shared" si="112"/>
        <v>0</v>
      </c>
      <c r="AC895" s="78"/>
      <c r="AD895" s="78">
        <v>0</v>
      </c>
      <c r="AE895" s="80">
        <f t="shared" si="114"/>
        <v>0</v>
      </c>
      <c r="AF895" s="82">
        <v>0</v>
      </c>
      <c r="AG895" s="69">
        <v>40385</v>
      </c>
      <c r="AH895" s="84"/>
      <c r="AI895" s="69" t="s">
        <v>1984</v>
      </c>
      <c r="AJ895" s="25" t="s">
        <v>1985</v>
      </c>
      <c r="AK895" s="65"/>
      <c r="AL895" s="185" t="s">
        <v>1257</v>
      </c>
      <c r="AM895" s="85" t="s">
        <v>2798</v>
      </c>
      <c r="AN895" s="3"/>
      <c r="AO895" s="4"/>
      <c r="AP895" s="5"/>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6"/>
      <c r="CQ895" s="7"/>
      <c r="CR895" s="6"/>
      <c r="CS895" s="7"/>
      <c r="CT895" s="6"/>
      <c r="CU895" s="7"/>
      <c r="CV895" s="8">
        <f t="shared" si="113"/>
        <v>0</v>
      </c>
      <c r="CW895" s="9"/>
      <c r="CX895" s="10"/>
      <c r="CY895" s="11"/>
      <c r="CZ895" s="12"/>
      <c r="DA895" s="29"/>
      <c r="DB895" s="12"/>
      <c r="DC895" s="9"/>
      <c r="DD895" s="10"/>
      <c r="DE895" s="71"/>
      <c r="EO895" s="353" t="str">
        <f t="shared" si="115"/>
        <v>BOLIVAR_TIQUISIO</v>
      </c>
      <c r="EP895" s="350"/>
      <c r="EQ895" s="350" t="s">
        <v>4535</v>
      </c>
      <c r="ER895" s="358" t="s">
        <v>4536</v>
      </c>
      <c r="ES895" s="350" t="s">
        <v>5575</v>
      </c>
      <c r="ET895" s="350" t="s">
        <v>3519</v>
      </c>
      <c r="EU895" s="350" t="str">
        <f t="shared" si="118"/>
        <v>Santander_Ocamonte</v>
      </c>
    </row>
    <row r="896" spans="1:151" ht="60" x14ac:dyDescent="0.2">
      <c r="A896" s="242">
        <v>40384</v>
      </c>
      <c r="B896" s="107" t="s">
        <v>2017</v>
      </c>
      <c r="C896" s="107" t="s">
        <v>1934</v>
      </c>
      <c r="D896" s="427" t="s">
        <v>837</v>
      </c>
      <c r="E896" s="107" t="str">
        <f>VLOOKUP(B896&amp;C896,Divipola!$C$2:$F$1138,4,FALSE)</f>
        <v>13549</v>
      </c>
      <c r="F896" s="330"/>
      <c r="G896" s="224"/>
      <c r="H896" s="75"/>
      <c r="I896" s="75"/>
      <c r="J896" s="75">
        <f>4523*5</f>
        <v>22615</v>
      </c>
      <c r="K896" s="75">
        <v>4523</v>
      </c>
      <c r="L896" s="75"/>
      <c r="M896" s="75">
        <v>4523</v>
      </c>
      <c r="N896" s="75"/>
      <c r="O896" s="75"/>
      <c r="P896" s="75"/>
      <c r="Q896" s="75"/>
      <c r="R896" s="75"/>
      <c r="S896" s="75"/>
      <c r="T896" s="75"/>
      <c r="U896" s="75"/>
      <c r="V896" s="76">
        <v>1300</v>
      </c>
      <c r="W896" s="205"/>
      <c r="X896" s="1">
        <v>40403</v>
      </c>
      <c r="Y896" s="78">
        <f t="shared" si="110"/>
        <v>503145300</v>
      </c>
      <c r="Z896" s="78">
        <f t="shared" si="111"/>
        <v>230263460</v>
      </c>
      <c r="AA896" s="78">
        <f t="shared" si="117"/>
        <v>0</v>
      </c>
      <c r="AB896" s="78">
        <f t="shared" si="112"/>
        <v>0</v>
      </c>
      <c r="AC896" s="78">
        <f>500*18000</f>
        <v>9000000</v>
      </c>
      <c r="AD896" s="78">
        <v>0</v>
      </c>
      <c r="AE896" s="80">
        <f t="shared" si="114"/>
        <v>742408760</v>
      </c>
      <c r="AF896" s="82">
        <v>0</v>
      </c>
      <c r="AG896" s="69">
        <v>40385</v>
      </c>
      <c r="AH896" s="84">
        <v>39851</v>
      </c>
      <c r="AI896" s="69" t="s">
        <v>2009</v>
      </c>
      <c r="AJ896" s="25" t="s">
        <v>2010</v>
      </c>
      <c r="AK896" s="88" t="s">
        <v>2716</v>
      </c>
      <c r="AL896" s="185" t="s">
        <v>2182</v>
      </c>
      <c r="AM896" s="85" t="s">
        <v>3863</v>
      </c>
      <c r="AN896" s="3"/>
      <c r="AO896" s="4"/>
      <c r="AP896" s="5"/>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v>10</v>
      </c>
      <c r="CA896" s="4">
        <f>10*520000</f>
        <v>5200000</v>
      </c>
      <c r="CB896" s="4"/>
      <c r="CC896" s="4"/>
      <c r="CD896" s="4"/>
      <c r="CE896" s="4"/>
      <c r="CF896" s="4"/>
      <c r="CG896" s="4"/>
      <c r="CH896" s="4"/>
      <c r="CI896" s="4"/>
      <c r="CJ896" s="4">
        <v>4000</v>
      </c>
      <c r="CK896" s="4">
        <f>4000*21000</f>
        <v>84000000</v>
      </c>
      <c r="CL896" s="4"/>
      <c r="CM896" s="4"/>
      <c r="CN896" s="4">
        <v>2537</v>
      </c>
      <c r="CO896" s="4">
        <f>2537*18000</f>
        <v>45666000</v>
      </c>
      <c r="CP896" s="6">
        <f>1000+1500+4996</f>
        <v>7496</v>
      </c>
      <c r="CQ896" s="7">
        <f>1000*37999.86+1500*36952+4996*37000</f>
        <v>278279860</v>
      </c>
      <c r="CR896" s="6">
        <f>1000+1500</f>
        <v>2500</v>
      </c>
      <c r="CS896" s="7">
        <f>1000*35999.44+1500*36000</f>
        <v>89999440</v>
      </c>
      <c r="CT896" s="6"/>
      <c r="CU896" s="7"/>
      <c r="CV896" s="8">
        <f t="shared" si="113"/>
        <v>503145300</v>
      </c>
      <c r="CW896" s="9"/>
      <c r="CX896" s="10"/>
      <c r="CY896" s="11">
        <f>1000+1500+37+172</f>
        <v>2709</v>
      </c>
      <c r="CZ896" s="12">
        <f>1000*84998.46+1500*85000+37*85000+172*85000</f>
        <v>230263460</v>
      </c>
      <c r="DA896" s="29"/>
      <c r="DB896" s="12"/>
      <c r="DC896" s="9"/>
      <c r="DD896" s="10"/>
      <c r="DE896" s="71"/>
      <c r="EO896" s="353" t="str">
        <f t="shared" si="115"/>
        <v>BOLIVAR_PINILLOS</v>
      </c>
      <c r="EP896" s="350"/>
      <c r="EQ896" s="350" t="s">
        <v>4535</v>
      </c>
      <c r="ER896" s="358" t="s">
        <v>4536</v>
      </c>
      <c r="ES896" s="350" t="s">
        <v>5576</v>
      </c>
      <c r="ET896" s="350" t="s">
        <v>3520</v>
      </c>
      <c r="EU896" s="350" t="str">
        <f t="shared" si="118"/>
        <v>Santander_Oiba</v>
      </c>
    </row>
    <row r="897" spans="1:151" ht="48" x14ac:dyDescent="0.2">
      <c r="A897" s="242">
        <v>40384</v>
      </c>
      <c r="B897" s="107" t="s">
        <v>708</v>
      </c>
      <c r="C897" s="107" t="s">
        <v>1738</v>
      </c>
      <c r="D897" s="427" t="s">
        <v>837</v>
      </c>
      <c r="E897" s="107" t="str">
        <f>VLOOKUP(B897&amp;C897,Divipola!$C$2:$F$1138,4,FALSE)</f>
        <v>50400</v>
      </c>
      <c r="F897" s="330"/>
      <c r="G897" s="224"/>
      <c r="H897" s="75"/>
      <c r="I897" s="75"/>
      <c r="J897" s="75">
        <v>140</v>
      </c>
      <c r="K897" s="75">
        <f>41-8</f>
        <v>33</v>
      </c>
      <c r="L897" s="75"/>
      <c r="M897" s="75">
        <v>33</v>
      </c>
      <c r="N897" s="75">
        <v>2</v>
      </c>
      <c r="O897" s="75"/>
      <c r="P897" s="75"/>
      <c r="Q897" s="75"/>
      <c r="R897" s="75"/>
      <c r="S897" s="75"/>
      <c r="T897" s="75"/>
      <c r="U897" s="75"/>
      <c r="V897" s="76"/>
      <c r="W897" s="205"/>
      <c r="X897" s="1"/>
      <c r="Y897" s="78">
        <f t="shared" si="110"/>
        <v>0</v>
      </c>
      <c r="Z897" s="78">
        <f t="shared" si="111"/>
        <v>0</v>
      </c>
      <c r="AA897" s="78">
        <f t="shared" si="117"/>
        <v>0</v>
      </c>
      <c r="AB897" s="78">
        <f t="shared" si="112"/>
        <v>0</v>
      </c>
      <c r="AC897" s="78"/>
      <c r="AD897" s="78">
        <v>0</v>
      </c>
      <c r="AE897" s="80">
        <f t="shared" si="114"/>
        <v>0</v>
      </c>
      <c r="AF897" s="82">
        <v>0</v>
      </c>
      <c r="AG897" s="69">
        <v>40387</v>
      </c>
      <c r="AH897" s="84"/>
      <c r="AI897" s="69" t="s">
        <v>1984</v>
      </c>
      <c r="AJ897" s="25" t="s">
        <v>1985</v>
      </c>
      <c r="AK897" s="65"/>
      <c r="AL897" s="185" t="s">
        <v>1257</v>
      </c>
      <c r="AM897" s="85" t="s">
        <v>447</v>
      </c>
      <c r="AN897" s="3"/>
      <c r="AO897" s="4"/>
      <c r="AP897" s="5"/>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6"/>
      <c r="CQ897" s="7"/>
      <c r="CR897" s="6"/>
      <c r="CS897" s="7"/>
      <c r="CT897" s="6"/>
      <c r="CU897" s="7"/>
      <c r="CV897" s="8">
        <f t="shared" si="113"/>
        <v>0</v>
      </c>
      <c r="CW897" s="9"/>
      <c r="CX897" s="10"/>
      <c r="CY897" s="11"/>
      <c r="CZ897" s="12"/>
      <c r="DA897" s="29"/>
      <c r="DB897" s="12"/>
      <c r="DC897" s="9"/>
      <c r="DD897" s="10"/>
      <c r="DE897" s="71"/>
      <c r="EO897" s="353" t="str">
        <f t="shared" si="115"/>
        <v>META_LEJANIAS</v>
      </c>
      <c r="EP897" s="350"/>
      <c r="EQ897" s="350" t="s">
        <v>4535</v>
      </c>
      <c r="ER897" s="358" t="s">
        <v>4536</v>
      </c>
      <c r="ES897" s="350" t="s">
        <v>5577</v>
      </c>
      <c r="ET897" s="350" t="s">
        <v>3521</v>
      </c>
      <c r="EU897" s="350" t="str">
        <f t="shared" si="118"/>
        <v>Santander_Onzaga</v>
      </c>
    </row>
    <row r="898" spans="1:151" ht="25.5" x14ac:dyDescent="0.2">
      <c r="A898" s="242">
        <v>40385</v>
      </c>
      <c r="B898" s="107" t="s">
        <v>828</v>
      </c>
      <c r="C898" s="107" t="s">
        <v>992</v>
      </c>
      <c r="D898" s="427" t="s">
        <v>2307</v>
      </c>
      <c r="E898" s="107" t="str">
        <f>VLOOKUP(B898&amp;C898,Divipola!$C$2:$F$1138,4,FALSE)</f>
        <v>15518</v>
      </c>
      <c r="F898" s="330"/>
      <c r="G898" s="224"/>
      <c r="H898" s="75"/>
      <c r="I898" s="75"/>
      <c r="J898" s="75">
        <v>45</v>
      </c>
      <c r="K898" s="75">
        <v>9</v>
      </c>
      <c r="L898" s="75"/>
      <c r="M898" s="75">
        <v>6</v>
      </c>
      <c r="N898" s="75"/>
      <c r="O898" s="75"/>
      <c r="P898" s="75"/>
      <c r="Q898" s="75"/>
      <c r="R898" s="75"/>
      <c r="S898" s="75"/>
      <c r="T898" s="75"/>
      <c r="U898" s="75"/>
      <c r="V898" s="76"/>
      <c r="W898" s="205"/>
      <c r="X898" s="1"/>
      <c r="Y898" s="78">
        <f t="shared" si="110"/>
        <v>0</v>
      </c>
      <c r="Z898" s="78">
        <f t="shared" si="111"/>
        <v>0</v>
      </c>
      <c r="AA898" s="78">
        <f t="shared" si="117"/>
        <v>0</v>
      </c>
      <c r="AB898" s="78">
        <f t="shared" si="112"/>
        <v>0</v>
      </c>
      <c r="AC898" s="78"/>
      <c r="AD898" s="78">
        <v>0</v>
      </c>
      <c r="AE898" s="80">
        <f t="shared" si="114"/>
        <v>0</v>
      </c>
      <c r="AF898" s="82">
        <v>0</v>
      </c>
      <c r="AG898" s="69">
        <v>40387</v>
      </c>
      <c r="AH898" s="84"/>
      <c r="AI898" s="69" t="s">
        <v>1984</v>
      </c>
      <c r="AJ898" s="25" t="s">
        <v>1985</v>
      </c>
      <c r="AK898" s="65"/>
      <c r="AL898" s="185" t="s">
        <v>1257</v>
      </c>
      <c r="AM898" s="85" t="s">
        <v>2276</v>
      </c>
      <c r="AN898" s="3"/>
      <c r="AO898" s="4"/>
      <c r="AP898" s="5"/>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6"/>
      <c r="CQ898" s="7"/>
      <c r="CR898" s="6"/>
      <c r="CS898" s="7"/>
      <c r="CT898" s="6"/>
      <c r="CU898" s="7"/>
      <c r="CV898" s="8">
        <f t="shared" si="113"/>
        <v>0</v>
      </c>
      <c r="CW898" s="9"/>
      <c r="CX898" s="10"/>
      <c r="CY898" s="11"/>
      <c r="CZ898" s="12"/>
      <c r="DA898" s="29"/>
      <c r="DB898" s="12"/>
      <c r="DC898" s="9"/>
      <c r="DD898" s="10"/>
      <c r="DE898" s="71"/>
      <c r="EO898" s="353" t="str">
        <f t="shared" si="115"/>
        <v>BOYACA_PAJARITO</v>
      </c>
      <c r="EP898" s="350"/>
      <c r="EQ898" s="350" t="s">
        <v>4535</v>
      </c>
      <c r="ER898" s="358" t="s">
        <v>4536</v>
      </c>
      <c r="ES898" s="350" t="s">
        <v>5578</v>
      </c>
      <c r="ET898" s="350" t="s">
        <v>3522</v>
      </c>
      <c r="EU898" s="350" t="str">
        <f t="shared" si="118"/>
        <v>Santander_Palmar</v>
      </c>
    </row>
    <row r="899" spans="1:151" ht="38.25" x14ac:dyDescent="0.2">
      <c r="A899" s="242">
        <v>40385</v>
      </c>
      <c r="B899" s="222" t="s">
        <v>828</v>
      </c>
      <c r="C899" s="222" t="s">
        <v>399</v>
      </c>
      <c r="D899" s="430" t="s">
        <v>2307</v>
      </c>
      <c r="E899" s="107" t="str">
        <f>VLOOKUP(B899&amp;C899,Divipola!$C$2:$F$1138,4,FALSE)</f>
        <v>15522</v>
      </c>
      <c r="F899" s="333"/>
      <c r="G899" s="221"/>
      <c r="H899" s="157"/>
      <c r="I899" s="157"/>
      <c r="J899" s="157">
        <f>196*5</f>
        <v>980</v>
      </c>
      <c r="K899" s="157">
        <v>196</v>
      </c>
      <c r="L899" s="157">
        <v>2</v>
      </c>
      <c r="M899" s="157">
        <v>98</v>
      </c>
      <c r="N899" s="157"/>
      <c r="O899" s="157"/>
      <c r="P899" s="157"/>
      <c r="Q899" s="157"/>
      <c r="R899" s="157"/>
      <c r="S899" s="157"/>
      <c r="T899" s="157"/>
      <c r="U899" s="157"/>
      <c r="V899" s="158"/>
      <c r="W899" s="182"/>
      <c r="X899" s="1"/>
      <c r="Y899" s="78">
        <f t="shared" ref="Y899:Y962" si="119">CV899</f>
        <v>0</v>
      </c>
      <c r="Z899" s="78">
        <f t="shared" ref="Z899:Z962" si="120">CZ899</f>
        <v>0</v>
      </c>
      <c r="AA899" s="78">
        <f t="shared" si="117"/>
        <v>0</v>
      </c>
      <c r="AB899" s="78">
        <f t="shared" ref="AB899:AB962" si="121">CX899</f>
        <v>0</v>
      </c>
      <c r="AC899" s="78"/>
      <c r="AD899" s="78">
        <v>0</v>
      </c>
      <c r="AE899" s="80">
        <f t="shared" si="114"/>
        <v>0</v>
      </c>
      <c r="AF899" s="82">
        <v>0</v>
      </c>
      <c r="AG899" s="69">
        <v>40589</v>
      </c>
      <c r="AH899" s="84"/>
      <c r="AI899" s="69" t="s">
        <v>1984</v>
      </c>
      <c r="AJ899" s="25" t="s">
        <v>1985</v>
      </c>
      <c r="AK899" s="65"/>
      <c r="AL899" s="176" t="s">
        <v>1257</v>
      </c>
      <c r="AM899" s="173" t="s">
        <v>391</v>
      </c>
      <c r="AN899" s="159"/>
      <c r="AO899" s="160"/>
      <c r="AP899" s="161"/>
      <c r="AQ899" s="160"/>
      <c r="AR899" s="160"/>
      <c r="AS899" s="160"/>
      <c r="AT899" s="160"/>
      <c r="AU899" s="160"/>
      <c r="AV899" s="160"/>
      <c r="AW899" s="160"/>
      <c r="AX899" s="160"/>
      <c r="AY899" s="160"/>
      <c r="AZ899" s="160"/>
      <c r="BA899" s="160"/>
      <c r="BB899" s="160"/>
      <c r="BC899" s="160"/>
      <c r="BD899" s="160"/>
      <c r="BE899" s="160"/>
      <c r="BF899" s="160"/>
      <c r="BG899" s="160"/>
      <c r="BH899" s="160"/>
      <c r="BI899" s="160"/>
      <c r="BJ899" s="160"/>
      <c r="BK899" s="160"/>
      <c r="BL899" s="160"/>
      <c r="BM899" s="160"/>
      <c r="BN899" s="160"/>
      <c r="BO899" s="160"/>
      <c r="BP899" s="160"/>
      <c r="BQ899" s="160"/>
      <c r="BR899" s="160"/>
      <c r="BS899" s="160"/>
      <c r="BT899" s="160"/>
      <c r="BU899" s="160"/>
      <c r="BV899" s="160"/>
      <c r="BW899" s="160"/>
      <c r="BX899" s="160"/>
      <c r="BY899" s="160"/>
      <c r="BZ899" s="160"/>
      <c r="CA899" s="160"/>
      <c r="CB899" s="160"/>
      <c r="CC899" s="160"/>
      <c r="CD899" s="160"/>
      <c r="CE899" s="160"/>
      <c r="CF899" s="160"/>
      <c r="CG899" s="160"/>
      <c r="CH899" s="160"/>
      <c r="CI899" s="160"/>
      <c r="CJ899" s="160"/>
      <c r="CK899" s="160"/>
      <c r="CL899" s="160"/>
      <c r="CM899" s="160"/>
      <c r="CN899" s="160"/>
      <c r="CO899" s="160"/>
      <c r="CP899" s="162"/>
      <c r="CQ899" s="163"/>
      <c r="CR899" s="162"/>
      <c r="CS899" s="163"/>
      <c r="CT899" s="162"/>
      <c r="CU899" s="163"/>
      <c r="CV899" s="164">
        <f t="shared" ref="CV899:CV962" si="122">AO899+AQ899+AS899+AU899+AW899+AY899+BA899+BC899+BE899+BG899+BI899+BK899+BM899+BO899+BQ899+BS899+BU899+BW899+BY899+CA899+CC899+CE899+CG899+CI899+CK899+CM899+CO899+CQ899+CS899+CU899</f>
        <v>0</v>
      </c>
      <c r="CW899" s="165"/>
      <c r="CX899" s="166"/>
      <c r="CY899" s="167"/>
      <c r="CZ899" s="168"/>
      <c r="DA899" s="169"/>
      <c r="DB899" s="168"/>
      <c r="DC899" s="165"/>
      <c r="DD899" s="166"/>
      <c r="DE899" s="71"/>
      <c r="DF899" s="170"/>
      <c r="EO899" s="353" t="str">
        <f t="shared" si="115"/>
        <v>BOYACA_PANQUEBA</v>
      </c>
      <c r="EP899" s="350"/>
      <c r="EQ899" s="350" t="s">
        <v>4535</v>
      </c>
      <c r="ER899" s="358" t="s">
        <v>4536</v>
      </c>
      <c r="ES899" s="350" t="s">
        <v>5579</v>
      </c>
      <c r="ET899" s="350" t="s">
        <v>3523</v>
      </c>
      <c r="EU899" s="350" t="str">
        <f t="shared" si="118"/>
        <v>Santander_Palmas del Socorro</v>
      </c>
    </row>
    <row r="900" spans="1:151" ht="25.5" x14ac:dyDescent="0.2">
      <c r="A900" s="242">
        <v>40385</v>
      </c>
      <c r="B900" s="107" t="s">
        <v>2425</v>
      </c>
      <c r="C900" s="107" t="s">
        <v>1310</v>
      </c>
      <c r="D900" s="427" t="s">
        <v>2352</v>
      </c>
      <c r="E900" s="107" t="str">
        <f>VLOOKUP(B900&amp;C900,Divipola!$C$2:$F$1138,4,FALSE)</f>
        <v>27491</v>
      </c>
      <c r="F900" s="330"/>
      <c r="G900" s="224">
        <v>1</v>
      </c>
      <c r="H900" s="75"/>
      <c r="I900" s="75"/>
      <c r="J900" s="75"/>
      <c r="K900" s="75"/>
      <c r="L900" s="75"/>
      <c r="M900" s="75"/>
      <c r="N900" s="75"/>
      <c r="O900" s="75"/>
      <c r="P900" s="75"/>
      <c r="Q900" s="75"/>
      <c r="R900" s="75"/>
      <c r="S900" s="75"/>
      <c r="T900" s="75"/>
      <c r="U900" s="75"/>
      <c r="V900" s="76"/>
      <c r="W900" s="205"/>
      <c r="X900" s="1"/>
      <c r="Y900" s="78">
        <f t="shared" si="119"/>
        <v>0</v>
      </c>
      <c r="Z900" s="78">
        <f t="shared" si="120"/>
        <v>0</v>
      </c>
      <c r="AA900" s="78">
        <f t="shared" si="117"/>
        <v>0</v>
      </c>
      <c r="AB900" s="78">
        <f t="shared" si="121"/>
        <v>0</v>
      </c>
      <c r="AC900" s="78"/>
      <c r="AD900" s="78">
        <v>0</v>
      </c>
      <c r="AE900" s="80">
        <f t="shared" si="114"/>
        <v>0</v>
      </c>
      <c r="AF900" s="82">
        <v>0</v>
      </c>
      <c r="AG900" s="1">
        <v>40387</v>
      </c>
      <c r="AH900" s="84"/>
      <c r="AI900" s="69" t="s">
        <v>1984</v>
      </c>
      <c r="AJ900" s="25" t="s">
        <v>1985</v>
      </c>
      <c r="AK900" s="65"/>
      <c r="AL900" s="185" t="s">
        <v>1257</v>
      </c>
      <c r="AM900" s="85" t="s">
        <v>2269</v>
      </c>
      <c r="AN900" s="3"/>
      <c r="AO900" s="4"/>
      <c r="AP900" s="5"/>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6"/>
      <c r="CQ900" s="7"/>
      <c r="CR900" s="6"/>
      <c r="CS900" s="7"/>
      <c r="CT900" s="6"/>
      <c r="CU900" s="7"/>
      <c r="CV900" s="8">
        <f t="shared" si="122"/>
        <v>0</v>
      </c>
      <c r="CW900" s="9"/>
      <c r="CX900" s="10"/>
      <c r="CY900" s="11"/>
      <c r="CZ900" s="12"/>
      <c r="DA900" s="29"/>
      <c r="DB900" s="12"/>
      <c r="DC900" s="9"/>
      <c r="DD900" s="10"/>
      <c r="DE900" s="71"/>
      <c r="EO900" s="353" t="str">
        <f t="shared" si="115"/>
        <v>CHOCO_NOVITA</v>
      </c>
      <c r="EP900" s="350"/>
      <c r="EQ900" s="350" t="s">
        <v>4535</v>
      </c>
      <c r="ER900" s="358" t="s">
        <v>4536</v>
      </c>
      <c r="ES900" s="350" t="s">
        <v>5580</v>
      </c>
      <c r="ET900" s="350" t="s">
        <v>3524</v>
      </c>
      <c r="EU900" s="350" t="str">
        <f t="shared" si="118"/>
        <v>Santander_Paramo</v>
      </c>
    </row>
    <row r="901" spans="1:151" ht="36" x14ac:dyDescent="0.2">
      <c r="A901" s="242">
        <v>40385</v>
      </c>
      <c r="B901" s="107" t="s">
        <v>708</v>
      </c>
      <c r="C901" s="107" t="s">
        <v>3105</v>
      </c>
      <c r="D901" s="427" t="s">
        <v>837</v>
      </c>
      <c r="E901" s="107" t="str">
        <f>VLOOKUP(B901&amp;C901,Divipola!$C$2:$F$1138,4,FALSE)</f>
        <v>50573</v>
      </c>
      <c r="F901" s="330"/>
      <c r="G901" s="224"/>
      <c r="H901" s="75"/>
      <c r="I901" s="75"/>
      <c r="J901" s="75"/>
      <c r="K901" s="75"/>
      <c r="L901" s="75"/>
      <c r="M901" s="75"/>
      <c r="N901" s="75"/>
      <c r="O901" s="75"/>
      <c r="P901" s="75"/>
      <c r="Q901" s="75"/>
      <c r="R901" s="75"/>
      <c r="S901" s="75"/>
      <c r="T901" s="75"/>
      <c r="U901" s="75"/>
      <c r="V901" s="76">
        <v>400</v>
      </c>
      <c r="W901" s="205" t="s">
        <v>2274</v>
      </c>
      <c r="X901" s="1"/>
      <c r="Y901" s="78">
        <f t="shared" si="119"/>
        <v>0</v>
      </c>
      <c r="Z901" s="78">
        <f t="shared" si="120"/>
        <v>0</v>
      </c>
      <c r="AA901" s="78">
        <f t="shared" si="117"/>
        <v>0</v>
      </c>
      <c r="AB901" s="78">
        <f t="shared" si="121"/>
        <v>0</v>
      </c>
      <c r="AC901" s="78"/>
      <c r="AD901" s="78">
        <v>0</v>
      </c>
      <c r="AE901" s="80">
        <f t="shared" si="114"/>
        <v>0</v>
      </c>
      <c r="AF901" s="82">
        <v>0</v>
      </c>
      <c r="AG901" s="1">
        <v>40387</v>
      </c>
      <c r="AH901" s="84"/>
      <c r="AI901" s="69" t="s">
        <v>1984</v>
      </c>
      <c r="AJ901" s="25" t="s">
        <v>1985</v>
      </c>
      <c r="AK901" s="65"/>
      <c r="AL901" s="185" t="s">
        <v>1257</v>
      </c>
      <c r="AM901" s="85" t="s">
        <v>2273</v>
      </c>
      <c r="AN901" s="3"/>
      <c r="AO901" s="4"/>
      <c r="AP901" s="5"/>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6"/>
      <c r="CQ901" s="7"/>
      <c r="CR901" s="6"/>
      <c r="CS901" s="7"/>
      <c r="CT901" s="6"/>
      <c r="CU901" s="7"/>
      <c r="CV901" s="8">
        <f t="shared" si="122"/>
        <v>0</v>
      </c>
      <c r="CW901" s="9"/>
      <c r="CX901" s="10"/>
      <c r="CY901" s="11"/>
      <c r="CZ901" s="12"/>
      <c r="DA901" s="29"/>
      <c r="DB901" s="12"/>
      <c r="DC901" s="9"/>
      <c r="DD901" s="10"/>
      <c r="DE901" s="71"/>
      <c r="EO901" s="353" t="str">
        <f t="shared" si="115"/>
        <v>META_PUERTO LOPEZ</v>
      </c>
      <c r="EP901" s="350"/>
      <c r="EQ901" s="350" t="s">
        <v>4535</v>
      </c>
      <c r="ER901" s="358" t="s">
        <v>4536</v>
      </c>
      <c r="ES901" s="350" t="s">
        <v>5581</v>
      </c>
      <c r="ET901" s="350" t="s">
        <v>3525</v>
      </c>
      <c r="EU901" s="350" t="str">
        <f t="shared" si="118"/>
        <v>Santander_Piedecuesta</v>
      </c>
    </row>
    <row r="902" spans="1:151" ht="36" x14ac:dyDescent="0.2">
      <c r="A902" s="242">
        <v>40385</v>
      </c>
      <c r="B902" s="107" t="s">
        <v>708</v>
      </c>
      <c r="C902" s="107" t="s">
        <v>2328</v>
      </c>
      <c r="D902" s="427" t="s">
        <v>837</v>
      </c>
      <c r="E902" s="107" t="str">
        <f>VLOOKUP(B902&amp;C902,Divipola!$C$2:$F$1138,4,FALSE)</f>
        <v>50001</v>
      </c>
      <c r="F902" s="330"/>
      <c r="G902" s="224"/>
      <c r="H902" s="75"/>
      <c r="I902" s="75"/>
      <c r="J902" s="75">
        <f>225+88</f>
        <v>313</v>
      </c>
      <c r="K902" s="75">
        <v>70</v>
      </c>
      <c r="L902" s="75"/>
      <c r="M902" s="75">
        <f>45+25</f>
        <v>70</v>
      </c>
      <c r="N902" s="75"/>
      <c r="O902" s="75"/>
      <c r="P902" s="75"/>
      <c r="Q902" s="75"/>
      <c r="R902" s="75"/>
      <c r="S902" s="75"/>
      <c r="T902" s="75"/>
      <c r="U902" s="75"/>
      <c r="V902" s="76"/>
      <c r="W902" s="205"/>
      <c r="X902" s="1"/>
      <c r="Y902" s="78">
        <f t="shared" si="119"/>
        <v>0</v>
      </c>
      <c r="Z902" s="78">
        <f t="shared" si="120"/>
        <v>0</v>
      </c>
      <c r="AA902" s="78">
        <f t="shared" si="117"/>
        <v>0</v>
      </c>
      <c r="AB902" s="78">
        <f t="shared" si="121"/>
        <v>0</v>
      </c>
      <c r="AC902" s="78"/>
      <c r="AD902" s="78">
        <v>0</v>
      </c>
      <c r="AE902" s="80">
        <f t="shared" si="114"/>
        <v>0</v>
      </c>
      <c r="AF902" s="82">
        <v>0</v>
      </c>
      <c r="AG902" s="1">
        <v>40385</v>
      </c>
      <c r="AH902" s="84"/>
      <c r="AI902" s="69" t="s">
        <v>1984</v>
      </c>
      <c r="AJ902" s="25" t="s">
        <v>1985</v>
      </c>
      <c r="AK902" s="65"/>
      <c r="AL902" s="185" t="s">
        <v>1257</v>
      </c>
      <c r="AM902" s="85" t="s">
        <v>2272</v>
      </c>
      <c r="AN902" s="3"/>
      <c r="AO902" s="4"/>
      <c r="AP902" s="5"/>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6"/>
      <c r="CQ902" s="7"/>
      <c r="CR902" s="6"/>
      <c r="CS902" s="7"/>
      <c r="CT902" s="6"/>
      <c r="CU902" s="7"/>
      <c r="CV902" s="8">
        <f t="shared" si="122"/>
        <v>0</v>
      </c>
      <c r="CW902" s="9"/>
      <c r="CX902" s="10"/>
      <c r="CY902" s="11"/>
      <c r="CZ902" s="12"/>
      <c r="DA902" s="29"/>
      <c r="DB902" s="12"/>
      <c r="DC902" s="9"/>
      <c r="DD902" s="10"/>
      <c r="DE902" s="71"/>
      <c r="EO902" s="353" t="str">
        <f t="shared" si="115"/>
        <v>META_VILLAVICENCIO</v>
      </c>
      <c r="EP902" s="350"/>
      <c r="EQ902" s="350" t="s">
        <v>4535</v>
      </c>
      <c r="ER902" s="358" t="s">
        <v>4536</v>
      </c>
      <c r="ES902" s="350" t="s">
        <v>5582</v>
      </c>
      <c r="ET902" s="350" t="s">
        <v>3526</v>
      </c>
      <c r="EU902" s="350" t="str">
        <f t="shared" si="118"/>
        <v>Santander_Pinchote</v>
      </c>
    </row>
    <row r="903" spans="1:151" ht="38.25" x14ac:dyDescent="0.2">
      <c r="A903" s="242">
        <v>40385</v>
      </c>
      <c r="B903" s="107" t="s">
        <v>2014</v>
      </c>
      <c r="C903" s="107" t="s">
        <v>2015</v>
      </c>
      <c r="D903" s="427" t="s">
        <v>2209</v>
      </c>
      <c r="E903" s="107" t="str">
        <f>VLOOKUP(B903&amp;C903,Divipola!$C$2:$F$1138,4,FALSE)</f>
        <v>63001</v>
      </c>
      <c r="F903" s="330"/>
      <c r="G903" s="224"/>
      <c r="H903" s="75"/>
      <c r="I903" s="75"/>
      <c r="J903" s="75">
        <v>30</v>
      </c>
      <c r="K903" s="75">
        <v>6</v>
      </c>
      <c r="L903" s="75"/>
      <c r="M903" s="75">
        <v>6</v>
      </c>
      <c r="N903" s="75"/>
      <c r="O903" s="75"/>
      <c r="P903" s="75"/>
      <c r="Q903" s="75"/>
      <c r="R903" s="75"/>
      <c r="S903" s="75"/>
      <c r="T903" s="75"/>
      <c r="U903" s="75"/>
      <c r="V903" s="76"/>
      <c r="W903" s="205"/>
      <c r="X903" s="1"/>
      <c r="Y903" s="78">
        <f t="shared" si="119"/>
        <v>0</v>
      </c>
      <c r="Z903" s="78">
        <f t="shared" si="120"/>
        <v>0</v>
      </c>
      <c r="AA903" s="78">
        <f t="shared" si="117"/>
        <v>0</v>
      </c>
      <c r="AB903" s="78">
        <f t="shared" si="121"/>
        <v>0</v>
      </c>
      <c r="AC903" s="78"/>
      <c r="AD903" s="78">
        <v>0</v>
      </c>
      <c r="AE903" s="80">
        <f t="shared" si="114"/>
        <v>0</v>
      </c>
      <c r="AF903" s="82">
        <v>0</v>
      </c>
      <c r="AG903" s="1">
        <v>40387</v>
      </c>
      <c r="AH903" s="84"/>
      <c r="AI903" s="69" t="s">
        <v>1984</v>
      </c>
      <c r="AJ903" s="25" t="s">
        <v>1985</v>
      </c>
      <c r="AK903" s="65"/>
      <c r="AL903" s="185" t="s">
        <v>1257</v>
      </c>
      <c r="AM903" s="85" t="s">
        <v>2275</v>
      </c>
      <c r="AN903" s="3"/>
      <c r="AO903" s="4"/>
      <c r="AP903" s="5"/>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6"/>
      <c r="CQ903" s="7"/>
      <c r="CR903" s="6"/>
      <c r="CS903" s="7"/>
      <c r="CT903" s="6"/>
      <c r="CU903" s="7"/>
      <c r="CV903" s="8">
        <f t="shared" si="122"/>
        <v>0</v>
      </c>
      <c r="CW903" s="9"/>
      <c r="CX903" s="10"/>
      <c r="CY903" s="11"/>
      <c r="CZ903" s="12"/>
      <c r="DA903" s="29"/>
      <c r="DB903" s="12"/>
      <c r="DC903" s="9"/>
      <c r="DD903" s="10"/>
      <c r="DE903" s="71"/>
      <c r="EO903" s="353" t="str">
        <f t="shared" si="115"/>
        <v>QUINDIO_ARMENIA</v>
      </c>
      <c r="EP903" s="350"/>
      <c r="EQ903" s="350" t="s">
        <v>4535</v>
      </c>
      <c r="ER903" s="358" t="s">
        <v>4536</v>
      </c>
      <c r="ES903" s="350" t="s">
        <v>5583</v>
      </c>
      <c r="ET903" s="350" t="s">
        <v>3527</v>
      </c>
      <c r="EU903" s="350" t="str">
        <f t="shared" si="118"/>
        <v>Santander_Puente Nacional</v>
      </c>
    </row>
    <row r="904" spans="1:151" ht="33.75" x14ac:dyDescent="0.2">
      <c r="A904" s="242">
        <v>40386</v>
      </c>
      <c r="B904" s="107" t="s">
        <v>2017</v>
      </c>
      <c r="C904" s="107" t="s">
        <v>1933</v>
      </c>
      <c r="D904" s="427" t="s">
        <v>837</v>
      </c>
      <c r="E904" s="107" t="str">
        <f>VLOOKUP(B904&amp;C904,Divipola!$C$2:$F$1138,4,FALSE)</f>
        <v>13810</v>
      </c>
      <c r="F904" s="330"/>
      <c r="G904" s="224"/>
      <c r="H904" s="75"/>
      <c r="I904" s="75"/>
      <c r="J904" s="75">
        <f>1510*5</f>
        <v>7550</v>
      </c>
      <c r="K904" s="75">
        <f>1525-15</f>
        <v>1510</v>
      </c>
      <c r="L904" s="75"/>
      <c r="M904" s="75">
        <v>985</v>
      </c>
      <c r="N904" s="75"/>
      <c r="O904" s="75"/>
      <c r="P904" s="75"/>
      <c r="Q904" s="75"/>
      <c r="R904" s="75"/>
      <c r="S904" s="75"/>
      <c r="T904" s="75"/>
      <c r="U904" s="75"/>
      <c r="V904" s="76">
        <v>450</v>
      </c>
      <c r="W904" s="205"/>
      <c r="X904" s="1">
        <v>40415</v>
      </c>
      <c r="Y904" s="78">
        <f t="shared" si="119"/>
        <v>91000000</v>
      </c>
      <c r="Z904" s="78">
        <f t="shared" si="120"/>
        <v>85000000</v>
      </c>
      <c r="AA904" s="78">
        <f t="shared" si="117"/>
        <v>0</v>
      </c>
      <c r="AB904" s="78">
        <f t="shared" si="121"/>
        <v>0</v>
      </c>
      <c r="AC904" s="78"/>
      <c r="AD904" s="78">
        <v>0</v>
      </c>
      <c r="AE904" s="80">
        <f t="shared" si="114"/>
        <v>176000000</v>
      </c>
      <c r="AF904" s="82">
        <v>0</v>
      </c>
      <c r="AG904" s="1">
        <v>40395</v>
      </c>
      <c r="AH904" s="84">
        <v>38939</v>
      </c>
      <c r="AI904" s="69" t="s">
        <v>2009</v>
      </c>
      <c r="AJ904" s="25" t="s">
        <v>2010</v>
      </c>
      <c r="AK904" s="88" t="s">
        <v>2729</v>
      </c>
      <c r="AL904" s="185" t="s">
        <v>1431</v>
      </c>
      <c r="AM904" s="85" t="s">
        <v>283</v>
      </c>
      <c r="AN904" s="3"/>
      <c r="AO904" s="4"/>
      <c r="AP904" s="5"/>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f>500+500</f>
        <v>1000</v>
      </c>
      <c r="CO904" s="4">
        <f>500*18000+500*18000</f>
        <v>18000000</v>
      </c>
      <c r="CP904" s="6">
        <v>1000</v>
      </c>
      <c r="CQ904" s="7">
        <f>1000*37000</f>
        <v>37000000</v>
      </c>
      <c r="CR904" s="6">
        <v>1000</v>
      </c>
      <c r="CS904" s="7">
        <f>1000*36000</f>
        <v>36000000</v>
      </c>
      <c r="CT904" s="6"/>
      <c r="CU904" s="7"/>
      <c r="CV904" s="8">
        <f t="shared" si="122"/>
        <v>91000000</v>
      </c>
      <c r="CW904" s="9"/>
      <c r="CX904" s="10"/>
      <c r="CY904" s="11">
        <v>1000</v>
      </c>
      <c r="CZ904" s="12">
        <f>1000*85000</f>
        <v>85000000</v>
      </c>
      <c r="DA904" s="29"/>
      <c r="DB904" s="12"/>
      <c r="DC904" s="9"/>
      <c r="DD904" s="10"/>
      <c r="DE904" s="71"/>
      <c r="EO904" s="353" t="str">
        <f t="shared" si="115"/>
        <v>BOLIVAR_TIQUISIO</v>
      </c>
      <c r="EP904" s="350"/>
      <c r="EQ904" s="350" t="s">
        <v>4535</v>
      </c>
      <c r="ER904" s="358" t="s">
        <v>4536</v>
      </c>
      <c r="ES904" s="350" t="s">
        <v>5584</v>
      </c>
      <c r="ET904" s="350" t="s">
        <v>3528</v>
      </c>
      <c r="EU904" s="350" t="str">
        <f t="shared" si="118"/>
        <v>Santander_Puerto Parra</v>
      </c>
    </row>
    <row r="905" spans="1:151" ht="38.25" x14ac:dyDescent="0.2">
      <c r="A905" s="242">
        <v>40386</v>
      </c>
      <c r="B905" s="107" t="s">
        <v>708</v>
      </c>
      <c r="C905" s="107" t="s">
        <v>2270</v>
      </c>
      <c r="D905" s="427" t="s">
        <v>837</v>
      </c>
      <c r="E905" s="107" t="str">
        <f>VLOOKUP(B905&amp;C905,Divipola!$C$2:$F$1138,4,FALSE)</f>
        <v>50226</v>
      </c>
      <c r="F905" s="330"/>
      <c r="G905" s="224"/>
      <c r="H905" s="75"/>
      <c r="I905" s="75"/>
      <c r="J905" s="75">
        <v>285</v>
      </c>
      <c r="K905" s="75">
        <v>57</v>
      </c>
      <c r="L905" s="75"/>
      <c r="M905" s="75">
        <v>18</v>
      </c>
      <c r="N905" s="75"/>
      <c r="O905" s="75"/>
      <c r="P905" s="75"/>
      <c r="Q905" s="75"/>
      <c r="R905" s="75"/>
      <c r="S905" s="75"/>
      <c r="T905" s="75"/>
      <c r="U905" s="75"/>
      <c r="V905" s="76"/>
      <c r="W905" s="205"/>
      <c r="X905" s="1"/>
      <c r="Y905" s="78">
        <f t="shared" si="119"/>
        <v>0</v>
      </c>
      <c r="Z905" s="78">
        <f t="shared" si="120"/>
        <v>0</v>
      </c>
      <c r="AA905" s="78">
        <f t="shared" si="117"/>
        <v>0</v>
      </c>
      <c r="AB905" s="78">
        <f t="shared" si="121"/>
        <v>0</v>
      </c>
      <c r="AC905" s="78"/>
      <c r="AD905" s="78">
        <v>0</v>
      </c>
      <c r="AE905" s="80">
        <f t="shared" ref="AE905:AE968" si="123">Y905+Z905+AA905+AB905+AC905+AD905</f>
        <v>0</v>
      </c>
      <c r="AF905" s="82">
        <v>0</v>
      </c>
      <c r="AG905" s="1">
        <v>40387</v>
      </c>
      <c r="AH905" s="84"/>
      <c r="AI905" s="69" t="s">
        <v>1984</v>
      </c>
      <c r="AJ905" s="25" t="s">
        <v>1985</v>
      </c>
      <c r="AK905" s="65"/>
      <c r="AL905" s="185" t="s">
        <v>1257</v>
      </c>
      <c r="AM905" s="85" t="s">
        <v>2271</v>
      </c>
      <c r="AN905" s="3"/>
      <c r="AO905" s="4"/>
      <c r="AP905" s="5"/>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6"/>
      <c r="CQ905" s="7"/>
      <c r="CR905" s="6"/>
      <c r="CS905" s="7"/>
      <c r="CT905" s="6"/>
      <c r="CU905" s="7"/>
      <c r="CV905" s="8">
        <f t="shared" si="122"/>
        <v>0</v>
      </c>
      <c r="CW905" s="9"/>
      <c r="CX905" s="10"/>
      <c r="CY905" s="11"/>
      <c r="CZ905" s="12"/>
      <c r="DA905" s="29"/>
      <c r="DB905" s="12"/>
      <c r="DC905" s="9"/>
      <c r="DD905" s="10"/>
      <c r="DE905" s="71"/>
      <c r="EO905" s="353" t="str">
        <f t="shared" si="115"/>
        <v>META_CUMARAL</v>
      </c>
      <c r="EP905" s="350"/>
      <c r="EQ905" s="350" t="s">
        <v>4535</v>
      </c>
      <c r="ER905" s="358" t="s">
        <v>4536</v>
      </c>
      <c r="ES905" s="350" t="s">
        <v>5585</v>
      </c>
      <c r="ET905" s="350" t="s">
        <v>3529</v>
      </c>
      <c r="EU905" s="350" t="str">
        <f t="shared" si="118"/>
        <v>Santander_Puerto Wilches</v>
      </c>
    </row>
    <row r="906" spans="1:151" ht="48" x14ac:dyDescent="0.2">
      <c r="A906" s="242">
        <v>40386</v>
      </c>
      <c r="B906" s="107" t="s">
        <v>708</v>
      </c>
      <c r="C906" s="107" t="s">
        <v>2277</v>
      </c>
      <c r="D906" s="427" t="s">
        <v>2307</v>
      </c>
      <c r="E906" s="107" t="str">
        <f>VLOOKUP(B906&amp;C906,Divipola!$C$2:$F$1138,4,FALSE)</f>
        <v>50686</v>
      </c>
      <c r="F906" s="330"/>
      <c r="G906" s="224"/>
      <c r="H906" s="75"/>
      <c r="I906" s="75"/>
      <c r="J906" s="75"/>
      <c r="K906" s="75"/>
      <c r="L906" s="75"/>
      <c r="M906" s="75"/>
      <c r="N906" s="75">
        <v>1</v>
      </c>
      <c r="O906" s="75"/>
      <c r="P906" s="75"/>
      <c r="Q906" s="75"/>
      <c r="R906" s="75"/>
      <c r="S906" s="75"/>
      <c r="T906" s="75"/>
      <c r="U906" s="75"/>
      <c r="V906" s="76"/>
      <c r="W906" s="205"/>
      <c r="X906" s="1"/>
      <c r="Y906" s="78">
        <f t="shared" si="119"/>
        <v>0</v>
      </c>
      <c r="Z906" s="78">
        <f t="shared" si="120"/>
        <v>0</v>
      </c>
      <c r="AA906" s="78">
        <f t="shared" si="117"/>
        <v>0</v>
      </c>
      <c r="AB906" s="78">
        <f t="shared" si="121"/>
        <v>0</v>
      </c>
      <c r="AC906" s="78"/>
      <c r="AD906" s="78">
        <v>0</v>
      </c>
      <c r="AE906" s="80">
        <f t="shared" si="123"/>
        <v>0</v>
      </c>
      <c r="AF906" s="82">
        <v>0</v>
      </c>
      <c r="AG906" s="69">
        <v>40387</v>
      </c>
      <c r="AH906" s="84"/>
      <c r="AI906" s="69" t="s">
        <v>1984</v>
      </c>
      <c r="AJ906" s="25" t="s">
        <v>1985</v>
      </c>
      <c r="AK906" s="65"/>
      <c r="AL906" s="185" t="s">
        <v>1257</v>
      </c>
      <c r="AM906" s="85" t="s">
        <v>2278</v>
      </c>
      <c r="AN906" s="3"/>
      <c r="AO906" s="4"/>
      <c r="AP906" s="5"/>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6"/>
      <c r="CQ906" s="7"/>
      <c r="CR906" s="6"/>
      <c r="CS906" s="7"/>
      <c r="CT906" s="6"/>
      <c r="CU906" s="7"/>
      <c r="CV906" s="8">
        <f t="shared" si="122"/>
        <v>0</v>
      </c>
      <c r="CW906" s="9"/>
      <c r="CX906" s="10"/>
      <c r="CY906" s="11"/>
      <c r="CZ906" s="12"/>
      <c r="DA906" s="29"/>
      <c r="DB906" s="12"/>
      <c r="DC906" s="9"/>
      <c r="DD906" s="10"/>
      <c r="DE906" s="71"/>
      <c r="EO906" s="353" t="str">
        <f t="shared" si="115"/>
        <v>META_SAN JUANITO</v>
      </c>
      <c r="EP906" s="350"/>
      <c r="EQ906" s="350" t="s">
        <v>4535</v>
      </c>
      <c r="ER906" s="358" t="s">
        <v>4536</v>
      </c>
      <c r="ES906" s="350" t="s">
        <v>5586</v>
      </c>
      <c r="ET906" s="350" t="s">
        <v>5911</v>
      </c>
      <c r="EU906" s="350" t="str">
        <f t="shared" si="118"/>
        <v>Santander_Rionegro</v>
      </c>
    </row>
    <row r="907" spans="1:151" ht="51" x14ac:dyDescent="0.2">
      <c r="A907" s="242">
        <v>40386</v>
      </c>
      <c r="B907" s="107" t="s">
        <v>1462</v>
      </c>
      <c r="C907" s="107" t="s">
        <v>4615</v>
      </c>
      <c r="D907" s="427" t="s">
        <v>1721</v>
      </c>
      <c r="E907" s="107" t="str">
        <f>VLOOKUP(B907&amp;C907,Divipola!$C$2:$F$1138,4,FALSE)</f>
        <v>76001</v>
      </c>
      <c r="F907" s="330"/>
      <c r="G907" s="224"/>
      <c r="H907" s="75"/>
      <c r="I907" s="75"/>
      <c r="J907" s="75"/>
      <c r="K907" s="75"/>
      <c r="L907" s="75"/>
      <c r="M907" s="75"/>
      <c r="N907" s="75"/>
      <c r="O907" s="75"/>
      <c r="P907" s="75"/>
      <c r="Q907" s="75"/>
      <c r="R907" s="75"/>
      <c r="S907" s="75"/>
      <c r="T907" s="75"/>
      <c r="U907" s="75"/>
      <c r="V907" s="76"/>
      <c r="W907" s="205"/>
      <c r="X907" s="1"/>
      <c r="Y907" s="78">
        <f t="shared" si="119"/>
        <v>0</v>
      </c>
      <c r="Z907" s="78">
        <f t="shared" si="120"/>
        <v>0</v>
      </c>
      <c r="AA907" s="78">
        <f t="shared" si="117"/>
        <v>0</v>
      </c>
      <c r="AB907" s="78">
        <f t="shared" si="121"/>
        <v>0</v>
      </c>
      <c r="AC907" s="78"/>
      <c r="AD907" s="78">
        <v>0</v>
      </c>
      <c r="AE907" s="80">
        <f t="shared" si="123"/>
        <v>0</v>
      </c>
      <c r="AF907" s="82">
        <v>0</v>
      </c>
      <c r="AG907" s="69">
        <v>40387</v>
      </c>
      <c r="AH907" s="84"/>
      <c r="AI907" s="69" t="s">
        <v>1984</v>
      </c>
      <c r="AJ907" s="25" t="s">
        <v>1985</v>
      </c>
      <c r="AK907" s="65"/>
      <c r="AL907" s="185" t="s">
        <v>1257</v>
      </c>
      <c r="AM907" s="85" t="s">
        <v>2279</v>
      </c>
      <c r="AN907" s="3"/>
      <c r="AO907" s="4"/>
      <c r="AP907" s="5"/>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6"/>
      <c r="CQ907" s="7"/>
      <c r="CR907" s="6"/>
      <c r="CS907" s="7"/>
      <c r="CT907" s="6"/>
      <c r="CU907" s="7"/>
      <c r="CV907" s="8">
        <f t="shared" si="122"/>
        <v>0</v>
      </c>
      <c r="CW907" s="9"/>
      <c r="CX907" s="10"/>
      <c r="CY907" s="11"/>
      <c r="CZ907" s="12"/>
      <c r="DA907" s="29"/>
      <c r="DB907" s="12"/>
      <c r="DC907" s="9"/>
      <c r="DD907" s="10"/>
      <c r="DE907" s="71"/>
      <c r="EO907" s="353" t="str">
        <f t="shared" si="115"/>
        <v>VALLE DEL CAUCA_CALI</v>
      </c>
      <c r="EP907" s="350"/>
      <c r="EQ907" s="350" t="s">
        <v>4535</v>
      </c>
      <c r="ER907" s="358" t="s">
        <v>4536</v>
      </c>
      <c r="ES907" s="350" t="s">
        <v>5587</v>
      </c>
      <c r="ET907" s="350" t="s">
        <v>3530</v>
      </c>
      <c r="EU907" s="350" t="str">
        <f t="shared" si="118"/>
        <v>Santander_Sabana de Torres</v>
      </c>
    </row>
    <row r="908" spans="1:151" ht="51" x14ac:dyDescent="0.2">
      <c r="A908" s="242">
        <v>40386</v>
      </c>
      <c r="B908" s="107" t="s">
        <v>1462</v>
      </c>
      <c r="C908" s="107" t="s">
        <v>3116</v>
      </c>
      <c r="D908" s="427" t="s">
        <v>837</v>
      </c>
      <c r="E908" s="107" t="str">
        <f>VLOOKUP(B908&amp;C908,Divipola!$C$2:$F$1138,4,FALSE)</f>
        <v>76823</v>
      </c>
      <c r="F908" s="330"/>
      <c r="G908" s="224"/>
      <c r="H908" s="75"/>
      <c r="I908" s="75"/>
      <c r="J908" s="75">
        <v>100</v>
      </c>
      <c r="K908" s="75">
        <v>20</v>
      </c>
      <c r="L908" s="75"/>
      <c r="M908" s="75">
        <v>20</v>
      </c>
      <c r="N908" s="75"/>
      <c r="O908" s="75"/>
      <c r="P908" s="75"/>
      <c r="Q908" s="75"/>
      <c r="R908" s="75"/>
      <c r="S908" s="75"/>
      <c r="T908" s="75"/>
      <c r="U908" s="75"/>
      <c r="V908" s="76"/>
      <c r="W908" s="205"/>
      <c r="X908" s="1"/>
      <c r="Y908" s="78">
        <f t="shared" si="119"/>
        <v>0</v>
      </c>
      <c r="Z908" s="78">
        <f t="shared" si="120"/>
        <v>0</v>
      </c>
      <c r="AA908" s="78">
        <f t="shared" ref="AA908:AA939" si="124">DB908+DD908</f>
        <v>0</v>
      </c>
      <c r="AB908" s="78">
        <f t="shared" si="121"/>
        <v>0</v>
      </c>
      <c r="AC908" s="78"/>
      <c r="AD908" s="78">
        <v>0</v>
      </c>
      <c r="AE908" s="80">
        <f t="shared" si="123"/>
        <v>0</v>
      </c>
      <c r="AF908" s="82">
        <v>0</v>
      </c>
      <c r="AG908" s="69">
        <v>40387</v>
      </c>
      <c r="AH908" s="84"/>
      <c r="AI908" s="69" t="s">
        <v>1984</v>
      </c>
      <c r="AJ908" s="25" t="s">
        <v>1985</v>
      </c>
      <c r="AK908" s="65"/>
      <c r="AL908" s="185" t="s">
        <v>1257</v>
      </c>
      <c r="AM908" s="85" t="s">
        <v>1010</v>
      </c>
      <c r="AN908" s="3"/>
      <c r="AO908" s="4"/>
      <c r="AP908" s="5"/>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6"/>
      <c r="CQ908" s="7"/>
      <c r="CR908" s="6"/>
      <c r="CS908" s="7"/>
      <c r="CT908" s="6"/>
      <c r="CU908" s="7"/>
      <c r="CV908" s="8">
        <f t="shared" si="122"/>
        <v>0</v>
      </c>
      <c r="CW908" s="9"/>
      <c r="CX908" s="10"/>
      <c r="CY908" s="11"/>
      <c r="CZ908" s="12"/>
      <c r="DA908" s="29"/>
      <c r="DB908" s="12"/>
      <c r="DC908" s="9"/>
      <c r="DD908" s="10"/>
      <c r="DE908" s="71"/>
      <c r="EO908" s="353" t="str">
        <f t="shared" si="115"/>
        <v>VALLE DEL CAUCA_TORO</v>
      </c>
      <c r="EP908" s="350"/>
      <c r="EQ908" s="350" t="s">
        <v>4535</v>
      </c>
      <c r="ER908" s="358" t="s">
        <v>4536</v>
      </c>
      <c r="ES908" s="350" t="s">
        <v>5588</v>
      </c>
      <c r="ET908" s="350" t="s">
        <v>3531</v>
      </c>
      <c r="EU908" s="350" t="str">
        <f t="shared" si="118"/>
        <v>Santander_San Andres</v>
      </c>
    </row>
    <row r="909" spans="1:151" ht="36" x14ac:dyDescent="0.2">
      <c r="A909" s="242">
        <v>40387</v>
      </c>
      <c r="B909" s="107" t="s">
        <v>2017</v>
      </c>
      <c r="C909" s="107" t="s">
        <v>985</v>
      </c>
      <c r="D909" s="427" t="s">
        <v>837</v>
      </c>
      <c r="E909" s="107" t="str">
        <f>VLOOKUP(B909&amp;C909,Divipola!$C$2:$F$1138,4,FALSE)</f>
        <v>13473</v>
      </c>
      <c r="F909" s="330"/>
      <c r="G909" s="224"/>
      <c r="H909" s="75"/>
      <c r="I909" s="75"/>
      <c r="J909" s="75">
        <f>1465*5</f>
        <v>7325</v>
      </c>
      <c r="K909" s="75">
        <v>1465</v>
      </c>
      <c r="L909" s="75"/>
      <c r="M909" s="75">
        <v>1465</v>
      </c>
      <c r="N909" s="75"/>
      <c r="O909" s="75"/>
      <c r="P909" s="75"/>
      <c r="Q909" s="75"/>
      <c r="R909" s="75"/>
      <c r="S909" s="75"/>
      <c r="T909" s="75"/>
      <c r="U909" s="75"/>
      <c r="V909" s="76"/>
      <c r="W909" s="205"/>
      <c r="X909" s="1">
        <v>40415</v>
      </c>
      <c r="Y909" s="78">
        <f t="shared" si="119"/>
        <v>12600000</v>
      </c>
      <c r="Z909" s="78">
        <f t="shared" si="120"/>
        <v>59500000</v>
      </c>
      <c r="AA909" s="78">
        <f t="shared" si="124"/>
        <v>0</v>
      </c>
      <c r="AB909" s="78">
        <f t="shared" si="121"/>
        <v>0</v>
      </c>
      <c r="AC909" s="78"/>
      <c r="AD909" s="78">
        <v>0</v>
      </c>
      <c r="AE909" s="80">
        <f t="shared" si="123"/>
        <v>72100000</v>
      </c>
      <c r="AF909" s="82">
        <v>0</v>
      </c>
      <c r="AG909" s="69">
        <v>40395</v>
      </c>
      <c r="AH909" s="94" t="s">
        <v>1176</v>
      </c>
      <c r="AI909" s="69" t="s">
        <v>2009</v>
      </c>
      <c r="AJ909" s="25" t="s">
        <v>2010</v>
      </c>
      <c r="AK909" s="88" t="s">
        <v>171</v>
      </c>
      <c r="AL909" s="176" t="s">
        <v>1831</v>
      </c>
      <c r="AM909" s="85" t="s">
        <v>1175</v>
      </c>
      <c r="AN909" s="3"/>
      <c r="AO909" s="4"/>
      <c r="AP909" s="5"/>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v>700</v>
      </c>
      <c r="CO909" s="4">
        <f>700*18000</f>
        <v>12600000</v>
      </c>
      <c r="CP909" s="6"/>
      <c r="CQ909" s="7"/>
      <c r="CR909" s="6"/>
      <c r="CS909" s="7"/>
      <c r="CT909" s="6"/>
      <c r="CU909" s="7"/>
      <c r="CV909" s="8">
        <f t="shared" si="122"/>
        <v>12600000</v>
      </c>
      <c r="CW909" s="9"/>
      <c r="CX909" s="10"/>
      <c r="CY909" s="11">
        <v>700</v>
      </c>
      <c r="CZ909" s="12">
        <f>700*85000</f>
        <v>59500000</v>
      </c>
      <c r="DA909" s="29"/>
      <c r="DB909" s="12"/>
      <c r="DC909" s="9"/>
      <c r="DD909" s="10"/>
      <c r="DE909" s="71"/>
      <c r="EO909" s="353" t="str">
        <f t="shared" si="115"/>
        <v>BOLIVAR_MORALES</v>
      </c>
      <c r="EP909" s="350"/>
      <c r="EQ909" s="350" t="s">
        <v>4535</v>
      </c>
      <c r="ER909" s="358" t="s">
        <v>4536</v>
      </c>
      <c r="ES909" s="350" t="s">
        <v>5589</v>
      </c>
      <c r="ET909" s="350" t="s">
        <v>3532</v>
      </c>
      <c r="EU909" s="350" t="str">
        <f t="shared" si="118"/>
        <v>Santander_San Benito</v>
      </c>
    </row>
    <row r="910" spans="1:151" ht="25.5" x14ac:dyDescent="0.2">
      <c r="A910" s="242">
        <v>40387</v>
      </c>
      <c r="B910" s="107" t="s">
        <v>2014</v>
      </c>
      <c r="C910" s="107" t="s">
        <v>1978</v>
      </c>
      <c r="D910" s="427" t="s">
        <v>2209</v>
      </c>
      <c r="E910" s="107" t="str">
        <f>VLOOKUP(B910&amp;C910,Divipola!$C$2:$F$1138,4,FALSE)</f>
        <v>63594</v>
      </c>
      <c r="F910" s="330"/>
      <c r="G910" s="224"/>
      <c r="H910" s="75"/>
      <c r="I910" s="75"/>
      <c r="J910" s="75">
        <v>10</v>
      </c>
      <c r="K910" s="75">
        <v>2</v>
      </c>
      <c r="L910" s="75"/>
      <c r="M910" s="75">
        <v>2</v>
      </c>
      <c r="N910" s="75"/>
      <c r="O910" s="75"/>
      <c r="P910" s="75"/>
      <c r="Q910" s="75"/>
      <c r="R910" s="75"/>
      <c r="S910" s="75"/>
      <c r="T910" s="75"/>
      <c r="U910" s="75"/>
      <c r="V910" s="76"/>
      <c r="W910" s="205"/>
      <c r="X910" s="1"/>
      <c r="Y910" s="78">
        <f t="shared" si="119"/>
        <v>0</v>
      </c>
      <c r="Z910" s="78">
        <f t="shared" si="120"/>
        <v>0</v>
      </c>
      <c r="AA910" s="78">
        <f t="shared" si="124"/>
        <v>0</v>
      </c>
      <c r="AB910" s="78">
        <f t="shared" si="121"/>
        <v>0</v>
      </c>
      <c r="AC910" s="78"/>
      <c r="AD910" s="78">
        <v>0</v>
      </c>
      <c r="AE910" s="80">
        <f t="shared" si="123"/>
        <v>0</v>
      </c>
      <c r="AF910" s="82">
        <v>0</v>
      </c>
      <c r="AG910" s="69">
        <v>40388</v>
      </c>
      <c r="AH910" s="84"/>
      <c r="AI910" s="69" t="s">
        <v>1984</v>
      </c>
      <c r="AJ910" s="25" t="s">
        <v>1985</v>
      </c>
      <c r="AK910" s="65"/>
      <c r="AL910" s="185" t="s">
        <v>1257</v>
      </c>
      <c r="AM910" s="85" t="s">
        <v>1009</v>
      </c>
      <c r="AN910" s="3"/>
      <c r="AO910" s="4"/>
      <c r="AP910" s="5"/>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6"/>
      <c r="CQ910" s="7"/>
      <c r="CR910" s="6"/>
      <c r="CS910" s="7"/>
      <c r="CT910" s="6"/>
      <c r="CU910" s="7"/>
      <c r="CV910" s="8">
        <f t="shared" si="122"/>
        <v>0</v>
      </c>
      <c r="CW910" s="9"/>
      <c r="CX910" s="10"/>
      <c r="CY910" s="11"/>
      <c r="CZ910" s="12"/>
      <c r="DA910" s="29"/>
      <c r="DB910" s="12"/>
      <c r="DC910" s="9"/>
      <c r="DD910" s="10"/>
      <c r="DE910" s="71"/>
      <c r="EO910" s="353" t="str">
        <f t="shared" si="115"/>
        <v>QUINDIO_QUIMBAYA</v>
      </c>
      <c r="EP910" s="350"/>
      <c r="EQ910" s="350" t="s">
        <v>4535</v>
      </c>
      <c r="ER910" s="358" t="s">
        <v>4536</v>
      </c>
      <c r="ES910" s="350" t="s">
        <v>5590</v>
      </c>
      <c r="ET910" s="350" t="s">
        <v>3533</v>
      </c>
      <c r="EU910" s="350" t="str">
        <f t="shared" si="118"/>
        <v>Santander_San Gil</v>
      </c>
    </row>
    <row r="911" spans="1:151" ht="38.25" x14ac:dyDescent="0.2">
      <c r="A911" s="242">
        <v>40388</v>
      </c>
      <c r="B911" s="236" t="s">
        <v>2756</v>
      </c>
      <c r="C911" s="236" t="s">
        <v>1424</v>
      </c>
      <c r="D911" s="433" t="s">
        <v>837</v>
      </c>
      <c r="E911" s="107" t="str">
        <f>VLOOKUP(B911&amp;C911,Divipola!$C$2:$F$1138,4,FALSE)</f>
        <v>81220</v>
      </c>
      <c r="F911" s="335"/>
      <c r="G911" s="221"/>
      <c r="H911" s="157"/>
      <c r="I911" s="157"/>
      <c r="J911" s="157">
        <v>35</v>
      </c>
      <c r="K911" s="157">
        <v>7</v>
      </c>
      <c r="L911" s="157"/>
      <c r="M911" s="157">
        <v>7</v>
      </c>
      <c r="N911" s="157"/>
      <c r="O911" s="157"/>
      <c r="P911" s="157"/>
      <c r="Q911" s="157"/>
      <c r="R911" s="157"/>
      <c r="S911" s="157"/>
      <c r="T911" s="157"/>
      <c r="U911" s="157"/>
      <c r="V911" s="158"/>
      <c r="W911" s="182"/>
      <c r="X911" s="1"/>
      <c r="Y911" s="78">
        <f t="shared" si="119"/>
        <v>0</v>
      </c>
      <c r="Z911" s="78">
        <f t="shared" si="120"/>
        <v>0</v>
      </c>
      <c r="AA911" s="78">
        <f t="shared" si="124"/>
        <v>0</v>
      </c>
      <c r="AB911" s="78">
        <f t="shared" si="121"/>
        <v>0</v>
      </c>
      <c r="AC911" s="78"/>
      <c r="AD911" s="78">
        <v>0</v>
      </c>
      <c r="AE911" s="80">
        <f t="shared" si="123"/>
        <v>0</v>
      </c>
      <c r="AF911" s="82">
        <v>0</v>
      </c>
      <c r="AG911" s="69">
        <v>40441</v>
      </c>
      <c r="AH911" s="84"/>
      <c r="AI911" s="69" t="s">
        <v>2009</v>
      </c>
      <c r="AJ911" s="25" t="s">
        <v>2010</v>
      </c>
      <c r="AK911" s="65"/>
      <c r="AL911" s="214" t="s">
        <v>1674</v>
      </c>
      <c r="AM911" s="173" t="s">
        <v>1268</v>
      </c>
      <c r="AN911" s="159"/>
      <c r="AO911" s="160"/>
      <c r="AP911" s="161"/>
      <c r="AQ911" s="160"/>
      <c r="AR911" s="160"/>
      <c r="AS911" s="160"/>
      <c r="AT911" s="160"/>
      <c r="AU911" s="160"/>
      <c r="AV911" s="160"/>
      <c r="AW911" s="160"/>
      <c r="AX911" s="160"/>
      <c r="AY911" s="160"/>
      <c r="AZ911" s="160"/>
      <c r="BA911" s="160"/>
      <c r="BB911" s="160"/>
      <c r="BC911" s="160"/>
      <c r="BD911" s="160"/>
      <c r="BE911" s="160"/>
      <c r="BF911" s="160"/>
      <c r="BG911" s="160"/>
      <c r="BH911" s="160"/>
      <c r="BI911" s="160"/>
      <c r="BJ911" s="160"/>
      <c r="BK911" s="160"/>
      <c r="BL911" s="160"/>
      <c r="BM911" s="160"/>
      <c r="BN911" s="160"/>
      <c r="BO911" s="160"/>
      <c r="BP911" s="160"/>
      <c r="BQ911" s="160"/>
      <c r="BR911" s="160"/>
      <c r="BS911" s="160"/>
      <c r="BT911" s="160"/>
      <c r="BU911" s="160"/>
      <c r="BV911" s="160"/>
      <c r="BW911" s="160"/>
      <c r="BX911" s="160"/>
      <c r="BY911" s="160"/>
      <c r="BZ911" s="160"/>
      <c r="CA911" s="160"/>
      <c r="CB911" s="160"/>
      <c r="CC911" s="160"/>
      <c r="CD911" s="160"/>
      <c r="CE911" s="160"/>
      <c r="CF911" s="160"/>
      <c r="CG911" s="160"/>
      <c r="CH911" s="160"/>
      <c r="CI911" s="160"/>
      <c r="CJ911" s="160"/>
      <c r="CK911" s="160"/>
      <c r="CL911" s="160"/>
      <c r="CM911" s="160"/>
      <c r="CN911" s="160"/>
      <c r="CO911" s="160"/>
      <c r="CP911" s="162"/>
      <c r="CQ911" s="163"/>
      <c r="CR911" s="162"/>
      <c r="CS911" s="163"/>
      <c r="CT911" s="162"/>
      <c r="CU911" s="163"/>
      <c r="CV911" s="164">
        <f t="shared" si="122"/>
        <v>0</v>
      </c>
      <c r="CW911" s="165"/>
      <c r="CX911" s="166"/>
      <c r="CY911" s="167"/>
      <c r="CZ911" s="168"/>
      <c r="DA911" s="169"/>
      <c r="DB911" s="168"/>
      <c r="DC911" s="165"/>
      <c r="DD911" s="166"/>
      <c r="DE911" s="71"/>
      <c r="DF911" s="170">
        <v>1280</v>
      </c>
      <c r="EO911" s="353" t="str">
        <f t="shared" si="115"/>
        <v>ARAUCA_CRAVO NORTE</v>
      </c>
      <c r="EP911" s="350"/>
      <c r="EQ911" s="350" t="s">
        <v>4535</v>
      </c>
      <c r="ER911" s="358" t="s">
        <v>4536</v>
      </c>
      <c r="ES911" s="350" t="s">
        <v>5591</v>
      </c>
      <c r="ET911" s="350" t="s">
        <v>3534</v>
      </c>
      <c r="EU911" s="350" t="str">
        <f t="shared" si="118"/>
        <v>Santander_San Joaquin</v>
      </c>
    </row>
    <row r="912" spans="1:151" ht="45" x14ac:dyDescent="0.2">
      <c r="A912" s="242">
        <v>40388</v>
      </c>
      <c r="B912" s="107" t="s">
        <v>828</v>
      </c>
      <c r="C912" s="107" t="s">
        <v>2364</v>
      </c>
      <c r="D912" s="427" t="s">
        <v>837</v>
      </c>
      <c r="E912" s="107" t="str">
        <f>VLOOKUP(B912&amp;C912,Divipola!$C$2:$F$1138,4,FALSE)</f>
        <v>15572</v>
      </c>
      <c r="F912" s="330"/>
      <c r="G912" s="224"/>
      <c r="H912" s="75"/>
      <c r="I912" s="75"/>
      <c r="J912" s="75">
        <v>390</v>
      </c>
      <c r="K912" s="75">
        <v>78</v>
      </c>
      <c r="L912" s="75">
        <v>20</v>
      </c>
      <c r="M912" s="75"/>
      <c r="N912" s="75"/>
      <c r="O912" s="75"/>
      <c r="P912" s="75"/>
      <c r="Q912" s="75"/>
      <c r="R912" s="75"/>
      <c r="S912" s="75"/>
      <c r="T912" s="75"/>
      <c r="U912" s="75"/>
      <c r="V912" s="76"/>
      <c r="W912" s="205"/>
      <c r="X912" s="1">
        <v>40410</v>
      </c>
      <c r="Y912" s="78">
        <f t="shared" si="119"/>
        <v>14590400</v>
      </c>
      <c r="Z912" s="78">
        <f t="shared" si="120"/>
        <v>17000000</v>
      </c>
      <c r="AA912" s="78">
        <f t="shared" si="124"/>
        <v>0</v>
      </c>
      <c r="AB912" s="78">
        <f t="shared" si="121"/>
        <v>0</v>
      </c>
      <c r="AC912" s="78"/>
      <c r="AD912" s="78">
        <v>0</v>
      </c>
      <c r="AE912" s="80">
        <f t="shared" si="123"/>
        <v>31590400</v>
      </c>
      <c r="AF912" s="82">
        <v>0</v>
      </c>
      <c r="AG912" s="69">
        <v>40390</v>
      </c>
      <c r="AH912" s="84">
        <v>41700</v>
      </c>
      <c r="AI912" s="69" t="s">
        <v>2009</v>
      </c>
      <c r="AJ912" s="25" t="s">
        <v>2010</v>
      </c>
      <c r="AK912" s="65">
        <v>252</v>
      </c>
      <c r="AL912" s="185" t="s">
        <v>2182</v>
      </c>
      <c r="AM912" s="85" t="s">
        <v>1037</v>
      </c>
      <c r="AN912" s="3"/>
      <c r="AO912" s="4"/>
      <c r="AP912" s="5"/>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6">
        <v>200</v>
      </c>
      <c r="CQ912" s="7">
        <f>200*36952</f>
        <v>7390400</v>
      </c>
      <c r="CR912" s="6">
        <v>200</v>
      </c>
      <c r="CS912" s="7">
        <f>200*36000</f>
        <v>7200000</v>
      </c>
      <c r="CT912" s="6"/>
      <c r="CU912" s="7"/>
      <c r="CV912" s="8">
        <f t="shared" si="122"/>
        <v>14590400</v>
      </c>
      <c r="CW912" s="9"/>
      <c r="CX912" s="10"/>
      <c r="CY912" s="11">
        <v>200</v>
      </c>
      <c r="CZ912" s="12">
        <f>200*85000</f>
        <v>17000000</v>
      </c>
      <c r="DA912" s="29"/>
      <c r="DB912" s="12"/>
      <c r="DC912" s="9"/>
      <c r="DD912" s="10"/>
      <c r="DE912" s="71"/>
      <c r="EO912" s="353" t="str">
        <f t="shared" si="115"/>
        <v>BOYACA_PUERTO BOYACA</v>
      </c>
      <c r="EP912" s="350"/>
      <c r="EQ912" s="350" t="s">
        <v>4535</v>
      </c>
      <c r="ER912" s="358" t="s">
        <v>4536</v>
      </c>
      <c r="ES912" s="350" t="s">
        <v>5592</v>
      </c>
      <c r="ET912" s="350" t="s">
        <v>3535</v>
      </c>
      <c r="EU912" s="350" t="str">
        <f t="shared" si="118"/>
        <v>Santander_San Jose de Miranda</v>
      </c>
    </row>
    <row r="913" spans="1:151" ht="45" x14ac:dyDescent="0.2">
      <c r="A913" s="242">
        <v>40388</v>
      </c>
      <c r="B913" s="107" t="s">
        <v>1336</v>
      </c>
      <c r="C913" s="107" t="s">
        <v>151</v>
      </c>
      <c r="D913" s="427" t="s">
        <v>2209</v>
      </c>
      <c r="E913" s="107" t="str">
        <f>VLOOKUP(B913&amp;C913,Divipola!$C$2:$F$1138,4,FALSE)</f>
        <v>54003</v>
      </c>
      <c r="F913" s="330"/>
      <c r="G913" s="224"/>
      <c r="H913" s="75">
        <v>3</v>
      </c>
      <c r="I913" s="75"/>
      <c r="J913" s="75">
        <v>830</v>
      </c>
      <c r="K913" s="75">
        <v>166</v>
      </c>
      <c r="L913" s="75">
        <v>18</v>
      </c>
      <c r="M913" s="75">
        <v>20</v>
      </c>
      <c r="N913" s="75"/>
      <c r="O913" s="75"/>
      <c r="P913" s="75">
        <v>5</v>
      </c>
      <c r="Q913" s="75"/>
      <c r="R913" s="75"/>
      <c r="S913" s="75">
        <v>2</v>
      </c>
      <c r="T913" s="75"/>
      <c r="U913" s="75"/>
      <c r="V913" s="76"/>
      <c r="W913" s="205"/>
      <c r="X913" s="1">
        <v>40410</v>
      </c>
      <c r="Y913" s="78">
        <f t="shared" si="119"/>
        <v>0</v>
      </c>
      <c r="Z913" s="78">
        <f t="shared" si="120"/>
        <v>0</v>
      </c>
      <c r="AA913" s="78">
        <f t="shared" si="124"/>
        <v>0</v>
      </c>
      <c r="AB913" s="78">
        <f t="shared" si="121"/>
        <v>0</v>
      </c>
      <c r="AC913" s="78">
        <f>1000*23425+112*250125+5000*1092+150*35438</f>
        <v>62214700</v>
      </c>
      <c r="AD913" s="78">
        <v>0</v>
      </c>
      <c r="AE913" s="80">
        <f t="shared" si="123"/>
        <v>62214700</v>
      </c>
      <c r="AF913" s="82">
        <v>0</v>
      </c>
      <c r="AG913" s="69">
        <v>40389</v>
      </c>
      <c r="AH913" s="84">
        <v>40659</v>
      </c>
      <c r="AI913" s="69" t="s">
        <v>2009</v>
      </c>
      <c r="AJ913" s="25" t="s">
        <v>2010</v>
      </c>
      <c r="AK913" s="65">
        <v>255</v>
      </c>
      <c r="AL913" s="185" t="s">
        <v>2182</v>
      </c>
      <c r="AM913" s="85" t="s">
        <v>2117</v>
      </c>
      <c r="AN913" s="3"/>
      <c r="AO913" s="4"/>
      <c r="AP913" s="5"/>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6"/>
      <c r="CQ913" s="7"/>
      <c r="CR913" s="6"/>
      <c r="CS913" s="7"/>
      <c r="CT913" s="6"/>
      <c r="CU913" s="7"/>
      <c r="CV913" s="8">
        <f t="shared" si="122"/>
        <v>0</v>
      </c>
      <c r="CW913" s="9"/>
      <c r="CX913" s="10"/>
      <c r="CY913" s="11"/>
      <c r="CZ913" s="12"/>
      <c r="DA913" s="29"/>
      <c r="DB913" s="12"/>
      <c r="DC913" s="9"/>
      <c r="DD913" s="10"/>
      <c r="DE913" s="71"/>
      <c r="EO913" s="353" t="str">
        <f t="shared" si="115"/>
        <v>NORTE DE SANTANDER_ABREGO</v>
      </c>
      <c r="EP913" s="350"/>
      <c r="EQ913" s="350" t="s">
        <v>4535</v>
      </c>
      <c r="ER913" s="358" t="s">
        <v>4536</v>
      </c>
      <c r="ES913" s="350" t="s">
        <v>5593</v>
      </c>
      <c r="ET913" s="350" t="s">
        <v>3536</v>
      </c>
      <c r="EU913" s="350" t="str">
        <f t="shared" si="118"/>
        <v>Santander_San Miguel</v>
      </c>
    </row>
    <row r="914" spans="1:151" ht="51" x14ac:dyDescent="0.2">
      <c r="A914" s="242">
        <v>40388</v>
      </c>
      <c r="B914" s="107" t="s">
        <v>2791</v>
      </c>
      <c r="C914" s="107" t="s">
        <v>888</v>
      </c>
      <c r="D914" s="427" t="s">
        <v>1713</v>
      </c>
      <c r="E914" s="107" t="str">
        <f>VLOOKUP(B914&amp;C914,Divipola!$C$2:$F$1138,4,FALSE)</f>
        <v>73217</v>
      </c>
      <c r="F914" s="330"/>
      <c r="G914" s="224"/>
      <c r="H914" s="75"/>
      <c r="I914" s="75"/>
      <c r="J914" s="75">
        <v>11</v>
      </c>
      <c r="K914" s="75">
        <v>2</v>
      </c>
      <c r="L914" s="75"/>
      <c r="M914" s="75">
        <v>2</v>
      </c>
      <c r="N914" s="75"/>
      <c r="O914" s="75"/>
      <c r="P914" s="75"/>
      <c r="Q914" s="75"/>
      <c r="R914" s="75"/>
      <c r="S914" s="75"/>
      <c r="T914" s="75">
        <v>2</v>
      </c>
      <c r="U914" s="75"/>
      <c r="V914" s="76"/>
      <c r="W914" s="205"/>
      <c r="X914" s="1"/>
      <c r="Y914" s="78">
        <f t="shared" si="119"/>
        <v>0</v>
      </c>
      <c r="Z914" s="78">
        <f t="shared" si="120"/>
        <v>0</v>
      </c>
      <c r="AA914" s="78">
        <f t="shared" si="124"/>
        <v>0</v>
      </c>
      <c r="AB914" s="78">
        <f t="shared" si="121"/>
        <v>0</v>
      </c>
      <c r="AC914" s="78"/>
      <c r="AD914" s="78">
        <v>0</v>
      </c>
      <c r="AE914" s="80">
        <f t="shared" si="123"/>
        <v>0</v>
      </c>
      <c r="AF914" s="82">
        <v>0</v>
      </c>
      <c r="AG914" s="69">
        <v>40389</v>
      </c>
      <c r="AH914" s="84"/>
      <c r="AI914" s="69" t="s">
        <v>1984</v>
      </c>
      <c r="AJ914" s="25" t="s">
        <v>1985</v>
      </c>
      <c r="AK914" s="65"/>
      <c r="AL914" s="185" t="s">
        <v>1257</v>
      </c>
      <c r="AM914" s="85" t="s">
        <v>1030</v>
      </c>
      <c r="AN914" s="3"/>
      <c r="AO914" s="4"/>
      <c r="AP914" s="5"/>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6"/>
      <c r="CQ914" s="7"/>
      <c r="CR914" s="6"/>
      <c r="CS914" s="7"/>
      <c r="CT914" s="6"/>
      <c r="CU914" s="7"/>
      <c r="CV914" s="8">
        <f t="shared" si="122"/>
        <v>0</v>
      </c>
      <c r="CW914" s="9"/>
      <c r="CX914" s="10"/>
      <c r="CY914" s="11"/>
      <c r="CZ914" s="12"/>
      <c r="DA914" s="29"/>
      <c r="DB914" s="12"/>
      <c r="DC914" s="9"/>
      <c r="DD914" s="10"/>
      <c r="DE914" s="71"/>
      <c r="EO914" s="353" t="str">
        <f t="shared" si="115"/>
        <v>TOLIMA_COYAIMA</v>
      </c>
      <c r="EP914" s="350"/>
      <c r="EQ914" s="350" t="s">
        <v>4535</v>
      </c>
      <c r="ER914" s="358" t="s">
        <v>4536</v>
      </c>
      <c r="ES914" s="350" t="s">
        <v>5594</v>
      </c>
      <c r="ET914" s="350" t="s">
        <v>3537</v>
      </c>
      <c r="EU914" s="350" t="str">
        <f t="shared" si="118"/>
        <v>Santander_San Vicente de Chucuri</v>
      </c>
    </row>
    <row r="915" spans="1:151" ht="72" x14ac:dyDescent="0.2">
      <c r="A915" s="242">
        <v>40388</v>
      </c>
      <c r="B915" s="107" t="s">
        <v>2791</v>
      </c>
      <c r="C915" s="107" t="s">
        <v>264</v>
      </c>
      <c r="D915" s="427" t="s">
        <v>1713</v>
      </c>
      <c r="E915" s="107" t="str">
        <f>VLOOKUP(B915&amp;C915,Divipola!$C$2:$F$1138,4,FALSE)</f>
        <v>73319</v>
      </c>
      <c r="F915" s="330"/>
      <c r="G915" s="224"/>
      <c r="H915" s="75">
        <v>1</v>
      </c>
      <c r="I915" s="75"/>
      <c r="J915" s="75"/>
      <c r="K915" s="75"/>
      <c r="L915" s="75"/>
      <c r="M915" s="75"/>
      <c r="N915" s="75"/>
      <c r="O915" s="75"/>
      <c r="P915" s="75"/>
      <c r="Q915" s="75"/>
      <c r="R915" s="75"/>
      <c r="S915" s="75"/>
      <c r="T915" s="75"/>
      <c r="U915" s="75">
        <v>6</v>
      </c>
      <c r="V915" s="76"/>
      <c r="W915" s="205"/>
      <c r="X915" s="1"/>
      <c r="Y915" s="78">
        <f t="shared" si="119"/>
        <v>0</v>
      </c>
      <c r="Z915" s="78">
        <f t="shared" si="120"/>
        <v>0</v>
      </c>
      <c r="AA915" s="78">
        <f t="shared" si="124"/>
        <v>0</v>
      </c>
      <c r="AB915" s="78">
        <f t="shared" si="121"/>
        <v>0</v>
      </c>
      <c r="AC915" s="78"/>
      <c r="AD915" s="78">
        <v>0</v>
      </c>
      <c r="AE915" s="80">
        <f t="shared" si="123"/>
        <v>0</v>
      </c>
      <c r="AF915" s="82">
        <v>0</v>
      </c>
      <c r="AG915" s="69">
        <v>40389</v>
      </c>
      <c r="AH915" s="84"/>
      <c r="AI915" s="69" t="s">
        <v>1984</v>
      </c>
      <c r="AJ915" s="25" t="s">
        <v>1985</v>
      </c>
      <c r="AK915" s="65"/>
      <c r="AL915" s="185" t="s">
        <v>1257</v>
      </c>
      <c r="AM915" s="85" t="s">
        <v>1859</v>
      </c>
      <c r="AN915" s="3"/>
      <c r="AO915" s="4"/>
      <c r="AP915" s="5"/>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6"/>
      <c r="CQ915" s="7"/>
      <c r="CR915" s="6"/>
      <c r="CS915" s="7"/>
      <c r="CT915" s="6"/>
      <c r="CU915" s="7"/>
      <c r="CV915" s="8">
        <f t="shared" si="122"/>
        <v>0</v>
      </c>
      <c r="CW915" s="9"/>
      <c r="CX915" s="10"/>
      <c r="CY915" s="11"/>
      <c r="CZ915" s="12"/>
      <c r="DA915" s="29"/>
      <c r="DB915" s="12"/>
      <c r="DC915" s="9"/>
      <c r="DD915" s="10"/>
      <c r="DE915" s="71"/>
      <c r="EO915" s="353" t="str">
        <f t="shared" si="115"/>
        <v>TOLIMA_GUAMO</v>
      </c>
      <c r="EP915" s="350"/>
      <c r="EQ915" s="350" t="s">
        <v>4535</v>
      </c>
      <c r="ER915" s="358" t="s">
        <v>4536</v>
      </c>
      <c r="ES915" s="350" t="s">
        <v>5595</v>
      </c>
      <c r="ET915" s="350" t="s">
        <v>5927</v>
      </c>
      <c r="EU915" s="350" t="str">
        <f t="shared" si="118"/>
        <v>Santander_Santa Barbara</v>
      </c>
    </row>
    <row r="916" spans="1:151" ht="51" x14ac:dyDescent="0.2">
      <c r="A916" s="242">
        <v>40389</v>
      </c>
      <c r="B916" s="222" t="s">
        <v>2756</v>
      </c>
      <c r="C916" s="222" t="s">
        <v>2008</v>
      </c>
      <c r="D916" s="430" t="s">
        <v>837</v>
      </c>
      <c r="E916" s="107">
        <f>VLOOKUP(B916&amp;C916,Divipola!$C$2:$F$1138,4,FALSE)</f>
        <v>81</v>
      </c>
      <c r="F916" s="333"/>
      <c r="G916" s="221"/>
      <c r="H916" s="157"/>
      <c r="I916" s="157"/>
      <c r="J916" s="157"/>
      <c r="K916" s="157"/>
      <c r="L916" s="157"/>
      <c r="M916" s="157"/>
      <c r="N916" s="157"/>
      <c r="O916" s="157"/>
      <c r="P916" s="157"/>
      <c r="Q916" s="157"/>
      <c r="R916" s="157"/>
      <c r="S916" s="157"/>
      <c r="T916" s="157"/>
      <c r="U916" s="157"/>
      <c r="V916" s="158"/>
      <c r="W916" s="182"/>
      <c r="X916" s="1">
        <v>40458</v>
      </c>
      <c r="Y916" s="78">
        <f t="shared" si="119"/>
        <v>93195000</v>
      </c>
      <c r="Z916" s="78">
        <f t="shared" si="120"/>
        <v>72250000</v>
      </c>
      <c r="AA916" s="78">
        <f t="shared" si="124"/>
        <v>0</v>
      </c>
      <c r="AB916" s="78">
        <f t="shared" si="121"/>
        <v>0</v>
      </c>
      <c r="AC916" s="78"/>
      <c r="AD916" s="78">
        <v>0</v>
      </c>
      <c r="AE916" s="80">
        <f t="shared" si="123"/>
        <v>165445000</v>
      </c>
      <c r="AF916" s="82">
        <v>0</v>
      </c>
      <c r="AG916" s="69">
        <v>40393</v>
      </c>
      <c r="AH916" s="84">
        <v>38299</v>
      </c>
      <c r="AI916" s="69" t="s">
        <v>2009</v>
      </c>
      <c r="AJ916" s="25" t="s">
        <v>2010</v>
      </c>
      <c r="AK916" s="65">
        <v>21211</v>
      </c>
      <c r="AL916" s="184" t="s">
        <v>1675</v>
      </c>
      <c r="AM916" s="173" t="s">
        <v>1673</v>
      </c>
      <c r="AN916" s="159"/>
      <c r="AO916" s="160"/>
      <c r="AP916" s="161"/>
      <c r="AQ916" s="160"/>
      <c r="AR916" s="160"/>
      <c r="AS916" s="160"/>
      <c r="AT916" s="160"/>
      <c r="AU916" s="160"/>
      <c r="AV916" s="160"/>
      <c r="AW916" s="160"/>
      <c r="AX916" s="160"/>
      <c r="AY916" s="160"/>
      <c r="AZ916" s="160"/>
      <c r="BA916" s="160"/>
      <c r="BB916" s="160">
        <v>500</v>
      </c>
      <c r="BC916" s="160">
        <f>500*56000</f>
        <v>28000000</v>
      </c>
      <c r="BD916" s="160"/>
      <c r="BE916" s="160"/>
      <c r="BF916" s="160"/>
      <c r="BG916" s="160"/>
      <c r="BH916" s="160"/>
      <c r="BI916" s="160"/>
      <c r="BJ916" s="160"/>
      <c r="BK916" s="160"/>
      <c r="BL916" s="160"/>
      <c r="BM916" s="160"/>
      <c r="BN916" s="160"/>
      <c r="BO916" s="160"/>
      <c r="BP916" s="160"/>
      <c r="BQ916" s="160"/>
      <c r="BR916" s="160"/>
      <c r="BS916" s="160"/>
      <c r="BT916" s="160"/>
      <c r="BU916" s="160"/>
      <c r="BV916" s="160"/>
      <c r="BW916" s="160"/>
      <c r="BX916" s="160"/>
      <c r="BY916" s="160"/>
      <c r="BZ916" s="160"/>
      <c r="CA916" s="160"/>
      <c r="CB916" s="160"/>
      <c r="CC916" s="160"/>
      <c r="CD916" s="160"/>
      <c r="CE916" s="160"/>
      <c r="CF916" s="160"/>
      <c r="CG916" s="160"/>
      <c r="CH916" s="160"/>
      <c r="CI916" s="160"/>
      <c r="CJ916" s="160"/>
      <c r="CK916" s="160"/>
      <c r="CL916" s="160"/>
      <c r="CM916" s="160"/>
      <c r="CN916" s="160"/>
      <c r="CO916" s="160"/>
      <c r="CP916" s="162">
        <v>850</v>
      </c>
      <c r="CQ916" s="163">
        <f>850*37000</f>
        <v>31450000</v>
      </c>
      <c r="CR916" s="162">
        <v>850</v>
      </c>
      <c r="CS916" s="163">
        <f>850*39700</f>
        <v>33745000</v>
      </c>
      <c r="CT916" s="162"/>
      <c r="CU916" s="163"/>
      <c r="CV916" s="164">
        <f t="shared" si="122"/>
        <v>93195000</v>
      </c>
      <c r="CW916" s="165"/>
      <c r="CX916" s="166"/>
      <c r="CY916" s="167">
        <v>850</v>
      </c>
      <c r="CZ916" s="168">
        <f>850*85000</f>
        <v>72250000</v>
      </c>
      <c r="DA916" s="169"/>
      <c r="DB916" s="168"/>
      <c r="DC916" s="165"/>
      <c r="DD916" s="166"/>
      <c r="DE916" s="71"/>
      <c r="DF916" s="170"/>
      <c r="EO916" s="353" t="str">
        <f t="shared" si="115"/>
        <v>ARAUCA_DEPARTAMENTO</v>
      </c>
      <c r="EP916" s="350"/>
      <c r="EQ916" s="350" t="s">
        <v>4535</v>
      </c>
      <c r="ER916" s="358" t="s">
        <v>4536</v>
      </c>
      <c r="ES916" s="350" t="s">
        <v>5596</v>
      </c>
      <c r="ET916" s="350" t="s">
        <v>3538</v>
      </c>
      <c r="EU916" s="350" t="str">
        <f t="shared" si="118"/>
        <v>Santander_Santa Helena del Opon</v>
      </c>
    </row>
    <row r="917" spans="1:151" ht="25.5" x14ac:dyDescent="0.2">
      <c r="A917" s="242">
        <v>40389</v>
      </c>
      <c r="B917" s="222" t="s">
        <v>2242</v>
      </c>
      <c r="C917" s="222" t="s">
        <v>2424</v>
      </c>
      <c r="D917" s="430" t="s">
        <v>837</v>
      </c>
      <c r="E917" s="107" t="str">
        <f>VLOOKUP(B917&amp;C917,Divipola!$C$2:$F$1138,4,FALSE)</f>
        <v>20443</v>
      </c>
      <c r="F917" s="333"/>
      <c r="G917" s="221"/>
      <c r="H917" s="157"/>
      <c r="I917" s="157"/>
      <c r="J917" s="157">
        <f>242*5</f>
        <v>1210</v>
      </c>
      <c r="K917" s="157">
        <v>242</v>
      </c>
      <c r="L917" s="157"/>
      <c r="M917" s="157">
        <v>242</v>
      </c>
      <c r="N917" s="157"/>
      <c r="O917" s="157"/>
      <c r="P917" s="157"/>
      <c r="Q917" s="157"/>
      <c r="R917" s="157"/>
      <c r="S917" s="157"/>
      <c r="T917" s="157"/>
      <c r="U917" s="157"/>
      <c r="V917" s="158"/>
      <c r="W917" s="182"/>
      <c r="X917" s="1">
        <v>40452</v>
      </c>
      <c r="Y917" s="78">
        <f t="shared" si="119"/>
        <v>1188000</v>
      </c>
      <c r="Z917" s="78">
        <f t="shared" si="120"/>
        <v>1870000</v>
      </c>
      <c r="AA917" s="78">
        <f t="shared" si="124"/>
        <v>0</v>
      </c>
      <c r="AB917" s="78">
        <f t="shared" si="121"/>
        <v>0</v>
      </c>
      <c r="AC917" s="78"/>
      <c r="AD917" s="78">
        <v>0</v>
      </c>
      <c r="AE917" s="80">
        <f t="shared" si="123"/>
        <v>3058000</v>
      </c>
      <c r="AF917" s="82">
        <v>0</v>
      </c>
      <c r="AG917" s="69">
        <v>40444</v>
      </c>
      <c r="AH917" s="84">
        <v>50562</v>
      </c>
      <c r="AI917" s="69" t="s">
        <v>2009</v>
      </c>
      <c r="AJ917" s="25" t="s">
        <v>2010</v>
      </c>
      <c r="AK917" s="65">
        <v>20729</v>
      </c>
      <c r="AL917" s="176" t="s">
        <v>1628</v>
      </c>
      <c r="AM917" s="173"/>
      <c r="AN917" s="159"/>
      <c r="AO917" s="160"/>
      <c r="AP917" s="161"/>
      <c r="AQ917" s="160"/>
      <c r="AR917" s="160"/>
      <c r="AS917" s="160"/>
      <c r="AT917" s="160"/>
      <c r="AU917" s="160"/>
      <c r="AV917" s="160"/>
      <c r="AW917" s="160"/>
      <c r="AX917" s="160"/>
      <c r="AY917" s="160"/>
      <c r="AZ917" s="160"/>
      <c r="BA917" s="160"/>
      <c r="BB917" s="160"/>
      <c r="BC917" s="160"/>
      <c r="BD917" s="160"/>
      <c r="BE917" s="160"/>
      <c r="BF917" s="160"/>
      <c r="BG917" s="160"/>
      <c r="BH917" s="160"/>
      <c r="BI917" s="160"/>
      <c r="BJ917" s="160"/>
      <c r="BK917" s="160"/>
      <c r="BL917" s="160"/>
      <c r="BM917" s="160"/>
      <c r="BN917" s="160"/>
      <c r="BO917" s="160"/>
      <c r="BP917" s="160"/>
      <c r="BQ917" s="160"/>
      <c r="BR917" s="160"/>
      <c r="BS917" s="160"/>
      <c r="BT917" s="160"/>
      <c r="BU917" s="160"/>
      <c r="BV917" s="160"/>
      <c r="BW917" s="160"/>
      <c r="BX917" s="160"/>
      <c r="BY917" s="160"/>
      <c r="BZ917" s="160"/>
      <c r="CA917" s="160"/>
      <c r="CB917" s="160"/>
      <c r="CC917" s="160"/>
      <c r="CD917" s="160"/>
      <c r="CE917" s="160"/>
      <c r="CF917" s="160"/>
      <c r="CG917" s="160"/>
      <c r="CH917" s="160"/>
      <c r="CI917" s="160"/>
      <c r="CJ917" s="160"/>
      <c r="CK917" s="160"/>
      <c r="CL917" s="160"/>
      <c r="CM917" s="160"/>
      <c r="CN917" s="160">
        <v>22</v>
      </c>
      <c r="CO917" s="160">
        <f>22*18000</f>
        <v>396000</v>
      </c>
      <c r="CP917" s="162"/>
      <c r="CQ917" s="163"/>
      <c r="CR917" s="162">
        <v>22</v>
      </c>
      <c r="CS917" s="163">
        <f>22*36000</f>
        <v>792000</v>
      </c>
      <c r="CT917" s="162"/>
      <c r="CU917" s="163"/>
      <c r="CV917" s="164">
        <f t="shared" si="122"/>
        <v>1188000</v>
      </c>
      <c r="CW917" s="165"/>
      <c r="CX917" s="166"/>
      <c r="CY917" s="167">
        <v>22</v>
      </c>
      <c r="CZ917" s="168">
        <f>22*85000</f>
        <v>1870000</v>
      </c>
      <c r="DA917" s="169"/>
      <c r="DB917" s="168"/>
      <c r="DC917" s="165"/>
      <c r="DD917" s="166"/>
      <c r="DE917" s="71"/>
      <c r="DF917" s="170"/>
      <c r="EO917" s="353" t="str">
        <f t="shared" si="115"/>
        <v>CESAR_MANAURE</v>
      </c>
      <c r="EP917" s="350"/>
      <c r="EQ917" s="350" t="s">
        <v>4535</v>
      </c>
      <c r="ER917" s="358" t="s">
        <v>4536</v>
      </c>
      <c r="ES917" s="350" t="s">
        <v>5597</v>
      </c>
      <c r="ET917" s="350" t="s">
        <v>3539</v>
      </c>
      <c r="EU917" s="350" t="str">
        <f t="shared" si="118"/>
        <v>Santander_Simacota</v>
      </c>
    </row>
    <row r="918" spans="1:151" ht="336" x14ac:dyDescent="0.2">
      <c r="A918" s="242">
        <v>40389</v>
      </c>
      <c r="B918" s="107" t="s">
        <v>1700</v>
      </c>
      <c r="C918" s="107" t="s">
        <v>154</v>
      </c>
      <c r="D918" s="427" t="s">
        <v>837</v>
      </c>
      <c r="E918" s="107" t="str">
        <f>VLOOKUP(B918&amp;C918,Divipola!$C$2:$F$1138,4,FALSE)</f>
        <v>23068</v>
      </c>
      <c r="F918" s="330"/>
      <c r="G918" s="224"/>
      <c r="H918" s="75"/>
      <c r="I918" s="75"/>
      <c r="J918" s="75">
        <v>15140</v>
      </c>
      <c r="K918" s="75">
        <v>3500</v>
      </c>
      <c r="L918" s="75"/>
      <c r="M918" s="75">
        <v>3500</v>
      </c>
      <c r="N918" s="75">
        <v>1</v>
      </c>
      <c r="O918" s="75"/>
      <c r="P918" s="75"/>
      <c r="Q918" s="75"/>
      <c r="R918" s="75"/>
      <c r="S918" s="75"/>
      <c r="T918" s="75"/>
      <c r="U918" s="75"/>
      <c r="V918" s="76"/>
      <c r="W918" s="205"/>
      <c r="X918" s="1">
        <v>40410</v>
      </c>
      <c r="Y918" s="78">
        <f t="shared" si="119"/>
        <v>147178000</v>
      </c>
      <c r="Z918" s="78">
        <f t="shared" si="120"/>
        <v>170000000</v>
      </c>
      <c r="AA918" s="78">
        <f t="shared" si="124"/>
        <v>0</v>
      </c>
      <c r="AB918" s="78">
        <f t="shared" si="121"/>
        <v>0</v>
      </c>
      <c r="AC918" s="78">
        <f>200*62640</f>
        <v>12528000</v>
      </c>
      <c r="AD918" s="78">
        <v>0</v>
      </c>
      <c r="AE918" s="80">
        <f t="shared" si="123"/>
        <v>329706000</v>
      </c>
      <c r="AF918" s="82">
        <v>0</v>
      </c>
      <c r="AG918" s="69">
        <v>40392</v>
      </c>
      <c r="AH918" s="84">
        <v>38767</v>
      </c>
      <c r="AI918" s="69" t="s">
        <v>2009</v>
      </c>
      <c r="AJ918" s="25" t="s">
        <v>2010</v>
      </c>
      <c r="AK918" s="88" t="s">
        <v>1509</v>
      </c>
      <c r="AL918" s="185" t="s">
        <v>1831</v>
      </c>
      <c r="AM918" s="85" t="s">
        <v>1510</v>
      </c>
      <c r="AN918" s="3"/>
      <c r="AO918" s="4"/>
      <c r="AP918" s="5"/>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6">
        <f>500+1500</f>
        <v>2000</v>
      </c>
      <c r="CQ918" s="7">
        <f>500*38500+1500*36952</f>
        <v>74678000</v>
      </c>
      <c r="CR918" s="6">
        <f>500+1500</f>
        <v>2000</v>
      </c>
      <c r="CS918" s="7">
        <f>500*37000+1500*36000</f>
        <v>72500000</v>
      </c>
      <c r="CT918" s="6"/>
      <c r="CU918" s="7"/>
      <c r="CV918" s="8">
        <f t="shared" si="122"/>
        <v>147178000</v>
      </c>
      <c r="CW918" s="9"/>
      <c r="CX918" s="10"/>
      <c r="CY918" s="11">
        <f>500+1500</f>
        <v>2000</v>
      </c>
      <c r="CZ918" s="12">
        <f>500*85000+1500*85000</f>
        <v>170000000</v>
      </c>
      <c r="DA918" s="29"/>
      <c r="DB918" s="12"/>
      <c r="DC918" s="9"/>
      <c r="DD918" s="10"/>
      <c r="DE918" s="71"/>
      <c r="EO918" s="353" t="str">
        <f t="shared" si="115"/>
        <v>CORDOBA_AYAPEL</v>
      </c>
      <c r="EP918" s="350"/>
      <c r="EQ918" s="350" t="s">
        <v>4535</v>
      </c>
      <c r="ER918" s="358" t="s">
        <v>4536</v>
      </c>
      <c r="ES918" s="350" t="s">
        <v>5598</v>
      </c>
      <c r="ET918" s="350" t="s">
        <v>3540</v>
      </c>
      <c r="EU918" s="350" t="str">
        <f t="shared" si="118"/>
        <v>Santander_Socorro</v>
      </c>
    </row>
    <row r="919" spans="1:151" ht="33.75" x14ac:dyDescent="0.2">
      <c r="A919" s="242">
        <v>40389</v>
      </c>
      <c r="B919" s="107" t="s">
        <v>1700</v>
      </c>
      <c r="C919" s="107" t="s">
        <v>1046</v>
      </c>
      <c r="D919" s="427" t="s">
        <v>837</v>
      </c>
      <c r="E919" s="107" t="str">
        <f>VLOOKUP(B919&amp;C919,Divipola!$C$2:$F$1138,4,FALSE)</f>
        <v>23162</v>
      </c>
      <c r="F919" s="330"/>
      <c r="G919" s="224"/>
      <c r="H919" s="75"/>
      <c r="I919" s="75"/>
      <c r="J919" s="75">
        <f>13050-7332</f>
        <v>5718</v>
      </c>
      <c r="K919" s="75">
        <f>4952-2444</f>
        <v>2508</v>
      </c>
      <c r="L919" s="75"/>
      <c r="M919" s="75">
        <v>2508</v>
      </c>
      <c r="N919" s="75"/>
      <c r="O919" s="75"/>
      <c r="P919" s="75"/>
      <c r="Q919" s="75"/>
      <c r="R919" s="75"/>
      <c r="S919" s="75"/>
      <c r="T919" s="75"/>
      <c r="U919" s="75"/>
      <c r="V919" s="76"/>
      <c r="W919" s="205"/>
      <c r="X919" s="1"/>
      <c r="Y919" s="78">
        <f t="shared" si="119"/>
        <v>30484998.399999999</v>
      </c>
      <c r="Z919" s="78">
        <f t="shared" si="120"/>
        <v>903975000</v>
      </c>
      <c r="AA919" s="78">
        <f t="shared" si="124"/>
        <v>0</v>
      </c>
      <c r="AB919" s="78">
        <f t="shared" si="121"/>
        <v>0</v>
      </c>
      <c r="AC919" s="78"/>
      <c r="AD919" s="78">
        <v>0</v>
      </c>
      <c r="AE919" s="80">
        <f t="shared" si="123"/>
        <v>934459998.39999998</v>
      </c>
      <c r="AF919" s="82">
        <v>0</v>
      </c>
      <c r="AG919" s="69">
        <v>40392</v>
      </c>
      <c r="AH919" s="84"/>
      <c r="AI919" s="69" t="s">
        <v>2009</v>
      </c>
      <c r="AJ919" s="25" t="s">
        <v>2010</v>
      </c>
      <c r="AK919" s="88" t="s">
        <v>2284</v>
      </c>
      <c r="AL919" s="185" t="s">
        <v>1831</v>
      </c>
      <c r="AM919" s="85" t="s">
        <v>935</v>
      </c>
      <c r="AN919" s="3"/>
      <c r="AO919" s="4"/>
      <c r="AP919" s="5"/>
      <c r="AQ919" s="4"/>
      <c r="AR919" s="4"/>
      <c r="AS919" s="4"/>
      <c r="AT919" s="4"/>
      <c r="AU919" s="4"/>
      <c r="AV919" s="4"/>
      <c r="AW919" s="4"/>
      <c r="AX919" s="4"/>
      <c r="AY919" s="4"/>
      <c r="AZ919" s="4">
        <v>500</v>
      </c>
      <c r="BA919" s="4">
        <f>500*56000</f>
        <v>28000000</v>
      </c>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v>5</v>
      </c>
      <c r="CA919" s="4">
        <f>5*496999.68</f>
        <v>2484998.4</v>
      </c>
      <c r="CB919" s="4"/>
      <c r="CC919" s="4"/>
      <c r="CD919" s="4"/>
      <c r="CE919" s="4"/>
      <c r="CF919" s="4"/>
      <c r="CG919" s="4"/>
      <c r="CH919" s="4"/>
      <c r="CI919" s="4"/>
      <c r="CJ919" s="4"/>
      <c r="CK919" s="4"/>
      <c r="CL919" s="4"/>
      <c r="CM919" s="4"/>
      <c r="CN919" s="4"/>
      <c r="CO919" s="4"/>
      <c r="CP919" s="6"/>
      <c r="CQ919" s="7"/>
      <c r="CR919" s="6"/>
      <c r="CS919" s="7"/>
      <c r="CT919" s="6"/>
      <c r="CU919" s="7"/>
      <c r="CV919" s="8">
        <f t="shared" si="122"/>
        <v>30484998.399999999</v>
      </c>
      <c r="CW919" s="9"/>
      <c r="CX919" s="10"/>
      <c r="CY919" s="11">
        <f>200+4300+6135</f>
        <v>10635</v>
      </c>
      <c r="CZ919" s="12">
        <f>200*85000+4300*85000+6135*85000</f>
        <v>903975000</v>
      </c>
      <c r="DA919" s="29"/>
      <c r="DB919" s="12"/>
      <c r="DC919" s="9"/>
      <c r="DD919" s="10"/>
      <c r="DE919" s="71"/>
      <c r="EO919" s="353" t="str">
        <f t="shared" si="115"/>
        <v>CORDOBA_CERETE</v>
      </c>
      <c r="EP919" s="350"/>
      <c r="EQ919" s="350" t="s">
        <v>4535</v>
      </c>
      <c r="ER919" s="358" t="s">
        <v>4536</v>
      </c>
      <c r="ES919" s="350" t="s">
        <v>5599</v>
      </c>
      <c r="ET919" s="350" t="s">
        <v>3541</v>
      </c>
      <c r="EU919" s="350" t="str">
        <f t="shared" si="118"/>
        <v>Santander_Suaita</v>
      </c>
    </row>
    <row r="920" spans="1:151" ht="132" x14ac:dyDescent="0.2">
      <c r="A920" s="242">
        <v>40389</v>
      </c>
      <c r="B920" s="107" t="s">
        <v>1700</v>
      </c>
      <c r="C920" s="107" t="s">
        <v>830</v>
      </c>
      <c r="D920" s="427" t="s">
        <v>837</v>
      </c>
      <c r="E920" s="107" t="str">
        <f>VLOOKUP(B920&amp;C920,Divipola!$C$2:$F$1138,4,FALSE)</f>
        <v>23580</v>
      </c>
      <c r="F920" s="330"/>
      <c r="G920" s="224"/>
      <c r="H920" s="75"/>
      <c r="I920" s="75"/>
      <c r="J920" s="75">
        <v>4045</v>
      </c>
      <c r="K920" s="75">
        <v>899</v>
      </c>
      <c r="L920" s="75"/>
      <c r="M920" s="75">
        <v>899</v>
      </c>
      <c r="N920" s="75"/>
      <c r="O920" s="75"/>
      <c r="P920" s="75"/>
      <c r="Q920" s="75"/>
      <c r="R920" s="75"/>
      <c r="S920" s="75"/>
      <c r="T920" s="75"/>
      <c r="U920" s="75"/>
      <c r="V920" s="76"/>
      <c r="W920" s="205"/>
      <c r="X920" s="1">
        <v>40437</v>
      </c>
      <c r="Y920" s="78">
        <f t="shared" si="119"/>
        <v>10257840</v>
      </c>
      <c r="Z920" s="78">
        <f t="shared" si="120"/>
        <v>91973831</v>
      </c>
      <c r="AA920" s="78">
        <f t="shared" si="124"/>
        <v>0</v>
      </c>
      <c r="AB920" s="78">
        <f t="shared" si="121"/>
        <v>0</v>
      </c>
      <c r="AC920" s="78"/>
      <c r="AD920" s="78">
        <v>0</v>
      </c>
      <c r="AE920" s="80">
        <f t="shared" si="123"/>
        <v>102231671</v>
      </c>
      <c r="AF920" s="82">
        <v>0</v>
      </c>
      <c r="AG920" s="69">
        <v>40392</v>
      </c>
      <c r="AH920" s="84">
        <v>38767</v>
      </c>
      <c r="AI920" s="69" t="s">
        <v>2009</v>
      </c>
      <c r="AJ920" s="25" t="s">
        <v>2010</v>
      </c>
      <c r="AK920" s="88" t="s">
        <v>2168</v>
      </c>
      <c r="AL920" s="185" t="s">
        <v>2182</v>
      </c>
      <c r="AM920" s="181" t="s">
        <v>687</v>
      </c>
      <c r="AN920" s="3"/>
      <c r="AO920" s="4"/>
      <c r="AP920" s="5"/>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v>2</v>
      </c>
      <c r="CA920" s="4">
        <f>2*504000</f>
        <v>1008000</v>
      </c>
      <c r="CB920" s="4"/>
      <c r="CC920" s="4"/>
      <c r="CD920" s="4"/>
      <c r="CE920" s="4"/>
      <c r="CF920" s="4"/>
      <c r="CG920" s="4"/>
      <c r="CH920" s="4"/>
      <c r="CI920" s="4"/>
      <c r="CJ920" s="4"/>
      <c r="CK920" s="4"/>
      <c r="CL920" s="4"/>
      <c r="CM920" s="4"/>
      <c r="CN920" s="4"/>
      <c r="CO920" s="4"/>
      <c r="CP920" s="6">
        <v>250</v>
      </c>
      <c r="CQ920" s="7">
        <f>250*36999.36</f>
        <v>9249840</v>
      </c>
      <c r="CR920" s="6"/>
      <c r="CS920" s="7"/>
      <c r="CT920" s="6"/>
      <c r="CU920" s="7"/>
      <c r="CV920" s="8">
        <f t="shared" si="122"/>
        <v>10257840</v>
      </c>
      <c r="CW920" s="9"/>
      <c r="CX920" s="10"/>
      <c r="CY920" s="11">
        <f>250+416</f>
        <v>666</v>
      </c>
      <c r="CZ920" s="12">
        <f>250*85000+416*85000+416*85000+3831</f>
        <v>91973831</v>
      </c>
      <c r="DA920" s="29"/>
      <c r="DB920" s="12"/>
      <c r="DC920" s="9"/>
      <c r="DD920" s="10"/>
      <c r="DE920" s="71"/>
      <c r="EO920" s="353" t="str">
        <f t="shared" si="115"/>
        <v>CORDOBA_PUERTO LIBERTADOR</v>
      </c>
      <c r="EP920" s="350"/>
      <c r="EQ920" s="350" t="s">
        <v>4535</v>
      </c>
      <c r="ER920" s="358" t="s">
        <v>4536</v>
      </c>
      <c r="ES920" s="350" t="s">
        <v>5600</v>
      </c>
      <c r="ET920" s="350" t="s">
        <v>4572</v>
      </c>
      <c r="EU920" s="350" t="str">
        <f t="shared" si="118"/>
        <v>Santander_Sucre</v>
      </c>
    </row>
    <row r="921" spans="1:151" ht="156" x14ac:dyDescent="0.2">
      <c r="A921" s="242">
        <v>40389</v>
      </c>
      <c r="B921" s="107" t="s">
        <v>1700</v>
      </c>
      <c r="C921" s="107" t="s">
        <v>1045</v>
      </c>
      <c r="D921" s="427" t="s">
        <v>837</v>
      </c>
      <c r="E921" s="107" t="str">
        <f>VLOOKUP(B921&amp;C921,Divipola!$C$2:$F$1138,4,FALSE)</f>
        <v>23807</v>
      </c>
      <c r="F921" s="330"/>
      <c r="G921" s="224"/>
      <c r="H921" s="75"/>
      <c r="I921" s="75"/>
      <c r="J921" s="75">
        <f>562*5</f>
        <v>2810</v>
      </c>
      <c r="K921" s="75">
        <v>562</v>
      </c>
      <c r="L921" s="75"/>
      <c r="M921" s="75">
        <v>562</v>
      </c>
      <c r="N921" s="75"/>
      <c r="O921" s="75"/>
      <c r="P921" s="75"/>
      <c r="Q921" s="75"/>
      <c r="R921" s="75"/>
      <c r="S921" s="75"/>
      <c r="T921" s="75"/>
      <c r="U921" s="75"/>
      <c r="V921" s="76"/>
      <c r="W921" s="205"/>
      <c r="X921" s="1"/>
      <c r="Y921" s="78">
        <f t="shared" si="119"/>
        <v>0</v>
      </c>
      <c r="Z921" s="78">
        <f t="shared" si="120"/>
        <v>47770000</v>
      </c>
      <c r="AA921" s="78">
        <f t="shared" si="124"/>
        <v>0</v>
      </c>
      <c r="AB921" s="78">
        <f t="shared" si="121"/>
        <v>0</v>
      </c>
      <c r="AC921" s="78"/>
      <c r="AD921" s="78">
        <v>0</v>
      </c>
      <c r="AE921" s="80">
        <f t="shared" si="123"/>
        <v>47770000</v>
      </c>
      <c r="AF921" s="82">
        <v>0</v>
      </c>
      <c r="AG921" s="69">
        <v>40392</v>
      </c>
      <c r="AH921" s="84"/>
      <c r="AI921" s="69" t="s">
        <v>2009</v>
      </c>
      <c r="AJ921" s="25" t="s">
        <v>2010</v>
      </c>
      <c r="AK921" s="65"/>
      <c r="AL921" s="185" t="s">
        <v>2182</v>
      </c>
      <c r="AM921" s="181" t="s">
        <v>691</v>
      </c>
      <c r="AN921" s="3"/>
      <c r="AO921" s="4"/>
      <c r="AP921" s="5"/>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6"/>
      <c r="CQ921" s="7"/>
      <c r="CR921" s="6"/>
      <c r="CS921" s="7"/>
      <c r="CT921" s="6"/>
      <c r="CU921" s="7"/>
      <c r="CV921" s="8">
        <f t="shared" si="122"/>
        <v>0</v>
      </c>
      <c r="CW921" s="9"/>
      <c r="CX921" s="10"/>
      <c r="CY921" s="11">
        <v>562</v>
      </c>
      <c r="CZ921" s="12">
        <f>562*85000</f>
        <v>47770000</v>
      </c>
      <c r="DA921" s="29"/>
      <c r="DB921" s="12"/>
      <c r="DC921" s="9"/>
      <c r="DD921" s="10"/>
      <c r="DE921" s="71"/>
      <c r="DF921" s="23">
        <v>1196</v>
      </c>
      <c r="EO921" s="353" t="str">
        <f t="shared" si="115"/>
        <v>CORDOBA_TIERRALTA</v>
      </c>
      <c r="EP921" s="350"/>
      <c r="EQ921" s="350" t="s">
        <v>4535</v>
      </c>
      <c r="ER921" s="358" t="s">
        <v>4536</v>
      </c>
      <c r="ES921" s="350" t="s">
        <v>5601</v>
      </c>
      <c r="ET921" s="350" t="s">
        <v>3542</v>
      </c>
      <c r="EU921" s="350" t="str">
        <f t="shared" si="118"/>
        <v>Santander_Surata</v>
      </c>
    </row>
    <row r="922" spans="1:151" ht="36" x14ac:dyDescent="0.2">
      <c r="A922" s="242">
        <v>40389</v>
      </c>
      <c r="B922" s="107" t="s">
        <v>2014</v>
      </c>
      <c r="C922" s="107" t="s">
        <v>1033</v>
      </c>
      <c r="D922" s="427" t="s">
        <v>2307</v>
      </c>
      <c r="E922" s="107" t="str">
        <f>VLOOKUP(B922&amp;C922,Divipola!$C$2:$F$1138,4,FALSE)</f>
        <v>63130</v>
      </c>
      <c r="F922" s="330"/>
      <c r="G922" s="224"/>
      <c r="H922" s="75">
        <v>3</v>
      </c>
      <c r="I922" s="75"/>
      <c r="J922" s="75"/>
      <c r="K922" s="75"/>
      <c r="L922" s="75"/>
      <c r="M922" s="75"/>
      <c r="N922" s="75">
        <v>1</v>
      </c>
      <c r="O922" s="75"/>
      <c r="P922" s="75"/>
      <c r="Q922" s="75"/>
      <c r="R922" s="75"/>
      <c r="S922" s="75"/>
      <c r="T922" s="75"/>
      <c r="U922" s="75"/>
      <c r="V922" s="76"/>
      <c r="W922" s="205"/>
      <c r="X922" s="1"/>
      <c r="Y922" s="78">
        <f t="shared" si="119"/>
        <v>0</v>
      </c>
      <c r="Z922" s="78">
        <f t="shared" si="120"/>
        <v>0</v>
      </c>
      <c r="AA922" s="78">
        <f t="shared" si="124"/>
        <v>0</v>
      </c>
      <c r="AB922" s="78">
        <f t="shared" si="121"/>
        <v>0</v>
      </c>
      <c r="AC922" s="78"/>
      <c r="AD922" s="78">
        <v>0</v>
      </c>
      <c r="AE922" s="80">
        <f t="shared" si="123"/>
        <v>0</v>
      </c>
      <c r="AF922" s="82">
        <v>0</v>
      </c>
      <c r="AG922" s="69">
        <v>40392</v>
      </c>
      <c r="AH922" s="84"/>
      <c r="AI922" s="69" t="s">
        <v>1984</v>
      </c>
      <c r="AJ922" s="25" t="s">
        <v>1985</v>
      </c>
      <c r="AK922" s="65"/>
      <c r="AL922" s="185" t="s">
        <v>1257</v>
      </c>
      <c r="AM922" s="85" t="s">
        <v>1034</v>
      </c>
      <c r="AN922" s="3"/>
      <c r="AO922" s="4"/>
      <c r="AP922" s="5"/>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6"/>
      <c r="CQ922" s="7"/>
      <c r="CR922" s="6"/>
      <c r="CS922" s="7"/>
      <c r="CT922" s="6"/>
      <c r="CU922" s="7"/>
      <c r="CV922" s="8">
        <f t="shared" si="122"/>
        <v>0</v>
      </c>
      <c r="CW922" s="9"/>
      <c r="CX922" s="10"/>
      <c r="CY922" s="11"/>
      <c r="CZ922" s="12"/>
      <c r="DA922" s="29"/>
      <c r="DB922" s="12"/>
      <c r="DC922" s="9"/>
      <c r="DD922" s="10"/>
      <c r="DE922" s="71"/>
      <c r="EO922" s="353" t="str">
        <f t="shared" ref="EO922:EO985" si="125">B922&amp;"_"&amp;C922</f>
        <v>QUINDIO_CALARCA</v>
      </c>
      <c r="EP922" s="350"/>
      <c r="EQ922" s="350" t="s">
        <v>4535</v>
      </c>
      <c r="ER922" s="358" t="s">
        <v>4536</v>
      </c>
      <c r="ES922" s="350" t="s">
        <v>5602</v>
      </c>
      <c r="ET922" s="350" t="s">
        <v>3543</v>
      </c>
      <c r="EU922" s="350" t="str">
        <f t="shared" si="118"/>
        <v>Santander_Tona</v>
      </c>
    </row>
    <row r="923" spans="1:151" ht="38.25" x14ac:dyDescent="0.2">
      <c r="A923" s="242">
        <v>40389</v>
      </c>
      <c r="B923" s="107" t="s">
        <v>2427</v>
      </c>
      <c r="C923" s="107" t="s">
        <v>628</v>
      </c>
      <c r="D923" s="427" t="s">
        <v>1721</v>
      </c>
      <c r="E923" s="107" t="str">
        <f>VLOOKUP(B923&amp;C923,Divipola!$C$2:$F$1138,4,FALSE)</f>
        <v>68001</v>
      </c>
      <c r="F923" s="330"/>
      <c r="G923" s="224"/>
      <c r="H923" s="75"/>
      <c r="I923" s="75"/>
      <c r="J923" s="75"/>
      <c r="K923" s="75"/>
      <c r="L923" s="75"/>
      <c r="M923" s="75"/>
      <c r="N923" s="75"/>
      <c r="O923" s="75"/>
      <c r="P923" s="75"/>
      <c r="Q923" s="75"/>
      <c r="R923" s="75"/>
      <c r="S923" s="75"/>
      <c r="T923" s="75"/>
      <c r="U923" s="75"/>
      <c r="V923" s="76"/>
      <c r="W923" s="205" t="s">
        <v>1035</v>
      </c>
      <c r="X923" s="1"/>
      <c r="Y923" s="78">
        <f t="shared" si="119"/>
        <v>0</v>
      </c>
      <c r="Z923" s="78">
        <f t="shared" si="120"/>
        <v>0</v>
      </c>
      <c r="AA923" s="78">
        <f t="shared" si="124"/>
        <v>0</v>
      </c>
      <c r="AB923" s="78">
        <f t="shared" si="121"/>
        <v>0</v>
      </c>
      <c r="AC923" s="78"/>
      <c r="AD923" s="78">
        <v>0</v>
      </c>
      <c r="AE923" s="80">
        <f t="shared" si="123"/>
        <v>0</v>
      </c>
      <c r="AF923" s="82">
        <v>0</v>
      </c>
      <c r="AG923" s="69">
        <v>40392</v>
      </c>
      <c r="AH923" s="84"/>
      <c r="AI923" s="69" t="s">
        <v>1984</v>
      </c>
      <c r="AJ923" s="25" t="s">
        <v>1985</v>
      </c>
      <c r="AK923" s="65"/>
      <c r="AL923" s="185" t="s">
        <v>1257</v>
      </c>
      <c r="AM923" s="85" t="s">
        <v>1036</v>
      </c>
      <c r="AN923" s="3"/>
      <c r="AO923" s="4"/>
      <c r="AP923" s="5"/>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6"/>
      <c r="CQ923" s="7"/>
      <c r="CR923" s="6"/>
      <c r="CS923" s="7"/>
      <c r="CT923" s="6"/>
      <c r="CU923" s="7"/>
      <c r="CV923" s="8">
        <f t="shared" si="122"/>
        <v>0</v>
      </c>
      <c r="CW923" s="9"/>
      <c r="CX923" s="10"/>
      <c r="CY923" s="11"/>
      <c r="CZ923" s="12"/>
      <c r="DA923" s="29"/>
      <c r="DB923" s="12"/>
      <c r="DC923" s="9"/>
      <c r="DD923" s="10"/>
      <c r="DE923" s="71"/>
      <c r="EO923" s="353" t="str">
        <f t="shared" si="125"/>
        <v>SANTANDER_BUCARAMANGA</v>
      </c>
      <c r="EP923" s="350"/>
      <c r="EQ923" s="350" t="s">
        <v>4535</v>
      </c>
      <c r="ER923" s="358" t="s">
        <v>4536</v>
      </c>
      <c r="ES923" s="350" t="s">
        <v>5603</v>
      </c>
      <c r="ET923" s="350" t="s">
        <v>3544</v>
      </c>
      <c r="EU923" s="350" t="str">
        <f t="shared" si="118"/>
        <v>Santander_Valle de San Jose</v>
      </c>
    </row>
    <row r="924" spans="1:151" ht="48" x14ac:dyDescent="0.2">
      <c r="A924" s="242">
        <v>40389</v>
      </c>
      <c r="B924" s="107" t="s">
        <v>2427</v>
      </c>
      <c r="C924" s="107" t="s">
        <v>1273</v>
      </c>
      <c r="D924" s="427" t="s">
        <v>837</v>
      </c>
      <c r="E924" s="107" t="str">
        <f>VLOOKUP(B924&amp;C924,Divipola!$C$2:$F$1138,4,FALSE)</f>
        <v>68745</v>
      </c>
      <c r="F924" s="330"/>
      <c r="G924" s="277"/>
      <c r="H924" s="75"/>
      <c r="I924" s="75"/>
      <c r="J924" s="75">
        <v>98</v>
      </c>
      <c r="K924" s="75">
        <v>18</v>
      </c>
      <c r="L924" s="75"/>
      <c r="M924" s="75">
        <v>18</v>
      </c>
      <c r="N924" s="75"/>
      <c r="O924" s="75">
        <v>1</v>
      </c>
      <c r="P924" s="75"/>
      <c r="Q924" s="75"/>
      <c r="R924" s="75"/>
      <c r="S924" s="75"/>
      <c r="T924" s="75"/>
      <c r="U924" s="75">
        <v>1</v>
      </c>
      <c r="V924" s="76"/>
      <c r="W924" s="205"/>
      <c r="X924" s="1"/>
      <c r="Y924" s="78">
        <f t="shared" si="119"/>
        <v>0</v>
      </c>
      <c r="Z924" s="78">
        <f t="shared" si="120"/>
        <v>0</v>
      </c>
      <c r="AA924" s="78">
        <f t="shared" si="124"/>
        <v>0</v>
      </c>
      <c r="AB924" s="78">
        <f t="shared" si="121"/>
        <v>0</v>
      </c>
      <c r="AC924" s="78"/>
      <c r="AD924" s="78">
        <v>0</v>
      </c>
      <c r="AE924" s="80">
        <f t="shared" si="123"/>
        <v>0</v>
      </c>
      <c r="AF924" s="82">
        <v>0</v>
      </c>
      <c r="AG924" s="69">
        <v>40392</v>
      </c>
      <c r="AH924" s="84">
        <v>38584</v>
      </c>
      <c r="AI924" s="69" t="s">
        <v>2009</v>
      </c>
      <c r="AJ924" s="25" t="s">
        <v>2010</v>
      </c>
      <c r="AK924" s="65"/>
      <c r="AL924" s="214" t="s">
        <v>1183</v>
      </c>
      <c r="AM924" s="85" t="s">
        <v>1038</v>
      </c>
      <c r="AN924" s="3"/>
      <c r="AO924" s="4"/>
      <c r="AP924" s="5"/>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6"/>
      <c r="CQ924" s="7"/>
      <c r="CR924" s="6"/>
      <c r="CS924" s="7"/>
      <c r="CT924" s="6"/>
      <c r="CU924" s="7"/>
      <c r="CV924" s="8">
        <f t="shared" si="122"/>
        <v>0</v>
      </c>
      <c r="CW924" s="9"/>
      <c r="CX924" s="10"/>
      <c r="CY924" s="11"/>
      <c r="CZ924" s="12"/>
      <c r="DA924" s="29"/>
      <c r="DB924" s="12"/>
      <c r="DC924" s="9"/>
      <c r="DD924" s="10"/>
      <c r="DE924" s="71"/>
      <c r="EO924" s="353" t="str">
        <f t="shared" si="125"/>
        <v>SANTANDER_SIMACOTA</v>
      </c>
      <c r="EP924" s="350"/>
      <c r="EQ924" s="350" t="s">
        <v>4535</v>
      </c>
      <c r="ER924" s="358" t="s">
        <v>4536</v>
      </c>
      <c r="ES924" s="350" t="s">
        <v>5604</v>
      </c>
      <c r="ET924" s="350" t="s">
        <v>3545</v>
      </c>
      <c r="EU924" s="350" t="str">
        <f t="shared" si="118"/>
        <v>Santander_Velez</v>
      </c>
    </row>
    <row r="925" spans="1:151" ht="25.5" x14ac:dyDescent="0.2">
      <c r="A925" s="246">
        <v>40390</v>
      </c>
      <c r="B925" s="238" t="s">
        <v>2401</v>
      </c>
      <c r="C925" s="238" t="s">
        <v>3125</v>
      </c>
      <c r="D925" s="431" t="s">
        <v>837</v>
      </c>
      <c r="E925" s="107" t="str">
        <f>VLOOKUP(B925&amp;C925,Divipola!$C$2:$F$1138,4,FALSE)</f>
        <v>05284</v>
      </c>
      <c r="F925" s="334"/>
      <c r="G925" s="224"/>
      <c r="H925" s="75"/>
      <c r="I925" s="75"/>
      <c r="J925" s="75">
        <v>56</v>
      </c>
      <c r="K925" s="75">
        <v>9</v>
      </c>
      <c r="L925" s="75"/>
      <c r="M925" s="75">
        <v>7</v>
      </c>
      <c r="N925" s="75"/>
      <c r="O925" s="75"/>
      <c r="P925" s="75"/>
      <c r="Q925" s="75"/>
      <c r="R925" s="75"/>
      <c r="S925" s="75"/>
      <c r="T925" s="75"/>
      <c r="U925" s="75"/>
      <c r="V925" s="76"/>
      <c r="W925" s="205"/>
      <c r="X925" s="1"/>
      <c r="Y925" s="78">
        <f t="shared" si="119"/>
        <v>0</v>
      </c>
      <c r="Z925" s="78">
        <f t="shared" si="120"/>
        <v>0</v>
      </c>
      <c r="AA925" s="78">
        <f t="shared" si="124"/>
        <v>0</v>
      </c>
      <c r="AB925" s="78">
        <f t="shared" si="121"/>
        <v>0</v>
      </c>
      <c r="AC925" s="78"/>
      <c r="AD925" s="78">
        <v>0</v>
      </c>
      <c r="AE925" s="80">
        <f t="shared" si="123"/>
        <v>0</v>
      </c>
      <c r="AF925" s="82">
        <v>0</v>
      </c>
      <c r="AG925" s="69">
        <v>40392</v>
      </c>
      <c r="AH925" s="84"/>
      <c r="AI925" s="69" t="s">
        <v>1984</v>
      </c>
      <c r="AJ925" s="25" t="s">
        <v>1985</v>
      </c>
      <c r="AK925" s="65"/>
      <c r="AL925" s="185" t="s">
        <v>1257</v>
      </c>
      <c r="AM925" s="85" t="s">
        <v>1052</v>
      </c>
      <c r="AN925" s="3"/>
      <c r="AO925" s="4"/>
      <c r="AP925" s="5"/>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6"/>
      <c r="CQ925" s="7"/>
      <c r="CR925" s="6"/>
      <c r="CS925" s="7"/>
      <c r="CT925" s="6"/>
      <c r="CU925" s="7"/>
      <c r="CV925" s="8">
        <f t="shared" si="122"/>
        <v>0</v>
      </c>
      <c r="CW925" s="9"/>
      <c r="CX925" s="10"/>
      <c r="CY925" s="11"/>
      <c r="CZ925" s="12"/>
      <c r="DA925" s="29"/>
      <c r="DB925" s="12"/>
      <c r="DC925" s="9"/>
      <c r="DD925" s="10"/>
      <c r="DE925" s="71"/>
      <c r="EO925" s="353" t="str">
        <f t="shared" si="125"/>
        <v>ANTIOQUIA_FRONTINO</v>
      </c>
      <c r="EP925" s="350"/>
      <c r="EQ925" s="350" t="s">
        <v>4535</v>
      </c>
      <c r="ER925" s="358" t="s">
        <v>4536</v>
      </c>
      <c r="ES925" s="350" t="s">
        <v>5605</v>
      </c>
      <c r="ET925" s="350" t="s">
        <v>3546</v>
      </c>
      <c r="EU925" s="350" t="str">
        <f t="shared" si="118"/>
        <v>Santander_Vetas</v>
      </c>
    </row>
    <row r="926" spans="1:151" ht="51" x14ac:dyDescent="0.2">
      <c r="A926" s="246">
        <v>40390</v>
      </c>
      <c r="B926" s="238" t="s">
        <v>2401</v>
      </c>
      <c r="C926" s="238" t="s">
        <v>1039</v>
      </c>
      <c r="D926" s="431" t="s">
        <v>837</v>
      </c>
      <c r="E926" s="107" t="str">
        <f>VLOOKUP(B926&amp;C926,Divipola!$C$2:$F$1138,4,FALSE)</f>
        <v>05042</v>
      </c>
      <c r="F926" s="334"/>
      <c r="G926" s="224"/>
      <c r="H926" s="75"/>
      <c r="I926" s="75"/>
      <c r="J926" s="75">
        <v>25</v>
      </c>
      <c r="K926" s="75">
        <v>5</v>
      </c>
      <c r="L926" s="75"/>
      <c r="M926" s="75">
        <v>3</v>
      </c>
      <c r="N926" s="75"/>
      <c r="O926" s="75"/>
      <c r="P926" s="75"/>
      <c r="Q926" s="75"/>
      <c r="R926" s="75"/>
      <c r="S926" s="75"/>
      <c r="T926" s="75"/>
      <c r="U926" s="75"/>
      <c r="V926" s="76"/>
      <c r="W926" s="205"/>
      <c r="X926" s="1"/>
      <c r="Y926" s="78">
        <f t="shared" si="119"/>
        <v>0</v>
      </c>
      <c r="Z926" s="78">
        <f t="shared" si="120"/>
        <v>0</v>
      </c>
      <c r="AA926" s="78">
        <f t="shared" si="124"/>
        <v>0</v>
      </c>
      <c r="AB926" s="78">
        <f t="shared" si="121"/>
        <v>0</v>
      </c>
      <c r="AC926" s="78"/>
      <c r="AD926" s="78">
        <v>0</v>
      </c>
      <c r="AE926" s="80">
        <f t="shared" si="123"/>
        <v>0</v>
      </c>
      <c r="AF926" s="82">
        <v>0</v>
      </c>
      <c r="AG926" s="69">
        <v>40392</v>
      </c>
      <c r="AH926" s="84"/>
      <c r="AI926" s="69" t="s">
        <v>1984</v>
      </c>
      <c r="AJ926" s="25" t="s">
        <v>1985</v>
      </c>
      <c r="AK926" s="65"/>
      <c r="AL926" s="185" t="s">
        <v>1257</v>
      </c>
      <c r="AM926" s="85" t="s">
        <v>1040</v>
      </c>
      <c r="AN926" s="3"/>
      <c r="AO926" s="4"/>
      <c r="AP926" s="5"/>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6"/>
      <c r="CQ926" s="7"/>
      <c r="CR926" s="6"/>
      <c r="CS926" s="7"/>
      <c r="CT926" s="6"/>
      <c r="CU926" s="7"/>
      <c r="CV926" s="8">
        <f t="shared" si="122"/>
        <v>0</v>
      </c>
      <c r="CW926" s="9"/>
      <c r="CX926" s="10"/>
      <c r="CY926" s="11"/>
      <c r="CZ926" s="12"/>
      <c r="DA926" s="29"/>
      <c r="DB926" s="12"/>
      <c r="DC926" s="9"/>
      <c r="DD926" s="10"/>
      <c r="DE926" s="71"/>
      <c r="EO926" s="353" t="str">
        <f t="shared" si="125"/>
        <v>ANTIOQUIA_SANTAFE DE ANTIOQUIA</v>
      </c>
      <c r="EP926" s="350"/>
      <c r="EQ926" s="350" t="s">
        <v>4535</v>
      </c>
      <c r="ER926" s="358" t="s">
        <v>4536</v>
      </c>
      <c r="ES926" s="350" t="s">
        <v>5606</v>
      </c>
      <c r="ET926" s="350" t="s">
        <v>6019</v>
      </c>
      <c r="EU926" s="350" t="str">
        <f t="shared" si="118"/>
        <v>Santander_Villanueva</v>
      </c>
    </row>
    <row r="927" spans="1:151" ht="84" x14ac:dyDescent="0.2">
      <c r="A927" s="242">
        <v>40390</v>
      </c>
      <c r="B927" s="107" t="s">
        <v>2017</v>
      </c>
      <c r="C927" s="107" t="s">
        <v>2795</v>
      </c>
      <c r="D927" s="427" t="s">
        <v>837</v>
      </c>
      <c r="E927" s="107" t="str">
        <f>VLOOKUP(B927&amp;C927,Divipola!$C$2:$F$1138,4,FALSE)</f>
        <v>13030</v>
      </c>
      <c r="F927" s="330"/>
      <c r="G927" s="224"/>
      <c r="H927" s="75"/>
      <c r="I927" s="75"/>
      <c r="J927" s="75">
        <f>1186*5</f>
        <v>5930</v>
      </c>
      <c r="K927" s="75">
        <v>1186</v>
      </c>
      <c r="L927" s="75"/>
      <c r="M927" s="75">
        <v>1186</v>
      </c>
      <c r="N927" s="75"/>
      <c r="O927" s="75"/>
      <c r="P927" s="75"/>
      <c r="Q927" s="75"/>
      <c r="R927" s="75"/>
      <c r="S927" s="75"/>
      <c r="T927" s="75"/>
      <c r="U927" s="75"/>
      <c r="V927" s="76"/>
      <c r="W927" s="205"/>
      <c r="X927" s="1">
        <v>40415</v>
      </c>
      <c r="Y927" s="78">
        <f t="shared" si="119"/>
        <v>19656000</v>
      </c>
      <c r="Z927" s="78">
        <f t="shared" si="120"/>
        <v>0</v>
      </c>
      <c r="AA927" s="78">
        <f t="shared" si="124"/>
        <v>0</v>
      </c>
      <c r="AB927" s="78">
        <f t="shared" si="121"/>
        <v>0</v>
      </c>
      <c r="AC927" s="78"/>
      <c r="AD927" s="78">
        <v>0</v>
      </c>
      <c r="AE927" s="80">
        <f t="shared" si="123"/>
        <v>19656000</v>
      </c>
      <c r="AF927" s="82">
        <v>0</v>
      </c>
      <c r="AG927" s="69">
        <v>40395</v>
      </c>
      <c r="AH927" s="84">
        <v>38939</v>
      </c>
      <c r="AI927" s="69" t="s">
        <v>2009</v>
      </c>
      <c r="AJ927" s="25" t="s">
        <v>2010</v>
      </c>
      <c r="AK927" s="88" t="s">
        <v>539</v>
      </c>
      <c r="AL927" s="185"/>
      <c r="AM927" s="85" t="s">
        <v>2796</v>
      </c>
      <c r="AN927" s="3"/>
      <c r="AO927" s="4"/>
      <c r="AP927" s="5"/>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f>500+592</f>
        <v>1092</v>
      </c>
      <c r="CO927" s="4">
        <f>500*18000+592*18000</f>
        <v>19656000</v>
      </c>
      <c r="CP927" s="6"/>
      <c r="CQ927" s="7"/>
      <c r="CR927" s="6"/>
      <c r="CS927" s="7"/>
      <c r="CT927" s="6"/>
      <c r="CU927" s="7"/>
      <c r="CV927" s="8">
        <f t="shared" si="122"/>
        <v>19656000</v>
      </c>
      <c r="CW927" s="9"/>
      <c r="CX927" s="10"/>
      <c r="CY927" s="11"/>
      <c r="CZ927" s="12"/>
      <c r="DA927" s="29"/>
      <c r="DB927" s="12"/>
      <c r="DC927" s="9"/>
      <c r="DD927" s="10"/>
      <c r="DE927" s="71"/>
      <c r="EO927" s="353" t="str">
        <f t="shared" si="125"/>
        <v>BOLIVAR_ALTOS DEL ROSARIO</v>
      </c>
      <c r="EP927" s="350"/>
      <c r="EQ927" s="350" t="s">
        <v>4535</v>
      </c>
      <c r="ER927" s="358" t="s">
        <v>4536</v>
      </c>
      <c r="ES927" s="350" t="s">
        <v>5607</v>
      </c>
      <c r="ET927" s="350" t="s">
        <v>3547</v>
      </c>
      <c r="EU927" s="350" t="str">
        <f t="shared" si="118"/>
        <v>Santander_Zapatoca</v>
      </c>
    </row>
    <row r="928" spans="1:151" ht="38.25" x14ac:dyDescent="0.2">
      <c r="A928" s="242">
        <v>40390</v>
      </c>
      <c r="B928" s="107" t="s">
        <v>2017</v>
      </c>
      <c r="C928" s="107" t="s">
        <v>1964</v>
      </c>
      <c r="D928" s="427" t="s">
        <v>837</v>
      </c>
      <c r="E928" s="107" t="str">
        <f>VLOOKUP(B928&amp;C928,Divipola!$C$2:$F$1138,4,FALSE)</f>
        <v>13074</v>
      </c>
      <c r="F928" s="330"/>
      <c r="G928" s="224"/>
      <c r="H928" s="75"/>
      <c r="I928" s="75"/>
      <c r="J928" s="75">
        <f>1787*5</f>
        <v>8935</v>
      </c>
      <c r="K928" s="75">
        <v>1787</v>
      </c>
      <c r="L928" s="75"/>
      <c r="M928" s="75">
        <v>1787</v>
      </c>
      <c r="N928" s="75"/>
      <c r="O928" s="75"/>
      <c r="P928" s="75"/>
      <c r="Q928" s="75"/>
      <c r="R928" s="75"/>
      <c r="S928" s="75"/>
      <c r="T928" s="75"/>
      <c r="U928" s="75"/>
      <c r="V928" s="76"/>
      <c r="W928" s="205"/>
      <c r="X928" s="1">
        <v>40415</v>
      </c>
      <c r="Y928" s="78">
        <f t="shared" si="119"/>
        <v>66538985</v>
      </c>
      <c r="Z928" s="78">
        <f t="shared" si="120"/>
        <v>98855000</v>
      </c>
      <c r="AA928" s="78">
        <f t="shared" si="124"/>
        <v>0</v>
      </c>
      <c r="AB928" s="78">
        <f t="shared" si="121"/>
        <v>0</v>
      </c>
      <c r="AC928" s="78"/>
      <c r="AD928" s="78">
        <v>0</v>
      </c>
      <c r="AE928" s="80">
        <f t="shared" si="123"/>
        <v>165393985</v>
      </c>
      <c r="AF928" s="82">
        <v>0</v>
      </c>
      <c r="AG928" s="69">
        <v>40395</v>
      </c>
      <c r="AH928" s="84">
        <v>38939</v>
      </c>
      <c r="AI928" s="69" t="s">
        <v>2009</v>
      </c>
      <c r="AJ928" s="25" t="s">
        <v>2010</v>
      </c>
      <c r="AK928" s="88" t="s">
        <v>2928</v>
      </c>
      <c r="AL928" s="185"/>
      <c r="AM928" s="87" t="s">
        <v>1268</v>
      </c>
      <c r="AN928" s="110"/>
      <c r="AO928" s="4"/>
      <c r="AP928" s="5"/>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f>600+573</f>
        <v>1173</v>
      </c>
      <c r="CO928" s="4">
        <f>600*18000+573*23000</f>
        <v>23979000</v>
      </c>
      <c r="CP928" s="6">
        <v>1163</v>
      </c>
      <c r="CQ928" s="7">
        <f>1163*36595</f>
        <v>42559985</v>
      </c>
      <c r="CR928" s="6"/>
      <c r="CS928" s="7"/>
      <c r="CT928" s="6"/>
      <c r="CU928" s="7"/>
      <c r="CV928" s="8">
        <f t="shared" si="122"/>
        <v>66538985</v>
      </c>
      <c r="CW928" s="9"/>
      <c r="CX928" s="10"/>
      <c r="CY928" s="11">
        <f>500+663</f>
        <v>1163</v>
      </c>
      <c r="CZ928" s="12">
        <f>500*85000+663*85000</f>
        <v>98855000</v>
      </c>
      <c r="DA928" s="29"/>
      <c r="DB928" s="12"/>
      <c r="DC928" s="9"/>
      <c r="DD928" s="10"/>
      <c r="DE928" s="71"/>
      <c r="EO928" s="353" t="str">
        <f t="shared" si="125"/>
        <v>BOLIVAR_BARRANCO DE LOBA</v>
      </c>
      <c r="EP928" s="350"/>
      <c r="EQ928" s="350" t="s">
        <v>4571</v>
      </c>
      <c r="ER928" s="358" t="s">
        <v>4572</v>
      </c>
      <c r="ES928" s="350" t="s">
        <v>5608</v>
      </c>
      <c r="ET928" s="350" t="s">
        <v>3548</v>
      </c>
      <c r="EU928" s="350" t="str">
        <f t="shared" si="118"/>
        <v>Sucre_Sincelejo</v>
      </c>
    </row>
    <row r="929" spans="1:151" ht="33.75" x14ac:dyDescent="0.2">
      <c r="A929" s="242">
        <v>40390</v>
      </c>
      <c r="B929" s="107" t="s">
        <v>2017</v>
      </c>
      <c r="C929" s="107" t="s">
        <v>1700</v>
      </c>
      <c r="D929" s="427" t="s">
        <v>837</v>
      </c>
      <c r="E929" s="107" t="str">
        <f>VLOOKUP(B929&amp;C929,Divipola!$C$2:$F$1138,4,FALSE)</f>
        <v>13212</v>
      </c>
      <c r="F929" s="330"/>
      <c r="G929" s="224"/>
      <c r="H929" s="75"/>
      <c r="I929" s="75"/>
      <c r="J929" s="75">
        <f>843*5</f>
        <v>4215</v>
      </c>
      <c r="K929" s="75">
        <v>843</v>
      </c>
      <c r="L929" s="75"/>
      <c r="M929" s="75">
        <v>843</v>
      </c>
      <c r="N929" s="75"/>
      <c r="O929" s="75"/>
      <c r="P929" s="75"/>
      <c r="Q929" s="75"/>
      <c r="R929" s="75"/>
      <c r="S929" s="75"/>
      <c r="T929" s="75"/>
      <c r="U929" s="75"/>
      <c r="V929" s="76">
        <v>600</v>
      </c>
      <c r="W929" s="205"/>
      <c r="X929" s="1">
        <v>40415</v>
      </c>
      <c r="Y929" s="78">
        <f t="shared" si="119"/>
        <v>172465000</v>
      </c>
      <c r="Z929" s="78">
        <f t="shared" si="120"/>
        <v>238425000</v>
      </c>
      <c r="AA929" s="78">
        <f t="shared" si="124"/>
        <v>0</v>
      </c>
      <c r="AB929" s="78">
        <f t="shared" si="121"/>
        <v>9048000</v>
      </c>
      <c r="AC929" s="78"/>
      <c r="AD929" s="78">
        <v>0</v>
      </c>
      <c r="AE929" s="80">
        <f t="shared" si="123"/>
        <v>419938000</v>
      </c>
      <c r="AF929" s="82">
        <v>0</v>
      </c>
      <c r="AG929" s="69">
        <v>40395</v>
      </c>
      <c r="AH929" s="94" t="s">
        <v>1178</v>
      </c>
      <c r="AI929" s="69" t="s">
        <v>2009</v>
      </c>
      <c r="AJ929" s="25" t="s">
        <v>2010</v>
      </c>
      <c r="AK929" s="88" t="s">
        <v>175</v>
      </c>
      <c r="AL929" s="185"/>
      <c r="AM929" s="85" t="s">
        <v>1893</v>
      </c>
      <c r="AN929" s="3"/>
      <c r="AO929" s="4"/>
      <c r="AP929" s="5"/>
      <c r="AQ929" s="4"/>
      <c r="AR929" s="4"/>
      <c r="AS929" s="4"/>
      <c r="AT929" s="4"/>
      <c r="AU929" s="4"/>
      <c r="AV929" s="4"/>
      <c r="AW929" s="4"/>
      <c r="AX929" s="4"/>
      <c r="AY929" s="4"/>
      <c r="AZ929" s="4">
        <v>300</v>
      </c>
      <c r="BA929" s="4">
        <f>300*56000</f>
        <v>16800000</v>
      </c>
      <c r="BB929" s="4"/>
      <c r="BC929" s="4"/>
      <c r="BD929" s="4"/>
      <c r="BE929" s="4"/>
      <c r="BF929" s="4"/>
      <c r="BG929" s="4"/>
      <c r="BH929" s="4"/>
      <c r="BI929" s="4"/>
      <c r="BJ929" s="4"/>
      <c r="BK929" s="4"/>
      <c r="BL929" s="4">
        <v>1375</v>
      </c>
      <c r="BM929" s="4">
        <f>1375*25500</f>
        <v>35062500</v>
      </c>
      <c r="BN929" s="4"/>
      <c r="BO929" s="4"/>
      <c r="BP929" s="4"/>
      <c r="BQ929" s="4"/>
      <c r="BR929" s="4"/>
      <c r="BS929" s="4"/>
      <c r="BT929" s="4"/>
      <c r="BU929" s="4"/>
      <c r="BV929" s="4"/>
      <c r="BW929" s="4"/>
      <c r="BX929" s="4"/>
      <c r="BY929" s="4"/>
      <c r="BZ929" s="4">
        <f>5+50</f>
        <v>55</v>
      </c>
      <c r="CA929" s="4">
        <f>5*470000+5*470000</f>
        <v>4700000</v>
      </c>
      <c r="CB929" s="4"/>
      <c r="CC929" s="4"/>
      <c r="CD929" s="4"/>
      <c r="CE929" s="4"/>
      <c r="CF929" s="4"/>
      <c r="CG929" s="4"/>
      <c r="CH929" s="4"/>
      <c r="CI929" s="4"/>
      <c r="CJ929" s="4">
        <v>300</v>
      </c>
      <c r="CK929" s="4">
        <f>300*21000</f>
        <v>6300000</v>
      </c>
      <c r="CL929" s="4"/>
      <c r="CM929" s="4"/>
      <c r="CN929" s="4">
        <v>230</v>
      </c>
      <c r="CO929" s="4">
        <f>230*18000</f>
        <v>4140000</v>
      </c>
      <c r="CP929" s="6">
        <v>1375</v>
      </c>
      <c r="CQ929" s="7">
        <f>1375*37000</f>
        <v>50875000</v>
      </c>
      <c r="CR929" s="6">
        <v>1375</v>
      </c>
      <c r="CS929" s="7">
        <f>1375*39700</f>
        <v>54587500</v>
      </c>
      <c r="CT929" s="6"/>
      <c r="CU929" s="7"/>
      <c r="CV929" s="8">
        <f t="shared" si="122"/>
        <v>172465000</v>
      </c>
      <c r="CW929" s="9">
        <v>10000</v>
      </c>
      <c r="CX929" s="10">
        <f>10000*904.8</f>
        <v>9048000</v>
      </c>
      <c r="CY929" s="11">
        <f>230+1200+1375</f>
        <v>2805</v>
      </c>
      <c r="CZ929" s="12">
        <f>230*85000+1200*85000+1375*85000</f>
        <v>238425000</v>
      </c>
      <c r="DA929" s="29"/>
      <c r="DB929" s="12"/>
      <c r="DC929" s="9"/>
      <c r="DD929" s="10"/>
      <c r="DE929" s="71"/>
      <c r="EO929" s="353" t="str">
        <f t="shared" si="125"/>
        <v>BOLIVAR_CORDOBA</v>
      </c>
      <c r="EP929" s="350"/>
      <c r="EQ929" s="350" t="s">
        <v>4571</v>
      </c>
      <c r="ER929" s="358" t="s">
        <v>4572</v>
      </c>
      <c r="ES929" s="350" t="s">
        <v>5609</v>
      </c>
      <c r="ET929" s="350" t="s">
        <v>6030</v>
      </c>
      <c r="EU929" s="350" t="str">
        <f t="shared" si="118"/>
        <v>Sucre_Buenavista</v>
      </c>
    </row>
    <row r="930" spans="1:151" ht="36" x14ac:dyDescent="0.2">
      <c r="A930" s="242">
        <v>40390</v>
      </c>
      <c r="B930" s="107" t="s">
        <v>2017</v>
      </c>
      <c r="C930" s="107" t="s">
        <v>1841</v>
      </c>
      <c r="D930" s="427" t="s">
        <v>837</v>
      </c>
      <c r="E930" s="107" t="str">
        <f>VLOOKUP(B930&amp;C930,Divipola!$C$2:$F$1138,4,FALSE)</f>
        <v>13268</v>
      </c>
      <c r="F930" s="330"/>
      <c r="G930" s="224"/>
      <c r="H930" s="75"/>
      <c r="I930" s="75"/>
      <c r="J930" s="75">
        <f>1725*5</f>
        <v>8625</v>
      </c>
      <c r="K930" s="75">
        <v>1725</v>
      </c>
      <c r="L930" s="75"/>
      <c r="M930" s="75">
        <v>1725</v>
      </c>
      <c r="N930" s="75"/>
      <c r="O930" s="75"/>
      <c r="P930" s="75"/>
      <c r="Q930" s="75"/>
      <c r="R930" s="75"/>
      <c r="S930" s="75"/>
      <c r="T930" s="75"/>
      <c r="U930" s="75"/>
      <c r="V930" s="76"/>
      <c r="W930" s="205"/>
      <c r="X930" s="1">
        <v>40415</v>
      </c>
      <c r="Y930" s="78">
        <f t="shared" si="119"/>
        <v>93225000</v>
      </c>
      <c r="Z930" s="78">
        <f t="shared" si="120"/>
        <v>288150000</v>
      </c>
      <c r="AA930" s="78">
        <f t="shared" si="124"/>
        <v>0</v>
      </c>
      <c r="AB930" s="78">
        <f t="shared" si="121"/>
        <v>0</v>
      </c>
      <c r="AC930" s="78">
        <f>500*18000</f>
        <v>9000000</v>
      </c>
      <c r="AD930" s="78">
        <v>0</v>
      </c>
      <c r="AE930" s="80">
        <f t="shared" si="123"/>
        <v>390375000</v>
      </c>
      <c r="AF930" s="82">
        <v>0</v>
      </c>
      <c r="AG930" s="69">
        <v>40395</v>
      </c>
      <c r="AH930" s="84">
        <v>38939</v>
      </c>
      <c r="AI930" s="69" t="s">
        <v>2009</v>
      </c>
      <c r="AJ930" s="25" t="s">
        <v>2010</v>
      </c>
      <c r="AK930" s="88" t="s">
        <v>1473</v>
      </c>
      <c r="AL930" s="185" t="s">
        <v>1831</v>
      </c>
      <c r="AM930" s="85" t="s">
        <v>3869</v>
      </c>
      <c r="AN930" s="3"/>
      <c r="AO930" s="4"/>
      <c r="AP930" s="5"/>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f>700+995</f>
        <v>1695</v>
      </c>
      <c r="CO930" s="4">
        <f>700*18000+995*18000</f>
        <v>30510000</v>
      </c>
      <c r="CP930" s="6">
        <v>1695</v>
      </c>
      <c r="CQ930" s="7">
        <f>1695*37000</f>
        <v>62715000</v>
      </c>
      <c r="CR930" s="6"/>
      <c r="CS930" s="7"/>
      <c r="CT930" s="6"/>
      <c r="CU930" s="7"/>
      <c r="CV930" s="8">
        <f t="shared" si="122"/>
        <v>93225000</v>
      </c>
      <c r="CW930" s="9"/>
      <c r="CX930" s="10"/>
      <c r="CY930" s="11">
        <f>700+995+1695</f>
        <v>3390</v>
      </c>
      <c r="CZ930" s="12">
        <f>700*85000+995*85000+1695*85000</f>
        <v>288150000</v>
      </c>
      <c r="DA930" s="29"/>
      <c r="DB930" s="12"/>
      <c r="DC930" s="9"/>
      <c r="DD930" s="10"/>
      <c r="DE930" s="71"/>
      <c r="EO930" s="353" t="str">
        <f t="shared" si="125"/>
        <v>BOLIVAR_EL PEÑON</v>
      </c>
      <c r="EP930" s="350"/>
      <c r="EQ930" s="350" t="s">
        <v>4571</v>
      </c>
      <c r="ER930" s="358" t="s">
        <v>4572</v>
      </c>
      <c r="ES930" s="350" t="s">
        <v>5610</v>
      </c>
      <c r="ET930" s="350" t="s">
        <v>3549</v>
      </c>
      <c r="EU930" s="350" t="str">
        <f t="shared" si="118"/>
        <v>Sucre_Caimito</v>
      </c>
    </row>
    <row r="931" spans="1:151" ht="38.25" x14ac:dyDescent="0.2">
      <c r="A931" s="242">
        <v>40390</v>
      </c>
      <c r="B931" s="107" t="s">
        <v>2017</v>
      </c>
      <c r="C931" s="107" t="s">
        <v>855</v>
      </c>
      <c r="D931" s="427" t="s">
        <v>837</v>
      </c>
      <c r="E931" s="107" t="str">
        <f>VLOOKUP(B931&amp;C931,Divipola!$C$2:$F$1138,4,FALSE)</f>
        <v>13458</v>
      </c>
      <c r="F931" s="330"/>
      <c r="G931" s="224"/>
      <c r="H931" s="75"/>
      <c r="I931" s="75"/>
      <c r="J931" s="75">
        <f>1676*5</f>
        <v>8380</v>
      </c>
      <c r="K931" s="75">
        <f>1716-40</f>
        <v>1676</v>
      </c>
      <c r="L931" s="75"/>
      <c r="M931" s="75">
        <v>963</v>
      </c>
      <c r="N931" s="75"/>
      <c r="O931" s="75"/>
      <c r="P931" s="75"/>
      <c r="Q931" s="75"/>
      <c r="R931" s="75"/>
      <c r="S931" s="75"/>
      <c r="T931" s="75"/>
      <c r="U931" s="75"/>
      <c r="V931" s="76"/>
      <c r="W931" s="205"/>
      <c r="X931" s="1">
        <v>40416</v>
      </c>
      <c r="Y931" s="78">
        <f t="shared" si="119"/>
        <v>90952000</v>
      </c>
      <c r="Z931" s="78">
        <f t="shared" si="120"/>
        <v>85000000</v>
      </c>
      <c r="AA931" s="78">
        <f t="shared" si="124"/>
        <v>0</v>
      </c>
      <c r="AB931" s="78">
        <f t="shared" si="121"/>
        <v>0</v>
      </c>
      <c r="AC931" s="78"/>
      <c r="AD931" s="78">
        <v>0</v>
      </c>
      <c r="AE931" s="80">
        <f t="shared" si="123"/>
        <v>175952000</v>
      </c>
      <c r="AF931" s="82">
        <v>0</v>
      </c>
      <c r="AG931" s="69">
        <v>40395</v>
      </c>
      <c r="AH931" s="84">
        <v>38939</v>
      </c>
      <c r="AI931" s="69" t="s">
        <v>2009</v>
      </c>
      <c r="AJ931" s="25" t="s">
        <v>2010</v>
      </c>
      <c r="AK931" s="88" t="s">
        <v>2715</v>
      </c>
      <c r="AL931" s="185" t="s">
        <v>1831</v>
      </c>
      <c r="AM931" s="85" t="s">
        <v>1268</v>
      </c>
      <c r="AN931" s="3"/>
      <c r="AO931" s="4"/>
      <c r="AP931" s="5"/>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v>1000</v>
      </c>
      <c r="CO931" s="4">
        <f>1000*18000</f>
        <v>18000000</v>
      </c>
      <c r="CP931" s="6">
        <v>1000</v>
      </c>
      <c r="CQ931" s="7">
        <f>1000*36952</f>
        <v>36952000</v>
      </c>
      <c r="CR931" s="6">
        <v>1000</v>
      </c>
      <c r="CS931" s="7">
        <f>1000*36000</f>
        <v>36000000</v>
      </c>
      <c r="CT931" s="6"/>
      <c r="CU931" s="7"/>
      <c r="CV931" s="8">
        <f t="shared" si="122"/>
        <v>90952000</v>
      </c>
      <c r="CW931" s="9"/>
      <c r="CX931" s="10"/>
      <c r="CY931" s="11">
        <v>1000</v>
      </c>
      <c r="CZ931" s="12">
        <f>1000*85000</f>
        <v>85000000</v>
      </c>
      <c r="DA931" s="29"/>
      <c r="DB931" s="12"/>
      <c r="DC931" s="9"/>
      <c r="DD931" s="10"/>
      <c r="DE931" s="71"/>
      <c r="EO931" s="353" t="str">
        <f t="shared" si="125"/>
        <v>BOLIVAR_MONTECRISTO</v>
      </c>
      <c r="EP931" s="350"/>
      <c r="EQ931" s="350" t="s">
        <v>4571</v>
      </c>
      <c r="ER931" s="358" t="s">
        <v>4572</v>
      </c>
      <c r="ES931" s="350" t="s">
        <v>5611</v>
      </c>
      <c r="ET931" s="350" t="s">
        <v>3550</v>
      </c>
      <c r="EU931" s="350" t="str">
        <f t="shared" si="118"/>
        <v>Sucre_Coloso</v>
      </c>
    </row>
    <row r="932" spans="1:151" ht="25.5" x14ac:dyDescent="0.2">
      <c r="A932" s="242">
        <v>40390</v>
      </c>
      <c r="B932" s="107" t="s">
        <v>2017</v>
      </c>
      <c r="C932" s="107" t="s">
        <v>1062</v>
      </c>
      <c r="D932" s="427" t="s">
        <v>837</v>
      </c>
      <c r="E932" s="107" t="str">
        <f>VLOOKUP(B932&amp;C932,Divipola!$C$2:$F$1138,4,FALSE)</f>
        <v>13580</v>
      </c>
      <c r="F932" s="330"/>
      <c r="G932" s="224"/>
      <c r="H932" s="75"/>
      <c r="I932" s="75"/>
      <c r="J932" s="75">
        <f>1150*5</f>
        <v>5750</v>
      </c>
      <c r="K932" s="75">
        <v>1150</v>
      </c>
      <c r="L932" s="75"/>
      <c r="M932" s="75">
        <v>1150</v>
      </c>
      <c r="N932" s="75"/>
      <c r="O932" s="75"/>
      <c r="P932" s="75"/>
      <c r="Q932" s="75"/>
      <c r="R932" s="75"/>
      <c r="S932" s="75"/>
      <c r="T932" s="75"/>
      <c r="U932" s="75"/>
      <c r="V932" s="76"/>
      <c r="W932" s="205"/>
      <c r="X932" s="1">
        <v>40415</v>
      </c>
      <c r="Y932" s="78">
        <f t="shared" si="119"/>
        <v>70450000</v>
      </c>
      <c r="Z932" s="78">
        <f t="shared" si="120"/>
        <v>97750000</v>
      </c>
      <c r="AA932" s="78">
        <f t="shared" si="124"/>
        <v>0</v>
      </c>
      <c r="AB932" s="78">
        <f t="shared" si="121"/>
        <v>0</v>
      </c>
      <c r="AC932" s="78"/>
      <c r="AD932" s="78">
        <v>0</v>
      </c>
      <c r="AE932" s="80">
        <f t="shared" si="123"/>
        <v>168200000</v>
      </c>
      <c r="AF932" s="82">
        <v>0</v>
      </c>
      <c r="AG932" s="69">
        <v>40395</v>
      </c>
      <c r="AH932" s="84">
        <v>38939</v>
      </c>
      <c r="AI932" s="69" t="s">
        <v>2009</v>
      </c>
      <c r="AJ932" s="25" t="s">
        <v>2010</v>
      </c>
      <c r="AK932" s="88" t="s">
        <v>539</v>
      </c>
      <c r="AL932" s="185"/>
      <c r="AM932" s="85" t="s">
        <v>1268</v>
      </c>
      <c r="AN932" s="3"/>
      <c r="AO932" s="4"/>
      <c r="AP932" s="5"/>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f>300+100+1150</f>
        <v>1550</v>
      </c>
      <c r="CO932" s="4">
        <f>300*18000+100*18000+1150*18000</f>
        <v>27900000</v>
      </c>
      <c r="CP932" s="6">
        <v>1150</v>
      </c>
      <c r="CQ932" s="7">
        <f>1150*37000</f>
        <v>42550000</v>
      </c>
      <c r="CR932" s="6"/>
      <c r="CS932" s="7"/>
      <c r="CT932" s="6"/>
      <c r="CU932" s="7"/>
      <c r="CV932" s="8">
        <f t="shared" si="122"/>
        <v>70450000</v>
      </c>
      <c r="CW932" s="9"/>
      <c r="CX932" s="10"/>
      <c r="CY932" s="11">
        <v>1150</v>
      </c>
      <c r="CZ932" s="12">
        <f>1150*85000</f>
        <v>97750000</v>
      </c>
      <c r="DA932" s="29"/>
      <c r="DB932" s="12"/>
      <c r="DC932" s="9"/>
      <c r="DD932" s="10"/>
      <c r="DE932" s="71"/>
      <c r="EO932" s="353" t="str">
        <f t="shared" si="125"/>
        <v>BOLIVAR_REGIDOR</v>
      </c>
      <c r="EP932" s="350"/>
      <c r="EQ932" s="350" t="s">
        <v>4571</v>
      </c>
      <c r="ER932" s="358" t="s">
        <v>4572</v>
      </c>
      <c r="ES932" s="350" t="s">
        <v>5612</v>
      </c>
      <c r="ET932" s="350" t="s">
        <v>3551</v>
      </c>
      <c r="EU932" s="350" t="str">
        <f t="shared" si="118"/>
        <v>Sucre_Corozal</v>
      </c>
    </row>
    <row r="933" spans="1:151" ht="67.5" x14ac:dyDescent="0.2">
      <c r="A933" s="242">
        <v>40390</v>
      </c>
      <c r="B933" s="107" t="s">
        <v>2017</v>
      </c>
      <c r="C933" s="107" t="s">
        <v>1843</v>
      </c>
      <c r="D933" s="427" t="s">
        <v>837</v>
      </c>
      <c r="E933" s="107" t="str">
        <f>VLOOKUP(B933&amp;C933,Divipola!$C$2:$F$1138,4,FALSE)</f>
        <v>13650</v>
      </c>
      <c r="F933" s="330"/>
      <c r="G933" s="224"/>
      <c r="H933" s="75"/>
      <c r="I933" s="75"/>
      <c r="J933" s="75">
        <f>2282*5</f>
        <v>11410</v>
      </c>
      <c r="K933" s="75">
        <v>2282</v>
      </c>
      <c r="L933" s="75"/>
      <c r="M933" s="75">
        <v>2282</v>
      </c>
      <c r="N933" s="75"/>
      <c r="O933" s="75"/>
      <c r="P933" s="75"/>
      <c r="Q933" s="75"/>
      <c r="R933" s="75"/>
      <c r="S933" s="75"/>
      <c r="T933" s="75"/>
      <c r="U933" s="75"/>
      <c r="V933" s="76"/>
      <c r="W933" s="205"/>
      <c r="X933" s="1">
        <v>40415</v>
      </c>
      <c r="Y933" s="78">
        <f t="shared" si="119"/>
        <v>307875264</v>
      </c>
      <c r="Z933" s="78">
        <f t="shared" si="120"/>
        <v>390999230</v>
      </c>
      <c r="AA933" s="78">
        <f t="shared" si="124"/>
        <v>0</v>
      </c>
      <c r="AB933" s="78">
        <f t="shared" si="121"/>
        <v>0</v>
      </c>
      <c r="AC933" s="78"/>
      <c r="AD933" s="78">
        <v>41825000</v>
      </c>
      <c r="AE933" s="80">
        <f t="shared" si="123"/>
        <v>740699494</v>
      </c>
      <c r="AF933" s="82">
        <v>0</v>
      </c>
      <c r="AG933" s="69">
        <v>40395</v>
      </c>
      <c r="AH933" s="84">
        <v>38939</v>
      </c>
      <c r="AI933" s="69" t="s">
        <v>2009</v>
      </c>
      <c r="AJ933" s="25" t="s">
        <v>2010</v>
      </c>
      <c r="AK933" s="88" t="s">
        <v>3807</v>
      </c>
      <c r="AL933" s="185" t="s">
        <v>160</v>
      </c>
      <c r="AM933" s="85" t="s">
        <v>1494</v>
      </c>
      <c r="AN933" s="3"/>
      <c r="AO933" s="4"/>
      <c r="AP933" s="5"/>
      <c r="AQ933" s="4"/>
      <c r="AR933" s="4"/>
      <c r="AS933" s="4"/>
      <c r="AT933" s="4"/>
      <c r="AU933" s="4"/>
      <c r="AV933" s="4"/>
      <c r="AW933" s="4"/>
      <c r="AX933" s="4"/>
      <c r="AY933" s="4"/>
      <c r="AZ933" s="4">
        <v>2600</v>
      </c>
      <c r="BA933" s="4">
        <f>2600*56000</f>
        <v>145600000</v>
      </c>
      <c r="BB933" s="4"/>
      <c r="BC933" s="4"/>
      <c r="BD933" s="4"/>
      <c r="BE933" s="4"/>
      <c r="BF933" s="4"/>
      <c r="BG933" s="4"/>
      <c r="BH933" s="4"/>
      <c r="BI933" s="4"/>
      <c r="BJ933" s="4"/>
      <c r="BK933" s="4"/>
      <c r="BL933" s="4">
        <v>1000</v>
      </c>
      <c r="BM933" s="4">
        <f>1000*25500</f>
        <v>25500000</v>
      </c>
      <c r="BN933" s="4"/>
      <c r="BO933" s="4"/>
      <c r="BP933" s="4"/>
      <c r="BQ933" s="4"/>
      <c r="BR933" s="4"/>
      <c r="BS933" s="4"/>
      <c r="BT933" s="4"/>
      <c r="BU933" s="4"/>
      <c r="BV933" s="4"/>
      <c r="BW933" s="4"/>
      <c r="BX933" s="4"/>
      <c r="BY933" s="4"/>
      <c r="BZ933" s="4">
        <v>10</v>
      </c>
      <c r="CA933" s="4">
        <f>10*510400</f>
        <v>5104000</v>
      </c>
      <c r="CB933" s="4"/>
      <c r="CC933" s="4"/>
      <c r="CD933" s="4"/>
      <c r="CE933" s="4"/>
      <c r="CF933" s="4"/>
      <c r="CG933" s="4"/>
      <c r="CH933" s="4"/>
      <c r="CI933" s="4"/>
      <c r="CJ933" s="4">
        <v>2600</v>
      </c>
      <c r="CK933" s="4">
        <f>2600*21000</f>
        <v>54600000</v>
      </c>
      <c r="CL933" s="4"/>
      <c r="CM933" s="4"/>
      <c r="CN933" s="4">
        <f>1000+342</f>
        <v>1342</v>
      </c>
      <c r="CO933" s="4">
        <f>1000*18000+342*18000</f>
        <v>24156000</v>
      </c>
      <c r="CP933" s="6">
        <v>1432</v>
      </c>
      <c r="CQ933" s="7">
        <f>1432*36952</f>
        <v>52915264</v>
      </c>
      <c r="CR933" s="6"/>
      <c r="CS933" s="7"/>
      <c r="CT933" s="6"/>
      <c r="CU933" s="7"/>
      <c r="CV933" s="8">
        <f t="shared" si="122"/>
        <v>307875264</v>
      </c>
      <c r="CW933" s="9"/>
      <c r="CX933" s="10"/>
      <c r="CY933" s="11">
        <f>500+500+1000+2600</f>
        <v>4600</v>
      </c>
      <c r="CZ933" s="12">
        <f>500*84998.46+500*85000+1000*85000+2600*85000</f>
        <v>390999230</v>
      </c>
      <c r="DA933" s="29"/>
      <c r="DB933" s="12"/>
      <c r="DC933" s="9"/>
      <c r="DD933" s="10"/>
      <c r="DE933" s="71">
        <v>2</v>
      </c>
      <c r="EO933" s="353" t="str">
        <f t="shared" si="125"/>
        <v>BOLIVAR_SAN FERNANDO</v>
      </c>
      <c r="EP933" s="350"/>
      <c r="EQ933" s="350" t="s">
        <v>4571</v>
      </c>
      <c r="ER933" s="358" t="s">
        <v>4572</v>
      </c>
      <c r="ES933" s="350" t="s">
        <v>5613</v>
      </c>
      <c r="ET933" s="350" t="s">
        <v>3552</v>
      </c>
      <c r="EU933" s="350" t="str">
        <f t="shared" si="118"/>
        <v>Sucre_Coveñas</v>
      </c>
    </row>
    <row r="934" spans="1:151" ht="25.5" x14ac:dyDescent="0.2">
      <c r="A934" s="242">
        <v>40390</v>
      </c>
      <c r="B934" s="107" t="s">
        <v>2017</v>
      </c>
      <c r="C934" s="107" t="s">
        <v>2105</v>
      </c>
      <c r="D934" s="427" t="s">
        <v>837</v>
      </c>
      <c r="E934" s="107" t="str">
        <f>VLOOKUP(B934&amp;C934,Divipola!$C$2:$F$1138,4,FALSE)</f>
        <v>13670</v>
      </c>
      <c r="F934" s="330"/>
      <c r="G934" s="224"/>
      <c r="H934" s="75"/>
      <c r="I934" s="75"/>
      <c r="J934" s="75">
        <f>576*5</f>
        <v>2880</v>
      </c>
      <c r="K934" s="75">
        <v>576</v>
      </c>
      <c r="L934" s="75"/>
      <c r="M934" s="75">
        <v>576</v>
      </c>
      <c r="N934" s="75"/>
      <c r="O934" s="75"/>
      <c r="P934" s="75"/>
      <c r="Q934" s="75"/>
      <c r="R934" s="75"/>
      <c r="S934" s="75"/>
      <c r="T934" s="75"/>
      <c r="U934" s="75"/>
      <c r="V934" s="76"/>
      <c r="W934" s="205"/>
      <c r="X934" s="1">
        <v>40415</v>
      </c>
      <c r="Y934" s="78">
        <f t="shared" si="119"/>
        <v>7200000</v>
      </c>
      <c r="Z934" s="78">
        <f t="shared" si="120"/>
        <v>34000000</v>
      </c>
      <c r="AA934" s="78">
        <f t="shared" si="124"/>
        <v>0</v>
      </c>
      <c r="AB934" s="78">
        <f t="shared" si="121"/>
        <v>0</v>
      </c>
      <c r="AC934" s="78"/>
      <c r="AD934" s="78">
        <v>0</v>
      </c>
      <c r="AE934" s="80">
        <f t="shared" si="123"/>
        <v>41200000</v>
      </c>
      <c r="AF934" s="82">
        <v>0</v>
      </c>
      <c r="AG934" s="69">
        <v>40395</v>
      </c>
      <c r="AH934" s="84">
        <v>38939</v>
      </c>
      <c r="AI934" s="69" t="s">
        <v>2009</v>
      </c>
      <c r="AJ934" s="25" t="s">
        <v>2010</v>
      </c>
      <c r="AK934" s="88" t="s">
        <v>172</v>
      </c>
      <c r="AL934" s="185"/>
      <c r="AM934" s="85" t="s">
        <v>1268</v>
      </c>
      <c r="AN934" s="3"/>
      <c r="AO934" s="4"/>
      <c r="AP934" s="5"/>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v>400</v>
      </c>
      <c r="CO934" s="4">
        <f>400*18000</f>
        <v>7200000</v>
      </c>
      <c r="CP934" s="6"/>
      <c r="CQ934" s="7"/>
      <c r="CR934" s="6"/>
      <c r="CS934" s="7"/>
      <c r="CT934" s="6"/>
      <c r="CU934" s="7"/>
      <c r="CV934" s="8">
        <f t="shared" si="122"/>
        <v>7200000</v>
      </c>
      <c r="CW934" s="9"/>
      <c r="CX934" s="10"/>
      <c r="CY934" s="11">
        <v>400</v>
      </c>
      <c r="CZ934" s="12">
        <f>400*85000</f>
        <v>34000000</v>
      </c>
      <c r="DA934" s="29"/>
      <c r="DB934" s="12"/>
      <c r="DC934" s="9"/>
      <c r="DD934" s="10"/>
      <c r="DE934" s="71"/>
      <c r="EO934" s="353" t="str">
        <f t="shared" si="125"/>
        <v>BOLIVAR_SAN PABLO</v>
      </c>
      <c r="EP934" s="350"/>
      <c r="EQ934" s="350" t="s">
        <v>4571</v>
      </c>
      <c r="ER934" s="358" t="s">
        <v>4572</v>
      </c>
      <c r="ES934" s="350" t="s">
        <v>5614</v>
      </c>
      <c r="ET934" s="350" t="s">
        <v>3553</v>
      </c>
      <c r="EU934" s="350" t="str">
        <f t="shared" si="118"/>
        <v>Sucre_Chalan</v>
      </c>
    </row>
    <row r="935" spans="1:151" ht="60" x14ac:dyDescent="0.2">
      <c r="A935" s="242">
        <v>40390</v>
      </c>
      <c r="B935" s="107" t="s">
        <v>2017</v>
      </c>
      <c r="C935" s="107" t="s">
        <v>4084</v>
      </c>
      <c r="D935" s="427" t="s">
        <v>837</v>
      </c>
      <c r="E935" s="107" t="str">
        <f>VLOOKUP(B935&amp;C935,Divipola!$C$2:$F$1138,4,FALSE)</f>
        <v>13688</v>
      </c>
      <c r="F935" s="330"/>
      <c r="G935" s="224"/>
      <c r="H935" s="75"/>
      <c r="I935" s="75"/>
      <c r="J935" s="75">
        <f>1521*5</f>
        <v>7605</v>
      </c>
      <c r="K935" s="75">
        <v>1521</v>
      </c>
      <c r="L935" s="75"/>
      <c r="M935" s="75">
        <v>1521</v>
      </c>
      <c r="N935" s="75"/>
      <c r="O935" s="75"/>
      <c r="P935" s="75"/>
      <c r="Q935" s="75"/>
      <c r="R935" s="75"/>
      <c r="S935" s="75"/>
      <c r="T935" s="75"/>
      <c r="U935" s="75"/>
      <c r="V935" s="76"/>
      <c r="W935" s="205"/>
      <c r="X935" s="1">
        <v>40416</v>
      </c>
      <c r="Y935" s="78">
        <f t="shared" si="119"/>
        <v>720000</v>
      </c>
      <c r="Z935" s="78">
        <f t="shared" si="120"/>
        <v>137615000</v>
      </c>
      <c r="AA935" s="78">
        <f t="shared" si="124"/>
        <v>0</v>
      </c>
      <c r="AB935" s="78">
        <f t="shared" si="121"/>
        <v>0</v>
      </c>
      <c r="AC935" s="78"/>
      <c r="AD935" s="78">
        <v>0</v>
      </c>
      <c r="AE935" s="80">
        <f t="shared" si="123"/>
        <v>138335000</v>
      </c>
      <c r="AF935" s="82">
        <v>0</v>
      </c>
      <c r="AG935" s="69">
        <v>40395</v>
      </c>
      <c r="AH935" s="84">
        <v>38939</v>
      </c>
      <c r="AI935" s="69" t="s">
        <v>2009</v>
      </c>
      <c r="AJ935" s="25" t="s">
        <v>2010</v>
      </c>
      <c r="AK935" s="88" t="s">
        <v>1114</v>
      </c>
      <c r="AL935" s="185" t="s">
        <v>2182</v>
      </c>
      <c r="AM935" s="85" t="s">
        <v>5</v>
      </c>
      <c r="AN935" s="3"/>
      <c r="AO935" s="4"/>
      <c r="AP935" s="5"/>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v>40</v>
      </c>
      <c r="CO935" s="4">
        <f>40*18000</f>
        <v>720000</v>
      </c>
      <c r="CP935" s="6"/>
      <c r="CQ935" s="7"/>
      <c r="CR935" s="6"/>
      <c r="CS935" s="7"/>
      <c r="CT935" s="6"/>
      <c r="CU935" s="7"/>
      <c r="CV935" s="8">
        <f t="shared" si="122"/>
        <v>720000</v>
      </c>
      <c r="CW935" s="9"/>
      <c r="CX935" s="10"/>
      <c r="CY935" s="11">
        <f>70+1549</f>
        <v>1619</v>
      </c>
      <c r="CZ935" s="12">
        <f>70*85000+1549*85000</f>
        <v>137615000</v>
      </c>
      <c r="DA935" s="29"/>
      <c r="DB935" s="12"/>
      <c r="DC935" s="9"/>
      <c r="DD935" s="10"/>
      <c r="DE935" s="71"/>
      <c r="EO935" s="353" t="str">
        <f t="shared" si="125"/>
        <v>BOLIVAR_SANTA ROSA DEL SUR</v>
      </c>
      <c r="EP935" s="350"/>
      <c r="EQ935" s="350" t="s">
        <v>4571</v>
      </c>
      <c r="ER935" s="358" t="s">
        <v>4572</v>
      </c>
      <c r="ES935" s="350" t="s">
        <v>5615</v>
      </c>
      <c r="ET935" s="350" t="s">
        <v>3554</v>
      </c>
      <c r="EU935" s="350" t="str">
        <f t="shared" si="118"/>
        <v>Sucre_El Roble</v>
      </c>
    </row>
    <row r="936" spans="1:151" ht="33.75" x14ac:dyDescent="0.2">
      <c r="A936" s="242">
        <v>40390</v>
      </c>
      <c r="B936" s="107" t="s">
        <v>2017</v>
      </c>
      <c r="C936" s="107" t="s">
        <v>1063</v>
      </c>
      <c r="D936" s="427" t="s">
        <v>837</v>
      </c>
      <c r="E936" s="107" t="str">
        <f>VLOOKUP(B936&amp;C936,Divipola!$C$2:$F$1138,4,FALSE)</f>
        <v>13744</v>
      </c>
      <c r="F936" s="330"/>
      <c r="G936" s="224"/>
      <c r="H936" s="75"/>
      <c r="I936" s="75"/>
      <c r="J936" s="75">
        <f>1564*5</f>
        <v>7820</v>
      </c>
      <c r="K936" s="75">
        <v>1564</v>
      </c>
      <c r="L936" s="75"/>
      <c r="M936" s="75">
        <v>1564</v>
      </c>
      <c r="N936" s="75"/>
      <c r="O936" s="75"/>
      <c r="P936" s="75"/>
      <c r="Q936" s="75"/>
      <c r="R936" s="75"/>
      <c r="S936" s="75"/>
      <c r="T936" s="75"/>
      <c r="U936" s="75"/>
      <c r="V936" s="76"/>
      <c r="W936" s="205"/>
      <c r="X936" s="1">
        <v>40415</v>
      </c>
      <c r="Y936" s="78">
        <f t="shared" si="119"/>
        <v>52855000</v>
      </c>
      <c r="Z936" s="78">
        <f t="shared" si="120"/>
        <v>81685000</v>
      </c>
      <c r="AA936" s="78">
        <f t="shared" si="124"/>
        <v>0</v>
      </c>
      <c r="AB936" s="78">
        <f t="shared" si="121"/>
        <v>0</v>
      </c>
      <c r="AC936" s="78"/>
      <c r="AD936" s="78">
        <v>0</v>
      </c>
      <c r="AE936" s="80">
        <f t="shared" si="123"/>
        <v>134540000</v>
      </c>
      <c r="AF936" s="82">
        <v>0</v>
      </c>
      <c r="AG936" s="69">
        <v>40395</v>
      </c>
      <c r="AH936" s="94" t="s">
        <v>1177</v>
      </c>
      <c r="AI936" s="69" t="s">
        <v>2009</v>
      </c>
      <c r="AJ936" s="25" t="s">
        <v>2010</v>
      </c>
      <c r="AK936" s="88" t="s">
        <v>2896</v>
      </c>
      <c r="AL936" s="185"/>
      <c r="AM936" s="85" t="s">
        <v>1268</v>
      </c>
      <c r="AN936" s="3"/>
      <c r="AO936" s="4"/>
      <c r="AP936" s="5"/>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f>500+461</f>
        <v>961</v>
      </c>
      <c r="CO936" s="4">
        <f>500*18000+461*18000</f>
        <v>17298000</v>
      </c>
      <c r="CP936" s="6">
        <v>961</v>
      </c>
      <c r="CQ936" s="7">
        <f>961*37000</f>
        <v>35557000</v>
      </c>
      <c r="CR936" s="6"/>
      <c r="CS936" s="7"/>
      <c r="CT936" s="6"/>
      <c r="CU936" s="7"/>
      <c r="CV936" s="8">
        <f t="shared" si="122"/>
        <v>52855000</v>
      </c>
      <c r="CW936" s="9"/>
      <c r="CX936" s="10"/>
      <c r="CY936" s="11">
        <f>500+461</f>
        <v>961</v>
      </c>
      <c r="CZ936" s="12">
        <f>500*85000+461*85000</f>
        <v>81685000</v>
      </c>
      <c r="DA936" s="29"/>
      <c r="DB936" s="12"/>
      <c r="DC936" s="9"/>
      <c r="DD936" s="10"/>
      <c r="DE936" s="71"/>
      <c r="EO936" s="353" t="str">
        <f t="shared" si="125"/>
        <v>BOLIVAR_SIMITI</v>
      </c>
      <c r="EP936" s="350"/>
      <c r="EQ936" s="350" t="s">
        <v>4571</v>
      </c>
      <c r="ER936" s="358" t="s">
        <v>4572</v>
      </c>
      <c r="ES936" s="350" t="s">
        <v>5616</v>
      </c>
      <c r="ET936" s="350" t="s">
        <v>3555</v>
      </c>
      <c r="EU936" s="350" t="str">
        <f t="shared" si="118"/>
        <v>Sucre_Galeras</v>
      </c>
    </row>
    <row r="937" spans="1:151" ht="25.5" x14ac:dyDescent="0.2">
      <c r="A937" s="242">
        <v>40390</v>
      </c>
      <c r="B937" s="107" t="s">
        <v>2017</v>
      </c>
      <c r="C937" s="107" t="s">
        <v>1842</v>
      </c>
      <c r="D937" s="427" t="s">
        <v>837</v>
      </c>
      <c r="E937" s="107" t="str">
        <f>VLOOKUP(B937&amp;C937,Divipola!$C$2:$F$1138,4,FALSE)</f>
        <v>13894</v>
      </c>
      <c r="F937" s="330"/>
      <c r="G937" s="224"/>
      <c r="H937" s="75"/>
      <c r="I937" s="75"/>
      <c r="J937" s="75">
        <f>12*5</f>
        <v>60</v>
      </c>
      <c r="K937" s="75">
        <v>12</v>
      </c>
      <c r="L937" s="75"/>
      <c r="M937" s="75">
        <v>12</v>
      </c>
      <c r="N937" s="75"/>
      <c r="O937" s="75"/>
      <c r="P937" s="75"/>
      <c r="Q937" s="75"/>
      <c r="R937" s="75"/>
      <c r="S937" s="75"/>
      <c r="T937" s="75"/>
      <c r="U937" s="75"/>
      <c r="V937" s="76"/>
      <c r="W937" s="205"/>
      <c r="X937" s="1"/>
      <c r="Y937" s="78">
        <f t="shared" si="119"/>
        <v>0</v>
      </c>
      <c r="Z937" s="78">
        <f t="shared" si="120"/>
        <v>0</v>
      </c>
      <c r="AA937" s="78">
        <f t="shared" si="124"/>
        <v>0</v>
      </c>
      <c r="AB937" s="78">
        <f t="shared" si="121"/>
        <v>0</v>
      </c>
      <c r="AC937" s="78"/>
      <c r="AD937" s="78">
        <v>0</v>
      </c>
      <c r="AE937" s="80">
        <f t="shared" si="123"/>
        <v>0</v>
      </c>
      <c r="AF937" s="82">
        <v>0</v>
      </c>
      <c r="AG937" s="69">
        <v>40393</v>
      </c>
      <c r="AH937" s="84"/>
      <c r="AI937" s="69" t="s">
        <v>1984</v>
      </c>
      <c r="AJ937" s="25" t="s">
        <v>1985</v>
      </c>
      <c r="AK937" s="65"/>
      <c r="AL937" s="185" t="s">
        <v>1257</v>
      </c>
      <c r="AM937" s="85" t="s">
        <v>1268</v>
      </c>
      <c r="AN937" s="3"/>
      <c r="AO937" s="4"/>
      <c r="AP937" s="5"/>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6"/>
      <c r="CQ937" s="7"/>
      <c r="CR937" s="6"/>
      <c r="CS937" s="7"/>
      <c r="CT937" s="6"/>
      <c r="CU937" s="7"/>
      <c r="CV937" s="8">
        <f t="shared" si="122"/>
        <v>0</v>
      </c>
      <c r="CW937" s="9"/>
      <c r="CX937" s="10"/>
      <c r="CY937" s="11"/>
      <c r="CZ937" s="12"/>
      <c r="DA937" s="29"/>
      <c r="DB937" s="12"/>
      <c r="DC937" s="9"/>
      <c r="DD937" s="10"/>
      <c r="DE937" s="71"/>
      <c r="EO937" s="353" t="str">
        <f t="shared" si="125"/>
        <v>BOLIVAR_ZAMBRANO</v>
      </c>
      <c r="EP937" s="350"/>
      <c r="EQ937" s="350" t="s">
        <v>4571</v>
      </c>
      <c r="ER937" s="358" t="s">
        <v>4572</v>
      </c>
      <c r="ES937" s="350" t="s">
        <v>5617</v>
      </c>
      <c r="ET937" s="350" t="s">
        <v>3556</v>
      </c>
      <c r="EU937" s="350" t="str">
        <f t="shared" si="118"/>
        <v>Sucre_Guaranda</v>
      </c>
    </row>
    <row r="938" spans="1:151" ht="38.25" x14ac:dyDescent="0.2">
      <c r="A938" s="246">
        <v>40391</v>
      </c>
      <c r="B938" s="238" t="s">
        <v>2401</v>
      </c>
      <c r="C938" s="238" t="s">
        <v>1041</v>
      </c>
      <c r="D938" s="431" t="s">
        <v>837</v>
      </c>
      <c r="E938" s="107" t="str">
        <f>VLOOKUP(B938&amp;C938,Divipola!$C$2:$F$1138,4,FALSE)</f>
        <v>05591</v>
      </c>
      <c r="F938" s="334"/>
      <c r="G938" s="224"/>
      <c r="H938" s="75"/>
      <c r="I938" s="75"/>
      <c r="J938" s="75">
        <v>300</v>
      </c>
      <c r="K938" s="75">
        <v>60</v>
      </c>
      <c r="L938" s="75"/>
      <c r="M938" s="75">
        <f>244-192</f>
        <v>52</v>
      </c>
      <c r="N938" s="75"/>
      <c r="O938" s="75"/>
      <c r="P938" s="75"/>
      <c r="Q938" s="75"/>
      <c r="R938" s="75"/>
      <c r="S938" s="75"/>
      <c r="T938" s="75"/>
      <c r="U938" s="75"/>
      <c r="V938" s="76"/>
      <c r="W938" s="205"/>
      <c r="X938" s="1"/>
      <c r="Y938" s="78">
        <f t="shared" si="119"/>
        <v>0</v>
      </c>
      <c r="Z938" s="78">
        <f t="shared" si="120"/>
        <v>0</v>
      </c>
      <c r="AA938" s="78">
        <f t="shared" si="124"/>
        <v>0</v>
      </c>
      <c r="AB938" s="78">
        <f t="shared" si="121"/>
        <v>0</v>
      </c>
      <c r="AC938" s="78"/>
      <c r="AD938" s="78">
        <v>0</v>
      </c>
      <c r="AE938" s="80">
        <f t="shared" si="123"/>
        <v>0</v>
      </c>
      <c r="AF938" s="82">
        <v>0</v>
      </c>
      <c r="AG938" s="69">
        <v>40392</v>
      </c>
      <c r="AH938" s="84"/>
      <c r="AI938" s="69" t="s">
        <v>1984</v>
      </c>
      <c r="AJ938" s="25" t="s">
        <v>1985</v>
      </c>
      <c r="AK938" s="65"/>
      <c r="AL938" s="212" t="s">
        <v>1257</v>
      </c>
      <c r="AM938" s="85" t="s">
        <v>1042</v>
      </c>
      <c r="AN938" s="3"/>
      <c r="AO938" s="4"/>
      <c r="AP938" s="5"/>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6"/>
      <c r="CQ938" s="7"/>
      <c r="CR938" s="6"/>
      <c r="CS938" s="7"/>
      <c r="CT938" s="6"/>
      <c r="CU938" s="7"/>
      <c r="CV938" s="8">
        <f t="shared" si="122"/>
        <v>0</v>
      </c>
      <c r="CW938" s="9"/>
      <c r="CX938" s="10"/>
      <c r="CY938" s="11"/>
      <c r="CZ938" s="12"/>
      <c r="DA938" s="29"/>
      <c r="DB938" s="12"/>
      <c r="DC938" s="9"/>
      <c r="DD938" s="10"/>
      <c r="DE938" s="71"/>
      <c r="EO938" s="353" t="str">
        <f t="shared" si="125"/>
        <v>ANTIOQUIA_PUERTO TRIUNFO</v>
      </c>
      <c r="EP938" s="350"/>
      <c r="EQ938" s="350" t="s">
        <v>4571</v>
      </c>
      <c r="ER938" s="358" t="s">
        <v>4572</v>
      </c>
      <c r="ES938" s="350" t="s">
        <v>5618</v>
      </c>
      <c r="ET938" s="350" t="s">
        <v>5893</v>
      </c>
      <c r="EU938" s="350" t="str">
        <f t="shared" si="118"/>
        <v>Sucre_La Union</v>
      </c>
    </row>
    <row r="939" spans="1:151" ht="38.25" x14ac:dyDescent="0.2">
      <c r="A939" s="242">
        <v>40391</v>
      </c>
      <c r="B939" s="107" t="s">
        <v>1951</v>
      </c>
      <c r="C939" s="107" t="s">
        <v>1989</v>
      </c>
      <c r="D939" s="427" t="s">
        <v>2307</v>
      </c>
      <c r="E939" s="107" t="str">
        <f>VLOOKUP(B939&amp;C939,Divipola!$C$2:$F$1138,4,FALSE)</f>
        <v>08001</v>
      </c>
      <c r="F939" s="330"/>
      <c r="G939" s="224"/>
      <c r="H939" s="75"/>
      <c r="I939" s="75"/>
      <c r="J939" s="75">
        <v>275</v>
      </c>
      <c r="K939" s="75">
        <v>55</v>
      </c>
      <c r="L939" s="75">
        <v>17</v>
      </c>
      <c r="M939" s="75">
        <v>38</v>
      </c>
      <c r="N939" s="75"/>
      <c r="O939" s="75"/>
      <c r="P939" s="75"/>
      <c r="Q939" s="75"/>
      <c r="R939" s="75"/>
      <c r="S939" s="75"/>
      <c r="T939" s="75"/>
      <c r="U939" s="75"/>
      <c r="V939" s="76"/>
      <c r="W939" s="205"/>
      <c r="X939" s="1"/>
      <c r="Y939" s="78">
        <f t="shared" si="119"/>
        <v>0</v>
      </c>
      <c r="Z939" s="78">
        <f t="shared" si="120"/>
        <v>0</v>
      </c>
      <c r="AA939" s="78">
        <f t="shared" si="124"/>
        <v>0</v>
      </c>
      <c r="AB939" s="78">
        <f t="shared" si="121"/>
        <v>0</v>
      </c>
      <c r="AC939" s="78"/>
      <c r="AD939" s="78">
        <v>0</v>
      </c>
      <c r="AE939" s="80">
        <f t="shared" si="123"/>
        <v>0</v>
      </c>
      <c r="AF939" s="82">
        <v>0</v>
      </c>
      <c r="AG939" s="69">
        <v>40393</v>
      </c>
      <c r="AH939" s="84"/>
      <c r="AI939" s="69" t="s">
        <v>1984</v>
      </c>
      <c r="AJ939" s="25" t="s">
        <v>1985</v>
      </c>
      <c r="AK939" s="65"/>
      <c r="AL939" s="185" t="s">
        <v>1257</v>
      </c>
      <c r="AM939" s="85" t="s">
        <v>1055</v>
      </c>
      <c r="AN939" s="3"/>
      <c r="AO939" s="4"/>
      <c r="AP939" s="5"/>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6"/>
      <c r="CQ939" s="7"/>
      <c r="CR939" s="6"/>
      <c r="CS939" s="7"/>
      <c r="CT939" s="6"/>
      <c r="CU939" s="7"/>
      <c r="CV939" s="8">
        <f t="shared" si="122"/>
        <v>0</v>
      </c>
      <c r="CW939" s="9"/>
      <c r="CX939" s="10"/>
      <c r="CY939" s="11"/>
      <c r="CZ939" s="12"/>
      <c r="DA939" s="29"/>
      <c r="DB939" s="12"/>
      <c r="DC939" s="9"/>
      <c r="DD939" s="10"/>
      <c r="DE939" s="71"/>
      <c r="EO939" s="353" t="str">
        <f t="shared" si="125"/>
        <v>ATLANTICO_BARRANQUILLA</v>
      </c>
      <c r="EP939" s="350"/>
      <c r="EQ939" s="350" t="s">
        <v>4571</v>
      </c>
      <c r="ER939" s="358" t="s">
        <v>4572</v>
      </c>
      <c r="ES939" s="350" t="s">
        <v>5619</v>
      </c>
      <c r="ET939" s="350" t="s">
        <v>3557</v>
      </c>
      <c r="EU939" s="350" t="str">
        <f t="shared" si="118"/>
        <v>Sucre_Los Palmitos</v>
      </c>
    </row>
    <row r="940" spans="1:151" ht="78.75" x14ac:dyDescent="0.2">
      <c r="A940" s="242">
        <v>40391</v>
      </c>
      <c r="B940" s="107" t="s">
        <v>2017</v>
      </c>
      <c r="C940" s="107" t="s">
        <v>1962</v>
      </c>
      <c r="D940" s="427" t="s">
        <v>837</v>
      </c>
      <c r="E940" s="107" t="str">
        <f>VLOOKUP(B940&amp;C940,Divipola!$C$2:$F$1138,4,FALSE)</f>
        <v>13430</v>
      </c>
      <c r="F940" s="330"/>
      <c r="G940" s="224"/>
      <c r="H940" s="75"/>
      <c r="I940" s="75"/>
      <c r="J940" s="75">
        <f>7948*5</f>
        <v>39740</v>
      </c>
      <c r="K940" s="75">
        <v>7948</v>
      </c>
      <c r="L940" s="75"/>
      <c r="M940" s="75">
        <v>7948</v>
      </c>
      <c r="N940" s="75"/>
      <c r="O940" s="75"/>
      <c r="P940" s="75"/>
      <c r="Q940" s="75"/>
      <c r="R940" s="75"/>
      <c r="S940" s="75"/>
      <c r="T940" s="75"/>
      <c r="U940" s="75"/>
      <c r="V940" s="76"/>
      <c r="W940" s="205"/>
      <c r="X940" s="1">
        <v>40415</v>
      </c>
      <c r="Y940" s="78">
        <f t="shared" si="119"/>
        <v>212700000</v>
      </c>
      <c r="Z940" s="78">
        <f t="shared" si="120"/>
        <v>544000000</v>
      </c>
      <c r="AA940" s="78">
        <f t="shared" ref="AA940:AA976" si="126">DB940+DD940</f>
        <v>0</v>
      </c>
      <c r="AB940" s="78">
        <f t="shared" si="121"/>
        <v>0</v>
      </c>
      <c r="AC940" s="78"/>
      <c r="AD940" s="78">
        <v>0</v>
      </c>
      <c r="AE940" s="80">
        <f t="shared" si="123"/>
        <v>756700000</v>
      </c>
      <c r="AF940" s="82">
        <v>0</v>
      </c>
      <c r="AG940" s="69">
        <v>40395</v>
      </c>
      <c r="AH940" s="84">
        <v>38939</v>
      </c>
      <c r="AI940" s="69" t="s">
        <v>2009</v>
      </c>
      <c r="AJ940" s="25" t="s">
        <v>2010</v>
      </c>
      <c r="AK940" s="88" t="s">
        <v>2897</v>
      </c>
      <c r="AL940" s="185" t="s">
        <v>1431</v>
      </c>
      <c r="AM940" s="173" t="s">
        <v>2709</v>
      </c>
      <c r="AN940" s="3"/>
      <c r="AO940" s="4"/>
      <c r="AP940" s="5"/>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f>1500+2500+600+2300</f>
        <v>6900</v>
      </c>
      <c r="CO940" s="4">
        <f>1500*18000+2500*18000+600*23000+2300*23000</f>
        <v>138700000</v>
      </c>
      <c r="CP940" s="6">
        <v>2000</v>
      </c>
      <c r="CQ940" s="7">
        <f>2000*37000</f>
        <v>74000000</v>
      </c>
      <c r="CR940" s="6"/>
      <c r="CS940" s="7"/>
      <c r="CT940" s="6"/>
      <c r="CU940" s="7"/>
      <c r="CV940" s="8">
        <f t="shared" si="122"/>
        <v>212700000</v>
      </c>
      <c r="CW940" s="9"/>
      <c r="CX940" s="10"/>
      <c r="CY940" s="11">
        <f>500+1000+2000+1180+1720</f>
        <v>6400</v>
      </c>
      <c r="CZ940" s="12">
        <f>500*85000+1000*85000+2000*85000+1180*85000+1720*85000</f>
        <v>544000000</v>
      </c>
      <c r="DA940" s="29"/>
      <c r="DB940" s="12"/>
      <c r="DC940" s="9"/>
      <c r="DD940" s="10"/>
      <c r="DE940" s="71"/>
      <c r="EO940" s="353" t="str">
        <f t="shared" si="125"/>
        <v>BOLIVAR_MAGANGUE</v>
      </c>
      <c r="EP940" s="350"/>
      <c r="EQ940" s="350" t="s">
        <v>4571</v>
      </c>
      <c r="ER940" s="358" t="s">
        <v>4572</v>
      </c>
      <c r="ES940" s="350" t="s">
        <v>5620</v>
      </c>
      <c r="ET940" s="350" t="s">
        <v>3558</v>
      </c>
      <c r="EU940" s="350" t="str">
        <f t="shared" si="118"/>
        <v>Sucre_Majagual</v>
      </c>
    </row>
    <row r="941" spans="1:151" ht="25.5" x14ac:dyDescent="0.2">
      <c r="A941" s="242">
        <v>40391</v>
      </c>
      <c r="B941" s="107" t="s">
        <v>289</v>
      </c>
      <c r="C941" s="107" t="s">
        <v>711</v>
      </c>
      <c r="D941" s="427" t="s">
        <v>2307</v>
      </c>
      <c r="E941" s="107" t="str">
        <f>VLOOKUP(B941&amp;C941,Divipola!$C$2:$F$1138,4,FALSE)</f>
        <v>17001</v>
      </c>
      <c r="F941" s="330"/>
      <c r="G941" s="224"/>
      <c r="H941" s="75">
        <v>3</v>
      </c>
      <c r="I941" s="75"/>
      <c r="J941" s="75">
        <v>20</v>
      </c>
      <c r="K941" s="75">
        <v>4</v>
      </c>
      <c r="L941" s="75">
        <v>3</v>
      </c>
      <c r="M941" s="75">
        <v>1</v>
      </c>
      <c r="N941" s="75"/>
      <c r="O941" s="75"/>
      <c r="P941" s="75"/>
      <c r="Q941" s="75"/>
      <c r="R941" s="75"/>
      <c r="S941" s="75"/>
      <c r="T941" s="75"/>
      <c r="U941" s="75"/>
      <c r="V941" s="76"/>
      <c r="W941" s="205"/>
      <c r="X941" s="1"/>
      <c r="Y941" s="78">
        <f t="shared" si="119"/>
        <v>0</v>
      </c>
      <c r="Z941" s="78">
        <f t="shared" si="120"/>
        <v>0</v>
      </c>
      <c r="AA941" s="78">
        <f t="shared" si="126"/>
        <v>0</v>
      </c>
      <c r="AB941" s="78">
        <f t="shared" si="121"/>
        <v>0</v>
      </c>
      <c r="AC941" s="78"/>
      <c r="AD941" s="78">
        <v>0</v>
      </c>
      <c r="AE941" s="80">
        <f t="shared" si="123"/>
        <v>0</v>
      </c>
      <c r="AF941" s="82">
        <v>0</v>
      </c>
      <c r="AG941" s="69">
        <v>40393</v>
      </c>
      <c r="AH941" s="84"/>
      <c r="AI941" s="69" t="s">
        <v>2009</v>
      </c>
      <c r="AJ941" s="25" t="s">
        <v>2010</v>
      </c>
      <c r="AK941" s="65"/>
      <c r="AL941" s="184" t="s">
        <v>3833</v>
      </c>
      <c r="AM941" s="85" t="s">
        <v>1053</v>
      </c>
      <c r="AN941" s="3"/>
      <c r="AO941" s="4"/>
      <c r="AP941" s="5"/>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6"/>
      <c r="CQ941" s="7"/>
      <c r="CR941" s="6"/>
      <c r="CS941" s="7"/>
      <c r="CT941" s="6"/>
      <c r="CU941" s="7"/>
      <c r="CV941" s="8">
        <f t="shared" si="122"/>
        <v>0</v>
      </c>
      <c r="CW941" s="9"/>
      <c r="CX941" s="10"/>
      <c r="CY941" s="11"/>
      <c r="CZ941" s="12"/>
      <c r="DA941" s="29"/>
      <c r="DB941" s="12"/>
      <c r="DC941" s="9"/>
      <c r="DD941" s="10"/>
      <c r="DE941" s="71"/>
      <c r="EO941" s="353" t="str">
        <f t="shared" si="125"/>
        <v>CALDAS_MANIZALES</v>
      </c>
      <c r="EP941" s="350"/>
      <c r="EQ941" s="350" t="s">
        <v>4571</v>
      </c>
      <c r="ER941" s="358" t="s">
        <v>4572</v>
      </c>
      <c r="ES941" s="350" t="s">
        <v>5621</v>
      </c>
      <c r="ET941" s="350" t="s">
        <v>3559</v>
      </c>
      <c r="EU941" s="350" t="str">
        <f t="shared" si="118"/>
        <v>Sucre_Morroa</v>
      </c>
    </row>
    <row r="942" spans="1:151" ht="38.25" x14ac:dyDescent="0.2">
      <c r="A942" s="242">
        <v>40391</v>
      </c>
      <c r="B942" s="236" t="s">
        <v>2242</v>
      </c>
      <c r="C942" s="222" t="s">
        <v>1238</v>
      </c>
      <c r="D942" s="433" t="s">
        <v>837</v>
      </c>
      <c r="E942" s="107" t="str">
        <f>VLOOKUP(B942&amp;C942,Divipola!$C$2:$F$1138,4,FALSE)</f>
        <v>20013</v>
      </c>
      <c r="F942" s="335"/>
      <c r="G942" s="221"/>
      <c r="H942" s="157"/>
      <c r="I942" s="157"/>
      <c r="J942" s="157">
        <f>579*5</f>
        <v>2895</v>
      </c>
      <c r="K942" s="157">
        <f>685-93-13</f>
        <v>579</v>
      </c>
      <c r="L942" s="157"/>
      <c r="M942" s="157">
        <v>102</v>
      </c>
      <c r="N942" s="157"/>
      <c r="O942" s="157"/>
      <c r="P942" s="157"/>
      <c r="Q942" s="157"/>
      <c r="R942" s="157"/>
      <c r="S942" s="157"/>
      <c r="T942" s="157"/>
      <c r="U942" s="157"/>
      <c r="V942" s="158"/>
      <c r="W942" s="182"/>
      <c r="X942" s="1"/>
      <c r="Y942" s="78">
        <f t="shared" si="119"/>
        <v>0</v>
      </c>
      <c r="Z942" s="78">
        <f t="shared" si="120"/>
        <v>0</v>
      </c>
      <c r="AA942" s="78">
        <f t="shared" si="126"/>
        <v>0</v>
      </c>
      <c r="AB942" s="78">
        <f t="shared" si="121"/>
        <v>0</v>
      </c>
      <c r="AC942" s="78"/>
      <c r="AD942" s="78">
        <v>0</v>
      </c>
      <c r="AE942" s="80">
        <f t="shared" si="123"/>
        <v>0</v>
      </c>
      <c r="AF942" s="82">
        <v>0</v>
      </c>
      <c r="AG942" s="69">
        <v>40422</v>
      </c>
      <c r="AH942" s="84"/>
      <c r="AI942" s="69" t="s">
        <v>1984</v>
      </c>
      <c r="AJ942" s="25" t="s">
        <v>1985</v>
      </c>
      <c r="AK942" s="65"/>
      <c r="AL942" s="176" t="s">
        <v>194</v>
      </c>
      <c r="AM942" s="173" t="s">
        <v>283</v>
      </c>
      <c r="AN942" s="159"/>
      <c r="AO942" s="160"/>
      <c r="AP942" s="161"/>
      <c r="AQ942" s="160"/>
      <c r="AR942" s="160"/>
      <c r="AS942" s="160"/>
      <c r="AT942" s="160"/>
      <c r="AU942" s="160"/>
      <c r="AV942" s="160"/>
      <c r="AW942" s="160"/>
      <c r="AX942" s="160"/>
      <c r="AY942" s="160"/>
      <c r="AZ942" s="160"/>
      <c r="BA942" s="160"/>
      <c r="BB942" s="160"/>
      <c r="BC942" s="160"/>
      <c r="BD942" s="160"/>
      <c r="BE942" s="160"/>
      <c r="BF942" s="160"/>
      <c r="BG942" s="160"/>
      <c r="BH942" s="160"/>
      <c r="BI942" s="160"/>
      <c r="BJ942" s="160"/>
      <c r="BK942" s="160"/>
      <c r="BL942" s="160"/>
      <c r="BM942" s="160"/>
      <c r="BN942" s="160"/>
      <c r="BO942" s="160"/>
      <c r="BP942" s="160"/>
      <c r="BQ942" s="160"/>
      <c r="BR942" s="160"/>
      <c r="BS942" s="160"/>
      <c r="BT942" s="160"/>
      <c r="BU942" s="160"/>
      <c r="BV942" s="160"/>
      <c r="BW942" s="160"/>
      <c r="BX942" s="160"/>
      <c r="BY942" s="160"/>
      <c r="BZ942" s="160"/>
      <c r="CA942" s="160"/>
      <c r="CB942" s="160"/>
      <c r="CC942" s="160"/>
      <c r="CD942" s="160"/>
      <c r="CE942" s="160"/>
      <c r="CF942" s="160"/>
      <c r="CG942" s="160"/>
      <c r="CH942" s="160"/>
      <c r="CI942" s="160"/>
      <c r="CJ942" s="160"/>
      <c r="CK942" s="160"/>
      <c r="CL942" s="160"/>
      <c r="CM942" s="160"/>
      <c r="CN942" s="160"/>
      <c r="CO942" s="160"/>
      <c r="CP942" s="162"/>
      <c r="CQ942" s="163"/>
      <c r="CR942" s="162"/>
      <c r="CS942" s="163"/>
      <c r="CT942" s="162"/>
      <c r="CU942" s="163"/>
      <c r="CV942" s="164">
        <f t="shared" si="122"/>
        <v>0</v>
      </c>
      <c r="CW942" s="165"/>
      <c r="CX942" s="166"/>
      <c r="CY942" s="167"/>
      <c r="CZ942" s="168"/>
      <c r="DA942" s="169"/>
      <c r="DB942" s="168"/>
      <c r="DC942" s="165"/>
      <c r="DD942" s="166"/>
      <c r="DE942" s="71"/>
      <c r="DF942" s="170"/>
      <c r="EO942" s="353" t="str">
        <f t="shared" si="125"/>
        <v>CESAR_AGUSTIN CODAZZI</v>
      </c>
      <c r="EP942" s="350"/>
      <c r="EQ942" s="350" t="s">
        <v>4571</v>
      </c>
      <c r="ER942" s="358" t="s">
        <v>4572</v>
      </c>
      <c r="ES942" s="350" t="s">
        <v>5622</v>
      </c>
      <c r="ET942" s="350" t="s">
        <v>3560</v>
      </c>
      <c r="EU942" s="350" t="str">
        <f t="shared" si="118"/>
        <v>Sucre_Ovejas</v>
      </c>
    </row>
    <row r="943" spans="1:151" ht="25.5" x14ac:dyDescent="0.2">
      <c r="A943" s="242">
        <v>40391</v>
      </c>
      <c r="B943" s="236" t="s">
        <v>2242</v>
      </c>
      <c r="C943" s="236" t="s">
        <v>1105</v>
      </c>
      <c r="D943" s="433" t="s">
        <v>837</v>
      </c>
      <c r="E943" s="107" t="str">
        <f>VLOOKUP(B943&amp;C943,Divipola!$C$2:$F$1138,4,FALSE)</f>
        <v>20032</v>
      </c>
      <c r="F943" s="335"/>
      <c r="G943" s="221"/>
      <c r="H943" s="157"/>
      <c r="I943" s="157"/>
      <c r="J943" s="157">
        <f>150*5</f>
        <v>750</v>
      </c>
      <c r="K943" s="157">
        <v>150</v>
      </c>
      <c r="L943" s="157"/>
      <c r="M943" s="157">
        <v>150</v>
      </c>
      <c r="N943" s="157"/>
      <c r="O943" s="157"/>
      <c r="P943" s="157"/>
      <c r="Q943" s="157"/>
      <c r="R943" s="157"/>
      <c r="S943" s="157"/>
      <c r="T943" s="157"/>
      <c r="U943" s="157"/>
      <c r="V943" s="158"/>
      <c r="W943" s="182"/>
      <c r="X943" s="1">
        <v>40427</v>
      </c>
      <c r="Y943" s="78">
        <f t="shared" si="119"/>
        <v>8100000</v>
      </c>
      <c r="Z943" s="78">
        <f t="shared" si="120"/>
        <v>12750000</v>
      </c>
      <c r="AA943" s="78">
        <f t="shared" si="126"/>
        <v>0</v>
      </c>
      <c r="AB943" s="78">
        <f t="shared" si="121"/>
        <v>0</v>
      </c>
      <c r="AC943" s="78"/>
      <c r="AD943" s="78">
        <v>0</v>
      </c>
      <c r="AE943" s="80">
        <f t="shared" si="123"/>
        <v>20850000</v>
      </c>
      <c r="AF943" s="82">
        <v>0</v>
      </c>
      <c r="AG943" s="69">
        <v>40393</v>
      </c>
      <c r="AH943" s="84">
        <v>38583</v>
      </c>
      <c r="AI943" s="69" t="s">
        <v>2009</v>
      </c>
      <c r="AJ943" s="25" t="s">
        <v>2010</v>
      </c>
      <c r="AK943" s="88" t="s">
        <v>1626</v>
      </c>
      <c r="AL943" s="185" t="s">
        <v>648</v>
      </c>
      <c r="AM943" s="249" t="s">
        <v>283</v>
      </c>
      <c r="AN943" s="175"/>
      <c r="AO943" s="160"/>
      <c r="AP943" s="161"/>
      <c r="AQ943" s="160"/>
      <c r="AR943" s="160"/>
      <c r="AS943" s="160"/>
      <c r="AT943" s="160"/>
      <c r="AU943" s="160"/>
      <c r="AV943" s="160"/>
      <c r="AW943" s="160"/>
      <c r="AX943" s="160"/>
      <c r="AY943" s="160"/>
      <c r="AZ943" s="160"/>
      <c r="BA943" s="160"/>
      <c r="BB943" s="160"/>
      <c r="BC943" s="160"/>
      <c r="BD943" s="160"/>
      <c r="BE943" s="160"/>
      <c r="BF943" s="160"/>
      <c r="BG943" s="160"/>
      <c r="BH943" s="160"/>
      <c r="BI943" s="160"/>
      <c r="BJ943" s="160"/>
      <c r="BK943" s="160"/>
      <c r="BL943" s="160"/>
      <c r="BM943" s="160"/>
      <c r="BN943" s="160"/>
      <c r="BO943" s="160"/>
      <c r="BP943" s="160"/>
      <c r="BQ943" s="160"/>
      <c r="BR943" s="160"/>
      <c r="BS943" s="160"/>
      <c r="BT943" s="160"/>
      <c r="BU943" s="160"/>
      <c r="BV943" s="160"/>
      <c r="BW943" s="160"/>
      <c r="BX943" s="160"/>
      <c r="BY943" s="160"/>
      <c r="BZ943" s="160"/>
      <c r="CA943" s="160"/>
      <c r="CB943" s="160"/>
      <c r="CC943" s="160"/>
      <c r="CD943" s="160"/>
      <c r="CE943" s="160"/>
      <c r="CF943" s="160"/>
      <c r="CG943" s="160"/>
      <c r="CH943" s="160"/>
      <c r="CI943" s="160"/>
      <c r="CJ943" s="160"/>
      <c r="CK943" s="160"/>
      <c r="CL943" s="160"/>
      <c r="CM943" s="160"/>
      <c r="CN943" s="160">
        <v>150</v>
      </c>
      <c r="CO943" s="160">
        <f>150*18000</f>
        <v>2700000</v>
      </c>
      <c r="CP943" s="162"/>
      <c r="CQ943" s="163"/>
      <c r="CR943" s="162">
        <v>150</v>
      </c>
      <c r="CS943" s="163">
        <f>150*36000</f>
        <v>5400000</v>
      </c>
      <c r="CT943" s="162"/>
      <c r="CU943" s="163"/>
      <c r="CV943" s="164">
        <f t="shared" si="122"/>
        <v>8100000</v>
      </c>
      <c r="CW943" s="165"/>
      <c r="CX943" s="166"/>
      <c r="CY943" s="167">
        <v>150</v>
      </c>
      <c r="CZ943" s="168">
        <f>150*85000</f>
        <v>12750000</v>
      </c>
      <c r="DA943" s="169"/>
      <c r="DB943" s="168"/>
      <c r="DC943" s="165"/>
      <c r="DD943" s="166"/>
      <c r="DE943" s="71"/>
      <c r="DF943" s="170"/>
      <c r="EO943" s="353" t="str">
        <f t="shared" si="125"/>
        <v>CESAR_ASTREA</v>
      </c>
      <c r="EP943" s="350"/>
      <c r="EQ943" s="350" t="s">
        <v>4571</v>
      </c>
      <c r="ER943" s="358" t="s">
        <v>4572</v>
      </c>
      <c r="ES943" s="350" t="s">
        <v>5623</v>
      </c>
      <c r="ET943" s="350" t="s">
        <v>3561</v>
      </c>
      <c r="EU943" s="350" t="str">
        <f t="shared" si="118"/>
        <v>Sucre_Palmito</v>
      </c>
    </row>
    <row r="944" spans="1:151" ht="25.5" x14ac:dyDescent="0.2">
      <c r="A944" s="242">
        <v>40391</v>
      </c>
      <c r="B944" s="236" t="s">
        <v>2242</v>
      </c>
      <c r="C944" s="236" t="s">
        <v>228</v>
      </c>
      <c r="D944" s="433" t="s">
        <v>837</v>
      </c>
      <c r="E944" s="107" t="str">
        <f>VLOOKUP(B944&amp;C944,Divipola!$C$2:$F$1138,4,FALSE)</f>
        <v>20045</v>
      </c>
      <c r="F944" s="335"/>
      <c r="G944" s="221"/>
      <c r="H944" s="157"/>
      <c r="I944" s="157"/>
      <c r="J944" s="157">
        <f>38*5</f>
        <v>190</v>
      </c>
      <c r="K944" s="157">
        <v>38</v>
      </c>
      <c r="L944" s="157"/>
      <c r="M944" s="157">
        <v>38</v>
      </c>
      <c r="N944" s="157"/>
      <c r="O944" s="157"/>
      <c r="P944" s="157"/>
      <c r="Q944" s="157"/>
      <c r="R944" s="157"/>
      <c r="S944" s="157"/>
      <c r="T944" s="157"/>
      <c r="U944" s="157"/>
      <c r="V944" s="158"/>
      <c r="W944" s="182" t="s">
        <v>1234</v>
      </c>
      <c r="X944" s="1">
        <v>40452</v>
      </c>
      <c r="Y944" s="78">
        <f t="shared" si="119"/>
        <v>2052000</v>
      </c>
      <c r="Z944" s="78">
        <f t="shared" si="120"/>
        <v>3230000</v>
      </c>
      <c r="AA944" s="78">
        <f t="shared" si="126"/>
        <v>0</v>
      </c>
      <c r="AB944" s="78">
        <f t="shared" si="121"/>
        <v>0</v>
      </c>
      <c r="AC944" s="78"/>
      <c r="AD944" s="78">
        <v>0</v>
      </c>
      <c r="AE944" s="80">
        <f t="shared" si="123"/>
        <v>5282000</v>
      </c>
      <c r="AF944" s="82">
        <v>0</v>
      </c>
      <c r="AG944" s="69">
        <v>40422</v>
      </c>
      <c r="AH944" s="84">
        <v>50562</v>
      </c>
      <c r="AI944" s="69" t="s">
        <v>2009</v>
      </c>
      <c r="AJ944" s="70" t="s">
        <v>2010</v>
      </c>
      <c r="AK944" s="65">
        <v>20729</v>
      </c>
      <c r="AL944" s="176" t="s">
        <v>1628</v>
      </c>
      <c r="AM944" s="173" t="s">
        <v>1233</v>
      </c>
      <c r="AN944" s="159"/>
      <c r="AO944" s="160"/>
      <c r="AP944" s="161"/>
      <c r="AQ944" s="160"/>
      <c r="AR944" s="160"/>
      <c r="AS944" s="160"/>
      <c r="AT944" s="160"/>
      <c r="AU944" s="160"/>
      <c r="AV944" s="160"/>
      <c r="AW944" s="160"/>
      <c r="AX944" s="160"/>
      <c r="AY944" s="160"/>
      <c r="AZ944" s="160"/>
      <c r="BA944" s="160"/>
      <c r="BB944" s="160"/>
      <c r="BC944" s="160"/>
      <c r="BD944" s="160"/>
      <c r="BE944" s="160"/>
      <c r="BF944" s="160"/>
      <c r="BG944" s="160"/>
      <c r="BH944" s="160"/>
      <c r="BI944" s="160"/>
      <c r="BJ944" s="160"/>
      <c r="BK944" s="160"/>
      <c r="BL944" s="160"/>
      <c r="BM944" s="160"/>
      <c r="BN944" s="160"/>
      <c r="BO944" s="160"/>
      <c r="BP944" s="160"/>
      <c r="BQ944" s="160"/>
      <c r="BR944" s="160"/>
      <c r="BS944" s="160"/>
      <c r="BT944" s="160"/>
      <c r="BU944" s="160"/>
      <c r="BV944" s="160"/>
      <c r="BW944" s="160"/>
      <c r="BX944" s="160"/>
      <c r="BY944" s="160"/>
      <c r="BZ944" s="160"/>
      <c r="CA944" s="160"/>
      <c r="CB944" s="160"/>
      <c r="CC944" s="160"/>
      <c r="CD944" s="160"/>
      <c r="CE944" s="160"/>
      <c r="CF944" s="160"/>
      <c r="CG944" s="160"/>
      <c r="CH944" s="160"/>
      <c r="CI944" s="160"/>
      <c r="CJ944" s="160"/>
      <c r="CK944" s="160"/>
      <c r="CL944" s="160"/>
      <c r="CM944" s="160"/>
      <c r="CN944" s="160">
        <v>38</v>
      </c>
      <c r="CO944" s="160">
        <f>38*18000</f>
        <v>684000</v>
      </c>
      <c r="CP944" s="162"/>
      <c r="CQ944" s="163"/>
      <c r="CR944" s="162">
        <v>38</v>
      </c>
      <c r="CS944" s="163">
        <f>38*36000</f>
        <v>1368000</v>
      </c>
      <c r="CT944" s="162"/>
      <c r="CU944" s="163"/>
      <c r="CV944" s="164">
        <f t="shared" si="122"/>
        <v>2052000</v>
      </c>
      <c r="CW944" s="165"/>
      <c r="CX944" s="166"/>
      <c r="CY944" s="167">
        <v>38</v>
      </c>
      <c r="CZ944" s="168">
        <f>38*85000</f>
        <v>3230000</v>
      </c>
      <c r="DA944" s="169"/>
      <c r="DB944" s="168"/>
      <c r="DC944" s="165"/>
      <c r="DD944" s="166"/>
      <c r="DE944" s="71"/>
      <c r="DF944" s="170"/>
      <c r="EO944" s="353" t="str">
        <f t="shared" si="125"/>
        <v>CESAR_BECERRIL</v>
      </c>
      <c r="EP944" s="350"/>
      <c r="EQ944" s="350" t="s">
        <v>4571</v>
      </c>
      <c r="ER944" s="358" t="s">
        <v>4572</v>
      </c>
      <c r="ES944" s="350" t="s">
        <v>5624</v>
      </c>
      <c r="ET944" s="350" t="s">
        <v>3562</v>
      </c>
      <c r="EU944" s="350" t="str">
        <f t="shared" si="118"/>
        <v>Sucre_Sampues</v>
      </c>
    </row>
    <row r="945" spans="1:151" ht="25.5" x14ac:dyDescent="0.2">
      <c r="A945" s="242">
        <v>40391</v>
      </c>
      <c r="B945" s="236" t="s">
        <v>2242</v>
      </c>
      <c r="C945" s="236" t="s">
        <v>189</v>
      </c>
      <c r="D945" s="433" t="s">
        <v>837</v>
      </c>
      <c r="E945" s="107" t="str">
        <f>VLOOKUP(B945&amp;C945,Divipola!$C$2:$F$1138,4,FALSE)</f>
        <v>20175</v>
      </c>
      <c r="F945" s="335"/>
      <c r="G945" s="221"/>
      <c r="H945" s="157"/>
      <c r="I945" s="157"/>
      <c r="J945" s="157">
        <f>2118*5</f>
        <v>10590</v>
      </c>
      <c r="K945" s="157">
        <v>2118</v>
      </c>
      <c r="L945" s="157"/>
      <c r="M945" s="157">
        <v>2118</v>
      </c>
      <c r="N945" s="157"/>
      <c r="O945" s="157"/>
      <c r="P945" s="157"/>
      <c r="Q945" s="157"/>
      <c r="R945" s="157"/>
      <c r="S945" s="157"/>
      <c r="T945" s="157"/>
      <c r="U945" s="157"/>
      <c r="V945" s="158"/>
      <c r="W945" s="182"/>
      <c r="X945" s="1">
        <v>40427</v>
      </c>
      <c r="Y945" s="78">
        <f t="shared" si="119"/>
        <v>108000000</v>
      </c>
      <c r="Z945" s="78">
        <f t="shared" si="120"/>
        <v>170000000</v>
      </c>
      <c r="AA945" s="78">
        <f t="shared" si="126"/>
        <v>0</v>
      </c>
      <c r="AB945" s="78">
        <f t="shared" si="121"/>
        <v>0</v>
      </c>
      <c r="AC945" s="78"/>
      <c r="AD945" s="78">
        <v>0</v>
      </c>
      <c r="AE945" s="80">
        <f t="shared" si="123"/>
        <v>278000000</v>
      </c>
      <c r="AF945" s="82">
        <v>0</v>
      </c>
      <c r="AG945" s="69">
        <v>40393</v>
      </c>
      <c r="AH945" s="84">
        <v>38583</v>
      </c>
      <c r="AI945" s="69" t="s">
        <v>2009</v>
      </c>
      <c r="AJ945" s="25" t="s">
        <v>2010</v>
      </c>
      <c r="AK945" s="88" t="s">
        <v>1626</v>
      </c>
      <c r="AL945" s="185" t="s">
        <v>648</v>
      </c>
      <c r="AM945" s="173" t="s">
        <v>283</v>
      </c>
      <c r="AN945" s="159"/>
      <c r="AO945" s="160"/>
      <c r="AP945" s="161"/>
      <c r="AQ945" s="160"/>
      <c r="AR945" s="160"/>
      <c r="AS945" s="160"/>
      <c r="AT945" s="160"/>
      <c r="AU945" s="160"/>
      <c r="AV945" s="160"/>
      <c r="AW945" s="160"/>
      <c r="AX945" s="160"/>
      <c r="AY945" s="160"/>
      <c r="AZ945" s="160"/>
      <c r="BA945" s="160"/>
      <c r="BB945" s="160"/>
      <c r="BC945" s="160"/>
      <c r="BD945" s="160"/>
      <c r="BE945" s="160"/>
      <c r="BF945" s="160"/>
      <c r="BG945" s="160"/>
      <c r="BH945" s="160"/>
      <c r="BI945" s="160"/>
      <c r="BJ945" s="160"/>
      <c r="BK945" s="160"/>
      <c r="BL945" s="160"/>
      <c r="BM945" s="160"/>
      <c r="BN945" s="160"/>
      <c r="BO945" s="160"/>
      <c r="BP945" s="160"/>
      <c r="BQ945" s="160"/>
      <c r="BR945" s="160"/>
      <c r="BS945" s="160"/>
      <c r="BT945" s="160"/>
      <c r="BU945" s="160"/>
      <c r="BV945" s="160"/>
      <c r="BW945" s="160"/>
      <c r="BX945" s="160"/>
      <c r="BY945" s="160"/>
      <c r="BZ945" s="160"/>
      <c r="CA945" s="160"/>
      <c r="CB945" s="160"/>
      <c r="CC945" s="160"/>
      <c r="CD945" s="160"/>
      <c r="CE945" s="160"/>
      <c r="CF945" s="160"/>
      <c r="CG945" s="160"/>
      <c r="CH945" s="160"/>
      <c r="CI945" s="160"/>
      <c r="CJ945" s="160"/>
      <c r="CK945" s="160"/>
      <c r="CL945" s="160"/>
      <c r="CM945" s="160"/>
      <c r="CN945" s="160">
        <v>2000</v>
      </c>
      <c r="CO945" s="160">
        <f>2000*18000</f>
        <v>36000000</v>
      </c>
      <c r="CP945" s="162"/>
      <c r="CQ945" s="163"/>
      <c r="CR945" s="162">
        <v>2000</v>
      </c>
      <c r="CS945" s="163">
        <f>2000*36000</f>
        <v>72000000</v>
      </c>
      <c r="CT945" s="162"/>
      <c r="CU945" s="163"/>
      <c r="CV945" s="164">
        <f t="shared" si="122"/>
        <v>108000000</v>
      </c>
      <c r="CW945" s="165"/>
      <c r="CX945" s="166"/>
      <c r="CY945" s="167">
        <v>2000</v>
      </c>
      <c r="CZ945" s="168">
        <f>2000*85000</f>
        <v>170000000</v>
      </c>
      <c r="DA945" s="169"/>
      <c r="DB945" s="168"/>
      <c r="DC945" s="165"/>
      <c r="DD945" s="166"/>
      <c r="DE945" s="71"/>
      <c r="DF945" s="178"/>
      <c r="EO945" s="353" t="str">
        <f t="shared" si="125"/>
        <v>CESAR_CHIMICHAGUA</v>
      </c>
      <c r="EP945" s="350"/>
      <c r="EQ945" s="350" t="s">
        <v>4571</v>
      </c>
      <c r="ER945" s="358" t="s">
        <v>4572</v>
      </c>
      <c r="ES945" s="350" t="s">
        <v>5625</v>
      </c>
      <c r="ET945" s="350" t="s">
        <v>3563</v>
      </c>
      <c r="EU945" s="350" t="str">
        <f t="shared" si="118"/>
        <v>Sucre_San Benito Abad</v>
      </c>
    </row>
    <row r="946" spans="1:151" ht="60" x14ac:dyDescent="0.2">
      <c r="A946" s="242">
        <v>40391</v>
      </c>
      <c r="B946" s="107" t="s">
        <v>2242</v>
      </c>
      <c r="C946" s="107" t="s">
        <v>1405</v>
      </c>
      <c r="D946" s="427" t="s">
        <v>837</v>
      </c>
      <c r="E946" s="107" t="str">
        <f>VLOOKUP(B946&amp;C946,Divipola!$C$2:$F$1138,4,FALSE)</f>
        <v>20295</v>
      </c>
      <c r="F946" s="330"/>
      <c r="G946" s="224"/>
      <c r="H946" s="75"/>
      <c r="I946" s="75"/>
      <c r="J946" s="75">
        <f>762*5</f>
        <v>3810</v>
      </c>
      <c r="K946" s="75">
        <v>762</v>
      </c>
      <c r="L946" s="75"/>
      <c r="M946" s="75">
        <v>762</v>
      </c>
      <c r="N946" s="75"/>
      <c r="O946" s="75"/>
      <c r="P946" s="75"/>
      <c r="Q946" s="75"/>
      <c r="R946" s="75"/>
      <c r="S946" s="75"/>
      <c r="T946" s="75"/>
      <c r="U946" s="75"/>
      <c r="V946" s="76"/>
      <c r="W946" s="205"/>
      <c r="X946" s="1"/>
      <c r="Y946" s="78">
        <f t="shared" si="119"/>
        <v>0</v>
      </c>
      <c r="Z946" s="78">
        <f t="shared" si="120"/>
        <v>0</v>
      </c>
      <c r="AA946" s="78">
        <f t="shared" si="126"/>
        <v>0</v>
      </c>
      <c r="AB946" s="78">
        <f t="shared" si="121"/>
        <v>0</v>
      </c>
      <c r="AC946" s="78"/>
      <c r="AD946" s="78">
        <v>0</v>
      </c>
      <c r="AE946" s="80">
        <f t="shared" si="123"/>
        <v>0</v>
      </c>
      <c r="AF946" s="82">
        <v>0</v>
      </c>
      <c r="AG946" s="69">
        <v>40379</v>
      </c>
      <c r="AH946" s="84"/>
      <c r="AI946" s="69" t="s">
        <v>1984</v>
      </c>
      <c r="AJ946" s="25" t="s">
        <v>1985</v>
      </c>
      <c r="AK946" s="65"/>
      <c r="AL946" s="185" t="s">
        <v>194</v>
      </c>
      <c r="AM946" s="85" t="s">
        <v>1931</v>
      </c>
      <c r="AN946" s="3"/>
      <c r="AO946" s="4"/>
      <c r="AP946" s="5"/>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6"/>
      <c r="CQ946" s="7"/>
      <c r="CR946" s="6"/>
      <c r="CS946" s="7"/>
      <c r="CT946" s="6"/>
      <c r="CU946" s="7"/>
      <c r="CV946" s="8">
        <f t="shared" si="122"/>
        <v>0</v>
      </c>
      <c r="CW946" s="9"/>
      <c r="CX946" s="10"/>
      <c r="CY946" s="11"/>
      <c r="CZ946" s="12"/>
      <c r="DA946" s="29"/>
      <c r="DB946" s="12"/>
      <c r="DC946" s="9"/>
      <c r="DD946" s="10"/>
      <c r="DE946" s="71"/>
      <c r="EO946" s="353" t="str">
        <f t="shared" si="125"/>
        <v>CESAR_GAMARRA</v>
      </c>
      <c r="EP946" s="350"/>
      <c r="EQ946" s="350" t="s">
        <v>4571</v>
      </c>
      <c r="ER946" s="358" t="s">
        <v>4572</v>
      </c>
      <c r="ES946" s="350" t="s">
        <v>5626</v>
      </c>
      <c r="ET946" s="350" t="s">
        <v>3564</v>
      </c>
      <c r="EU946" s="350" t="str">
        <f t="shared" si="118"/>
        <v>Sucre_San Juan de Betulia</v>
      </c>
    </row>
    <row r="947" spans="1:151" ht="25.5" x14ac:dyDescent="0.2">
      <c r="A947" s="242">
        <v>40391</v>
      </c>
      <c r="B947" s="236" t="s">
        <v>2242</v>
      </c>
      <c r="C947" s="236" t="s">
        <v>1227</v>
      </c>
      <c r="D947" s="433" t="s">
        <v>837</v>
      </c>
      <c r="E947" s="107" t="str">
        <f>VLOOKUP(B947&amp;C947,Divipola!$C$2:$F$1138,4,FALSE)</f>
        <v>20621</v>
      </c>
      <c r="F947" s="335"/>
      <c r="G947" s="221"/>
      <c r="H947" s="157"/>
      <c r="I947" s="157"/>
      <c r="J947" s="157">
        <f>598*5</f>
        <v>2990</v>
      </c>
      <c r="K947" s="157">
        <v>598</v>
      </c>
      <c r="L947" s="157"/>
      <c r="M947" s="157">
        <v>178</v>
      </c>
      <c r="N947" s="157"/>
      <c r="O947" s="157"/>
      <c r="P947" s="157"/>
      <c r="Q947" s="157"/>
      <c r="R947" s="157"/>
      <c r="S947" s="157"/>
      <c r="T947" s="157"/>
      <c r="U947" s="157"/>
      <c r="V947" s="158"/>
      <c r="W947" s="182"/>
      <c r="X947" s="1"/>
      <c r="Y947" s="78">
        <f t="shared" si="119"/>
        <v>0</v>
      </c>
      <c r="Z947" s="78">
        <f t="shared" si="120"/>
        <v>0</v>
      </c>
      <c r="AA947" s="78">
        <f t="shared" si="126"/>
        <v>0</v>
      </c>
      <c r="AB947" s="78">
        <f t="shared" si="121"/>
        <v>0</v>
      </c>
      <c r="AC947" s="78"/>
      <c r="AD947" s="78">
        <v>0</v>
      </c>
      <c r="AE947" s="80">
        <f t="shared" si="123"/>
        <v>0</v>
      </c>
      <c r="AF947" s="82">
        <v>0</v>
      </c>
      <c r="AG947" s="69">
        <v>40422</v>
      </c>
      <c r="AH947" s="84"/>
      <c r="AI947" s="69" t="s">
        <v>1984</v>
      </c>
      <c r="AJ947" s="25" t="s">
        <v>1985</v>
      </c>
      <c r="AK947" s="65"/>
      <c r="AL947" s="176" t="s">
        <v>194</v>
      </c>
      <c r="AM947" s="173" t="s">
        <v>283</v>
      </c>
      <c r="AN947" s="159"/>
      <c r="AO947" s="160"/>
      <c r="AP947" s="161"/>
      <c r="AQ947" s="160"/>
      <c r="AR947" s="160"/>
      <c r="AS947" s="160"/>
      <c r="AT947" s="160"/>
      <c r="AU947" s="160"/>
      <c r="AV947" s="160"/>
      <c r="AW947" s="160"/>
      <c r="AX947" s="160"/>
      <c r="AY947" s="160"/>
      <c r="AZ947" s="160"/>
      <c r="BA947" s="160"/>
      <c r="BB947" s="160"/>
      <c r="BC947" s="160"/>
      <c r="BD947" s="160"/>
      <c r="BE947" s="160"/>
      <c r="BF947" s="160"/>
      <c r="BG947" s="160"/>
      <c r="BH947" s="160"/>
      <c r="BI947" s="160"/>
      <c r="BJ947" s="160"/>
      <c r="BK947" s="160"/>
      <c r="BL947" s="160"/>
      <c r="BM947" s="160"/>
      <c r="BN947" s="160"/>
      <c r="BO947" s="160"/>
      <c r="BP947" s="160"/>
      <c r="BQ947" s="160"/>
      <c r="BR947" s="160"/>
      <c r="BS947" s="160"/>
      <c r="BT947" s="160"/>
      <c r="BU947" s="160"/>
      <c r="BV947" s="160"/>
      <c r="BW947" s="160"/>
      <c r="BX947" s="160"/>
      <c r="BY947" s="160"/>
      <c r="BZ947" s="160"/>
      <c r="CA947" s="160"/>
      <c r="CB947" s="160"/>
      <c r="CC947" s="160"/>
      <c r="CD947" s="160"/>
      <c r="CE947" s="160"/>
      <c r="CF947" s="160"/>
      <c r="CG947" s="160"/>
      <c r="CH947" s="160"/>
      <c r="CI947" s="160"/>
      <c r="CJ947" s="160"/>
      <c r="CK947" s="160"/>
      <c r="CL947" s="160"/>
      <c r="CM947" s="160"/>
      <c r="CN947" s="160"/>
      <c r="CO947" s="160"/>
      <c r="CP947" s="162"/>
      <c r="CQ947" s="163"/>
      <c r="CR947" s="162"/>
      <c r="CS947" s="163"/>
      <c r="CT947" s="162"/>
      <c r="CU947" s="163"/>
      <c r="CV947" s="164">
        <f t="shared" si="122"/>
        <v>0</v>
      </c>
      <c r="CW947" s="165"/>
      <c r="CX947" s="166"/>
      <c r="CY947" s="167"/>
      <c r="CZ947" s="168"/>
      <c r="DA947" s="169"/>
      <c r="DB947" s="168"/>
      <c r="DC947" s="165"/>
      <c r="DD947" s="166"/>
      <c r="DE947" s="71"/>
      <c r="DF947" s="170"/>
      <c r="EO947" s="353" t="str">
        <f t="shared" si="125"/>
        <v>CESAR_LA PAZ</v>
      </c>
      <c r="EP947" s="350"/>
      <c r="EQ947" s="350" t="s">
        <v>4571</v>
      </c>
      <c r="ER947" s="358" t="s">
        <v>4572</v>
      </c>
      <c r="ES947" s="350" t="s">
        <v>5627</v>
      </c>
      <c r="ET947" s="350" t="s">
        <v>3565</v>
      </c>
      <c r="EU947" s="350" t="str">
        <f t="shared" si="118"/>
        <v>Sucre_San Marcos</v>
      </c>
    </row>
    <row r="948" spans="1:151" ht="25.5" x14ac:dyDescent="0.2">
      <c r="A948" s="242">
        <v>40391</v>
      </c>
      <c r="B948" s="236" t="s">
        <v>2242</v>
      </c>
      <c r="C948" s="236" t="s">
        <v>192</v>
      </c>
      <c r="D948" s="433" t="s">
        <v>837</v>
      </c>
      <c r="E948" s="107" t="str">
        <f>VLOOKUP(B948&amp;C948,Divipola!$C$2:$F$1138,4,FALSE)</f>
        <v>20550</v>
      </c>
      <c r="F948" s="335"/>
      <c r="G948" s="221"/>
      <c r="H948" s="157"/>
      <c r="I948" s="157"/>
      <c r="J948" s="157">
        <f>468*5</f>
        <v>2340</v>
      </c>
      <c r="K948" s="157">
        <v>468</v>
      </c>
      <c r="L948" s="157"/>
      <c r="M948" s="157">
        <v>184</v>
      </c>
      <c r="N948" s="157"/>
      <c r="O948" s="157"/>
      <c r="P948" s="157"/>
      <c r="Q948" s="157"/>
      <c r="R948" s="157"/>
      <c r="S948" s="157"/>
      <c r="T948" s="157"/>
      <c r="U948" s="157"/>
      <c r="V948" s="158"/>
      <c r="W948" s="182"/>
      <c r="X948" s="1"/>
      <c r="Y948" s="78">
        <f t="shared" si="119"/>
        <v>0</v>
      </c>
      <c r="Z948" s="78">
        <f t="shared" si="120"/>
        <v>0</v>
      </c>
      <c r="AA948" s="78">
        <f t="shared" si="126"/>
        <v>0</v>
      </c>
      <c r="AB948" s="78">
        <f t="shared" si="121"/>
        <v>0</v>
      </c>
      <c r="AC948" s="78"/>
      <c r="AD948" s="78">
        <v>0</v>
      </c>
      <c r="AE948" s="80">
        <f t="shared" si="123"/>
        <v>0</v>
      </c>
      <c r="AF948" s="82">
        <v>0</v>
      </c>
      <c r="AG948" s="69">
        <v>40422</v>
      </c>
      <c r="AH948" s="84"/>
      <c r="AI948" s="69" t="s">
        <v>1984</v>
      </c>
      <c r="AJ948" s="25" t="s">
        <v>1985</v>
      </c>
      <c r="AK948" s="65"/>
      <c r="AL948" s="176" t="s">
        <v>194</v>
      </c>
      <c r="AM948" s="173" t="s">
        <v>283</v>
      </c>
      <c r="AN948" s="159"/>
      <c r="AO948" s="160"/>
      <c r="AP948" s="161"/>
      <c r="AQ948" s="160"/>
      <c r="AR948" s="160"/>
      <c r="AS948" s="160"/>
      <c r="AT948" s="160"/>
      <c r="AU948" s="160"/>
      <c r="AV948" s="160"/>
      <c r="AW948" s="160"/>
      <c r="AX948" s="160"/>
      <c r="AY948" s="160"/>
      <c r="AZ948" s="160"/>
      <c r="BA948" s="160"/>
      <c r="BB948" s="160"/>
      <c r="BC948" s="160"/>
      <c r="BD948" s="160"/>
      <c r="BE948" s="160"/>
      <c r="BF948" s="160"/>
      <c r="BG948" s="160"/>
      <c r="BH948" s="160"/>
      <c r="BI948" s="160"/>
      <c r="BJ948" s="160"/>
      <c r="BK948" s="160"/>
      <c r="BL948" s="160"/>
      <c r="BM948" s="160"/>
      <c r="BN948" s="160"/>
      <c r="BO948" s="160"/>
      <c r="BP948" s="160"/>
      <c r="BQ948" s="160"/>
      <c r="BR948" s="160"/>
      <c r="BS948" s="160"/>
      <c r="BT948" s="160"/>
      <c r="BU948" s="160"/>
      <c r="BV948" s="160"/>
      <c r="BW948" s="160"/>
      <c r="BX948" s="160"/>
      <c r="BY948" s="160"/>
      <c r="BZ948" s="160"/>
      <c r="CA948" s="160"/>
      <c r="CB948" s="160"/>
      <c r="CC948" s="160"/>
      <c r="CD948" s="160"/>
      <c r="CE948" s="160"/>
      <c r="CF948" s="160"/>
      <c r="CG948" s="160"/>
      <c r="CH948" s="160"/>
      <c r="CI948" s="160"/>
      <c r="CJ948" s="160"/>
      <c r="CK948" s="160"/>
      <c r="CL948" s="160"/>
      <c r="CM948" s="160"/>
      <c r="CN948" s="160"/>
      <c r="CO948" s="160"/>
      <c r="CP948" s="162"/>
      <c r="CQ948" s="163"/>
      <c r="CR948" s="162"/>
      <c r="CS948" s="163"/>
      <c r="CT948" s="162"/>
      <c r="CU948" s="163"/>
      <c r="CV948" s="164">
        <f t="shared" si="122"/>
        <v>0</v>
      </c>
      <c r="CW948" s="165"/>
      <c r="CX948" s="166"/>
      <c r="CY948" s="167"/>
      <c r="CZ948" s="168"/>
      <c r="DA948" s="169"/>
      <c r="DB948" s="168"/>
      <c r="DC948" s="165"/>
      <c r="DD948" s="166"/>
      <c r="DE948" s="71"/>
      <c r="DF948" s="170"/>
      <c r="EO948" s="353" t="str">
        <f t="shared" si="125"/>
        <v>CESAR_PELAYA</v>
      </c>
      <c r="EP948" s="350"/>
      <c r="EQ948" s="350" t="s">
        <v>4571</v>
      </c>
      <c r="ER948" s="358" t="s">
        <v>4572</v>
      </c>
      <c r="ES948" s="350" t="s">
        <v>5628</v>
      </c>
      <c r="ET948" s="350" t="s">
        <v>3566</v>
      </c>
      <c r="EU948" s="350" t="str">
        <f t="shared" si="118"/>
        <v>Sucre_San Onofre</v>
      </c>
    </row>
    <row r="949" spans="1:151" ht="38.25" x14ac:dyDescent="0.2">
      <c r="A949" s="242">
        <v>40391</v>
      </c>
      <c r="B949" s="236" t="s">
        <v>2242</v>
      </c>
      <c r="C949" s="236" t="s">
        <v>190</v>
      </c>
      <c r="D949" s="433" t="s">
        <v>2209</v>
      </c>
      <c r="E949" s="107" t="str">
        <f>VLOOKUP(B949&amp;C949,Divipola!$C$2:$F$1138,4,FALSE)</f>
        <v>20570</v>
      </c>
      <c r="F949" s="335"/>
      <c r="G949" s="221"/>
      <c r="H949" s="157"/>
      <c r="I949" s="157"/>
      <c r="J949" s="157">
        <f>495*5</f>
        <v>2475</v>
      </c>
      <c r="K949" s="157">
        <v>495</v>
      </c>
      <c r="L949" s="157"/>
      <c r="M949" s="157">
        <v>275</v>
      </c>
      <c r="N949" s="157"/>
      <c r="O949" s="157"/>
      <c r="P949" s="157"/>
      <c r="Q949" s="157"/>
      <c r="R949" s="157"/>
      <c r="S949" s="157"/>
      <c r="T949" s="157"/>
      <c r="U949" s="157"/>
      <c r="V949" s="158"/>
      <c r="W949" s="182"/>
      <c r="X949" s="1">
        <v>40427</v>
      </c>
      <c r="Y949" s="78">
        <f t="shared" si="119"/>
        <v>5670000</v>
      </c>
      <c r="Z949" s="78">
        <f t="shared" si="120"/>
        <v>8925000</v>
      </c>
      <c r="AA949" s="78">
        <f t="shared" si="126"/>
        <v>0</v>
      </c>
      <c r="AB949" s="78">
        <f t="shared" si="121"/>
        <v>0</v>
      </c>
      <c r="AC949" s="78"/>
      <c r="AD949" s="78">
        <v>0</v>
      </c>
      <c r="AE949" s="80">
        <f t="shared" si="123"/>
        <v>14595000</v>
      </c>
      <c r="AF949" s="82">
        <v>0</v>
      </c>
      <c r="AG949" s="242">
        <v>40393</v>
      </c>
      <c r="AH949" s="84">
        <v>38583</v>
      </c>
      <c r="AI949" s="69" t="s">
        <v>2009</v>
      </c>
      <c r="AJ949" s="25" t="s">
        <v>2010</v>
      </c>
      <c r="AK949" s="88" t="s">
        <v>1626</v>
      </c>
      <c r="AL949" s="185" t="s">
        <v>648</v>
      </c>
      <c r="AM949" s="173" t="s">
        <v>283</v>
      </c>
      <c r="AN949" s="159"/>
      <c r="AO949" s="160"/>
      <c r="AP949" s="161"/>
      <c r="AQ949" s="160"/>
      <c r="AR949" s="160"/>
      <c r="AS949" s="160"/>
      <c r="AT949" s="160"/>
      <c r="AU949" s="160"/>
      <c r="AV949" s="160"/>
      <c r="AW949" s="160"/>
      <c r="AX949" s="160"/>
      <c r="AY949" s="160"/>
      <c r="AZ949" s="160"/>
      <c r="BA949" s="160"/>
      <c r="BB949" s="160"/>
      <c r="BC949" s="160"/>
      <c r="BD949" s="160"/>
      <c r="BE949" s="160"/>
      <c r="BF949" s="160"/>
      <c r="BG949" s="160"/>
      <c r="BH949" s="160"/>
      <c r="BI949" s="160"/>
      <c r="BJ949" s="160"/>
      <c r="BK949" s="160"/>
      <c r="BL949" s="160"/>
      <c r="BM949" s="160"/>
      <c r="BN949" s="160"/>
      <c r="BO949" s="160"/>
      <c r="BP949" s="160"/>
      <c r="BQ949" s="160"/>
      <c r="BR949" s="160"/>
      <c r="BS949" s="160"/>
      <c r="BT949" s="160"/>
      <c r="BU949" s="160"/>
      <c r="BV949" s="160"/>
      <c r="BW949" s="160"/>
      <c r="BX949" s="160"/>
      <c r="BY949" s="160"/>
      <c r="BZ949" s="160"/>
      <c r="CA949" s="160"/>
      <c r="CB949" s="160"/>
      <c r="CC949" s="160"/>
      <c r="CD949" s="160"/>
      <c r="CE949" s="160"/>
      <c r="CF949" s="160"/>
      <c r="CG949" s="160"/>
      <c r="CH949" s="160"/>
      <c r="CI949" s="160"/>
      <c r="CJ949" s="160"/>
      <c r="CK949" s="160"/>
      <c r="CL949" s="160"/>
      <c r="CM949" s="160"/>
      <c r="CN949" s="160">
        <v>105</v>
      </c>
      <c r="CO949" s="160">
        <f>105*18000</f>
        <v>1890000</v>
      </c>
      <c r="CP949" s="162"/>
      <c r="CQ949" s="163"/>
      <c r="CR949" s="162">
        <v>105</v>
      </c>
      <c r="CS949" s="163">
        <f>105*36000</f>
        <v>3780000</v>
      </c>
      <c r="CT949" s="162"/>
      <c r="CU949" s="163"/>
      <c r="CV949" s="164">
        <f t="shared" si="122"/>
        <v>5670000</v>
      </c>
      <c r="CW949" s="165"/>
      <c r="CX949" s="166"/>
      <c r="CY949" s="167">
        <v>105</v>
      </c>
      <c r="CZ949" s="168">
        <f>105*85000</f>
        <v>8925000</v>
      </c>
      <c r="DA949" s="169"/>
      <c r="DB949" s="168"/>
      <c r="DC949" s="165"/>
      <c r="DD949" s="166"/>
      <c r="DE949" s="71"/>
      <c r="DF949" s="170"/>
      <c r="EO949" s="353" t="str">
        <f t="shared" si="125"/>
        <v>CESAR_PUEBLO BELLO</v>
      </c>
      <c r="EP949" s="350"/>
      <c r="EQ949" s="350" t="s">
        <v>4571</v>
      </c>
      <c r="ER949" s="358" t="s">
        <v>4572</v>
      </c>
      <c r="ES949" s="350" t="s">
        <v>5629</v>
      </c>
      <c r="ET949" s="350" t="s">
        <v>5922</v>
      </c>
      <c r="EU949" s="350" t="str">
        <f t="shared" si="118"/>
        <v>Sucre_San Pedro</v>
      </c>
    </row>
    <row r="950" spans="1:151" ht="38.25" x14ac:dyDescent="0.2">
      <c r="A950" s="242">
        <v>40391</v>
      </c>
      <c r="B950" s="236" t="s">
        <v>2242</v>
      </c>
      <c r="C950" s="236" t="s">
        <v>191</v>
      </c>
      <c r="D950" s="433" t="s">
        <v>2209</v>
      </c>
      <c r="E950" s="107" t="str">
        <f>VLOOKUP(B950&amp;C950,Divipola!$C$2:$F$1138,4,FALSE)</f>
        <v>20614</v>
      </c>
      <c r="F950" s="335"/>
      <c r="G950" s="221"/>
      <c r="H950" s="157"/>
      <c r="I950" s="157"/>
      <c r="J950" s="157">
        <f>230*5</f>
        <v>1150</v>
      </c>
      <c r="K950" s="157">
        <v>230</v>
      </c>
      <c r="L950" s="157"/>
      <c r="M950" s="157">
        <v>230</v>
      </c>
      <c r="N950" s="157">
        <v>3</v>
      </c>
      <c r="O950" s="157"/>
      <c r="P950" s="157"/>
      <c r="Q950" s="157"/>
      <c r="R950" s="157"/>
      <c r="S950" s="157"/>
      <c r="T950" s="157"/>
      <c r="U950" s="157"/>
      <c r="V950" s="158"/>
      <c r="W950" s="182"/>
      <c r="X950" s="1"/>
      <c r="Y950" s="78">
        <f t="shared" si="119"/>
        <v>0</v>
      </c>
      <c r="Z950" s="78">
        <f t="shared" si="120"/>
        <v>0</v>
      </c>
      <c r="AA950" s="78">
        <f t="shared" si="126"/>
        <v>0</v>
      </c>
      <c r="AB950" s="78">
        <f t="shared" si="121"/>
        <v>0</v>
      </c>
      <c r="AC950" s="78"/>
      <c r="AD950" s="78">
        <v>0</v>
      </c>
      <c r="AE950" s="80">
        <f t="shared" si="123"/>
        <v>0</v>
      </c>
      <c r="AF950" s="82">
        <v>0</v>
      </c>
      <c r="AG950" s="69">
        <v>40422</v>
      </c>
      <c r="AH950" s="84"/>
      <c r="AI950" s="69" t="s">
        <v>1984</v>
      </c>
      <c r="AJ950" s="25" t="s">
        <v>1985</v>
      </c>
      <c r="AK950" s="65"/>
      <c r="AL950" s="176" t="s">
        <v>194</v>
      </c>
      <c r="AM950" s="173" t="s">
        <v>2072</v>
      </c>
      <c r="AN950" s="159"/>
      <c r="AO950" s="160"/>
      <c r="AP950" s="161"/>
      <c r="AQ950" s="160"/>
      <c r="AR950" s="160"/>
      <c r="AS950" s="160"/>
      <c r="AT950" s="160"/>
      <c r="AU950" s="160"/>
      <c r="AV950" s="160"/>
      <c r="AW950" s="160"/>
      <c r="AX950" s="160"/>
      <c r="AY950" s="160"/>
      <c r="AZ950" s="160"/>
      <c r="BA950" s="160"/>
      <c r="BB950" s="160"/>
      <c r="BC950" s="160"/>
      <c r="BD950" s="160"/>
      <c r="BE950" s="160"/>
      <c r="BF950" s="160"/>
      <c r="BG950" s="160"/>
      <c r="BH950" s="160"/>
      <c r="BI950" s="160"/>
      <c r="BJ950" s="160"/>
      <c r="BK950" s="160"/>
      <c r="BL950" s="160"/>
      <c r="BM950" s="160"/>
      <c r="BN950" s="160"/>
      <c r="BO950" s="160"/>
      <c r="BP950" s="160"/>
      <c r="BQ950" s="160"/>
      <c r="BR950" s="160"/>
      <c r="BS950" s="160"/>
      <c r="BT950" s="160"/>
      <c r="BU950" s="160"/>
      <c r="BV950" s="160"/>
      <c r="BW950" s="160"/>
      <c r="BX950" s="160"/>
      <c r="BY950" s="160"/>
      <c r="BZ950" s="160"/>
      <c r="CA950" s="160"/>
      <c r="CB950" s="160"/>
      <c r="CC950" s="160"/>
      <c r="CD950" s="160"/>
      <c r="CE950" s="160"/>
      <c r="CF950" s="160"/>
      <c r="CG950" s="160"/>
      <c r="CH950" s="160"/>
      <c r="CI950" s="160"/>
      <c r="CJ950" s="160"/>
      <c r="CK950" s="160"/>
      <c r="CL950" s="160"/>
      <c r="CM950" s="160"/>
      <c r="CN950" s="160"/>
      <c r="CO950" s="160"/>
      <c r="CP950" s="162"/>
      <c r="CQ950" s="163"/>
      <c r="CR950" s="162"/>
      <c r="CS950" s="163"/>
      <c r="CT950" s="162"/>
      <c r="CU950" s="163"/>
      <c r="CV950" s="164">
        <f t="shared" si="122"/>
        <v>0</v>
      </c>
      <c r="CW950" s="165"/>
      <c r="CX950" s="166"/>
      <c r="CY950" s="167"/>
      <c r="CZ950" s="168"/>
      <c r="DA950" s="169"/>
      <c r="DB950" s="168"/>
      <c r="DC950" s="165"/>
      <c r="DD950" s="166"/>
      <c r="DE950" s="71"/>
      <c r="DF950" s="170"/>
      <c r="EO950" s="353" t="str">
        <f t="shared" si="125"/>
        <v>CESAR_RIO DE ORO</v>
      </c>
      <c r="EP950" s="350"/>
      <c r="EQ950" s="350" t="s">
        <v>4571</v>
      </c>
      <c r="ER950" s="358" t="s">
        <v>4572</v>
      </c>
      <c r="ES950" s="350" t="s">
        <v>5630</v>
      </c>
      <c r="ET950" s="350" t="s">
        <v>3567</v>
      </c>
      <c r="EU950" s="350" t="str">
        <f t="shared" si="118"/>
        <v>Sucre_San Luis de Since</v>
      </c>
    </row>
    <row r="951" spans="1:151" ht="25.5" x14ac:dyDescent="0.2">
      <c r="A951" s="242">
        <v>40391</v>
      </c>
      <c r="B951" s="236" t="s">
        <v>2425</v>
      </c>
      <c r="C951" s="236" t="s">
        <v>2483</v>
      </c>
      <c r="D951" s="433" t="s">
        <v>837</v>
      </c>
      <c r="E951" s="107" t="str">
        <f>VLOOKUP(B951&amp;C951,Divipola!$C$2:$F$1138,4,FALSE)</f>
        <v>27615</v>
      </c>
      <c r="F951" s="335"/>
      <c r="G951" s="221"/>
      <c r="H951" s="157"/>
      <c r="I951" s="157"/>
      <c r="J951" s="157">
        <f>20924-1388</f>
        <v>19536</v>
      </c>
      <c r="K951" s="183">
        <f>5338-219</f>
        <v>5119</v>
      </c>
      <c r="L951" s="157"/>
      <c r="M951" s="157">
        <v>825</v>
      </c>
      <c r="N951" s="157"/>
      <c r="O951" s="157"/>
      <c r="P951" s="157"/>
      <c r="Q951" s="157"/>
      <c r="R951" s="157"/>
      <c r="S951" s="157"/>
      <c r="T951" s="157"/>
      <c r="U951" s="157"/>
      <c r="V951" s="158">
        <v>40.25</v>
      </c>
      <c r="W951" s="182" t="s">
        <v>2180</v>
      </c>
      <c r="X951" s="1"/>
      <c r="Y951" s="78">
        <f t="shared" si="119"/>
        <v>0</v>
      </c>
      <c r="Z951" s="78">
        <f t="shared" si="120"/>
        <v>136000000</v>
      </c>
      <c r="AA951" s="78">
        <f t="shared" si="126"/>
        <v>0</v>
      </c>
      <c r="AB951" s="78">
        <f t="shared" si="121"/>
        <v>0</v>
      </c>
      <c r="AC951" s="78"/>
      <c r="AD951" s="78">
        <v>0</v>
      </c>
      <c r="AE951" s="80">
        <f t="shared" si="123"/>
        <v>136000000</v>
      </c>
      <c r="AF951" s="82">
        <v>0</v>
      </c>
      <c r="AG951" s="69">
        <v>40444</v>
      </c>
      <c r="AH951" s="84">
        <v>50757</v>
      </c>
      <c r="AI951" s="69" t="s">
        <v>2009</v>
      </c>
      <c r="AJ951" s="25" t="s">
        <v>2010</v>
      </c>
      <c r="AK951" s="65"/>
      <c r="AL951" s="176"/>
      <c r="AM951" s="173"/>
      <c r="AN951" s="159"/>
      <c r="AO951" s="160"/>
      <c r="AP951" s="161"/>
      <c r="AQ951" s="160"/>
      <c r="AR951" s="160"/>
      <c r="AS951" s="160"/>
      <c r="AT951" s="160"/>
      <c r="AU951" s="160"/>
      <c r="AV951" s="160"/>
      <c r="AW951" s="160"/>
      <c r="AX951" s="160"/>
      <c r="AY951" s="160"/>
      <c r="AZ951" s="160"/>
      <c r="BA951" s="160"/>
      <c r="BB951" s="160"/>
      <c r="BC951" s="160"/>
      <c r="BD951" s="160"/>
      <c r="BE951" s="160"/>
      <c r="BF951" s="160"/>
      <c r="BG951" s="160"/>
      <c r="BH951" s="160"/>
      <c r="BI951" s="160"/>
      <c r="BJ951" s="160"/>
      <c r="BK951" s="160"/>
      <c r="BL951" s="160"/>
      <c r="BM951" s="160"/>
      <c r="BN951" s="160"/>
      <c r="BO951" s="160"/>
      <c r="BP951" s="160"/>
      <c r="BQ951" s="160"/>
      <c r="BR951" s="160"/>
      <c r="BS951" s="160"/>
      <c r="BT951" s="160"/>
      <c r="BU951" s="160"/>
      <c r="BV951" s="160"/>
      <c r="BW951" s="160"/>
      <c r="BX951" s="160"/>
      <c r="BY951" s="160"/>
      <c r="BZ951" s="160"/>
      <c r="CA951" s="160"/>
      <c r="CB951" s="160"/>
      <c r="CC951" s="160"/>
      <c r="CD951" s="160"/>
      <c r="CE951" s="160"/>
      <c r="CF951" s="160"/>
      <c r="CG951" s="160"/>
      <c r="CH951" s="160"/>
      <c r="CI951" s="160"/>
      <c r="CJ951" s="160"/>
      <c r="CK951" s="160"/>
      <c r="CL951" s="160"/>
      <c r="CM951" s="160"/>
      <c r="CN951" s="160"/>
      <c r="CO951" s="160"/>
      <c r="CP951" s="162"/>
      <c r="CQ951" s="163"/>
      <c r="CR951" s="162"/>
      <c r="CS951" s="163"/>
      <c r="CT951" s="162"/>
      <c r="CU951" s="163"/>
      <c r="CV951" s="164">
        <f t="shared" si="122"/>
        <v>0</v>
      </c>
      <c r="CW951" s="165"/>
      <c r="CX951" s="166"/>
      <c r="CY951" s="167">
        <v>1600</v>
      </c>
      <c r="CZ951" s="168">
        <f>1600*85000</f>
        <v>136000000</v>
      </c>
      <c r="DA951" s="169"/>
      <c r="DB951" s="168"/>
      <c r="DC951" s="165"/>
      <c r="DD951" s="166"/>
      <c r="DE951" s="71"/>
      <c r="DF951" s="170"/>
      <c r="EO951" s="353" t="str">
        <f t="shared" si="125"/>
        <v>CHOCO_RIOSUCIO</v>
      </c>
      <c r="EP951" s="350"/>
      <c r="EQ951" s="350" t="s">
        <v>4571</v>
      </c>
      <c r="ER951" s="358" t="s">
        <v>4572</v>
      </c>
      <c r="ES951" s="350" t="s">
        <v>5631</v>
      </c>
      <c r="ET951" s="350" t="s">
        <v>4572</v>
      </c>
      <c r="EU951" s="350" t="str">
        <f t="shared" si="118"/>
        <v>Sucre_Sucre</v>
      </c>
    </row>
    <row r="952" spans="1:151" ht="96" x14ac:dyDescent="0.2">
      <c r="A952" s="242">
        <v>40391</v>
      </c>
      <c r="B952" s="107" t="s">
        <v>1700</v>
      </c>
      <c r="C952" s="236" t="s">
        <v>693</v>
      </c>
      <c r="D952" s="433" t="s">
        <v>837</v>
      </c>
      <c r="E952" s="107" t="str">
        <f>VLOOKUP(B952&amp;C952,Divipola!$C$2:$F$1138,4,FALSE)</f>
        <v>23570</v>
      </c>
      <c r="F952" s="335"/>
      <c r="G952" s="221"/>
      <c r="H952" s="157"/>
      <c r="I952" s="157"/>
      <c r="J952" s="157">
        <v>2123</v>
      </c>
      <c r="K952" s="157">
        <v>426</v>
      </c>
      <c r="L952" s="157"/>
      <c r="M952" s="157">
        <v>301</v>
      </c>
      <c r="N952" s="157"/>
      <c r="O952" s="157"/>
      <c r="P952" s="157"/>
      <c r="Q952" s="157"/>
      <c r="R952" s="157"/>
      <c r="S952" s="157"/>
      <c r="T952" s="157"/>
      <c r="U952" s="157"/>
      <c r="V952" s="158"/>
      <c r="W952" s="182"/>
      <c r="X952" s="1">
        <v>40448</v>
      </c>
      <c r="Y952" s="78">
        <f t="shared" si="119"/>
        <v>8398400</v>
      </c>
      <c r="Z952" s="78">
        <f t="shared" si="120"/>
        <v>76585000</v>
      </c>
      <c r="AA952" s="78">
        <f t="shared" si="126"/>
        <v>0</v>
      </c>
      <c r="AB952" s="78">
        <f t="shared" si="121"/>
        <v>0</v>
      </c>
      <c r="AC952" s="78"/>
      <c r="AD952" s="78">
        <v>0</v>
      </c>
      <c r="AE952" s="80">
        <f t="shared" si="123"/>
        <v>84983400</v>
      </c>
      <c r="AF952" s="82">
        <v>0</v>
      </c>
      <c r="AG952" s="69">
        <v>40429</v>
      </c>
      <c r="AH952" s="84">
        <v>38767</v>
      </c>
      <c r="AI952" s="69" t="s">
        <v>2009</v>
      </c>
      <c r="AJ952" s="25" t="s">
        <v>2010</v>
      </c>
      <c r="AK952" s="88" t="s">
        <v>2170</v>
      </c>
      <c r="AL952" s="176" t="s">
        <v>1831</v>
      </c>
      <c r="AM952" s="181" t="s">
        <v>692</v>
      </c>
      <c r="AN952" s="159"/>
      <c r="AO952" s="160"/>
      <c r="AP952" s="161"/>
      <c r="AQ952" s="160"/>
      <c r="AR952" s="160"/>
      <c r="AS952" s="160"/>
      <c r="AT952" s="160"/>
      <c r="AU952" s="160"/>
      <c r="AV952" s="160"/>
      <c r="AW952" s="160"/>
      <c r="AX952" s="160"/>
      <c r="AY952" s="160"/>
      <c r="AZ952" s="160"/>
      <c r="BA952" s="160"/>
      <c r="BB952" s="160"/>
      <c r="BC952" s="160"/>
      <c r="BD952" s="160"/>
      <c r="BE952" s="160"/>
      <c r="BF952" s="160"/>
      <c r="BG952" s="160"/>
      <c r="BH952" s="160"/>
      <c r="BI952" s="160"/>
      <c r="BJ952" s="160"/>
      <c r="BK952" s="160"/>
      <c r="BL952" s="160"/>
      <c r="BM952" s="160"/>
      <c r="BN952" s="160"/>
      <c r="BO952" s="160"/>
      <c r="BP952" s="160"/>
      <c r="BQ952" s="160"/>
      <c r="BR952" s="160"/>
      <c r="BS952" s="160"/>
      <c r="BT952" s="160"/>
      <c r="BU952" s="160"/>
      <c r="BV952" s="160"/>
      <c r="BW952" s="160"/>
      <c r="BX952" s="160"/>
      <c r="BY952" s="160"/>
      <c r="BZ952" s="160">
        <v>2</v>
      </c>
      <c r="CA952" s="160">
        <f>2*504000</f>
        <v>1008000</v>
      </c>
      <c r="CB952" s="160"/>
      <c r="CC952" s="160"/>
      <c r="CD952" s="160"/>
      <c r="CE952" s="160"/>
      <c r="CF952" s="160"/>
      <c r="CG952" s="160"/>
      <c r="CH952" s="160"/>
      <c r="CI952" s="160"/>
      <c r="CJ952" s="160"/>
      <c r="CK952" s="160"/>
      <c r="CL952" s="160"/>
      <c r="CM952" s="160"/>
      <c r="CN952" s="160"/>
      <c r="CO952" s="160"/>
      <c r="CP952" s="162">
        <v>200</v>
      </c>
      <c r="CQ952" s="163">
        <f>200*36952</f>
        <v>7390400</v>
      </c>
      <c r="CR952" s="162"/>
      <c r="CS952" s="163"/>
      <c r="CT952" s="162"/>
      <c r="CU952" s="163"/>
      <c r="CV952" s="164">
        <f t="shared" si="122"/>
        <v>8398400</v>
      </c>
      <c r="CW952" s="165"/>
      <c r="CX952" s="166"/>
      <c r="CY952" s="167">
        <f>200+301+400</f>
        <v>901</v>
      </c>
      <c r="CZ952" s="168">
        <f>200*85000+301*85000+400*85000</f>
        <v>76585000</v>
      </c>
      <c r="DA952" s="169"/>
      <c r="DB952" s="168"/>
      <c r="DC952" s="165"/>
      <c r="DD952" s="166"/>
      <c r="DE952" s="71"/>
      <c r="DF952" s="170"/>
      <c r="EO952" s="353" t="str">
        <f t="shared" si="125"/>
        <v>CORDOBA_PUEBLO NUEVO</v>
      </c>
      <c r="EP952" s="350"/>
      <c r="EQ952" s="350" t="s">
        <v>4571</v>
      </c>
      <c r="ER952" s="358" t="s">
        <v>4572</v>
      </c>
      <c r="ES952" s="350" t="s">
        <v>5632</v>
      </c>
      <c r="ET952" s="350" t="s">
        <v>3568</v>
      </c>
      <c r="EU952" s="350" t="str">
        <f t="shared" si="118"/>
        <v>Sucre_Santiago de Tolu</v>
      </c>
    </row>
    <row r="953" spans="1:151" ht="48" x14ac:dyDescent="0.2">
      <c r="A953" s="242">
        <v>40391</v>
      </c>
      <c r="B953" s="107" t="s">
        <v>1836</v>
      </c>
      <c r="C953" s="107" t="s">
        <v>997</v>
      </c>
      <c r="D953" s="427" t="s">
        <v>837</v>
      </c>
      <c r="E953" s="107" t="str">
        <f>VLOOKUP(B953&amp;C953,Divipola!$C$2:$F$1138,4,FALSE)</f>
        <v>47058</v>
      </c>
      <c r="F953" s="330"/>
      <c r="G953" s="224"/>
      <c r="H953" s="75"/>
      <c r="I953" s="75"/>
      <c r="J953" s="75">
        <v>1325</v>
      </c>
      <c r="K953" s="75">
        <v>265</v>
      </c>
      <c r="L953" s="75"/>
      <c r="M953" s="75">
        <v>250</v>
      </c>
      <c r="N953" s="75"/>
      <c r="O953" s="75"/>
      <c r="P953" s="75"/>
      <c r="Q953" s="75"/>
      <c r="R953" s="75"/>
      <c r="S953" s="75"/>
      <c r="T953" s="75"/>
      <c r="U953" s="75"/>
      <c r="V953" s="76"/>
      <c r="W953" s="205"/>
      <c r="X953" s="1"/>
      <c r="Y953" s="78">
        <f t="shared" si="119"/>
        <v>12831200</v>
      </c>
      <c r="Z953" s="78">
        <f t="shared" si="120"/>
        <v>140250000</v>
      </c>
      <c r="AA953" s="78">
        <f t="shared" si="126"/>
        <v>22500000</v>
      </c>
      <c r="AB953" s="78">
        <f t="shared" si="121"/>
        <v>4500800</v>
      </c>
      <c r="AC953" s="78"/>
      <c r="AD953" s="78">
        <v>0</v>
      </c>
      <c r="AE953" s="80">
        <f t="shared" si="123"/>
        <v>180082000</v>
      </c>
      <c r="AF953" s="82">
        <v>0</v>
      </c>
      <c r="AG953" s="69">
        <v>40350</v>
      </c>
      <c r="AH953" s="84">
        <v>52364</v>
      </c>
      <c r="AI953" s="69" t="s">
        <v>2009</v>
      </c>
      <c r="AJ953" s="25" t="s">
        <v>2010</v>
      </c>
      <c r="AK953" s="65">
        <v>27295</v>
      </c>
      <c r="AL953" s="185" t="s">
        <v>2182</v>
      </c>
      <c r="AM953" s="173" t="s">
        <v>2954</v>
      </c>
      <c r="AN953" s="3"/>
      <c r="AO953" s="4"/>
      <c r="AP953" s="5"/>
      <c r="AQ953" s="4"/>
      <c r="AR953" s="4"/>
      <c r="AS953" s="4"/>
      <c r="AT953" s="4"/>
      <c r="AU953" s="4"/>
      <c r="AV953" s="4"/>
      <c r="AW953" s="4"/>
      <c r="AX953" s="4"/>
      <c r="AY953" s="4"/>
      <c r="AZ953" s="4"/>
      <c r="BA953" s="4"/>
      <c r="BB953" s="4"/>
      <c r="BC953" s="4"/>
      <c r="BD953" s="4"/>
      <c r="BE953" s="4"/>
      <c r="BF953" s="4"/>
      <c r="BG953" s="4"/>
      <c r="BH953" s="4"/>
      <c r="BI953" s="4"/>
      <c r="BJ953" s="4"/>
      <c r="BK953" s="4"/>
      <c r="BL953" s="4">
        <v>200</v>
      </c>
      <c r="BM953" s="4">
        <f>200*25500</f>
        <v>5100000</v>
      </c>
      <c r="BN953" s="4"/>
      <c r="BO953" s="4"/>
      <c r="BP953" s="4"/>
      <c r="BQ953" s="4"/>
      <c r="BR953" s="4"/>
      <c r="BS953" s="4"/>
      <c r="BT953" s="4"/>
      <c r="BU953" s="4"/>
      <c r="BV953" s="4"/>
      <c r="BW953" s="4"/>
      <c r="BX953" s="4"/>
      <c r="BY953" s="4"/>
      <c r="BZ953" s="4">
        <f>3+5</f>
        <v>8</v>
      </c>
      <c r="CA953" s="4">
        <f>3*510400+5*520000</f>
        <v>4131200</v>
      </c>
      <c r="CB953" s="4"/>
      <c r="CC953" s="4"/>
      <c r="CD953" s="4"/>
      <c r="CE953" s="4"/>
      <c r="CF953" s="4"/>
      <c r="CG953" s="4"/>
      <c r="CH953" s="4"/>
      <c r="CI953" s="4"/>
      <c r="CJ953" s="4"/>
      <c r="CK953" s="4"/>
      <c r="CL953" s="4"/>
      <c r="CM953" s="4"/>
      <c r="CN953" s="4">
        <v>200</v>
      </c>
      <c r="CO953" s="4">
        <f>200*18000</f>
        <v>3600000</v>
      </c>
      <c r="CP953" s="6"/>
      <c r="CQ953" s="7"/>
      <c r="CR953" s="6"/>
      <c r="CS953" s="7"/>
      <c r="CT953" s="6"/>
      <c r="CU953" s="7"/>
      <c r="CV953" s="8">
        <f t="shared" si="122"/>
        <v>12831200</v>
      </c>
      <c r="CW953" s="9">
        <v>5000</v>
      </c>
      <c r="CX953" s="10">
        <f>5000*900.16</f>
        <v>4500800</v>
      </c>
      <c r="CY953" s="11">
        <f>200+1200+250</f>
        <v>1650</v>
      </c>
      <c r="CZ953" s="12">
        <f>200*85000+1200*85000+250*85000</f>
        <v>140250000</v>
      </c>
      <c r="DA953" s="29"/>
      <c r="DB953" s="12"/>
      <c r="DC953" s="9">
        <v>1000</v>
      </c>
      <c r="DD953" s="10">
        <f>1000*22500</f>
        <v>22500000</v>
      </c>
      <c r="DE953" s="71"/>
      <c r="EO953" s="353" t="str">
        <f t="shared" si="125"/>
        <v>MAGDALENA_ARIGUANI</v>
      </c>
      <c r="EP953" s="350"/>
      <c r="EQ953" s="350" t="s">
        <v>4571</v>
      </c>
      <c r="ER953" s="358" t="s">
        <v>4572</v>
      </c>
      <c r="ES953" s="350" t="s">
        <v>5633</v>
      </c>
      <c r="ET953" s="350" t="s">
        <v>3569</v>
      </c>
      <c r="EU953" s="350" t="str">
        <f t="shared" si="118"/>
        <v>Sucre_Tolu Viejo</v>
      </c>
    </row>
    <row r="954" spans="1:151" ht="72" x14ac:dyDescent="0.2">
      <c r="A954" s="242">
        <v>40391</v>
      </c>
      <c r="B954" s="107" t="s">
        <v>1836</v>
      </c>
      <c r="C954" s="107" t="s">
        <v>4453</v>
      </c>
      <c r="D954" s="427" t="s">
        <v>837</v>
      </c>
      <c r="E954" s="107" t="str">
        <f>VLOOKUP(B954&amp;C954,Divipola!$C$2:$F$1138,4,FALSE)</f>
        <v>47161</v>
      </c>
      <c r="F954" s="330"/>
      <c r="G954" s="224"/>
      <c r="H954" s="75"/>
      <c r="I954" s="75"/>
      <c r="J954" s="75">
        <f>1508*5</f>
        <v>7540</v>
      </c>
      <c r="K954" s="75">
        <v>1508</v>
      </c>
      <c r="L954" s="75"/>
      <c r="M954" s="75">
        <v>1251</v>
      </c>
      <c r="N954" s="75"/>
      <c r="O954" s="75"/>
      <c r="P954" s="75"/>
      <c r="Q954" s="75"/>
      <c r="R954" s="75"/>
      <c r="S954" s="75"/>
      <c r="T954" s="75"/>
      <c r="U954" s="75"/>
      <c r="V954" s="76"/>
      <c r="W954" s="205"/>
      <c r="X954" s="1">
        <v>40422</v>
      </c>
      <c r="Y954" s="78">
        <f t="shared" si="119"/>
        <v>33652000</v>
      </c>
      <c r="Z954" s="78">
        <f t="shared" si="120"/>
        <v>344335000</v>
      </c>
      <c r="AA954" s="78">
        <f t="shared" si="126"/>
        <v>0</v>
      </c>
      <c r="AB954" s="78">
        <f t="shared" si="121"/>
        <v>4500800</v>
      </c>
      <c r="AC954" s="78"/>
      <c r="AD954" s="78">
        <v>29999022.859999999</v>
      </c>
      <c r="AE954" s="80">
        <f t="shared" si="123"/>
        <v>412486822.86000001</v>
      </c>
      <c r="AF954" s="82">
        <v>0</v>
      </c>
      <c r="AG954" s="69">
        <v>40396</v>
      </c>
      <c r="AH954" s="84">
        <v>39941</v>
      </c>
      <c r="AI954" s="69" t="s">
        <v>2009</v>
      </c>
      <c r="AJ954" s="25" t="s">
        <v>2010</v>
      </c>
      <c r="AK954" s="88" t="s">
        <v>77</v>
      </c>
      <c r="AL954" s="215" t="s">
        <v>1183</v>
      </c>
      <c r="AM954" s="85" t="s">
        <v>197</v>
      </c>
      <c r="AN954" s="3"/>
      <c r="AO954" s="4"/>
      <c r="AP954" s="5"/>
      <c r="AQ954" s="4"/>
      <c r="AR954" s="4"/>
      <c r="AS954" s="4"/>
      <c r="AT954" s="4"/>
      <c r="AU954" s="4"/>
      <c r="AV954" s="4"/>
      <c r="AW954" s="4"/>
      <c r="AX954" s="4"/>
      <c r="AY954" s="4"/>
      <c r="AZ954" s="4"/>
      <c r="BA954" s="4"/>
      <c r="BB954" s="4"/>
      <c r="BC954" s="4"/>
      <c r="BD954" s="4"/>
      <c r="BE954" s="4"/>
      <c r="BF954" s="4"/>
      <c r="BG954" s="4"/>
      <c r="BH954" s="4"/>
      <c r="BI954" s="4"/>
      <c r="BJ954" s="4"/>
      <c r="BK954" s="4"/>
      <c r="BL954" s="4">
        <v>200</v>
      </c>
      <c r="BM954" s="4">
        <f>200*25500</f>
        <v>5100000</v>
      </c>
      <c r="BN954" s="4"/>
      <c r="BO954" s="4"/>
      <c r="BP954" s="4"/>
      <c r="BQ954" s="4"/>
      <c r="BR954" s="4"/>
      <c r="BS954" s="4"/>
      <c r="BT954" s="4"/>
      <c r="BU954" s="4"/>
      <c r="BV954" s="4"/>
      <c r="BW954" s="4"/>
      <c r="BX954" s="4"/>
      <c r="BY954" s="4"/>
      <c r="BZ954" s="4">
        <f>5+5</f>
        <v>10</v>
      </c>
      <c r="CA954" s="4">
        <f>5*510400+5*520000</f>
        <v>5152000</v>
      </c>
      <c r="CB954" s="4"/>
      <c r="CC954" s="4"/>
      <c r="CD954" s="4"/>
      <c r="CE954" s="4"/>
      <c r="CF954" s="4"/>
      <c r="CG954" s="4"/>
      <c r="CH954" s="4"/>
      <c r="CI954" s="4"/>
      <c r="CJ954" s="4"/>
      <c r="CK954" s="4"/>
      <c r="CL954" s="4"/>
      <c r="CM954" s="4"/>
      <c r="CN954" s="4">
        <v>1300</v>
      </c>
      <c r="CO954" s="4">
        <f>1300*18000</f>
        <v>23400000</v>
      </c>
      <c r="CP954" s="6"/>
      <c r="CQ954" s="7"/>
      <c r="CR954" s="6"/>
      <c r="CS954" s="7"/>
      <c r="CT954" s="6"/>
      <c r="CU954" s="7"/>
      <c r="CV954" s="8">
        <f t="shared" si="122"/>
        <v>33652000</v>
      </c>
      <c r="CW954" s="9">
        <v>5000</v>
      </c>
      <c r="CX954" s="10">
        <f>5000*900.16</f>
        <v>4500800</v>
      </c>
      <c r="CY954" s="11">
        <f>1300+1500+1251</f>
        <v>4051</v>
      </c>
      <c r="CZ954" s="12">
        <f>1300*85000+1500*85000+1251*85000</f>
        <v>344335000</v>
      </c>
      <c r="DA954" s="29"/>
      <c r="DB954" s="12"/>
      <c r="DC954" s="9"/>
      <c r="DD954" s="10"/>
      <c r="DE954" s="71">
        <v>4</v>
      </c>
      <c r="EO954" s="353" t="str">
        <f t="shared" si="125"/>
        <v>MAGDALENA_CERRO SAN ANTONIO</v>
      </c>
      <c r="EP954" s="350"/>
      <c r="EQ954" s="350" t="s">
        <v>4594</v>
      </c>
      <c r="ER954" s="358" t="s">
        <v>4595</v>
      </c>
      <c r="ES954" s="350" t="s">
        <v>5634</v>
      </c>
      <c r="ET954" s="350" t="s">
        <v>3570</v>
      </c>
      <c r="EU954" s="350" t="str">
        <f t="shared" si="118"/>
        <v>Tolima_Ibague</v>
      </c>
    </row>
    <row r="955" spans="1:151" ht="38.25" x14ac:dyDescent="0.2">
      <c r="A955" s="242">
        <v>40391</v>
      </c>
      <c r="B955" s="107" t="s">
        <v>1836</v>
      </c>
      <c r="C955" s="107" t="s">
        <v>1886</v>
      </c>
      <c r="D955" s="427" t="s">
        <v>837</v>
      </c>
      <c r="E955" s="107" t="str">
        <f>VLOOKUP(B955&amp;C955,Divipola!$C$2:$F$1138,4,FALSE)</f>
        <v>47189</v>
      </c>
      <c r="F955" s="330"/>
      <c r="G955" s="224"/>
      <c r="H955" s="75"/>
      <c r="I955" s="75"/>
      <c r="J955" s="75">
        <f>4432*5</f>
        <v>22160</v>
      </c>
      <c r="K955" s="75">
        <v>4432</v>
      </c>
      <c r="L955" s="75"/>
      <c r="M955" s="75">
        <v>718</v>
      </c>
      <c r="N955" s="75"/>
      <c r="O955" s="75"/>
      <c r="P955" s="75"/>
      <c r="Q955" s="75"/>
      <c r="R955" s="75"/>
      <c r="S955" s="75"/>
      <c r="T955" s="75"/>
      <c r="U955" s="75"/>
      <c r="V955" s="76"/>
      <c r="W955" s="205"/>
      <c r="X955" s="1"/>
      <c r="Y955" s="78">
        <f t="shared" si="119"/>
        <v>12010800</v>
      </c>
      <c r="Z955" s="78">
        <f t="shared" si="120"/>
        <v>210800000</v>
      </c>
      <c r="AA955" s="78">
        <f t="shared" si="126"/>
        <v>0</v>
      </c>
      <c r="AB955" s="78">
        <f t="shared" si="121"/>
        <v>11702080</v>
      </c>
      <c r="AC955" s="78"/>
      <c r="AD955" s="78">
        <v>0</v>
      </c>
      <c r="AE955" s="80">
        <f t="shared" si="123"/>
        <v>234512880</v>
      </c>
      <c r="AF955" s="82">
        <v>0</v>
      </c>
      <c r="AG955" s="69">
        <v>40399</v>
      </c>
      <c r="AH955" s="84">
        <v>39691</v>
      </c>
      <c r="AI955" s="69" t="s">
        <v>2009</v>
      </c>
      <c r="AJ955" s="25" t="s">
        <v>2010</v>
      </c>
      <c r="AK955" s="65">
        <v>22723</v>
      </c>
      <c r="AL955" s="185" t="s">
        <v>1174</v>
      </c>
      <c r="AM955" s="85" t="s">
        <v>1870</v>
      </c>
      <c r="AN955" s="3"/>
      <c r="AO955" s="4"/>
      <c r="AP955" s="5"/>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f>2+5</f>
        <v>7</v>
      </c>
      <c r="CA955" s="4">
        <f>2*510400+5*470000</f>
        <v>3370800</v>
      </c>
      <c r="CB955" s="4"/>
      <c r="CC955" s="4"/>
      <c r="CD955" s="4"/>
      <c r="CE955" s="4"/>
      <c r="CF955" s="4"/>
      <c r="CG955" s="4"/>
      <c r="CH955" s="4"/>
      <c r="CI955" s="4"/>
      <c r="CJ955" s="4"/>
      <c r="CK955" s="4"/>
      <c r="CL955" s="4"/>
      <c r="CM955" s="4"/>
      <c r="CN955" s="4">
        <v>480</v>
      </c>
      <c r="CO955" s="4">
        <f>480*18000</f>
        <v>8640000</v>
      </c>
      <c r="CP955" s="6"/>
      <c r="CQ955" s="7"/>
      <c r="CR955" s="6"/>
      <c r="CS955" s="7"/>
      <c r="CT955" s="6"/>
      <c r="CU955" s="7"/>
      <c r="CV955" s="8">
        <f t="shared" si="122"/>
        <v>12010800</v>
      </c>
      <c r="CW955" s="9">
        <f>10000+3000</f>
        <v>13000</v>
      </c>
      <c r="CX955" s="10">
        <f>10000*900.16+3000*900.16</f>
        <v>11702080</v>
      </c>
      <c r="CY955" s="11">
        <f>480+1000+1000</f>
        <v>2480</v>
      </c>
      <c r="CZ955" s="12">
        <f>480*85000+1000*85000+1000*85000</f>
        <v>210800000</v>
      </c>
      <c r="DA955" s="29"/>
      <c r="DB955" s="12"/>
      <c r="DC955" s="9"/>
      <c r="DD955" s="10"/>
      <c r="DE955" s="71"/>
      <c r="EO955" s="353" t="str">
        <f t="shared" si="125"/>
        <v>MAGDALENA_CIENAGA</v>
      </c>
      <c r="EP955" s="350"/>
      <c r="EQ955" s="350" t="s">
        <v>4594</v>
      </c>
      <c r="ER955" s="358" t="s">
        <v>4595</v>
      </c>
      <c r="ES955" s="350" t="s">
        <v>5635</v>
      </c>
      <c r="ET955" s="350" t="s">
        <v>3571</v>
      </c>
      <c r="EU955" s="350" t="str">
        <f t="shared" si="118"/>
        <v>Tolima_Alpujarra</v>
      </c>
    </row>
    <row r="956" spans="1:151" ht="38.25" x14ac:dyDescent="0.2">
      <c r="A956" s="242">
        <v>40391</v>
      </c>
      <c r="B956" s="107" t="s">
        <v>1836</v>
      </c>
      <c r="C956" s="107" t="s">
        <v>1922</v>
      </c>
      <c r="D956" s="427" t="s">
        <v>837</v>
      </c>
      <c r="E956" s="107" t="str">
        <f>VLOOKUP(B956&amp;C956,Divipola!$C$2:$F$1138,4,FALSE)</f>
        <v>47205</v>
      </c>
      <c r="F956" s="330"/>
      <c r="G956" s="224"/>
      <c r="H956" s="75"/>
      <c r="I956" s="75"/>
      <c r="J956" s="422">
        <f>2176*3.7</f>
        <v>8051.2000000000007</v>
      </c>
      <c r="K956" s="75">
        <v>2176</v>
      </c>
      <c r="L956" s="75"/>
      <c r="M956" s="75">
        <v>2110</v>
      </c>
      <c r="N956" s="75"/>
      <c r="O956" s="75"/>
      <c r="P956" s="75"/>
      <c r="Q956" s="75"/>
      <c r="R956" s="75"/>
      <c r="S956" s="75"/>
      <c r="T956" s="75">
        <v>1</v>
      </c>
      <c r="U956" s="75"/>
      <c r="V956" s="76"/>
      <c r="W956" s="205"/>
      <c r="X956" s="1">
        <v>40536</v>
      </c>
      <c r="Y956" s="78">
        <f t="shared" si="119"/>
        <v>38371200</v>
      </c>
      <c r="Z956" s="78">
        <f t="shared" si="120"/>
        <v>383350000</v>
      </c>
      <c r="AA956" s="78">
        <f t="shared" si="126"/>
        <v>40396800</v>
      </c>
      <c r="AB956" s="78">
        <f t="shared" si="121"/>
        <v>4500800</v>
      </c>
      <c r="AC956" s="78"/>
      <c r="AD956" s="78">
        <v>0</v>
      </c>
      <c r="AE956" s="80">
        <f t="shared" si="123"/>
        <v>466618800</v>
      </c>
      <c r="AF956" s="82">
        <v>0</v>
      </c>
      <c r="AG956" s="69">
        <v>40396</v>
      </c>
      <c r="AH956" s="84">
        <v>39941</v>
      </c>
      <c r="AI956" s="69" t="s">
        <v>2009</v>
      </c>
      <c r="AJ956" s="25" t="s">
        <v>2010</v>
      </c>
      <c r="AK956" s="65">
        <v>27459</v>
      </c>
      <c r="AL956" s="215" t="s">
        <v>1183</v>
      </c>
      <c r="AM956" s="85" t="s">
        <v>1923</v>
      </c>
      <c r="AN956" s="3"/>
      <c r="AO956" s="4"/>
      <c r="AP956" s="5"/>
      <c r="AQ956" s="4"/>
      <c r="AR956" s="4"/>
      <c r="AS956" s="4"/>
      <c r="AT956" s="4"/>
      <c r="AU956" s="4"/>
      <c r="AV956" s="4"/>
      <c r="AW956" s="4"/>
      <c r="AX956" s="4"/>
      <c r="AY956" s="4"/>
      <c r="AZ956" s="4"/>
      <c r="BA956" s="4"/>
      <c r="BB956" s="4"/>
      <c r="BC956" s="4"/>
      <c r="BD956" s="4"/>
      <c r="BE956" s="4"/>
      <c r="BF956" s="4"/>
      <c r="BG956" s="4"/>
      <c r="BH956" s="4"/>
      <c r="BI956" s="4"/>
      <c r="BJ956" s="4"/>
      <c r="BK956" s="4"/>
      <c r="BL956" s="4">
        <v>300</v>
      </c>
      <c r="BM956" s="4">
        <f>300*25500</f>
        <v>7650000</v>
      </c>
      <c r="BN956" s="4"/>
      <c r="BO956" s="4"/>
      <c r="BP956" s="4"/>
      <c r="BQ956" s="4"/>
      <c r="BR956" s="4"/>
      <c r="BS956" s="4"/>
      <c r="BT956" s="4"/>
      <c r="BU956" s="4"/>
      <c r="BV956" s="4"/>
      <c r="BW956" s="4"/>
      <c r="BX956" s="4"/>
      <c r="BY956" s="4"/>
      <c r="BZ956" s="4">
        <f>3+5+15</f>
        <v>23</v>
      </c>
      <c r="CA956" s="4">
        <f>3*510400+5*468000+15*470000</f>
        <v>10921200</v>
      </c>
      <c r="CB956" s="4"/>
      <c r="CC956" s="4"/>
      <c r="CD956" s="4"/>
      <c r="CE956" s="4"/>
      <c r="CF956" s="4"/>
      <c r="CG956" s="4"/>
      <c r="CH956" s="4"/>
      <c r="CI956" s="4"/>
      <c r="CJ956" s="4"/>
      <c r="CK956" s="4"/>
      <c r="CL956" s="4"/>
      <c r="CM956" s="4"/>
      <c r="CN956" s="4">
        <f>600+500</f>
        <v>1100</v>
      </c>
      <c r="CO956" s="4">
        <f>600*18000+500*18000</f>
        <v>19800000</v>
      </c>
      <c r="CP956" s="6"/>
      <c r="CQ956" s="7"/>
      <c r="CR956" s="6"/>
      <c r="CS956" s="7"/>
      <c r="CT956" s="6"/>
      <c r="CU956" s="7"/>
      <c r="CV956" s="8">
        <f t="shared" si="122"/>
        <v>38371200</v>
      </c>
      <c r="CW956" s="9">
        <v>5000</v>
      </c>
      <c r="CX956" s="10">
        <f>5000*900.16</f>
        <v>4500800</v>
      </c>
      <c r="CY956" s="11">
        <f>600+1800+2110</f>
        <v>4510</v>
      </c>
      <c r="CZ956" s="12">
        <f>600*85000+1800*85000+2110*85000</f>
        <v>383350000</v>
      </c>
      <c r="DA956" s="29"/>
      <c r="DB956" s="12"/>
      <c r="DC956" s="9">
        <v>2400</v>
      </c>
      <c r="DD956" s="10">
        <f>2400*16832</f>
        <v>40396800</v>
      </c>
      <c r="DE956" s="71"/>
      <c r="EO956" s="353" t="str">
        <f t="shared" si="125"/>
        <v>MAGDALENA_CONCORDIA</v>
      </c>
      <c r="EP956" s="350"/>
      <c r="EQ956" s="350" t="s">
        <v>4594</v>
      </c>
      <c r="ER956" s="358" t="s">
        <v>4595</v>
      </c>
      <c r="ES956" s="350" t="s">
        <v>5636</v>
      </c>
      <c r="ET956" s="350" t="s">
        <v>3572</v>
      </c>
      <c r="EU956" s="350" t="str">
        <f t="shared" ref="EU956:EU1019" si="127">ER956&amp;"_"&amp;ET956</f>
        <v>Tolima_Alvarado</v>
      </c>
    </row>
    <row r="957" spans="1:151" ht="72" x14ac:dyDescent="0.2">
      <c r="A957" s="242">
        <v>40391</v>
      </c>
      <c r="B957" s="107" t="s">
        <v>1836</v>
      </c>
      <c r="C957" s="107" t="s">
        <v>1837</v>
      </c>
      <c r="D957" s="427" t="s">
        <v>837</v>
      </c>
      <c r="E957" s="107" t="str">
        <f>VLOOKUP(B957&amp;C957,Divipola!$C$2:$F$1138,4,FALSE)</f>
        <v>47245</v>
      </c>
      <c r="F957" s="330"/>
      <c r="G957" s="224"/>
      <c r="H957" s="75"/>
      <c r="I957" s="75"/>
      <c r="J957" s="75">
        <v>40750</v>
      </c>
      <c r="K957" s="75">
        <v>8150</v>
      </c>
      <c r="L957" s="75"/>
      <c r="M957" s="75">
        <v>1263</v>
      </c>
      <c r="N957" s="75"/>
      <c r="O957" s="75"/>
      <c r="P957" s="75"/>
      <c r="Q957" s="75"/>
      <c r="R957" s="75"/>
      <c r="S957" s="75"/>
      <c r="T957" s="75">
        <v>7</v>
      </c>
      <c r="U957" s="75"/>
      <c r="V957" s="76"/>
      <c r="W957" s="205"/>
      <c r="X957" s="1">
        <v>40420</v>
      </c>
      <c r="Y957" s="78">
        <f t="shared" si="119"/>
        <v>527438000</v>
      </c>
      <c r="Z957" s="78">
        <f t="shared" si="120"/>
        <v>1581000000</v>
      </c>
      <c r="AA957" s="78">
        <f t="shared" si="126"/>
        <v>0</v>
      </c>
      <c r="AB957" s="78">
        <f t="shared" si="121"/>
        <v>4500800</v>
      </c>
      <c r="AC957" s="78"/>
      <c r="AD957" s="78">
        <v>0</v>
      </c>
      <c r="AE957" s="80">
        <f t="shared" si="123"/>
        <v>2112938800</v>
      </c>
      <c r="AF957" s="82">
        <v>0</v>
      </c>
      <c r="AG957" s="69">
        <v>40396</v>
      </c>
      <c r="AH957" s="84">
        <v>39941</v>
      </c>
      <c r="AI957" s="69" t="s">
        <v>2009</v>
      </c>
      <c r="AJ957" s="25" t="s">
        <v>2010</v>
      </c>
      <c r="AK957" s="88" t="s">
        <v>75</v>
      </c>
      <c r="AL957" s="215" t="s">
        <v>1183</v>
      </c>
      <c r="AM957" s="85" t="s">
        <v>1070</v>
      </c>
      <c r="AN957" s="3"/>
      <c r="AO957" s="4"/>
      <c r="AP957" s="5"/>
      <c r="AQ957" s="4"/>
      <c r="AR957" s="4"/>
      <c r="AS957" s="4"/>
      <c r="AT957" s="4"/>
      <c r="AU957" s="4"/>
      <c r="AV957" s="4"/>
      <c r="AW957" s="4"/>
      <c r="AX957" s="4"/>
      <c r="AY957" s="4"/>
      <c r="AZ957" s="4">
        <v>3000</v>
      </c>
      <c r="BA957" s="4">
        <f>3000*56000</f>
        <v>168000000</v>
      </c>
      <c r="BB957" s="4"/>
      <c r="BC957" s="4"/>
      <c r="BD957" s="4"/>
      <c r="BE957" s="4"/>
      <c r="BF957" s="4"/>
      <c r="BG957" s="4"/>
      <c r="BH957" s="4"/>
      <c r="BI957" s="4"/>
      <c r="BJ957" s="4"/>
      <c r="BK957" s="4"/>
      <c r="BL957" s="4">
        <v>500</v>
      </c>
      <c r="BM957" s="4">
        <f>500*25500</f>
        <v>12750000</v>
      </c>
      <c r="BN957" s="4"/>
      <c r="BO957" s="4"/>
      <c r="BP957" s="4"/>
      <c r="BQ957" s="4"/>
      <c r="BR957" s="4"/>
      <c r="BS957" s="4"/>
      <c r="BT957" s="4"/>
      <c r="BU957" s="4"/>
      <c r="BV957" s="4"/>
      <c r="BW957" s="4"/>
      <c r="BX957" s="4"/>
      <c r="BY957" s="4"/>
      <c r="BZ957" s="4">
        <f>25+300</f>
        <v>325</v>
      </c>
      <c r="CA957" s="4">
        <f>20*510400+5*520000+300*504600</f>
        <v>164188000</v>
      </c>
      <c r="CB957" s="4"/>
      <c r="CC957" s="4"/>
      <c r="CD957" s="4"/>
      <c r="CE957" s="4"/>
      <c r="CF957" s="4"/>
      <c r="CG957" s="4"/>
      <c r="CH957" s="4"/>
      <c r="CI957" s="4"/>
      <c r="CJ957" s="4"/>
      <c r="CK957" s="4"/>
      <c r="CL957" s="4"/>
      <c r="CM957" s="4"/>
      <c r="CN957" s="4">
        <v>5000</v>
      </c>
      <c r="CO957" s="4">
        <f>5000*18000</f>
        <v>90000000</v>
      </c>
      <c r="CP957" s="6">
        <v>2500</v>
      </c>
      <c r="CQ957" s="7">
        <f>2500*37000</f>
        <v>92500000</v>
      </c>
      <c r="CR957" s="6"/>
      <c r="CS957" s="7"/>
      <c r="CT957" s="6"/>
      <c r="CU957" s="7"/>
      <c r="CV957" s="8">
        <f t="shared" si="122"/>
        <v>527438000</v>
      </c>
      <c r="CW957" s="9">
        <v>5000</v>
      </c>
      <c r="CX957" s="10">
        <f>5000*900.16</f>
        <v>4500800</v>
      </c>
      <c r="CY957" s="11">
        <f>1000+5200+1200+1500+1500+8200</f>
        <v>18600</v>
      </c>
      <c r="CZ957" s="12">
        <f>1000*85000+5200*85000+1200*85000+1500*85000+1500*85000+8200*85000</f>
        <v>1581000000</v>
      </c>
      <c r="DA957" s="29"/>
      <c r="DB957" s="12"/>
      <c r="DC957" s="9"/>
      <c r="DD957" s="10"/>
      <c r="DE957" s="71"/>
      <c r="EO957" s="353" t="str">
        <f t="shared" si="125"/>
        <v>MAGDALENA_EL BANCO</v>
      </c>
      <c r="EP957" s="350"/>
      <c r="EQ957" s="350" t="s">
        <v>4594</v>
      </c>
      <c r="ER957" s="358" t="s">
        <v>4595</v>
      </c>
      <c r="ES957" s="350" t="s">
        <v>5637</v>
      </c>
      <c r="ET957" s="350" t="s">
        <v>3573</v>
      </c>
      <c r="EU957" s="350" t="str">
        <f t="shared" si="127"/>
        <v>Tolima_Ambalema</v>
      </c>
    </row>
    <row r="958" spans="1:151" ht="72" x14ac:dyDescent="0.2">
      <c r="A958" s="242">
        <v>40391</v>
      </c>
      <c r="B958" s="107" t="s">
        <v>1836</v>
      </c>
      <c r="C958" s="107" t="s">
        <v>1875</v>
      </c>
      <c r="D958" s="427" t="s">
        <v>837</v>
      </c>
      <c r="E958" s="107" t="str">
        <f>VLOOKUP(B958&amp;C958,Divipola!$C$2:$F$1138,4,FALSE)</f>
        <v>47258</v>
      </c>
      <c r="F958" s="330"/>
      <c r="G958" s="224"/>
      <c r="H958" s="75"/>
      <c r="I958" s="75"/>
      <c r="J958" s="75">
        <f>3066*5</f>
        <v>15330</v>
      </c>
      <c r="K958" s="75">
        <v>3066</v>
      </c>
      <c r="L958" s="75"/>
      <c r="M958" s="75">
        <v>2551</v>
      </c>
      <c r="N958" s="75"/>
      <c r="O958" s="75"/>
      <c r="P958" s="75"/>
      <c r="Q958" s="75"/>
      <c r="R958" s="75"/>
      <c r="S958" s="75"/>
      <c r="T958" s="75"/>
      <c r="U958" s="75"/>
      <c r="V958" s="76"/>
      <c r="W958" s="205"/>
      <c r="X958" s="1"/>
      <c r="Y958" s="78">
        <f t="shared" si="119"/>
        <v>26656200</v>
      </c>
      <c r="Z958" s="78">
        <f t="shared" si="120"/>
        <v>242335000</v>
      </c>
      <c r="AA958" s="78">
        <f t="shared" si="126"/>
        <v>0</v>
      </c>
      <c r="AB958" s="78">
        <f t="shared" si="121"/>
        <v>4500800</v>
      </c>
      <c r="AC958" s="78"/>
      <c r="AD958" s="78">
        <v>150000000</v>
      </c>
      <c r="AE958" s="80">
        <f t="shared" si="123"/>
        <v>423492000</v>
      </c>
      <c r="AF958" s="82">
        <v>0</v>
      </c>
      <c r="AG958" s="69">
        <v>40396</v>
      </c>
      <c r="AH958" s="94" t="s">
        <v>1182</v>
      </c>
      <c r="AI958" s="69" t="s">
        <v>2009</v>
      </c>
      <c r="AJ958" s="25" t="s">
        <v>2010</v>
      </c>
      <c r="AK958" s="65">
        <v>45812</v>
      </c>
      <c r="AL958" s="215" t="s">
        <v>1183</v>
      </c>
      <c r="AM958" s="85" t="s">
        <v>532</v>
      </c>
      <c r="AN958" s="3"/>
      <c r="AO958" s="4"/>
      <c r="AP958" s="5"/>
      <c r="AQ958" s="4"/>
      <c r="AR958" s="4"/>
      <c r="AS958" s="4"/>
      <c r="AT958" s="4"/>
      <c r="AU958" s="4"/>
      <c r="AV958" s="4"/>
      <c r="AW958" s="4"/>
      <c r="AX958" s="4"/>
      <c r="AY958" s="4"/>
      <c r="AZ958" s="4">
        <v>200</v>
      </c>
      <c r="BA958" s="4">
        <f>200*56000</f>
        <v>11200000</v>
      </c>
      <c r="BB958" s="4"/>
      <c r="BC958" s="4"/>
      <c r="BD958" s="4"/>
      <c r="BE958" s="4"/>
      <c r="BF958" s="4"/>
      <c r="BG958" s="4"/>
      <c r="BH958" s="4"/>
      <c r="BI958" s="4"/>
      <c r="BJ958" s="4"/>
      <c r="BK958" s="4"/>
      <c r="BL958" s="4">
        <v>150</v>
      </c>
      <c r="BM958" s="4">
        <f>150*25500</f>
        <v>3825000</v>
      </c>
      <c r="BN958" s="4"/>
      <c r="BO958" s="4"/>
      <c r="BP958" s="4"/>
      <c r="BQ958" s="4"/>
      <c r="BR958" s="4"/>
      <c r="BS958" s="4"/>
      <c r="BT958" s="4"/>
      <c r="BU958" s="4"/>
      <c r="BV958" s="4"/>
      <c r="BW958" s="4"/>
      <c r="BX958" s="4"/>
      <c r="BY958" s="4"/>
      <c r="BZ958" s="4">
        <f>3+10</f>
        <v>13</v>
      </c>
      <c r="CA958" s="4">
        <f>3*510400+10*470000</f>
        <v>6231200</v>
      </c>
      <c r="CB958" s="4"/>
      <c r="CC958" s="4"/>
      <c r="CD958" s="4"/>
      <c r="CE958" s="4"/>
      <c r="CF958" s="4"/>
      <c r="CG958" s="4"/>
      <c r="CH958" s="4"/>
      <c r="CI958" s="4"/>
      <c r="CJ958" s="4"/>
      <c r="CK958" s="4"/>
      <c r="CL958" s="4"/>
      <c r="CM958" s="4"/>
      <c r="CN958" s="4">
        <v>300</v>
      </c>
      <c r="CO958" s="4">
        <f>300*18000</f>
        <v>5400000</v>
      </c>
      <c r="CP958" s="6"/>
      <c r="CQ958" s="7"/>
      <c r="CR958" s="6"/>
      <c r="CS958" s="7"/>
      <c r="CT958" s="6"/>
      <c r="CU958" s="7"/>
      <c r="CV958" s="8">
        <f t="shared" si="122"/>
        <v>26656200</v>
      </c>
      <c r="CW958" s="9">
        <v>5000</v>
      </c>
      <c r="CX958" s="10">
        <f>5000*900.16</f>
        <v>4500800</v>
      </c>
      <c r="CY958" s="11">
        <f>300+2551</f>
        <v>2851</v>
      </c>
      <c r="CZ958" s="12">
        <f>300*85000+2551*85000</f>
        <v>242335000</v>
      </c>
      <c r="DA958" s="29"/>
      <c r="DB958" s="12"/>
      <c r="DC958" s="9"/>
      <c r="DD958" s="10"/>
      <c r="DE958" s="71">
        <v>4</v>
      </c>
      <c r="EO958" s="353" t="str">
        <f t="shared" si="125"/>
        <v>MAGDALENA_EL PIÑON</v>
      </c>
      <c r="EP958" s="350"/>
      <c r="EQ958" s="350" t="s">
        <v>4594</v>
      </c>
      <c r="ER958" s="358" t="s">
        <v>4595</v>
      </c>
      <c r="ES958" s="350" t="s">
        <v>5638</v>
      </c>
      <c r="ET958" s="350" t="s">
        <v>3574</v>
      </c>
      <c r="EU958" s="350" t="str">
        <f t="shared" si="127"/>
        <v>Tolima_Anzoategui</v>
      </c>
    </row>
    <row r="959" spans="1:151" ht="48" x14ac:dyDescent="0.2">
      <c r="A959" s="242">
        <v>40391</v>
      </c>
      <c r="B959" s="107" t="s">
        <v>1836</v>
      </c>
      <c r="C959" s="107" t="s">
        <v>1881</v>
      </c>
      <c r="D959" s="427" t="s">
        <v>837</v>
      </c>
      <c r="E959" s="107" t="str">
        <f>VLOOKUP(B959&amp;C959,Divipola!$C$2:$F$1138,4,FALSE)</f>
        <v>47268</v>
      </c>
      <c r="F959" s="330"/>
      <c r="G959" s="224"/>
      <c r="H959" s="75"/>
      <c r="I959" s="75"/>
      <c r="J959" s="75">
        <v>2135</v>
      </c>
      <c r="K959" s="75">
        <v>427</v>
      </c>
      <c r="L959" s="75"/>
      <c r="M959" s="75">
        <v>400</v>
      </c>
      <c r="N959" s="75"/>
      <c r="O959" s="75"/>
      <c r="P959" s="75"/>
      <c r="Q959" s="75"/>
      <c r="R959" s="75"/>
      <c r="S959" s="75"/>
      <c r="T959" s="75"/>
      <c r="U959" s="75"/>
      <c r="V959" s="76"/>
      <c r="W959" s="205"/>
      <c r="X959" s="1">
        <v>40520</v>
      </c>
      <c r="Y959" s="78">
        <f t="shared" si="119"/>
        <v>4066200</v>
      </c>
      <c r="Z959" s="78">
        <f t="shared" si="120"/>
        <v>124950000</v>
      </c>
      <c r="AA959" s="78">
        <f t="shared" si="126"/>
        <v>0</v>
      </c>
      <c r="AB959" s="78">
        <f t="shared" si="121"/>
        <v>3600640</v>
      </c>
      <c r="AC959" s="78"/>
      <c r="AD959" s="78">
        <v>0</v>
      </c>
      <c r="AE959" s="80">
        <f t="shared" si="123"/>
        <v>132616840</v>
      </c>
      <c r="AF959" s="82">
        <v>0</v>
      </c>
      <c r="AG959" s="69">
        <v>40396</v>
      </c>
      <c r="AH959" s="84">
        <v>39941</v>
      </c>
      <c r="AI959" s="69" t="s">
        <v>2009</v>
      </c>
      <c r="AJ959" s="25" t="s">
        <v>2010</v>
      </c>
      <c r="AK959" s="65">
        <v>26378</v>
      </c>
      <c r="AL959" s="215" t="s">
        <v>1183</v>
      </c>
      <c r="AM959" s="85" t="s">
        <v>1866</v>
      </c>
      <c r="AN959" s="3"/>
      <c r="AO959" s="4"/>
      <c r="AP959" s="5"/>
      <c r="AQ959" s="4"/>
      <c r="AR959" s="4"/>
      <c r="AS959" s="4"/>
      <c r="AT959" s="4"/>
      <c r="AU959" s="4"/>
      <c r="AV959" s="4"/>
      <c r="AW959" s="4"/>
      <c r="AX959" s="4"/>
      <c r="AY959" s="4"/>
      <c r="AZ959" s="4"/>
      <c r="BA959" s="4"/>
      <c r="BB959" s="4"/>
      <c r="BC959" s="4"/>
      <c r="BD959" s="4"/>
      <c r="BE959" s="4"/>
      <c r="BF959" s="4"/>
      <c r="BG959" s="4"/>
      <c r="BH959" s="4"/>
      <c r="BI959" s="4"/>
      <c r="BJ959" s="4"/>
      <c r="BK959" s="4"/>
      <c r="BL959" s="4">
        <v>50</v>
      </c>
      <c r="BM959" s="4">
        <f>50*25500</f>
        <v>1275000</v>
      </c>
      <c r="BN959" s="4"/>
      <c r="BO959" s="4"/>
      <c r="BP959" s="4"/>
      <c r="BQ959" s="4"/>
      <c r="BR959" s="4"/>
      <c r="BS959" s="4"/>
      <c r="BT959" s="4"/>
      <c r="BU959" s="4"/>
      <c r="BV959" s="4"/>
      <c r="BW959" s="4"/>
      <c r="BX959" s="4"/>
      <c r="BY959" s="4"/>
      <c r="BZ959" s="4">
        <v>3</v>
      </c>
      <c r="CA959" s="4">
        <f>3*510400</f>
        <v>1531200</v>
      </c>
      <c r="CB959" s="4"/>
      <c r="CC959" s="4"/>
      <c r="CD959" s="4"/>
      <c r="CE959" s="4"/>
      <c r="CF959" s="4"/>
      <c r="CG959" s="4"/>
      <c r="CH959" s="4"/>
      <c r="CI959" s="4"/>
      <c r="CJ959" s="4"/>
      <c r="CK959" s="4"/>
      <c r="CL959" s="4"/>
      <c r="CM959" s="4"/>
      <c r="CN959" s="4">
        <v>70</v>
      </c>
      <c r="CO959" s="4">
        <f>70*18000</f>
        <v>1260000</v>
      </c>
      <c r="CP959" s="6"/>
      <c r="CQ959" s="7"/>
      <c r="CR959" s="6"/>
      <c r="CS959" s="7"/>
      <c r="CT959" s="6"/>
      <c r="CU959" s="7"/>
      <c r="CV959" s="8">
        <f t="shared" si="122"/>
        <v>4066200</v>
      </c>
      <c r="CW959" s="9">
        <v>4000</v>
      </c>
      <c r="CX959" s="10">
        <f>4000*900.16</f>
        <v>3600640</v>
      </c>
      <c r="CY959" s="11">
        <f>70+1000+400</f>
        <v>1470</v>
      </c>
      <c r="CZ959" s="12">
        <f>70*85000+1000*85000+400*85000</f>
        <v>124950000</v>
      </c>
      <c r="DA959" s="29"/>
      <c r="DB959" s="12"/>
      <c r="DC959" s="9"/>
      <c r="DD959" s="10"/>
      <c r="DE959" s="71"/>
      <c r="EO959" s="353" t="str">
        <f t="shared" si="125"/>
        <v>MAGDALENA_EL RETEN</v>
      </c>
      <c r="EP959" s="350"/>
      <c r="EQ959" s="350" t="s">
        <v>4594</v>
      </c>
      <c r="ER959" s="358" t="s">
        <v>4595</v>
      </c>
      <c r="ES959" s="350" t="s">
        <v>5639</v>
      </c>
      <c r="ET959" s="350" t="s">
        <v>3575</v>
      </c>
      <c r="EU959" s="350" t="str">
        <f t="shared" si="127"/>
        <v>Tolima_Armero</v>
      </c>
    </row>
    <row r="960" spans="1:151" ht="84" x14ac:dyDescent="0.2">
      <c r="A960" s="242">
        <v>40391</v>
      </c>
      <c r="B960" s="107" t="s">
        <v>1836</v>
      </c>
      <c r="C960" s="107" t="s">
        <v>995</v>
      </c>
      <c r="D960" s="427" t="s">
        <v>837</v>
      </c>
      <c r="E960" s="107" t="str">
        <f>VLOOKUP(B960&amp;C960,Divipola!$C$2:$F$1138,4,FALSE)</f>
        <v>47288</v>
      </c>
      <c r="F960" s="330"/>
      <c r="G960" s="224"/>
      <c r="H960" s="75"/>
      <c r="I960" s="75"/>
      <c r="J960" s="75">
        <v>7625</v>
      </c>
      <c r="K960" s="75">
        <v>1525</v>
      </c>
      <c r="L960" s="75"/>
      <c r="M960" s="75">
        <v>1218</v>
      </c>
      <c r="N960" s="75"/>
      <c r="O960" s="75"/>
      <c r="P960" s="75"/>
      <c r="Q960" s="75"/>
      <c r="R960" s="75"/>
      <c r="S960" s="75"/>
      <c r="T960" s="75"/>
      <c r="U960" s="75"/>
      <c r="V960" s="76"/>
      <c r="W960" s="205"/>
      <c r="X960" s="1">
        <v>40520</v>
      </c>
      <c r="Y960" s="78">
        <f t="shared" si="119"/>
        <v>23455200</v>
      </c>
      <c r="Z960" s="78">
        <f t="shared" si="120"/>
        <v>188530000</v>
      </c>
      <c r="AA960" s="78">
        <f t="shared" si="126"/>
        <v>0</v>
      </c>
      <c r="AB960" s="78">
        <f t="shared" si="121"/>
        <v>4500800</v>
      </c>
      <c r="AC960" s="78"/>
      <c r="AD960" s="78">
        <v>0</v>
      </c>
      <c r="AE960" s="80">
        <f t="shared" si="123"/>
        <v>216486000</v>
      </c>
      <c r="AF960" s="82">
        <v>0</v>
      </c>
      <c r="AG960" s="69">
        <v>40396</v>
      </c>
      <c r="AH960" s="84">
        <v>39941</v>
      </c>
      <c r="AI960" s="69" t="s">
        <v>2009</v>
      </c>
      <c r="AJ960" s="25" t="s">
        <v>2010</v>
      </c>
      <c r="AK960" s="65">
        <v>26378</v>
      </c>
      <c r="AL960" s="215" t="s">
        <v>1183</v>
      </c>
      <c r="AM960" s="85" t="s">
        <v>1073</v>
      </c>
      <c r="AN960" s="3"/>
      <c r="AO960" s="4"/>
      <c r="AP960" s="5"/>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v>3</v>
      </c>
      <c r="CA960" s="4">
        <f>3*510400</f>
        <v>1531200</v>
      </c>
      <c r="CB960" s="4"/>
      <c r="CC960" s="4"/>
      <c r="CD960" s="4"/>
      <c r="CE960" s="4"/>
      <c r="CF960" s="4"/>
      <c r="CG960" s="4"/>
      <c r="CH960" s="4"/>
      <c r="CI960" s="4"/>
      <c r="CJ960" s="4"/>
      <c r="CK960" s="4"/>
      <c r="CL960" s="4"/>
      <c r="CM960" s="4"/>
      <c r="CN960" s="4">
        <v>1218</v>
      </c>
      <c r="CO960" s="4">
        <f>1218*18000</f>
        <v>21924000</v>
      </c>
      <c r="CP960" s="6"/>
      <c r="CQ960" s="7"/>
      <c r="CR960" s="6"/>
      <c r="CS960" s="7"/>
      <c r="CT960" s="6"/>
      <c r="CU960" s="7"/>
      <c r="CV960" s="8">
        <f t="shared" si="122"/>
        <v>23455200</v>
      </c>
      <c r="CW960" s="9">
        <v>5000</v>
      </c>
      <c r="CX960" s="10">
        <f>5000*900.16</f>
        <v>4500800</v>
      </c>
      <c r="CY960" s="11">
        <f>1218+1000</f>
        <v>2218</v>
      </c>
      <c r="CZ960" s="12">
        <f>1218*85000+1000*85000</f>
        <v>188530000</v>
      </c>
      <c r="DA960" s="29"/>
      <c r="DB960" s="12"/>
      <c r="DC960" s="9"/>
      <c r="DD960" s="10"/>
      <c r="DE960" s="71"/>
      <c r="EO960" s="353" t="str">
        <f t="shared" si="125"/>
        <v>MAGDALENA_FUNDACION</v>
      </c>
      <c r="EP960" s="350"/>
      <c r="EQ960" s="350" t="s">
        <v>4594</v>
      </c>
      <c r="ER960" s="358" t="s">
        <v>4595</v>
      </c>
      <c r="ES960" s="350" t="s">
        <v>5640</v>
      </c>
      <c r="ET960" s="350" t="s">
        <v>3576</v>
      </c>
      <c r="EU960" s="350" t="str">
        <f t="shared" si="127"/>
        <v>Tolima_Ataco</v>
      </c>
    </row>
    <row r="961" spans="1:151" ht="72" x14ac:dyDescent="0.2">
      <c r="A961" s="242">
        <v>40391</v>
      </c>
      <c r="B961" s="107" t="s">
        <v>1836</v>
      </c>
      <c r="C961" s="107" t="s">
        <v>1882</v>
      </c>
      <c r="D961" s="427" t="s">
        <v>837</v>
      </c>
      <c r="E961" s="107" t="str">
        <f>VLOOKUP(B961&amp;C961,Divipola!$C$2:$F$1138,4,FALSE)</f>
        <v>47318</v>
      </c>
      <c r="F961" s="330"/>
      <c r="G961" s="224"/>
      <c r="H961" s="75"/>
      <c r="I961" s="75"/>
      <c r="J961" s="75">
        <v>9365</v>
      </c>
      <c r="K961" s="75">
        <v>1873</v>
      </c>
      <c r="L961" s="75"/>
      <c r="M961" s="75">
        <v>1600</v>
      </c>
      <c r="N961" s="75"/>
      <c r="O961" s="75"/>
      <c r="P961" s="75"/>
      <c r="Q961" s="75"/>
      <c r="R961" s="75"/>
      <c r="S961" s="75"/>
      <c r="T961" s="75"/>
      <c r="U961" s="75"/>
      <c r="V961" s="76"/>
      <c r="W961" s="205"/>
      <c r="X961" s="1">
        <v>40470</v>
      </c>
      <c r="Y961" s="78">
        <f t="shared" si="119"/>
        <v>58648200</v>
      </c>
      <c r="Z961" s="78">
        <f t="shared" si="120"/>
        <v>379270000</v>
      </c>
      <c r="AA961" s="78">
        <f t="shared" si="126"/>
        <v>0</v>
      </c>
      <c r="AB961" s="78">
        <f t="shared" si="121"/>
        <v>4500800</v>
      </c>
      <c r="AC961" s="78">
        <v>64472800</v>
      </c>
      <c r="AD961" s="78">
        <v>0</v>
      </c>
      <c r="AE961" s="80">
        <f t="shared" si="123"/>
        <v>506891800</v>
      </c>
      <c r="AF961" s="82">
        <v>0</v>
      </c>
      <c r="AG961" s="69">
        <v>40396</v>
      </c>
      <c r="AH961" s="94" t="s">
        <v>1613</v>
      </c>
      <c r="AI961" s="69" t="s">
        <v>2009</v>
      </c>
      <c r="AJ961" s="25" t="s">
        <v>2010</v>
      </c>
      <c r="AK961" s="65">
        <v>22205</v>
      </c>
      <c r="AL961" s="215" t="s">
        <v>1614</v>
      </c>
      <c r="AM961" s="85" t="s">
        <v>725</v>
      </c>
      <c r="AN961" s="3"/>
      <c r="AO961" s="4"/>
      <c r="AP961" s="5"/>
      <c r="AQ961" s="4"/>
      <c r="AR961" s="4"/>
      <c r="AS961" s="4"/>
      <c r="AT961" s="4"/>
      <c r="AU961" s="4"/>
      <c r="AV961" s="4"/>
      <c r="AW961" s="4"/>
      <c r="AX961" s="4"/>
      <c r="AY961" s="4"/>
      <c r="AZ961" s="4"/>
      <c r="BA961" s="4"/>
      <c r="BB961" s="4"/>
      <c r="BC961" s="4"/>
      <c r="BD961" s="4"/>
      <c r="BE961" s="4"/>
      <c r="BF961" s="4"/>
      <c r="BG961" s="4"/>
      <c r="BH961" s="4"/>
      <c r="BI961" s="4"/>
      <c r="BJ961" s="4"/>
      <c r="BK961" s="4"/>
      <c r="BL961" s="4">
        <v>250</v>
      </c>
      <c r="BM961" s="4">
        <f>250*25500</f>
        <v>6375000</v>
      </c>
      <c r="BN961" s="4"/>
      <c r="BO961" s="4"/>
      <c r="BP961" s="4"/>
      <c r="BQ961" s="4"/>
      <c r="BR961" s="4"/>
      <c r="BS961" s="4"/>
      <c r="BT961" s="4"/>
      <c r="BU961" s="4"/>
      <c r="BV961" s="4"/>
      <c r="BW961" s="4"/>
      <c r="BX961" s="4"/>
      <c r="BY961" s="4"/>
      <c r="BZ961" s="4">
        <f>3+5</f>
        <v>8</v>
      </c>
      <c r="CA961" s="4">
        <f>3*510400+5*470000</f>
        <v>3881200</v>
      </c>
      <c r="CB961" s="4"/>
      <c r="CC961" s="4"/>
      <c r="CD961" s="4"/>
      <c r="CE961" s="4"/>
      <c r="CF961" s="4"/>
      <c r="CG961" s="4"/>
      <c r="CH961" s="4"/>
      <c r="CI961" s="4"/>
      <c r="CJ961" s="4"/>
      <c r="CK961" s="4"/>
      <c r="CL961" s="4"/>
      <c r="CM961" s="4"/>
      <c r="CN961" s="4">
        <f>862+500+300</f>
        <v>1662</v>
      </c>
      <c r="CO961" s="4">
        <f>862*18000+500*18000+300*18000</f>
        <v>29916000</v>
      </c>
      <c r="CP961" s="6">
        <v>500</v>
      </c>
      <c r="CQ961" s="7">
        <f>500*36952</f>
        <v>18476000</v>
      </c>
      <c r="CR961" s="6"/>
      <c r="CS961" s="7"/>
      <c r="CT961" s="6"/>
      <c r="CU961" s="7"/>
      <c r="CV961" s="8">
        <f t="shared" si="122"/>
        <v>58648200</v>
      </c>
      <c r="CW961" s="9">
        <v>5000</v>
      </c>
      <c r="CX961" s="10">
        <f>5000*900.16</f>
        <v>4500800</v>
      </c>
      <c r="CY961" s="11">
        <f>862+500+1500+1600</f>
        <v>4462</v>
      </c>
      <c r="CZ961" s="12">
        <f>862*85000+500*85000+1500*85000+1600*85000</f>
        <v>379270000</v>
      </c>
      <c r="DA961" s="29"/>
      <c r="DB961" s="12"/>
      <c r="DC961" s="9"/>
      <c r="DD961" s="10"/>
      <c r="DE961" s="71"/>
      <c r="EO961" s="353" t="str">
        <f t="shared" si="125"/>
        <v>MAGDALENA_GUAMAL</v>
      </c>
      <c r="EP961" s="350"/>
      <c r="EQ961" s="350" t="s">
        <v>4594</v>
      </c>
      <c r="ER961" s="358" t="s">
        <v>4595</v>
      </c>
      <c r="ES961" s="350" t="s">
        <v>5641</v>
      </c>
      <c r="ET961" s="350" t="s">
        <v>3577</v>
      </c>
      <c r="EU961" s="350" t="str">
        <f t="shared" si="127"/>
        <v>Tolima_Cajamarca</v>
      </c>
    </row>
    <row r="962" spans="1:151" ht="84" x14ac:dyDescent="0.2">
      <c r="A962" s="242">
        <v>40391</v>
      </c>
      <c r="B962" s="107" t="s">
        <v>1836</v>
      </c>
      <c r="C962" s="107" t="s">
        <v>1883</v>
      </c>
      <c r="D962" s="427" t="s">
        <v>837</v>
      </c>
      <c r="E962" s="107" t="str">
        <f>VLOOKUP(B962&amp;C962,Divipola!$C$2:$F$1138,4,FALSE)</f>
        <v>47541</v>
      </c>
      <c r="F962" s="330"/>
      <c r="G962" s="224"/>
      <c r="H962" s="75"/>
      <c r="I962" s="75"/>
      <c r="J962" s="422">
        <f>1865*3.7</f>
        <v>6900.5</v>
      </c>
      <c r="K962" s="75">
        <v>1865</v>
      </c>
      <c r="L962" s="75"/>
      <c r="M962" s="75">
        <v>1080</v>
      </c>
      <c r="N962" s="75"/>
      <c r="O962" s="75"/>
      <c r="P962" s="75"/>
      <c r="Q962" s="75"/>
      <c r="R962" s="75"/>
      <c r="S962" s="75"/>
      <c r="T962" s="75"/>
      <c r="U962" s="75"/>
      <c r="V962" s="76"/>
      <c r="W962" s="205"/>
      <c r="X962" s="1">
        <v>40505</v>
      </c>
      <c r="Y962" s="78">
        <f t="shared" si="119"/>
        <v>60802000</v>
      </c>
      <c r="Z962" s="78">
        <f t="shared" si="120"/>
        <v>308550000</v>
      </c>
      <c r="AA962" s="78">
        <f t="shared" si="126"/>
        <v>0</v>
      </c>
      <c r="AB962" s="78">
        <f t="shared" si="121"/>
        <v>4500800</v>
      </c>
      <c r="AC962" s="78"/>
      <c r="AD962" s="78">
        <v>82339000</v>
      </c>
      <c r="AE962" s="80">
        <f t="shared" si="123"/>
        <v>456191800</v>
      </c>
      <c r="AF962" s="82">
        <v>0</v>
      </c>
      <c r="AG962" s="69">
        <v>40396</v>
      </c>
      <c r="AH962" s="84">
        <v>39941</v>
      </c>
      <c r="AI962" s="69" t="s">
        <v>2009</v>
      </c>
      <c r="AJ962" s="25" t="s">
        <v>2010</v>
      </c>
      <c r="AK962" s="65">
        <v>44149</v>
      </c>
      <c r="AL962" s="215" t="s">
        <v>1183</v>
      </c>
      <c r="AM962" s="85" t="s">
        <v>3189</v>
      </c>
      <c r="AN962" s="3"/>
      <c r="AO962" s="4"/>
      <c r="AP962" s="5"/>
      <c r="AQ962" s="4"/>
      <c r="AR962" s="4"/>
      <c r="AS962" s="4"/>
      <c r="AT962" s="4"/>
      <c r="AU962" s="4"/>
      <c r="AV962" s="4"/>
      <c r="AW962" s="4"/>
      <c r="AX962" s="4"/>
      <c r="AY962" s="4"/>
      <c r="AZ962" s="4">
        <v>300</v>
      </c>
      <c r="BA962" s="4">
        <f>300*56000</f>
        <v>16800000</v>
      </c>
      <c r="BB962" s="4"/>
      <c r="BC962" s="4"/>
      <c r="BD962" s="4"/>
      <c r="BE962" s="4"/>
      <c r="BF962" s="4"/>
      <c r="BG962" s="4"/>
      <c r="BH962" s="4"/>
      <c r="BI962" s="4"/>
      <c r="BJ962" s="4"/>
      <c r="BK962" s="4"/>
      <c r="BL962" s="4">
        <v>500</v>
      </c>
      <c r="BM962" s="4">
        <f>500*25500</f>
        <v>12750000</v>
      </c>
      <c r="BN962" s="4"/>
      <c r="BO962" s="4"/>
      <c r="BP962" s="4"/>
      <c r="BQ962" s="4"/>
      <c r="BR962" s="4"/>
      <c r="BS962" s="4"/>
      <c r="BT962" s="4"/>
      <c r="BU962" s="4"/>
      <c r="BV962" s="4"/>
      <c r="BW962" s="4"/>
      <c r="BX962" s="4"/>
      <c r="BY962" s="4"/>
      <c r="BZ962" s="4">
        <f>5+10+30</f>
        <v>45</v>
      </c>
      <c r="CA962" s="4">
        <f>5*510400+10*470000+30*470000</f>
        <v>21352000</v>
      </c>
      <c r="CB962" s="4"/>
      <c r="CC962" s="4"/>
      <c r="CD962" s="4"/>
      <c r="CE962" s="4"/>
      <c r="CF962" s="4"/>
      <c r="CG962" s="4"/>
      <c r="CH962" s="4"/>
      <c r="CI962" s="4"/>
      <c r="CJ962" s="4"/>
      <c r="CK962" s="4"/>
      <c r="CL962" s="4"/>
      <c r="CM962" s="4"/>
      <c r="CN962" s="4">
        <v>550</v>
      </c>
      <c r="CO962" s="4">
        <f>550*18000</f>
        <v>9900000</v>
      </c>
      <c r="CP962" s="6"/>
      <c r="CQ962" s="7"/>
      <c r="CR962" s="6"/>
      <c r="CS962" s="7"/>
      <c r="CT962" s="6"/>
      <c r="CU962" s="7"/>
      <c r="CV962" s="8">
        <f t="shared" si="122"/>
        <v>60802000</v>
      </c>
      <c r="CW962" s="9">
        <v>5000</v>
      </c>
      <c r="CX962" s="10">
        <f>5000*900.16</f>
        <v>4500800</v>
      </c>
      <c r="CY962" s="11">
        <f>550+2000+1080</f>
        <v>3630</v>
      </c>
      <c r="CZ962" s="12">
        <f>550*85000+2000*85000+1080*85000</f>
        <v>308550000</v>
      </c>
      <c r="DA962" s="29"/>
      <c r="DB962" s="12"/>
      <c r="DC962" s="9"/>
      <c r="DD962" s="10"/>
      <c r="DE962" s="71">
        <v>4</v>
      </c>
      <c r="EO962" s="353" t="str">
        <f t="shared" si="125"/>
        <v>MAGDALENA_PEDRAZA</v>
      </c>
      <c r="EP962" s="350"/>
      <c r="EQ962" s="350" t="s">
        <v>4594</v>
      </c>
      <c r="ER962" s="358" t="s">
        <v>4595</v>
      </c>
      <c r="ES962" s="350" t="s">
        <v>5642</v>
      </c>
      <c r="ET962" s="350" t="s">
        <v>3578</v>
      </c>
      <c r="EU962" s="350" t="str">
        <f t="shared" si="127"/>
        <v>Tolima_Carmen de Apicala</v>
      </c>
    </row>
    <row r="963" spans="1:151" ht="51" x14ac:dyDescent="0.2">
      <c r="A963" s="242">
        <v>40391</v>
      </c>
      <c r="B963" s="107" t="s">
        <v>1836</v>
      </c>
      <c r="C963" s="107" t="s">
        <v>1879</v>
      </c>
      <c r="D963" s="427" t="s">
        <v>837</v>
      </c>
      <c r="E963" s="107" t="str">
        <f>VLOOKUP(B963&amp;C963,Divipola!$C$2:$F$1138,4,FALSE)</f>
        <v>47545</v>
      </c>
      <c r="F963" s="330"/>
      <c r="G963" s="224"/>
      <c r="H963" s="75"/>
      <c r="I963" s="75"/>
      <c r="J963" s="75">
        <v>10185</v>
      </c>
      <c r="K963" s="75">
        <v>2037</v>
      </c>
      <c r="L963" s="75"/>
      <c r="M963" s="75">
        <v>1837</v>
      </c>
      <c r="N963" s="75"/>
      <c r="O963" s="75"/>
      <c r="P963" s="75"/>
      <c r="Q963" s="75"/>
      <c r="R963" s="75"/>
      <c r="S963" s="75"/>
      <c r="T963" s="75"/>
      <c r="U963" s="75"/>
      <c r="V963" s="76"/>
      <c r="W963" s="205"/>
      <c r="X963" s="1">
        <v>40452</v>
      </c>
      <c r="Y963" s="78">
        <f t="shared" ref="Y963:Y1026" si="128">CV963</f>
        <v>99322600</v>
      </c>
      <c r="Z963" s="78">
        <f t="shared" ref="Z963:Z1026" si="129">CZ963</f>
        <v>402645000</v>
      </c>
      <c r="AA963" s="78">
        <f t="shared" si="126"/>
        <v>20198400</v>
      </c>
      <c r="AB963" s="78">
        <f t="shared" ref="AB963:AB1026" si="130">CX963</f>
        <v>2700480</v>
      </c>
      <c r="AC963" s="78"/>
      <c r="AD963" s="78">
        <v>0</v>
      </c>
      <c r="AE963" s="80">
        <f t="shared" si="123"/>
        <v>524866480</v>
      </c>
      <c r="AF963" s="82">
        <v>0</v>
      </c>
      <c r="AG963" s="69">
        <v>40396</v>
      </c>
      <c r="AH963" s="84">
        <v>39941</v>
      </c>
      <c r="AI963" s="69" t="s">
        <v>2009</v>
      </c>
      <c r="AJ963" s="25" t="s">
        <v>2010</v>
      </c>
      <c r="AK963" s="65">
        <v>20868</v>
      </c>
      <c r="AL963" s="215" t="s">
        <v>1183</v>
      </c>
      <c r="AM963" s="85" t="s">
        <v>1071</v>
      </c>
      <c r="AN963" s="3"/>
      <c r="AO963" s="4"/>
      <c r="AP963" s="5"/>
      <c r="AQ963" s="4"/>
      <c r="AR963" s="4"/>
      <c r="AS963" s="4"/>
      <c r="AT963" s="4"/>
      <c r="AU963" s="4"/>
      <c r="AV963" s="4"/>
      <c r="AW963" s="4"/>
      <c r="AX963" s="4"/>
      <c r="AY963" s="4"/>
      <c r="AZ963" s="4"/>
      <c r="BA963" s="4"/>
      <c r="BB963" s="4"/>
      <c r="BC963" s="4"/>
      <c r="BD963" s="4"/>
      <c r="BE963" s="4"/>
      <c r="BF963" s="4"/>
      <c r="BG963" s="4"/>
      <c r="BH963" s="4"/>
      <c r="BI963" s="4"/>
      <c r="BJ963" s="4"/>
      <c r="BK963" s="4"/>
      <c r="BL963" s="4">
        <f>700+150</f>
        <v>850</v>
      </c>
      <c r="BM963" s="4">
        <f>700*25500+150*25500</f>
        <v>21675000</v>
      </c>
      <c r="BN963" s="4"/>
      <c r="BO963" s="4"/>
      <c r="BP963" s="4"/>
      <c r="BQ963" s="4"/>
      <c r="BR963" s="4"/>
      <c r="BS963" s="4"/>
      <c r="BT963" s="4"/>
      <c r="BU963" s="4"/>
      <c r="BV963" s="4"/>
      <c r="BW963" s="4"/>
      <c r="BX963" s="4"/>
      <c r="BY963" s="4"/>
      <c r="BZ963" s="4">
        <f>3+5+10</f>
        <v>18</v>
      </c>
      <c r="CA963" s="4">
        <f>3*510400+5*470000+10*470000</f>
        <v>8581200</v>
      </c>
      <c r="CB963" s="4"/>
      <c r="CC963" s="4"/>
      <c r="CD963" s="4"/>
      <c r="CE963" s="4"/>
      <c r="CF963" s="4"/>
      <c r="CG963" s="4"/>
      <c r="CH963" s="4"/>
      <c r="CI963" s="4"/>
      <c r="CJ963" s="4"/>
      <c r="CK963" s="4"/>
      <c r="CL963" s="4"/>
      <c r="CM963" s="4"/>
      <c r="CN963" s="4">
        <f>1400+700+300</f>
        <v>2400</v>
      </c>
      <c r="CO963" s="4">
        <f>1400*18000+700*18000+300*18000</f>
        <v>43200000</v>
      </c>
      <c r="CP963" s="6">
        <v>700</v>
      </c>
      <c r="CQ963" s="7">
        <f>700*36952</f>
        <v>25866400</v>
      </c>
      <c r="CR963" s="6"/>
      <c r="CS963" s="7"/>
      <c r="CT963" s="6"/>
      <c r="CU963" s="7"/>
      <c r="CV963" s="8">
        <f t="shared" ref="CV963:CV1026" si="131">AO963+AQ963+AS963+AU963+AW963+AY963+BA963+BC963+BE963+BG963+BI963+BK963+BM963+BO963+BQ963+BS963+BU963+BW963+BY963+CA963+CC963+CE963+CG963+CI963+CK963+CM963+CO963+CQ963+CS963+CU963</f>
        <v>99322600</v>
      </c>
      <c r="CW963" s="9">
        <v>3000</v>
      </c>
      <c r="CX963" s="10">
        <f>3000*900.16</f>
        <v>2700480</v>
      </c>
      <c r="CY963" s="11">
        <f>700+700+1500+1837</f>
        <v>4737</v>
      </c>
      <c r="CZ963" s="12">
        <f>700*85000+700*85000+1500*85000+1837*85000</f>
        <v>402645000</v>
      </c>
      <c r="DA963" s="29"/>
      <c r="DB963" s="12"/>
      <c r="DC963" s="9">
        <v>1200</v>
      </c>
      <c r="DD963" s="10">
        <f>1200*16832</f>
        <v>20198400</v>
      </c>
      <c r="DE963" s="71"/>
      <c r="EO963" s="353" t="str">
        <f t="shared" si="125"/>
        <v>MAGDALENA_PIJIÑO DEL CARMEN</v>
      </c>
      <c r="EP963" s="350"/>
      <c r="EQ963" s="350" t="s">
        <v>4594</v>
      </c>
      <c r="ER963" s="358" t="s">
        <v>4595</v>
      </c>
      <c r="ES963" s="350" t="s">
        <v>5643</v>
      </c>
      <c r="ET963" s="350" t="s">
        <v>3579</v>
      </c>
      <c r="EU963" s="350" t="str">
        <f t="shared" si="127"/>
        <v>Tolima_Casabianca</v>
      </c>
    </row>
    <row r="964" spans="1:151" ht="48" x14ac:dyDescent="0.2">
      <c r="A964" s="242">
        <v>40391</v>
      </c>
      <c r="B964" s="107" t="s">
        <v>1836</v>
      </c>
      <c r="C964" s="107" t="s">
        <v>1876</v>
      </c>
      <c r="D964" s="427" t="s">
        <v>837</v>
      </c>
      <c r="E964" s="107" t="str">
        <f>VLOOKUP(B964&amp;C964,Divipola!$C$2:$F$1138,4,FALSE)</f>
        <v>47551</v>
      </c>
      <c r="F964" s="330"/>
      <c r="G964" s="224"/>
      <c r="H964" s="75"/>
      <c r="I964" s="75"/>
      <c r="J964" s="75">
        <v>8525</v>
      </c>
      <c r="K964" s="75">
        <v>1705</v>
      </c>
      <c r="L964" s="75"/>
      <c r="M964" s="75">
        <v>100</v>
      </c>
      <c r="N964" s="75"/>
      <c r="O964" s="75"/>
      <c r="P964" s="75"/>
      <c r="Q964" s="75"/>
      <c r="R964" s="75"/>
      <c r="S964" s="75"/>
      <c r="T964" s="75"/>
      <c r="U964" s="75"/>
      <c r="V964" s="76"/>
      <c r="W964" s="205"/>
      <c r="X964" s="1"/>
      <c r="Y964" s="78">
        <f t="shared" si="128"/>
        <v>4620800</v>
      </c>
      <c r="Z964" s="78">
        <f t="shared" si="129"/>
        <v>59500000</v>
      </c>
      <c r="AA964" s="78">
        <f t="shared" si="126"/>
        <v>0</v>
      </c>
      <c r="AB964" s="78">
        <f t="shared" si="130"/>
        <v>1800320</v>
      </c>
      <c r="AC964" s="78"/>
      <c r="AD964" s="78">
        <v>0</v>
      </c>
      <c r="AE964" s="80">
        <f t="shared" si="123"/>
        <v>65921120</v>
      </c>
      <c r="AF964" s="82">
        <v>0</v>
      </c>
      <c r="AG964" s="69">
        <v>40396</v>
      </c>
      <c r="AH964" s="84">
        <v>39941</v>
      </c>
      <c r="AI964" s="69" t="s">
        <v>2009</v>
      </c>
      <c r="AJ964" s="25" t="s">
        <v>2010</v>
      </c>
      <c r="AK964" s="65"/>
      <c r="AL964" s="215" t="s">
        <v>1183</v>
      </c>
      <c r="AM964" s="85" t="s">
        <v>1068</v>
      </c>
      <c r="AN964" s="3"/>
      <c r="AO964" s="4"/>
      <c r="AP964" s="5"/>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v>2</v>
      </c>
      <c r="CA964" s="4">
        <f>2*510400</f>
        <v>1020800</v>
      </c>
      <c r="CB964" s="4"/>
      <c r="CC964" s="4"/>
      <c r="CD964" s="4"/>
      <c r="CE964" s="4"/>
      <c r="CF964" s="4"/>
      <c r="CG964" s="4"/>
      <c r="CH964" s="4"/>
      <c r="CI964" s="4"/>
      <c r="CJ964" s="4"/>
      <c r="CK964" s="4"/>
      <c r="CL964" s="4"/>
      <c r="CM964" s="4"/>
      <c r="CN964" s="4">
        <v>200</v>
      </c>
      <c r="CO964" s="4">
        <f>200*18000</f>
        <v>3600000</v>
      </c>
      <c r="CP964" s="6"/>
      <c r="CQ964" s="7"/>
      <c r="CR964" s="6"/>
      <c r="CS964" s="7"/>
      <c r="CT964" s="6"/>
      <c r="CU964" s="7"/>
      <c r="CV964" s="8">
        <f t="shared" si="131"/>
        <v>4620800</v>
      </c>
      <c r="CW964" s="9">
        <v>2000</v>
      </c>
      <c r="CX964" s="10">
        <f>2000*900.16</f>
        <v>1800320</v>
      </c>
      <c r="CY964" s="11">
        <f>200+400+100</f>
        <v>700</v>
      </c>
      <c r="CZ964" s="12">
        <f>200*85000+400*85000+100*85000</f>
        <v>59500000</v>
      </c>
      <c r="DA964" s="29"/>
      <c r="DB964" s="12"/>
      <c r="DC964" s="9"/>
      <c r="DD964" s="10"/>
      <c r="DE964" s="71"/>
      <c r="EO964" s="353" t="str">
        <f t="shared" si="125"/>
        <v>MAGDALENA_PIVIJAY</v>
      </c>
      <c r="EP964" s="350"/>
      <c r="EQ964" s="350" t="s">
        <v>4594</v>
      </c>
      <c r="ER964" s="358" t="s">
        <v>4595</v>
      </c>
      <c r="ES964" s="350" t="s">
        <v>5644</v>
      </c>
      <c r="ET964" s="350" t="s">
        <v>3580</v>
      </c>
      <c r="EU964" s="350" t="str">
        <f t="shared" si="127"/>
        <v>Tolima_Chaparral</v>
      </c>
    </row>
    <row r="965" spans="1:151" ht="96" x14ac:dyDescent="0.2">
      <c r="A965" s="242">
        <v>40391</v>
      </c>
      <c r="B965" s="107" t="s">
        <v>1836</v>
      </c>
      <c r="C965" s="107" t="s">
        <v>4457</v>
      </c>
      <c r="D965" s="427" t="s">
        <v>837</v>
      </c>
      <c r="E965" s="107" t="str">
        <f>VLOOKUP(B965&amp;C965,Divipola!$C$2:$F$1138,4,FALSE)</f>
        <v>47570</v>
      </c>
      <c r="F965" s="330"/>
      <c r="G965" s="224"/>
      <c r="H965" s="75"/>
      <c r="I965" s="75"/>
      <c r="J965" s="75">
        <v>6000</v>
      </c>
      <c r="K965" s="75">
        <v>1200</v>
      </c>
      <c r="L965" s="75"/>
      <c r="M965" s="75">
        <v>1200</v>
      </c>
      <c r="N965" s="75"/>
      <c r="O965" s="75"/>
      <c r="P965" s="75"/>
      <c r="Q965" s="75"/>
      <c r="R965" s="75"/>
      <c r="S965" s="75"/>
      <c r="T965" s="75"/>
      <c r="U965" s="75"/>
      <c r="V965" s="76"/>
      <c r="W965" s="205"/>
      <c r="X965" s="1">
        <v>40477</v>
      </c>
      <c r="Y965" s="78">
        <f t="shared" si="128"/>
        <v>40300000</v>
      </c>
      <c r="Z965" s="78">
        <f t="shared" si="129"/>
        <v>323000000</v>
      </c>
      <c r="AA965" s="78">
        <f t="shared" si="126"/>
        <v>0</v>
      </c>
      <c r="AB965" s="78">
        <f t="shared" si="130"/>
        <v>2700480</v>
      </c>
      <c r="AC965" s="78"/>
      <c r="AD965" s="78">
        <v>57200000</v>
      </c>
      <c r="AE965" s="80">
        <f t="shared" si="123"/>
        <v>423200480</v>
      </c>
      <c r="AF965" s="82">
        <v>0</v>
      </c>
      <c r="AG965" s="69">
        <v>40396</v>
      </c>
      <c r="AH965" s="84">
        <v>39941</v>
      </c>
      <c r="AI965" s="69" t="s">
        <v>2009</v>
      </c>
      <c r="AJ965" s="25" t="s">
        <v>2010</v>
      </c>
      <c r="AK965" s="65">
        <v>39659</v>
      </c>
      <c r="AL965" s="215" t="s">
        <v>1183</v>
      </c>
      <c r="AM965" s="85" t="s">
        <v>1072</v>
      </c>
      <c r="AN965" s="3"/>
      <c r="AO965" s="4"/>
      <c r="AP965" s="5"/>
      <c r="AQ965" s="4"/>
      <c r="AR965" s="4"/>
      <c r="AS965" s="4"/>
      <c r="AT965" s="4"/>
      <c r="AU965" s="4"/>
      <c r="AV965" s="4"/>
      <c r="AW965" s="4"/>
      <c r="AX965" s="4"/>
      <c r="AY965" s="4"/>
      <c r="AZ965" s="4"/>
      <c r="BA965" s="4"/>
      <c r="BB965" s="4"/>
      <c r="BC965" s="4"/>
      <c r="BD965" s="4"/>
      <c r="BE965" s="4"/>
      <c r="BF965" s="4"/>
      <c r="BG965" s="4"/>
      <c r="BH965" s="4"/>
      <c r="BI965" s="4"/>
      <c r="BJ965" s="4"/>
      <c r="BK965" s="4"/>
      <c r="BL965" s="4">
        <v>500</v>
      </c>
      <c r="BM965" s="4">
        <f>500*25500</f>
        <v>12750000</v>
      </c>
      <c r="BN965" s="4"/>
      <c r="BO965" s="4"/>
      <c r="BP965" s="4"/>
      <c r="BQ965" s="4"/>
      <c r="BR965" s="4"/>
      <c r="BS965" s="4"/>
      <c r="BT965" s="4"/>
      <c r="BU965" s="4"/>
      <c r="BV965" s="4"/>
      <c r="BW965" s="4"/>
      <c r="BX965" s="4"/>
      <c r="BY965" s="4"/>
      <c r="BZ965" s="4">
        <v>5</v>
      </c>
      <c r="CA965" s="4">
        <f>5*470000</f>
        <v>2350000</v>
      </c>
      <c r="CB965" s="4"/>
      <c r="CC965" s="4"/>
      <c r="CD965" s="4"/>
      <c r="CE965" s="4"/>
      <c r="CF965" s="4"/>
      <c r="CG965" s="4"/>
      <c r="CH965" s="4"/>
      <c r="CI965" s="4"/>
      <c r="CJ965" s="4"/>
      <c r="CK965" s="4"/>
      <c r="CL965" s="4"/>
      <c r="CM965" s="4"/>
      <c r="CN965" s="4">
        <f>400+1000</f>
        <v>1400</v>
      </c>
      <c r="CO965" s="4">
        <f>400*18000+1000*18000</f>
        <v>25200000</v>
      </c>
      <c r="CP965" s="6"/>
      <c r="CQ965" s="7"/>
      <c r="CR965" s="6"/>
      <c r="CS965" s="7"/>
      <c r="CT965" s="6"/>
      <c r="CU965" s="7"/>
      <c r="CV965" s="8">
        <f t="shared" si="131"/>
        <v>40300000</v>
      </c>
      <c r="CW965" s="9">
        <v>3000</v>
      </c>
      <c r="CX965" s="10">
        <f>3000*900.16</f>
        <v>2700480</v>
      </c>
      <c r="CY965" s="11">
        <f>400+1200+1000+1200</f>
        <v>3800</v>
      </c>
      <c r="CZ965" s="12">
        <f>400*85000+1200*85000+1000*85000+1200*85000</f>
        <v>323000000</v>
      </c>
      <c r="DA965" s="29"/>
      <c r="DB965" s="12"/>
      <c r="DC965" s="9"/>
      <c r="DD965" s="10"/>
      <c r="DE965" s="71">
        <v>2</v>
      </c>
      <c r="EO965" s="353" t="str">
        <f t="shared" si="125"/>
        <v>MAGDALENA_PUEBLOVIEJO</v>
      </c>
      <c r="EP965" s="350"/>
      <c r="EQ965" s="350" t="s">
        <v>4594</v>
      </c>
      <c r="ER965" s="358" t="s">
        <v>4595</v>
      </c>
      <c r="ES965" s="350" t="s">
        <v>5645</v>
      </c>
      <c r="ET965" s="350" t="s">
        <v>3581</v>
      </c>
      <c r="EU965" s="350" t="str">
        <f t="shared" si="127"/>
        <v>Tolima_Coello</v>
      </c>
    </row>
    <row r="966" spans="1:151" ht="48" x14ac:dyDescent="0.2">
      <c r="A966" s="242">
        <v>40391</v>
      </c>
      <c r="B966" s="107" t="s">
        <v>1836</v>
      </c>
      <c r="C966" s="107" t="s">
        <v>1920</v>
      </c>
      <c r="D966" s="427" t="s">
        <v>837</v>
      </c>
      <c r="E966" s="107" t="str">
        <f>VLOOKUP(B966&amp;C966,Divipola!$C$2:$F$1138,4,FALSE)</f>
        <v>47605</v>
      </c>
      <c r="F966" s="330"/>
      <c r="G966" s="224"/>
      <c r="H966" s="75"/>
      <c r="I966" s="75"/>
      <c r="J966" s="422">
        <f>2226*3.7</f>
        <v>8236.2000000000007</v>
      </c>
      <c r="K966" s="75">
        <v>2226</v>
      </c>
      <c r="L966" s="75"/>
      <c r="M966" s="75">
        <v>2224</v>
      </c>
      <c r="N966" s="75"/>
      <c r="O966" s="75"/>
      <c r="P966" s="75"/>
      <c r="Q966" s="75"/>
      <c r="R966" s="75"/>
      <c r="S966" s="75"/>
      <c r="T966" s="75"/>
      <c r="U966" s="75"/>
      <c r="V966" s="76"/>
      <c r="W966" s="205"/>
      <c r="X966" s="1"/>
      <c r="Y966" s="78">
        <f t="shared" si="128"/>
        <v>98991200</v>
      </c>
      <c r="Z966" s="78">
        <f t="shared" si="129"/>
        <v>359040000</v>
      </c>
      <c r="AA966" s="78">
        <f t="shared" si="126"/>
        <v>0</v>
      </c>
      <c r="AB966" s="78">
        <f t="shared" si="130"/>
        <v>4500800</v>
      </c>
      <c r="AC966" s="78"/>
      <c r="AD966" s="78">
        <v>0</v>
      </c>
      <c r="AE966" s="80">
        <f t="shared" si="123"/>
        <v>462532000</v>
      </c>
      <c r="AF966" s="82">
        <v>0</v>
      </c>
      <c r="AG966" s="69">
        <v>40396</v>
      </c>
      <c r="AH966" s="84">
        <v>39941</v>
      </c>
      <c r="AI966" s="69" t="s">
        <v>2009</v>
      </c>
      <c r="AJ966" s="25" t="s">
        <v>2010</v>
      </c>
      <c r="AK966" s="65">
        <v>26466</v>
      </c>
      <c r="AL966" s="215" t="s">
        <v>1183</v>
      </c>
      <c r="AM966" s="85" t="s">
        <v>1921</v>
      </c>
      <c r="AN966" s="3"/>
      <c r="AO966" s="4"/>
      <c r="AP966" s="5"/>
      <c r="AQ966" s="4"/>
      <c r="AR966" s="4"/>
      <c r="AS966" s="4"/>
      <c r="AT966" s="4"/>
      <c r="AU966" s="4"/>
      <c r="AV966" s="4"/>
      <c r="AW966" s="4"/>
      <c r="AX966" s="4"/>
      <c r="AY966" s="4"/>
      <c r="AZ966" s="4">
        <v>500</v>
      </c>
      <c r="BA966" s="4">
        <f>500*56000</f>
        <v>28000000</v>
      </c>
      <c r="BB966" s="4"/>
      <c r="BC966" s="4"/>
      <c r="BD966" s="4"/>
      <c r="BE966" s="4"/>
      <c r="BF966" s="4"/>
      <c r="BG966" s="4"/>
      <c r="BH966" s="4"/>
      <c r="BI966" s="4"/>
      <c r="BJ966" s="4"/>
      <c r="BK966" s="4"/>
      <c r="BL966" s="4">
        <v>500</v>
      </c>
      <c r="BM966" s="4">
        <f>500*25500</f>
        <v>12750000</v>
      </c>
      <c r="BN966" s="4"/>
      <c r="BO966" s="4"/>
      <c r="BP966" s="4"/>
      <c r="BQ966" s="4"/>
      <c r="BR966" s="4"/>
      <c r="BS966" s="4"/>
      <c r="BT966" s="4"/>
      <c r="BU966" s="4"/>
      <c r="BV966" s="4"/>
      <c r="BW966" s="4"/>
      <c r="BX966" s="4"/>
      <c r="BY966" s="4"/>
      <c r="BZ966" s="4">
        <f>8+18</f>
        <v>26</v>
      </c>
      <c r="CA966" s="4">
        <f>3*510400+5*450000+18*470000</f>
        <v>12241200</v>
      </c>
      <c r="CB966" s="4"/>
      <c r="CC966" s="4"/>
      <c r="CD966" s="4"/>
      <c r="CE966" s="4"/>
      <c r="CF966" s="4"/>
      <c r="CG966" s="4"/>
      <c r="CH966" s="4"/>
      <c r="CI966" s="4"/>
      <c r="CJ966" s="4"/>
      <c r="CK966" s="4"/>
      <c r="CL966" s="4"/>
      <c r="CM966" s="4"/>
      <c r="CN966" s="4">
        <v>500</v>
      </c>
      <c r="CO966" s="4">
        <f>500*18000</f>
        <v>9000000</v>
      </c>
      <c r="CP966" s="6">
        <v>1000</v>
      </c>
      <c r="CQ966" s="7">
        <f>1000*37000</f>
        <v>37000000</v>
      </c>
      <c r="CR966" s="6"/>
      <c r="CS966" s="7"/>
      <c r="CT966" s="6"/>
      <c r="CU966" s="7"/>
      <c r="CV966" s="8">
        <f t="shared" si="131"/>
        <v>98991200</v>
      </c>
      <c r="CW966" s="9">
        <v>5000</v>
      </c>
      <c r="CX966" s="10">
        <f>5000*900.16</f>
        <v>4500800</v>
      </c>
      <c r="CY966" s="11">
        <f>500+1500+2224</f>
        <v>4224</v>
      </c>
      <c r="CZ966" s="12">
        <f>500*85000+1500*85000+2224*85000</f>
        <v>359040000</v>
      </c>
      <c r="DA966" s="29"/>
      <c r="DB966" s="12"/>
      <c r="DC966" s="9"/>
      <c r="DD966" s="10"/>
      <c r="DE966" s="71"/>
      <c r="DF966" s="23">
        <v>1211</v>
      </c>
      <c r="EO966" s="353" t="str">
        <f t="shared" si="125"/>
        <v>MAGDALENA_REMOLINO</v>
      </c>
      <c r="EP966" s="350"/>
      <c r="EQ966" s="350" t="s">
        <v>4594</v>
      </c>
      <c r="ER966" s="358" t="s">
        <v>4595</v>
      </c>
      <c r="ES966" s="350" t="s">
        <v>5646</v>
      </c>
      <c r="ET966" s="350" t="s">
        <v>3582</v>
      </c>
      <c r="EU966" s="350" t="str">
        <f t="shared" si="127"/>
        <v>Tolima_Coyaima</v>
      </c>
    </row>
    <row r="967" spans="1:151" s="20" customFormat="1" ht="76.5" x14ac:dyDescent="0.2">
      <c r="A967" s="242">
        <v>40391</v>
      </c>
      <c r="B967" s="107" t="s">
        <v>1836</v>
      </c>
      <c r="C967" s="107" t="s">
        <v>4460</v>
      </c>
      <c r="D967" s="427" t="s">
        <v>837</v>
      </c>
      <c r="E967" s="107" t="str">
        <f>VLOOKUP(B967&amp;C967,Divipola!$C$2:$F$1138,4,FALSE)</f>
        <v>47692</v>
      </c>
      <c r="F967" s="330"/>
      <c r="G967" s="224"/>
      <c r="H967" s="75"/>
      <c r="I967" s="75"/>
      <c r="J967" s="75">
        <v>13500</v>
      </c>
      <c r="K967" s="75">
        <v>2700</v>
      </c>
      <c r="L967" s="75"/>
      <c r="M967" s="75">
        <v>2700</v>
      </c>
      <c r="N967" s="75"/>
      <c r="O967" s="75"/>
      <c r="P967" s="75"/>
      <c r="Q967" s="75"/>
      <c r="R967" s="75"/>
      <c r="S967" s="75"/>
      <c r="T967" s="75">
        <v>1</v>
      </c>
      <c r="U967" s="75"/>
      <c r="V967" s="76"/>
      <c r="W967" s="205"/>
      <c r="X967" s="1">
        <v>40466</v>
      </c>
      <c r="Y967" s="78">
        <f t="shared" si="128"/>
        <v>126431600</v>
      </c>
      <c r="Z967" s="78">
        <f t="shared" si="129"/>
        <v>555050000</v>
      </c>
      <c r="AA967" s="78">
        <f t="shared" si="126"/>
        <v>0</v>
      </c>
      <c r="AB967" s="78">
        <f t="shared" si="130"/>
        <v>1800320</v>
      </c>
      <c r="AC967" s="78">
        <f>49000000*1.16</f>
        <v>56839999.999999993</v>
      </c>
      <c r="AD967" s="78">
        <v>0</v>
      </c>
      <c r="AE967" s="80">
        <f t="shared" si="123"/>
        <v>740121920</v>
      </c>
      <c r="AF967" s="82">
        <v>0</v>
      </c>
      <c r="AG967" s="69">
        <v>40396</v>
      </c>
      <c r="AH967" s="84">
        <v>39941</v>
      </c>
      <c r="AI967" s="69" t="s">
        <v>2009</v>
      </c>
      <c r="AJ967" s="25" t="s">
        <v>2010</v>
      </c>
      <c r="AK967" s="65">
        <v>21463</v>
      </c>
      <c r="AL967" s="215" t="s">
        <v>1183</v>
      </c>
      <c r="AM967" s="85" t="s">
        <v>296</v>
      </c>
      <c r="AN967" s="3"/>
      <c r="AO967" s="4"/>
      <c r="AP967" s="5"/>
      <c r="AQ967" s="4"/>
      <c r="AR967" s="4"/>
      <c r="AS967" s="4"/>
      <c r="AT967" s="4"/>
      <c r="AU967" s="4"/>
      <c r="AV967" s="4"/>
      <c r="AW967" s="4"/>
      <c r="AX967" s="4"/>
      <c r="AY967" s="4"/>
      <c r="AZ967" s="4"/>
      <c r="BA967" s="4"/>
      <c r="BB967" s="4"/>
      <c r="BC967" s="4"/>
      <c r="BD967" s="4"/>
      <c r="BE967" s="4"/>
      <c r="BF967" s="4"/>
      <c r="BG967" s="4"/>
      <c r="BH967" s="4"/>
      <c r="BI967" s="4"/>
      <c r="BJ967" s="4"/>
      <c r="BK967" s="4"/>
      <c r="BL967" s="4">
        <f>500+200</f>
        <v>700</v>
      </c>
      <c r="BM967" s="4">
        <f>500*25500+200*25500</f>
        <v>17850000</v>
      </c>
      <c r="BN967" s="4"/>
      <c r="BO967" s="4"/>
      <c r="BP967" s="4"/>
      <c r="BQ967" s="4"/>
      <c r="BR967" s="4"/>
      <c r="BS967" s="4"/>
      <c r="BT967" s="4"/>
      <c r="BU967" s="4"/>
      <c r="BV967" s="4"/>
      <c r="BW967" s="4"/>
      <c r="BX967" s="4"/>
      <c r="BY967" s="4"/>
      <c r="BZ967" s="4">
        <f>3+4+20+55</f>
        <v>82</v>
      </c>
      <c r="CA967" s="4">
        <f>3*450000+4*510400+20*470000+55*470000</f>
        <v>38641600</v>
      </c>
      <c r="CB967" s="4"/>
      <c r="CC967" s="4"/>
      <c r="CD967" s="4"/>
      <c r="CE967" s="4"/>
      <c r="CF967" s="4"/>
      <c r="CG967" s="4"/>
      <c r="CH967" s="4"/>
      <c r="CI967" s="4"/>
      <c r="CJ967" s="4"/>
      <c r="CK967" s="4"/>
      <c r="CL967" s="4"/>
      <c r="CM967" s="4"/>
      <c r="CN967" s="4">
        <f>500+1030+300</f>
        <v>1830</v>
      </c>
      <c r="CO967" s="4">
        <f>500*18000+1030*18000+300*18000</f>
        <v>32940000</v>
      </c>
      <c r="CP967" s="6">
        <v>1000</v>
      </c>
      <c r="CQ967" s="7">
        <f>1000*37000</f>
        <v>37000000</v>
      </c>
      <c r="CR967" s="6"/>
      <c r="CS967" s="7"/>
      <c r="CT967" s="6"/>
      <c r="CU967" s="7"/>
      <c r="CV967" s="8">
        <f t="shared" si="131"/>
        <v>126431600</v>
      </c>
      <c r="CW967" s="9">
        <v>2000</v>
      </c>
      <c r="CX967" s="10">
        <f>2000*900.16</f>
        <v>1800320</v>
      </c>
      <c r="CY967" s="11">
        <f>1030+1000+1800+2700</f>
        <v>6530</v>
      </c>
      <c r="CZ967" s="12">
        <f>1030*85000+1000*85000+1800*85000+2700*85000</f>
        <v>555050000</v>
      </c>
      <c r="DA967" s="29"/>
      <c r="DB967" s="12"/>
      <c r="DC967" s="9"/>
      <c r="DD967" s="10"/>
      <c r="DE967" s="71"/>
      <c r="DF967" s="23"/>
      <c r="EO967" s="353" t="str">
        <f t="shared" si="125"/>
        <v>MAGDALENA_SAN SEBASTIAN DE BUENAVISTA</v>
      </c>
      <c r="EP967" s="350"/>
      <c r="EQ967" s="350" t="s">
        <v>4594</v>
      </c>
      <c r="ER967" s="358" t="s">
        <v>4595</v>
      </c>
      <c r="ES967" s="350" t="s">
        <v>5647</v>
      </c>
      <c r="ET967" s="350" t="s">
        <v>3583</v>
      </c>
      <c r="EU967" s="350" t="str">
        <f t="shared" si="127"/>
        <v>Tolima_Cunday</v>
      </c>
    </row>
    <row r="968" spans="1:151" ht="51" x14ac:dyDescent="0.2">
      <c r="A968" s="242">
        <v>40391</v>
      </c>
      <c r="B968" s="107" t="s">
        <v>1836</v>
      </c>
      <c r="C968" s="107" t="s">
        <v>1877</v>
      </c>
      <c r="D968" s="427" t="s">
        <v>837</v>
      </c>
      <c r="E968" s="107" t="str">
        <f>VLOOKUP(B968&amp;C968,Divipola!$C$2:$F$1138,4,FALSE)</f>
        <v>47720</v>
      </c>
      <c r="F968" s="330"/>
      <c r="G968" s="224"/>
      <c r="H968" s="75"/>
      <c r="I968" s="75"/>
      <c r="J968" s="75">
        <v>3600</v>
      </c>
      <c r="K968" s="75">
        <v>720</v>
      </c>
      <c r="L968" s="75"/>
      <c r="M968" s="75">
        <v>720</v>
      </c>
      <c r="N968" s="75"/>
      <c r="O968" s="75"/>
      <c r="P968" s="75"/>
      <c r="Q968" s="75"/>
      <c r="R968" s="75"/>
      <c r="S968" s="75"/>
      <c r="T968" s="75"/>
      <c r="U968" s="75"/>
      <c r="V968" s="76"/>
      <c r="W968" s="205"/>
      <c r="X968" s="1"/>
      <c r="Y968" s="78">
        <f t="shared" si="128"/>
        <v>12763200</v>
      </c>
      <c r="Z968" s="78">
        <f t="shared" si="129"/>
        <v>53040000</v>
      </c>
      <c r="AA968" s="78">
        <f t="shared" si="126"/>
        <v>0</v>
      </c>
      <c r="AB968" s="78">
        <f t="shared" si="130"/>
        <v>4500800</v>
      </c>
      <c r="AC968" s="78"/>
      <c r="AD968" s="78">
        <v>0</v>
      </c>
      <c r="AE968" s="80">
        <f t="shared" si="123"/>
        <v>70304000</v>
      </c>
      <c r="AF968" s="82">
        <v>0</v>
      </c>
      <c r="AG968" s="69">
        <v>40396</v>
      </c>
      <c r="AH968" s="84">
        <v>39941</v>
      </c>
      <c r="AI968" s="69" t="s">
        <v>2009</v>
      </c>
      <c r="AJ968" s="25" t="s">
        <v>2010</v>
      </c>
      <c r="AK968" s="65"/>
      <c r="AL968" s="215" t="s">
        <v>1183</v>
      </c>
      <c r="AM968" s="85" t="s">
        <v>1878</v>
      </c>
      <c r="AN968" s="3"/>
      <c r="AO968" s="4"/>
      <c r="AP968" s="5"/>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v>3</v>
      </c>
      <c r="CA968" s="4">
        <f>3*510400</f>
        <v>1531200</v>
      </c>
      <c r="CB968" s="4"/>
      <c r="CC968" s="4"/>
      <c r="CD968" s="4"/>
      <c r="CE968" s="4"/>
      <c r="CF968" s="4"/>
      <c r="CG968" s="4"/>
      <c r="CH968" s="4"/>
      <c r="CI968" s="4"/>
      <c r="CJ968" s="4"/>
      <c r="CK968" s="4"/>
      <c r="CL968" s="4"/>
      <c r="CM968" s="4"/>
      <c r="CN968" s="4">
        <v>624</v>
      </c>
      <c r="CO968" s="4">
        <f>624*18000</f>
        <v>11232000</v>
      </c>
      <c r="CP968" s="6"/>
      <c r="CQ968" s="7"/>
      <c r="CR968" s="6"/>
      <c r="CS968" s="7"/>
      <c r="CT968" s="6"/>
      <c r="CU968" s="7"/>
      <c r="CV968" s="8">
        <f t="shared" si="131"/>
        <v>12763200</v>
      </c>
      <c r="CW968" s="9">
        <v>5000</v>
      </c>
      <c r="CX968" s="10">
        <f>5000*900.16</f>
        <v>4500800</v>
      </c>
      <c r="CY968" s="11">
        <v>624</v>
      </c>
      <c r="CZ968" s="12">
        <f>624*85000</f>
        <v>53040000</v>
      </c>
      <c r="DA968" s="29"/>
      <c r="DB968" s="12"/>
      <c r="DC968" s="9"/>
      <c r="DD968" s="10"/>
      <c r="DE968" s="71"/>
      <c r="EO968" s="353" t="str">
        <f t="shared" si="125"/>
        <v>MAGDALENA_SANTA BARBARA DE PINTO</v>
      </c>
      <c r="EP968" s="350"/>
      <c r="EQ968" s="350" t="s">
        <v>4594</v>
      </c>
      <c r="ER968" s="358" t="s">
        <v>4595</v>
      </c>
      <c r="ES968" s="350" t="s">
        <v>5648</v>
      </c>
      <c r="ET968" s="350" t="s">
        <v>3584</v>
      </c>
      <c r="EU968" s="350" t="str">
        <f t="shared" si="127"/>
        <v>Tolima_Dolores</v>
      </c>
    </row>
    <row r="969" spans="1:151" ht="72" x14ac:dyDescent="0.2">
      <c r="A969" s="242">
        <v>40391</v>
      </c>
      <c r="B969" s="107" t="s">
        <v>1836</v>
      </c>
      <c r="C969" s="107" t="s">
        <v>4463</v>
      </c>
      <c r="D969" s="427" t="s">
        <v>837</v>
      </c>
      <c r="E969" s="107" t="str">
        <f>VLOOKUP(B969&amp;C969,Divipola!$C$2:$F$1138,4,FALSE)</f>
        <v>47745</v>
      </c>
      <c r="F969" s="330"/>
      <c r="G969" s="224"/>
      <c r="H969" s="75"/>
      <c r="I969" s="75"/>
      <c r="J969" s="75">
        <v>19005</v>
      </c>
      <c r="K969" s="75">
        <v>3801</v>
      </c>
      <c r="L969" s="75"/>
      <c r="M969" s="75">
        <v>1400</v>
      </c>
      <c r="N969" s="75"/>
      <c r="O969" s="75"/>
      <c r="P969" s="75"/>
      <c r="Q969" s="75"/>
      <c r="R969" s="75"/>
      <c r="S969" s="75"/>
      <c r="T969" s="75">
        <v>1</v>
      </c>
      <c r="U969" s="75"/>
      <c r="V969" s="76"/>
      <c r="W969" s="205"/>
      <c r="X969" s="1">
        <v>40458</v>
      </c>
      <c r="Y969" s="78">
        <f t="shared" si="128"/>
        <v>28081200</v>
      </c>
      <c r="Z969" s="78">
        <f t="shared" si="129"/>
        <v>259250000</v>
      </c>
      <c r="AA969" s="78">
        <f t="shared" si="126"/>
        <v>0</v>
      </c>
      <c r="AB969" s="78">
        <f t="shared" si="130"/>
        <v>2700480</v>
      </c>
      <c r="AC969" s="78"/>
      <c r="AD969" s="78">
        <v>0</v>
      </c>
      <c r="AE969" s="80">
        <f t="shared" ref="AE969:AE1032" si="132">Y969+Z969+AA969+AB969+AC969+AD969</f>
        <v>290031680</v>
      </c>
      <c r="AF969" s="82">
        <v>0</v>
      </c>
      <c r="AG969" s="69">
        <v>40396</v>
      </c>
      <c r="AH969" s="84">
        <v>39941</v>
      </c>
      <c r="AI969" s="69" t="s">
        <v>2009</v>
      </c>
      <c r="AJ969" s="25" t="s">
        <v>2010</v>
      </c>
      <c r="AK969" s="88" t="s">
        <v>76</v>
      </c>
      <c r="AL969" s="215" t="s">
        <v>2696</v>
      </c>
      <c r="AM969" s="85" t="s">
        <v>1066</v>
      </c>
      <c r="AN969" s="3"/>
      <c r="AO969" s="4"/>
      <c r="AP969" s="5"/>
      <c r="AQ969" s="4"/>
      <c r="AR969" s="4"/>
      <c r="AS969" s="4"/>
      <c r="AT969" s="4"/>
      <c r="AU969" s="4"/>
      <c r="AV969" s="4"/>
      <c r="AW969" s="4"/>
      <c r="AX969" s="4"/>
      <c r="AY969" s="4"/>
      <c r="AZ969" s="4"/>
      <c r="BA969" s="4"/>
      <c r="BB969" s="4"/>
      <c r="BC969" s="4"/>
      <c r="BD969" s="4"/>
      <c r="BE969" s="4"/>
      <c r="BF969" s="4"/>
      <c r="BG969" s="4"/>
      <c r="BH969" s="4"/>
      <c r="BI969" s="4"/>
      <c r="BJ969" s="4"/>
      <c r="BK969" s="4"/>
      <c r="BL969" s="4">
        <v>100</v>
      </c>
      <c r="BM969" s="4">
        <f>100*25500</f>
        <v>2550000</v>
      </c>
      <c r="BN969" s="4"/>
      <c r="BO969" s="4"/>
      <c r="BP969" s="4"/>
      <c r="BQ969" s="4"/>
      <c r="BR969" s="4"/>
      <c r="BS969" s="4"/>
      <c r="BT969" s="4"/>
      <c r="BU969" s="4"/>
      <c r="BV969" s="4"/>
      <c r="BW969" s="4"/>
      <c r="BX969" s="4"/>
      <c r="BY969" s="4"/>
      <c r="BZ969" s="4">
        <f>3+30</f>
        <v>33</v>
      </c>
      <c r="CA969" s="4">
        <f>3*510400+30*470000</f>
        <v>15631200</v>
      </c>
      <c r="CB969" s="4"/>
      <c r="CC969" s="4"/>
      <c r="CD969" s="4"/>
      <c r="CE969" s="4"/>
      <c r="CF969" s="4"/>
      <c r="CG969" s="4"/>
      <c r="CH969" s="4"/>
      <c r="CI969" s="4"/>
      <c r="CJ969" s="4"/>
      <c r="CK969" s="4"/>
      <c r="CL969" s="4"/>
      <c r="CM969" s="4"/>
      <c r="CN969" s="4">
        <v>550</v>
      </c>
      <c r="CO969" s="4">
        <f>550*18000</f>
        <v>9900000</v>
      </c>
      <c r="CP969" s="6"/>
      <c r="CQ969" s="7"/>
      <c r="CR969" s="6"/>
      <c r="CS969" s="7"/>
      <c r="CT969" s="6"/>
      <c r="CU969" s="7"/>
      <c r="CV969" s="8">
        <f t="shared" si="131"/>
        <v>28081200</v>
      </c>
      <c r="CW969" s="9">
        <v>3000</v>
      </c>
      <c r="CX969" s="10">
        <f>3000*900.16</f>
        <v>2700480</v>
      </c>
      <c r="CY969" s="11">
        <f>1200-550+1000+1400</f>
        <v>3050</v>
      </c>
      <c r="CZ969" s="12">
        <f>1200*85000-550*85000+1000*85000+1400*85000</f>
        <v>259250000</v>
      </c>
      <c r="DA969" s="29"/>
      <c r="DB969" s="12"/>
      <c r="DC969" s="9"/>
      <c r="DD969" s="10"/>
      <c r="DE969" s="71"/>
      <c r="EO969" s="353" t="str">
        <f t="shared" si="125"/>
        <v>MAGDALENA_SITIONUEVO</v>
      </c>
      <c r="EP969" s="350"/>
      <c r="EQ969" s="350" t="s">
        <v>4594</v>
      </c>
      <c r="ER969" s="358" t="s">
        <v>4595</v>
      </c>
      <c r="ES969" s="350" t="s">
        <v>5649</v>
      </c>
      <c r="ET969" s="350" t="s">
        <v>3585</v>
      </c>
      <c r="EU969" s="350" t="str">
        <f t="shared" si="127"/>
        <v>Tolima_Espinal</v>
      </c>
    </row>
    <row r="970" spans="1:151" ht="108" x14ac:dyDescent="0.2">
      <c r="A970" s="242">
        <v>40391</v>
      </c>
      <c r="B970" s="107" t="s">
        <v>1836</v>
      </c>
      <c r="C970" s="107" t="s">
        <v>1880</v>
      </c>
      <c r="D970" s="427" t="s">
        <v>837</v>
      </c>
      <c r="E970" s="107" t="str">
        <f>VLOOKUP(B970&amp;C970,Divipola!$C$2:$F$1138,4,FALSE)</f>
        <v>47798</v>
      </c>
      <c r="F970" s="330"/>
      <c r="G970" s="224"/>
      <c r="H970" s="75"/>
      <c r="I970" s="75"/>
      <c r="J970" s="75">
        <f>6000-840</f>
        <v>5160</v>
      </c>
      <c r="K970" s="75">
        <f>1200-168</f>
        <v>1032</v>
      </c>
      <c r="L970" s="75"/>
      <c r="M970" s="75">
        <v>1032</v>
      </c>
      <c r="N970" s="75"/>
      <c r="O970" s="75"/>
      <c r="P970" s="75"/>
      <c r="Q970" s="75"/>
      <c r="R970" s="75"/>
      <c r="S970" s="75"/>
      <c r="T970" s="75">
        <v>1</v>
      </c>
      <c r="U970" s="75"/>
      <c r="V970" s="76"/>
      <c r="W970" s="205"/>
      <c r="X970" s="1">
        <v>40504</v>
      </c>
      <c r="Y970" s="78">
        <f t="shared" si="128"/>
        <v>87101481.799999997</v>
      </c>
      <c r="Z970" s="78">
        <f t="shared" si="129"/>
        <v>199750000</v>
      </c>
      <c r="AA970" s="78">
        <f t="shared" si="126"/>
        <v>0</v>
      </c>
      <c r="AB970" s="78">
        <f t="shared" si="130"/>
        <v>1800320</v>
      </c>
      <c r="AC970" s="78">
        <v>54288000</v>
      </c>
      <c r="AD970" s="78">
        <v>100823920</v>
      </c>
      <c r="AE970" s="80">
        <f t="shared" si="132"/>
        <v>443763721.80000001</v>
      </c>
      <c r="AF970" s="82">
        <v>0</v>
      </c>
      <c r="AG970" s="69">
        <v>40396</v>
      </c>
      <c r="AH970" s="84">
        <v>39941</v>
      </c>
      <c r="AI970" s="69" t="s">
        <v>2009</v>
      </c>
      <c r="AJ970" s="25" t="s">
        <v>2010</v>
      </c>
      <c r="AK970" s="65">
        <v>44002</v>
      </c>
      <c r="AL970" s="215" t="s">
        <v>1183</v>
      </c>
      <c r="AM970" s="92" t="s">
        <v>2521</v>
      </c>
      <c r="AN970" s="3"/>
      <c r="AO970" s="4"/>
      <c r="AP970" s="5"/>
      <c r="AQ970" s="4"/>
      <c r="AR970" s="4"/>
      <c r="AS970" s="4"/>
      <c r="AT970" s="4"/>
      <c r="AU970" s="4"/>
      <c r="AV970" s="4"/>
      <c r="AW970" s="4"/>
      <c r="AX970" s="4"/>
      <c r="AY970" s="4"/>
      <c r="AZ970" s="4">
        <v>700</v>
      </c>
      <c r="BA970" s="4">
        <f>700*56000</f>
        <v>39200000</v>
      </c>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f>7+10</f>
        <v>17</v>
      </c>
      <c r="CA970" s="4">
        <f>2*510400+5*450000+10*470000</f>
        <v>7970800</v>
      </c>
      <c r="CB970" s="4"/>
      <c r="CC970" s="4"/>
      <c r="CD970" s="4"/>
      <c r="CE970" s="4"/>
      <c r="CF970" s="4"/>
      <c r="CG970" s="4"/>
      <c r="CH970" s="4"/>
      <c r="CI970" s="4"/>
      <c r="CJ970" s="4">
        <v>700</v>
      </c>
      <c r="CK970" s="4">
        <f>700*21000</f>
        <v>14700000</v>
      </c>
      <c r="CL970" s="4"/>
      <c r="CM970" s="4"/>
      <c r="CN970" s="4">
        <v>550</v>
      </c>
      <c r="CO970" s="4">
        <f>550*18000</f>
        <v>9900000</v>
      </c>
      <c r="CP970" s="6"/>
      <c r="CQ970" s="7"/>
      <c r="CR970" s="6">
        <v>1</v>
      </c>
      <c r="CS970" s="7">
        <f>3*500000.6+13830680</f>
        <v>15330681.800000001</v>
      </c>
      <c r="CT970" s="6"/>
      <c r="CU970" s="7"/>
      <c r="CV970" s="8">
        <f t="shared" si="131"/>
        <v>87101481.799999997</v>
      </c>
      <c r="CW970" s="9">
        <v>2000</v>
      </c>
      <c r="CX970" s="10">
        <f>2000*900.16</f>
        <v>1800320</v>
      </c>
      <c r="CY970" s="11">
        <f>550+1800</f>
        <v>2350</v>
      </c>
      <c r="CZ970" s="12">
        <f>550*85000+1800*85000</f>
        <v>199750000</v>
      </c>
      <c r="DA970" s="29"/>
      <c r="DB970" s="12"/>
      <c r="DC970" s="9"/>
      <c r="DD970" s="10"/>
      <c r="DE970" s="71">
        <v>2</v>
      </c>
      <c r="DF970" s="250" t="s">
        <v>1507</v>
      </c>
      <c r="EO970" s="353" t="str">
        <f t="shared" si="125"/>
        <v>MAGDALENA_TENERIFE</v>
      </c>
      <c r="EP970" s="350"/>
      <c r="EQ970" s="350" t="s">
        <v>4594</v>
      </c>
      <c r="ER970" s="358" t="s">
        <v>4595</v>
      </c>
      <c r="ES970" s="350" t="s">
        <v>5650</v>
      </c>
      <c r="ET970" s="350" t="s">
        <v>3586</v>
      </c>
      <c r="EU970" s="350" t="str">
        <f t="shared" si="127"/>
        <v>Tolima_Falan</v>
      </c>
    </row>
    <row r="971" spans="1:151" ht="60" x14ac:dyDescent="0.2">
      <c r="A971" s="242">
        <v>40391</v>
      </c>
      <c r="B971" s="107" t="s">
        <v>1836</v>
      </c>
      <c r="C971" s="107" t="s">
        <v>1874</v>
      </c>
      <c r="D971" s="427" t="s">
        <v>837</v>
      </c>
      <c r="E971" s="107" t="str">
        <f>VLOOKUP(B971&amp;C971,Divipola!$C$2:$F$1138,4,FALSE)</f>
        <v>47960</v>
      </c>
      <c r="F971" s="330"/>
      <c r="G971" s="224"/>
      <c r="H971" s="75"/>
      <c r="I971" s="75"/>
      <c r="J971" s="75">
        <v>6000</v>
      </c>
      <c r="K971" s="75">
        <v>1200</v>
      </c>
      <c r="L971" s="75"/>
      <c r="M971" s="75">
        <v>1200</v>
      </c>
      <c r="N971" s="75"/>
      <c r="O971" s="75"/>
      <c r="P971" s="75"/>
      <c r="Q971" s="75"/>
      <c r="R971" s="75"/>
      <c r="S971" s="75"/>
      <c r="T971" s="75">
        <v>1</v>
      </c>
      <c r="U971" s="75"/>
      <c r="V971" s="76"/>
      <c r="W971" s="205"/>
      <c r="X971" s="1">
        <v>40536</v>
      </c>
      <c r="Y971" s="78">
        <f t="shared" si="128"/>
        <v>35197200</v>
      </c>
      <c r="Z971" s="78">
        <f t="shared" si="129"/>
        <v>313395000</v>
      </c>
      <c r="AA971" s="78">
        <f t="shared" si="126"/>
        <v>0</v>
      </c>
      <c r="AB971" s="78">
        <f t="shared" si="130"/>
        <v>4500800</v>
      </c>
      <c r="AC971" s="78"/>
      <c r="AD971" s="78">
        <v>0</v>
      </c>
      <c r="AE971" s="80">
        <f t="shared" si="132"/>
        <v>353093000</v>
      </c>
      <c r="AF971" s="82">
        <v>0</v>
      </c>
      <c r="AG971" s="69">
        <v>40396</v>
      </c>
      <c r="AH971" s="84">
        <v>39941</v>
      </c>
      <c r="AI971" s="69" t="s">
        <v>2009</v>
      </c>
      <c r="AJ971" s="25" t="s">
        <v>2010</v>
      </c>
      <c r="AK971" s="65"/>
      <c r="AL971" s="215" t="s">
        <v>1183</v>
      </c>
      <c r="AM971" s="85" t="s">
        <v>1067</v>
      </c>
      <c r="AN971" s="3"/>
      <c r="AO971" s="4"/>
      <c r="AP971" s="5"/>
      <c r="AQ971" s="4"/>
      <c r="AR971" s="4"/>
      <c r="AS971" s="4"/>
      <c r="AT971" s="4"/>
      <c r="AU971" s="4"/>
      <c r="AV971" s="4"/>
      <c r="AW971" s="4"/>
      <c r="AX971" s="4"/>
      <c r="AY971" s="4"/>
      <c r="AZ971" s="4"/>
      <c r="BA971" s="4"/>
      <c r="BB971" s="4"/>
      <c r="BC971" s="4"/>
      <c r="BD971" s="4"/>
      <c r="BE971" s="4"/>
      <c r="BF971" s="4"/>
      <c r="BG971" s="4"/>
      <c r="BH971" s="4"/>
      <c r="BI971" s="4"/>
      <c r="BJ971" s="4"/>
      <c r="BK971" s="4"/>
      <c r="BL971" s="4">
        <v>200</v>
      </c>
      <c r="BM971" s="4">
        <f>200*25500</f>
        <v>5100000</v>
      </c>
      <c r="BN971" s="4"/>
      <c r="BO971" s="4"/>
      <c r="BP971" s="4"/>
      <c r="BQ971" s="4"/>
      <c r="BR971" s="4"/>
      <c r="BS971" s="4"/>
      <c r="BT971" s="4"/>
      <c r="BU971" s="4"/>
      <c r="BV971" s="4"/>
      <c r="BW971" s="4"/>
      <c r="BX971" s="4"/>
      <c r="BY971" s="4"/>
      <c r="BZ971" s="4">
        <f>3+5+18</f>
        <v>26</v>
      </c>
      <c r="CA971" s="4">
        <f>3*510400+5*468000+18*470000</f>
        <v>12331200</v>
      </c>
      <c r="CB971" s="4"/>
      <c r="CC971" s="4"/>
      <c r="CD971" s="4"/>
      <c r="CE971" s="4"/>
      <c r="CF971" s="4"/>
      <c r="CG971" s="4"/>
      <c r="CH971" s="4"/>
      <c r="CI971" s="4"/>
      <c r="CJ971" s="4"/>
      <c r="CK971" s="4"/>
      <c r="CL971" s="4"/>
      <c r="CM971" s="4"/>
      <c r="CN971" s="4">
        <f>687+300</f>
        <v>987</v>
      </c>
      <c r="CO971" s="4">
        <f>687*18000+300*18000</f>
        <v>17766000</v>
      </c>
      <c r="CP971" s="6"/>
      <c r="CQ971" s="7"/>
      <c r="CR971" s="6"/>
      <c r="CS971" s="7"/>
      <c r="CT971" s="6"/>
      <c r="CU971" s="7"/>
      <c r="CV971" s="8">
        <f t="shared" si="131"/>
        <v>35197200</v>
      </c>
      <c r="CW971" s="9">
        <v>5000</v>
      </c>
      <c r="CX971" s="10">
        <f>5000*900.16</f>
        <v>4500800</v>
      </c>
      <c r="CY971" s="11">
        <f>687+1800+1200</f>
        <v>3687</v>
      </c>
      <c r="CZ971" s="12">
        <f>687*85000+1800*85000+1200*85000</f>
        <v>313395000</v>
      </c>
      <c r="DA971" s="29"/>
      <c r="DB971" s="12"/>
      <c r="DC971" s="9"/>
      <c r="DD971" s="10"/>
      <c r="DE971" s="71"/>
      <c r="EO971" s="353" t="str">
        <f t="shared" si="125"/>
        <v>MAGDALENA_ZAPAYAN</v>
      </c>
      <c r="EP971" s="350"/>
      <c r="EQ971" s="350" t="s">
        <v>4594</v>
      </c>
      <c r="ER971" s="358" t="s">
        <v>4595</v>
      </c>
      <c r="ES971" s="350" t="s">
        <v>5651</v>
      </c>
      <c r="ET971" s="350" t="s">
        <v>3587</v>
      </c>
      <c r="EU971" s="350" t="str">
        <f t="shared" si="127"/>
        <v>Tolima_Flandes</v>
      </c>
    </row>
    <row r="972" spans="1:151" ht="38.25" x14ac:dyDescent="0.2">
      <c r="A972" s="242">
        <v>40391</v>
      </c>
      <c r="B972" s="107" t="s">
        <v>1836</v>
      </c>
      <c r="C972" s="107" t="s">
        <v>1348</v>
      </c>
      <c r="D972" s="427" t="s">
        <v>837</v>
      </c>
      <c r="E972" s="107" t="str">
        <f>VLOOKUP(B972&amp;C972,Divipola!$C$2:$F$1138,4,FALSE)</f>
        <v>47980</v>
      </c>
      <c r="F972" s="330"/>
      <c r="G972" s="224"/>
      <c r="H972" s="75"/>
      <c r="I972" s="75"/>
      <c r="J972" s="75">
        <v>225</v>
      </c>
      <c r="K972" s="75">
        <v>45</v>
      </c>
      <c r="L972" s="75"/>
      <c r="M972" s="75">
        <v>45</v>
      </c>
      <c r="N972" s="75"/>
      <c r="O972" s="75"/>
      <c r="P972" s="75"/>
      <c r="Q972" s="75"/>
      <c r="R972" s="75"/>
      <c r="S972" s="75"/>
      <c r="T972" s="75"/>
      <c r="U972" s="75"/>
      <c r="V972" s="76">
        <v>20</v>
      </c>
      <c r="W972" s="205" t="s">
        <v>2180</v>
      </c>
      <c r="X972" s="1"/>
      <c r="Y972" s="78">
        <f t="shared" si="128"/>
        <v>0</v>
      </c>
      <c r="Z972" s="78">
        <f t="shared" si="129"/>
        <v>0</v>
      </c>
      <c r="AA972" s="78">
        <f t="shared" si="126"/>
        <v>0</v>
      </c>
      <c r="AB972" s="78">
        <f t="shared" si="130"/>
        <v>0</v>
      </c>
      <c r="AC972" s="78"/>
      <c r="AD972" s="78">
        <v>0</v>
      </c>
      <c r="AE972" s="80">
        <f t="shared" si="132"/>
        <v>0</v>
      </c>
      <c r="AF972" s="82">
        <v>0</v>
      </c>
      <c r="AG972" s="69">
        <v>40413</v>
      </c>
      <c r="AH972" s="84"/>
      <c r="AI972" s="69" t="s">
        <v>1984</v>
      </c>
      <c r="AJ972" s="25" t="s">
        <v>1985</v>
      </c>
      <c r="AK972" s="65"/>
      <c r="AL972" s="185" t="s">
        <v>1257</v>
      </c>
      <c r="AM972" s="87" t="s">
        <v>25</v>
      </c>
      <c r="AN972" s="110"/>
      <c r="AO972" s="4"/>
      <c r="AP972" s="5"/>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6"/>
      <c r="CQ972" s="7"/>
      <c r="CR972" s="6"/>
      <c r="CS972" s="7"/>
      <c r="CT972" s="6"/>
      <c r="CU972" s="7"/>
      <c r="CV972" s="8">
        <f t="shared" si="131"/>
        <v>0</v>
      </c>
      <c r="CW972" s="9"/>
      <c r="CX972" s="10"/>
      <c r="CY972" s="11"/>
      <c r="CZ972" s="12"/>
      <c r="DA972" s="29"/>
      <c r="DB972" s="12"/>
      <c r="DC972" s="9"/>
      <c r="DD972" s="10"/>
      <c r="DE972" s="71"/>
      <c r="EO972" s="353" t="str">
        <f t="shared" si="125"/>
        <v>MAGDALENA_ZONA BANANERA</v>
      </c>
      <c r="EP972" s="350"/>
      <c r="EQ972" s="350" t="s">
        <v>4594</v>
      </c>
      <c r="ER972" s="358" t="s">
        <v>4595</v>
      </c>
      <c r="ES972" s="350" t="s">
        <v>5652</v>
      </c>
      <c r="ET972" s="350" t="s">
        <v>3588</v>
      </c>
      <c r="EU972" s="350" t="str">
        <f t="shared" si="127"/>
        <v>Tolima_Fresno</v>
      </c>
    </row>
    <row r="973" spans="1:151" ht="48" x14ac:dyDescent="0.2">
      <c r="A973" s="242">
        <v>40391</v>
      </c>
      <c r="B973" s="107" t="s">
        <v>708</v>
      </c>
      <c r="C973" s="107" t="s">
        <v>949</v>
      </c>
      <c r="D973" s="427" t="s">
        <v>837</v>
      </c>
      <c r="E973" s="107" t="str">
        <f>VLOOKUP(B973&amp;C973,Divipola!$C$2:$F$1138,4,FALSE)</f>
        <v>50110</v>
      </c>
      <c r="F973" s="330"/>
      <c r="G973" s="224"/>
      <c r="H973" s="75"/>
      <c r="I973" s="75"/>
      <c r="J973" s="75">
        <f>438-121</f>
        <v>317</v>
      </c>
      <c r="K973" s="75">
        <v>72</v>
      </c>
      <c r="L973" s="75"/>
      <c r="M973" s="75"/>
      <c r="N973" s="75">
        <v>2</v>
      </c>
      <c r="O973" s="75"/>
      <c r="P973" s="75"/>
      <c r="Q973" s="75"/>
      <c r="R973" s="75"/>
      <c r="S973" s="75"/>
      <c r="T973" s="75">
        <v>2</v>
      </c>
      <c r="U973" s="75"/>
      <c r="V973" s="76">
        <v>158.5</v>
      </c>
      <c r="W973" s="205">
        <v>0</v>
      </c>
      <c r="X973" s="1"/>
      <c r="Y973" s="78">
        <f t="shared" si="128"/>
        <v>0</v>
      </c>
      <c r="Z973" s="78">
        <f t="shared" si="129"/>
        <v>0</v>
      </c>
      <c r="AA973" s="78">
        <f t="shared" si="126"/>
        <v>0</v>
      </c>
      <c r="AB973" s="78">
        <f t="shared" si="130"/>
        <v>0</v>
      </c>
      <c r="AC973" s="78"/>
      <c r="AD973" s="78">
        <v>0</v>
      </c>
      <c r="AE973" s="80">
        <f t="shared" si="132"/>
        <v>0</v>
      </c>
      <c r="AF973" s="82">
        <v>0</v>
      </c>
      <c r="AG973" s="69">
        <v>40393</v>
      </c>
      <c r="AH973" s="84"/>
      <c r="AI973" s="69" t="s">
        <v>1984</v>
      </c>
      <c r="AJ973" s="25" t="s">
        <v>1985</v>
      </c>
      <c r="AK973" s="65"/>
      <c r="AL973" s="185" t="s">
        <v>1257</v>
      </c>
      <c r="AM973" s="85" t="s">
        <v>1054</v>
      </c>
      <c r="AN973" s="3"/>
      <c r="AO973" s="4"/>
      <c r="AP973" s="5"/>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6"/>
      <c r="CQ973" s="7"/>
      <c r="CR973" s="6"/>
      <c r="CS973" s="7"/>
      <c r="CT973" s="6"/>
      <c r="CU973" s="7"/>
      <c r="CV973" s="8">
        <f t="shared" si="131"/>
        <v>0</v>
      </c>
      <c r="CW973" s="9"/>
      <c r="CX973" s="10"/>
      <c r="CY973" s="11"/>
      <c r="CZ973" s="12"/>
      <c r="DA973" s="29"/>
      <c r="DB973" s="12"/>
      <c r="DC973" s="9"/>
      <c r="DD973" s="10"/>
      <c r="DE973" s="71"/>
      <c r="EO973" s="353" t="str">
        <f t="shared" si="125"/>
        <v>META_BARRANCA DE UPIA</v>
      </c>
      <c r="EP973" s="350"/>
      <c r="EQ973" s="350" t="s">
        <v>4594</v>
      </c>
      <c r="ER973" s="358" t="s">
        <v>4595</v>
      </c>
      <c r="ES973" s="350" t="s">
        <v>5653</v>
      </c>
      <c r="ET973" s="350" t="s">
        <v>3589</v>
      </c>
      <c r="EU973" s="350" t="str">
        <f t="shared" si="127"/>
        <v>Tolima_Guamo</v>
      </c>
    </row>
    <row r="974" spans="1:151" ht="38.25" x14ac:dyDescent="0.2">
      <c r="A974" s="242">
        <v>40391</v>
      </c>
      <c r="B974" s="107" t="s">
        <v>2012</v>
      </c>
      <c r="C974" s="107" t="s">
        <v>2260</v>
      </c>
      <c r="D974" s="427" t="s">
        <v>2307</v>
      </c>
      <c r="E974" s="107" t="str">
        <f>VLOOKUP(B974&amp;C974,Divipola!$C$2:$F$1138,4,FALSE)</f>
        <v>66170</v>
      </c>
      <c r="F974" s="330"/>
      <c r="G974" s="224"/>
      <c r="H974" s="75"/>
      <c r="I974" s="75"/>
      <c r="J974" s="75">
        <v>10</v>
      </c>
      <c r="K974" s="75">
        <v>2</v>
      </c>
      <c r="L974" s="75">
        <v>2</v>
      </c>
      <c r="M974" s="75"/>
      <c r="N974" s="75"/>
      <c r="O974" s="75"/>
      <c r="P974" s="75"/>
      <c r="Q974" s="75">
        <v>2</v>
      </c>
      <c r="R974" s="75"/>
      <c r="S974" s="75"/>
      <c r="T974" s="75"/>
      <c r="U974" s="75"/>
      <c r="V974" s="76"/>
      <c r="W974" s="205"/>
      <c r="X974" s="1"/>
      <c r="Y974" s="78">
        <f t="shared" si="128"/>
        <v>0</v>
      </c>
      <c r="Z974" s="78">
        <f t="shared" si="129"/>
        <v>0</v>
      </c>
      <c r="AA974" s="78">
        <f t="shared" si="126"/>
        <v>0</v>
      </c>
      <c r="AB974" s="78">
        <f t="shared" si="130"/>
        <v>0</v>
      </c>
      <c r="AC974" s="78"/>
      <c r="AD974" s="78">
        <v>0</v>
      </c>
      <c r="AE974" s="80">
        <f t="shared" si="132"/>
        <v>0</v>
      </c>
      <c r="AF974" s="82">
        <v>0</v>
      </c>
      <c r="AG974" s="69">
        <v>40391</v>
      </c>
      <c r="AH974" s="84"/>
      <c r="AI974" s="69" t="s">
        <v>1984</v>
      </c>
      <c r="AJ974" s="25" t="s">
        <v>1985</v>
      </c>
      <c r="AK974" s="65"/>
      <c r="AL974" s="185" t="s">
        <v>1257</v>
      </c>
      <c r="AM974" s="85" t="s">
        <v>1856</v>
      </c>
      <c r="AN974" s="3"/>
      <c r="AO974" s="4"/>
      <c r="AP974" s="5"/>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6"/>
      <c r="CQ974" s="7"/>
      <c r="CR974" s="6"/>
      <c r="CS974" s="7"/>
      <c r="CT974" s="6"/>
      <c r="CU974" s="7"/>
      <c r="CV974" s="8">
        <f t="shared" si="131"/>
        <v>0</v>
      </c>
      <c r="CW974" s="9"/>
      <c r="CX974" s="10"/>
      <c r="CY974" s="11"/>
      <c r="CZ974" s="12"/>
      <c r="DA974" s="29"/>
      <c r="DB974" s="12"/>
      <c r="DC974" s="9"/>
      <c r="DD974" s="10"/>
      <c r="DE974" s="71"/>
      <c r="EO974" s="353" t="str">
        <f t="shared" si="125"/>
        <v>RISARALDA_DOSQUEBRADAS</v>
      </c>
      <c r="EP974" s="350"/>
      <c r="EQ974" s="350" t="s">
        <v>4594</v>
      </c>
      <c r="ER974" s="358" t="s">
        <v>4595</v>
      </c>
      <c r="ES974" s="350" t="s">
        <v>5654</v>
      </c>
      <c r="ET974" s="350" t="s">
        <v>3590</v>
      </c>
      <c r="EU974" s="350" t="str">
        <f t="shared" si="127"/>
        <v>Tolima_Herveo</v>
      </c>
    </row>
    <row r="975" spans="1:151" ht="38.25" x14ac:dyDescent="0.2">
      <c r="A975" s="242">
        <v>40392</v>
      </c>
      <c r="B975" s="107" t="s">
        <v>1700</v>
      </c>
      <c r="C975" s="107" t="s">
        <v>857</v>
      </c>
      <c r="D975" s="427" t="s">
        <v>2209</v>
      </c>
      <c r="E975" s="107" t="str">
        <f>VLOOKUP(B975&amp;C975,Divipola!$C$2:$F$1138,4,FALSE)</f>
        <v>23672</v>
      </c>
      <c r="F975" s="330"/>
      <c r="G975" s="224"/>
      <c r="H975" s="75"/>
      <c r="I975" s="75"/>
      <c r="J975" s="75">
        <v>80</v>
      </c>
      <c r="K975" s="75">
        <v>62</v>
      </c>
      <c r="L975" s="75">
        <v>1</v>
      </c>
      <c r="M975" s="75">
        <v>12</v>
      </c>
      <c r="N975" s="75"/>
      <c r="O975" s="75"/>
      <c r="P975" s="75"/>
      <c r="Q975" s="75"/>
      <c r="R975" s="75"/>
      <c r="S975" s="75"/>
      <c r="T975" s="75"/>
      <c r="U975" s="75"/>
      <c r="V975" s="76"/>
      <c r="W975" s="205"/>
      <c r="X975" s="1"/>
      <c r="Y975" s="78">
        <f t="shared" si="128"/>
        <v>0</v>
      </c>
      <c r="Z975" s="78">
        <f t="shared" si="129"/>
        <v>5950000</v>
      </c>
      <c r="AA975" s="78">
        <f t="shared" si="126"/>
        <v>0</v>
      </c>
      <c r="AB975" s="78">
        <f t="shared" si="130"/>
        <v>0</v>
      </c>
      <c r="AC975" s="78"/>
      <c r="AD975" s="78">
        <v>0</v>
      </c>
      <c r="AE975" s="80">
        <f t="shared" si="132"/>
        <v>5950000</v>
      </c>
      <c r="AF975" s="82">
        <v>0</v>
      </c>
      <c r="AG975" s="69">
        <v>40394</v>
      </c>
      <c r="AH975" s="84"/>
      <c r="AI975" s="69" t="s">
        <v>2009</v>
      </c>
      <c r="AJ975" s="25" t="s">
        <v>2010</v>
      </c>
      <c r="AK975" s="65"/>
      <c r="AL975" s="185" t="s">
        <v>1257</v>
      </c>
      <c r="AM975" s="85" t="s">
        <v>3147</v>
      </c>
      <c r="AN975" s="3"/>
      <c r="AO975" s="4"/>
      <c r="AP975" s="5"/>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6"/>
      <c r="CQ975" s="7"/>
      <c r="CR975" s="6"/>
      <c r="CS975" s="7"/>
      <c r="CT975" s="6"/>
      <c r="CU975" s="7"/>
      <c r="CV975" s="8">
        <f t="shared" si="131"/>
        <v>0</v>
      </c>
      <c r="CW975" s="9"/>
      <c r="CX975" s="10"/>
      <c r="CY975" s="11">
        <v>70</v>
      </c>
      <c r="CZ975" s="12">
        <f>70*85000</f>
        <v>5950000</v>
      </c>
      <c r="DA975" s="29"/>
      <c r="DB975" s="12"/>
      <c r="DC975" s="9"/>
      <c r="DD975" s="10"/>
      <c r="DE975" s="71"/>
      <c r="EO975" s="353" t="str">
        <f t="shared" si="125"/>
        <v>CORDOBA_SAN ANTERO</v>
      </c>
      <c r="EP975" s="350"/>
      <c r="EQ975" s="350" t="s">
        <v>4594</v>
      </c>
      <c r="ER975" s="358" t="s">
        <v>4595</v>
      </c>
      <c r="ES975" s="350" t="s">
        <v>5655</v>
      </c>
      <c r="ET975" s="350" t="s">
        <v>3591</v>
      </c>
      <c r="EU975" s="350" t="str">
        <f t="shared" si="127"/>
        <v>Tolima_Honda</v>
      </c>
    </row>
    <row r="976" spans="1:151" ht="102" x14ac:dyDescent="0.2">
      <c r="A976" s="242">
        <v>40392</v>
      </c>
      <c r="B976" s="107" t="s">
        <v>5778</v>
      </c>
      <c r="C976" s="107" t="s">
        <v>1887</v>
      </c>
      <c r="D976" s="427" t="s">
        <v>837</v>
      </c>
      <c r="E976" s="107" t="e">
        <f>VLOOKUP(B976&amp;C976,Divipola!$C$2:$F$1138,4,FALSE)</f>
        <v>#N/A</v>
      </c>
      <c r="F976" s="330"/>
      <c r="G976" s="224"/>
      <c r="H976" s="75"/>
      <c r="I976" s="75"/>
      <c r="J976" s="75"/>
      <c r="K976" s="75"/>
      <c r="L976" s="75"/>
      <c r="M976" s="75"/>
      <c r="N976" s="75"/>
      <c r="O976" s="75"/>
      <c r="P976" s="75"/>
      <c r="Q976" s="75"/>
      <c r="R976" s="75"/>
      <c r="S976" s="75"/>
      <c r="T976" s="75"/>
      <c r="U976" s="75"/>
      <c r="V976" s="76"/>
      <c r="W976" s="205"/>
      <c r="X976" s="1">
        <v>40417</v>
      </c>
      <c r="Y976" s="78">
        <f t="shared" si="128"/>
        <v>120860250</v>
      </c>
      <c r="Z976" s="78">
        <f t="shared" si="129"/>
        <v>165750000</v>
      </c>
      <c r="AA976" s="78">
        <f t="shared" si="126"/>
        <v>0</v>
      </c>
      <c r="AB976" s="78">
        <f t="shared" si="130"/>
        <v>0</v>
      </c>
      <c r="AC976" s="78"/>
      <c r="AD976" s="78">
        <v>0</v>
      </c>
      <c r="AE976" s="80">
        <f t="shared" si="132"/>
        <v>286610250</v>
      </c>
      <c r="AF976" s="82">
        <v>0</v>
      </c>
      <c r="AG976" s="69">
        <v>40392</v>
      </c>
      <c r="AH976" s="94" t="s">
        <v>188</v>
      </c>
      <c r="AI976" s="69" t="s">
        <v>2009</v>
      </c>
      <c r="AJ976" s="25" t="s">
        <v>2010</v>
      </c>
      <c r="AK976" s="88" t="s">
        <v>187</v>
      </c>
      <c r="AL976" s="212" t="s">
        <v>1888</v>
      </c>
      <c r="AM976" s="85" t="s">
        <v>1889</v>
      </c>
      <c r="AN976" s="3"/>
      <c r="AO976" s="4"/>
      <c r="AP976" s="5"/>
      <c r="AQ976" s="4"/>
      <c r="AR976" s="4"/>
      <c r="AS976" s="4"/>
      <c r="AT976" s="4"/>
      <c r="AU976" s="4"/>
      <c r="AV976" s="4"/>
      <c r="AW976" s="4"/>
      <c r="AX976" s="4"/>
      <c r="AY976" s="4"/>
      <c r="AZ976" s="4"/>
      <c r="BA976" s="4"/>
      <c r="BB976" s="4"/>
      <c r="BC976" s="4"/>
      <c r="BD976" s="4"/>
      <c r="BE976" s="4"/>
      <c r="BF976" s="4"/>
      <c r="BG976" s="4"/>
      <c r="BH976" s="4"/>
      <c r="BI976" s="4"/>
      <c r="BJ976" s="4"/>
      <c r="BK976" s="4"/>
      <c r="BL976" s="4">
        <v>1000</v>
      </c>
      <c r="BM976" s="4">
        <f>1000*27500</f>
        <v>27500000</v>
      </c>
      <c r="BN976" s="4"/>
      <c r="BO976" s="4"/>
      <c r="BP976" s="4"/>
      <c r="BQ976" s="4"/>
      <c r="BR976" s="4"/>
      <c r="BS976" s="4"/>
      <c r="BT976" s="4"/>
      <c r="BU976" s="4"/>
      <c r="BV976" s="4"/>
      <c r="BW976" s="4"/>
      <c r="BX976" s="4"/>
      <c r="BY976" s="4"/>
      <c r="BZ976" s="4"/>
      <c r="CA976" s="4"/>
      <c r="CB976" s="4"/>
      <c r="CC976" s="4"/>
      <c r="CD976" s="4"/>
      <c r="CE976" s="4"/>
      <c r="CF976" s="4"/>
      <c r="CG976" s="4"/>
      <c r="CH976" s="4"/>
      <c r="CI976" s="4"/>
      <c r="CJ976" s="4">
        <v>1000</v>
      </c>
      <c r="CK976" s="4">
        <f>1000*22000</f>
        <v>22000000</v>
      </c>
      <c r="CL976" s="4"/>
      <c r="CM976" s="4"/>
      <c r="CN976" s="4"/>
      <c r="CO976" s="4"/>
      <c r="CP976" s="6">
        <v>1950</v>
      </c>
      <c r="CQ976" s="7">
        <f>1950*36595</f>
        <v>71360250</v>
      </c>
      <c r="CR976" s="6"/>
      <c r="CS976" s="7"/>
      <c r="CT976" s="6"/>
      <c r="CU976" s="7"/>
      <c r="CV976" s="8">
        <f t="shared" si="131"/>
        <v>120860250</v>
      </c>
      <c r="CW976" s="9"/>
      <c r="CX976" s="10"/>
      <c r="CY976" s="11">
        <v>1950</v>
      </c>
      <c r="CZ976" s="12">
        <f>1950*85000</f>
        <v>165750000</v>
      </c>
      <c r="DA976" s="29"/>
      <c r="DB976" s="12"/>
      <c r="DC976" s="9"/>
      <c r="DD976" s="10"/>
      <c r="DE976" s="71"/>
      <c r="EO976" s="353" t="str">
        <f t="shared" si="125"/>
        <v>LA GUAJIRA_MAICAO/VILLANUEVA/URIBIA/FONSECA/ALBANIA/RIOHACHA</v>
      </c>
      <c r="EP976" s="350"/>
      <c r="EQ976" s="350" t="s">
        <v>4594</v>
      </c>
      <c r="ER976" s="358" t="s">
        <v>4595</v>
      </c>
      <c r="ES976" s="350" t="s">
        <v>5656</v>
      </c>
      <c r="ET976" s="350" t="s">
        <v>3592</v>
      </c>
      <c r="EU976" s="350" t="str">
        <f t="shared" si="127"/>
        <v>Tolima_Icononzo</v>
      </c>
    </row>
    <row r="977" spans="1:151" ht="38.25" x14ac:dyDescent="0.2">
      <c r="A977" s="242">
        <v>40392</v>
      </c>
      <c r="B977" s="107" t="s">
        <v>1336</v>
      </c>
      <c r="C977" s="107" t="s">
        <v>1057</v>
      </c>
      <c r="D977" s="427" t="s">
        <v>837</v>
      </c>
      <c r="E977" s="107" t="str">
        <f>VLOOKUP(B977&amp;C977,Divipola!$C$2:$F$1138,4,FALSE)</f>
        <v>54344</v>
      </c>
      <c r="F977" s="330"/>
      <c r="G977" s="224"/>
      <c r="H977" s="75"/>
      <c r="I977" s="75"/>
      <c r="J977" s="75">
        <f>4195-25-75</f>
        <v>4095</v>
      </c>
      <c r="K977" s="75">
        <f>879-5-15</f>
        <v>859</v>
      </c>
      <c r="L977" s="75">
        <v>88</v>
      </c>
      <c r="M977" s="75">
        <v>242</v>
      </c>
      <c r="N977" s="75"/>
      <c r="O977" s="75"/>
      <c r="P977" s="75"/>
      <c r="Q977" s="75"/>
      <c r="R977" s="75"/>
      <c r="S977" s="75"/>
      <c r="T977" s="75"/>
      <c r="U977" s="75"/>
      <c r="V977" s="76"/>
      <c r="W977" s="205"/>
      <c r="X977" s="1">
        <v>40514</v>
      </c>
      <c r="Y977" s="78">
        <f t="shared" si="128"/>
        <v>0</v>
      </c>
      <c r="Z977" s="78">
        <f t="shared" si="129"/>
        <v>0</v>
      </c>
      <c r="AA977" s="78">
        <f>500*21315+600*19952+160*200000.24+2000*994.12+3000*104.4</f>
        <v>56930178.399999999</v>
      </c>
      <c r="AB977" s="78">
        <f t="shared" si="130"/>
        <v>0</v>
      </c>
      <c r="AC977" s="78"/>
      <c r="AD977" s="78">
        <v>0</v>
      </c>
      <c r="AE977" s="80">
        <f t="shared" si="132"/>
        <v>56930178.399999999</v>
      </c>
      <c r="AF977" s="82">
        <v>0</v>
      </c>
      <c r="AG977" s="69">
        <v>40393</v>
      </c>
      <c r="AH977" s="84">
        <v>48682</v>
      </c>
      <c r="AI977" s="69" t="s">
        <v>2009</v>
      </c>
      <c r="AJ977" s="25" t="s">
        <v>2010</v>
      </c>
      <c r="AK977" s="65">
        <v>25687</v>
      </c>
      <c r="AL977" s="185" t="s">
        <v>1628</v>
      </c>
      <c r="AM977" s="85" t="s">
        <v>1058</v>
      </c>
      <c r="AN977" s="3"/>
      <c r="AO977" s="4"/>
      <c r="AP977" s="5"/>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6"/>
      <c r="CQ977" s="7"/>
      <c r="CR977" s="6"/>
      <c r="CS977" s="7"/>
      <c r="CT977" s="6"/>
      <c r="CU977" s="7"/>
      <c r="CV977" s="8">
        <f t="shared" si="131"/>
        <v>0</v>
      </c>
      <c r="CW977" s="9"/>
      <c r="CX977" s="10"/>
      <c r="CY977" s="11"/>
      <c r="CZ977" s="12"/>
      <c r="DA977" s="29"/>
      <c r="DB977" s="12"/>
      <c r="DC977" s="9"/>
      <c r="DD977" s="10"/>
      <c r="DE977" s="71"/>
      <c r="EO977" s="353" t="str">
        <f t="shared" si="125"/>
        <v>NORTE DE SANTANDER_HACARI</v>
      </c>
      <c r="EP977" s="350"/>
      <c r="EQ977" s="350" t="s">
        <v>4594</v>
      </c>
      <c r="ER977" s="358" t="s">
        <v>4595</v>
      </c>
      <c r="ES977" s="350" t="s">
        <v>5657</v>
      </c>
      <c r="ET977" s="350" t="s">
        <v>3593</v>
      </c>
      <c r="EU977" s="350" t="str">
        <f t="shared" si="127"/>
        <v>Tolima_Lerida</v>
      </c>
    </row>
    <row r="978" spans="1:151" ht="168" x14ac:dyDescent="0.2">
      <c r="A978" s="242">
        <v>40392</v>
      </c>
      <c r="B978" s="236" t="s">
        <v>2014</v>
      </c>
      <c r="C978" s="236" t="s">
        <v>203</v>
      </c>
      <c r="D978" s="427" t="s">
        <v>2307</v>
      </c>
      <c r="E978" s="107" t="str">
        <f>VLOOKUP(B978&amp;C978,Divipola!$C$2:$F$1138,4,FALSE)</f>
        <v>63302</v>
      </c>
      <c r="F978" s="330"/>
      <c r="G978" s="221"/>
      <c r="H978" s="157"/>
      <c r="I978" s="157"/>
      <c r="J978" s="157">
        <f>501*5</f>
        <v>2505</v>
      </c>
      <c r="K978" s="157">
        <v>501</v>
      </c>
      <c r="L978" s="157"/>
      <c r="M978" s="157"/>
      <c r="N978" s="157">
        <v>16</v>
      </c>
      <c r="O978" s="157"/>
      <c r="P978" s="157"/>
      <c r="Q978" s="157"/>
      <c r="R978" s="157"/>
      <c r="S978" s="157"/>
      <c r="T978" s="157"/>
      <c r="U978" s="157"/>
      <c r="V978" s="158"/>
      <c r="W978" s="182"/>
      <c r="X978" s="1">
        <v>40424</v>
      </c>
      <c r="Y978" s="78">
        <f t="shared" si="128"/>
        <v>0</v>
      </c>
      <c r="Z978" s="78">
        <f t="shared" si="129"/>
        <v>0</v>
      </c>
      <c r="AA978" s="78">
        <f t="shared" ref="AA978:AA1009" si="133">DB978+DD978</f>
        <v>0</v>
      </c>
      <c r="AB978" s="78">
        <f t="shared" si="130"/>
        <v>0</v>
      </c>
      <c r="AC978" s="78"/>
      <c r="AD978" s="78">
        <v>80000000</v>
      </c>
      <c r="AE978" s="80">
        <f t="shared" si="132"/>
        <v>80000000</v>
      </c>
      <c r="AF978" s="82">
        <v>0</v>
      </c>
      <c r="AG978" s="69">
        <v>40403</v>
      </c>
      <c r="AH978" s="84">
        <v>40849</v>
      </c>
      <c r="AI978" s="69" t="s">
        <v>2009</v>
      </c>
      <c r="AJ978" s="25" t="s">
        <v>2010</v>
      </c>
      <c r="AK978" s="65">
        <v>30860</v>
      </c>
      <c r="AL978" s="176" t="s">
        <v>2182</v>
      </c>
      <c r="AM978" s="326" t="s">
        <v>204</v>
      </c>
      <c r="AN978" s="175"/>
      <c r="AO978" s="160"/>
      <c r="AP978" s="161"/>
      <c r="AQ978" s="160"/>
      <c r="AR978" s="160"/>
      <c r="AS978" s="160"/>
      <c r="AT978" s="160"/>
      <c r="AU978" s="160"/>
      <c r="AV978" s="160"/>
      <c r="AW978" s="160"/>
      <c r="AX978" s="160"/>
      <c r="AY978" s="160"/>
      <c r="AZ978" s="160"/>
      <c r="BA978" s="160"/>
      <c r="BB978" s="160"/>
      <c r="BC978" s="160"/>
      <c r="BD978" s="160"/>
      <c r="BE978" s="160"/>
      <c r="BF978" s="160"/>
      <c r="BG978" s="160"/>
      <c r="BH978" s="160"/>
      <c r="BI978" s="160"/>
      <c r="BJ978" s="160"/>
      <c r="BK978" s="160"/>
      <c r="BL978" s="160"/>
      <c r="BM978" s="160"/>
      <c r="BN978" s="160"/>
      <c r="BO978" s="160"/>
      <c r="BP978" s="160"/>
      <c r="BQ978" s="160"/>
      <c r="BR978" s="160"/>
      <c r="BS978" s="160"/>
      <c r="BT978" s="160"/>
      <c r="BU978" s="160"/>
      <c r="BV978" s="160"/>
      <c r="BW978" s="160"/>
      <c r="BX978" s="160"/>
      <c r="BY978" s="160"/>
      <c r="BZ978" s="160"/>
      <c r="CA978" s="160"/>
      <c r="CB978" s="160"/>
      <c r="CC978" s="160"/>
      <c r="CD978" s="160"/>
      <c r="CE978" s="160"/>
      <c r="CF978" s="160"/>
      <c r="CG978" s="160"/>
      <c r="CH978" s="160"/>
      <c r="CI978" s="160"/>
      <c r="CJ978" s="160"/>
      <c r="CK978" s="160"/>
      <c r="CL978" s="160"/>
      <c r="CM978" s="160"/>
      <c r="CN978" s="160"/>
      <c r="CO978" s="160"/>
      <c r="CP978" s="162"/>
      <c r="CQ978" s="163"/>
      <c r="CR978" s="162"/>
      <c r="CS978" s="163"/>
      <c r="CT978" s="162"/>
      <c r="CU978" s="163"/>
      <c r="CV978" s="164">
        <f t="shared" si="131"/>
        <v>0</v>
      </c>
      <c r="CW978" s="165"/>
      <c r="CX978" s="166"/>
      <c r="CY978" s="167"/>
      <c r="CZ978" s="168"/>
      <c r="DA978" s="169"/>
      <c r="DB978" s="168"/>
      <c r="DC978" s="165"/>
      <c r="DD978" s="166"/>
      <c r="DE978" s="71">
        <v>2</v>
      </c>
      <c r="DF978" s="170"/>
      <c r="EO978" s="353" t="str">
        <f t="shared" si="125"/>
        <v>QUINDIO_GENOVA</v>
      </c>
      <c r="EP978" s="350"/>
      <c r="EQ978" s="350" t="s">
        <v>4594</v>
      </c>
      <c r="ER978" s="358" t="s">
        <v>4595</v>
      </c>
      <c r="ES978" s="350" t="s">
        <v>5658</v>
      </c>
      <c r="ET978" s="350" t="s">
        <v>3594</v>
      </c>
      <c r="EU978" s="350" t="str">
        <f t="shared" si="127"/>
        <v>Tolima_Libano</v>
      </c>
    </row>
    <row r="979" spans="1:151" ht="25.5" x14ac:dyDescent="0.2">
      <c r="A979" s="242">
        <v>40392</v>
      </c>
      <c r="B979" s="107" t="s">
        <v>2372</v>
      </c>
      <c r="C979" s="107" t="s">
        <v>2395</v>
      </c>
      <c r="D979" s="427" t="s">
        <v>837</v>
      </c>
      <c r="E979" s="107" t="str">
        <f>VLOOKUP(B979&amp;C979,Divipola!$C$2:$F$1138,4,FALSE)</f>
        <v>70235</v>
      </c>
      <c r="F979" s="330"/>
      <c r="G979" s="224"/>
      <c r="H979" s="75"/>
      <c r="I979" s="75"/>
      <c r="J979" s="75">
        <f>477*5</f>
        <v>2385</v>
      </c>
      <c r="K979" s="75">
        <v>477</v>
      </c>
      <c r="L979" s="75"/>
      <c r="M979" s="75">
        <v>477</v>
      </c>
      <c r="N979" s="75"/>
      <c r="O979" s="75"/>
      <c r="P979" s="75"/>
      <c r="Q979" s="75"/>
      <c r="R979" s="75"/>
      <c r="S979" s="75"/>
      <c r="T979" s="75"/>
      <c r="U979" s="75"/>
      <c r="V979" s="76"/>
      <c r="W979" s="205"/>
      <c r="X979" s="1">
        <v>40429</v>
      </c>
      <c r="Y979" s="78">
        <f t="shared" si="128"/>
        <v>47475000</v>
      </c>
      <c r="Z979" s="78">
        <f t="shared" si="129"/>
        <v>85000000</v>
      </c>
      <c r="AA979" s="78">
        <f t="shared" si="133"/>
        <v>0</v>
      </c>
      <c r="AB979" s="78">
        <f t="shared" si="130"/>
        <v>0</v>
      </c>
      <c r="AC979" s="78"/>
      <c r="AD979" s="78">
        <v>0</v>
      </c>
      <c r="AE979" s="80">
        <f t="shared" si="132"/>
        <v>132475000</v>
      </c>
      <c r="AF979" s="82">
        <v>0</v>
      </c>
      <c r="AG979" s="69">
        <v>40409</v>
      </c>
      <c r="AH979" s="84">
        <v>41943</v>
      </c>
      <c r="AI979" s="69" t="s">
        <v>2009</v>
      </c>
      <c r="AJ979" s="25" t="s">
        <v>2010</v>
      </c>
      <c r="AK979" s="65"/>
      <c r="AL979" s="185" t="s">
        <v>667</v>
      </c>
      <c r="AM979" s="85" t="s">
        <v>1858</v>
      </c>
      <c r="AN979" s="3"/>
      <c r="AO979" s="4"/>
      <c r="AP979" s="5"/>
      <c r="AQ979" s="4"/>
      <c r="AR979" s="4"/>
      <c r="AS979" s="4"/>
      <c r="AT979" s="4"/>
      <c r="AU979" s="4"/>
      <c r="AV979" s="4"/>
      <c r="AW979" s="4"/>
      <c r="AX979" s="4"/>
      <c r="AY979" s="4"/>
      <c r="AZ979" s="4"/>
      <c r="BA979" s="4"/>
      <c r="BB979" s="4">
        <v>350</v>
      </c>
      <c r="BC979" s="4">
        <f>350*56000</f>
        <v>19600000</v>
      </c>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v>800</v>
      </c>
      <c r="CO979" s="4">
        <f>800*18000</f>
        <v>14400000</v>
      </c>
      <c r="CP979" s="6">
        <v>350</v>
      </c>
      <c r="CQ979" s="7">
        <f>350*38500</f>
        <v>13475000</v>
      </c>
      <c r="CR979" s="6"/>
      <c r="CS979" s="7"/>
      <c r="CT979" s="6"/>
      <c r="CU979" s="7"/>
      <c r="CV979" s="8">
        <f t="shared" si="131"/>
        <v>47475000</v>
      </c>
      <c r="CW979" s="9"/>
      <c r="CX979" s="10"/>
      <c r="CY979" s="11">
        <f>350+250+400</f>
        <v>1000</v>
      </c>
      <c r="CZ979" s="12">
        <f>350*85000+250*85000+400*85000</f>
        <v>85000000</v>
      </c>
      <c r="DA979" s="29"/>
      <c r="DB979" s="12"/>
      <c r="DC979" s="9"/>
      <c r="DD979" s="10"/>
      <c r="DE979" s="71"/>
      <c r="DF979" s="23">
        <v>1201</v>
      </c>
      <c r="EO979" s="353" t="str">
        <f t="shared" si="125"/>
        <v>SUCRE_GALERAS</v>
      </c>
      <c r="EP979" s="350"/>
      <c r="EQ979" s="350" t="s">
        <v>4594</v>
      </c>
      <c r="ER979" s="358" t="s">
        <v>4595</v>
      </c>
      <c r="ES979" s="350" t="s">
        <v>5659</v>
      </c>
      <c r="ET979" s="350" t="s">
        <v>3595</v>
      </c>
      <c r="EU979" s="350" t="str">
        <f t="shared" si="127"/>
        <v>Tolima_Mariquita</v>
      </c>
    </row>
    <row r="980" spans="1:151" ht="36" x14ac:dyDescent="0.2">
      <c r="A980" s="242">
        <v>40393</v>
      </c>
      <c r="B980" s="236" t="s">
        <v>2242</v>
      </c>
      <c r="C980" s="236" t="s">
        <v>176</v>
      </c>
      <c r="D980" s="433" t="s">
        <v>837</v>
      </c>
      <c r="E980" s="107" t="str">
        <f>VLOOKUP(B980&amp;C980,Divipola!$C$2:$F$1138,4,FALSE)</f>
        <v>20310</v>
      </c>
      <c r="F980" s="335"/>
      <c r="G980" s="221"/>
      <c r="H980" s="157"/>
      <c r="I980" s="157"/>
      <c r="J980" s="157">
        <f>223*5</f>
        <v>1115</v>
      </c>
      <c r="K980" s="157">
        <v>223</v>
      </c>
      <c r="L980" s="157"/>
      <c r="M980" s="157">
        <v>223</v>
      </c>
      <c r="N980" s="157">
        <v>1</v>
      </c>
      <c r="O980" s="157"/>
      <c r="P980" s="157"/>
      <c r="Q980" s="157"/>
      <c r="R980" s="157"/>
      <c r="S980" s="157"/>
      <c r="T980" s="157"/>
      <c r="U980" s="157"/>
      <c r="V980" s="158"/>
      <c r="W980" s="182"/>
      <c r="X980" s="1">
        <v>40427</v>
      </c>
      <c r="Y980" s="78">
        <f t="shared" si="128"/>
        <v>2268000</v>
      </c>
      <c r="Z980" s="78">
        <f t="shared" si="129"/>
        <v>3570000</v>
      </c>
      <c r="AA980" s="78">
        <f t="shared" si="133"/>
        <v>0</v>
      </c>
      <c r="AB980" s="78">
        <f t="shared" si="130"/>
        <v>0</v>
      </c>
      <c r="AC980" s="78"/>
      <c r="AD980" s="78">
        <v>0</v>
      </c>
      <c r="AE980" s="80">
        <f t="shared" si="132"/>
        <v>5838000</v>
      </c>
      <c r="AF980" s="82">
        <v>0</v>
      </c>
      <c r="AG980" s="69">
        <v>40393</v>
      </c>
      <c r="AH980" s="84">
        <v>38583</v>
      </c>
      <c r="AI980" s="69" t="s">
        <v>2009</v>
      </c>
      <c r="AJ980" s="25" t="s">
        <v>2010</v>
      </c>
      <c r="AK980" s="88" t="s">
        <v>1626</v>
      </c>
      <c r="AL980" s="185" t="s">
        <v>648</v>
      </c>
      <c r="AM980" s="173" t="s">
        <v>1241</v>
      </c>
      <c r="AN980" s="159"/>
      <c r="AO980" s="160"/>
      <c r="AP980" s="161"/>
      <c r="AQ980" s="160"/>
      <c r="AR980" s="160"/>
      <c r="AS980" s="160"/>
      <c r="AT980" s="160"/>
      <c r="AU980" s="160"/>
      <c r="AV980" s="160"/>
      <c r="AW980" s="160"/>
      <c r="AX980" s="160"/>
      <c r="AY980" s="160"/>
      <c r="AZ980" s="160"/>
      <c r="BA980" s="160"/>
      <c r="BB980" s="160"/>
      <c r="BC980" s="160"/>
      <c r="BD980" s="160"/>
      <c r="BE980" s="160"/>
      <c r="BF980" s="160"/>
      <c r="BG980" s="160"/>
      <c r="BH980" s="160"/>
      <c r="BI980" s="160"/>
      <c r="BJ980" s="160"/>
      <c r="BK980" s="160"/>
      <c r="BL980" s="160"/>
      <c r="BM980" s="160"/>
      <c r="BN980" s="160"/>
      <c r="BO980" s="160"/>
      <c r="BP980" s="160"/>
      <c r="BQ980" s="160"/>
      <c r="BR980" s="160"/>
      <c r="BS980" s="160"/>
      <c r="BT980" s="160"/>
      <c r="BU980" s="160"/>
      <c r="BV980" s="160"/>
      <c r="BW980" s="160"/>
      <c r="BX980" s="160"/>
      <c r="BY980" s="160"/>
      <c r="BZ980" s="160"/>
      <c r="CA980" s="160"/>
      <c r="CB980" s="160"/>
      <c r="CC980" s="160"/>
      <c r="CD980" s="160"/>
      <c r="CE980" s="160"/>
      <c r="CF980" s="160"/>
      <c r="CG980" s="160"/>
      <c r="CH980" s="160"/>
      <c r="CI980" s="160"/>
      <c r="CJ980" s="160"/>
      <c r="CK980" s="160"/>
      <c r="CL980" s="160"/>
      <c r="CM980" s="160"/>
      <c r="CN980" s="160">
        <v>42</v>
      </c>
      <c r="CO980" s="160">
        <f>42*18000</f>
        <v>756000</v>
      </c>
      <c r="CP980" s="162"/>
      <c r="CQ980" s="163"/>
      <c r="CR980" s="162">
        <v>42</v>
      </c>
      <c r="CS980" s="163">
        <f>42*36000</f>
        <v>1512000</v>
      </c>
      <c r="CT980" s="162"/>
      <c r="CU980" s="163"/>
      <c r="CV980" s="164">
        <f t="shared" si="131"/>
        <v>2268000</v>
      </c>
      <c r="CW980" s="165"/>
      <c r="CX980" s="166"/>
      <c r="CY980" s="167">
        <v>42</v>
      </c>
      <c r="CZ980" s="168">
        <f>42*85000</f>
        <v>3570000</v>
      </c>
      <c r="DA980" s="169"/>
      <c r="DB980" s="168"/>
      <c r="DC980" s="165"/>
      <c r="DD980" s="166"/>
      <c r="DE980" s="71"/>
      <c r="DF980" s="170"/>
      <c r="EO980" s="353" t="str">
        <f t="shared" si="125"/>
        <v>CESAR_GONZALEZ</v>
      </c>
      <c r="EP980" s="350"/>
      <c r="EQ980" s="350" t="s">
        <v>4594</v>
      </c>
      <c r="ER980" s="358" t="s">
        <v>4595</v>
      </c>
      <c r="ES980" s="350" t="s">
        <v>5660</v>
      </c>
      <c r="ET980" s="350" t="s">
        <v>3596</v>
      </c>
      <c r="EU980" s="350" t="str">
        <f t="shared" si="127"/>
        <v>Tolima_Melgar</v>
      </c>
    </row>
    <row r="981" spans="1:151" ht="25.5" x14ac:dyDescent="0.2">
      <c r="A981" s="242">
        <v>40393</v>
      </c>
      <c r="B981" s="222" t="s">
        <v>2242</v>
      </c>
      <c r="C981" s="222" t="s">
        <v>905</v>
      </c>
      <c r="D981" s="430" t="s">
        <v>837</v>
      </c>
      <c r="E981" s="107" t="str">
        <f>VLOOKUP(B981&amp;C981,Divipola!$C$2:$F$1138,4,FALSE)</f>
        <v>20750</v>
      </c>
      <c r="F981" s="333"/>
      <c r="G981" s="221"/>
      <c r="H981" s="157"/>
      <c r="I981" s="157"/>
      <c r="J981" s="157">
        <v>10</v>
      </c>
      <c r="K981" s="157">
        <v>2</v>
      </c>
      <c r="L981" s="157"/>
      <c r="M981" s="157">
        <v>2</v>
      </c>
      <c r="N981" s="157"/>
      <c r="O981" s="157"/>
      <c r="P981" s="157"/>
      <c r="Q981" s="157"/>
      <c r="R981" s="157"/>
      <c r="S981" s="157"/>
      <c r="T981" s="157"/>
      <c r="U981" s="157"/>
      <c r="V981" s="158"/>
      <c r="W981" s="182"/>
      <c r="X981" s="1"/>
      <c r="Y981" s="78">
        <f t="shared" si="128"/>
        <v>0</v>
      </c>
      <c r="Z981" s="78">
        <f t="shared" si="129"/>
        <v>0</v>
      </c>
      <c r="AA981" s="78">
        <f t="shared" si="133"/>
        <v>0</v>
      </c>
      <c r="AB981" s="78">
        <f t="shared" si="130"/>
        <v>0</v>
      </c>
      <c r="AC981" s="78"/>
      <c r="AD981" s="78">
        <v>0</v>
      </c>
      <c r="AE981" s="80">
        <f t="shared" si="132"/>
        <v>0</v>
      </c>
      <c r="AF981" s="82">
        <v>0</v>
      </c>
      <c r="AG981" s="69">
        <v>40393</v>
      </c>
      <c r="AH981" s="84"/>
      <c r="AI981" s="69" t="s">
        <v>1984</v>
      </c>
      <c r="AJ981" s="25" t="s">
        <v>1985</v>
      </c>
      <c r="AK981" s="65"/>
      <c r="AL981" s="176" t="s">
        <v>1257</v>
      </c>
      <c r="AM981" s="173"/>
      <c r="AN981" s="159"/>
      <c r="AO981" s="160"/>
      <c r="AP981" s="161"/>
      <c r="AQ981" s="160"/>
      <c r="AR981" s="160"/>
      <c r="AS981" s="160"/>
      <c r="AT981" s="160"/>
      <c r="AU981" s="160"/>
      <c r="AV981" s="160"/>
      <c r="AW981" s="160"/>
      <c r="AX981" s="160"/>
      <c r="AY981" s="160"/>
      <c r="AZ981" s="160"/>
      <c r="BA981" s="160"/>
      <c r="BB981" s="160"/>
      <c r="BC981" s="160"/>
      <c r="BD981" s="160"/>
      <c r="BE981" s="160"/>
      <c r="BF981" s="160"/>
      <c r="BG981" s="160"/>
      <c r="BH981" s="160"/>
      <c r="BI981" s="160"/>
      <c r="BJ981" s="160"/>
      <c r="BK981" s="160"/>
      <c r="BL981" s="160"/>
      <c r="BM981" s="160"/>
      <c r="BN981" s="160"/>
      <c r="BO981" s="160"/>
      <c r="BP981" s="160"/>
      <c r="BQ981" s="160"/>
      <c r="BR981" s="160"/>
      <c r="BS981" s="160"/>
      <c r="BT981" s="160"/>
      <c r="BU981" s="160"/>
      <c r="BV981" s="160"/>
      <c r="BW981" s="160"/>
      <c r="BX981" s="160"/>
      <c r="BY981" s="160"/>
      <c r="BZ981" s="160"/>
      <c r="CA981" s="160"/>
      <c r="CB981" s="160"/>
      <c r="CC981" s="160"/>
      <c r="CD981" s="160"/>
      <c r="CE981" s="160"/>
      <c r="CF981" s="160"/>
      <c r="CG981" s="160"/>
      <c r="CH981" s="160"/>
      <c r="CI981" s="160"/>
      <c r="CJ981" s="160"/>
      <c r="CK981" s="160"/>
      <c r="CL981" s="160"/>
      <c r="CM981" s="160"/>
      <c r="CN981" s="160"/>
      <c r="CO981" s="160"/>
      <c r="CP981" s="162"/>
      <c r="CQ981" s="163"/>
      <c r="CR981" s="162"/>
      <c r="CS981" s="163"/>
      <c r="CT981" s="162"/>
      <c r="CU981" s="163"/>
      <c r="CV981" s="164">
        <f t="shared" si="131"/>
        <v>0</v>
      </c>
      <c r="CW981" s="165"/>
      <c r="CX981" s="166"/>
      <c r="CY981" s="167"/>
      <c r="CZ981" s="168"/>
      <c r="DA981" s="169"/>
      <c r="DB981" s="168"/>
      <c r="DC981" s="165"/>
      <c r="DD981" s="166"/>
      <c r="DE981" s="71"/>
      <c r="DF981" s="170">
        <v>1297</v>
      </c>
      <c r="EO981" s="353" t="str">
        <f t="shared" si="125"/>
        <v>CESAR_SAN DIEGO</v>
      </c>
      <c r="EP981" s="350"/>
      <c r="EQ981" s="350" t="s">
        <v>4594</v>
      </c>
      <c r="ER981" s="358" t="s">
        <v>4595</v>
      </c>
      <c r="ES981" s="350" t="s">
        <v>5661</v>
      </c>
      <c r="ET981" s="350" t="s">
        <v>3597</v>
      </c>
      <c r="EU981" s="350" t="str">
        <f t="shared" si="127"/>
        <v>Tolima_Murillo</v>
      </c>
    </row>
    <row r="982" spans="1:151" ht="60" x14ac:dyDescent="0.2">
      <c r="A982" s="242">
        <v>40393</v>
      </c>
      <c r="B982" s="107" t="s">
        <v>1336</v>
      </c>
      <c r="C982" s="107" t="s">
        <v>1845</v>
      </c>
      <c r="D982" s="427" t="s">
        <v>2331</v>
      </c>
      <c r="E982" s="107" t="str">
        <f>VLOOKUP(B982&amp;C982,Divipola!$C$2:$F$1138,4,FALSE)</f>
        <v>54206</v>
      </c>
      <c r="F982" s="330"/>
      <c r="G982" s="224"/>
      <c r="H982" s="75"/>
      <c r="I982" s="75"/>
      <c r="J982" s="75">
        <v>1377</v>
      </c>
      <c r="K982" s="75">
        <v>354</v>
      </c>
      <c r="L982" s="75">
        <v>15</v>
      </c>
      <c r="M982" s="75">
        <f>200-32</f>
        <v>168</v>
      </c>
      <c r="N982" s="75">
        <v>2</v>
      </c>
      <c r="O982" s="75"/>
      <c r="P982" s="75"/>
      <c r="Q982" s="75">
        <v>1</v>
      </c>
      <c r="R982" s="75">
        <v>1</v>
      </c>
      <c r="S982" s="75">
        <v>1</v>
      </c>
      <c r="T982" s="75"/>
      <c r="U982" s="75">
        <v>1</v>
      </c>
      <c r="V982" s="76"/>
      <c r="W982" s="205"/>
      <c r="X982" s="1"/>
      <c r="Y982" s="78">
        <f t="shared" si="128"/>
        <v>0</v>
      </c>
      <c r="Z982" s="78">
        <f t="shared" si="129"/>
        <v>0</v>
      </c>
      <c r="AA982" s="78">
        <f t="shared" si="133"/>
        <v>0</v>
      </c>
      <c r="AB982" s="78">
        <f t="shared" si="130"/>
        <v>0</v>
      </c>
      <c r="AC982" s="78"/>
      <c r="AD982" s="78">
        <v>0</v>
      </c>
      <c r="AE982" s="80">
        <f t="shared" si="132"/>
        <v>0</v>
      </c>
      <c r="AF982" s="82">
        <v>0</v>
      </c>
      <c r="AG982" s="69">
        <v>40394</v>
      </c>
      <c r="AH982" s="84"/>
      <c r="AI982" s="69" t="s">
        <v>1984</v>
      </c>
      <c r="AJ982" s="25" t="s">
        <v>1985</v>
      </c>
      <c r="AK982" s="65"/>
      <c r="AL982" s="185" t="s">
        <v>1257</v>
      </c>
      <c r="AM982" s="85" t="s">
        <v>1846</v>
      </c>
      <c r="AN982" s="3"/>
      <c r="AO982" s="4"/>
      <c r="AP982" s="5"/>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6"/>
      <c r="CQ982" s="7"/>
      <c r="CR982" s="6"/>
      <c r="CS982" s="7"/>
      <c r="CT982" s="6"/>
      <c r="CU982" s="7"/>
      <c r="CV982" s="8">
        <f t="shared" si="131"/>
        <v>0</v>
      </c>
      <c r="CW982" s="9"/>
      <c r="CX982" s="10"/>
      <c r="CY982" s="11"/>
      <c r="CZ982" s="12"/>
      <c r="DA982" s="29"/>
      <c r="DB982" s="12"/>
      <c r="DC982" s="9"/>
      <c r="DD982" s="10"/>
      <c r="DE982" s="71"/>
      <c r="EO982" s="353" t="str">
        <f t="shared" si="125"/>
        <v>NORTE DE SANTANDER_CONVENCION</v>
      </c>
      <c r="EP982" s="350"/>
      <c r="EQ982" s="350" t="s">
        <v>4594</v>
      </c>
      <c r="ER982" s="358" t="s">
        <v>4595</v>
      </c>
      <c r="ES982" s="350" t="s">
        <v>5662</v>
      </c>
      <c r="ET982" s="350" t="s">
        <v>3598</v>
      </c>
      <c r="EU982" s="350" t="str">
        <f t="shared" si="127"/>
        <v>Tolima_Natagaima</v>
      </c>
    </row>
    <row r="983" spans="1:151" s="171" customFormat="1" ht="51" x14ac:dyDescent="0.2">
      <c r="A983" s="242">
        <v>40393</v>
      </c>
      <c r="B983" s="237" t="s">
        <v>1336</v>
      </c>
      <c r="C983" s="107" t="s">
        <v>1056</v>
      </c>
      <c r="D983" s="427" t="s">
        <v>2331</v>
      </c>
      <c r="E983" s="107" t="str">
        <f>VLOOKUP(B983&amp;C983,Divipola!$C$2:$F$1138,4,FALSE)</f>
        <v>54800</v>
      </c>
      <c r="F983" s="330"/>
      <c r="G983" s="224">
        <v>1</v>
      </c>
      <c r="H983" s="75">
        <v>5</v>
      </c>
      <c r="I983" s="75">
        <v>2</v>
      </c>
      <c r="J983" s="75">
        <v>1390</v>
      </c>
      <c r="K983" s="75">
        <v>431</v>
      </c>
      <c r="L983" s="75">
        <v>37</v>
      </c>
      <c r="M983" s="75">
        <f>268-37</f>
        <v>231</v>
      </c>
      <c r="N983" s="75">
        <v>5</v>
      </c>
      <c r="O983" s="75"/>
      <c r="P983" s="75"/>
      <c r="Q983" s="75"/>
      <c r="R983" s="75"/>
      <c r="S983" s="75"/>
      <c r="T983" s="75">
        <v>1</v>
      </c>
      <c r="U983" s="75"/>
      <c r="V983" s="76"/>
      <c r="W983" s="205" t="s">
        <v>1848</v>
      </c>
      <c r="X983" s="1">
        <v>40410</v>
      </c>
      <c r="Y983" s="78">
        <f t="shared" si="128"/>
        <v>0</v>
      </c>
      <c r="Z983" s="78">
        <f t="shared" si="129"/>
        <v>0</v>
      </c>
      <c r="AA983" s="78">
        <f t="shared" si="133"/>
        <v>0</v>
      </c>
      <c r="AB983" s="78">
        <f t="shared" si="130"/>
        <v>0</v>
      </c>
      <c r="AC983" s="78">
        <f>650*23425+45*29455+2000*1092</f>
        <v>18735725</v>
      </c>
      <c r="AD983" s="78">
        <v>0</v>
      </c>
      <c r="AE983" s="80">
        <f t="shared" si="132"/>
        <v>18735725</v>
      </c>
      <c r="AF983" s="82">
        <v>0</v>
      </c>
      <c r="AG983" s="69">
        <v>40393</v>
      </c>
      <c r="AH983" s="84">
        <v>40659</v>
      </c>
      <c r="AI983" s="69" t="s">
        <v>2009</v>
      </c>
      <c r="AJ983" s="25" t="s">
        <v>2010</v>
      </c>
      <c r="AK983" s="65">
        <v>255</v>
      </c>
      <c r="AL983" s="185" t="s">
        <v>2182</v>
      </c>
      <c r="AM983" s="85" t="s">
        <v>1844</v>
      </c>
      <c r="AN983" s="3"/>
      <c r="AO983" s="4"/>
      <c r="AP983" s="5"/>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6"/>
      <c r="CQ983" s="7"/>
      <c r="CR983" s="6"/>
      <c r="CS983" s="7"/>
      <c r="CT983" s="6"/>
      <c r="CU983" s="7"/>
      <c r="CV983" s="8">
        <f t="shared" si="131"/>
        <v>0</v>
      </c>
      <c r="CW983" s="9"/>
      <c r="CX983" s="10"/>
      <c r="CY983" s="11"/>
      <c r="CZ983" s="12"/>
      <c r="DA983" s="29"/>
      <c r="DB983" s="12"/>
      <c r="DC983" s="9"/>
      <c r="DD983" s="10"/>
      <c r="DE983" s="71"/>
      <c r="DF983" s="23"/>
      <c r="EO983" s="353" t="str">
        <f t="shared" si="125"/>
        <v>NORTE DE SANTANDER_TEORAMA</v>
      </c>
      <c r="EP983" s="350"/>
      <c r="EQ983" s="350" t="s">
        <v>4594</v>
      </c>
      <c r="ER983" s="358" t="s">
        <v>4595</v>
      </c>
      <c r="ES983" s="350" t="s">
        <v>5663</v>
      </c>
      <c r="ET983" s="350" t="s">
        <v>3599</v>
      </c>
      <c r="EU983" s="350" t="str">
        <f t="shared" si="127"/>
        <v>Tolima_Ortega</v>
      </c>
    </row>
    <row r="984" spans="1:151" s="171" customFormat="1" ht="96" x14ac:dyDescent="0.2">
      <c r="A984" s="242">
        <v>40393</v>
      </c>
      <c r="B984" s="107" t="s">
        <v>2372</v>
      </c>
      <c r="C984" s="107" t="s">
        <v>1847</v>
      </c>
      <c r="D984" s="427" t="s">
        <v>837</v>
      </c>
      <c r="E984" s="107" t="str">
        <f>VLOOKUP(B984&amp;C984,Divipola!$C$2:$F$1138,4,FALSE)</f>
        <v>70221</v>
      </c>
      <c r="F984" s="330"/>
      <c r="G984" s="224"/>
      <c r="H984" s="75"/>
      <c r="I984" s="75"/>
      <c r="J984" s="75">
        <v>708</v>
      </c>
      <c r="K984" s="75">
        <v>215</v>
      </c>
      <c r="L984" s="75"/>
      <c r="M984" s="75">
        <v>215</v>
      </c>
      <c r="N984" s="75"/>
      <c r="O984" s="75"/>
      <c r="P984" s="75"/>
      <c r="Q984" s="75"/>
      <c r="R984" s="75"/>
      <c r="S984" s="75">
        <v>1</v>
      </c>
      <c r="T984" s="75"/>
      <c r="U984" s="75"/>
      <c r="V984" s="76"/>
      <c r="W984" s="205"/>
      <c r="X984" s="1">
        <v>40452</v>
      </c>
      <c r="Y984" s="78">
        <f t="shared" si="128"/>
        <v>8325000</v>
      </c>
      <c r="Z984" s="78">
        <f t="shared" si="129"/>
        <v>37400000</v>
      </c>
      <c r="AA984" s="78">
        <f t="shared" si="133"/>
        <v>0</v>
      </c>
      <c r="AB984" s="78">
        <f t="shared" si="130"/>
        <v>0</v>
      </c>
      <c r="AC984" s="78"/>
      <c r="AD984" s="78">
        <v>0</v>
      </c>
      <c r="AE984" s="80">
        <f t="shared" si="132"/>
        <v>45725000</v>
      </c>
      <c r="AF984" s="82">
        <v>0</v>
      </c>
      <c r="AG984" s="69">
        <v>40394</v>
      </c>
      <c r="AH984" s="84">
        <v>43395</v>
      </c>
      <c r="AI984" s="69" t="s">
        <v>2009</v>
      </c>
      <c r="AJ984" s="25" t="s">
        <v>2010</v>
      </c>
      <c r="AK984" s="65">
        <v>20539</v>
      </c>
      <c r="AL984" s="185" t="s">
        <v>667</v>
      </c>
      <c r="AM984" s="85" t="s">
        <v>85</v>
      </c>
      <c r="AN984" s="3"/>
      <c r="AO984" s="4"/>
      <c r="AP984" s="5"/>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6">
        <v>225</v>
      </c>
      <c r="CQ984" s="7">
        <f>225*37000</f>
        <v>8325000</v>
      </c>
      <c r="CR984" s="6"/>
      <c r="CS984" s="7"/>
      <c r="CT984" s="6"/>
      <c r="CU984" s="7"/>
      <c r="CV984" s="8">
        <f t="shared" si="131"/>
        <v>8325000</v>
      </c>
      <c r="CW984" s="9"/>
      <c r="CX984" s="10"/>
      <c r="CY984" s="11">
        <f>225+215</f>
        <v>440</v>
      </c>
      <c r="CZ984" s="12">
        <f>225*85000+215*85000</f>
        <v>37400000</v>
      </c>
      <c r="DA984" s="29"/>
      <c r="DB984" s="12"/>
      <c r="DC984" s="9"/>
      <c r="DD984" s="10"/>
      <c r="DE984" s="71"/>
      <c r="DF984" s="23"/>
      <c r="EO984" s="353" t="str">
        <f t="shared" si="125"/>
        <v>SUCRE_COVEÑAS</v>
      </c>
      <c r="EP984" s="350"/>
      <c r="EQ984" s="350" t="s">
        <v>4594</v>
      </c>
      <c r="ER984" s="358" t="s">
        <v>4595</v>
      </c>
      <c r="ES984" s="350" t="s">
        <v>5664</v>
      </c>
      <c r="ET984" s="350" t="s">
        <v>3600</v>
      </c>
      <c r="EU984" s="350" t="str">
        <f t="shared" si="127"/>
        <v>Tolima_Palocabildo</v>
      </c>
    </row>
    <row r="985" spans="1:151" s="171" customFormat="1" ht="67.5" x14ac:dyDescent="0.2">
      <c r="A985" s="242">
        <v>40394</v>
      </c>
      <c r="B985" s="107" t="s">
        <v>2017</v>
      </c>
      <c r="C985" s="107" t="s">
        <v>1915</v>
      </c>
      <c r="D985" s="427" t="s">
        <v>837</v>
      </c>
      <c r="E985" s="107" t="str">
        <f>VLOOKUP(B985&amp;C985,Divipola!$C$2:$F$1138,4,FALSE)</f>
        <v>13440</v>
      </c>
      <c r="F985" s="330"/>
      <c r="G985" s="224"/>
      <c r="H985" s="75"/>
      <c r="I985" s="75"/>
      <c r="J985" s="422">
        <f>2315*3.7</f>
        <v>8565.5</v>
      </c>
      <c r="K985" s="75">
        <v>2315</v>
      </c>
      <c r="L985" s="75"/>
      <c r="M985" s="75">
        <v>2315</v>
      </c>
      <c r="N985" s="75"/>
      <c r="O985" s="75"/>
      <c r="P985" s="75"/>
      <c r="Q985" s="75"/>
      <c r="R985" s="75"/>
      <c r="S985" s="75"/>
      <c r="T985" s="75"/>
      <c r="U985" s="75"/>
      <c r="V985" s="76"/>
      <c r="W985" s="205"/>
      <c r="X985" s="1">
        <v>40415</v>
      </c>
      <c r="Y985" s="78">
        <f t="shared" si="128"/>
        <v>121718680</v>
      </c>
      <c r="Z985" s="78">
        <f t="shared" si="129"/>
        <v>342719230</v>
      </c>
      <c r="AA985" s="78">
        <f t="shared" si="133"/>
        <v>0</v>
      </c>
      <c r="AB985" s="78">
        <f t="shared" si="130"/>
        <v>9048000</v>
      </c>
      <c r="AC985" s="78"/>
      <c r="AD985" s="78">
        <v>0</v>
      </c>
      <c r="AE985" s="80">
        <f t="shared" si="132"/>
        <v>473485910</v>
      </c>
      <c r="AF985" s="82">
        <v>0</v>
      </c>
      <c r="AG985" s="69">
        <v>40395</v>
      </c>
      <c r="AH985" s="84">
        <v>38939</v>
      </c>
      <c r="AI985" s="69" t="s">
        <v>2009</v>
      </c>
      <c r="AJ985" s="25" t="s">
        <v>2010</v>
      </c>
      <c r="AK985" s="88" t="s">
        <v>132</v>
      </c>
      <c r="AL985" s="185" t="s">
        <v>2182</v>
      </c>
      <c r="AM985" s="85" t="s">
        <v>1268</v>
      </c>
      <c r="AN985" s="3"/>
      <c r="AO985" s="4"/>
      <c r="AP985" s="5"/>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f>1000+1215</f>
        <v>2215</v>
      </c>
      <c r="CO985" s="4">
        <f>1000*18000+1215*18000</f>
        <v>39870000</v>
      </c>
      <c r="CP985" s="6">
        <v>2215</v>
      </c>
      <c r="CQ985" s="7">
        <f>2215*36952</f>
        <v>81848680</v>
      </c>
      <c r="CR985" s="6"/>
      <c r="CS985" s="7"/>
      <c r="CT985" s="6"/>
      <c r="CU985" s="7"/>
      <c r="CV985" s="8">
        <f t="shared" si="131"/>
        <v>121718680</v>
      </c>
      <c r="CW985" s="9">
        <v>10000</v>
      </c>
      <c r="CX985" s="10">
        <f>10000*904.8</f>
        <v>9048000</v>
      </c>
      <c r="CY985" s="11">
        <f>500+1216+2316</f>
        <v>4032</v>
      </c>
      <c r="CZ985" s="12">
        <f>500*84998.46+1216*85000+2316*85000</f>
        <v>342719230</v>
      </c>
      <c r="DA985" s="29"/>
      <c r="DB985" s="12"/>
      <c r="DC985" s="9"/>
      <c r="DD985" s="10"/>
      <c r="DE985" s="71"/>
      <c r="DF985" s="23"/>
      <c r="EO985" s="353" t="str">
        <f t="shared" si="125"/>
        <v>BOLIVAR_MARGARITA</v>
      </c>
      <c r="EP985" s="350"/>
      <c r="EQ985" s="350" t="s">
        <v>4594</v>
      </c>
      <c r="ER985" s="358" t="s">
        <v>4595</v>
      </c>
      <c r="ES985" s="350" t="s">
        <v>5665</v>
      </c>
      <c r="ET985" s="350" t="s">
        <v>3601</v>
      </c>
      <c r="EU985" s="350" t="str">
        <f t="shared" si="127"/>
        <v>Tolima_Piedras</v>
      </c>
    </row>
    <row r="986" spans="1:151" s="171" customFormat="1" ht="72" x14ac:dyDescent="0.2">
      <c r="A986" s="242">
        <v>40394</v>
      </c>
      <c r="B986" s="107" t="s">
        <v>2017</v>
      </c>
      <c r="C986" s="107" t="s">
        <v>1914</v>
      </c>
      <c r="D986" s="427" t="s">
        <v>837</v>
      </c>
      <c r="E986" s="107" t="str">
        <f>VLOOKUP(B986&amp;C986,Divipola!$C$2:$F$1138,4,FALSE)</f>
        <v>13620</v>
      </c>
      <c r="F986" s="330"/>
      <c r="G986" s="224"/>
      <c r="H986" s="75"/>
      <c r="I986" s="75"/>
      <c r="J986" s="422">
        <f>1340*3.7</f>
        <v>4958</v>
      </c>
      <c r="K986" s="75">
        <v>1340</v>
      </c>
      <c r="L986" s="75"/>
      <c r="M986" s="75">
        <v>994</v>
      </c>
      <c r="N986" s="75"/>
      <c r="O986" s="75"/>
      <c r="P986" s="75"/>
      <c r="Q986" s="75"/>
      <c r="R986" s="75"/>
      <c r="S986" s="75"/>
      <c r="T986" s="75"/>
      <c r="U986" s="75"/>
      <c r="V986" s="76"/>
      <c r="W986" s="205"/>
      <c r="X986" s="1">
        <v>40415</v>
      </c>
      <c r="Y986" s="78">
        <f t="shared" si="128"/>
        <v>81655000</v>
      </c>
      <c r="Z986" s="78">
        <f t="shared" si="129"/>
        <v>73950000</v>
      </c>
      <c r="AA986" s="78">
        <f t="shared" si="133"/>
        <v>0</v>
      </c>
      <c r="AB986" s="78">
        <f t="shared" si="130"/>
        <v>9048000</v>
      </c>
      <c r="AC986" s="78">
        <f>500*24000</f>
        <v>12000000</v>
      </c>
      <c r="AD986" s="78">
        <v>30000000</v>
      </c>
      <c r="AE986" s="80">
        <f t="shared" si="132"/>
        <v>206653000</v>
      </c>
      <c r="AF986" s="82">
        <v>0</v>
      </c>
      <c r="AG986" s="69">
        <v>40395</v>
      </c>
      <c r="AH986" s="84">
        <v>38939</v>
      </c>
      <c r="AI986" s="69" t="s">
        <v>2009</v>
      </c>
      <c r="AJ986" s="25" t="s">
        <v>2010</v>
      </c>
      <c r="AK986" s="88" t="s">
        <v>2899</v>
      </c>
      <c r="AL986" s="185" t="s">
        <v>2182</v>
      </c>
      <c r="AM986" s="85" t="s">
        <v>822</v>
      </c>
      <c r="AN986" s="3"/>
      <c r="AO986" s="4"/>
      <c r="AP986" s="5"/>
      <c r="AQ986" s="4"/>
      <c r="AR986" s="4"/>
      <c r="AS986" s="4"/>
      <c r="AT986" s="4"/>
      <c r="AU986" s="4"/>
      <c r="AV986" s="4"/>
      <c r="AW986" s="4"/>
      <c r="AX986" s="4"/>
      <c r="AY986" s="4"/>
      <c r="AZ986" s="4">
        <v>630</v>
      </c>
      <c r="BA986" s="4">
        <f>630*56000</f>
        <v>35280000</v>
      </c>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v>10</v>
      </c>
      <c r="CA986" s="4">
        <f>10*520000</f>
        <v>5200000</v>
      </c>
      <c r="CB986" s="4"/>
      <c r="CC986" s="4"/>
      <c r="CD986" s="4"/>
      <c r="CE986" s="4"/>
      <c r="CF986" s="4"/>
      <c r="CG986" s="4"/>
      <c r="CH986" s="4"/>
      <c r="CI986" s="4"/>
      <c r="CJ986" s="4">
        <v>630</v>
      </c>
      <c r="CK986" s="4">
        <f>630*21500</f>
        <v>13545000</v>
      </c>
      <c r="CL986" s="4"/>
      <c r="CM986" s="4"/>
      <c r="CN986" s="4">
        <f>200+40</f>
        <v>240</v>
      </c>
      <c r="CO986" s="4">
        <f>200*18000+40*18000</f>
        <v>4320000</v>
      </c>
      <c r="CP986" s="6">
        <v>630</v>
      </c>
      <c r="CQ986" s="7">
        <f>630*37000</f>
        <v>23310000</v>
      </c>
      <c r="CR986" s="6"/>
      <c r="CS986" s="7"/>
      <c r="CT986" s="6"/>
      <c r="CU986" s="7"/>
      <c r="CV986" s="8">
        <f t="shared" si="131"/>
        <v>81655000</v>
      </c>
      <c r="CW986" s="9">
        <v>10000</v>
      </c>
      <c r="CX986" s="10">
        <f>10000*904.8</f>
        <v>9048000</v>
      </c>
      <c r="CY986" s="11">
        <f>200+40+630</f>
        <v>870</v>
      </c>
      <c r="CZ986" s="12">
        <f>200*85000+40*85000+630*85000</f>
        <v>73950000</v>
      </c>
      <c r="DA986" s="29"/>
      <c r="DB986" s="12"/>
      <c r="DC986" s="9"/>
      <c r="DD986" s="10"/>
      <c r="DE986" s="71"/>
      <c r="DF986" s="23"/>
      <c r="EO986" s="353" t="str">
        <f t="shared" ref="EO986:EO1049" si="134">B986&amp;"_"&amp;C986</f>
        <v>BOLIVAR_SAN CRISTOBAL</v>
      </c>
      <c r="EP986" s="350"/>
      <c r="EQ986" s="350" t="s">
        <v>4594</v>
      </c>
      <c r="ER986" s="358" t="s">
        <v>4595</v>
      </c>
      <c r="ES986" s="350" t="s">
        <v>5666</v>
      </c>
      <c r="ET986" s="350" t="s">
        <v>3602</v>
      </c>
      <c r="EU986" s="350" t="str">
        <f t="shared" si="127"/>
        <v>Tolima_Planadas</v>
      </c>
    </row>
    <row r="987" spans="1:151" s="171" customFormat="1" ht="60" x14ac:dyDescent="0.2">
      <c r="A987" s="242">
        <v>40394</v>
      </c>
      <c r="B987" s="107" t="s">
        <v>2017</v>
      </c>
      <c r="C987" s="107" t="s">
        <v>834</v>
      </c>
      <c r="D987" s="427" t="s">
        <v>837</v>
      </c>
      <c r="E987" s="107" t="str">
        <f>VLOOKUP(B987&amp;C987,Divipola!$C$2:$F$1138,4,FALSE)</f>
        <v>13760</v>
      </c>
      <c r="F987" s="330"/>
      <c r="G987" s="224"/>
      <c r="H987" s="75"/>
      <c r="I987" s="75"/>
      <c r="J987" s="422">
        <f>1942*3.7</f>
        <v>7185.4000000000005</v>
      </c>
      <c r="K987" s="75">
        <v>1942</v>
      </c>
      <c r="L987" s="75"/>
      <c r="M987" s="75">
        <v>1843</v>
      </c>
      <c r="N987" s="75"/>
      <c r="O987" s="75"/>
      <c r="P987" s="75"/>
      <c r="Q987" s="75"/>
      <c r="R987" s="75"/>
      <c r="S987" s="75"/>
      <c r="T987" s="75"/>
      <c r="U987" s="75"/>
      <c r="V987" s="76"/>
      <c r="W987" s="205"/>
      <c r="X987" s="1">
        <v>40415</v>
      </c>
      <c r="Y987" s="78">
        <f t="shared" si="128"/>
        <v>94124000</v>
      </c>
      <c r="Z987" s="78">
        <f t="shared" si="129"/>
        <v>87975000</v>
      </c>
      <c r="AA987" s="78">
        <f t="shared" si="133"/>
        <v>0</v>
      </c>
      <c r="AB987" s="78">
        <f t="shared" si="130"/>
        <v>9048000</v>
      </c>
      <c r="AC987" s="78">
        <f>621*18000</f>
        <v>11178000</v>
      </c>
      <c r="AD987" s="78">
        <v>0</v>
      </c>
      <c r="AE987" s="80">
        <f t="shared" si="132"/>
        <v>202325000</v>
      </c>
      <c r="AF987" s="82">
        <v>0</v>
      </c>
      <c r="AG987" s="69">
        <v>40395</v>
      </c>
      <c r="AH987" s="84">
        <v>38939</v>
      </c>
      <c r="AI987" s="69" t="s">
        <v>2009</v>
      </c>
      <c r="AJ987" s="25" t="s">
        <v>2010</v>
      </c>
      <c r="AK987" s="88" t="s">
        <v>1139</v>
      </c>
      <c r="AL987" s="185" t="s">
        <v>2182</v>
      </c>
      <c r="AM987" s="172" t="s">
        <v>3866</v>
      </c>
      <c r="AN987" s="3"/>
      <c r="AO987" s="4"/>
      <c r="AP987" s="5"/>
      <c r="AQ987" s="4"/>
      <c r="AR987" s="4"/>
      <c r="AS987" s="4"/>
      <c r="AT987" s="4"/>
      <c r="AU987" s="4"/>
      <c r="AV987" s="4"/>
      <c r="AW987" s="4"/>
      <c r="AX987" s="4"/>
      <c r="AY987" s="4"/>
      <c r="AZ987" s="4"/>
      <c r="BA987" s="4"/>
      <c r="BB987" s="4">
        <v>621</v>
      </c>
      <c r="BC987" s="4">
        <f>+BB987*56000</f>
        <v>34776000</v>
      </c>
      <c r="BD987" s="4"/>
      <c r="BE987" s="4"/>
      <c r="BF987" s="4"/>
      <c r="BG987" s="4"/>
      <c r="BH987" s="4"/>
      <c r="BI987" s="4"/>
      <c r="BJ987" s="4"/>
      <c r="BK987" s="4"/>
      <c r="BL987" s="4"/>
      <c r="BM987" s="4"/>
      <c r="BN987" s="4"/>
      <c r="BO987" s="4"/>
      <c r="BP987" s="4"/>
      <c r="BQ987" s="4"/>
      <c r="BR987" s="4"/>
      <c r="BS987" s="4"/>
      <c r="BT987" s="4"/>
      <c r="BU987" s="4"/>
      <c r="BV987" s="4"/>
      <c r="BW987" s="4"/>
      <c r="BX987" s="4"/>
      <c r="BY987" s="4"/>
      <c r="BZ987" s="4">
        <v>10</v>
      </c>
      <c r="CA987" s="4">
        <f>10*470000</f>
        <v>4700000</v>
      </c>
      <c r="CB987" s="4"/>
      <c r="CC987" s="4"/>
      <c r="CD987" s="4"/>
      <c r="CE987" s="4"/>
      <c r="CF987" s="4"/>
      <c r="CG987" s="4"/>
      <c r="CH987" s="4"/>
      <c r="CI987" s="4"/>
      <c r="CJ987" s="4">
        <v>621</v>
      </c>
      <c r="CK987" s="4">
        <f>621*21000</f>
        <v>13041000</v>
      </c>
      <c r="CL987" s="4"/>
      <c r="CM987" s="4"/>
      <c r="CN987" s="4">
        <f>414+621</f>
        <v>1035</v>
      </c>
      <c r="CO987" s="4">
        <f>414*18000+621*18000</f>
        <v>18630000</v>
      </c>
      <c r="CP987" s="6">
        <v>621</v>
      </c>
      <c r="CQ987" s="7">
        <f>621*37000</f>
        <v>22977000</v>
      </c>
      <c r="CR987" s="6"/>
      <c r="CS987" s="7"/>
      <c r="CT987" s="6"/>
      <c r="CU987" s="7"/>
      <c r="CV987" s="8">
        <f t="shared" si="131"/>
        <v>94124000</v>
      </c>
      <c r="CW987" s="9">
        <v>10000</v>
      </c>
      <c r="CX987" s="10">
        <f>10000*904.8</f>
        <v>9048000</v>
      </c>
      <c r="CY987" s="11">
        <f>414+621</f>
        <v>1035</v>
      </c>
      <c r="CZ987" s="12">
        <f>414*85000+621*85000</f>
        <v>87975000</v>
      </c>
      <c r="DA987" s="29"/>
      <c r="DB987" s="12"/>
      <c r="DC987" s="9"/>
      <c r="DD987" s="10"/>
      <c r="DE987" s="71"/>
      <c r="DF987" s="23"/>
      <c r="EO987" s="353" t="str">
        <f t="shared" si="134"/>
        <v>BOLIVAR_SOPLAVIENTO</v>
      </c>
      <c r="EP987" s="350"/>
      <c r="EQ987" s="350" t="s">
        <v>4594</v>
      </c>
      <c r="ER987" s="358" t="s">
        <v>4595</v>
      </c>
      <c r="ES987" s="350" t="s">
        <v>5667</v>
      </c>
      <c r="ET987" s="350" t="s">
        <v>3603</v>
      </c>
      <c r="EU987" s="350" t="str">
        <f t="shared" si="127"/>
        <v>Tolima_Prado</v>
      </c>
    </row>
    <row r="988" spans="1:151" s="171" customFormat="1" ht="96" x14ac:dyDescent="0.2">
      <c r="A988" s="242">
        <v>40395</v>
      </c>
      <c r="B988" s="107" t="s">
        <v>2017</v>
      </c>
      <c r="C988" s="107" t="s">
        <v>1958</v>
      </c>
      <c r="D988" s="427" t="s">
        <v>837</v>
      </c>
      <c r="E988" s="107" t="str">
        <f>VLOOKUP(B988&amp;C988,Divipola!$C$2:$F$1138,4,FALSE)</f>
        <v>13140</v>
      </c>
      <c r="F988" s="330"/>
      <c r="G988" s="224"/>
      <c r="H988" s="75"/>
      <c r="I988" s="75"/>
      <c r="J988" s="75">
        <f>2241*5</f>
        <v>11205</v>
      </c>
      <c r="K988" s="75">
        <v>2241</v>
      </c>
      <c r="L988" s="75"/>
      <c r="M988" s="75">
        <v>2241</v>
      </c>
      <c r="N988" s="75"/>
      <c r="O988" s="75"/>
      <c r="P988" s="75"/>
      <c r="Q988" s="75"/>
      <c r="R988" s="75"/>
      <c r="S988" s="75"/>
      <c r="T988" s="75"/>
      <c r="U988" s="75"/>
      <c r="V988" s="76"/>
      <c r="W988" s="205"/>
      <c r="X988" s="1">
        <v>40415</v>
      </c>
      <c r="Y988" s="78">
        <f t="shared" si="128"/>
        <v>224502000</v>
      </c>
      <c r="Z988" s="78">
        <f t="shared" si="129"/>
        <v>167450000</v>
      </c>
      <c r="AA988" s="78">
        <f t="shared" si="133"/>
        <v>0</v>
      </c>
      <c r="AB988" s="78">
        <f t="shared" si="130"/>
        <v>0</v>
      </c>
      <c r="AC988" s="78">
        <f>1600*18000</f>
        <v>28800000</v>
      </c>
      <c r="AD988" s="78">
        <v>69894000</v>
      </c>
      <c r="AE988" s="80">
        <f t="shared" si="132"/>
        <v>490646000</v>
      </c>
      <c r="AF988" s="82">
        <v>0</v>
      </c>
      <c r="AG988" s="69">
        <v>40395</v>
      </c>
      <c r="AH988" s="84">
        <v>38939</v>
      </c>
      <c r="AI988" s="69" t="s">
        <v>2009</v>
      </c>
      <c r="AJ988" s="25" t="s">
        <v>2010</v>
      </c>
      <c r="AK988" s="88" t="s">
        <v>2898</v>
      </c>
      <c r="AL988" s="185" t="s">
        <v>2182</v>
      </c>
      <c r="AM988" s="85" t="s">
        <v>3865</v>
      </c>
      <c r="AN988" s="3"/>
      <c r="AO988" s="4"/>
      <c r="AP988" s="5"/>
      <c r="AQ988" s="4"/>
      <c r="AR988" s="4"/>
      <c r="AS988" s="4"/>
      <c r="AT988" s="4"/>
      <c r="AU988" s="4"/>
      <c r="AV988" s="4"/>
      <c r="AW988" s="4"/>
      <c r="AX988" s="4"/>
      <c r="AY988" s="4"/>
      <c r="AZ988" s="4"/>
      <c r="BA988" s="4"/>
      <c r="BB988" s="4">
        <v>1600</v>
      </c>
      <c r="BC988" s="4">
        <f>1600*56000</f>
        <v>89600000</v>
      </c>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v>1600</v>
      </c>
      <c r="CK988" s="4">
        <f>1600*21000</f>
        <v>33600000</v>
      </c>
      <c r="CL988" s="4"/>
      <c r="CM988" s="4"/>
      <c r="CN988" s="4">
        <f>370+369+1600</f>
        <v>2339</v>
      </c>
      <c r="CO988" s="4">
        <f>370*18000+369*18000+1600*18000</f>
        <v>42102000</v>
      </c>
      <c r="CP988" s="6">
        <v>1600</v>
      </c>
      <c r="CQ988" s="7">
        <f>1600*37000</f>
        <v>59200000</v>
      </c>
      <c r="CR988" s="6"/>
      <c r="CS988" s="7"/>
      <c r="CT988" s="6"/>
      <c r="CU988" s="7"/>
      <c r="CV988" s="8">
        <f t="shared" si="131"/>
        <v>224502000</v>
      </c>
      <c r="CW988" s="9"/>
      <c r="CX988" s="10"/>
      <c r="CY988" s="11">
        <f>370+1600</f>
        <v>1970</v>
      </c>
      <c r="CZ988" s="12">
        <f>370*85000+1600*85000</f>
        <v>167450000</v>
      </c>
      <c r="DA988" s="29"/>
      <c r="DB988" s="12"/>
      <c r="DC988" s="9"/>
      <c r="DD988" s="10"/>
      <c r="DE988" s="71"/>
      <c r="DF988" s="23"/>
      <c r="EO988" s="353" t="str">
        <f t="shared" si="134"/>
        <v>BOLIVAR_CALAMAR</v>
      </c>
      <c r="EP988" s="350"/>
      <c r="EQ988" s="350" t="s">
        <v>4594</v>
      </c>
      <c r="ER988" s="358" t="s">
        <v>4595</v>
      </c>
      <c r="ES988" s="350" t="s">
        <v>5668</v>
      </c>
      <c r="ET988" s="350" t="s">
        <v>3604</v>
      </c>
      <c r="EU988" s="350" t="str">
        <f t="shared" si="127"/>
        <v>Tolima_Purificacion</v>
      </c>
    </row>
    <row r="989" spans="1:151" s="171" customFormat="1" ht="25.5" x14ac:dyDescent="0.2">
      <c r="A989" s="242">
        <v>40395</v>
      </c>
      <c r="B989" s="236" t="s">
        <v>828</v>
      </c>
      <c r="C989" s="236" t="s">
        <v>1584</v>
      </c>
      <c r="D989" s="433" t="s">
        <v>2209</v>
      </c>
      <c r="E989" s="107" t="str">
        <f>VLOOKUP(B989&amp;C989,Divipola!$C$2:$F$1138,4,FALSE)</f>
        <v>15507</v>
      </c>
      <c r="F989" s="335"/>
      <c r="G989" s="221"/>
      <c r="H989" s="157"/>
      <c r="I989" s="157"/>
      <c r="J989" s="157">
        <f>105*5</f>
        <v>525</v>
      </c>
      <c r="K989" s="157">
        <v>105</v>
      </c>
      <c r="L989" s="157">
        <v>1</v>
      </c>
      <c r="M989" s="157">
        <v>104</v>
      </c>
      <c r="N989" s="157"/>
      <c r="O989" s="157"/>
      <c r="P989" s="157"/>
      <c r="Q989" s="157"/>
      <c r="R989" s="157"/>
      <c r="S989" s="157"/>
      <c r="T989" s="157"/>
      <c r="U989" s="157"/>
      <c r="V989" s="158"/>
      <c r="W989" s="182"/>
      <c r="X989" s="1">
        <v>40530</v>
      </c>
      <c r="Y989" s="78">
        <f t="shared" si="128"/>
        <v>12620932.800000001</v>
      </c>
      <c r="Z989" s="78">
        <f t="shared" si="129"/>
        <v>8925000</v>
      </c>
      <c r="AA989" s="78">
        <f t="shared" si="133"/>
        <v>0</v>
      </c>
      <c r="AB989" s="78">
        <f t="shared" si="130"/>
        <v>0</v>
      </c>
      <c r="AC989" s="78"/>
      <c r="AD989" s="78">
        <v>0</v>
      </c>
      <c r="AE989" s="80">
        <f t="shared" si="132"/>
        <v>21545932.800000001</v>
      </c>
      <c r="AF989" s="82">
        <v>0</v>
      </c>
      <c r="AG989" s="69">
        <v>40441</v>
      </c>
      <c r="AH989" s="84"/>
      <c r="AI989" s="69" t="s">
        <v>2009</v>
      </c>
      <c r="AJ989" s="25" t="s">
        <v>2010</v>
      </c>
      <c r="AK989" s="88" t="s">
        <v>72</v>
      </c>
      <c r="AL989" s="176" t="s">
        <v>1257</v>
      </c>
      <c r="AM989" s="173" t="s">
        <v>1429</v>
      </c>
      <c r="AN989" s="159"/>
      <c r="AO989" s="160"/>
      <c r="AP989" s="161"/>
      <c r="AQ989" s="160"/>
      <c r="AR989" s="160"/>
      <c r="AS989" s="160"/>
      <c r="AT989" s="160"/>
      <c r="AU989" s="160"/>
      <c r="AV989" s="160"/>
      <c r="AW989" s="160"/>
      <c r="AX989" s="160"/>
      <c r="AY989" s="160"/>
      <c r="AZ989" s="160"/>
      <c r="BA989" s="160"/>
      <c r="BB989" s="160"/>
      <c r="BC989" s="160"/>
      <c r="BD989" s="160"/>
      <c r="BE989" s="160"/>
      <c r="BF989" s="160"/>
      <c r="BG989" s="160"/>
      <c r="BH989" s="160"/>
      <c r="BI989" s="160"/>
      <c r="BJ989" s="160"/>
      <c r="BK989" s="160"/>
      <c r="BL989" s="160">
        <v>105</v>
      </c>
      <c r="BM989" s="160">
        <f>105*25500</f>
        <v>2677500</v>
      </c>
      <c r="BN989" s="160"/>
      <c r="BO989" s="160"/>
      <c r="BP989" s="160"/>
      <c r="BQ989" s="160"/>
      <c r="BR989" s="160"/>
      <c r="BS989" s="160"/>
      <c r="BT989" s="160"/>
      <c r="BU989" s="160"/>
      <c r="BV989" s="160"/>
      <c r="BW989" s="160"/>
      <c r="BX989" s="160"/>
      <c r="BY989" s="160"/>
      <c r="BZ989" s="160"/>
      <c r="CA989" s="160"/>
      <c r="CB989" s="160"/>
      <c r="CC989" s="160"/>
      <c r="CD989" s="160"/>
      <c r="CE989" s="160"/>
      <c r="CF989" s="160"/>
      <c r="CG989" s="160"/>
      <c r="CH989" s="160"/>
      <c r="CI989" s="160"/>
      <c r="CJ989" s="160">
        <v>105</v>
      </c>
      <c r="CK989" s="160">
        <f>105*18000</f>
        <v>1890000</v>
      </c>
      <c r="CL989" s="160"/>
      <c r="CM989" s="160"/>
      <c r="CN989" s="160"/>
      <c r="CO989" s="160"/>
      <c r="CP989" s="162">
        <v>105</v>
      </c>
      <c r="CQ989" s="163">
        <f>105*36999.36</f>
        <v>3884932.8000000003</v>
      </c>
      <c r="CR989" s="162">
        <v>105</v>
      </c>
      <c r="CS989" s="163">
        <f>105*39700</f>
        <v>4168500</v>
      </c>
      <c r="CT989" s="162"/>
      <c r="CU989" s="163"/>
      <c r="CV989" s="164">
        <f t="shared" si="131"/>
        <v>12620932.800000001</v>
      </c>
      <c r="CW989" s="165"/>
      <c r="CX989" s="166"/>
      <c r="CY989" s="167">
        <v>105</v>
      </c>
      <c r="CZ989" s="168">
        <f>105*85000</f>
        <v>8925000</v>
      </c>
      <c r="DA989" s="169"/>
      <c r="DB989" s="168"/>
      <c r="DC989" s="165"/>
      <c r="DD989" s="166"/>
      <c r="DE989" s="71"/>
      <c r="DF989" s="170"/>
      <c r="EO989" s="353" t="str">
        <f t="shared" si="134"/>
        <v>BOYACA_OTANCHE</v>
      </c>
      <c r="EP989" s="350"/>
      <c r="EQ989" s="350" t="s">
        <v>4594</v>
      </c>
      <c r="ER989" s="358" t="s">
        <v>4595</v>
      </c>
      <c r="ES989" s="350" t="s">
        <v>5669</v>
      </c>
      <c r="ET989" s="350" t="s">
        <v>3605</v>
      </c>
      <c r="EU989" s="350" t="str">
        <f t="shared" si="127"/>
        <v>Tolima_Rioblanco</v>
      </c>
    </row>
    <row r="990" spans="1:151" s="171" customFormat="1" ht="25.5" x14ac:dyDescent="0.2">
      <c r="A990" s="242">
        <v>40395</v>
      </c>
      <c r="B990" s="222" t="s">
        <v>828</v>
      </c>
      <c r="C990" s="222" t="s">
        <v>398</v>
      </c>
      <c r="D990" s="430" t="s">
        <v>2307</v>
      </c>
      <c r="E990" s="107" t="str">
        <f>VLOOKUP(B990&amp;C990,Divipola!$C$2:$F$1138,4,FALSE)</f>
        <v>15511</v>
      </c>
      <c r="F990" s="333"/>
      <c r="G990" s="221"/>
      <c r="H990" s="157"/>
      <c r="I990" s="157"/>
      <c r="J990" s="157">
        <f>56*5</f>
        <v>280</v>
      </c>
      <c r="K990" s="157">
        <v>56</v>
      </c>
      <c r="L990" s="157"/>
      <c r="M990" s="157">
        <v>56</v>
      </c>
      <c r="N990" s="157"/>
      <c r="O990" s="157"/>
      <c r="P990" s="157"/>
      <c r="Q990" s="157"/>
      <c r="R990" s="157"/>
      <c r="S990" s="157"/>
      <c r="T990" s="157"/>
      <c r="U990" s="157"/>
      <c r="V990" s="158"/>
      <c r="W990" s="182"/>
      <c r="X990" s="1"/>
      <c r="Y990" s="78">
        <f t="shared" si="128"/>
        <v>0</v>
      </c>
      <c r="Z990" s="78">
        <f t="shared" si="129"/>
        <v>0</v>
      </c>
      <c r="AA990" s="78">
        <f t="shared" si="133"/>
        <v>0</v>
      </c>
      <c r="AB990" s="78">
        <f t="shared" si="130"/>
        <v>0</v>
      </c>
      <c r="AC990" s="78"/>
      <c r="AD990" s="78">
        <v>0</v>
      </c>
      <c r="AE990" s="80">
        <f t="shared" si="132"/>
        <v>0</v>
      </c>
      <c r="AF990" s="82">
        <v>0</v>
      </c>
      <c r="AG990" s="69">
        <v>40589</v>
      </c>
      <c r="AH990" s="84"/>
      <c r="AI990" s="69" t="s">
        <v>1984</v>
      </c>
      <c r="AJ990" s="25" t="s">
        <v>1985</v>
      </c>
      <c r="AK990" s="65"/>
      <c r="AL990" s="176" t="s">
        <v>1257</v>
      </c>
      <c r="AM990" s="173" t="s">
        <v>391</v>
      </c>
      <c r="AN990" s="159"/>
      <c r="AO990" s="160"/>
      <c r="AP990" s="161"/>
      <c r="AQ990" s="160"/>
      <c r="AR990" s="160"/>
      <c r="AS990" s="160"/>
      <c r="AT990" s="160"/>
      <c r="AU990" s="160"/>
      <c r="AV990" s="160"/>
      <c r="AW990" s="160"/>
      <c r="AX990" s="160"/>
      <c r="AY990" s="160"/>
      <c r="AZ990" s="160"/>
      <c r="BA990" s="160"/>
      <c r="BB990" s="160"/>
      <c r="BC990" s="160"/>
      <c r="BD990" s="160"/>
      <c r="BE990" s="160"/>
      <c r="BF990" s="160"/>
      <c r="BG990" s="160"/>
      <c r="BH990" s="160"/>
      <c r="BI990" s="160"/>
      <c r="BJ990" s="160"/>
      <c r="BK990" s="160"/>
      <c r="BL990" s="160"/>
      <c r="BM990" s="160"/>
      <c r="BN990" s="160"/>
      <c r="BO990" s="160"/>
      <c r="BP990" s="160"/>
      <c r="BQ990" s="160"/>
      <c r="BR990" s="160"/>
      <c r="BS990" s="160"/>
      <c r="BT990" s="160"/>
      <c r="BU990" s="160"/>
      <c r="BV990" s="160"/>
      <c r="BW990" s="160"/>
      <c r="BX990" s="160"/>
      <c r="BY990" s="160"/>
      <c r="BZ990" s="160"/>
      <c r="CA990" s="160"/>
      <c r="CB990" s="160"/>
      <c r="CC990" s="160"/>
      <c r="CD990" s="160"/>
      <c r="CE990" s="160"/>
      <c r="CF990" s="160"/>
      <c r="CG990" s="160"/>
      <c r="CH990" s="160"/>
      <c r="CI990" s="160"/>
      <c r="CJ990" s="160"/>
      <c r="CK990" s="160"/>
      <c r="CL990" s="160"/>
      <c r="CM990" s="160"/>
      <c r="CN990" s="160"/>
      <c r="CO990" s="160"/>
      <c r="CP990" s="162"/>
      <c r="CQ990" s="163"/>
      <c r="CR990" s="162"/>
      <c r="CS990" s="163"/>
      <c r="CT990" s="162"/>
      <c r="CU990" s="163"/>
      <c r="CV990" s="164">
        <f t="shared" si="131"/>
        <v>0</v>
      </c>
      <c r="CW990" s="165"/>
      <c r="CX990" s="166"/>
      <c r="CY990" s="167"/>
      <c r="CZ990" s="168"/>
      <c r="DA990" s="169"/>
      <c r="DB990" s="168"/>
      <c r="DC990" s="165"/>
      <c r="DD990" s="166"/>
      <c r="DE990" s="71"/>
      <c r="DF990" s="170"/>
      <c r="EO990" s="353" t="str">
        <f t="shared" si="134"/>
        <v>BOYACA_PACHAVITA</v>
      </c>
      <c r="EP990" s="350"/>
      <c r="EQ990" s="350" t="s">
        <v>4594</v>
      </c>
      <c r="ER990" s="358" t="s">
        <v>4595</v>
      </c>
      <c r="ES990" s="350" t="s">
        <v>5670</v>
      </c>
      <c r="ET990" s="350" t="s">
        <v>3606</v>
      </c>
      <c r="EU990" s="350" t="str">
        <f t="shared" si="127"/>
        <v>Tolima_Roncesvalles</v>
      </c>
    </row>
    <row r="991" spans="1:151" s="171" customFormat="1" ht="51" x14ac:dyDescent="0.2">
      <c r="A991" s="242">
        <v>40395</v>
      </c>
      <c r="B991" s="236" t="s">
        <v>828</v>
      </c>
      <c r="C991" s="222" t="s">
        <v>1248</v>
      </c>
      <c r="D991" s="433" t="s">
        <v>2209</v>
      </c>
      <c r="E991" s="107" t="str">
        <f>VLOOKUP(B991&amp;C991,Divipola!$C$2:$F$1138,4,FALSE)</f>
        <v>15681</v>
      </c>
      <c r="F991" s="335"/>
      <c r="G991" s="221"/>
      <c r="H991" s="157"/>
      <c r="I991" s="157"/>
      <c r="J991" s="157">
        <f>387*5</f>
        <v>1935</v>
      </c>
      <c r="K991" s="157">
        <f>426-5-20-14</f>
        <v>387</v>
      </c>
      <c r="L991" s="157">
        <f>36-15</f>
        <v>21</v>
      </c>
      <c r="M991" s="157">
        <f>85-10-14</f>
        <v>61</v>
      </c>
      <c r="N991" s="157"/>
      <c r="O991" s="157"/>
      <c r="P991" s="157"/>
      <c r="Q991" s="157"/>
      <c r="R991" s="157"/>
      <c r="S991" s="157"/>
      <c r="T991" s="157"/>
      <c r="U991" s="157"/>
      <c r="V991" s="158"/>
      <c r="W991" s="182"/>
      <c r="X991" s="1">
        <v>40530</v>
      </c>
      <c r="Y991" s="78">
        <f t="shared" si="128"/>
        <v>12019936</v>
      </c>
      <c r="Z991" s="78">
        <f t="shared" si="129"/>
        <v>8500000</v>
      </c>
      <c r="AA991" s="78">
        <f t="shared" si="133"/>
        <v>0</v>
      </c>
      <c r="AB991" s="78">
        <f t="shared" si="130"/>
        <v>0</v>
      </c>
      <c r="AC991" s="78"/>
      <c r="AD991" s="78">
        <v>0</v>
      </c>
      <c r="AE991" s="80">
        <f t="shared" si="132"/>
        <v>20519936</v>
      </c>
      <c r="AF991" s="82">
        <v>0</v>
      </c>
      <c r="AG991" s="69">
        <v>40441</v>
      </c>
      <c r="AH991" s="84"/>
      <c r="AI991" s="69" t="s">
        <v>2009</v>
      </c>
      <c r="AJ991" s="25" t="s">
        <v>2010</v>
      </c>
      <c r="AK991" s="88" t="s">
        <v>72</v>
      </c>
      <c r="AL991" s="184" t="s">
        <v>3169</v>
      </c>
      <c r="AM991" s="249" t="s">
        <v>1428</v>
      </c>
      <c r="AN991" s="175"/>
      <c r="AO991" s="160"/>
      <c r="AP991" s="161"/>
      <c r="AQ991" s="160"/>
      <c r="AR991" s="160"/>
      <c r="AS991" s="160"/>
      <c r="AT991" s="160"/>
      <c r="AU991" s="160"/>
      <c r="AV991" s="160"/>
      <c r="AW991" s="160"/>
      <c r="AX991" s="160"/>
      <c r="AY991" s="160"/>
      <c r="AZ991" s="160"/>
      <c r="BA991" s="160"/>
      <c r="BB991" s="160"/>
      <c r="BC991" s="160"/>
      <c r="BD991" s="160"/>
      <c r="BE991" s="160"/>
      <c r="BF991" s="160"/>
      <c r="BG991" s="160"/>
      <c r="BH991" s="160"/>
      <c r="BI991" s="160"/>
      <c r="BJ991" s="160"/>
      <c r="BK991" s="160"/>
      <c r="BL991" s="160">
        <v>100</v>
      </c>
      <c r="BM991" s="160">
        <f>100*25500</f>
        <v>2550000</v>
      </c>
      <c r="BN991" s="160"/>
      <c r="BO991" s="160"/>
      <c r="BP991" s="160"/>
      <c r="BQ991" s="160"/>
      <c r="BR991" s="160"/>
      <c r="BS991" s="160"/>
      <c r="BT991" s="160"/>
      <c r="BU991" s="160"/>
      <c r="BV991" s="160"/>
      <c r="BW991" s="160"/>
      <c r="BX991" s="160"/>
      <c r="BY991" s="160"/>
      <c r="BZ991" s="160"/>
      <c r="CA991" s="160"/>
      <c r="CB991" s="160"/>
      <c r="CC991" s="160"/>
      <c r="CD991" s="160"/>
      <c r="CE991" s="160"/>
      <c r="CF991" s="160"/>
      <c r="CG991" s="160"/>
      <c r="CH991" s="160"/>
      <c r="CI991" s="160"/>
      <c r="CJ991" s="160"/>
      <c r="CK991" s="160"/>
      <c r="CL991" s="160"/>
      <c r="CM991" s="160"/>
      <c r="CN991" s="160">
        <v>100</v>
      </c>
      <c r="CO991" s="160">
        <f>100*18000</f>
        <v>1800000</v>
      </c>
      <c r="CP991" s="162">
        <v>100</v>
      </c>
      <c r="CQ991" s="163">
        <f>100*36999.36</f>
        <v>3699936</v>
      </c>
      <c r="CR991" s="162">
        <v>100</v>
      </c>
      <c r="CS991" s="163">
        <f>100*39700</f>
        <v>3970000</v>
      </c>
      <c r="CT991" s="162"/>
      <c r="CU991" s="163"/>
      <c r="CV991" s="164">
        <f t="shared" si="131"/>
        <v>12019936</v>
      </c>
      <c r="CW991" s="165"/>
      <c r="CX991" s="166"/>
      <c r="CY991" s="167">
        <v>100</v>
      </c>
      <c r="CZ991" s="168">
        <f>100*85000</f>
        <v>8500000</v>
      </c>
      <c r="DA991" s="169"/>
      <c r="DB991" s="168"/>
      <c r="DC991" s="165"/>
      <c r="DD991" s="166"/>
      <c r="DE991" s="71"/>
      <c r="DF991" s="170"/>
      <c r="EO991" s="353" t="str">
        <f t="shared" si="134"/>
        <v>BOYACA_SAN PABLO DE BORBUR</v>
      </c>
      <c r="EP991" s="350"/>
      <c r="EQ991" s="350" t="s">
        <v>4594</v>
      </c>
      <c r="ER991" s="358" t="s">
        <v>4595</v>
      </c>
      <c r="ES991" s="350" t="s">
        <v>5671</v>
      </c>
      <c r="ET991" s="350" t="s">
        <v>3607</v>
      </c>
      <c r="EU991" s="350" t="str">
        <f t="shared" si="127"/>
        <v>Tolima_Rovira</v>
      </c>
    </row>
    <row r="992" spans="1:151" s="171" customFormat="1" ht="38.25" x14ac:dyDescent="0.2">
      <c r="A992" s="242">
        <v>40395</v>
      </c>
      <c r="B992" s="222" t="s">
        <v>2372</v>
      </c>
      <c r="C992" s="222" t="s">
        <v>4592</v>
      </c>
      <c r="D992" s="430" t="s">
        <v>837</v>
      </c>
      <c r="E992" s="107" t="str">
        <f>VLOOKUP(B992&amp;C992,Divipola!$C$2:$F$1138,4,FALSE)</f>
        <v>70820</v>
      </c>
      <c r="F992" s="333"/>
      <c r="G992" s="221"/>
      <c r="H992" s="157"/>
      <c r="I992" s="157"/>
      <c r="J992" s="157">
        <v>500</v>
      </c>
      <c r="K992" s="157">
        <v>172</v>
      </c>
      <c r="L992" s="157"/>
      <c r="M992" s="157"/>
      <c r="N992" s="157"/>
      <c r="O992" s="157"/>
      <c r="P992" s="157"/>
      <c r="Q992" s="157"/>
      <c r="R992" s="157"/>
      <c r="S992" s="157"/>
      <c r="T992" s="157"/>
      <c r="U992" s="157"/>
      <c r="V992" s="158"/>
      <c r="W992" s="182"/>
      <c r="X992" s="1">
        <v>40487</v>
      </c>
      <c r="Y992" s="78">
        <f t="shared" si="128"/>
        <v>46476000</v>
      </c>
      <c r="Z992" s="78">
        <f t="shared" si="129"/>
        <v>104890000</v>
      </c>
      <c r="AA992" s="78">
        <f t="shared" si="133"/>
        <v>0</v>
      </c>
      <c r="AB992" s="78">
        <f t="shared" si="130"/>
        <v>0</v>
      </c>
      <c r="AC992" s="78"/>
      <c r="AD992" s="78">
        <v>0</v>
      </c>
      <c r="AE992" s="80">
        <f t="shared" si="132"/>
        <v>151366000</v>
      </c>
      <c r="AF992" s="82">
        <v>0</v>
      </c>
      <c r="AG992" s="69">
        <v>40441</v>
      </c>
      <c r="AH992" s="94" t="s">
        <v>2171</v>
      </c>
      <c r="AI992" s="69" t="s">
        <v>2009</v>
      </c>
      <c r="AJ992" s="25" t="s">
        <v>2010</v>
      </c>
      <c r="AK992" s="65">
        <v>23551</v>
      </c>
      <c r="AL992" s="176" t="s">
        <v>1831</v>
      </c>
      <c r="AM992" s="173" t="s">
        <v>1596</v>
      </c>
      <c r="AN992" s="159"/>
      <c r="AO992" s="160"/>
      <c r="AP992" s="161"/>
      <c r="AQ992" s="160"/>
      <c r="AR992" s="160"/>
      <c r="AS992" s="160"/>
      <c r="AT992" s="160"/>
      <c r="AU992" s="160"/>
      <c r="AV992" s="160"/>
      <c r="AW992" s="160"/>
      <c r="AX992" s="160"/>
      <c r="AY992" s="160"/>
      <c r="AZ992" s="160"/>
      <c r="BA992" s="160"/>
      <c r="BB992" s="160">
        <v>500</v>
      </c>
      <c r="BC992" s="160">
        <f>500*56000</f>
        <v>28000000</v>
      </c>
      <c r="BD992" s="160"/>
      <c r="BE992" s="160"/>
      <c r="BF992" s="160"/>
      <c r="BG992" s="160"/>
      <c r="BH992" s="160"/>
      <c r="BI992" s="160"/>
      <c r="BJ992" s="160"/>
      <c r="BK992" s="160"/>
      <c r="BL992" s="160"/>
      <c r="BM992" s="160"/>
      <c r="BN992" s="160"/>
      <c r="BO992" s="160"/>
      <c r="BP992" s="160"/>
      <c r="BQ992" s="160"/>
      <c r="BR992" s="160"/>
      <c r="BS992" s="160"/>
      <c r="BT992" s="160"/>
      <c r="BU992" s="160"/>
      <c r="BV992" s="160"/>
      <c r="BW992" s="160"/>
      <c r="BX992" s="160"/>
      <c r="BY992" s="160"/>
      <c r="BZ992" s="160"/>
      <c r="CA992" s="160"/>
      <c r="CB992" s="160"/>
      <c r="CC992" s="160"/>
      <c r="CD992" s="160"/>
      <c r="CE992" s="160"/>
      <c r="CF992" s="160"/>
      <c r="CG992" s="160"/>
      <c r="CH992" s="160"/>
      <c r="CI992" s="160"/>
      <c r="CJ992" s="160"/>
      <c r="CK992" s="160"/>
      <c r="CL992" s="160"/>
      <c r="CM992" s="160"/>
      <c r="CN992" s="160"/>
      <c r="CO992" s="160"/>
      <c r="CP992" s="162">
        <v>500</v>
      </c>
      <c r="CQ992" s="163">
        <f>500*36952</f>
        <v>18476000</v>
      </c>
      <c r="CR992" s="162"/>
      <c r="CS992" s="163"/>
      <c r="CT992" s="162"/>
      <c r="CU992" s="163"/>
      <c r="CV992" s="164">
        <f t="shared" si="131"/>
        <v>46476000</v>
      </c>
      <c r="CW992" s="165"/>
      <c r="CX992" s="166"/>
      <c r="CY992" s="167">
        <f>734+500</f>
        <v>1234</v>
      </c>
      <c r="CZ992" s="168">
        <f>734*85000+500*85000</f>
        <v>104890000</v>
      </c>
      <c r="DA992" s="169"/>
      <c r="DB992" s="168"/>
      <c r="DC992" s="165"/>
      <c r="DD992" s="166"/>
      <c r="DE992" s="71"/>
      <c r="DF992" s="170"/>
      <c r="EO992" s="353" t="str">
        <f t="shared" si="134"/>
        <v>SUCRE_SANTIAGO DE TOLU</v>
      </c>
      <c r="EP992" s="350"/>
      <c r="EQ992" s="350" t="s">
        <v>4594</v>
      </c>
      <c r="ER992" s="358" t="s">
        <v>4595</v>
      </c>
      <c r="ES992" s="350" t="s">
        <v>5672</v>
      </c>
      <c r="ET992" s="350" t="s">
        <v>3608</v>
      </c>
      <c r="EU992" s="350" t="str">
        <f t="shared" si="127"/>
        <v>Tolima_Saldaña</v>
      </c>
    </row>
    <row r="993" spans="1:151" s="171" customFormat="1" ht="51" x14ac:dyDescent="0.2">
      <c r="A993" s="242">
        <v>40396</v>
      </c>
      <c r="B993" s="107" t="s">
        <v>2017</v>
      </c>
      <c r="C993" s="107" t="s">
        <v>3</v>
      </c>
      <c r="D993" s="427" t="s">
        <v>2352</v>
      </c>
      <c r="E993" s="107" t="str">
        <f>VLOOKUP(B993&amp;C993,Divipola!$C$2:$F$1138,4,FALSE)</f>
        <v>13244</v>
      </c>
      <c r="F993" s="330"/>
      <c r="G993" s="224"/>
      <c r="H993" s="75"/>
      <c r="I993" s="75"/>
      <c r="J993" s="75"/>
      <c r="K993" s="75"/>
      <c r="L993" s="75"/>
      <c r="M993" s="75"/>
      <c r="N993" s="75"/>
      <c r="O993" s="75"/>
      <c r="P993" s="75">
        <v>1</v>
      </c>
      <c r="Q993" s="75"/>
      <c r="R993" s="75"/>
      <c r="S993" s="75"/>
      <c r="T993" s="75"/>
      <c r="U993" s="75"/>
      <c r="V993" s="76"/>
      <c r="W993" s="205"/>
      <c r="X993" s="1"/>
      <c r="Y993" s="78">
        <f t="shared" si="128"/>
        <v>0</v>
      </c>
      <c r="Z993" s="78">
        <f t="shared" si="129"/>
        <v>0</v>
      </c>
      <c r="AA993" s="78">
        <f t="shared" si="133"/>
        <v>0</v>
      </c>
      <c r="AB993" s="78">
        <f t="shared" si="130"/>
        <v>0</v>
      </c>
      <c r="AC993" s="78"/>
      <c r="AD993" s="78">
        <v>0</v>
      </c>
      <c r="AE993" s="80">
        <f t="shared" si="132"/>
        <v>0</v>
      </c>
      <c r="AF993" s="82">
        <v>0</v>
      </c>
      <c r="AG993" s="69">
        <v>40399</v>
      </c>
      <c r="AH993" s="84"/>
      <c r="AI993" s="69" t="s">
        <v>1984</v>
      </c>
      <c r="AJ993" s="25" t="s">
        <v>1985</v>
      </c>
      <c r="AK993" s="65"/>
      <c r="AL993" s="185" t="s">
        <v>1257</v>
      </c>
      <c r="AM993" s="85" t="s">
        <v>1862</v>
      </c>
      <c r="AN993" s="3"/>
      <c r="AO993" s="4"/>
      <c r="AP993" s="5"/>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6"/>
      <c r="CQ993" s="7"/>
      <c r="CR993" s="6"/>
      <c r="CS993" s="7"/>
      <c r="CT993" s="6"/>
      <c r="CU993" s="7"/>
      <c r="CV993" s="8">
        <f t="shared" si="131"/>
        <v>0</v>
      </c>
      <c r="CW993" s="9"/>
      <c r="CX993" s="10"/>
      <c r="CY993" s="11"/>
      <c r="CZ993" s="12"/>
      <c r="DA993" s="29"/>
      <c r="DB993" s="12"/>
      <c r="DC993" s="9"/>
      <c r="DD993" s="10"/>
      <c r="DE993" s="71"/>
      <c r="DF993" s="23"/>
      <c r="EO993" s="353" t="str">
        <f t="shared" si="134"/>
        <v>BOLIVAR_EL CARMEN DE BOLIVAR</v>
      </c>
      <c r="EP993" s="350"/>
      <c r="EQ993" s="350" t="s">
        <v>4594</v>
      </c>
      <c r="ER993" s="358" t="s">
        <v>4595</v>
      </c>
      <c r="ES993" s="350" t="s">
        <v>5673</v>
      </c>
      <c r="ET993" s="350" t="s">
        <v>3609</v>
      </c>
      <c r="EU993" s="350" t="str">
        <f t="shared" si="127"/>
        <v>Tolima_San Antonio</v>
      </c>
    </row>
    <row r="994" spans="1:151" s="171" customFormat="1" ht="45" x14ac:dyDescent="0.2">
      <c r="A994" s="242">
        <v>40396</v>
      </c>
      <c r="B994" s="107" t="s">
        <v>1700</v>
      </c>
      <c r="C994" s="107" t="s">
        <v>1045</v>
      </c>
      <c r="D994" s="427" t="s">
        <v>2209</v>
      </c>
      <c r="E994" s="107" t="str">
        <f>VLOOKUP(B994&amp;C994,Divipola!$C$2:$F$1138,4,FALSE)</f>
        <v>23807</v>
      </c>
      <c r="F994" s="330"/>
      <c r="G994" s="224"/>
      <c r="H994" s="75"/>
      <c r="I994" s="75"/>
      <c r="J994" s="75">
        <v>49</v>
      </c>
      <c r="K994" s="75">
        <v>13</v>
      </c>
      <c r="L994" s="75">
        <v>9</v>
      </c>
      <c r="M994" s="75">
        <v>3</v>
      </c>
      <c r="N994" s="75"/>
      <c r="O994" s="75"/>
      <c r="P994" s="75"/>
      <c r="Q994" s="75"/>
      <c r="R994" s="75"/>
      <c r="S994" s="75"/>
      <c r="T994" s="75"/>
      <c r="U994" s="75"/>
      <c r="V994" s="76"/>
      <c r="W994" s="205"/>
      <c r="X994" s="1">
        <v>40448</v>
      </c>
      <c r="Y994" s="78">
        <f t="shared" si="128"/>
        <v>12093600</v>
      </c>
      <c r="Z994" s="78">
        <f t="shared" si="129"/>
        <v>25500000</v>
      </c>
      <c r="AA994" s="78">
        <f t="shared" si="133"/>
        <v>0</v>
      </c>
      <c r="AB994" s="78">
        <f t="shared" si="130"/>
        <v>0</v>
      </c>
      <c r="AC994" s="78"/>
      <c r="AD994" s="78">
        <v>0</v>
      </c>
      <c r="AE994" s="80">
        <f t="shared" si="132"/>
        <v>37593600</v>
      </c>
      <c r="AF994" s="82">
        <v>0</v>
      </c>
      <c r="AG994" s="69">
        <v>40399</v>
      </c>
      <c r="AH994" s="84">
        <v>38767</v>
      </c>
      <c r="AI994" s="69" t="s">
        <v>2009</v>
      </c>
      <c r="AJ994" s="25" t="s">
        <v>2010</v>
      </c>
      <c r="AK994" s="88" t="s">
        <v>2170</v>
      </c>
      <c r="AL994" s="185" t="s">
        <v>2182</v>
      </c>
      <c r="AM994" s="85" t="s">
        <v>1892</v>
      </c>
      <c r="AN994" s="3"/>
      <c r="AO994" s="4"/>
      <c r="AP994" s="5"/>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v>2</v>
      </c>
      <c r="CA994" s="4">
        <f>2*504000</f>
        <v>1008000</v>
      </c>
      <c r="CB994" s="4"/>
      <c r="CC994" s="4"/>
      <c r="CD994" s="4"/>
      <c r="CE994" s="4"/>
      <c r="CF994" s="4"/>
      <c r="CG994" s="4"/>
      <c r="CH994" s="4"/>
      <c r="CI994" s="4"/>
      <c r="CJ994" s="4"/>
      <c r="CK994" s="4"/>
      <c r="CL994" s="4"/>
      <c r="CM994" s="4"/>
      <c r="CN994" s="4"/>
      <c r="CO994" s="4"/>
      <c r="CP994" s="6">
        <v>300</v>
      </c>
      <c r="CQ994" s="7">
        <f>300*36952</f>
        <v>11085600</v>
      </c>
      <c r="CR994" s="6"/>
      <c r="CS994" s="7"/>
      <c r="CT994" s="6"/>
      <c r="CU994" s="7"/>
      <c r="CV994" s="8">
        <f t="shared" si="131"/>
        <v>12093600</v>
      </c>
      <c r="CW994" s="9"/>
      <c r="CX994" s="10"/>
      <c r="CY994" s="11">
        <v>300</v>
      </c>
      <c r="CZ994" s="12">
        <f>300*85000</f>
        <v>25500000</v>
      </c>
      <c r="DA994" s="29"/>
      <c r="DB994" s="12"/>
      <c r="DC994" s="9"/>
      <c r="DD994" s="10"/>
      <c r="DE994" s="71"/>
      <c r="DF994" s="23"/>
      <c r="EO994" s="353" t="str">
        <f t="shared" si="134"/>
        <v>CORDOBA_TIERRALTA</v>
      </c>
      <c r="EP994" s="350"/>
      <c r="EQ994" s="350" t="s">
        <v>4594</v>
      </c>
      <c r="ER994" s="358" t="s">
        <v>4595</v>
      </c>
      <c r="ES994" s="350" t="s">
        <v>5674</v>
      </c>
      <c r="ET994" s="350" t="s">
        <v>5921</v>
      </c>
      <c r="EU994" s="350" t="str">
        <f t="shared" si="127"/>
        <v>Tolima_San Luis</v>
      </c>
    </row>
    <row r="995" spans="1:151" s="171" customFormat="1" ht="45" x14ac:dyDescent="0.2">
      <c r="A995" s="245">
        <v>40396</v>
      </c>
      <c r="B995" s="107" t="s">
        <v>1836</v>
      </c>
      <c r="C995" s="107" t="s">
        <v>996</v>
      </c>
      <c r="D995" s="427" t="s">
        <v>837</v>
      </c>
      <c r="E995" s="107" t="str">
        <f>VLOOKUP(B995&amp;C995,Divipola!$C$2:$F$1138,4,FALSE)</f>
        <v>47555</v>
      </c>
      <c r="F995" s="330"/>
      <c r="G995" s="224"/>
      <c r="H995" s="75"/>
      <c r="I995" s="75"/>
      <c r="J995" s="75">
        <f>940*5</f>
        <v>4700</v>
      </c>
      <c r="K995" s="75">
        <v>940</v>
      </c>
      <c r="L995" s="75"/>
      <c r="M995" s="75">
        <v>940</v>
      </c>
      <c r="N995" s="75"/>
      <c r="O995" s="75"/>
      <c r="P995" s="75"/>
      <c r="Q995" s="75"/>
      <c r="R995" s="75"/>
      <c r="S995" s="75"/>
      <c r="T995" s="75"/>
      <c r="U995" s="75"/>
      <c r="V995" s="76">
        <v>900</v>
      </c>
      <c r="W995" s="205" t="s">
        <v>1349</v>
      </c>
      <c r="X995" s="141"/>
      <c r="Y995" s="142">
        <f t="shared" si="128"/>
        <v>16481200</v>
      </c>
      <c r="Z995" s="142">
        <f t="shared" si="129"/>
        <v>314500000</v>
      </c>
      <c r="AA995" s="142">
        <f t="shared" si="133"/>
        <v>0</v>
      </c>
      <c r="AB995" s="142">
        <f t="shared" si="130"/>
        <v>2700480</v>
      </c>
      <c r="AC995" s="142"/>
      <c r="AD995" s="142">
        <v>0</v>
      </c>
      <c r="AE995" s="143">
        <f t="shared" si="132"/>
        <v>333681680</v>
      </c>
      <c r="AF995" s="144">
        <v>0</v>
      </c>
      <c r="AG995" s="69">
        <v>40413</v>
      </c>
      <c r="AH995" s="84">
        <v>52364</v>
      </c>
      <c r="AI995" s="69" t="s">
        <v>2009</v>
      </c>
      <c r="AJ995" s="25" t="s">
        <v>2010</v>
      </c>
      <c r="AK995" s="65"/>
      <c r="AL995" s="185" t="s">
        <v>2182</v>
      </c>
      <c r="AM995" s="85" t="s">
        <v>22</v>
      </c>
      <c r="AN995" s="145"/>
      <c r="AO995" s="146"/>
      <c r="AP995" s="147"/>
      <c r="AQ995" s="146"/>
      <c r="AR995" s="146"/>
      <c r="AS995" s="146"/>
      <c r="AT995" s="146"/>
      <c r="AU995" s="146"/>
      <c r="AV995" s="146"/>
      <c r="AW995" s="146"/>
      <c r="AX995" s="146"/>
      <c r="AY995" s="146"/>
      <c r="AZ995" s="146"/>
      <c r="BA995" s="146"/>
      <c r="BB995" s="146"/>
      <c r="BC995" s="146"/>
      <c r="BD995" s="146"/>
      <c r="BE995" s="146"/>
      <c r="BF995" s="146"/>
      <c r="BG995" s="146"/>
      <c r="BH995" s="146"/>
      <c r="BI995" s="146"/>
      <c r="BJ995" s="146"/>
      <c r="BK995" s="146"/>
      <c r="BL995" s="146"/>
      <c r="BM995" s="146"/>
      <c r="BN995" s="146"/>
      <c r="BO995" s="146"/>
      <c r="BP995" s="146"/>
      <c r="BQ995" s="146"/>
      <c r="BR995" s="146"/>
      <c r="BS995" s="146"/>
      <c r="BT995" s="146"/>
      <c r="BU995" s="146"/>
      <c r="BV995" s="146"/>
      <c r="BW995" s="146"/>
      <c r="BX995" s="146"/>
      <c r="BY995" s="146"/>
      <c r="BZ995" s="146">
        <f>3+5</f>
        <v>8</v>
      </c>
      <c r="CA995" s="146">
        <f>3*510400+5*470000</f>
        <v>3881200</v>
      </c>
      <c r="CB995" s="146"/>
      <c r="CC995" s="146"/>
      <c r="CD995" s="146"/>
      <c r="CE995" s="146"/>
      <c r="CF995" s="146"/>
      <c r="CG995" s="146"/>
      <c r="CH995" s="146"/>
      <c r="CI995" s="146"/>
      <c r="CJ995" s="146"/>
      <c r="CK995" s="146"/>
      <c r="CL995" s="146"/>
      <c r="CM995" s="146"/>
      <c r="CN995" s="146">
        <v>700</v>
      </c>
      <c r="CO995" s="146">
        <f>700*18000</f>
        <v>12600000</v>
      </c>
      <c r="CP995" s="148"/>
      <c r="CQ995" s="149"/>
      <c r="CR995" s="148"/>
      <c r="CS995" s="149"/>
      <c r="CT995" s="148"/>
      <c r="CU995" s="149"/>
      <c r="CV995" s="150">
        <f t="shared" si="131"/>
        <v>16481200</v>
      </c>
      <c r="CW995" s="151">
        <v>3000</v>
      </c>
      <c r="CX995" s="152">
        <f>3000*900.16</f>
        <v>2700480</v>
      </c>
      <c r="CY995" s="153">
        <f>700+3000</f>
        <v>3700</v>
      </c>
      <c r="CZ995" s="154">
        <f>700*85000+3000*85000</f>
        <v>314500000</v>
      </c>
      <c r="DA995" s="155"/>
      <c r="DB995" s="154"/>
      <c r="DC995" s="151"/>
      <c r="DD995" s="152"/>
      <c r="DE995" s="71"/>
      <c r="DF995" s="156"/>
      <c r="EO995" s="353" t="str">
        <f t="shared" si="134"/>
        <v>MAGDALENA_PLATO</v>
      </c>
      <c r="EP995" s="350"/>
      <c r="EQ995" s="350" t="s">
        <v>4594</v>
      </c>
      <c r="ER995" s="358" t="s">
        <v>4595</v>
      </c>
      <c r="ES995" s="350" t="s">
        <v>5675</v>
      </c>
      <c r="ET995" s="350" t="s">
        <v>3610</v>
      </c>
      <c r="EU995" s="350" t="str">
        <f t="shared" si="127"/>
        <v>Tolima_Santa Isabel</v>
      </c>
    </row>
    <row r="996" spans="1:151" s="171" customFormat="1" ht="72" x14ac:dyDescent="0.2">
      <c r="A996" s="242">
        <v>40396</v>
      </c>
      <c r="B996" s="107" t="s">
        <v>1836</v>
      </c>
      <c r="C996" s="107" t="s">
        <v>1860</v>
      </c>
      <c r="D996" s="427" t="s">
        <v>837</v>
      </c>
      <c r="E996" s="107" t="str">
        <f>VLOOKUP(B996&amp;C996,Divipola!$C$2:$F$1138,4,FALSE)</f>
        <v>47703</v>
      </c>
      <c r="F996" s="330"/>
      <c r="G996" s="224"/>
      <c r="H996" s="75"/>
      <c r="I996" s="139" t="s">
        <v>838</v>
      </c>
      <c r="J996" s="422">
        <f>2935*3.3</f>
        <v>9685.5</v>
      </c>
      <c r="K996" s="75">
        <v>2935</v>
      </c>
      <c r="L996" s="75"/>
      <c r="M996" s="75">
        <v>2330</v>
      </c>
      <c r="N996" s="75"/>
      <c r="O996" s="75"/>
      <c r="P996" s="75"/>
      <c r="Q996" s="139"/>
      <c r="R996" s="75"/>
      <c r="S996" s="75"/>
      <c r="T996" s="75">
        <v>6</v>
      </c>
      <c r="U996" s="75"/>
      <c r="V996" s="76"/>
      <c r="W996" s="205"/>
      <c r="X996" s="1">
        <v>40448</v>
      </c>
      <c r="Y996" s="78">
        <f t="shared" si="128"/>
        <v>112199200</v>
      </c>
      <c r="Z996" s="78">
        <f t="shared" si="129"/>
        <v>591600000</v>
      </c>
      <c r="AA996" s="78">
        <f t="shared" si="133"/>
        <v>0</v>
      </c>
      <c r="AB996" s="78">
        <f t="shared" si="130"/>
        <v>3600640</v>
      </c>
      <c r="AC996" s="78">
        <v>64280000</v>
      </c>
      <c r="AD996" s="78">
        <v>0</v>
      </c>
      <c r="AE996" s="80">
        <f t="shared" si="132"/>
        <v>771679840</v>
      </c>
      <c r="AF996" s="82">
        <v>0</v>
      </c>
      <c r="AG996" s="69">
        <v>40399</v>
      </c>
      <c r="AH996" s="84">
        <v>39941</v>
      </c>
      <c r="AI996" s="69" t="s">
        <v>2009</v>
      </c>
      <c r="AJ996" s="25" t="s">
        <v>2010</v>
      </c>
      <c r="AK996" s="88" t="s">
        <v>83</v>
      </c>
      <c r="AL996" s="215" t="s">
        <v>1183</v>
      </c>
      <c r="AM996" s="85" t="s">
        <v>84</v>
      </c>
      <c r="AN996" s="3"/>
      <c r="AO996" s="4"/>
      <c r="AP996" s="5"/>
      <c r="AQ996" s="4"/>
      <c r="AR996" s="4"/>
      <c r="AS996" s="4"/>
      <c r="AT996" s="4"/>
      <c r="AU996" s="4"/>
      <c r="AV996" s="4"/>
      <c r="AW996" s="4"/>
      <c r="AX996" s="4"/>
      <c r="AY996" s="4"/>
      <c r="AZ996" s="4"/>
      <c r="BA996" s="4"/>
      <c r="BB996" s="4"/>
      <c r="BC996" s="4"/>
      <c r="BD996" s="4"/>
      <c r="BE996" s="4"/>
      <c r="BF996" s="4"/>
      <c r="BG996" s="4"/>
      <c r="BH996" s="4"/>
      <c r="BI996" s="4"/>
      <c r="BJ996" s="4"/>
      <c r="BK996" s="4"/>
      <c r="BL996" s="4">
        <v>500</v>
      </c>
      <c r="BM996" s="4">
        <f>500*25500</f>
        <v>12750000</v>
      </c>
      <c r="BN996" s="4"/>
      <c r="BO996" s="4"/>
      <c r="BP996" s="4"/>
      <c r="BQ996" s="4"/>
      <c r="BR996" s="4"/>
      <c r="BS996" s="4"/>
      <c r="BT996" s="4"/>
      <c r="BU996" s="4"/>
      <c r="BV996" s="4"/>
      <c r="BW996" s="4"/>
      <c r="BX996" s="4"/>
      <c r="BY996" s="4"/>
      <c r="BZ996" s="4">
        <f>3+5</f>
        <v>8</v>
      </c>
      <c r="CA996" s="4">
        <f>3*510400+5*470000</f>
        <v>3881200</v>
      </c>
      <c r="CB996" s="4"/>
      <c r="CC996" s="4"/>
      <c r="CD996" s="4"/>
      <c r="CE996" s="4"/>
      <c r="CF996" s="4"/>
      <c r="CG996" s="4"/>
      <c r="CH996" s="4"/>
      <c r="CI996" s="4"/>
      <c r="CJ996" s="4"/>
      <c r="CK996" s="4"/>
      <c r="CL996" s="4"/>
      <c r="CM996" s="4"/>
      <c r="CN996" s="4">
        <v>2230</v>
      </c>
      <c r="CO996" s="4">
        <f>2230*18000</f>
        <v>40140000</v>
      </c>
      <c r="CP996" s="6">
        <v>1500</v>
      </c>
      <c r="CQ996" s="7">
        <f>1500*36952</f>
        <v>55428000</v>
      </c>
      <c r="CR996" s="6"/>
      <c r="CS996" s="7"/>
      <c r="CT996" s="6"/>
      <c r="CU996" s="7"/>
      <c r="CV996" s="8">
        <f t="shared" si="131"/>
        <v>112199200</v>
      </c>
      <c r="CW996" s="9">
        <v>4000</v>
      </c>
      <c r="CX996" s="10">
        <f>4000*900.16</f>
        <v>3600640</v>
      </c>
      <c r="CY996" s="11">
        <f>1500+2230+1000+2230</f>
        <v>6960</v>
      </c>
      <c r="CZ996" s="12">
        <f>1500*85000+2230*85000+1000*85000+2230*85000</f>
        <v>591600000</v>
      </c>
      <c r="DA996" s="29"/>
      <c r="DB996" s="12"/>
      <c r="DC996" s="9"/>
      <c r="DD996" s="10"/>
      <c r="DE996" s="71"/>
      <c r="DF996" s="23">
        <v>1204</v>
      </c>
      <c r="EO996" s="353" t="str">
        <f t="shared" si="134"/>
        <v>MAGDALENA_SAN ZENON</v>
      </c>
      <c r="EP996" s="350"/>
      <c r="EQ996" s="350" t="s">
        <v>4594</v>
      </c>
      <c r="ER996" s="358" t="s">
        <v>4595</v>
      </c>
      <c r="ES996" s="350" t="s">
        <v>5676</v>
      </c>
      <c r="ET996" s="350" t="s">
        <v>6207</v>
      </c>
      <c r="EU996" s="350" t="str">
        <f t="shared" si="127"/>
        <v>Tolima_Suarez</v>
      </c>
    </row>
    <row r="997" spans="1:151" s="171" customFormat="1" ht="48" x14ac:dyDescent="0.2">
      <c r="A997" s="242">
        <v>40396</v>
      </c>
      <c r="B997" s="107" t="s">
        <v>1836</v>
      </c>
      <c r="C997" s="107" t="s">
        <v>1861</v>
      </c>
      <c r="D997" s="427" t="s">
        <v>837</v>
      </c>
      <c r="E997" s="107" t="str">
        <f>VLOOKUP(B997&amp;C997,Divipola!$C$2:$F$1138,4,FALSE)</f>
        <v>47707</v>
      </c>
      <c r="F997" s="330"/>
      <c r="G997" s="224"/>
      <c r="H997" s="75"/>
      <c r="I997" s="75"/>
      <c r="J997" s="75">
        <v>4405</v>
      </c>
      <c r="K997" s="75">
        <f>900-19</f>
        <v>881</v>
      </c>
      <c r="L997" s="75"/>
      <c r="M997" s="75">
        <v>881</v>
      </c>
      <c r="N997" s="75"/>
      <c r="O997" s="75"/>
      <c r="P997" s="75"/>
      <c r="Q997" s="75"/>
      <c r="R997" s="75"/>
      <c r="S997" s="75"/>
      <c r="T997" s="75">
        <v>3</v>
      </c>
      <c r="U997" s="75"/>
      <c r="V997" s="76">
        <v>205</v>
      </c>
      <c r="W997" s="205" t="s">
        <v>1349</v>
      </c>
      <c r="X997" s="1"/>
      <c r="Y997" s="78">
        <f t="shared" si="128"/>
        <v>12360800</v>
      </c>
      <c r="Z997" s="78">
        <f t="shared" si="129"/>
        <v>127500000</v>
      </c>
      <c r="AA997" s="78">
        <f t="shared" si="133"/>
        <v>0</v>
      </c>
      <c r="AB997" s="78">
        <f t="shared" si="130"/>
        <v>4500800</v>
      </c>
      <c r="AC997" s="78"/>
      <c r="AD997" s="78">
        <v>0</v>
      </c>
      <c r="AE997" s="80">
        <f t="shared" si="132"/>
        <v>144361600</v>
      </c>
      <c r="AF997" s="82">
        <v>0</v>
      </c>
      <c r="AG997" s="69">
        <v>40399</v>
      </c>
      <c r="AH997" s="84">
        <v>39941</v>
      </c>
      <c r="AI997" s="69" t="s">
        <v>2009</v>
      </c>
      <c r="AJ997" s="25" t="s">
        <v>2010</v>
      </c>
      <c r="AK997" s="65"/>
      <c r="AL997" s="215" t="s">
        <v>1183</v>
      </c>
      <c r="AM997" s="87" t="s">
        <v>1065</v>
      </c>
      <c r="AN997" s="110"/>
      <c r="AO997" s="4"/>
      <c r="AP997" s="5"/>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f>2+5</f>
        <v>7</v>
      </c>
      <c r="CA997" s="4">
        <f>2*510400+5*468000</f>
        <v>3360800</v>
      </c>
      <c r="CB997" s="4"/>
      <c r="CC997" s="4"/>
      <c r="CD997" s="4"/>
      <c r="CE997" s="4"/>
      <c r="CF997" s="4"/>
      <c r="CG997" s="4"/>
      <c r="CH997" s="4"/>
      <c r="CI997" s="4"/>
      <c r="CJ997" s="4"/>
      <c r="CK997" s="4"/>
      <c r="CL997" s="4"/>
      <c r="CM997" s="4"/>
      <c r="CN997" s="4">
        <v>500</v>
      </c>
      <c r="CO997" s="4">
        <f>500*18000</f>
        <v>9000000</v>
      </c>
      <c r="CP997" s="6"/>
      <c r="CQ997" s="7"/>
      <c r="CR997" s="6"/>
      <c r="CS997" s="7"/>
      <c r="CT997" s="6"/>
      <c r="CU997" s="7"/>
      <c r="CV997" s="8">
        <f t="shared" si="131"/>
        <v>12360800</v>
      </c>
      <c r="CW997" s="9">
        <v>5000</v>
      </c>
      <c r="CX997" s="10">
        <f>5000*900.16</f>
        <v>4500800</v>
      </c>
      <c r="CY997" s="11">
        <f>500+1000</f>
        <v>1500</v>
      </c>
      <c r="CZ997" s="12">
        <f>500*85000+1000*85000</f>
        <v>127500000</v>
      </c>
      <c r="DA997" s="29"/>
      <c r="DB997" s="12"/>
      <c r="DC997" s="9"/>
      <c r="DD997" s="10"/>
      <c r="DE997" s="71"/>
      <c r="DF997" s="23"/>
      <c r="EO997" s="353" t="str">
        <f t="shared" si="134"/>
        <v>MAGDALENA_SANTA ANA</v>
      </c>
      <c r="EP997" s="350"/>
      <c r="EQ997" s="350" t="s">
        <v>4594</v>
      </c>
      <c r="ER997" s="358" t="s">
        <v>4595</v>
      </c>
      <c r="ES997" s="350" t="s">
        <v>5677</v>
      </c>
      <c r="ET997" s="350" t="s">
        <v>3611</v>
      </c>
      <c r="EU997" s="350" t="str">
        <f t="shared" si="127"/>
        <v>Tolima_Valle de San Juan</v>
      </c>
    </row>
    <row r="998" spans="1:151" s="171" customFormat="1" ht="38.25" x14ac:dyDescent="0.2">
      <c r="A998" s="242">
        <v>40396</v>
      </c>
      <c r="B998" s="222" t="s">
        <v>2012</v>
      </c>
      <c r="C998" s="222" t="s">
        <v>2766</v>
      </c>
      <c r="D998" s="430" t="s">
        <v>2209</v>
      </c>
      <c r="E998" s="107" t="str">
        <f>VLOOKUP(B998&amp;C998,Divipola!$C$2:$F$1138,4,FALSE)</f>
        <v>66440</v>
      </c>
      <c r="F998" s="333"/>
      <c r="G998" s="221"/>
      <c r="H998" s="157"/>
      <c r="I998" s="157"/>
      <c r="J998" s="157">
        <v>210</v>
      </c>
      <c r="K998" s="157">
        <v>42</v>
      </c>
      <c r="L998" s="157"/>
      <c r="M998" s="157"/>
      <c r="N998" s="157"/>
      <c r="O998" s="157"/>
      <c r="P998" s="157"/>
      <c r="Q998" s="157"/>
      <c r="R998" s="157"/>
      <c r="S998" s="157"/>
      <c r="T998" s="157"/>
      <c r="U998" s="157"/>
      <c r="V998" s="158"/>
      <c r="W998" s="182"/>
      <c r="X998" s="1"/>
      <c r="Y998" s="78">
        <f t="shared" si="128"/>
        <v>0</v>
      </c>
      <c r="Z998" s="78">
        <f t="shared" si="129"/>
        <v>0</v>
      </c>
      <c r="AA998" s="78">
        <f t="shared" si="133"/>
        <v>0</v>
      </c>
      <c r="AB998" s="78">
        <f t="shared" si="130"/>
        <v>0</v>
      </c>
      <c r="AC998" s="78"/>
      <c r="AD998" s="78">
        <v>0</v>
      </c>
      <c r="AE998" s="80">
        <f t="shared" si="132"/>
        <v>0</v>
      </c>
      <c r="AF998" s="82">
        <v>0</v>
      </c>
      <c r="AG998" s="69">
        <v>40624</v>
      </c>
      <c r="AH998" s="84"/>
      <c r="AI998" s="69" t="s">
        <v>1984</v>
      </c>
      <c r="AJ998" s="25" t="s">
        <v>1985</v>
      </c>
      <c r="AK998" s="65"/>
      <c r="AL998" s="176" t="s">
        <v>1257</v>
      </c>
      <c r="AM998" s="173" t="s">
        <v>457</v>
      </c>
      <c r="AN998" s="175"/>
      <c r="AO998" s="160"/>
      <c r="AP998" s="161"/>
      <c r="AQ998" s="160"/>
      <c r="AR998" s="160"/>
      <c r="AS998" s="160"/>
      <c r="AT998" s="160"/>
      <c r="AU998" s="160"/>
      <c r="AV998" s="160"/>
      <c r="AW998" s="160"/>
      <c r="AX998" s="160"/>
      <c r="AY998" s="160"/>
      <c r="AZ998" s="160"/>
      <c r="BA998" s="160"/>
      <c r="BB998" s="160"/>
      <c r="BC998" s="160"/>
      <c r="BD998" s="160"/>
      <c r="BE998" s="160"/>
      <c r="BF998" s="160"/>
      <c r="BG998" s="160"/>
      <c r="BH998" s="160"/>
      <c r="BI998" s="160"/>
      <c r="BJ998" s="160"/>
      <c r="BK998" s="160"/>
      <c r="BL998" s="160"/>
      <c r="BM998" s="160"/>
      <c r="BN998" s="160"/>
      <c r="BO998" s="160"/>
      <c r="BP998" s="160"/>
      <c r="BQ998" s="160"/>
      <c r="BR998" s="160"/>
      <c r="BS998" s="160"/>
      <c r="BT998" s="160"/>
      <c r="BU998" s="160"/>
      <c r="BV998" s="160"/>
      <c r="BW998" s="160"/>
      <c r="BX998" s="160"/>
      <c r="BY998" s="160"/>
      <c r="BZ998" s="160"/>
      <c r="CA998" s="160"/>
      <c r="CB998" s="160"/>
      <c r="CC998" s="160"/>
      <c r="CD998" s="160"/>
      <c r="CE998" s="160"/>
      <c r="CF998" s="160"/>
      <c r="CG998" s="160"/>
      <c r="CH998" s="160"/>
      <c r="CI998" s="160"/>
      <c r="CJ998" s="160"/>
      <c r="CK998" s="160"/>
      <c r="CL998" s="160"/>
      <c r="CM998" s="160"/>
      <c r="CN998" s="160"/>
      <c r="CO998" s="160"/>
      <c r="CP998" s="162"/>
      <c r="CQ998" s="163"/>
      <c r="CR998" s="162"/>
      <c r="CS998" s="163"/>
      <c r="CT998" s="162"/>
      <c r="CU998" s="163"/>
      <c r="CV998" s="164">
        <f t="shared" si="131"/>
        <v>0</v>
      </c>
      <c r="CW998" s="165"/>
      <c r="CX998" s="166"/>
      <c r="CY998" s="167"/>
      <c r="CZ998" s="168"/>
      <c r="DA998" s="169"/>
      <c r="DB998" s="168"/>
      <c r="DC998" s="165"/>
      <c r="DD998" s="166"/>
      <c r="DE998" s="71"/>
      <c r="DF998" s="170"/>
      <c r="EO998" s="353" t="str">
        <f t="shared" si="134"/>
        <v>RISARALDA_MARSELLA</v>
      </c>
      <c r="EP998" s="350"/>
      <c r="EQ998" s="350" t="s">
        <v>4594</v>
      </c>
      <c r="ER998" s="358" t="s">
        <v>4595</v>
      </c>
      <c r="ES998" s="350" t="s">
        <v>5678</v>
      </c>
      <c r="ET998" s="350" t="s">
        <v>3612</v>
      </c>
      <c r="EU998" s="350" t="str">
        <f t="shared" si="127"/>
        <v>Tolima_Venadillo</v>
      </c>
    </row>
    <row r="999" spans="1:151" s="171" customFormat="1" ht="60" x14ac:dyDescent="0.2">
      <c r="A999" s="242">
        <v>40397</v>
      </c>
      <c r="B999" s="107" t="s">
        <v>1951</v>
      </c>
      <c r="C999" s="107" t="s">
        <v>1864</v>
      </c>
      <c r="D999" s="427" t="s">
        <v>837</v>
      </c>
      <c r="E999" s="107" t="str">
        <f>VLOOKUP(B999&amp;C999,Divipola!$C$2:$F$1138,4,FALSE)</f>
        <v>08372</v>
      </c>
      <c r="F999" s="330"/>
      <c r="G999" s="224">
        <v>1</v>
      </c>
      <c r="H999" s="75"/>
      <c r="I999" s="75"/>
      <c r="J999" s="75">
        <f>30*5</f>
        <v>150</v>
      </c>
      <c r="K999" s="75">
        <f>75-45</f>
        <v>30</v>
      </c>
      <c r="L999" s="75"/>
      <c r="M999" s="75">
        <v>17</v>
      </c>
      <c r="N999" s="75"/>
      <c r="O999" s="75"/>
      <c r="P999" s="75"/>
      <c r="Q999" s="75"/>
      <c r="R999" s="75"/>
      <c r="S999" s="75"/>
      <c r="T999" s="75"/>
      <c r="U999" s="75"/>
      <c r="V999" s="76"/>
      <c r="W999" s="205"/>
      <c r="X999" s="1">
        <v>40536</v>
      </c>
      <c r="Y999" s="78">
        <f t="shared" si="128"/>
        <v>0</v>
      </c>
      <c r="Z999" s="78">
        <f t="shared" si="129"/>
        <v>4165000</v>
      </c>
      <c r="AA999" s="78">
        <f t="shared" si="133"/>
        <v>0</v>
      </c>
      <c r="AB999" s="78">
        <f t="shared" si="130"/>
        <v>0</v>
      </c>
      <c r="AC999" s="78"/>
      <c r="AD999" s="78">
        <v>0</v>
      </c>
      <c r="AE999" s="80">
        <f t="shared" si="132"/>
        <v>4165000</v>
      </c>
      <c r="AF999" s="82">
        <v>0</v>
      </c>
      <c r="AG999" s="69">
        <v>40399</v>
      </c>
      <c r="AH999" s="84">
        <v>42603</v>
      </c>
      <c r="AI999" s="69" t="s">
        <v>2009</v>
      </c>
      <c r="AJ999" s="25" t="s">
        <v>2010</v>
      </c>
      <c r="AK999" s="65">
        <v>27459</v>
      </c>
      <c r="AL999" s="185" t="s">
        <v>184</v>
      </c>
      <c r="AM999" s="85" t="s">
        <v>182</v>
      </c>
      <c r="AN999" s="3"/>
      <c r="AO999" s="4"/>
      <c r="AP999" s="5"/>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6"/>
      <c r="CQ999" s="7"/>
      <c r="CR999" s="6"/>
      <c r="CS999" s="7"/>
      <c r="CT999" s="6"/>
      <c r="CU999" s="7"/>
      <c r="CV999" s="8">
        <f t="shared" si="131"/>
        <v>0</v>
      </c>
      <c r="CW999" s="9"/>
      <c r="CX999" s="10"/>
      <c r="CY999" s="11">
        <v>49</v>
      </c>
      <c r="CZ999" s="12">
        <f>49*85000</f>
        <v>4165000</v>
      </c>
      <c r="DA999" s="29"/>
      <c r="DB999" s="12"/>
      <c r="DC999" s="9"/>
      <c r="DD999" s="10"/>
      <c r="DE999" s="71"/>
      <c r="DF999" s="23"/>
      <c r="EO999" s="353" t="str">
        <f t="shared" si="134"/>
        <v>ATLANTICO_JUAN DE ACOSTA</v>
      </c>
      <c r="EP999" s="350"/>
      <c r="EQ999" s="350" t="s">
        <v>4594</v>
      </c>
      <c r="ER999" s="358" t="s">
        <v>4595</v>
      </c>
      <c r="ES999" s="350" t="s">
        <v>5679</v>
      </c>
      <c r="ET999" s="350" t="s">
        <v>3613</v>
      </c>
      <c r="EU999" s="350" t="str">
        <f t="shared" si="127"/>
        <v>Tolima_Villahermosa</v>
      </c>
    </row>
    <row r="1000" spans="1:151" s="171" customFormat="1" ht="25.5" x14ac:dyDescent="0.2">
      <c r="A1000" s="242">
        <v>40397</v>
      </c>
      <c r="B1000" s="107" t="s">
        <v>2425</v>
      </c>
      <c r="C1000" s="107" t="s">
        <v>2374</v>
      </c>
      <c r="D1000" s="427" t="s">
        <v>2307</v>
      </c>
      <c r="E1000" s="107" t="str">
        <f>VLOOKUP(B1000&amp;C1000,Divipola!$C$2:$F$1138,4,FALSE)</f>
        <v>27001</v>
      </c>
      <c r="F1000" s="330"/>
      <c r="G1000" s="224"/>
      <c r="H1000" s="75"/>
      <c r="I1000" s="75"/>
      <c r="J1000" s="75">
        <v>35</v>
      </c>
      <c r="K1000" s="75">
        <v>4</v>
      </c>
      <c r="L1000" s="75"/>
      <c r="M1000" s="75"/>
      <c r="N1000" s="75"/>
      <c r="O1000" s="75"/>
      <c r="P1000" s="75"/>
      <c r="Q1000" s="75"/>
      <c r="R1000" s="75"/>
      <c r="S1000" s="75"/>
      <c r="T1000" s="75"/>
      <c r="U1000" s="75"/>
      <c r="V1000" s="76"/>
      <c r="W1000" s="205"/>
      <c r="X1000" s="1"/>
      <c r="Y1000" s="78">
        <f t="shared" si="128"/>
        <v>0</v>
      </c>
      <c r="Z1000" s="78">
        <f t="shared" si="129"/>
        <v>0</v>
      </c>
      <c r="AA1000" s="78">
        <f t="shared" si="133"/>
        <v>0</v>
      </c>
      <c r="AB1000" s="78">
        <f t="shared" si="130"/>
        <v>0</v>
      </c>
      <c r="AC1000" s="78"/>
      <c r="AD1000" s="78">
        <v>0</v>
      </c>
      <c r="AE1000" s="80">
        <f t="shared" si="132"/>
        <v>0</v>
      </c>
      <c r="AF1000" s="82">
        <v>0</v>
      </c>
      <c r="AG1000" s="69">
        <v>40399</v>
      </c>
      <c r="AH1000" s="84"/>
      <c r="AI1000" s="69" t="s">
        <v>1984</v>
      </c>
      <c r="AJ1000" s="25" t="s">
        <v>1985</v>
      </c>
      <c r="AK1000" s="65"/>
      <c r="AL1000" s="185" t="s">
        <v>1257</v>
      </c>
      <c r="AM1000" s="85" t="s">
        <v>1863</v>
      </c>
      <c r="AN1000" s="3"/>
      <c r="AO1000" s="4"/>
      <c r="AP1000" s="5"/>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6"/>
      <c r="CQ1000" s="7"/>
      <c r="CR1000" s="6"/>
      <c r="CS1000" s="7"/>
      <c r="CT1000" s="6"/>
      <c r="CU1000" s="7"/>
      <c r="CV1000" s="8">
        <f t="shared" si="131"/>
        <v>0</v>
      </c>
      <c r="CW1000" s="9"/>
      <c r="CX1000" s="10"/>
      <c r="CY1000" s="11"/>
      <c r="CZ1000" s="12"/>
      <c r="DA1000" s="29"/>
      <c r="DB1000" s="12"/>
      <c r="DC1000" s="9"/>
      <c r="DD1000" s="10"/>
      <c r="DE1000" s="71"/>
      <c r="DF1000" s="23"/>
      <c r="EO1000" s="353" t="str">
        <f t="shared" si="134"/>
        <v>CHOCO_QUIBDO</v>
      </c>
      <c r="EP1000" s="350"/>
      <c r="EQ1000" s="350" t="s">
        <v>4594</v>
      </c>
      <c r="ER1000" s="358" t="s">
        <v>4595</v>
      </c>
      <c r="ES1000" s="350" t="s">
        <v>5680</v>
      </c>
      <c r="ET1000" s="350" t="s">
        <v>3614</v>
      </c>
      <c r="EU1000" s="350" t="str">
        <f t="shared" si="127"/>
        <v>Tolima_Villarrica</v>
      </c>
    </row>
    <row r="1001" spans="1:151" s="171" customFormat="1" ht="38.25" x14ac:dyDescent="0.2">
      <c r="A1001" s="242">
        <v>40397</v>
      </c>
      <c r="B1001" s="107" t="s">
        <v>1836</v>
      </c>
      <c r="C1001" s="107" t="s">
        <v>1886</v>
      </c>
      <c r="D1001" s="427" t="s">
        <v>1993</v>
      </c>
      <c r="E1001" s="107" t="str">
        <f>VLOOKUP(B1001&amp;C1001,Divipola!$C$2:$F$1138,4,FALSE)</f>
        <v>47189</v>
      </c>
      <c r="F1001" s="330"/>
      <c r="G1001" s="224">
        <v>1</v>
      </c>
      <c r="H1001" s="75"/>
      <c r="I1001" s="75"/>
      <c r="J1001" s="75"/>
      <c r="K1001" s="75"/>
      <c r="L1001" s="75"/>
      <c r="M1001" s="75"/>
      <c r="N1001" s="75"/>
      <c r="O1001" s="75"/>
      <c r="P1001" s="75"/>
      <c r="Q1001" s="75"/>
      <c r="R1001" s="75"/>
      <c r="S1001" s="75"/>
      <c r="T1001" s="75"/>
      <c r="U1001" s="75"/>
      <c r="V1001" s="76"/>
      <c r="W1001" s="205"/>
      <c r="X1001" s="1"/>
      <c r="Y1001" s="78">
        <f t="shared" si="128"/>
        <v>0</v>
      </c>
      <c r="Z1001" s="78">
        <f t="shared" si="129"/>
        <v>0</v>
      </c>
      <c r="AA1001" s="78">
        <f t="shared" si="133"/>
        <v>0</v>
      </c>
      <c r="AB1001" s="78">
        <f t="shared" si="130"/>
        <v>0</v>
      </c>
      <c r="AC1001" s="78"/>
      <c r="AD1001" s="78">
        <v>0</v>
      </c>
      <c r="AE1001" s="80">
        <f t="shared" si="132"/>
        <v>0</v>
      </c>
      <c r="AF1001" s="82">
        <v>0</v>
      </c>
      <c r="AG1001" s="69">
        <v>40400</v>
      </c>
      <c r="AH1001" s="84"/>
      <c r="AI1001" s="69" t="s">
        <v>1984</v>
      </c>
      <c r="AJ1001" s="25" t="s">
        <v>1985</v>
      </c>
      <c r="AK1001" s="65"/>
      <c r="AL1001" s="185" t="s">
        <v>1257</v>
      </c>
      <c r="AM1001" s="87" t="s">
        <v>1894</v>
      </c>
      <c r="AN1001" s="110"/>
      <c r="AO1001" s="4"/>
      <c r="AP1001" s="5"/>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6"/>
      <c r="CQ1001" s="7"/>
      <c r="CR1001" s="6"/>
      <c r="CS1001" s="7"/>
      <c r="CT1001" s="6"/>
      <c r="CU1001" s="7"/>
      <c r="CV1001" s="8">
        <f t="shared" si="131"/>
        <v>0</v>
      </c>
      <c r="CW1001" s="9"/>
      <c r="CX1001" s="10"/>
      <c r="CY1001" s="11"/>
      <c r="CZ1001" s="12"/>
      <c r="DA1001" s="29"/>
      <c r="DB1001" s="12"/>
      <c r="DC1001" s="9"/>
      <c r="DD1001" s="10"/>
      <c r="DE1001" s="71"/>
      <c r="DF1001" s="23"/>
      <c r="EO1001" s="353" t="str">
        <f t="shared" si="134"/>
        <v>MAGDALENA_CIENAGA</v>
      </c>
      <c r="EP1001" s="350"/>
      <c r="EQ1001" s="350" t="s">
        <v>4613</v>
      </c>
      <c r="ER1001" s="358" t="s">
        <v>4614</v>
      </c>
      <c r="ES1001" s="350" t="s">
        <v>5681</v>
      </c>
      <c r="ET1001" s="350" t="s">
        <v>3615</v>
      </c>
      <c r="EU1001" s="350" t="str">
        <f t="shared" si="127"/>
        <v>Valle del Cauca_Cali</v>
      </c>
    </row>
    <row r="1002" spans="1:151" s="171" customFormat="1" ht="51" x14ac:dyDescent="0.2">
      <c r="A1002" s="242">
        <v>40398</v>
      </c>
      <c r="B1002" s="107" t="s">
        <v>1951</v>
      </c>
      <c r="C1002" s="107" t="s">
        <v>1947</v>
      </c>
      <c r="D1002" s="427" t="s">
        <v>837</v>
      </c>
      <c r="E1002" s="107" t="str">
        <f>VLOOKUP(B1002&amp;C1002,Divipola!$C$2:$F$1138,4,FALSE)</f>
        <v>08137</v>
      </c>
      <c r="F1002" s="330"/>
      <c r="G1002" s="224"/>
      <c r="H1002" s="75"/>
      <c r="I1002" s="75"/>
      <c r="J1002" s="422">
        <f>5239*3.4</f>
        <v>17812.599999999999</v>
      </c>
      <c r="K1002" s="75">
        <v>5239</v>
      </c>
      <c r="L1002" s="75"/>
      <c r="M1002" s="75">
        <v>4732</v>
      </c>
      <c r="N1002" s="75"/>
      <c r="O1002" s="75"/>
      <c r="P1002" s="75"/>
      <c r="Q1002" s="75"/>
      <c r="R1002" s="75"/>
      <c r="S1002" s="75"/>
      <c r="T1002" s="75"/>
      <c r="U1002" s="75"/>
      <c r="V1002" s="76"/>
      <c r="W1002" s="205"/>
      <c r="X1002" s="1">
        <v>40536</v>
      </c>
      <c r="Y1002" s="78">
        <f t="shared" si="128"/>
        <v>0</v>
      </c>
      <c r="Z1002" s="78">
        <f t="shared" si="129"/>
        <v>14025000</v>
      </c>
      <c r="AA1002" s="78">
        <f t="shared" si="133"/>
        <v>0</v>
      </c>
      <c r="AB1002" s="78">
        <f t="shared" si="130"/>
        <v>0</v>
      </c>
      <c r="AC1002" s="78"/>
      <c r="AD1002" s="78">
        <v>0</v>
      </c>
      <c r="AE1002" s="80">
        <f t="shared" si="132"/>
        <v>14025000</v>
      </c>
      <c r="AF1002" s="82">
        <v>0</v>
      </c>
      <c r="AG1002" s="69">
        <v>40398</v>
      </c>
      <c r="AH1002" s="84"/>
      <c r="AI1002" s="69" t="s">
        <v>2009</v>
      </c>
      <c r="AJ1002" s="25" t="s">
        <v>2010</v>
      </c>
      <c r="AK1002" s="65">
        <v>27459</v>
      </c>
      <c r="AL1002" s="185" t="s">
        <v>1257</v>
      </c>
      <c r="AM1002" s="85" t="s">
        <v>1916</v>
      </c>
      <c r="AN1002" s="3"/>
      <c r="AO1002" s="4"/>
      <c r="AP1002" s="5"/>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6"/>
      <c r="CQ1002" s="7"/>
      <c r="CR1002" s="6"/>
      <c r="CS1002" s="7"/>
      <c r="CT1002" s="6"/>
      <c r="CU1002" s="7"/>
      <c r="CV1002" s="8">
        <f t="shared" si="131"/>
        <v>0</v>
      </c>
      <c r="CW1002" s="9"/>
      <c r="CX1002" s="10"/>
      <c r="CY1002" s="11">
        <v>165</v>
      </c>
      <c r="CZ1002" s="12">
        <f>165*85000</f>
        <v>14025000</v>
      </c>
      <c r="DA1002" s="29"/>
      <c r="DB1002" s="12"/>
      <c r="DC1002" s="9"/>
      <c r="DD1002" s="10"/>
      <c r="DE1002" s="71"/>
      <c r="DF1002" s="23"/>
      <c r="EO1002" s="353" t="str">
        <f t="shared" si="134"/>
        <v>ATLANTICO_CAMPO DE LA CRUZ</v>
      </c>
      <c r="EP1002" s="350"/>
      <c r="EQ1002" s="350" t="s">
        <v>4613</v>
      </c>
      <c r="ER1002" s="358" t="s">
        <v>4614</v>
      </c>
      <c r="ES1002" s="350" t="s">
        <v>5682</v>
      </c>
      <c r="ET1002" s="350" t="s">
        <v>3616</v>
      </c>
      <c r="EU1002" s="350" t="str">
        <f t="shared" si="127"/>
        <v>Valle del Cauca_Alcala</v>
      </c>
    </row>
    <row r="1003" spans="1:151" s="171" customFormat="1" ht="60" x14ac:dyDescent="0.2">
      <c r="A1003" s="242">
        <v>40398</v>
      </c>
      <c r="B1003" s="107" t="s">
        <v>1951</v>
      </c>
      <c r="C1003" s="107" t="s">
        <v>1949</v>
      </c>
      <c r="D1003" s="427" t="s">
        <v>837</v>
      </c>
      <c r="E1003" s="107" t="str">
        <f>VLOOKUP(B1003&amp;C1003,Divipola!$C$2:$F$1138,4,FALSE)</f>
        <v>08436</v>
      </c>
      <c r="F1003" s="330"/>
      <c r="G1003" s="224"/>
      <c r="H1003" s="75"/>
      <c r="I1003" s="75"/>
      <c r="J1003" s="422">
        <f>150*3.7</f>
        <v>555</v>
      </c>
      <c r="K1003" s="75">
        <v>150</v>
      </c>
      <c r="L1003" s="75"/>
      <c r="M1003" s="75">
        <v>150</v>
      </c>
      <c r="N1003" s="75"/>
      <c r="O1003" s="75"/>
      <c r="P1003" s="75"/>
      <c r="Q1003" s="75"/>
      <c r="R1003" s="75"/>
      <c r="S1003" s="75"/>
      <c r="T1003" s="75"/>
      <c r="U1003" s="75"/>
      <c r="V1003" s="76"/>
      <c r="W1003" s="205"/>
      <c r="X1003" s="1"/>
      <c r="Y1003" s="78">
        <f t="shared" si="128"/>
        <v>0</v>
      </c>
      <c r="Z1003" s="78">
        <f t="shared" si="129"/>
        <v>0</v>
      </c>
      <c r="AA1003" s="78">
        <f t="shared" si="133"/>
        <v>0</v>
      </c>
      <c r="AB1003" s="78">
        <f t="shared" si="130"/>
        <v>0</v>
      </c>
      <c r="AC1003" s="78"/>
      <c r="AD1003" s="78">
        <v>0</v>
      </c>
      <c r="AE1003" s="80">
        <f t="shared" si="132"/>
        <v>0</v>
      </c>
      <c r="AF1003" s="82">
        <v>0</v>
      </c>
      <c r="AG1003" s="69">
        <v>40398</v>
      </c>
      <c r="AH1003" s="84"/>
      <c r="AI1003" s="69" t="s">
        <v>2009</v>
      </c>
      <c r="AJ1003" s="25" t="s">
        <v>2010</v>
      </c>
      <c r="AK1003" s="65"/>
      <c r="AL1003" s="184" t="s">
        <v>3833</v>
      </c>
      <c r="AM1003" s="85" t="s">
        <v>1917</v>
      </c>
      <c r="AN1003" s="3"/>
      <c r="AO1003" s="4"/>
      <c r="AP1003" s="5"/>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6"/>
      <c r="CQ1003" s="7"/>
      <c r="CR1003" s="6"/>
      <c r="CS1003" s="7"/>
      <c r="CT1003" s="6"/>
      <c r="CU1003" s="7"/>
      <c r="CV1003" s="8">
        <f t="shared" si="131"/>
        <v>0</v>
      </c>
      <c r="CW1003" s="9"/>
      <c r="CX1003" s="10"/>
      <c r="CY1003" s="11"/>
      <c r="CZ1003" s="12"/>
      <c r="DA1003" s="29"/>
      <c r="DB1003" s="12"/>
      <c r="DC1003" s="9"/>
      <c r="DD1003" s="10"/>
      <c r="DE1003" s="71"/>
      <c r="DF1003" s="23"/>
      <c r="EO1003" s="353" t="str">
        <f t="shared" si="134"/>
        <v>ATLANTICO_MANATI</v>
      </c>
      <c r="EP1003" s="350"/>
      <c r="EQ1003" s="350" t="s">
        <v>4613</v>
      </c>
      <c r="ER1003" s="358" t="s">
        <v>4614</v>
      </c>
      <c r="ES1003" s="350" t="s">
        <v>5683</v>
      </c>
      <c r="ET1003" s="350" t="s">
        <v>3617</v>
      </c>
      <c r="EU1003" s="350" t="str">
        <f t="shared" si="127"/>
        <v>Valle del Cauca_Andalucia</v>
      </c>
    </row>
    <row r="1004" spans="1:151" s="171" customFormat="1" ht="38.25" x14ac:dyDescent="0.2">
      <c r="A1004" s="242">
        <v>40398</v>
      </c>
      <c r="B1004" s="107" t="s">
        <v>1951</v>
      </c>
      <c r="C1004" s="107" t="s">
        <v>145</v>
      </c>
      <c r="D1004" s="427" t="s">
        <v>837</v>
      </c>
      <c r="E1004" s="107" t="str">
        <f>VLOOKUP(B1004&amp;C1004,Divipola!$C$2:$F$1138,4,FALSE)</f>
        <v>08832</v>
      </c>
      <c r="F1004" s="330"/>
      <c r="G1004" s="224"/>
      <c r="H1004" s="75"/>
      <c r="I1004" s="75"/>
      <c r="J1004" s="75">
        <f>43*5</f>
        <v>215</v>
      </c>
      <c r="K1004" s="75">
        <f>58-15</f>
        <v>43</v>
      </c>
      <c r="L1004" s="75">
        <v>5</v>
      </c>
      <c r="M1004" s="75">
        <f>22-5</f>
        <v>17</v>
      </c>
      <c r="N1004" s="75"/>
      <c r="O1004" s="75"/>
      <c r="P1004" s="75"/>
      <c r="Q1004" s="75"/>
      <c r="R1004" s="75"/>
      <c r="S1004" s="75"/>
      <c r="T1004" s="75"/>
      <c r="U1004" s="75"/>
      <c r="V1004" s="76"/>
      <c r="W1004" s="205"/>
      <c r="X1004" s="1"/>
      <c r="Y1004" s="78">
        <f t="shared" si="128"/>
        <v>0</v>
      </c>
      <c r="Z1004" s="78">
        <f t="shared" si="129"/>
        <v>0</v>
      </c>
      <c r="AA1004" s="78">
        <f t="shared" si="133"/>
        <v>0</v>
      </c>
      <c r="AB1004" s="78">
        <f t="shared" si="130"/>
        <v>0</v>
      </c>
      <c r="AC1004" s="78"/>
      <c r="AD1004" s="78">
        <v>0</v>
      </c>
      <c r="AE1004" s="80">
        <f t="shared" si="132"/>
        <v>0</v>
      </c>
      <c r="AF1004" s="82">
        <v>0</v>
      </c>
      <c r="AG1004" s="69">
        <v>40399</v>
      </c>
      <c r="AH1004" s="84"/>
      <c r="AI1004" s="69" t="s">
        <v>2009</v>
      </c>
      <c r="AJ1004" s="25" t="s">
        <v>2010</v>
      </c>
      <c r="AK1004" s="65"/>
      <c r="AL1004" s="184" t="s">
        <v>3833</v>
      </c>
      <c r="AM1004" s="85" t="s">
        <v>2213</v>
      </c>
      <c r="AN1004" s="3"/>
      <c r="AO1004" s="4"/>
      <c r="AP1004" s="5"/>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6"/>
      <c r="CQ1004" s="7"/>
      <c r="CR1004" s="6"/>
      <c r="CS1004" s="7"/>
      <c r="CT1004" s="6"/>
      <c r="CU1004" s="7"/>
      <c r="CV1004" s="8">
        <f t="shared" si="131"/>
        <v>0</v>
      </c>
      <c r="CW1004" s="9"/>
      <c r="CX1004" s="10"/>
      <c r="CY1004" s="11"/>
      <c r="CZ1004" s="12"/>
      <c r="DA1004" s="29"/>
      <c r="DB1004" s="12"/>
      <c r="DC1004" s="9"/>
      <c r="DD1004" s="10"/>
      <c r="DE1004" s="71"/>
      <c r="DF1004" s="23"/>
      <c r="EO1004" s="353" t="str">
        <f t="shared" si="134"/>
        <v>ATLANTICO_TUBARA</v>
      </c>
      <c r="EP1004" s="350"/>
      <c r="EQ1004" s="350" t="s">
        <v>4613</v>
      </c>
      <c r="ER1004" s="358" t="s">
        <v>4614</v>
      </c>
      <c r="ES1004" s="350" t="s">
        <v>5684</v>
      </c>
      <c r="ET1004" s="350" t="s">
        <v>3618</v>
      </c>
      <c r="EU1004" s="350" t="str">
        <f t="shared" si="127"/>
        <v>Valle del Cauca_Ansermanuevo</v>
      </c>
    </row>
    <row r="1005" spans="1:151" s="171" customFormat="1" ht="60" x14ac:dyDescent="0.2">
      <c r="A1005" s="242">
        <v>40398</v>
      </c>
      <c r="B1005" s="107" t="s">
        <v>2017</v>
      </c>
      <c r="C1005" s="107" t="s">
        <v>3</v>
      </c>
      <c r="D1005" s="427" t="s">
        <v>837</v>
      </c>
      <c r="E1005" s="107" t="str">
        <f>VLOOKUP(B1005&amp;C1005,Divipola!$C$2:$F$1138,4,FALSE)</f>
        <v>13244</v>
      </c>
      <c r="F1005" s="330"/>
      <c r="G1005" s="224"/>
      <c r="H1005" s="75"/>
      <c r="I1005" s="75"/>
      <c r="J1005" s="75">
        <f>813*5</f>
        <v>4065</v>
      </c>
      <c r="K1005" s="75">
        <v>813</v>
      </c>
      <c r="L1005" s="75"/>
      <c r="M1005" s="75">
        <v>326</v>
      </c>
      <c r="N1005" s="75"/>
      <c r="O1005" s="75"/>
      <c r="P1005" s="75"/>
      <c r="Q1005" s="75"/>
      <c r="R1005" s="75"/>
      <c r="S1005" s="75"/>
      <c r="T1005" s="75"/>
      <c r="U1005" s="75"/>
      <c r="V1005" s="76"/>
      <c r="W1005" s="205" t="s">
        <v>144</v>
      </c>
      <c r="X1005" s="1"/>
      <c r="Y1005" s="78">
        <f t="shared" si="128"/>
        <v>5868000</v>
      </c>
      <c r="Z1005" s="78">
        <f t="shared" si="129"/>
        <v>27710000</v>
      </c>
      <c r="AA1005" s="78">
        <f t="shared" si="133"/>
        <v>0</v>
      </c>
      <c r="AB1005" s="78">
        <f t="shared" si="130"/>
        <v>0</v>
      </c>
      <c r="AC1005" s="78"/>
      <c r="AD1005" s="78">
        <v>0</v>
      </c>
      <c r="AE1005" s="80">
        <f t="shared" si="132"/>
        <v>33578000</v>
      </c>
      <c r="AF1005" s="82">
        <v>0</v>
      </c>
      <c r="AG1005" s="69">
        <v>40400</v>
      </c>
      <c r="AH1005" s="84">
        <v>47162</v>
      </c>
      <c r="AI1005" s="69" t="s">
        <v>2009</v>
      </c>
      <c r="AJ1005" s="25" t="s">
        <v>2010</v>
      </c>
      <c r="AK1005" s="65">
        <v>24652</v>
      </c>
      <c r="AL1005" s="185" t="s">
        <v>2182</v>
      </c>
      <c r="AM1005" s="85" t="s">
        <v>4</v>
      </c>
      <c r="AN1005" s="3"/>
      <c r="AO1005" s="4"/>
      <c r="AP1005" s="5"/>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v>326</v>
      </c>
      <c r="CO1005" s="4">
        <f>326*18000</f>
        <v>5868000</v>
      </c>
      <c r="CP1005" s="6"/>
      <c r="CQ1005" s="7"/>
      <c r="CR1005" s="6"/>
      <c r="CS1005" s="7"/>
      <c r="CT1005" s="6"/>
      <c r="CU1005" s="7"/>
      <c r="CV1005" s="8">
        <f t="shared" si="131"/>
        <v>5868000</v>
      </c>
      <c r="CW1005" s="9"/>
      <c r="CX1005" s="10"/>
      <c r="CY1005" s="11">
        <v>326</v>
      </c>
      <c r="CZ1005" s="12">
        <f>326*85000</f>
        <v>27710000</v>
      </c>
      <c r="DA1005" s="29"/>
      <c r="DB1005" s="12"/>
      <c r="DC1005" s="9"/>
      <c r="DD1005" s="10"/>
      <c r="DE1005" s="71"/>
      <c r="DF1005" s="23"/>
      <c r="EO1005" s="353" t="str">
        <f t="shared" si="134"/>
        <v>BOLIVAR_EL CARMEN DE BOLIVAR</v>
      </c>
      <c r="EP1005" s="350"/>
      <c r="EQ1005" s="350" t="s">
        <v>4613</v>
      </c>
      <c r="ER1005" s="358" t="s">
        <v>4614</v>
      </c>
      <c r="ES1005" s="350" t="s">
        <v>5685</v>
      </c>
      <c r="ET1005" s="350" t="s">
        <v>5843</v>
      </c>
      <c r="EU1005" s="350" t="str">
        <f t="shared" si="127"/>
        <v>Valle del Cauca_Argelia</v>
      </c>
    </row>
    <row r="1006" spans="1:151" s="171" customFormat="1" ht="38.25" x14ac:dyDescent="0.2">
      <c r="A1006" s="242">
        <v>40398</v>
      </c>
      <c r="B1006" s="222" t="s">
        <v>1333</v>
      </c>
      <c r="C1006" s="222" t="s">
        <v>332</v>
      </c>
      <c r="D1006" s="430" t="s">
        <v>837</v>
      </c>
      <c r="E1006" s="107" t="str">
        <f>VLOOKUP(B1006&amp;C1006,Divipola!$C$2:$F$1138,4,FALSE)</f>
        <v>41298</v>
      </c>
      <c r="F1006" s="333"/>
      <c r="G1006" s="221"/>
      <c r="H1006" s="157"/>
      <c r="I1006" s="157"/>
      <c r="J1006" s="157">
        <v>100</v>
      </c>
      <c r="K1006" s="157">
        <v>20</v>
      </c>
      <c r="L1006" s="157"/>
      <c r="M1006" s="157"/>
      <c r="N1006" s="157"/>
      <c r="O1006" s="157"/>
      <c r="P1006" s="157"/>
      <c r="Q1006" s="157"/>
      <c r="R1006" s="157"/>
      <c r="S1006" s="157"/>
      <c r="T1006" s="157"/>
      <c r="U1006" s="157"/>
      <c r="V1006" s="158"/>
      <c r="W1006" s="182"/>
      <c r="X1006" s="1"/>
      <c r="Y1006" s="78">
        <f t="shared" si="128"/>
        <v>0</v>
      </c>
      <c r="Z1006" s="78">
        <f t="shared" si="129"/>
        <v>0</v>
      </c>
      <c r="AA1006" s="78">
        <f t="shared" si="133"/>
        <v>0</v>
      </c>
      <c r="AB1006" s="78">
        <f t="shared" si="130"/>
        <v>0</v>
      </c>
      <c r="AC1006" s="78"/>
      <c r="AD1006" s="78">
        <v>0</v>
      </c>
      <c r="AE1006" s="253">
        <f t="shared" si="132"/>
        <v>0</v>
      </c>
      <c r="AF1006" s="82">
        <v>0</v>
      </c>
      <c r="AG1006" s="69">
        <v>40581</v>
      </c>
      <c r="AH1006" s="84"/>
      <c r="AI1006" s="69" t="s">
        <v>1984</v>
      </c>
      <c r="AJ1006" s="25" t="s">
        <v>1985</v>
      </c>
      <c r="AK1006" s="65"/>
      <c r="AL1006" s="176" t="s">
        <v>1257</v>
      </c>
      <c r="AM1006" s="173" t="s">
        <v>349</v>
      </c>
      <c r="AN1006" s="159"/>
      <c r="AO1006" s="160"/>
      <c r="AP1006" s="161"/>
      <c r="AQ1006" s="160"/>
      <c r="AR1006" s="160"/>
      <c r="AS1006" s="160"/>
      <c r="AT1006" s="160"/>
      <c r="AU1006" s="160"/>
      <c r="AV1006" s="160"/>
      <c r="AW1006" s="160"/>
      <c r="AX1006" s="160"/>
      <c r="AY1006" s="160"/>
      <c r="AZ1006" s="160"/>
      <c r="BA1006" s="160"/>
      <c r="BB1006" s="160"/>
      <c r="BC1006" s="160"/>
      <c r="BD1006" s="160"/>
      <c r="BE1006" s="160"/>
      <c r="BF1006" s="160"/>
      <c r="BG1006" s="160"/>
      <c r="BH1006" s="160"/>
      <c r="BI1006" s="160"/>
      <c r="BJ1006" s="160"/>
      <c r="BK1006" s="160"/>
      <c r="BL1006" s="160"/>
      <c r="BM1006" s="160"/>
      <c r="BN1006" s="160"/>
      <c r="BO1006" s="160"/>
      <c r="BP1006" s="160"/>
      <c r="BQ1006" s="160"/>
      <c r="BR1006" s="160"/>
      <c r="BS1006" s="160"/>
      <c r="BT1006" s="160"/>
      <c r="BU1006" s="160"/>
      <c r="BV1006" s="160"/>
      <c r="BW1006" s="160"/>
      <c r="BX1006" s="160"/>
      <c r="BY1006" s="160"/>
      <c r="BZ1006" s="160"/>
      <c r="CA1006" s="160"/>
      <c r="CB1006" s="160"/>
      <c r="CC1006" s="160"/>
      <c r="CD1006" s="160"/>
      <c r="CE1006" s="160"/>
      <c r="CF1006" s="160"/>
      <c r="CG1006" s="160"/>
      <c r="CH1006" s="160"/>
      <c r="CI1006" s="160"/>
      <c r="CJ1006" s="160"/>
      <c r="CK1006" s="160"/>
      <c r="CL1006" s="160"/>
      <c r="CM1006" s="160"/>
      <c r="CN1006" s="160"/>
      <c r="CO1006" s="160"/>
      <c r="CP1006" s="162"/>
      <c r="CQ1006" s="163"/>
      <c r="CR1006" s="162"/>
      <c r="CS1006" s="163"/>
      <c r="CT1006" s="162"/>
      <c r="CU1006" s="163"/>
      <c r="CV1006" s="164">
        <f t="shared" si="131"/>
        <v>0</v>
      </c>
      <c r="CW1006" s="165"/>
      <c r="CX1006" s="166"/>
      <c r="CY1006" s="167"/>
      <c r="CZ1006" s="168"/>
      <c r="DA1006" s="169"/>
      <c r="DB1006" s="168"/>
      <c r="DC1006" s="165"/>
      <c r="DD1006" s="166"/>
      <c r="DE1006" s="71"/>
      <c r="DF1006" s="170"/>
      <c r="EO1006" s="353" t="str">
        <f t="shared" si="134"/>
        <v>HUILA_GARZON</v>
      </c>
      <c r="EP1006" s="350"/>
      <c r="EQ1006" s="350" t="s">
        <v>4613</v>
      </c>
      <c r="ER1006" s="358" t="s">
        <v>4614</v>
      </c>
      <c r="ES1006" s="350" t="s">
        <v>5686</v>
      </c>
      <c r="ET1006" s="350" t="s">
        <v>4052</v>
      </c>
      <c r="EU1006" s="350" t="str">
        <f t="shared" si="127"/>
        <v>Valle del Cauca_Bolivar</v>
      </c>
    </row>
    <row r="1007" spans="1:151" s="171" customFormat="1" ht="38.25" x14ac:dyDescent="0.2">
      <c r="A1007" s="242">
        <v>40399</v>
      </c>
      <c r="B1007" s="107" t="s">
        <v>6305</v>
      </c>
      <c r="C1007" s="107" t="s">
        <v>6305</v>
      </c>
      <c r="D1007" s="427" t="s">
        <v>1721</v>
      </c>
      <c r="E1007" s="107" t="str">
        <f>VLOOKUP(B1007&amp;C1007,Divipola!$C$2:$F$1138,4,FALSE)</f>
        <v>11001</v>
      </c>
      <c r="F1007" s="330"/>
      <c r="G1007" s="224"/>
      <c r="H1007" s="75"/>
      <c r="I1007" s="75"/>
      <c r="J1007" s="75"/>
      <c r="K1007" s="75"/>
      <c r="L1007" s="75"/>
      <c r="M1007" s="75"/>
      <c r="N1007" s="75"/>
      <c r="O1007" s="75"/>
      <c r="P1007" s="75"/>
      <c r="Q1007" s="75"/>
      <c r="R1007" s="75"/>
      <c r="S1007" s="75"/>
      <c r="T1007" s="75"/>
      <c r="U1007" s="75">
        <v>1</v>
      </c>
      <c r="V1007" s="76"/>
      <c r="W1007" s="205"/>
      <c r="X1007" s="1"/>
      <c r="Y1007" s="78">
        <f t="shared" si="128"/>
        <v>0</v>
      </c>
      <c r="Z1007" s="78">
        <f t="shared" si="129"/>
        <v>0</v>
      </c>
      <c r="AA1007" s="78">
        <f t="shared" si="133"/>
        <v>0</v>
      </c>
      <c r="AB1007" s="78">
        <f t="shared" si="130"/>
        <v>0</v>
      </c>
      <c r="AC1007" s="78"/>
      <c r="AD1007" s="78">
        <v>0</v>
      </c>
      <c r="AE1007" s="80">
        <f t="shared" si="132"/>
        <v>0</v>
      </c>
      <c r="AF1007" s="82">
        <v>0</v>
      </c>
      <c r="AG1007" s="69">
        <v>40400</v>
      </c>
      <c r="AH1007" s="84"/>
      <c r="AI1007" s="69" t="s">
        <v>1984</v>
      </c>
      <c r="AJ1007" s="25" t="s">
        <v>1985</v>
      </c>
      <c r="AK1007" s="65"/>
      <c r="AL1007" s="185" t="s">
        <v>1257</v>
      </c>
      <c r="AM1007" s="85" t="s">
        <v>1918</v>
      </c>
      <c r="AN1007" s="3"/>
      <c r="AO1007" s="4"/>
      <c r="AP1007" s="5"/>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6"/>
      <c r="CQ1007" s="7"/>
      <c r="CR1007" s="6"/>
      <c r="CS1007" s="7"/>
      <c r="CT1007" s="6"/>
      <c r="CU1007" s="7"/>
      <c r="CV1007" s="8">
        <f t="shared" si="131"/>
        <v>0</v>
      </c>
      <c r="CW1007" s="9"/>
      <c r="CX1007" s="10"/>
      <c r="CY1007" s="11"/>
      <c r="CZ1007" s="12"/>
      <c r="DA1007" s="29"/>
      <c r="DB1007" s="12"/>
      <c r="DC1007" s="9"/>
      <c r="DD1007" s="10"/>
      <c r="DE1007" s="71"/>
      <c r="DF1007" s="23"/>
      <c r="EO1007" s="353" t="str">
        <f t="shared" si="134"/>
        <v>BOGOTA, D.C._BOGOTA, D.C.</v>
      </c>
      <c r="EP1007" s="350"/>
      <c r="EQ1007" s="350" t="s">
        <v>4613</v>
      </c>
      <c r="ER1007" s="358" t="s">
        <v>4614</v>
      </c>
      <c r="ES1007" s="350" t="s">
        <v>5687</v>
      </c>
      <c r="ET1007" s="350" t="s">
        <v>3619</v>
      </c>
      <c r="EU1007" s="350" t="str">
        <f t="shared" si="127"/>
        <v>Valle del Cauca_Buenaventura</v>
      </c>
    </row>
    <row r="1008" spans="1:151" s="171" customFormat="1" ht="96" x14ac:dyDescent="0.2">
      <c r="A1008" s="242">
        <v>40399</v>
      </c>
      <c r="B1008" s="222" t="s">
        <v>2014</v>
      </c>
      <c r="C1008" s="222" t="s">
        <v>1526</v>
      </c>
      <c r="D1008" s="427" t="s">
        <v>2307</v>
      </c>
      <c r="E1008" s="107" t="str">
        <f>VLOOKUP(B1008&amp;C1008,Divipola!$C$2:$F$1138,4,FALSE)</f>
        <v>63690</v>
      </c>
      <c r="F1008" s="330"/>
      <c r="G1008" s="221"/>
      <c r="H1008" s="157"/>
      <c r="I1008" s="157"/>
      <c r="J1008" s="157"/>
      <c r="K1008" s="157"/>
      <c r="L1008" s="157"/>
      <c r="M1008" s="157"/>
      <c r="N1008" s="157">
        <v>10</v>
      </c>
      <c r="O1008" s="157"/>
      <c r="P1008" s="157"/>
      <c r="Q1008" s="157"/>
      <c r="R1008" s="157"/>
      <c r="S1008" s="157"/>
      <c r="T1008" s="157"/>
      <c r="U1008" s="157"/>
      <c r="V1008" s="158"/>
      <c r="W1008" s="182"/>
      <c r="X1008" s="1">
        <v>40479</v>
      </c>
      <c r="Y1008" s="78">
        <f t="shared" si="128"/>
        <v>0</v>
      </c>
      <c r="Z1008" s="78">
        <f t="shared" si="129"/>
        <v>0</v>
      </c>
      <c r="AA1008" s="78">
        <f t="shared" si="133"/>
        <v>0</v>
      </c>
      <c r="AB1008" s="78">
        <f t="shared" si="130"/>
        <v>0</v>
      </c>
      <c r="AC1008" s="78"/>
      <c r="AD1008" s="78">
        <v>60000000</v>
      </c>
      <c r="AE1008" s="80">
        <f t="shared" si="132"/>
        <v>60000000</v>
      </c>
      <c r="AF1008" s="82">
        <v>0</v>
      </c>
      <c r="AG1008" s="69">
        <v>40466</v>
      </c>
      <c r="AH1008" s="84">
        <v>56546</v>
      </c>
      <c r="AI1008" s="69" t="s">
        <v>2009</v>
      </c>
      <c r="AJ1008" s="25" t="s">
        <v>2010</v>
      </c>
      <c r="AK1008" s="109">
        <v>39888</v>
      </c>
      <c r="AL1008" s="109" t="s">
        <v>1831</v>
      </c>
      <c r="AM1008" s="173" t="s">
        <v>82</v>
      </c>
      <c r="AN1008" s="159"/>
      <c r="AO1008" s="160"/>
      <c r="AP1008" s="161"/>
      <c r="AQ1008" s="160"/>
      <c r="AR1008" s="160"/>
      <c r="AS1008" s="160"/>
      <c r="AT1008" s="160"/>
      <c r="AU1008" s="160"/>
      <c r="AV1008" s="160"/>
      <c r="AW1008" s="160"/>
      <c r="AX1008" s="160"/>
      <c r="AY1008" s="160"/>
      <c r="AZ1008" s="160"/>
      <c r="BA1008" s="160"/>
      <c r="BB1008" s="160"/>
      <c r="BC1008" s="160"/>
      <c r="BD1008" s="160"/>
      <c r="BE1008" s="160"/>
      <c r="BF1008" s="160"/>
      <c r="BG1008" s="160"/>
      <c r="BH1008" s="160"/>
      <c r="BI1008" s="160"/>
      <c r="BJ1008" s="160"/>
      <c r="BK1008" s="160"/>
      <c r="BL1008" s="160"/>
      <c r="BM1008" s="160"/>
      <c r="BN1008" s="160"/>
      <c r="BO1008" s="160"/>
      <c r="BP1008" s="160"/>
      <c r="BQ1008" s="160"/>
      <c r="BR1008" s="160"/>
      <c r="BS1008" s="160"/>
      <c r="BT1008" s="160"/>
      <c r="BU1008" s="160"/>
      <c r="BV1008" s="160"/>
      <c r="BW1008" s="160"/>
      <c r="BX1008" s="160"/>
      <c r="BY1008" s="160"/>
      <c r="BZ1008" s="160"/>
      <c r="CA1008" s="160"/>
      <c r="CB1008" s="160"/>
      <c r="CC1008" s="160"/>
      <c r="CD1008" s="160"/>
      <c r="CE1008" s="160"/>
      <c r="CF1008" s="160"/>
      <c r="CG1008" s="160"/>
      <c r="CH1008" s="160"/>
      <c r="CI1008" s="160"/>
      <c r="CJ1008" s="160"/>
      <c r="CK1008" s="160"/>
      <c r="CL1008" s="160"/>
      <c r="CM1008" s="160"/>
      <c r="CN1008" s="160"/>
      <c r="CO1008" s="160"/>
      <c r="CP1008" s="162"/>
      <c r="CQ1008" s="163"/>
      <c r="CR1008" s="162"/>
      <c r="CS1008" s="163"/>
      <c r="CT1008" s="162"/>
      <c r="CU1008" s="163"/>
      <c r="CV1008" s="164">
        <f t="shared" si="131"/>
        <v>0</v>
      </c>
      <c r="CW1008" s="165"/>
      <c r="CX1008" s="166"/>
      <c r="CY1008" s="167"/>
      <c r="CZ1008" s="168"/>
      <c r="DA1008" s="169"/>
      <c r="DB1008" s="168"/>
      <c r="DC1008" s="165"/>
      <c r="DD1008" s="166"/>
      <c r="DE1008" s="71"/>
      <c r="DF1008" s="170"/>
      <c r="EO1008" s="353" t="str">
        <f t="shared" si="134"/>
        <v>QUINDIO_SALENTO</v>
      </c>
      <c r="EP1008" s="350"/>
      <c r="EQ1008" s="350" t="s">
        <v>4613</v>
      </c>
      <c r="ER1008" s="358" t="s">
        <v>4614</v>
      </c>
      <c r="ES1008" s="350" t="s">
        <v>5688</v>
      </c>
      <c r="ET1008" s="350" t="s">
        <v>3620</v>
      </c>
      <c r="EU1008" s="350" t="str">
        <f t="shared" si="127"/>
        <v>Valle del Cauca_Guadalajara de Buga</v>
      </c>
    </row>
    <row r="1009" spans="1:151" s="171" customFormat="1" ht="38.25" x14ac:dyDescent="0.2">
      <c r="A1009" s="242">
        <v>40400</v>
      </c>
      <c r="B1009" s="107" t="s">
        <v>2401</v>
      </c>
      <c r="C1009" s="107" t="s">
        <v>2264</v>
      </c>
      <c r="D1009" s="427" t="s">
        <v>2352</v>
      </c>
      <c r="E1009" s="107" t="str">
        <f>VLOOKUP(B1009&amp;C1009,Divipola!$C$2:$F$1138,4,FALSE)</f>
        <v>05736</v>
      </c>
      <c r="F1009" s="330"/>
      <c r="G1009" s="224"/>
      <c r="H1009" s="75">
        <v>9</v>
      </c>
      <c r="I1009" s="75"/>
      <c r="J1009" s="75"/>
      <c r="K1009" s="75"/>
      <c r="L1009" s="75"/>
      <c r="M1009" s="75"/>
      <c r="N1009" s="75"/>
      <c r="O1009" s="75"/>
      <c r="P1009" s="75"/>
      <c r="Q1009" s="75"/>
      <c r="R1009" s="75"/>
      <c r="S1009" s="75"/>
      <c r="T1009" s="75"/>
      <c r="U1009" s="75"/>
      <c r="V1009" s="76"/>
      <c r="W1009" s="205"/>
      <c r="X1009" s="1"/>
      <c r="Y1009" s="78">
        <f t="shared" si="128"/>
        <v>0</v>
      </c>
      <c r="Z1009" s="78">
        <f t="shared" si="129"/>
        <v>0</v>
      </c>
      <c r="AA1009" s="78">
        <f t="shared" si="133"/>
        <v>0</v>
      </c>
      <c r="AB1009" s="78">
        <f t="shared" si="130"/>
        <v>0</v>
      </c>
      <c r="AC1009" s="78"/>
      <c r="AD1009" s="78">
        <v>0</v>
      </c>
      <c r="AE1009" s="80">
        <f t="shared" si="132"/>
        <v>0</v>
      </c>
      <c r="AF1009" s="82">
        <v>0</v>
      </c>
      <c r="AG1009" s="69">
        <v>40403</v>
      </c>
      <c r="AH1009" s="84"/>
      <c r="AI1009" s="69" t="s">
        <v>1984</v>
      </c>
      <c r="AJ1009" s="25" t="s">
        <v>1985</v>
      </c>
      <c r="AK1009" s="65"/>
      <c r="AL1009" s="185" t="s">
        <v>1257</v>
      </c>
      <c r="AM1009" s="85" t="s">
        <v>1895</v>
      </c>
      <c r="AN1009" s="3"/>
      <c r="AO1009" s="4"/>
      <c r="AP1009" s="5"/>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6"/>
      <c r="CQ1009" s="7"/>
      <c r="CR1009" s="6"/>
      <c r="CS1009" s="7"/>
      <c r="CT1009" s="6"/>
      <c r="CU1009" s="7"/>
      <c r="CV1009" s="8">
        <f t="shared" si="131"/>
        <v>0</v>
      </c>
      <c r="CW1009" s="9"/>
      <c r="CX1009" s="10"/>
      <c r="CY1009" s="11"/>
      <c r="CZ1009" s="12"/>
      <c r="DA1009" s="29"/>
      <c r="DB1009" s="12"/>
      <c r="DC1009" s="9"/>
      <c r="DD1009" s="10"/>
      <c r="DE1009" s="71"/>
      <c r="DF1009" s="23"/>
      <c r="EO1009" s="353" t="str">
        <f t="shared" si="134"/>
        <v>ANTIOQUIA_SEGOVIA</v>
      </c>
      <c r="EP1009" s="350"/>
      <c r="EQ1009" s="350" t="s">
        <v>4613</v>
      </c>
      <c r="ER1009" s="358" t="s">
        <v>4614</v>
      </c>
      <c r="ES1009" s="350" t="s">
        <v>5689</v>
      </c>
      <c r="ET1009" s="350" t="s">
        <v>3621</v>
      </c>
      <c r="EU1009" s="350" t="str">
        <f t="shared" si="127"/>
        <v>Valle del Cauca_Bugalagrande</v>
      </c>
    </row>
    <row r="1010" spans="1:151" s="171" customFormat="1" ht="38.25" x14ac:dyDescent="0.2">
      <c r="A1010" s="246">
        <v>40400</v>
      </c>
      <c r="B1010" s="238" t="s">
        <v>2401</v>
      </c>
      <c r="C1010" s="238" t="s">
        <v>1824</v>
      </c>
      <c r="D1010" s="431" t="s">
        <v>2209</v>
      </c>
      <c r="E1010" s="107" t="str">
        <f>VLOOKUP(B1010&amp;C1010,Divipola!$C$2:$F$1138,4,FALSE)</f>
        <v>05789</v>
      </c>
      <c r="F1010" s="334"/>
      <c r="G1010" s="224"/>
      <c r="H1010" s="75"/>
      <c r="I1010" s="75"/>
      <c r="J1010" s="75">
        <v>250</v>
      </c>
      <c r="K1010" s="75">
        <v>50</v>
      </c>
      <c r="L1010" s="75">
        <v>50</v>
      </c>
      <c r="M1010" s="75"/>
      <c r="N1010" s="75"/>
      <c r="O1010" s="75"/>
      <c r="P1010" s="75">
        <v>1</v>
      </c>
      <c r="Q1010" s="75"/>
      <c r="R1010" s="75"/>
      <c r="S1010" s="75"/>
      <c r="T1010" s="75">
        <v>4</v>
      </c>
      <c r="U1010" s="75"/>
      <c r="V1010" s="76"/>
      <c r="W1010" s="205" t="s">
        <v>1900</v>
      </c>
      <c r="X1010" s="1"/>
      <c r="Y1010" s="78">
        <f t="shared" si="128"/>
        <v>0</v>
      </c>
      <c r="Z1010" s="78">
        <f t="shared" si="129"/>
        <v>0</v>
      </c>
      <c r="AA1010" s="78">
        <f t="shared" ref="AA1010:AA1038" si="135">DB1010+DD1010</f>
        <v>0</v>
      </c>
      <c r="AB1010" s="78">
        <f t="shared" si="130"/>
        <v>0</v>
      </c>
      <c r="AC1010" s="78"/>
      <c r="AD1010" s="78">
        <v>0</v>
      </c>
      <c r="AE1010" s="80">
        <f t="shared" si="132"/>
        <v>0</v>
      </c>
      <c r="AF1010" s="82">
        <v>0</v>
      </c>
      <c r="AG1010" s="69">
        <v>40403</v>
      </c>
      <c r="AH1010" s="84"/>
      <c r="AI1010" s="69" t="s">
        <v>1984</v>
      </c>
      <c r="AJ1010" s="25" t="s">
        <v>1985</v>
      </c>
      <c r="AK1010" s="65"/>
      <c r="AL1010" s="185" t="s">
        <v>1257</v>
      </c>
      <c r="AM1010" s="85" t="s">
        <v>1901</v>
      </c>
      <c r="AN1010" s="3"/>
      <c r="AO1010" s="4"/>
      <c r="AP1010" s="5"/>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6"/>
      <c r="CQ1010" s="7"/>
      <c r="CR1010" s="6"/>
      <c r="CS1010" s="7"/>
      <c r="CT1010" s="6"/>
      <c r="CU1010" s="7"/>
      <c r="CV1010" s="8">
        <f t="shared" si="131"/>
        <v>0</v>
      </c>
      <c r="CW1010" s="9"/>
      <c r="CX1010" s="10"/>
      <c r="CY1010" s="11"/>
      <c r="CZ1010" s="12"/>
      <c r="DA1010" s="29"/>
      <c r="DB1010" s="12"/>
      <c r="DC1010" s="9"/>
      <c r="DD1010" s="10"/>
      <c r="DE1010" s="71"/>
      <c r="DF1010" s="23"/>
      <c r="EO1010" s="353" t="str">
        <f t="shared" si="134"/>
        <v>ANTIOQUIA_TAMESIS</v>
      </c>
      <c r="EP1010" s="350"/>
      <c r="EQ1010" s="350" t="s">
        <v>4613</v>
      </c>
      <c r="ER1010" s="358" t="s">
        <v>4614</v>
      </c>
      <c r="ES1010" s="350" t="s">
        <v>5690</v>
      </c>
      <c r="ET1010" s="350" t="s">
        <v>3622</v>
      </c>
      <c r="EU1010" s="350" t="str">
        <f t="shared" si="127"/>
        <v>Valle del Cauca_Caicedonia</v>
      </c>
    </row>
    <row r="1011" spans="1:151" s="171" customFormat="1" ht="56.25" x14ac:dyDescent="0.2">
      <c r="A1011" s="242">
        <v>40400</v>
      </c>
      <c r="B1011" s="107" t="s">
        <v>1836</v>
      </c>
      <c r="C1011" s="107" t="s">
        <v>2008</v>
      </c>
      <c r="D1011" s="427" t="s">
        <v>837</v>
      </c>
      <c r="E1011" s="107">
        <f>VLOOKUP(B1011&amp;C1011,Divipola!$C$2:$F$1138,4,FALSE)</f>
        <v>47</v>
      </c>
      <c r="F1011" s="330"/>
      <c r="G1011" s="224"/>
      <c r="H1011" s="75"/>
      <c r="I1011" s="75"/>
      <c r="J1011" s="75"/>
      <c r="K1011" s="75"/>
      <c r="L1011" s="75"/>
      <c r="M1011" s="75"/>
      <c r="N1011" s="75"/>
      <c r="O1011" s="75"/>
      <c r="P1011" s="75"/>
      <c r="Q1011" s="75"/>
      <c r="R1011" s="75"/>
      <c r="S1011" s="75"/>
      <c r="T1011" s="75"/>
      <c r="U1011" s="75"/>
      <c r="V1011" s="76"/>
      <c r="W1011" s="205"/>
      <c r="X1011" s="1">
        <v>40414</v>
      </c>
      <c r="Y1011" s="78">
        <f t="shared" si="128"/>
        <v>233067720</v>
      </c>
      <c r="Z1011" s="78">
        <f t="shared" si="129"/>
        <v>255000000</v>
      </c>
      <c r="AA1011" s="78">
        <f t="shared" si="135"/>
        <v>0</v>
      </c>
      <c r="AB1011" s="78">
        <f t="shared" si="130"/>
        <v>90480000</v>
      </c>
      <c r="AC1011" s="78"/>
      <c r="AD1011" s="78">
        <v>0</v>
      </c>
      <c r="AE1011" s="80">
        <f t="shared" si="132"/>
        <v>578547720</v>
      </c>
      <c r="AF1011" s="82">
        <v>0</v>
      </c>
      <c r="AG1011" s="69">
        <v>40400</v>
      </c>
      <c r="AH1011" s="94" t="s">
        <v>1184</v>
      </c>
      <c r="AI1011" s="69" t="s">
        <v>2009</v>
      </c>
      <c r="AJ1011" s="25" t="s">
        <v>2010</v>
      </c>
      <c r="AK1011" s="88" t="s">
        <v>202</v>
      </c>
      <c r="AL1011" s="185" t="s">
        <v>1180</v>
      </c>
      <c r="AM1011" s="85" t="s">
        <v>1181</v>
      </c>
      <c r="AN1011" s="3"/>
      <c r="AO1011" s="4"/>
      <c r="AP1011" s="5"/>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v>3000</v>
      </c>
      <c r="BM1011" s="4">
        <f>3000*25500</f>
        <v>76500000</v>
      </c>
      <c r="BN1011" s="4"/>
      <c r="BO1011" s="4"/>
      <c r="BP1011" s="4"/>
      <c r="BQ1011" s="4"/>
      <c r="BR1011" s="4"/>
      <c r="BS1011" s="4"/>
      <c r="BT1011" s="4"/>
      <c r="BU1011" s="4"/>
      <c r="BV1011" s="4"/>
      <c r="BW1011" s="4"/>
      <c r="BX1011" s="4"/>
      <c r="BY1011" s="4"/>
      <c r="BZ1011" s="4">
        <v>15</v>
      </c>
      <c r="CA1011" s="4">
        <f>15*504600</f>
        <v>7569000</v>
      </c>
      <c r="CB1011" s="4"/>
      <c r="CC1011" s="4"/>
      <c r="CD1011" s="4"/>
      <c r="CE1011" s="4"/>
      <c r="CF1011" s="4"/>
      <c r="CG1011" s="4"/>
      <c r="CH1011" s="4"/>
      <c r="CI1011" s="4"/>
      <c r="CJ1011" s="4">
        <v>1000</v>
      </c>
      <c r="CK1011" s="4">
        <f>1000*21000</f>
        <v>21000000</v>
      </c>
      <c r="CL1011" s="4"/>
      <c r="CM1011" s="4"/>
      <c r="CN1011" s="4">
        <v>3000</v>
      </c>
      <c r="CO1011" s="4">
        <f>3000*18000</f>
        <v>54000000</v>
      </c>
      <c r="CP1011" s="6">
        <f>2000</f>
        <v>2000</v>
      </c>
      <c r="CQ1011" s="7">
        <f>2000*36999.36</f>
        <v>73998720</v>
      </c>
      <c r="CR1011" s="6"/>
      <c r="CS1011" s="7"/>
      <c r="CT1011" s="6"/>
      <c r="CU1011" s="7"/>
      <c r="CV1011" s="8">
        <f t="shared" si="131"/>
        <v>233067720</v>
      </c>
      <c r="CW1011" s="9">
        <v>100000</v>
      </c>
      <c r="CX1011" s="10">
        <f>100000*904.8</f>
        <v>90480000</v>
      </c>
      <c r="CY1011" s="11">
        <f>2000+1000</f>
        <v>3000</v>
      </c>
      <c r="CZ1011" s="12">
        <f>2000*85000+1000*85000</f>
        <v>255000000</v>
      </c>
      <c r="DA1011" s="29"/>
      <c r="DB1011" s="12"/>
      <c r="DC1011" s="9"/>
      <c r="DD1011" s="10"/>
      <c r="DE1011" s="71"/>
      <c r="DF1011" s="23"/>
      <c r="EO1011" s="353" t="str">
        <f t="shared" si="134"/>
        <v>MAGDALENA_DEPARTAMENTO</v>
      </c>
      <c r="EP1011" s="350"/>
      <c r="EQ1011" s="350" t="s">
        <v>4613</v>
      </c>
      <c r="ER1011" s="358" t="s">
        <v>4614</v>
      </c>
      <c r="ES1011" s="350" t="s">
        <v>5691</v>
      </c>
      <c r="ET1011" s="350" t="s">
        <v>3623</v>
      </c>
      <c r="EU1011" s="350" t="str">
        <f t="shared" si="127"/>
        <v>Valle del Cauca_Calima</v>
      </c>
    </row>
    <row r="1012" spans="1:151" s="171" customFormat="1" ht="38.25" x14ac:dyDescent="0.2">
      <c r="A1012" s="242">
        <v>40400</v>
      </c>
      <c r="B1012" s="107" t="s">
        <v>1836</v>
      </c>
      <c r="C1012" s="107" t="s">
        <v>1814</v>
      </c>
      <c r="D1012" s="427" t="s">
        <v>837</v>
      </c>
      <c r="E1012" s="107" t="str">
        <f>VLOOKUP(B1012&amp;C1012,Divipola!$C$2:$F$1138,4,FALSE)</f>
        <v>47001</v>
      </c>
      <c r="F1012" s="330"/>
      <c r="G1012" s="224"/>
      <c r="H1012" s="75"/>
      <c r="I1012" s="75"/>
      <c r="J1012" s="75"/>
      <c r="K1012" s="75"/>
      <c r="L1012" s="75"/>
      <c r="M1012" s="75"/>
      <c r="N1012" s="75"/>
      <c r="O1012" s="75"/>
      <c r="P1012" s="75"/>
      <c r="Q1012" s="75"/>
      <c r="R1012" s="75"/>
      <c r="S1012" s="75"/>
      <c r="T1012" s="75"/>
      <c r="U1012" s="75"/>
      <c r="V1012" s="76"/>
      <c r="W1012" s="205"/>
      <c r="X1012" s="1">
        <v>40421</v>
      </c>
      <c r="Y1012" s="78">
        <f t="shared" si="128"/>
        <v>0</v>
      </c>
      <c r="Z1012" s="78">
        <f t="shared" si="129"/>
        <v>0</v>
      </c>
      <c r="AA1012" s="78">
        <f t="shared" si="135"/>
        <v>0</v>
      </c>
      <c r="AB1012" s="78">
        <f t="shared" si="130"/>
        <v>12750000</v>
      </c>
      <c r="AC1012" s="78"/>
      <c r="AD1012" s="78">
        <v>0</v>
      </c>
      <c r="AE1012" s="80">
        <f t="shared" si="132"/>
        <v>12750000</v>
      </c>
      <c r="AF1012" s="82">
        <v>0</v>
      </c>
      <c r="AG1012" s="69">
        <v>40404</v>
      </c>
      <c r="AH1012" s="84">
        <v>41161</v>
      </c>
      <c r="AI1012" s="69" t="s">
        <v>2009</v>
      </c>
      <c r="AJ1012" s="25" t="s">
        <v>2010</v>
      </c>
      <c r="AK1012" s="65">
        <v>288</v>
      </c>
      <c r="AL1012" s="185" t="s">
        <v>1173</v>
      </c>
      <c r="AM1012" s="85"/>
      <c r="AN1012" s="3"/>
      <c r="AO1012" s="4"/>
      <c r="AP1012" s="5"/>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6"/>
      <c r="CQ1012" s="7"/>
      <c r="CR1012" s="6"/>
      <c r="CS1012" s="7"/>
      <c r="CT1012" s="6"/>
      <c r="CU1012" s="7"/>
      <c r="CV1012" s="8">
        <f t="shared" si="131"/>
        <v>0</v>
      </c>
      <c r="CW1012" s="9">
        <v>15000</v>
      </c>
      <c r="CX1012" s="10">
        <f>15000*850</f>
        <v>12750000</v>
      </c>
      <c r="CY1012" s="11"/>
      <c r="CZ1012" s="12"/>
      <c r="DA1012" s="29"/>
      <c r="DB1012" s="12"/>
      <c r="DC1012" s="9"/>
      <c r="DD1012" s="10"/>
      <c r="DE1012" s="71"/>
      <c r="DF1012" s="23">
        <v>1224</v>
      </c>
      <c r="EO1012" s="353" t="str">
        <f t="shared" si="134"/>
        <v>MAGDALENA_SANTA MARTA</v>
      </c>
      <c r="EP1012" s="350"/>
      <c r="EQ1012" s="350" t="s">
        <v>4613</v>
      </c>
      <c r="ER1012" s="358" t="s">
        <v>4614</v>
      </c>
      <c r="ES1012" s="350" t="s">
        <v>5692</v>
      </c>
      <c r="ET1012" s="350" t="s">
        <v>5955</v>
      </c>
      <c r="EU1012" s="350" t="str">
        <f t="shared" si="127"/>
        <v>Valle del Cauca_Candelaria</v>
      </c>
    </row>
    <row r="1013" spans="1:151" s="171" customFormat="1" ht="38.25" x14ac:dyDescent="0.2">
      <c r="A1013" s="242">
        <v>40400</v>
      </c>
      <c r="B1013" s="107" t="s">
        <v>832</v>
      </c>
      <c r="C1013" s="107" t="s">
        <v>1896</v>
      </c>
      <c r="D1013" s="427" t="s">
        <v>2209</v>
      </c>
      <c r="E1013" s="107" t="str">
        <f>VLOOKUP(B1013&amp;C1013,Divipola!$C$2:$F$1138,4,FALSE)</f>
        <v>86001</v>
      </c>
      <c r="F1013" s="330"/>
      <c r="G1013" s="224"/>
      <c r="H1013" s="75"/>
      <c r="I1013" s="75"/>
      <c r="J1013" s="75">
        <v>10</v>
      </c>
      <c r="K1013" s="75">
        <v>2</v>
      </c>
      <c r="L1013" s="75"/>
      <c r="M1013" s="75">
        <v>2</v>
      </c>
      <c r="N1013" s="75"/>
      <c r="O1013" s="75"/>
      <c r="P1013" s="75"/>
      <c r="Q1013" s="75"/>
      <c r="R1013" s="75"/>
      <c r="S1013" s="75"/>
      <c r="T1013" s="75"/>
      <c r="U1013" s="75"/>
      <c r="V1013" s="76"/>
      <c r="W1013" s="205"/>
      <c r="X1013" s="1"/>
      <c r="Y1013" s="78">
        <f t="shared" si="128"/>
        <v>0</v>
      </c>
      <c r="Z1013" s="78">
        <f t="shared" si="129"/>
        <v>0</v>
      </c>
      <c r="AA1013" s="78">
        <f t="shared" si="135"/>
        <v>0</v>
      </c>
      <c r="AB1013" s="78">
        <f t="shared" si="130"/>
        <v>0</v>
      </c>
      <c r="AC1013" s="78"/>
      <c r="AD1013" s="78">
        <v>0</v>
      </c>
      <c r="AE1013" s="80">
        <f t="shared" si="132"/>
        <v>0</v>
      </c>
      <c r="AF1013" s="82">
        <v>0</v>
      </c>
      <c r="AG1013" s="69">
        <v>40403</v>
      </c>
      <c r="AH1013" s="84"/>
      <c r="AI1013" s="69" t="s">
        <v>1984</v>
      </c>
      <c r="AJ1013" s="25" t="s">
        <v>1985</v>
      </c>
      <c r="AK1013" s="65"/>
      <c r="AL1013" s="185" t="s">
        <v>1257</v>
      </c>
      <c r="AM1013" s="85" t="s">
        <v>1897</v>
      </c>
      <c r="AN1013" s="3"/>
      <c r="AO1013" s="4"/>
      <c r="AP1013" s="5"/>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6"/>
      <c r="CQ1013" s="7"/>
      <c r="CR1013" s="6"/>
      <c r="CS1013" s="7"/>
      <c r="CT1013" s="6"/>
      <c r="CU1013" s="7"/>
      <c r="CV1013" s="8">
        <f t="shared" si="131"/>
        <v>0</v>
      </c>
      <c r="CW1013" s="9"/>
      <c r="CX1013" s="10"/>
      <c r="CY1013" s="11"/>
      <c r="CZ1013" s="12"/>
      <c r="DA1013" s="29"/>
      <c r="DB1013" s="12"/>
      <c r="DC1013" s="9"/>
      <c r="DD1013" s="10"/>
      <c r="DE1013" s="71"/>
      <c r="DF1013" s="23"/>
      <c r="EO1013" s="353" t="str">
        <f t="shared" si="134"/>
        <v>PUTUMAYO_MOCOA</v>
      </c>
      <c r="EP1013" s="350"/>
      <c r="EQ1013" s="350" t="s">
        <v>4613</v>
      </c>
      <c r="ER1013" s="358" t="s">
        <v>4614</v>
      </c>
      <c r="ES1013" s="350" t="s">
        <v>5693</v>
      </c>
      <c r="ET1013" s="350" t="s">
        <v>3624</v>
      </c>
      <c r="EU1013" s="350" t="str">
        <f t="shared" si="127"/>
        <v>Valle del Cauca_Cartago</v>
      </c>
    </row>
    <row r="1014" spans="1:151" s="171" customFormat="1" ht="38.25" x14ac:dyDescent="0.2">
      <c r="A1014" s="242">
        <v>40400</v>
      </c>
      <c r="B1014" s="236" t="s">
        <v>2372</v>
      </c>
      <c r="C1014" s="236" t="s">
        <v>2008</v>
      </c>
      <c r="D1014" s="433" t="s">
        <v>837</v>
      </c>
      <c r="E1014" s="107">
        <f>VLOOKUP(B1014&amp;C1014,Divipola!$C$2:$F$1138,4,FALSE)</f>
        <v>70</v>
      </c>
      <c r="F1014" s="335"/>
      <c r="G1014" s="221"/>
      <c r="H1014" s="157"/>
      <c r="I1014" s="157"/>
      <c r="J1014" s="157"/>
      <c r="K1014" s="157"/>
      <c r="L1014" s="157"/>
      <c r="M1014" s="157"/>
      <c r="N1014" s="157"/>
      <c r="O1014" s="157"/>
      <c r="P1014" s="157"/>
      <c r="Q1014" s="157"/>
      <c r="R1014" s="157"/>
      <c r="S1014" s="157"/>
      <c r="T1014" s="157"/>
      <c r="U1014" s="157"/>
      <c r="V1014" s="158"/>
      <c r="W1014" s="182"/>
      <c r="X1014" s="1">
        <v>40452</v>
      </c>
      <c r="Y1014" s="78">
        <f t="shared" si="128"/>
        <v>0</v>
      </c>
      <c r="Z1014" s="78">
        <f t="shared" si="129"/>
        <v>0</v>
      </c>
      <c r="AA1014" s="78">
        <f t="shared" si="135"/>
        <v>0</v>
      </c>
      <c r="AB1014" s="78">
        <f t="shared" si="130"/>
        <v>126000000</v>
      </c>
      <c r="AC1014" s="78"/>
      <c r="AD1014" s="78">
        <v>0</v>
      </c>
      <c r="AE1014" s="80">
        <f t="shared" si="132"/>
        <v>126000000</v>
      </c>
      <c r="AF1014" s="82">
        <v>0</v>
      </c>
      <c r="AG1014" s="69">
        <v>40427</v>
      </c>
      <c r="AH1014" s="84">
        <v>46018</v>
      </c>
      <c r="AI1014" s="69" t="s">
        <v>2009</v>
      </c>
      <c r="AJ1014" s="25" t="s">
        <v>2010</v>
      </c>
      <c r="AK1014" s="88" t="s">
        <v>2282</v>
      </c>
      <c r="AL1014" s="176" t="s">
        <v>2582</v>
      </c>
      <c r="AM1014" s="173" t="s">
        <v>164</v>
      </c>
      <c r="AN1014" s="159"/>
      <c r="AO1014" s="160"/>
      <c r="AP1014" s="161"/>
      <c r="AQ1014" s="160"/>
      <c r="AR1014" s="160"/>
      <c r="AS1014" s="160"/>
      <c r="AT1014" s="160"/>
      <c r="AU1014" s="160"/>
      <c r="AV1014" s="160"/>
      <c r="AW1014" s="160"/>
      <c r="AX1014" s="160"/>
      <c r="AY1014" s="160"/>
      <c r="AZ1014" s="160"/>
      <c r="BA1014" s="160"/>
      <c r="BB1014" s="160"/>
      <c r="BC1014" s="160"/>
      <c r="BD1014" s="160"/>
      <c r="BE1014" s="160"/>
      <c r="BF1014" s="160"/>
      <c r="BG1014" s="160"/>
      <c r="BH1014" s="160"/>
      <c r="BI1014" s="160"/>
      <c r="BJ1014" s="160"/>
      <c r="BK1014" s="160"/>
      <c r="BL1014" s="160"/>
      <c r="BM1014" s="160"/>
      <c r="BN1014" s="160"/>
      <c r="BO1014" s="160"/>
      <c r="BP1014" s="160"/>
      <c r="BQ1014" s="160"/>
      <c r="BR1014" s="160"/>
      <c r="BS1014" s="160"/>
      <c r="BT1014" s="160"/>
      <c r="BU1014" s="160"/>
      <c r="BV1014" s="160"/>
      <c r="BW1014" s="160"/>
      <c r="BX1014" s="160"/>
      <c r="BY1014" s="160"/>
      <c r="BZ1014" s="160"/>
      <c r="CA1014" s="160"/>
      <c r="CB1014" s="160"/>
      <c r="CC1014" s="160"/>
      <c r="CD1014" s="160"/>
      <c r="CE1014" s="160"/>
      <c r="CF1014" s="160"/>
      <c r="CG1014" s="160"/>
      <c r="CH1014" s="160"/>
      <c r="CI1014" s="160"/>
      <c r="CJ1014" s="160"/>
      <c r="CK1014" s="160"/>
      <c r="CL1014" s="160"/>
      <c r="CM1014" s="160"/>
      <c r="CN1014" s="160"/>
      <c r="CO1014" s="160"/>
      <c r="CP1014" s="162"/>
      <c r="CQ1014" s="163"/>
      <c r="CR1014" s="162"/>
      <c r="CS1014" s="163"/>
      <c r="CT1014" s="162"/>
      <c r="CU1014" s="163"/>
      <c r="CV1014" s="164">
        <f t="shared" si="131"/>
        <v>0</v>
      </c>
      <c r="CW1014" s="165">
        <f>70000+70000</f>
        <v>140000</v>
      </c>
      <c r="CX1014" s="166">
        <f>70000*900+70000*900</f>
        <v>126000000</v>
      </c>
      <c r="CY1014" s="167"/>
      <c r="CZ1014" s="168"/>
      <c r="DA1014" s="169"/>
      <c r="DB1014" s="168"/>
      <c r="DC1014" s="165"/>
      <c r="DD1014" s="166"/>
      <c r="DE1014" s="71"/>
      <c r="DF1014" s="170"/>
      <c r="EO1014" s="353" t="str">
        <f t="shared" si="134"/>
        <v>SUCRE_DEPARTAMENTO</v>
      </c>
      <c r="EP1014" s="350"/>
      <c r="EQ1014" s="350" t="s">
        <v>4613</v>
      </c>
      <c r="ER1014" s="358" t="s">
        <v>4614</v>
      </c>
      <c r="ES1014" s="350" t="s">
        <v>5694</v>
      </c>
      <c r="ET1014" s="350" t="s">
        <v>3625</v>
      </c>
      <c r="EU1014" s="350" t="str">
        <f t="shared" si="127"/>
        <v>Valle del Cauca_Dagua</v>
      </c>
    </row>
    <row r="1015" spans="1:151" s="171" customFormat="1" ht="38.25" x14ac:dyDescent="0.2">
      <c r="A1015" s="246">
        <v>40401</v>
      </c>
      <c r="B1015" s="238" t="s">
        <v>2401</v>
      </c>
      <c r="C1015" s="238" t="s">
        <v>917</v>
      </c>
      <c r="D1015" s="431" t="s">
        <v>2307</v>
      </c>
      <c r="E1015" s="107" t="str">
        <f>VLOOKUP(B1015&amp;C1015,Divipola!$C$2:$F$1138,4,FALSE)</f>
        <v>05107</v>
      </c>
      <c r="F1015" s="334"/>
      <c r="G1015" s="224">
        <v>1</v>
      </c>
      <c r="H1015" s="75"/>
      <c r="I1015" s="75"/>
      <c r="J1015" s="75">
        <v>5</v>
      </c>
      <c r="K1015" s="75">
        <v>1</v>
      </c>
      <c r="L1015" s="75">
        <v>1</v>
      </c>
      <c r="M1015" s="75"/>
      <c r="N1015" s="75"/>
      <c r="O1015" s="75"/>
      <c r="P1015" s="75"/>
      <c r="Q1015" s="75"/>
      <c r="R1015" s="75"/>
      <c r="S1015" s="75"/>
      <c r="T1015" s="75"/>
      <c r="U1015" s="75"/>
      <c r="V1015" s="76"/>
      <c r="W1015" s="205"/>
      <c r="X1015" s="1"/>
      <c r="Y1015" s="78">
        <f t="shared" si="128"/>
        <v>0</v>
      </c>
      <c r="Z1015" s="78">
        <f t="shared" si="129"/>
        <v>0</v>
      </c>
      <c r="AA1015" s="78">
        <f t="shared" si="135"/>
        <v>0</v>
      </c>
      <c r="AB1015" s="78">
        <f t="shared" si="130"/>
        <v>0</v>
      </c>
      <c r="AC1015" s="78"/>
      <c r="AD1015" s="78">
        <v>0</v>
      </c>
      <c r="AE1015" s="80">
        <f t="shared" si="132"/>
        <v>0</v>
      </c>
      <c r="AF1015" s="82">
        <v>0</v>
      </c>
      <c r="AG1015" s="69">
        <v>40403</v>
      </c>
      <c r="AH1015" s="84"/>
      <c r="AI1015" s="69" t="s">
        <v>1984</v>
      </c>
      <c r="AJ1015" s="25" t="s">
        <v>1985</v>
      </c>
      <c r="AK1015" s="65"/>
      <c r="AL1015" s="185" t="s">
        <v>1257</v>
      </c>
      <c r="AM1015" s="85" t="s">
        <v>1268</v>
      </c>
      <c r="AN1015" s="3"/>
      <c r="AO1015" s="4"/>
      <c r="AP1015" s="5"/>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6"/>
      <c r="CQ1015" s="7"/>
      <c r="CR1015" s="6"/>
      <c r="CS1015" s="7"/>
      <c r="CT1015" s="6"/>
      <c r="CU1015" s="7"/>
      <c r="CV1015" s="8">
        <f t="shared" si="131"/>
        <v>0</v>
      </c>
      <c r="CW1015" s="9"/>
      <c r="CX1015" s="10"/>
      <c r="CY1015" s="11"/>
      <c r="CZ1015" s="12"/>
      <c r="DA1015" s="29"/>
      <c r="DB1015" s="12"/>
      <c r="DC1015" s="9"/>
      <c r="DD1015" s="10"/>
      <c r="DE1015" s="71"/>
      <c r="DF1015" s="23"/>
      <c r="EO1015" s="353" t="str">
        <f t="shared" si="134"/>
        <v>ANTIOQUIA_BRICEÑO</v>
      </c>
      <c r="EP1015" s="350"/>
      <c r="EQ1015" s="350" t="s">
        <v>4613</v>
      </c>
      <c r="ER1015" s="358" t="s">
        <v>4614</v>
      </c>
      <c r="ES1015" s="350" t="s">
        <v>5695</v>
      </c>
      <c r="ET1015" s="350" t="s">
        <v>3626</v>
      </c>
      <c r="EU1015" s="350" t="str">
        <f t="shared" si="127"/>
        <v>Valle del Cauca_El aguila</v>
      </c>
    </row>
    <row r="1016" spans="1:151" s="171" customFormat="1" ht="38.25" x14ac:dyDescent="0.2">
      <c r="A1016" s="246">
        <v>40401</v>
      </c>
      <c r="B1016" s="238" t="s">
        <v>2401</v>
      </c>
      <c r="C1016" s="238" t="s">
        <v>1898</v>
      </c>
      <c r="D1016" s="431" t="s">
        <v>837</v>
      </c>
      <c r="E1016" s="107" t="str">
        <f>VLOOKUP(B1016&amp;C1016,Divipola!$C$2:$F$1138,4,FALSE)</f>
        <v>05847</v>
      </c>
      <c r="F1016" s="334"/>
      <c r="G1016" s="224"/>
      <c r="H1016" s="75"/>
      <c r="I1016" s="75"/>
      <c r="J1016" s="75">
        <v>159</v>
      </c>
      <c r="K1016" s="75">
        <v>32</v>
      </c>
      <c r="L1016" s="75"/>
      <c r="M1016" s="75">
        <v>31</v>
      </c>
      <c r="N1016" s="75"/>
      <c r="O1016" s="75"/>
      <c r="P1016" s="75"/>
      <c r="Q1016" s="75"/>
      <c r="R1016" s="75"/>
      <c r="S1016" s="75"/>
      <c r="T1016" s="75"/>
      <c r="U1016" s="75"/>
      <c r="V1016" s="76"/>
      <c r="W1016" s="205"/>
      <c r="X1016" s="1"/>
      <c r="Y1016" s="78">
        <f t="shared" si="128"/>
        <v>0</v>
      </c>
      <c r="Z1016" s="78">
        <f t="shared" si="129"/>
        <v>0</v>
      </c>
      <c r="AA1016" s="78">
        <f t="shared" si="135"/>
        <v>0</v>
      </c>
      <c r="AB1016" s="78">
        <f t="shared" si="130"/>
        <v>0</v>
      </c>
      <c r="AC1016" s="78"/>
      <c r="AD1016" s="78">
        <v>0</v>
      </c>
      <c r="AE1016" s="80">
        <f t="shared" si="132"/>
        <v>0</v>
      </c>
      <c r="AF1016" s="82">
        <v>0</v>
      </c>
      <c r="AG1016" s="69">
        <v>40403</v>
      </c>
      <c r="AH1016" s="84"/>
      <c r="AI1016" s="69" t="s">
        <v>1984</v>
      </c>
      <c r="AJ1016" s="25" t="s">
        <v>1985</v>
      </c>
      <c r="AK1016" s="65"/>
      <c r="AL1016" s="185" t="s">
        <v>1257</v>
      </c>
      <c r="AM1016" s="85" t="s">
        <v>1899</v>
      </c>
      <c r="AN1016" s="3"/>
      <c r="AO1016" s="4"/>
      <c r="AP1016" s="5"/>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6"/>
      <c r="CQ1016" s="7"/>
      <c r="CR1016" s="6"/>
      <c r="CS1016" s="7"/>
      <c r="CT1016" s="6"/>
      <c r="CU1016" s="7"/>
      <c r="CV1016" s="8">
        <f t="shared" si="131"/>
        <v>0</v>
      </c>
      <c r="CW1016" s="9"/>
      <c r="CX1016" s="10"/>
      <c r="CY1016" s="11"/>
      <c r="CZ1016" s="12"/>
      <c r="DA1016" s="29"/>
      <c r="DB1016" s="12"/>
      <c r="DC1016" s="9"/>
      <c r="DD1016" s="10"/>
      <c r="DE1016" s="71"/>
      <c r="DF1016" s="23"/>
      <c r="EO1016" s="353" t="str">
        <f t="shared" si="134"/>
        <v>ANTIOQUIA_URRAO</v>
      </c>
      <c r="EP1016" s="350"/>
      <c r="EQ1016" s="350" t="s">
        <v>4613</v>
      </c>
      <c r="ER1016" s="358" t="s">
        <v>4614</v>
      </c>
      <c r="ES1016" s="350" t="s">
        <v>5696</v>
      </c>
      <c r="ET1016" s="350" t="s">
        <v>3627</v>
      </c>
      <c r="EU1016" s="350" t="str">
        <f t="shared" si="127"/>
        <v>Valle del Cauca_El Cairo</v>
      </c>
    </row>
    <row r="1017" spans="1:151" s="171" customFormat="1" ht="38.25" x14ac:dyDescent="0.2">
      <c r="A1017" s="242">
        <v>40401</v>
      </c>
      <c r="B1017" s="107" t="s">
        <v>2013</v>
      </c>
      <c r="C1017" s="107" t="s">
        <v>2013</v>
      </c>
      <c r="D1017" s="427" t="s">
        <v>837</v>
      </c>
      <c r="E1017" s="107" t="str">
        <f>VLOOKUP(B1017&amp;C1017,Divipola!$C$2:$F$1138,4,FALSE)</f>
        <v>00000</v>
      </c>
      <c r="F1017" s="330"/>
      <c r="G1017" s="224"/>
      <c r="H1017" s="75"/>
      <c r="I1017" s="75"/>
      <c r="J1017" s="75"/>
      <c r="K1017" s="75"/>
      <c r="L1017" s="75"/>
      <c r="M1017" s="75"/>
      <c r="N1017" s="75"/>
      <c r="O1017" s="75"/>
      <c r="P1017" s="75"/>
      <c r="Q1017" s="75"/>
      <c r="R1017" s="75"/>
      <c r="S1017" s="75"/>
      <c r="T1017" s="75"/>
      <c r="U1017" s="75"/>
      <c r="V1017" s="76"/>
      <c r="W1017" s="205"/>
      <c r="X1017" s="1">
        <v>40487</v>
      </c>
      <c r="Y1017" s="78">
        <f t="shared" si="128"/>
        <v>0</v>
      </c>
      <c r="Z1017" s="78">
        <f t="shared" si="129"/>
        <v>0</v>
      </c>
      <c r="AA1017" s="78">
        <f t="shared" si="135"/>
        <v>0</v>
      </c>
      <c r="AB1017" s="78">
        <f t="shared" si="130"/>
        <v>7201280</v>
      </c>
      <c r="AC1017" s="78"/>
      <c r="AD1017" s="78">
        <v>0</v>
      </c>
      <c r="AE1017" s="80">
        <f t="shared" si="132"/>
        <v>7201280</v>
      </c>
      <c r="AF1017" s="82">
        <v>0</v>
      </c>
      <c r="AG1017" s="69">
        <v>40401</v>
      </c>
      <c r="AH1017" s="84">
        <v>40211</v>
      </c>
      <c r="AI1017" s="69" t="s">
        <v>2009</v>
      </c>
      <c r="AJ1017" s="25" t="s">
        <v>2010</v>
      </c>
      <c r="AK1017" s="65">
        <v>22723</v>
      </c>
      <c r="AL1017" s="185" t="s">
        <v>1173</v>
      </c>
      <c r="AM1017" s="85" t="s">
        <v>1172</v>
      </c>
      <c r="AN1017" s="3"/>
      <c r="AO1017" s="4"/>
      <c r="AP1017" s="5"/>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6"/>
      <c r="CQ1017" s="7"/>
      <c r="CR1017" s="6"/>
      <c r="CS1017" s="7"/>
      <c r="CT1017" s="6"/>
      <c r="CU1017" s="7"/>
      <c r="CV1017" s="8">
        <f t="shared" si="131"/>
        <v>0</v>
      </c>
      <c r="CW1017" s="9">
        <v>8000</v>
      </c>
      <c r="CX1017" s="10">
        <f>8000*900.16</f>
        <v>7201280</v>
      </c>
      <c r="CY1017" s="11"/>
      <c r="CZ1017" s="12"/>
      <c r="DA1017" s="29"/>
      <c r="DB1017" s="12"/>
      <c r="DC1017" s="9"/>
      <c r="DD1017" s="10"/>
      <c r="DE1017" s="71"/>
      <c r="DF1017" s="23"/>
      <c r="EO1017" s="353" t="str">
        <f t="shared" si="134"/>
        <v>NACION_NACION</v>
      </c>
      <c r="EP1017" s="350"/>
      <c r="EQ1017" s="350" t="s">
        <v>4613</v>
      </c>
      <c r="ER1017" s="358" t="s">
        <v>4614</v>
      </c>
      <c r="ES1017" s="350" t="s">
        <v>5697</v>
      </c>
      <c r="ET1017" s="350" t="s">
        <v>3628</v>
      </c>
      <c r="EU1017" s="350" t="str">
        <f t="shared" si="127"/>
        <v>Valle del Cauca_El Cerrito</v>
      </c>
    </row>
    <row r="1018" spans="1:151" s="171" customFormat="1" ht="38.25" x14ac:dyDescent="0.2">
      <c r="A1018" s="242">
        <v>40401</v>
      </c>
      <c r="B1018" s="107" t="s">
        <v>2012</v>
      </c>
      <c r="C1018" s="236" t="s">
        <v>2199</v>
      </c>
      <c r="D1018" s="427" t="s">
        <v>2307</v>
      </c>
      <c r="E1018" s="107" t="str">
        <f>VLOOKUP(B1018&amp;C1018,Divipola!$C$2:$F$1138,4,FALSE)</f>
        <v>66383</v>
      </c>
      <c r="F1018" s="330"/>
      <c r="G1018" s="221"/>
      <c r="H1018" s="157"/>
      <c r="I1018" s="157"/>
      <c r="J1018" s="157">
        <v>5</v>
      </c>
      <c r="K1018" s="157">
        <v>1</v>
      </c>
      <c r="L1018" s="157"/>
      <c r="M1018" s="157">
        <v>1</v>
      </c>
      <c r="N1018" s="157"/>
      <c r="O1018" s="157"/>
      <c r="P1018" s="157"/>
      <c r="Q1018" s="157"/>
      <c r="R1018" s="157"/>
      <c r="S1018" s="157"/>
      <c r="T1018" s="157"/>
      <c r="U1018" s="157"/>
      <c r="V1018" s="158"/>
      <c r="W1018" s="182"/>
      <c r="X1018" s="1"/>
      <c r="Y1018" s="78">
        <f t="shared" si="128"/>
        <v>0</v>
      </c>
      <c r="Z1018" s="78">
        <f t="shared" si="129"/>
        <v>0</v>
      </c>
      <c r="AA1018" s="78">
        <f t="shared" si="135"/>
        <v>0</v>
      </c>
      <c r="AB1018" s="78">
        <f t="shared" si="130"/>
        <v>0</v>
      </c>
      <c r="AC1018" s="78"/>
      <c r="AD1018" s="78">
        <v>0</v>
      </c>
      <c r="AE1018" s="80">
        <f t="shared" si="132"/>
        <v>0</v>
      </c>
      <c r="AF1018" s="82">
        <v>0</v>
      </c>
      <c r="AG1018" s="69">
        <v>40413</v>
      </c>
      <c r="AH1018" s="84"/>
      <c r="AI1018" s="69" t="s">
        <v>1984</v>
      </c>
      <c r="AJ1018" s="25" t="s">
        <v>1985</v>
      </c>
      <c r="AK1018" s="65"/>
      <c r="AL1018" s="176" t="s">
        <v>1257</v>
      </c>
      <c r="AM1018" s="87" t="s">
        <v>155</v>
      </c>
      <c r="AN1018" s="175"/>
      <c r="AO1018" s="160"/>
      <c r="AP1018" s="161"/>
      <c r="AQ1018" s="160"/>
      <c r="AR1018" s="160"/>
      <c r="AS1018" s="160"/>
      <c r="AT1018" s="160"/>
      <c r="AU1018" s="160"/>
      <c r="AV1018" s="160"/>
      <c r="AW1018" s="160"/>
      <c r="AX1018" s="160"/>
      <c r="AY1018" s="160"/>
      <c r="AZ1018" s="160"/>
      <c r="BA1018" s="160"/>
      <c r="BB1018" s="160"/>
      <c r="BC1018" s="160"/>
      <c r="BD1018" s="160"/>
      <c r="BE1018" s="160"/>
      <c r="BF1018" s="160"/>
      <c r="BG1018" s="160"/>
      <c r="BH1018" s="160"/>
      <c r="BI1018" s="160"/>
      <c r="BJ1018" s="160"/>
      <c r="BK1018" s="160"/>
      <c r="BL1018" s="160"/>
      <c r="BM1018" s="160"/>
      <c r="BN1018" s="160"/>
      <c r="BO1018" s="160"/>
      <c r="BP1018" s="160"/>
      <c r="BQ1018" s="160"/>
      <c r="BR1018" s="160"/>
      <c r="BS1018" s="160"/>
      <c r="BT1018" s="160"/>
      <c r="BU1018" s="160"/>
      <c r="BV1018" s="160"/>
      <c r="BW1018" s="160"/>
      <c r="BX1018" s="160"/>
      <c r="BY1018" s="160"/>
      <c r="BZ1018" s="160"/>
      <c r="CA1018" s="160"/>
      <c r="CB1018" s="160"/>
      <c r="CC1018" s="160"/>
      <c r="CD1018" s="160"/>
      <c r="CE1018" s="160"/>
      <c r="CF1018" s="160"/>
      <c r="CG1018" s="160"/>
      <c r="CH1018" s="160"/>
      <c r="CI1018" s="160"/>
      <c r="CJ1018" s="160"/>
      <c r="CK1018" s="160"/>
      <c r="CL1018" s="160"/>
      <c r="CM1018" s="160"/>
      <c r="CN1018" s="160"/>
      <c r="CO1018" s="160"/>
      <c r="CP1018" s="162"/>
      <c r="CQ1018" s="163"/>
      <c r="CR1018" s="162"/>
      <c r="CS1018" s="163"/>
      <c r="CT1018" s="162"/>
      <c r="CU1018" s="163"/>
      <c r="CV1018" s="164">
        <f t="shared" si="131"/>
        <v>0</v>
      </c>
      <c r="CW1018" s="165"/>
      <c r="CX1018" s="166"/>
      <c r="CY1018" s="167"/>
      <c r="CZ1018" s="168"/>
      <c r="DA1018" s="169"/>
      <c r="DB1018" s="168"/>
      <c r="DC1018" s="165"/>
      <c r="DD1018" s="166"/>
      <c r="DE1018" s="71"/>
      <c r="DF1018" s="170">
        <v>1241</v>
      </c>
      <c r="EO1018" s="353" t="str">
        <f t="shared" si="134"/>
        <v>RISARALDA_LA CELIA</v>
      </c>
      <c r="EP1018" s="350"/>
      <c r="EQ1018" s="350" t="s">
        <v>4613</v>
      </c>
      <c r="ER1018" s="358" t="s">
        <v>4614</v>
      </c>
      <c r="ES1018" s="350" t="s">
        <v>5698</v>
      </c>
      <c r="ET1018" s="350" t="s">
        <v>3629</v>
      </c>
      <c r="EU1018" s="350" t="str">
        <f t="shared" si="127"/>
        <v>Valle del Cauca_El Dovio</v>
      </c>
    </row>
    <row r="1019" spans="1:151" s="171" customFormat="1" ht="60" x14ac:dyDescent="0.2">
      <c r="A1019" s="242">
        <v>40401</v>
      </c>
      <c r="B1019" s="236" t="s">
        <v>2427</v>
      </c>
      <c r="C1019" s="236" t="s">
        <v>2008</v>
      </c>
      <c r="D1019" s="433" t="s">
        <v>837</v>
      </c>
      <c r="E1019" s="107">
        <f>VLOOKUP(B1019&amp;C1019,Divipola!$C$2:$F$1138,4,FALSE)</f>
        <v>68</v>
      </c>
      <c r="F1019" s="335"/>
      <c r="G1019" s="275"/>
      <c r="H1019" s="157"/>
      <c r="I1019" s="157"/>
      <c r="J1019" s="157"/>
      <c r="K1019" s="157"/>
      <c r="L1019" s="157"/>
      <c r="M1019" s="157"/>
      <c r="N1019" s="157"/>
      <c r="O1019" s="157"/>
      <c r="P1019" s="157"/>
      <c r="Q1019" s="157"/>
      <c r="R1019" s="157"/>
      <c r="S1019" s="157"/>
      <c r="T1019" s="157"/>
      <c r="U1019" s="157"/>
      <c r="V1019" s="158"/>
      <c r="W1019" s="182"/>
      <c r="X1019" s="1">
        <v>40424</v>
      </c>
      <c r="Y1019" s="78">
        <f t="shared" si="128"/>
        <v>117658887</v>
      </c>
      <c r="Z1019" s="78">
        <f t="shared" si="129"/>
        <v>135150000</v>
      </c>
      <c r="AA1019" s="78">
        <f t="shared" si="135"/>
        <v>0</v>
      </c>
      <c r="AB1019" s="78">
        <f t="shared" si="130"/>
        <v>45008000</v>
      </c>
      <c r="AC1019" s="78"/>
      <c r="AD1019" s="78">
        <v>0</v>
      </c>
      <c r="AE1019" s="80">
        <f t="shared" si="132"/>
        <v>297816887</v>
      </c>
      <c r="AF1019" s="82">
        <v>0</v>
      </c>
      <c r="AG1019" s="69">
        <v>40401</v>
      </c>
      <c r="AH1019" s="84">
        <v>38584</v>
      </c>
      <c r="AI1019" s="69" t="s">
        <v>2009</v>
      </c>
      <c r="AJ1019" s="25" t="s">
        <v>2010</v>
      </c>
      <c r="AK1019" s="88" t="s">
        <v>1681</v>
      </c>
      <c r="AL1019" s="176" t="s">
        <v>163</v>
      </c>
      <c r="AM1019" s="326" t="s">
        <v>162</v>
      </c>
      <c r="AN1019" s="175"/>
      <c r="AO1019" s="160"/>
      <c r="AP1019" s="161"/>
      <c r="AQ1019" s="160"/>
      <c r="AR1019" s="160"/>
      <c r="AS1019" s="160"/>
      <c r="AT1019" s="160"/>
      <c r="AU1019" s="160"/>
      <c r="AV1019" s="160"/>
      <c r="AW1019" s="160"/>
      <c r="AX1019" s="160"/>
      <c r="AY1019" s="160"/>
      <c r="AZ1019" s="160"/>
      <c r="BA1019" s="160"/>
      <c r="BB1019" s="160"/>
      <c r="BC1019" s="160"/>
      <c r="BD1019" s="160"/>
      <c r="BE1019" s="160"/>
      <c r="BF1019" s="160"/>
      <c r="BG1019" s="160"/>
      <c r="BH1019" s="160"/>
      <c r="BI1019" s="160"/>
      <c r="BJ1019" s="160"/>
      <c r="BK1019" s="160"/>
      <c r="BL1019" s="160"/>
      <c r="BM1019" s="160"/>
      <c r="BN1019" s="160"/>
      <c r="BO1019" s="160"/>
      <c r="BP1019" s="160"/>
      <c r="BQ1019" s="160"/>
      <c r="BR1019" s="160"/>
      <c r="BS1019" s="160"/>
      <c r="BT1019" s="160"/>
      <c r="BU1019" s="160"/>
      <c r="BV1019" s="160"/>
      <c r="BW1019" s="160"/>
      <c r="BX1019" s="160"/>
      <c r="BY1019" s="160"/>
      <c r="BZ1019" s="160"/>
      <c r="CA1019" s="160"/>
      <c r="CB1019" s="160"/>
      <c r="CC1019" s="160"/>
      <c r="CD1019" s="160"/>
      <c r="CE1019" s="160"/>
      <c r="CF1019" s="160"/>
      <c r="CG1019" s="160"/>
      <c r="CH1019" s="160"/>
      <c r="CI1019" s="160"/>
      <c r="CJ1019" s="160"/>
      <c r="CK1019" s="160"/>
      <c r="CL1019" s="160"/>
      <c r="CM1019" s="160"/>
      <c r="CN1019" s="160"/>
      <c r="CO1019" s="160"/>
      <c r="CP1019" s="162">
        <v>1590</v>
      </c>
      <c r="CQ1019" s="163">
        <f>1590*37999.86</f>
        <v>60419777.399999999</v>
      </c>
      <c r="CR1019" s="162">
        <v>1590</v>
      </c>
      <c r="CS1019" s="163">
        <f>1590*35999.44</f>
        <v>57239109.600000001</v>
      </c>
      <c r="CT1019" s="162"/>
      <c r="CU1019" s="163"/>
      <c r="CV1019" s="164">
        <f t="shared" si="131"/>
        <v>117658887</v>
      </c>
      <c r="CW1019" s="165">
        <v>50000</v>
      </c>
      <c r="CX1019" s="166">
        <f>50000*900.16</f>
        <v>45008000</v>
      </c>
      <c r="CY1019" s="167">
        <v>1590</v>
      </c>
      <c r="CZ1019" s="168">
        <f>1590*85000</f>
        <v>135150000</v>
      </c>
      <c r="DA1019" s="169"/>
      <c r="DB1019" s="168"/>
      <c r="DC1019" s="165"/>
      <c r="DD1019" s="166"/>
      <c r="DE1019" s="71"/>
      <c r="DF1019" s="170"/>
      <c r="EO1019" s="353" t="str">
        <f t="shared" si="134"/>
        <v>SANTANDER_DEPARTAMENTO</v>
      </c>
      <c r="EP1019" s="350"/>
      <c r="EQ1019" s="350" t="s">
        <v>4613</v>
      </c>
      <c r="ER1019" s="358" t="s">
        <v>4614</v>
      </c>
      <c r="ES1019" s="350" t="s">
        <v>5699</v>
      </c>
      <c r="ET1019" s="350" t="s">
        <v>3630</v>
      </c>
      <c r="EU1019" s="350" t="str">
        <f t="shared" si="127"/>
        <v>Valle del Cauca_Florida</v>
      </c>
    </row>
    <row r="1020" spans="1:151" s="171" customFormat="1" ht="38.25" x14ac:dyDescent="0.2">
      <c r="A1020" s="242">
        <v>40402</v>
      </c>
      <c r="B1020" s="107" t="s">
        <v>2401</v>
      </c>
      <c r="C1020" s="107" t="s">
        <v>2747</v>
      </c>
      <c r="D1020" s="427" t="s">
        <v>1721</v>
      </c>
      <c r="E1020" s="107" t="str">
        <f>VLOOKUP(B1020&amp;C1020,Divipola!$C$2:$F$1138,4,FALSE)</f>
        <v>05001</v>
      </c>
      <c r="F1020" s="330"/>
      <c r="G1020" s="224"/>
      <c r="H1020" s="75"/>
      <c r="I1020" s="75"/>
      <c r="J1020" s="75">
        <v>12</v>
      </c>
      <c r="K1020" s="75">
        <v>1</v>
      </c>
      <c r="L1020" s="75">
        <v>1</v>
      </c>
      <c r="M1020" s="75"/>
      <c r="N1020" s="75"/>
      <c r="O1020" s="75"/>
      <c r="P1020" s="75"/>
      <c r="Q1020" s="75"/>
      <c r="R1020" s="75"/>
      <c r="S1020" s="75"/>
      <c r="T1020" s="75"/>
      <c r="U1020" s="75"/>
      <c r="V1020" s="76"/>
      <c r="W1020" s="205"/>
      <c r="X1020" s="1"/>
      <c r="Y1020" s="78">
        <f t="shared" si="128"/>
        <v>0</v>
      </c>
      <c r="Z1020" s="78">
        <f t="shared" si="129"/>
        <v>0</v>
      </c>
      <c r="AA1020" s="78">
        <f t="shared" si="135"/>
        <v>0</v>
      </c>
      <c r="AB1020" s="78">
        <f t="shared" si="130"/>
        <v>0</v>
      </c>
      <c r="AC1020" s="78"/>
      <c r="AD1020" s="78">
        <v>0</v>
      </c>
      <c r="AE1020" s="80">
        <f t="shared" si="132"/>
        <v>0</v>
      </c>
      <c r="AF1020" s="82">
        <v>0</v>
      </c>
      <c r="AG1020" s="69">
        <v>40403</v>
      </c>
      <c r="AH1020" s="84"/>
      <c r="AI1020" s="69" t="s">
        <v>1984</v>
      </c>
      <c r="AJ1020" s="25" t="s">
        <v>1985</v>
      </c>
      <c r="AK1020" s="65"/>
      <c r="AL1020" s="185" t="s">
        <v>1257</v>
      </c>
      <c r="AM1020" s="87" t="s">
        <v>1904</v>
      </c>
      <c r="AN1020" s="110"/>
      <c r="AO1020" s="4"/>
      <c r="AP1020" s="5"/>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6"/>
      <c r="CQ1020" s="7"/>
      <c r="CR1020" s="6"/>
      <c r="CS1020" s="7"/>
      <c r="CT1020" s="6"/>
      <c r="CU1020" s="7"/>
      <c r="CV1020" s="8">
        <f t="shared" si="131"/>
        <v>0</v>
      </c>
      <c r="CW1020" s="9"/>
      <c r="CX1020" s="10"/>
      <c r="CY1020" s="11"/>
      <c r="CZ1020" s="12"/>
      <c r="DA1020" s="29"/>
      <c r="DB1020" s="12"/>
      <c r="DC1020" s="9"/>
      <c r="DD1020" s="10"/>
      <c r="DE1020" s="71"/>
      <c r="DF1020" s="23"/>
      <c r="EO1020" s="353" t="str">
        <f t="shared" si="134"/>
        <v>ANTIOQUIA_MEDELLIN</v>
      </c>
      <c r="EP1020" s="350"/>
      <c r="EQ1020" s="350" t="s">
        <v>4613</v>
      </c>
      <c r="ER1020" s="358" t="s">
        <v>4614</v>
      </c>
      <c r="ES1020" s="350" t="s">
        <v>5700</v>
      </c>
      <c r="ET1020" s="350" t="s">
        <v>3631</v>
      </c>
      <c r="EU1020" s="350" t="str">
        <f t="shared" ref="EU1020:EU1082" si="136">ER1020&amp;"_"&amp;ET1020</f>
        <v>Valle del Cauca_Ginebra</v>
      </c>
    </row>
    <row r="1021" spans="1:151" s="171" customFormat="1" ht="38.25" x14ac:dyDescent="0.2">
      <c r="A1021" s="242">
        <v>40402</v>
      </c>
      <c r="B1021" s="107" t="s">
        <v>1951</v>
      </c>
      <c r="C1021" s="107" t="s">
        <v>1989</v>
      </c>
      <c r="D1021" s="427" t="s">
        <v>837</v>
      </c>
      <c r="E1021" s="107" t="str">
        <f>VLOOKUP(B1021&amp;C1021,Divipola!$C$2:$F$1138,4,FALSE)</f>
        <v>08001</v>
      </c>
      <c r="F1021" s="330"/>
      <c r="G1021" s="224">
        <v>1</v>
      </c>
      <c r="H1021" s="75"/>
      <c r="I1021" s="75"/>
      <c r="J1021" s="75"/>
      <c r="K1021" s="75"/>
      <c r="L1021" s="75"/>
      <c r="M1021" s="75"/>
      <c r="N1021" s="75"/>
      <c r="O1021" s="75"/>
      <c r="P1021" s="75"/>
      <c r="Q1021" s="75"/>
      <c r="R1021" s="75"/>
      <c r="S1021" s="75"/>
      <c r="T1021" s="75"/>
      <c r="U1021" s="75"/>
      <c r="V1021" s="76"/>
      <c r="W1021" s="205"/>
      <c r="X1021" s="1"/>
      <c r="Y1021" s="78">
        <f t="shared" si="128"/>
        <v>0</v>
      </c>
      <c r="Z1021" s="78">
        <f t="shared" si="129"/>
        <v>0</v>
      </c>
      <c r="AA1021" s="78">
        <f t="shared" si="135"/>
        <v>0</v>
      </c>
      <c r="AB1021" s="78">
        <f t="shared" si="130"/>
        <v>0</v>
      </c>
      <c r="AC1021" s="78"/>
      <c r="AD1021" s="78">
        <v>0</v>
      </c>
      <c r="AE1021" s="80">
        <f t="shared" si="132"/>
        <v>0</v>
      </c>
      <c r="AF1021" s="82">
        <v>0</v>
      </c>
      <c r="AG1021" s="69">
        <v>40403</v>
      </c>
      <c r="AH1021" s="84"/>
      <c r="AI1021" s="69" t="s">
        <v>1984</v>
      </c>
      <c r="AJ1021" s="25" t="s">
        <v>1985</v>
      </c>
      <c r="AK1021" s="65"/>
      <c r="AL1021" s="185" t="s">
        <v>1257</v>
      </c>
      <c r="AM1021" s="87" t="s">
        <v>1909</v>
      </c>
      <c r="AN1021" s="110"/>
      <c r="AO1021" s="4"/>
      <c r="AP1021" s="5"/>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6"/>
      <c r="CQ1021" s="7"/>
      <c r="CR1021" s="6"/>
      <c r="CS1021" s="7"/>
      <c r="CT1021" s="6"/>
      <c r="CU1021" s="7"/>
      <c r="CV1021" s="8">
        <f t="shared" si="131"/>
        <v>0</v>
      </c>
      <c r="CW1021" s="9"/>
      <c r="CX1021" s="10"/>
      <c r="CY1021" s="11"/>
      <c r="CZ1021" s="12"/>
      <c r="DA1021" s="29"/>
      <c r="DB1021" s="12"/>
      <c r="DC1021" s="9"/>
      <c r="DD1021" s="10"/>
      <c r="DE1021" s="71"/>
      <c r="DF1021" s="23">
        <v>1217</v>
      </c>
      <c r="EO1021" s="353" t="str">
        <f t="shared" si="134"/>
        <v>ATLANTICO_BARRANQUILLA</v>
      </c>
      <c r="EP1021" s="350"/>
      <c r="EQ1021" s="350" t="s">
        <v>4613</v>
      </c>
      <c r="ER1021" s="358" t="s">
        <v>4614</v>
      </c>
      <c r="ES1021" s="350" t="s">
        <v>5701</v>
      </c>
      <c r="ET1021" s="350" t="s">
        <v>3632</v>
      </c>
      <c r="EU1021" s="350" t="str">
        <f t="shared" si="136"/>
        <v>Valle del Cauca_Guacari</v>
      </c>
    </row>
    <row r="1022" spans="1:151" s="171" customFormat="1" ht="48" x14ac:dyDescent="0.2">
      <c r="A1022" s="242">
        <v>40402</v>
      </c>
      <c r="B1022" s="107" t="s">
        <v>2017</v>
      </c>
      <c r="C1022" s="107" t="s">
        <v>1215</v>
      </c>
      <c r="D1022" s="427" t="s">
        <v>837</v>
      </c>
      <c r="E1022" s="107" t="str">
        <f>VLOOKUP(B1022&amp;C1022,Divipola!$C$2:$F$1138,4,FALSE)</f>
        <v>13001</v>
      </c>
      <c r="F1022" s="330"/>
      <c r="G1022" s="224">
        <v>1</v>
      </c>
      <c r="H1022" s="75"/>
      <c r="I1022" s="75"/>
      <c r="J1022" s="75">
        <v>1100</v>
      </c>
      <c r="K1022" s="75">
        <v>220</v>
      </c>
      <c r="L1022" s="75"/>
      <c r="M1022" s="75">
        <v>220</v>
      </c>
      <c r="N1022" s="75"/>
      <c r="O1022" s="75"/>
      <c r="P1022" s="75"/>
      <c r="Q1022" s="75"/>
      <c r="R1022" s="75"/>
      <c r="S1022" s="75"/>
      <c r="T1022" s="75"/>
      <c r="U1022" s="75"/>
      <c r="V1022" s="76"/>
      <c r="W1022" s="205"/>
      <c r="X1022" s="1"/>
      <c r="Y1022" s="78">
        <f t="shared" si="128"/>
        <v>0</v>
      </c>
      <c r="Z1022" s="78">
        <f t="shared" si="129"/>
        <v>0</v>
      </c>
      <c r="AA1022" s="78">
        <f t="shared" si="135"/>
        <v>0</v>
      </c>
      <c r="AB1022" s="78">
        <f t="shared" si="130"/>
        <v>0</v>
      </c>
      <c r="AC1022" s="78"/>
      <c r="AD1022" s="78">
        <v>0</v>
      </c>
      <c r="AE1022" s="80">
        <f t="shared" si="132"/>
        <v>0</v>
      </c>
      <c r="AF1022" s="82">
        <v>0</v>
      </c>
      <c r="AG1022" s="69">
        <v>40403</v>
      </c>
      <c r="AH1022" s="84"/>
      <c r="AI1022" s="69" t="s">
        <v>1984</v>
      </c>
      <c r="AJ1022" s="25" t="s">
        <v>1985</v>
      </c>
      <c r="AK1022" s="65"/>
      <c r="AL1022" s="185" t="s">
        <v>1257</v>
      </c>
      <c r="AM1022" s="87" t="s">
        <v>1902</v>
      </c>
      <c r="AN1022" s="110"/>
      <c r="AO1022" s="4"/>
      <c r="AP1022" s="5"/>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6"/>
      <c r="CQ1022" s="7"/>
      <c r="CR1022" s="6"/>
      <c r="CS1022" s="7"/>
      <c r="CT1022" s="6"/>
      <c r="CU1022" s="7"/>
      <c r="CV1022" s="8">
        <f t="shared" si="131"/>
        <v>0</v>
      </c>
      <c r="CW1022" s="9"/>
      <c r="CX1022" s="10"/>
      <c r="CY1022" s="11"/>
      <c r="CZ1022" s="12"/>
      <c r="DA1022" s="29"/>
      <c r="DB1022" s="12"/>
      <c r="DC1022" s="9"/>
      <c r="DD1022" s="10"/>
      <c r="DE1022" s="71"/>
      <c r="DF1022" s="23">
        <v>1214</v>
      </c>
      <c r="EO1022" s="353" t="str">
        <f t="shared" si="134"/>
        <v>BOLIVAR_CARTAGENA</v>
      </c>
      <c r="EP1022" s="350"/>
      <c r="EQ1022" s="350" t="s">
        <v>4613</v>
      </c>
      <c r="ER1022" s="358" t="s">
        <v>4614</v>
      </c>
      <c r="ES1022" s="350" t="s">
        <v>5702</v>
      </c>
      <c r="ET1022" s="350" t="s">
        <v>3633</v>
      </c>
      <c r="EU1022" s="350" t="str">
        <f t="shared" si="136"/>
        <v>Valle del Cauca_Jamundi</v>
      </c>
    </row>
    <row r="1023" spans="1:151" s="171" customFormat="1" ht="48" x14ac:dyDescent="0.2">
      <c r="A1023" s="242">
        <v>40402</v>
      </c>
      <c r="B1023" s="107" t="s">
        <v>2017</v>
      </c>
      <c r="C1023" s="107" t="s">
        <v>1956</v>
      </c>
      <c r="D1023" s="427" t="s">
        <v>837</v>
      </c>
      <c r="E1023" s="107" t="str">
        <f>VLOOKUP(B1023&amp;C1023,Divipola!$C$2:$F$1138,4,FALSE)</f>
        <v>13836</v>
      </c>
      <c r="F1023" s="330"/>
      <c r="G1023" s="224"/>
      <c r="H1023" s="75"/>
      <c r="I1023" s="75"/>
      <c r="J1023" s="75">
        <f>1134*5</f>
        <v>5670</v>
      </c>
      <c r="K1023" s="75">
        <f>1141-7</f>
        <v>1134</v>
      </c>
      <c r="L1023" s="75"/>
      <c r="M1023" s="75">
        <v>456</v>
      </c>
      <c r="N1023" s="75"/>
      <c r="O1023" s="75"/>
      <c r="P1023" s="75"/>
      <c r="Q1023" s="75"/>
      <c r="R1023" s="75"/>
      <c r="S1023" s="75"/>
      <c r="T1023" s="75"/>
      <c r="U1023" s="75"/>
      <c r="V1023" s="76"/>
      <c r="W1023" s="205"/>
      <c r="X1023" s="1"/>
      <c r="Y1023" s="78">
        <f t="shared" si="128"/>
        <v>0</v>
      </c>
      <c r="Z1023" s="78">
        <f t="shared" si="129"/>
        <v>0</v>
      </c>
      <c r="AA1023" s="78">
        <f t="shared" si="135"/>
        <v>0</v>
      </c>
      <c r="AB1023" s="78">
        <f t="shared" si="130"/>
        <v>0</v>
      </c>
      <c r="AC1023" s="78"/>
      <c r="AD1023" s="78">
        <v>0</v>
      </c>
      <c r="AE1023" s="80">
        <f t="shared" si="132"/>
        <v>0</v>
      </c>
      <c r="AF1023" s="82">
        <v>0</v>
      </c>
      <c r="AG1023" s="69">
        <v>40403</v>
      </c>
      <c r="AH1023" s="84"/>
      <c r="AI1023" s="69" t="s">
        <v>1984</v>
      </c>
      <c r="AJ1023" s="25" t="s">
        <v>1985</v>
      </c>
      <c r="AK1023" s="65"/>
      <c r="AL1023" s="185" t="s">
        <v>1257</v>
      </c>
      <c r="AM1023" s="85" t="s">
        <v>1913</v>
      </c>
      <c r="AN1023" s="3"/>
      <c r="AO1023" s="4"/>
      <c r="AP1023" s="5"/>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6"/>
      <c r="CQ1023" s="7"/>
      <c r="CR1023" s="6"/>
      <c r="CS1023" s="7"/>
      <c r="CT1023" s="6"/>
      <c r="CU1023" s="7"/>
      <c r="CV1023" s="8">
        <f t="shared" si="131"/>
        <v>0</v>
      </c>
      <c r="CW1023" s="9"/>
      <c r="CX1023" s="10"/>
      <c r="CY1023" s="11"/>
      <c r="CZ1023" s="12"/>
      <c r="DA1023" s="29"/>
      <c r="DB1023" s="12"/>
      <c r="DC1023" s="9"/>
      <c r="DD1023" s="10"/>
      <c r="DE1023" s="71"/>
      <c r="DF1023" s="23"/>
      <c r="EO1023" s="353" t="str">
        <f t="shared" si="134"/>
        <v>BOLIVAR_TURBACO</v>
      </c>
      <c r="EP1023" s="350"/>
      <c r="EQ1023" s="350" t="s">
        <v>4613</v>
      </c>
      <c r="ER1023" s="358" t="s">
        <v>4614</v>
      </c>
      <c r="ES1023" s="350" t="s">
        <v>5703</v>
      </c>
      <c r="ET1023" s="350" t="s">
        <v>3634</v>
      </c>
      <c r="EU1023" s="350" t="str">
        <f t="shared" si="136"/>
        <v>Valle del Cauca_La Cumbre</v>
      </c>
    </row>
    <row r="1024" spans="1:151" s="171" customFormat="1" ht="38.25" x14ac:dyDescent="0.2">
      <c r="A1024" s="242">
        <v>40402</v>
      </c>
      <c r="B1024" s="107" t="s">
        <v>2425</v>
      </c>
      <c r="C1024" s="107" t="s">
        <v>1126</v>
      </c>
      <c r="D1024" s="427" t="s">
        <v>837</v>
      </c>
      <c r="E1024" s="107" t="str">
        <f>VLOOKUP(B1024&amp;C1024,Divipola!$C$2:$F$1138,4,FALSE)</f>
        <v>27077</v>
      </c>
      <c r="F1024" s="330"/>
      <c r="G1024" s="224">
        <v>4</v>
      </c>
      <c r="H1024" s="75"/>
      <c r="I1024" s="75"/>
      <c r="J1024" s="75"/>
      <c r="K1024" s="75"/>
      <c r="L1024" s="75"/>
      <c r="M1024" s="75"/>
      <c r="N1024" s="75"/>
      <c r="O1024" s="75"/>
      <c r="P1024" s="75"/>
      <c r="Q1024" s="75"/>
      <c r="R1024" s="75"/>
      <c r="S1024" s="75"/>
      <c r="T1024" s="75"/>
      <c r="U1024" s="75"/>
      <c r="V1024" s="76"/>
      <c r="W1024" s="205"/>
      <c r="X1024" s="1"/>
      <c r="Y1024" s="78">
        <f t="shared" si="128"/>
        <v>0</v>
      </c>
      <c r="Z1024" s="78">
        <f t="shared" si="129"/>
        <v>0</v>
      </c>
      <c r="AA1024" s="78">
        <f t="shared" si="135"/>
        <v>0</v>
      </c>
      <c r="AB1024" s="78">
        <f t="shared" si="130"/>
        <v>0</v>
      </c>
      <c r="AC1024" s="78"/>
      <c r="AD1024" s="78">
        <v>0</v>
      </c>
      <c r="AE1024" s="80">
        <f t="shared" si="132"/>
        <v>0</v>
      </c>
      <c r="AF1024" s="82">
        <v>0</v>
      </c>
      <c r="AG1024" s="69">
        <v>40403</v>
      </c>
      <c r="AH1024" s="84"/>
      <c r="AI1024" s="69" t="s">
        <v>1984</v>
      </c>
      <c r="AJ1024" s="25" t="s">
        <v>1985</v>
      </c>
      <c r="AK1024" s="65"/>
      <c r="AL1024" s="185" t="s">
        <v>1257</v>
      </c>
      <c r="AM1024" s="85" t="s">
        <v>1905</v>
      </c>
      <c r="AN1024" s="3"/>
      <c r="AO1024" s="4"/>
      <c r="AP1024" s="5"/>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6"/>
      <c r="CQ1024" s="7"/>
      <c r="CR1024" s="6"/>
      <c r="CS1024" s="7"/>
      <c r="CT1024" s="6"/>
      <c r="CU1024" s="7"/>
      <c r="CV1024" s="8">
        <f t="shared" si="131"/>
        <v>0</v>
      </c>
      <c r="CW1024" s="9"/>
      <c r="CX1024" s="10"/>
      <c r="CY1024" s="11"/>
      <c r="CZ1024" s="12"/>
      <c r="DA1024" s="29"/>
      <c r="DB1024" s="12"/>
      <c r="DC1024" s="9"/>
      <c r="DD1024" s="10"/>
      <c r="DE1024" s="71"/>
      <c r="DF1024" s="23"/>
      <c r="EO1024" s="353" t="str">
        <f t="shared" si="134"/>
        <v>CHOCO_BAJO BAUDO</v>
      </c>
      <c r="EP1024" s="350"/>
      <c r="EQ1024" s="350" t="s">
        <v>4613</v>
      </c>
      <c r="ER1024" s="358" t="s">
        <v>4614</v>
      </c>
      <c r="ES1024" s="350" t="s">
        <v>5704</v>
      </c>
      <c r="ET1024" s="350" t="s">
        <v>5893</v>
      </c>
      <c r="EU1024" s="350" t="str">
        <f t="shared" si="136"/>
        <v>Valle del Cauca_La Union</v>
      </c>
    </row>
    <row r="1025" spans="1:151" s="171" customFormat="1" ht="48" x14ac:dyDescent="0.2">
      <c r="A1025" s="242">
        <v>40402</v>
      </c>
      <c r="B1025" s="107" t="s">
        <v>5778</v>
      </c>
      <c r="C1025" s="107" t="s">
        <v>167</v>
      </c>
      <c r="D1025" s="427" t="s">
        <v>837</v>
      </c>
      <c r="E1025" s="107" t="str">
        <f>VLOOKUP(B1025&amp;C1025,Divipola!$C$2:$F$1138,4,FALSE)</f>
        <v>44090</v>
      </c>
      <c r="F1025" s="330"/>
      <c r="G1025" s="224"/>
      <c r="H1025" s="75"/>
      <c r="I1025" s="75"/>
      <c r="J1025" s="75">
        <v>849</v>
      </c>
      <c r="K1025" s="75">
        <v>178</v>
      </c>
      <c r="L1025" s="75"/>
      <c r="M1025" s="75">
        <v>178</v>
      </c>
      <c r="N1025" s="75"/>
      <c r="O1025" s="75"/>
      <c r="P1025" s="75"/>
      <c r="Q1025" s="75"/>
      <c r="R1025" s="75"/>
      <c r="S1025" s="75"/>
      <c r="T1025" s="75"/>
      <c r="U1025" s="75"/>
      <c r="V1025" s="76">
        <v>350</v>
      </c>
      <c r="W1025" s="205"/>
      <c r="X1025" s="1">
        <v>40466</v>
      </c>
      <c r="Y1025" s="78">
        <f t="shared" si="128"/>
        <v>10501779.279999999</v>
      </c>
      <c r="Z1025" s="78">
        <f t="shared" si="129"/>
        <v>15130000</v>
      </c>
      <c r="AA1025" s="78">
        <f t="shared" si="135"/>
        <v>0</v>
      </c>
      <c r="AB1025" s="78">
        <f t="shared" si="130"/>
        <v>0</v>
      </c>
      <c r="AC1025" s="78"/>
      <c r="AD1025" s="78">
        <v>0</v>
      </c>
      <c r="AE1025" s="80">
        <f t="shared" si="132"/>
        <v>25631779.280000001</v>
      </c>
      <c r="AF1025" s="82">
        <v>0</v>
      </c>
      <c r="AG1025" s="69">
        <v>40403</v>
      </c>
      <c r="AH1025" s="84">
        <v>51059</v>
      </c>
      <c r="AI1025" s="69" t="s">
        <v>2009</v>
      </c>
      <c r="AJ1025" s="25" t="s">
        <v>2010</v>
      </c>
      <c r="AK1025" s="88" t="s">
        <v>2660</v>
      </c>
      <c r="AL1025" s="185" t="s">
        <v>1628</v>
      </c>
      <c r="AM1025" s="85" t="s">
        <v>2563</v>
      </c>
      <c r="AN1025" s="3"/>
      <c r="AO1025" s="4"/>
      <c r="AP1025" s="5"/>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v>178</v>
      </c>
      <c r="CO1025" s="4">
        <f>178*19999.56</f>
        <v>3559921.68</v>
      </c>
      <c r="CP1025" s="6">
        <v>178</v>
      </c>
      <c r="CQ1025" s="7">
        <f>178*38999.2</f>
        <v>6941857.5999999996</v>
      </c>
      <c r="CR1025" s="6"/>
      <c r="CS1025" s="7"/>
      <c r="CT1025" s="6"/>
      <c r="CU1025" s="7"/>
      <c r="CV1025" s="8">
        <f t="shared" si="131"/>
        <v>10501779.279999999</v>
      </c>
      <c r="CW1025" s="9"/>
      <c r="CX1025" s="10"/>
      <c r="CY1025" s="11">
        <v>178</v>
      </c>
      <c r="CZ1025" s="12">
        <f>178*85000</f>
        <v>15130000</v>
      </c>
      <c r="DA1025" s="29"/>
      <c r="DB1025" s="12"/>
      <c r="DC1025" s="9"/>
      <c r="DD1025" s="10"/>
      <c r="DE1025" s="71"/>
      <c r="DF1025" s="23"/>
      <c r="EO1025" s="353" t="str">
        <f t="shared" si="134"/>
        <v>LA GUAJIRA_DIBULLA</v>
      </c>
      <c r="EP1025" s="350"/>
      <c r="EQ1025" s="350" t="s">
        <v>4613</v>
      </c>
      <c r="ER1025" s="358" t="s">
        <v>4614</v>
      </c>
      <c r="ES1025" s="350" t="s">
        <v>5705</v>
      </c>
      <c r="ET1025" s="350" t="s">
        <v>6066</v>
      </c>
      <c r="EU1025" s="350" t="str">
        <f t="shared" si="136"/>
        <v>Valle del Cauca_La Victoria</v>
      </c>
    </row>
    <row r="1026" spans="1:151" s="171" customFormat="1" ht="45" x14ac:dyDescent="0.2">
      <c r="A1026" s="242">
        <v>40402</v>
      </c>
      <c r="B1026" s="107" t="s">
        <v>5778</v>
      </c>
      <c r="C1026" s="107" t="s">
        <v>1332</v>
      </c>
      <c r="D1026" s="427" t="s">
        <v>837</v>
      </c>
      <c r="E1026" s="107" t="str">
        <f>VLOOKUP(B1026&amp;C1026,Divipola!$C$2:$F$1138,4,FALSE)</f>
        <v>44847</v>
      </c>
      <c r="F1026" s="330"/>
      <c r="G1026" s="224"/>
      <c r="H1026" s="75"/>
      <c r="I1026" s="75"/>
      <c r="J1026" s="75">
        <f>5797*5</f>
        <v>28985</v>
      </c>
      <c r="K1026" s="75">
        <v>5797</v>
      </c>
      <c r="L1026" s="75"/>
      <c r="M1026" s="75"/>
      <c r="N1026" s="75"/>
      <c r="O1026" s="75"/>
      <c r="P1026" s="75"/>
      <c r="Q1026" s="75"/>
      <c r="R1026" s="75"/>
      <c r="S1026" s="75"/>
      <c r="T1026" s="75"/>
      <c r="U1026" s="75"/>
      <c r="V1026" s="76"/>
      <c r="W1026" s="205"/>
      <c r="X1026" s="1">
        <v>40508</v>
      </c>
      <c r="Y1026" s="78">
        <f t="shared" si="128"/>
        <v>61320000</v>
      </c>
      <c r="Z1026" s="78">
        <f t="shared" si="129"/>
        <v>51000000</v>
      </c>
      <c r="AA1026" s="78">
        <f t="shared" si="135"/>
        <v>0</v>
      </c>
      <c r="AB1026" s="78">
        <f t="shared" si="130"/>
        <v>0</v>
      </c>
      <c r="AC1026" s="78"/>
      <c r="AD1026" s="78">
        <v>0</v>
      </c>
      <c r="AE1026" s="80">
        <f t="shared" si="132"/>
        <v>112320000</v>
      </c>
      <c r="AF1026" s="82">
        <v>0</v>
      </c>
      <c r="AG1026" s="69" t="s">
        <v>541</v>
      </c>
      <c r="AH1026" s="84">
        <v>55133</v>
      </c>
      <c r="AI1026" s="69" t="s">
        <v>2009</v>
      </c>
      <c r="AJ1026" s="25" t="s">
        <v>2010</v>
      </c>
      <c r="AK1026" s="65">
        <v>24642</v>
      </c>
      <c r="AL1026" s="185" t="s">
        <v>2182</v>
      </c>
      <c r="AM1026" s="85" t="s">
        <v>1903</v>
      </c>
      <c r="AN1026" s="3"/>
      <c r="AO1026" s="4"/>
      <c r="AP1026" s="5"/>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v>600</v>
      </c>
      <c r="BM1026" s="4">
        <f>600*25500</f>
        <v>15300000</v>
      </c>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6">
        <v>600</v>
      </c>
      <c r="CQ1026" s="7">
        <f>600*37000</f>
        <v>22200000</v>
      </c>
      <c r="CR1026" s="6">
        <v>600</v>
      </c>
      <c r="CS1026" s="7">
        <f>600*39700</f>
        <v>23820000</v>
      </c>
      <c r="CT1026" s="6"/>
      <c r="CU1026" s="7"/>
      <c r="CV1026" s="8">
        <f t="shared" si="131"/>
        <v>61320000</v>
      </c>
      <c r="CW1026" s="9"/>
      <c r="CX1026" s="10"/>
      <c r="CY1026" s="11">
        <v>600</v>
      </c>
      <c r="CZ1026" s="12">
        <f>600*85000</f>
        <v>51000000</v>
      </c>
      <c r="DA1026" s="29"/>
      <c r="DB1026" s="12"/>
      <c r="DC1026" s="9"/>
      <c r="DD1026" s="10"/>
      <c r="DE1026" s="71"/>
      <c r="DF1026" s="23"/>
      <c r="EO1026" s="353" t="str">
        <f t="shared" si="134"/>
        <v>LA GUAJIRA_URIBIA</v>
      </c>
      <c r="EP1026" s="350"/>
      <c r="EQ1026" s="350" t="s">
        <v>4613</v>
      </c>
      <c r="ER1026" s="358" t="s">
        <v>4614</v>
      </c>
      <c r="ES1026" s="350" t="s">
        <v>5706</v>
      </c>
      <c r="ET1026" s="350" t="s">
        <v>3635</v>
      </c>
      <c r="EU1026" s="350" t="str">
        <f t="shared" si="136"/>
        <v>Valle del Cauca_Obando</v>
      </c>
    </row>
    <row r="1027" spans="1:151" s="171" customFormat="1" ht="38.25" x14ac:dyDescent="0.2">
      <c r="A1027" s="246">
        <v>40403</v>
      </c>
      <c r="B1027" s="238" t="s">
        <v>2401</v>
      </c>
      <c r="C1027" s="238" t="s">
        <v>113</v>
      </c>
      <c r="D1027" s="431" t="s">
        <v>2307</v>
      </c>
      <c r="E1027" s="107" t="str">
        <f>VLOOKUP(B1027&amp;C1027,Divipola!$C$2:$F$1138,4,FALSE)</f>
        <v>05400</v>
      </c>
      <c r="F1027" s="334"/>
      <c r="G1027" s="226">
        <v>2</v>
      </c>
      <c r="H1027" s="75"/>
      <c r="I1027" s="75"/>
      <c r="J1027" s="75"/>
      <c r="K1027" s="75"/>
      <c r="L1027" s="75"/>
      <c r="M1027" s="75"/>
      <c r="N1027" s="75"/>
      <c r="O1027" s="75"/>
      <c r="P1027" s="75"/>
      <c r="Q1027" s="75"/>
      <c r="R1027" s="75"/>
      <c r="S1027" s="75"/>
      <c r="T1027" s="75"/>
      <c r="U1027" s="75"/>
      <c r="V1027" s="76"/>
      <c r="W1027" s="205"/>
      <c r="X1027" s="1"/>
      <c r="Y1027" s="78">
        <f t="shared" ref="Y1027:Y1090" si="137">CV1027</f>
        <v>0</v>
      </c>
      <c r="Z1027" s="78">
        <f t="shared" ref="Z1027:Z1090" si="138">CZ1027</f>
        <v>0</v>
      </c>
      <c r="AA1027" s="78">
        <f t="shared" si="135"/>
        <v>0</v>
      </c>
      <c r="AB1027" s="78">
        <f t="shared" ref="AB1027:AB1090" si="139">CX1027</f>
        <v>0</v>
      </c>
      <c r="AC1027" s="78"/>
      <c r="AD1027" s="78">
        <v>0</v>
      </c>
      <c r="AE1027" s="80">
        <f t="shared" si="132"/>
        <v>0</v>
      </c>
      <c r="AF1027" s="82">
        <v>0</v>
      </c>
      <c r="AG1027" s="69">
        <v>40407</v>
      </c>
      <c r="AH1027" s="84"/>
      <c r="AI1027" s="69" t="s">
        <v>1984</v>
      </c>
      <c r="AJ1027" s="25" t="s">
        <v>1985</v>
      </c>
      <c r="AK1027" s="65"/>
      <c r="AL1027" s="185" t="s">
        <v>1257</v>
      </c>
      <c r="AM1027" s="85" t="s">
        <v>1166</v>
      </c>
      <c r="AN1027" s="3"/>
      <c r="AO1027" s="4"/>
      <c r="AP1027" s="5"/>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6"/>
      <c r="CQ1027" s="7"/>
      <c r="CR1027" s="6"/>
      <c r="CS1027" s="7"/>
      <c r="CT1027" s="6"/>
      <c r="CU1027" s="7"/>
      <c r="CV1027" s="8">
        <f t="shared" ref="CV1027:CV1090" si="140">AO1027+AQ1027+AS1027+AU1027+AW1027+AY1027+BA1027+BC1027+BE1027+BG1027+BI1027+BK1027+BM1027+BO1027+BQ1027+BS1027+BU1027+BW1027+BY1027+CA1027+CC1027+CE1027+CG1027+CI1027+CK1027+CM1027+CO1027+CQ1027+CS1027+CU1027</f>
        <v>0</v>
      </c>
      <c r="CW1027" s="9"/>
      <c r="CX1027" s="10"/>
      <c r="CY1027" s="11"/>
      <c r="CZ1027" s="12"/>
      <c r="DA1027" s="29"/>
      <c r="DB1027" s="12"/>
      <c r="DC1027" s="9"/>
      <c r="DD1027" s="10"/>
      <c r="DE1027" s="71"/>
      <c r="DF1027" s="23"/>
      <c r="EO1027" s="353" t="str">
        <f t="shared" si="134"/>
        <v>ANTIOQUIA_LA UNION</v>
      </c>
      <c r="EP1027" s="350"/>
      <c r="EQ1027" s="350" t="s">
        <v>4613</v>
      </c>
      <c r="ER1027" s="358" t="s">
        <v>4614</v>
      </c>
      <c r="ES1027" s="350" t="s">
        <v>5707</v>
      </c>
      <c r="ET1027" s="350" t="s">
        <v>3636</v>
      </c>
      <c r="EU1027" s="350" t="str">
        <f t="shared" si="136"/>
        <v>Valle del Cauca_Palmira</v>
      </c>
    </row>
    <row r="1028" spans="1:151" s="171" customFormat="1" ht="38.25" x14ac:dyDescent="0.2">
      <c r="A1028" s="242">
        <v>40403</v>
      </c>
      <c r="B1028" s="107" t="s">
        <v>2425</v>
      </c>
      <c r="C1028" s="107" t="s">
        <v>2374</v>
      </c>
      <c r="D1028" s="427" t="s">
        <v>837</v>
      </c>
      <c r="E1028" s="107" t="str">
        <f>VLOOKUP(B1028&amp;C1028,Divipola!$C$2:$F$1138,4,FALSE)</f>
        <v>27001</v>
      </c>
      <c r="F1028" s="330"/>
      <c r="G1028" s="224">
        <v>1</v>
      </c>
      <c r="H1028" s="75"/>
      <c r="I1028" s="75"/>
      <c r="J1028" s="75"/>
      <c r="K1028" s="75"/>
      <c r="L1028" s="75"/>
      <c r="M1028" s="75"/>
      <c r="N1028" s="75"/>
      <c r="O1028" s="75"/>
      <c r="P1028" s="75"/>
      <c r="Q1028" s="75"/>
      <c r="R1028" s="75"/>
      <c r="S1028" s="75"/>
      <c r="T1028" s="75"/>
      <c r="U1028" s="75"/>
      <c r="V1028" s="76"/>
      <c r="W1028" s="205"/>
      <c r="X1028" s="1"/>
      <c r="Y1028" s="78">
        <f t="shared" si="137"/>
        <v>0</v>
      </c>
      <c r="Z1028" s="78">
        <f t="shared" si="138"/>
        <v>0</v>
      </c>
      <c r="AA1028" s="78">
        <f t="shared" si="135"/>
        <v>0</v>
      </c>
      <c r="AB1028" s="78">
        <f t="shared" si="139"/>
        <v>0</v>
      </c>
      <c r="AC1028" s="78"/>
      <c r="AD1028" s="78">
        <v>0</v>
      </c>
      <c r="AE1028" s="80">
        <f t="shared" si="132"/>
        <v>0</v>
      </c>
      <c r="AF1028" s="82">
        <v>0</v>
      </c>
      <c r="AG1028" s="69">
        <v>40407</v>
      </c>
      <c r="AH1028" s="84"/>
      <c r="AI1028" s="69" t="s">
        <v>1984</v>
      </c>
      <c r="AJ1028" s="25" t="s">
        <v>1985</v>
      </c>
      <c r="AK1028" s="65"/>
      <c r="AL1028" s="185" t="s">
        <v>1257</v>
      </c>
      <c r="AM1028" s="85" t="s">
        <v>1167</v>
      </c>
      <c r="AN1028" s="3"/>
      <c r="AO1028" s="4"/>
      <c r="AP1028" s="5"/>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6"/>
      <c r="CQ1028" s="7"/>
      <c r="CR1028" s="6"/>
      <c r="CS1028" s="7"/>
      <c r="CT1028" s="6"/>
      <c r="CU1028" s="7"/>
      <c r="CV1028" s="8">
        <f t="shared" si="140"/>
        <v>0</v>
      </c>
      <c r="CW1028" s="9"/>
      <c r="CX1028" s="10"/>
      <c r="CY1028" s="11"/>
      <c r="CZ1028" s="12"/>
      <c r="DA1028" s="29"/>
      <c r="DB1028" s="12"/>
      <c r="DC1028" s="9"/>
      <c r="DD1028" s="10"/>
      <c r="DE1028" s="71"/>
      <c r="DF1028" s="23"/>
      <c r="EO1028" s="353" t="str">
        <f t="shared" si="134"/>
        <v>CHOCO_QUIBDO</v>
      </c>
      <c r="EP1028" s="350"/>
      <c r="EQ1028" s="350" t="s">
        <v>4613</v>
      </c>
      <c r="ER1028" s="358" t="s">
        <v>4614</v>
      </c>
      <c r="ES1028" s="350" t="s">
        <v>5708</v>
      </c>
      <c r="ET1028" s="350" t="s">
        <v>3637</v>
      </c>
      <c r="EU1028" s="350" t="str">
        <f t="shared" si="136"/>
        <v>Valle del Cauca_Pradera</v>
      </c>
    </row>
    <row r="1029" spans="1:151" s="171" customFormat="1" ht="132" x14ac:dyDescent="0.2">
      <c r="A1029" s="242">
        <v>40403</v>
      </c>
      <c r="B1029" s="107" t="s">
        <v>1700</v>
      </c>
      <c r="C1029" s="107" t="s">
        <v>157</v>
      </c>
      <c r="D1029" s="427" t="s">
        <v>837</v>
      </c>
      <c r="E1029" s="107" t="str">
        <f>VLOOKUP(B1029&amp;C1029,Divipola!$C$2:$F$1138,4,FALSE)</f>
        <v>23300</v>
      </c>
      <c r="F1029" s="330"/>
      <c r="G1029" s="221"/>
      <c r="H1029" s="157"/>
      <c r="I1029" s="157"/>
      <c r="J1029" s="421">
        <f>3831*3.7</f>
        <v>14174.7</v>
      </c>
      <c r="K1029" s="157">
        <v>3831</v>
      </c>
      <c r="L1029" s="157"/>
      <c r="M1029" s="157">
        <v>3831</v>
      </c>
      <c r="N1029" s="157"/>
      <c r="O1029" s="157"/>
      <c r="P1029" s="157"/>
      <c r="Q1029" s="157"/>
      <c r="R1029" s="157"/>
      <c r="S1029" s="157"/>
      <c r="T1029" s="157"/>
      <c r="U1029" s="157"/>
      <c r="V1029" s="158"/>
      <c r="W1029" s="182"/>
      <c r="X1029" s="1">
        <v>40443</v>
      </c>
      <c r="Y1029" s="78">
        <f t="shared" si="137"/>
        <v>25259996.800000001</v>
      </c>
      <c r="Z1029" s="78">
        <f t="shared" si="138"/>
        <v>702270000</v>
      </c>
      <c r="AA1029" s="78">
        <f t="shared" si="135"/>
        <v>0</v>
      </c>
      <c r="AB1029" s="78">
        <f t="shared" si="139"/>
        <v>0</v>
      </c>
      <c r="AC1029" s="78"/>
      <c r="AD1029" s="78">
        <v>109978800</v>
      </c>
      <c r="AE1029" s="80">
        <f t="shared" si="132"/>
        <v>837508796.79999995</v>
      </c>
      <c r="AF1029" s="82">
        <v>0</v>
      </c>
      <c r="AG1029" s="69">
        <v>40413</v>
      </c>
      <c r="AH1029" s="84">
        <v>45965</v>
      </c>
      <c r="AI1029" s="69" t="s">
        <v>2009</v>
      </c>
      <c r="AJ1029" s="25" t="s">
        <v>2010</v>
      </c>
      <c r="AK1029" s="88" t="s">
        <v>1668</v>
      </c>
      <c r="AL1029" s="185" t="s">
        <v>2182</v>
      </c>
      <c r="AM1029" s="85" t="s">
        <v>326</v>
      </c>
      <c r="AN1029" s="159"/>
      <c r="AO1029" s="160"/>
      <c r="AP1029" s="161"/>
      <c r="AQ1029" s="160"/>
      <c r="AR1029" s="160"/>
      <c r="AS1029" s="160"/>
      <c r="AT1029" s="160"/>
      <c r="AU1029" s="160"/>
      <c r="AV1029" s="160"/>
      <c r="AW1029" s="160"/>
      <c r="AX1029" s="160"/>
      <c r="AY1029" s="160"/>
      <c r="AZ1029" s="160"/>
      <c r="BA1029" s="160"/>
      <c r="BB1029" s="160"/>
      <c r="BC1029" s="160"/>
      <c r="BD1029" s="160"/>
      <c r="BE1029" s="160"/>
      <c r="BF1029" s="160"/>
      <c r="BG1029" s="160"/>
      <c r="BH1029" s="160"/>
      <c r="BI1029" s="160"/>
      <c r="BJ1029" s="160"/>
      <c r="BK1029" s="160"/>
      <c r="BL1029" s="160"/>
      <c r="BM1029" s="160"/>
      <c r="BN1029" s="160"/>
      <c r="BO1029" s="160"/>
      <c r="BP1029" s="160"/>
      <c r="BQ1029" s="160"/>
      <c r="BR1029" s="160"/>
      <c r="BS1029" s="160"/>
      <c r="BT1029" s="160"/>
      <c r="BU1029" s="160"/>
      <c r="BV1029" s="160"/>
      <c r="BW1029" s="160"/>
      <c r="BX1029" s="160"/>
      <c r="BY1029" s="160"/>
      <c r="BZ1029" s="160">
        <f>2+10</f>
        <v>12</v>
      </c>
      <c r="CA1029" s="160">
        <f>2*520000+10*496999.68</f>
        <v>6009996.7999999998</v>
      </c>
      <c r="CB1029" s="160"/>
      <c r="CC1029" s="160"/>
      <c r="CD1029" s="160"/>
      <c r="CE1029" s="160"/>
      <c r="CF1029" s="160"/>
      <c r="CG1029" s="160"/>
      <c r="CH1029" s="160"/>
      <c r="CI1029" s="160"/>
      <c r="CJ1029" s="160"/>
      <c r="CK1029" s="160"/>
      <c r="CL1029" s="160"/>
      <c r="CM1029" s="160"/>
      <c r="CN1029" s="160"/>
      <c r="CO1029" s="160"/>
      <c r="CP1029" s="162">
        <v>500</v>
      </c>
      <c r="CQ1029" s="163">
        <f>500*38500</f>
        <v>19250000</v>
      </c>
      <c r="CR1029" s="162"/>
      <c r="CS1029" s="163"/>
      <c r="CT1029" s="162"/>
      <c r="CU1029" s="163"/>
      <c r="CV1029" s="164">
        <f t="shared" si="140"/>
        <v>25259996.800000001</v>
      </c>
      <c r="CW1029" s="165"/>
      <c r="CX1029" s="166"/>
      <c r="CY1029" s="167">
        <f>500+3831+100+3831</f>
        <v>8262</v>
      </c>
      <c r="CZ1029" s="168">
        <f>500*85000+3831*85000+100*85000+3831*85000</f>
        <v>702270000</v>
      </c>
      <c r="DA1029" s="169"/>
      <c r="DB1029" s="168"/>
      <c r="DC1029" s="165"/>
      <c r="DD1029" s="166"/>
      <c r="DE1029" s="89" t="s">
        <v>2866</v>
      </c>
      <c r="DF1029" s="170"/>
      <c r="EO1029" s="353" t="str">
        <f t="shared" si="134"/>
        <v>CORDOBA_COTORRA</v>
      </c>
      <c r="EP1029" s="350"/>
      <c r="EQ1029" s="350" t="s">
        <v>4613</v>
      </c>
      <c r="ER1029" s="358" t="s">
        <v>4614</v>
      </c>
      <c r="ES1029" s="350" t="s">
        <v>5709</v>
      </c>
      <c r="ET1029" s="350" t="s">
        <v>3369</v>
      </c>
      <c r="EU1029" s="350" t="str">
        <f t="shared" si="136"/>
        <v>Valle del Cauca_Restrepo</v>
      </c>
    </row>
    <row r="1030" spans="1:151" s="171" customFormat="1" ht="63.75" x14ac:dyDescent="0.2">
      <c r="A1030" s="242">
        <v>40403</v>
      </c>
      <c r="B1030" s="107" t="s">
        <v>1700</v>
      </c>
      <c r="C1030" s="107" t="s">
        <v>1337</v>
      </c>
      <c r="D1030" s="427" t="s">
        <v>837</v>
      </c>
      <c r="E1030" s="107" t="str">
        <f>VLOOKUP(B1030&amp;C1030,Divipola!$C$2:$F$1138,4,FALSE)</f>
        <v>23675</v>
      </c>
      <c r="F1030" s="330"/>
      <c r="G1030" s="224"/>
      <c r="H1030" s="75"/>
      <c r="I1030" s="75"/>
      <c r="J1030" s="75">
        <f>11655-500-450</f>
        <v>10705</v>
      </c>
      <c r="K1030" s="75">
        <f>2491-100-90</f>
        <v>2301</v>
      </c>
      <c r="L1030" s="75"/>
      <c r="M1030" s="75">
        <v>2300</v>
      </c>
      <c r="N1030" s="75"/>
      <c r="O1030" s="75"/>
      <c r="P1030" s="75"/>
      <c r="Q1030" s="75"/>
      <c r="R1030" s="75"/>
      <c r="S1030" s="75"/>
      <c r="T1030" s="75"/>
      <c r="U1030" s="75"/>
      <c r="V1030" s="76"/>
      <c r="W1030" s="205"/>
      <c r="X1030" s="1">
        <v>40443</v>
      </c>
      <c r="Y1030" s="78">
        <f t="shared" si="137"/>
        <v>32360000</v>
      </c>
      <c r="Z1030" s="78">
        <f t="shared" si="138"/>
        <v>266135000</v>
      </c>
      <c r="AA1030" s="78">
        <f t="shared" si="135"/>
        <v>0</v>
      </c>
      <c r="AB1030" s="78">
        <f t="shared" si="139"/>
        <v>0</v>
      </c>
      <c r="AC1030" s="78"/>
      <c r="AD1030" s="78">
        <v>0</v>
      </c>
      <c r="AE1030" s="80">
        <f t="shared" si="132"/>
        <v>298495000</v>
      </c>
      <c r="AF1030" s="82">
        <v>0</v>
      </c>
      <c r="AG1030" s="69">
        <v>40407</v>
      </c>
      <c r="AH1030" s="84"/>
      <c r="AI1030" s="69" t="s">
        <v>2009</v>
      </c>
      <c r="AJ1030" s="25" t="s">
        <v>2010</v>
      </c>
      <c r="AK1030" s="65">
        <v>19887</v>
      </c>
      <c r="AL1030" s="185" t="s">
        <v>2182</v>
      </c>
      <c r="AM1030" s="85" t="s">
        <v>1168</v>
      </c>
      <c r="AN1030" s="3"/>
      <c r="AO1030" s="4"/>
      <c r="AP1030" s="5"/>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v>3</v>
      </c>
      <c r="CA1030" s="4">
        <f>3*520000</f>
        <v>1560000</v>
      </c>
      <c r="CB1030" s="4"/>
      <c r="CC1030" s="4"/>
      <c r="CD1030" s="4"/>
      <c r="CE1030" s="4"/>
      <c r="CF1030" s="4"/>
      <c r="CG1030" s="4"/>
      <c r="CH1030" s="4"/>
      <c r="CI1030" s="4"/>
      <c r="CJ1030" s="4"/>
      <c r="CK1030" s="4"/>
      <c r="CL1030" s="4"/>
      <c r="CM1030" s="4"/>
      <c r="CN1030" s="4"/>
      <c r="CO1030" s="4"/>
      <c r="CP1030" s="6">
        <v>800</v>
      </c>
      <c r="CQ1030" s="7">
        <f>800*38500</f>
        <v>30800000</v>
      </c>
      <c r="CR1030" s="6"/>
      <c r="CS1030" s="7"/>
      <c r="CT1030" s="6"/>
      <c r="CU1030" s="7"/>
      <c r="CV1030" s="8">
        <f t="shared" si="140"/>
        <v>32360000</v>
      </c>
      <c r="CW1030" s="9"/>
      <c r="CX1030" s="10"/>
      <c r="CY1030" s="11">
        <f>800+2331</f>
        <v>3131</v>
      </c>
      <c r="CZ1030" s="12">
        <f>800*85000+2331*85000</f>
        <v>266135000</v>
      </c>
      <c r="DA1030" s="29"/>
      <c r="DB1030" s="12"/>
      <c r="DC1030" s="9"/>
      <c r="DD1030" s="10"/>
      <c r="DE1030" s="71"/>
      <c r="DF1030" s="23"/>
      <c r="EO1030" s="353" t="str">
        <f t="shared" si="134"/>
        <v>CORDOBA_SAN BERNARDO DEL VIENTO</v>
      </c>
      <c r="EP1030" s="350"/>
      <c r="EQ1030" s="350" t="s">
        <v>4613</v>
      </c>
      <c r="ER1030" s="358" t="s">
        <v>4614</v>
      </c>
      <c r="ES1030" s="350" t="s">
        <v>5710</v>
      </c>
      <c r="ET1030" s="350" t="s">
        <v>3638</v>
      </c>
      <c r="EU1030" s="350" t="str">
        <f t="shared" si="136"/>
        <v>Valle del Cauca_Riofrio</v>
      </c>
    </row>
    <row r="1031" spans="1:151" s="171" customFormat="1" ht="60" x14ac:dyDescent="0.2">
      <c r="A1031" s="242">
        <v>40404</v>
      </c>
      <c r="B1031" s="107" t="s">
        <v>708</v>
      </c>
      <c r="C1031" s="107" t="s">
        <v>2328</v>
      </c>
      <c r="D1031" s="427" t="s">
        <v>837</v>
      </c>
      <c r="E1031" s="107" t="str">
        <f>VLOOKUP(B1031&amp;C1031,Divipola!$C$2:$F$1138,4,FALSE)</f>
        <v>50001</v>
      </c>
      <c r="F1031" s="330"/>
      <c r="G1031" s="224"/>
      <c r="H1031" s="75"/>
      <c r="I1031" s="75"/>
      <c r="J1031" s="139">
        <f>1348-1143</f>
        <v>205</v>
      </c>
      <c r="K1031" s="75">
        <v>137</v>
      </c>
      <c r="L1031" s="75"/>
      <c r="M1031" s="75">
        <v>137</v>
      </c>
      <c r="N1031" s="75"/>
      <c r="O1031" s="75"/>
      <c r="P1031" s="75"/>
      <c r="Q1031" s="75"/>
      <c r="R1031" s="75"/>
      <c r="S1031" s="75"/>
      <c r="T1031" s="75"/>
      <c r="U1031" s="75"/>
      <c r="V1031" s="76"/>
      <c r="W1031" s="205"/>
      <c r="X1031" s="1"/>
      <c r="Y1031" s="78">
        <f t="shared" si="137"/>
        <v>0</v>
      </c>
      <c r="Z1031" s="78">
        <f t="shared" si="138"/>
        <v>0</v>
      </c>
      <c r="AA1031" s="78">
        <f t="shared" si="135"/>
        <v>0</v>
      </c>
      <c r="AB1031" s="78">
        <f t="shared" si="139"/>
        <v>0</v>
      </c>
      <c r="AC1031" s="78"/>
      <c r="AD1031" s="78">
        <v>0</v>
      </c>
      <c r="AE1031" s="80">
        <f t="shared" si="132"/>
        <v>0</v>
      </c>
      <c r="AF1031" s="82">
        <v>0</v>
      </c>
      <c r="AG1031" s="69">
        <v>40407</v>
      </c>
      <c r="AH1031" s="84"/>
      <c r="AI1031" s="69" t="s">
        <v>1984</v>
      </c>
      <c r="AJ1031" s="25" t="s">
        <v>1985</v>
      </c>
      <c r="AK1031" s="65"/>
      <c r="AL1031" s="185" t="s">
        <v>1257</v>
      </c>
      <c r="AM1031" s="85" t="s">
        <v>1169</v>
      </c>
      <c r="AN1031" s="3"/>
      <c r="AO1031" s="4"/>
      <c r="AP1031" s="5"/>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6"/>
      <c r="CQ1031" s="7"/>
      <c r="CR1031" s="6"/>
      <c r="CS1031" s="7"/>
      <c r="CT1031" s="6"/>
      <c r="CU1031" s="7"/>
      <c r="CV1031" s="8">
        <f t="shared" si="140"/>
        <v>0</v>
      </c>
      <c r="CW1031" s="9"/>
      <c r="CX1031" s="10"/>
      <c r="CY1031" s="11"/>
      <c r="CZ1031" s="12"/>
      <c r="DA1031" s="29"/>
      <c r="DB1031" s="12"/>
      <c r="DC1031" s="9"/>
      <c r="DD1031" s="10"/>
      <c r="DE1031" s="71"/>
      <c r="DF1031" s="23"/>
      <c r="EO1031" s="353" t="str">
        <f t="shared" si="134"/>
        <v>META_VILLAVICENCIO</v>
      </c>
      <c r="EP1031" s="350"/>
      <c r="EQ1031" s="350" t="s">
        <v>4613</v>
      </c>
      <c r="ER1031" s="358" t="s">
        <v>4614</v>
      </c>
      <c r="ES1031" s="350" t="s">
        <v>5711</v>
      </c>
      <c r="ET1031" s="350" t="s">
        <v>3639</v>
      </c>
      <c r="EU1031" s="350" t="str">
        <f t="shared" si="136"/>
        <v>Valle del Cauca_Roldanillo</v>
      </c>
    </row>
    <row r="1032" spans="1:151" s="171" customFormat="1" ht="38.25" x14ac:dyDescent="0.2">
      <c r="A1032" s="242">
        <v>40405</v>
      </c>
      <c r="B1032" s="107" t="s">
        <v>2007</v>
      </c>
      <c r="C1032" s="107" t="s">
        <v>1187</v>
      </c>
      <c r="D1032" s="427" t="s">
        <v>837</v>
      </c>
      <c r="E1032" s="107" t="str">
        <f>VLOOKUP(B1032&amp;C1032,Divipola!$C$2:$F$1138,4,FALSE)</f>
        <v>25506</v>
      </c>
      <c r="F1032" s="330"/>
      <c r="G1032" s="224">
        <v>1</v>
      </c>
      <c r="H1032" s="75"/>
      <c r="I1032" s="75"/>
      <c r="J1032" s="75"/>
      <c r="K1032" s="75"/>
      <c r="L1032" s="75"/>
      <c r="M1032" s="75"/>
      <c r="N1032" s="75"/>
      <c r="O1032" s="75"/>
      <c r="P1032" s="75"/>
      <c r="Q1032" s="75"/>
      <c r="R1032" s="75"/>
      <c r="S1032" s="75"/>
      <c r="T1032" s="75"/>
      <c r="U1032" s="75"/>
      <c r="V1032" s="76"/>
      <c r="W1032" s="205"/>
      <c r="X1032" s="1"/>
      <c r="Y1032" s="78">
        <f t="shared" si="137"/>
        <v>0</v>
      </c>
      <c r="Z1032" s="78">
        <f t="shared" si="138"/>
        <v>0</v>
      </c>
      <c r="AA1032" s="78">
        <f t="shared" si="135"/>
        <v>0</v>
      </c>
      <c r="AB1032" s="78">
        <f t="shared" si="139"/>
        <v>0</v>
      </c>
      <c r="AC1032" s="78"/>
      <c r="AD1032" s="78">
        <v>0</v>
      </c>
      <c r="AE1032" s="80">
        <f t="shared" si="132"/>
        <v>0</v>
      </c>
      <c r="AF1032" s="82">
        <v>0</v>
      </c>
      <c r="AG1032" s="69">
        <v>40408</v>
      </c>
      <c r="AH1032" s="84"/>
      <c r="AI1032" s="69" t="s">
        <v>1984</v>
      </c>
      <c r="AJ1032" s="25" t="s">
        <v>1985</v>
      </c>
      <c r="AK1032" s="65"/>
      <c r="AL1032" s="185" t="s">
        <v>1257</v>
      </c>
      <c r="AM1032" s="85" t="s">
        <v>482</v>
      </c>
      <c r="AN1032" s="3"/>
      <c r="AO1032" s="4"/>
      <c r="AP1032" s="5"/>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6"/>
      <c r="CQ1032" s="7"/>
      <c r="CR1032" s="6"/>
      <c r="CS1032" s="7"/>
      <c r="CT1032" s="6"/>
      <c r="CU1032" s="7"/>
      <c r="CV1032" s="8">
        <f t="shared" si="140"/>
        <v>0</v>
      </c>
      <c r="CW1032" s="9"/>
      <c r="CX1032" s="10"/>
      <c r="CY1032" s="11"/>
      <c r="CZ1032" s="12"/>
      <c r="DA1032" s="29"/>
      <c r="DB1032" s="12"/>
      <c r="DC1032" s="9"/>
      <c r="DD1032" s="10"/>
      <c r="DE1032" s="71"/>
      <c r="DF1032" s="23"/>
      <c r="EO1032" s="353" t="str">
        <f t="shared" si="134"/>
        <v>CUNDINAMARCA_VENECIA</v>
      </c>
      <c r="EP1032" s="350"/>
      <c r="EQ1032" s="350" t="s">
        <v>4613</v>
      </c>
      <c r="ER1032" s="358" t="s">
        <v>4614</v>
      </c>
      <c r="ES1032" s="350" t="s">
        <v>5712</v>
      </c>
      <c r="ET1032" s="350" t="s">
        <v>5922</v>
      </c>
      <c r="EU1032" s="350" t="str">
        <f t="shared" si="136"/>
        <v>Valle del Cauca_San Pedro</v>
      </c>
    </row>
    <row r="1033" spans="1:151" s="171" customFormat="1" ht="38.25" x14ac:dyDescent="0.2">
      <c r="A1033" s="242">
        <v>40405</v>
      </c>
      <c r="B1033" s="107" t="s">
        <v>2012</v>
      </c>
      <c r="C1033" s="236" t="s">
        <v>1103</v>
      </c>
      <c r="D1033" s="427" t="s">
        <v>2307</v>
      </c>
      <c r="E1033" s="107" t="str">
        <f>VLOOKUP(B1033&amp;C1033,Divipola!$C$2:$F$1138,4,FALSE)</f>
        <v>66075</v>
      </c>
      <c r="F1033" s="330"/>
      <c r="G1033" s="221"/>
      <c r="H1033" s="157"/>
      <c r="I1033" s="157"/>
      <c r="J1033" s="157"/>
      <c r="K1033" s="157"/>
      <c r="L1033" s="157"/>
      <c r="M1033" s="157"/>
      <c r="N1033" s="157"/>
      <c r="O1033" s="157"/>
      <c r="P1033" s="157"/>
      <c r="Q1033" s="157">
        <v>1</v>
      </c>
      <c r="R1033" s="157"/>
      <c r="S1033" s="157"/>
      <c r="T1033" s="157"/>
      <c r="U1033" s="157"/>
      <c r="V1033" s="158"/>
      <c r="W1033" s="182"/>
      <c r="X1033" s="1"/>
      <c r="Y1033" s="78">
        <f t="shared" si="137"/>
        <v>0</v>
      </c>
      <c r="Z1033" s="78">
        <f t="shared" si="138"/>
        <v>0</v>
      </c>
      <c r="AA1033" s="78">
        <f t="shared" si="135"/>
        <v>0</v>
      </c>
      <c r="AB1033" s="78">
        <f t="shared" si="139"/>
        <v>0</v>
      </c>
      <c r="AC1033" s="78"/>
      <c r="AD1033" s="78">
        <v>0</v>
      </c>
      <c r="AE1033" s="80">
        <f t="shared" ref="AE1033:AE1096" si="141">Y1033+Z1033+AA1033+AB1033+AC1033+AD1033</f>
        <v>0</v>
      </c>
      <c r="AF1033" s="82">
        <v>0</v>
      </c>
      <c r="AG1033" s="69">
        <v>40413</v>
      </c>
      <c r="AH1033" s="84"/>
      <c r="AI1033" s="69" t="s">
        <v>1984</v>
      </c>
      <c r="AJ1033" s="25" t="s">
        <v>1985</v>
      </c>
      <c r="AK1033" s="65"/>
      <c r="AL1033" s="176" t="s">
        <v>1257</v>
      </c>
      <c r="AM1033" s="85" t="s">
        <v>156</v>
      </c>
      <c r="AN1033" s="159"/>
      <c r="AO1033" s="160"/>
      <c r="AP1033" s="161"/>
      <c r="AQ1033" s="160"/>
      <c r="AR1033" s="160"/>
      <c r="AS1033" s="160"/>
      <c r="AT1033" s="160"/>
      <c r="AU1033" s="160"/>
      <c r="AV1033" s="160"/>
      <c r="AW1033" s="160"/>
      <c r="AX1033" s="160"/>
      <c r="AY1033" s="160"/>
      <c r="AZ1033" s="160"/>
      <c r="BA1033" s="160"/>
      <c r="BB1033" s="160"/>
      <c r="BC1033" s="160"/>
      <c r="BD1033" s="160"/>
      <c r="BE1033" s="160"/>
      <c r="BF1033" s="160"/>
      <c r="BG1033" s="160"/>
      <c r="BH1033" s="160"/>
      <c r="BI1033" s="160"/>
      <c r="BJ1033" s="160"/>
      <c r="BK1033" s="160"/>
      <c r="BL1033" s="160"/>
      <c r="BM1033" s="160"/>
      <c r="BN1033" s="160"/>
      <c r="BO1033" s="160"/>
      <c r="BP1033" s="160"/>
      <c r="BQ1033" s="160"/>
      <c r="BR1033" s="160"/>
      <c r="BS1033" s="160"/>
      <c r="BT1033" s="160"/>
      <c r="BU1033" s="160"/>
      <c r="BV1033" s="160"/>
      <c r="BW1033" s="160"/>
      <c r="BX1033" s="160"/>
      <c r="BY1033" s="160"/>
      <c r="BZ1033" s="160"/>
      <c r="CA1033" s="160"/>
      <c r="CB1033" s="160"/>
      <c r="CC1033" s="160"/>
      <c r="CD1033" s="160"/>
      <c r="CE1033" s="160"/>
      <c r="CF1033" s="160"/>
      <c r="CG1033" s="160"/>
      <c r="CH1033" s="160"/>
      <c r="CI1033" s="160"/>
      <c r="CJ1033" s="160"/>
      <c r="CK1033" s="160"/>
      <c r="CL1033" s="160"/>
      <c r="CM1033" s="160"/>
      <c r="CN1033" s="160"/>
      <c r="CO1033" s="160"/>
      <c r="CP1033" s="162"/>
      <c r="CQ1033" s="163"/>
      <c r="CR1033" s="162"/>
      <c r="CS1033" s="163"/>
      <c r="CT1033" s="162"/>
      <c r="CU1033" s="163"/>
      <c r="CV1033" s="164">
        <f t="shared" si="140"/>
        <v>0</v>
      </c>
      <c r="CW1033" s="165"/>
      <c r="CX1033" s="166"/>
      <c r="CY1033" s="167"/>
      <c r="CZ1033" s="168"/>
      <c r="DA1033" s="169"/>
      <c r="DB1033" s="168"/>
      <c r="DC1033" s="165"/>
      <c r="DD1033" s="166"/>
      <c r="DE1033" s="71"/>
      <c r="DF1033" s="170"/>
      <c r="EO1033" s="353" t="str">
        <f t="shared" si="134"/>
        <v>RISARALDA_BALBOA</v>
      </c>
      <c r="EP1033" s="350"/>
      <c r="EQ1033" s="350" t="s">
        <v>4613</v>
      </c>
      <c r="ER1033" s="358" t="s">
        <v>4614</v>
      </c>
      <c r="ES1033" s="350" t="s">
        <v>5713</v>
      </c>
      <c r="ET1033" s="350" t="s">
        <v>3640</v>
      </c>
      <c r="EU1033" s="350" t="str">
        <f t="shared" si="136"/>
        <v>Valle del Cauca_Sevilla</v>
      </c>
    </row>
    <row r="1034" spans="1:151" s="171" customFormat="1" ht="51" x14ac:dyDescent="0.2">
      <c r="A1034" s="242">
        <v>40405</v>
      </c>
      <c r="B1034" s="107" t="s">
        <v>1462</v>
      </c>
      <c r="C1034" s="107" t="s">
        <v>4615</v>
      </c>
      <c r="D1034" s="427" t="s">
        <v>1721</v>
      </c>
      <c r="E1034" s="107" t="str">
        <f>VLOOKUP(B1034&amp;C1034,Divipola!$C$2:$F$1138,4,FALSE)</f>
        <v>76001</v>
      </c>
      <c r="F1034" s="330"/>
      <c r="G1034" s="224"/>
      <c r="H1034" s="75"/>
      <c r="I1034" s="75"/>
      <c r="J1034" s="75">
        <v>21</v>
      </c>
      <c r="K1034" s="75">
        <v>4</v>
      </c>
      <c r="L1034" s="75">
        <v>4</v>
      </c>
      <c r="M1034" s="75"/>
      <c r="N1034" s="75"/>
      <c r="O1034" s="75"/>
      <c r="P1034" s="75"/>
      <c r="Q1034" s="75"/>
      <c r="R1034" s="75"/>
      <c r="S1034" s="75"/>
      <c r="T1034" s="75"/>
      <c r="U1034" s="75"/>
      <c r="V1034" s="76"/>
      <c r="W1034" s="205"/>
      <c r="X1034" s="1"/>
      <c r="Y1034" s="78">
        <f t="shared" si="137"/>
        <v>0</v>
      </c>
      <c r="Z1034" s="78">
        <f t="shared" si="138"/>
        <v>0</v>
      </c>
      <c r="AA1034" s="78">
        <f t="shared" si="135"/>
        <v>0</v>
      </c>
      <c r="AB1034" s="78">
        <f t="shared" si="139"/>
        <v>0</v>
      </c>
      <c r="AC1034" s="78"/>
      <c r="AD1034" s="78">
        <v>0</v>
      </c>
      <c r="AE1034" s="80">
        <f t="shared" si="141"/>
        <v>0</v>
      </c>
      <c r="AF1034" s="82">
        <v>0</v>
      </c>
      <c r="AG1034" s="69">
        <v>40407</v>
      </c>
      <c r="AH1034" s="84"/>
      <c r="AI1034" s="69" t="s">
        <v>1984</v>
      </c>
      <c r="AJ1034" s="25" t="s">
        <v>1985</v>
      </c>
      <c r="AK1034" s="65"/>
      <c r="AL1034" s="185" t="s">
        <v>1257</v>
      </c>
      <c r="AM1034" s="85" t="s">
        <v>1170</v>
      </c>
      <c r="AN1034" s="3"/>
      <c r="AO1034" s="4"/>
      <c r="AP1034" s="5"/>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6"/>
      <c r="CQ1034" s="7"/>
      <c r="CR1034" s="6"/>
      <c r="CS1034" s="7"/>
      <c r="CT1034" s="6"/>
      <c r="CU1034" s="7"/>
      <c r="CV1034" s="8">
        <f t="shared" si="140"/>
        <v>0</v>
      </c>
      <c r="CW1034" s="9"/>
      <c r="CX1034" s="10"/>
      <c r="CY1034" s="11"/>
      <c r="CZ1034" s="12"/>
      <c r="DA1034" s="29"/>
      <c r="DB1034" s="12"/>
      <c r="DC1034" s="9"/>
      <c r="DD1034" s="10"/>
      <c r="DE1034" s="71"/>
      <c r="DF1034" s="23"/>
      <c r="EO1034" s="353" t="str">
        <f t="shared" si="134"/>
        <v>VALLE DEL CAUCA_CALI</v>
      </c>
      <c r="EP1034" s="350"/>
      <c r="EQ1034" s="350" t="s">
        <v>4613</v>
      </c>
      <c r="ER1034" s="358" t="s">
        <v>4614</v>
      </c>
      <c r="ES1034" s="350" t="s">
        <v>5714</v>
      </c>
      <c r="ET1034" s="350" t="s">
        <v>3641</v>
      </c>
      <c r="EU1034" s="350" t="str">
        <f t="shared" si="136"/>
        <v>Valle del Cauca_Toro</v>
      </c>
    </row>
    <row r="1035" spans="1:151" s="171" customFormat="1" ht="132" x14ac:dyDescent="0.2">
      <c r="A1035" s="242">
        <v>40406</v>
      </c>
      <c r="B1035" s="107" t="s">
        <v>1700</v>
      </c>
      <c r="C1035" s="107" t="s">
        <v>1469</v>
      </c>
      <c r="D1035" s="427" t="s">
        <v>837</v>
      </c>
      <c r="E1035" s="107" t="str">
        <f>VLOOKUP(B1035&amp;C1035,Divipola!$C$2:$F$1138,4,FALSE)</f>
        <v>23686</v>
      </c>
      <c r="F1035" s="330"/>
      <c r="G1035" s="224"/>
      <c r="H1035" s="75"/>
      <c r="I1035" s="75"/>
      <c r="J1035" s="75">
        <f>39245-140</f>
        <v>39105</v>
      </c>
      <c r="K1035" s="75">
        <f>7849-28</f>
        <v>7821</v>
      </c>
      <c r="L1035" s="75"/>
      <c r="M1035" s="75">
        <v>1330</v>
      </c>
      <c r="N1035" s="75"/>
      <c r="O1035" s="75"/>
      <c r="P1035" s="75"/>
      <c r="Q1035" s="75"/>
      <c r="R1035" s="75"/>
      <c r="S1035" s="75"/>
      <c r="T1035" s="75"/>
      <c r="U1035" s="75"/>
      <c r="V1035" s="76"/>
      <c r="W1035" s="205"/>
      <c r="X1035" s="1">
        <v>40437</v>
      </c>
      <c r="Y1035" s="78">
        <f t="shared" si="137"/>
        <v>4203936</v>
      </c>
      <c r="Z1035" s="78">
        <f t="shared" si="138"/>
        <v>307615000</v>
      </c>
      <c r="AA1035" s="78">
        <f t="shared" si="135"/>
        <v>0</v>
      </c>
      <c r="AB1035" s="78">
        <f t="shared" si="139"/>
        <v>0</v>
      </c>
      <c r="AC1035" s="78"/>
      <c r="AD1035" s="78">
        <v>0</v>
      </c>
      <c r="AE1035" s="80">
        <f t="shared" si="141"/>
        <v>311818936</v>
      </c>
      <c r="AF1035" s="82">
        <v>0</v>
      </c>
      <c r="AG1035" s="69">
        <v>40408</v>
      </c>
      <c r="AH1035" s="84">
        <v>38767</v>
      </c>
      <c r="AI1035" s="69" t="s">
        <v>2009</v>
      </c>
      <c r="AJ1035" s="25" t="s">
        <v>2010</v>
      </c>
      <c r="AK1035" s="88" t="s">
        <v>2168</v>
      </c>
      <c r="AL1035" s="185" t="s">
        <v>2182</v>
      </c>
      <c r="AM1035" s="181" t="s">
        <v>686</v>
      </c>
      <c r="AN1035" s="3"/>
      <c r="AO1035" s="4"/>
      <c r="AP1035" s="5"/>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4"/>
      <c r="BX1035" s="4"/>
      <c r="BY1035" s="4"/>
      <c r="BZ1035" s="4">
        <v>1</v>
      </c>
      <c r="CA1035" s="4">
        <f>1*504000</f>
        <v>504000</v>
      </c>
      <c r="CB1035" s="4"/>
      <c r="CC1035" s="4"/>
      <c r="CD1035" s="4"/>
      <c r="CE1035" s="4"/>
      <c r="CF1035" s="4"/>
      <c r="CG1035" s="4"/>
      <c r="CH1035" s="4"/>
      <c r="CI1035" s="4"/>
      <c r="CJ1035" s="4"/>
      <c r="CK1035" s="4"/>
      <c r="CL1035" s="4"/>
      <c r="CM1035" s="4"/>
      <c r="CN1035" s="4"/>
      <c r="CO1035" s="4"/>
      <c r="CP1035" s="6">
        <v>100</v>
      </c>
      <c r="CQ1035" s="7">
        <f>100*36999.36</f>
        <v>3699936</v>
      </c>
      <c r="CR1035" s="6"/>
      <c r="CS1035" s="7"/>
      <c r="CT1035" s="6"/>
      <c r="CU1035" s="7"/>
      <c r="CV1035" s="8">
        <f t="shared" si="140"/>
        <v>4203936</v>
      </c>
      <c r="CW1035" s="9"/>
      <c r="CX1035" s="10"/>
      <c r="CY1035" s="11">
        <f>100+1330+2189</f>
        <v>3619</v>
      </c>
      <c r="CZ1035" s="12">
        <f>100*85000+1330*85000+2189*85000</f>
        <v>307615000</v>
      </c>
      <c r="DA1035" s="29"/>
      <c r="DB1035" s="12"/>
      <c r="DC1035" s="9"/>
      <c r="DD1035" s="10"/>
      <c r="DE1035" s="71"/>
      <c r="DF1035" s="23"/>
      <c r="EO1035" s="353" t="str">
        <f t="shared" si="134"/>
        <v>CORDOBA_SAN PELAYO</v>
      </c>
      <c r="EP1035" s="350"/>
      <c r="EQ1035" s="350" t="s">
        <v>4613</v>
      </c>
      <c r="ER1035" s="358" t="s">
        <v>4614</v>
      </c>
      <c r="ES1035" s="350" t="s">
        <v>5715</v>
      </c>
      <c r="ET1035" s="350" t="s">
        <v>3642</v>
      </c>
      <c r="EU1035" s="350" t="str">
        <f t="shared" si="136"/>
        <v>Valle del Cauca_Trujillo</v>
      </c>
    </row>
    <row r="1036" spans="1:151" s="171" customFormat="1" ht="51" x14ac:dyDescent="0.2">
      <c r="A1036" s="242">
        <v>40406</v>
      </c>
      <c r="B1036" s="222" t="s">
        <v>2012</v>
      </c>
      <c r="C1036" s="222" t="s">
        <v>2118</v>
      </c>
      <c r="D1036" s="430" t="s">
        <v>2209</v>
      </c>
      <c r="E1036" s="107" t="str">
        <f>VLOOKUP(B1036&amp;C1036,Divipola!$C$2:$F$1138,4,FALSE)</f>
        <v>66682</v>
      </c>
      <c r="F1036" s="333"/>
      <c r="G1036" s="221"/>
      <c r="H1036" s="157"/>
      <c r="I1036" s="157"/>
      <c r="J1036" s="157">
        <v>140</v>
      </c>
      <c r="K1036" s="157">
        <v>35</v>
      </c>
      <c r="L1036" s="157"/>
      <c r="M1036" s="157"/>
      <c r="N1036" s="157"/>
      <c r="O1036" s="157"/>
      <c r="P1036" s="157"/>
      <c r="Q1036" s="157"/>
      <c r="R1036" s="157"/>
      <c r="S1036" s="157"/>
      <c r="T1036" s="157"/>
      <c r="U1036" s="157"/>
      <c r="V1036" s="158"/>
      <c r="W1036" s="182"/>
      <c r="X1036" s="1"/>
      <c r="Y1036" s="78">
        <f t="shared" si="137"/>
        <v>0</v>
      </c>
      <c r="Z1036" s="78">
        <f t="shared" si="138"/>
        <v>0</v>
      </c>
      <c r="AA1036" s="78">
        <f t="shared" si="135"/>
        <v>0</v>
      </c>
      <c r="AB1036" s="78">
        <f t="shared" si="139"/>
        <v>0</v>
      </c>
      <c r="AC1036" s="78"/>
      <c r="AD1036" s="78">
        <v>0</v>
      </c>
      <c r="AE1036" s="80">
        <f t="shared" si="141"/>
        <v>0</v>
      </c>
      <c r="AF1036" s="82">
        <v>0</v>
      </c>
      <c r="AG1036" s="69">
        <v>40624</v>
      </c>
      <c r="AH1036" s="84"/>
      <c r="AI1036" s="69" t="s">
        <v>1984</v>
      </c>
      <c r="AJ1036" s="25" t="s">
        <v>1985</v>
      </c>
      <c r="AK1036" s="65"/>
      <c r="AL1036" s="176" t="s">
        <v>1257</v>
      </c>
      <c r="AM1036" s="173" t="s">
        <v>457</v>
      </c>
      <c r="AN1036" s="159"/>
      <c r="AO1036" s="160"/>
      <c r="AP1036" s="161"/>
      <c r="AQ1036" s="160"/>
      <c r="AR1036" s="160"/>
      <c r="AS1036" s="160"/>
      <c r="AT1036" s="160"/>
      <c r="AU1036" s="160"/>
      <c r="AV1036" s="160"/>
      <c r="AW1036" s="160"/>
      <c r="AX1036" s="160"/>
      <c r="AY1036" s="160"/>
      <c r="AZ1036" s="160"/>
      <c r="BA1036" s="160"/>
      <c r="BB1036" s="160"/>
      <c r="BC1036" s="160"/>
      <c r="BD1036" s="160"/>
      <c r="BE1036" s="160"/>
      <c r="BF1036" s="160"/>
      <c r="BG1036" s="160"/>
      <c r="BH1036" s="160"/>
      <c r="BI1036" s="160"/>
      <c r="BJ1036" s="160"/>
      <c r="BK1036" s="160"/>
      <c r="BL1036" s="160"/>
      <c r="BM1036" s="160"/>
      <c r="BN1036" s="160"/>
      <c r="BO1036" s="160"/>
      <c r="BP1036" s="160"/>
      <c r="BQ1036" s="160"/>
      <c r="BR1036" s="160"/>
      <c r="BS1036" s="160"/>
      <c r="BT1036" s="160"/>
      <c r="BU1036" s="160"/>
      <c r="BV1036" s="160"/>
      <c r="BW1036" s="160"/>
      <c r="BX1036" s="160"/>
      <c r="BY1036" s="160"/>
      <c r="BZ1036" s="160"/>
      <c r="CA1036" s="160"/>
      <c r="CB1036" s="160"/>
      <c r="CC1036" s="160"/>
      <c r="CD1036" s="160"/>
      <c r="CE1036" s="160"/>
      <c r="CF1036" s="160"/>
      <c r="CG1036" s="160"/>
      <c r="CH1036" s="160"/>
      <c r="CI1036" s="160"/>
      <c r="CJ1036" s="160"/>
      <c r="CK1036" s="160"/>
      <c r="CL1036" s="160"/>
      <c r="CM1036" s="160"/>
      <c r="CN1036" s="160"/>
      <c r="CO1036" s="160"/>
      <c r="CP1036" s="162"/>
      <c r="CQ1036" s="163"/>
      <c r="CR1036" s="162"/>
      <c r="CS1036" s="163"/>
      <c r="CT1036" s="162"/>
      <c r="CU1036" s="163"/>
      <c r="CV1036" s="164">
        <f t="shared" si="140"/>
        <v>0</v>
      </c>
      <c r="CW1036" s="165"/>
      <c r="CX1036" s="166"/>
      <c r="CY1036" s="167"/>
      <c r="CZ1036" s="168"/>
      <c r="DA1036" s="169"/>
      <c r="DB1036" s="168"/>
      <c r="DC1036" s="165"/>
      <c r="DD1036" s="166"/>
      <c r="DE1036" s="71"/>
      <c r="DF1036" s="170"/>
      <c r="EO1036" s="353" t="str">
        <f t="shared" si="134"/>
        <v>RISARALDA_SANTA ROSA DE CABAL</v>
      </c>
      <c r="EP1036" s="350"/>
      <c r="EQ1036" s="350" t="s">
        <v>4613</v>
      </c>
      <c r="ER1036" s="358" t="s">
        <v>4614</v>
      </c>
      <c r="ES1036" s="350" t="s">
        <v>5716</v>
      </c>
      <c r="ET1036" s="350" t="s">
        <v>3643</v>
      </c>
      <c r="EU1036" s="350" t="str">
        <f t="shared" si="136"/>
        <v>Valle del Cauca_Tulua</v>
      </c>
    </row>
    <row r="1037" spans="1:151" s="171" customFormat="1" ht="51" x14ac:dyDescent="0.2">
      <c r="A1037" s="242">
        <v>40406</v>
      </c>
      <c r="B1037" s="107" t="s">
        <v>1972</v>
      </c>
      <c r="C1037" s="107" t="s">
        <v>1972</v>
      </c>
      <c r="D1037" s="427" t="s">
        <v>2734</v>
      </c>
      <c r="E1037" s="107" t="str">
        <f>VLOOKUP(B1037&amp;C1037,Divipola!$C$2:$F$1138,4,FALSE)</f>
        <v>88001</v>
      </c>
      <c r="F1037" s="330"/>
      <c r="G1037" s="224">
        <v>1</v>
      </c>
      <c r="H1037" s="75">
        <v>120</v>
      </c>
      <c r="I1037" s="75"/>
      <c r="J1037" s="75"/>
      <c r="K1037" s="75"/>
      <c r="L1037" s="75"/>
      <c r="M1037" s="75"/>
      <c r="N1037" s="75"/>
      <c r="O1037" s="75"/>
      <c r="P1037" s="75"/>
      <c r="Q1037" s="75"/>
      <c r="R1037" s="75"/>
      <c r="S1037" s="75"/>
      <c r="T1037" s="75"/>
      <c r="U1037" s="75"/>
      <c r="V1037" s="76"/>
      <c r="W1037" s="205"/>
      <c r="X1037" s="1"/>
      <c r="Y1037" s="78">
        <f t="shared" si="137"/>
        <v>0</v>
      </c>
      <c r="Z1037" s="78">
        <f t="shared" si="138"/>
        <v>0</v>
      </c>
      <c r="AA1037" s="78">
        <f t="shared" si="135"/>
        <v>0</v>
      </c>
      <c r="AB1037" s="78">
        <f t="shared" si="139"/>
        <v>0</v>
      </c>
      <c r="AC1037" s="78"/>
      <c r="AD1037" s="78">
        <v>0</v>
      </c>
      <c r="AE1037" s="80">
        <f t="shared" si="141"/>
        <v>0</v>
      </c>
      <c r="AF1037" s="82">
        <v>0</v>
      </c>
      <c r="AG1037" s="69">
        <v>40407</v>
      </c>
      <c r="AH1037" s="84"/>
      <c r="AI1037" s="69" t="s">
        <v>1984</v>
      </c>
      <c r="AJ1037" s="25" t="s">
        <v>1985</v>
      </c>
      <c r="AK1037" s="65"/>
      <c r="AL1037" s="185" t="s">
        <v>1257</v>
      </c>
      <c r="AM1037" s="85" t="s">
        <v>1171</v>
      </c>
      <c r="AN1037" s="3"/>
      <c r="AO1037" s="4"/>
      <c r="AP1037" s="5"/>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6"/>
      <c r="CQ1037" s="7"/>
      <c r="CR1037" s="6"/>
      <c r="CS1037" s="7"/>
      <c r="CT1037" s="6"/>
      <c r="CU1037" s="7"/>
      <c r="CV1037" s="8">
        <f t="shared" si="140"/>
        <v>0</v>
      </c>
      <c r="CW1037" s="9"/>
      <c r="CX1037" s="10"/>
      <c r="CY1037" s="11"/>
      <c r="CZ1037" s="12"/>
      <c r="DA1037" s="29"/>
      <c r="DB1037" s="12"/>
      <c r="DC1037" s="9"/>
      <c r="DD1037" s="10"/>
      <c r="DE1037" s="71"/>
      <c r="DF1037" s="23"/>
      <c r="EO1037" s="353" t="str">
        <f t="shared" si="134"/>
        <v>SAN ANDRES_SAN ANDRES</v>
      </c>
      <c r="EP1037" s="350"/>
      <c r="EQ1037" s="350" t="s">
        <v>4613</v>
      </c>
      <c r="ER1037" s="358" t="s">
        <v>4614</v>
      </c>
      <c r="ES1037" s="350" t="s">
        <v>5717</v>
      </c>
      <c r="ET1037" s="350" t="s">
        <v>3644</v>
      </c>
      <c r="EU1037" s="350" t="str">
        <f t="shared" si="136"/>
        <v>Valle del Cauca_Ulloa</v>
      </c>
    </row>
    <row r="1038" spans="1:151" s="171" customFormat="1" ht="38.25" x14ac:dyDescent="0.2">
      <c r="A1038" s="242">
        <v>40407</v>
      </c>
      <c r="B1038" s="222" t="s">
        <v>2013</v>
      </c>
      <c r="C1038" s="222" t="s">
        <v>2013</v>
      </c>
      <c r="D1038" s="430" t="s">
        <v>837</v>
      </c>
      <c r="E1038" s="107" t="str">
        <f>VLOOKUP(B1038&amp;C1038,Divipola!$C$2:$F$1138,4,FALSE)</f>
        <v>00000</v>
      </c>
      <c r="F1038" s="333"/>
      <c r="G1038" s="221"/>
      <c r="H1038" s="157"/>
      <c r="I1038" s="157"/>
      <c r="J1038" s="157"/>
      <c r="K1038" s="157"/>
      <c r="L1038" s="157"/>
      <c r="M1038" s="157"/>
      <c r="N1038" s="157"/>
      <c r="O1038" s="157"/>
      <c r="P1038" s="157"/>
      <c r="Q1038" s="157"/>
      <c r="R1038" s="157"/>
      <c r="S1038" s="157"/>
      <c r="T1038" s="157"/>
      <c r="U1038" s="157"/>
      <c r="V1038" s="158"/>
      <c r="W1038" s="182"/>
      <c r="X1038" s="1">
        <v>40476</v>
      </c>
      <c r="Y1038" s="78">
        <f t="shared" si="137"/>
        <v>0</v>
      </c>
      <c r="Z1038" s="78">
        <f t="shared" si="138"/>
        <v>0</v>
      </c>
      <c r="AA1038" s="78">
        <f t="shared" si="135"/>
        <v>0</v>
      </c>
      <c r="AB1038" s="78">
        <f t="shared" si="139"/>
        <v>27000000</v>
      </c>
      <c r="AC1038" s="78"/>
      <c r="AD1038" s="78">
        <v>0</v>
      </c>
      <c r="AE1038" s="80">
        <f t="shared" si="141"/>
        <v>27000000</v>
      </c>
      <c r="AF1038" s="82">
        <v>0</v>
      </c>
      <c r="AG1038" s="69">
        <v>40407</v>
      </c>
      <c r="AH1038" s="84">
        <v>41217</v>
      </c>
      <c r="AI1038" s="69" t="s">
        <v>2009</v>
      </c>
      <c r="AJ1038" s="25" t="s">
        <v>2010</v>
      </c>
      <c r="AK1038" s="65">
        <v>21328</v>
      </c>
      <c r="AL1038" s="176"/>
      <c r="AM1038" s="173" t="s">
        <v>2283</v>
      </c>
      <c r="AN1038" s="159"/>
      <c r="AO1038" s="160"/>
      <c r="AP1038" s="161"/>
      <c r="AQ1038" s="160"/>
      <c r="AR1038" s="160"/>
      <c r="AS1038" s="160"/>
      <c r="AT1038" s="160"/>
      <c r="AU1038" s="160"/>
      <c r="AV1038" s="160"/>
      <c r="AW1038" s="160"/>
      <c r="AX1038" s="160"/>
      <c r="AY1038" s="160"/>
      <c r="AZ1038" s="160"/>
      <c r="BA1038" s="160"/>
      <c r="BB1038" s="160"/>
      <c r="BC1038" s="160"/>
      <c r="BD1038" s="160"/>
      <c r="BE1038" s="160"/>
      <c r="BF1038" s="160"/>
      <c r="BG1038" s="160"/>
      <c r="BH1038" s="160"/>
      <c r="BI1038" s="160"/>
      <c r="BJ1038" s="160"/>
      <c r="BK1038" s="160"/>
      <c r="BL1038" s="160"/>
      <c r="BM1038" s="160"/>
      <c r="BN1038" s="160"/>
      <c r="BO1038" s="160"/>
      <c r="BP1038" s="160"/>
      <c r="BQ1038" s="160"/>
      <c r="BR1038" s="160"/>
      <c r="BS1038" s="160"/>
      <c r="BT1038" s="160"/>
      <c r="BU1038" s="160"/>
      <c r="BV1038" s="160"/>
      <c r="BW1038" s="160"/>
      <c r="BX1038" s="160"/>
      <c r="BY1038" s="160"/>
      <c r="BZ1038" s="160"/>
      <c r="CA1038" s="160"/>
      <c r="CB1038" s="160"/>
      <c r="CC1038" s="160"/>
      <c r="CD1038" s="160"/>
      <c r="CE1038" s="160"/>
      <c r="CF1038" s="160"/>
      <c r="CG1038" s="160"/>
      <c r="CH1038" s="160"/>
      <c r="CI1038" s="160"/>
      <c r="CJ1038" s="160"/>
      <c r="CK1038" s="160"/>
      <c r="CL1038" s="160"/>
      <c r="CM1038" s="160"/>
      <c r="CN1038" s="160"/>
      <c r="CO1038" s="160"/>
      <c r="CP1038" s="162"/>
      <c r="CQ1038" s="163"/>
      <c r="CR1038" s="162"/>
      <c r="CS1038" s="163"/>
      <c r="CT1038" s="162"/>
      <c r="CU1038" s="163"/>
      <c r="CV1038" s="164">
        <f t="shared" si="140"/>
        <v>0</v>
      </c>
      <c r="CW1038" s="165">
        <v>30000</v>
      </c>
      <c r="CX1038" s="166">
        <f>30000*900</f>
        <v>27000000</v>
      </c>
      <c r="CY1038" s="167"/>
      <c r="CZ1038" s="168"/>
      <c r="DA1038" s="169"/>
      <c r="DB1038" s="168"/>
      <c r="DC1038" s="165"/>
      <c r="DD1038" s="166"/>
      <c r="DE1038" s="71"/>
      <c r="DF1038" s="170"/>
      <c r="EO1038" s="353" t="str">
        <f t="shared" si="134"/>
        <v>NACION_NACION</v>
      </c>
      <c r="EP1038" s="350"/>
      <c r="EQ1038" s="350" t="s">
        <v>4613</v>
      </c>
      <c r="ER1038" s="358" t="s">
        <v>4614</v>
      </c>
      <c r="ES1038" s="350" t="s">
        <v>5718</v>
      </c>
      <c r="ET1038" s="350" t="s">
        <v>3645</v>
      </c>
      <c r="EU1038" s="350" t="str">
        <f t="shared" si="136"/>
        <v>Valle del Cauca_Versalles</v>
      </c>
    </row>
    <row r="1039" spans="1:151" s="171" customFormat="1" ht="132" x14ac:dyDescent="0.2">
      <c r="A1039" s="242">
        <v>40407</v>
      </c>
      <c r="B1039" s="222" t="s">
        <v>1336</v>
      </c>
      <c r="C1039" s="222" t="s">
        <v>1350</v>
      </c>
      <c r="D1039" s="430" t="s">
        <v>837</v>
      </c>
      <c r="E1039" s="107" t="str">
        <f>VLOOKUP(B1039&amp;C1039,Divipola!$C$2:$F$1138,4,FALSE)</f>
        <v>54223</v>
      </c>
      <c r="F1039" s="333"/>
      <c r="G1039" s="221"/>
      <c r="H1039" s="157"/>
      <c r="I1039" s="157"/>
      <c r="J1039" s="157">
        <f>1336-130-100</f>
        <v>1106</v>
      </c>
      <c r="K1039" s="157">
        <f>334-26-20</f>
        <v>288</v>
      </c>
      <c r="L1039" s="157"/>
      <c r="M1039" s="157">
        <f>178-22</f>
        <v>156</v>
      </c>
      <c r="N1039" s="157">
        <v>6</v>
      </c>
      <c r="O1039" s="157"/>
      <c r="P1039" s="157">
        <v>1</v>
      </c>
      <c r="Q1039" s="157">
        <v>1</v>
      </c>
      <c r="R1039" s="157"/>
      <c r="S1039" s="157"/>
      <c r="T1039" s="157">
        <v>4</v>
      </c>
      <c r="U1039" s="157"/>
      <c r="V1039" s="158"/>
      <c r="W1039" s="182" t="s">
        <v>2180</v>
      </c>
      <c r="X1039" s="1">
        <v>40515</v>
      </c>
      <c r="Y1039" s="78">
        <f t="shared" si="137"/>
        <v>0</v>
      </c>
      <c r="Z1039" s="78">
        <f t="shared" si="138"/>
        <v>0</v>
      </c>
      <c r="AA1039" s="78">
        <f>800*21315+550*19952+4000*994.12+20*200000.24+100*140000.4+4800*104.4</f>
        <v>50503244.799999997</v>
      </c>
      <c r="AB1039" s="78">
        <f t="shared" si="139"/>
        <v>0</v>
      </c>
      <c r="AC1039" s="78"/>
      <c r="AD1039" s="78">
        <v>0</v>
      </c>
      <c r="AE1039" s="80">
        <f t="shared" si="141"/>
        <v>50503244.799999997</v>
      </c>
      <c r="AF1039" s="82">
        <v>0</v>
      </c>
      <c r="AG1039" s="69">
        <v>40441</v>
      </c>
      <c r="AH1039" s="94" t="s">
        <v>1629</v>
      </c>
      <c r="AI1039" s="69" t="s">
        <v>2009</v>
      </c>
      <c r="AJ1039" s="25" t="s">
        <v>2010</v>
      </c>
      <c r="AK1039" s="65">
        <v>25687</v>
      </c>
      <c r="AL1039" s="176" t="s">
        <v>1627</v>
      </c>
      <c r="AM1039" s="173" t="s">
        <v>537</v>
      </c>
      <c r="AN1039" s="159"/>
      <c r="AO1039" s="160"/>
      <c r="AP1039" s="161"/>
      <c r="AQ1039" s="160"/>
      <c r="AR1039" s="160"/>
      <c r="AS1039" s="160"/>
      <c r="AT1039" s="160"/>
      <c r="AU1039" s="160"/>
      <c r="AV1039" s="160"/>
      <c r="AW1039" s="160"/>
      <c r="AX1039" s="160"/>
      <c r="AY1039" s="160"/>
      <c r="AZ1039" s="160"/>
      <c r="BA1039" s="160"/>
      <c r="BB1039" s="160"/>
      <c r="BC1039" s="160"/>
      <c r="BD1039" s="160"/>
      <c r="BE1039" s="160"/>
      <c r="BF1039" s="160"/>
      <c r="BG1039" s="160"/>
      <c r="BH1039" s="160"/>
      <c r="BI1039" s="160"/>
      <c r="BJ1039" s="160"/>
      <c r="BK1039" s="160"/>
      <c r="BL1039" s="160"/>
      <c r="BM1039" s="160"/>
      <c r="BN1039" s="160"/>
      <c r="BO1039" s="160"/>
      <c r="BP1039" s="160"/>
      <c r="BQ1039" s="160"/>
      <c r="BR1039" s="160"/>
      <c r="BS1039" s="160"/>
      <c r="BT1039" s="160"/>
      <c r="BU1039" s="160"/>
      <c r="BV1039" s="160"/>
      <c r="BW1039" s="160"/>
      <c r="BX1039" s="160"/>
      <c r="BY1039" s="160"/>
      <c r="BZ1039" s="160"/>
      <c r="CA1039" s="160"/>
      <c r="CB1039" s="160"/>
      <c r="CC1039" s="160"/>
      <c r="CD1039" s="160"/>
      <c r="CE1039" s="160"/>
      <c r="CF1039" s="160"/>
      <c r="CG1039" s="160"/>
      <c r="CH1039" s="160"/>
      <c r="CI1039" s="160"/>
      <c r="CJ1039" s="160"/>
      <c r="CK1039" s="160"/>
      <c r="CL1039" s="160"/>
      <c r="CM1039" s="160"/>
      <c r="CN1039" s="160"/>
      <c r="CO1039" s="160"/>
      <c r="CP1039" s="162"/>
      <c r="CQ1039" s="163"/>
      <c r="CR1039" s="162"/>
      <c r="CS1039" s="163"/>
      <c r="CT1039" s="162"/>
      <c r="CU1039" s="163"/>
      <c r="CV1039" s="164">
        <f t="shared" si="140"/>
        <v>0</v>
      </c>
      <c r="CW1039" s="165"/>
      <c r="CX1039" s="166"/>
      <c r="CY1039" s="167"/>
      <c r="CZ1039" s="168"/>
      <c r="DA1039" s="169"/>
      <c r="DB1039" s="168"/>
      <c r="DC1039" s="165"/>
      <c r="DD1039" s="166"/>
      <c r="DE1039" s="71"/>
      <c r="DF1039" s="170">
        <v>1284</v>
      </c>
      <c r="EO1039" s="353" t="str">
        <f t="shared" si="134"/>
        <v>NORTE DE SANTANDER_CUCUTILLA</v>
      </c>
      <c r="EP1039" s="350"/>
      <c r="EQ1039" s="350" t="s">
        <v>4613</v>
      </c>
      <c r="ER1039" s="358" t="s">
        <v>4614</v>
      </c>
      <c r="ES1039" s="350" t="s">
        <v>5719</v>
      </c>
      <c r="ET1039" s="350" t="s">
        <v>3646</v>
      </c>
      <c r="EU1039" s="350" t="str">
        <f t="shared" si="136"/>
        <v>Valle del Cauca_Vijes</v>
      </c>
    </row>
    <row r="1040" spans="1:151" s="171" customFormat="1" ht="63.75" x14ac:dyDescent="0.2">
      <c r="A1040" s="242">
        <v>40407</v>
      </c>
      <c r="B1040" s="107" t="s">
        <v>1336</v>
      </c>
      <c r="C1040" s="107" t="s">
        <v>483</v>
      </c>
      <c r="D1040" s="427" t="s">
        <v>2209</v>
      </c>
      <c r="E1040" s="107" t="str">
        <f>VLOOKUP(B1040&amp;C1040,Divipola!$C$2:$F$1138,4,FALSE)</f>
        <v>54553</v>
      </c>
      <c r="F1040" s="330"/>
      <c r="G1040" s="224"/>
      <c r="H1040" s="75"/>
      <c r="I1040" s="75"/>
      <c r="J1040" s="75"/>
      <c r="K1040" s="75"/>
      <c r="L1040" s="75"/>
      <c r="M1040" s="75"/>
      <c r="N1040" s="75"/>
      <c r="O1040" s="75"/>
      <c r="P1040" s="75"/>
      <c r="Q1040" s="75"/>
      <c r="R1040" s="75"/>
      <c r="S1040" s="75"/>
      <c r="T1040" s="75"/>
      <c r="U1040" s="75"/>
      <c r="V1040" s="76"/>
      <c r="W1040" s="205"/>
      <c r="X1040" s="1"/>
      <c r="Y1040" s="78">
        <f t="shared" si="137"/>
        <v>0</v>
      </c>
      <c r="Z1040" s="78">
        <f t="shared" si="138"/>
        <v>0</v>
      </c>
      <c r="AA1040" s="78">
        <f t="shared" ref="AA1040:AA1080" si="142">DB1040+DD1040</f>
        <v>0</v>
      </c>
      <c r="AB1040" s="78">
        <f t="shared" si="139"/>
        <v>0</v>
      </c>
      <c r="AC1040" s="78"/>
      <c r="AD1040" s="78">
        <v>0</v>
      </c>
      <c r="AE1040" s="80">
        <f t="shared" si="141"/>
        <v>0</v>
      </c>
      <c r="AF1040" s="82">
        <v>0</v>
      </c>
      <c r="AG1040" s="69">
        <v>40408</v>
      </c>
      <c r="AH1040" s="84"/>
      <c r="AI1040" s="69" t="s">
        <v>1984</v>
      </c>
      <c r="AJ1040" s="25" t="s">
        <v>1985</v>
      </c>
      <c r="AK1040" s="65"/>
      <c r="AL1040" s="185" t="s">
        <v>1257</v>
      </c>
      <c r="AM1040" s="85" t="s">
        <v>484</v>
      </c>
      <c r="AN1040" s="3"/>
      <c r="AO1040" s="4"/>
      <c r="AP1040" s="5"/>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6"/>
      <c r="CQ1040" s="7"/>
      <c r="CR1040" s="6"/>
      <c r="CS1040" s="7"/>
      <c r="CT1040" s="6"/>
      <c r="CU1040" s="7"/>
      <c r="CV1040" s="8">
        <f t="shared" si="140"/>
        <v>0</v>
      </c>
      <c r="CW1040" s="9"/>
      <c r="CX1040" s="10"/>
      <c r="CY1040" s="11"/>
      <c r="CZ1040" s="12"/>
      <c r="DA1040" s="29"/>
      <c r="DB1040" s="12"/>
      <c r="DC1040" s="9"/>
      <c r="DD1040" s="10"/>
      <c r="DE1040" s="71"/>
      <c r="DF1040" s="23"/>
      <c r="EO1040" s="353" t="str">
        <f t="shared" si="134"/>
        <v>NORTE DE SANTANDER_PUERTO SANTANDER</v>
      </c>
      <c r="EP1040" s="350"/>
      <c r="EQ1040" s="350" t="s">
        <v>4613</v>
      </c>
      <c r="ER1040" s="358" t="s">
        <v>4614</v>
      </c>
      <c r="ES1040" s="350" t="s">
        <v>5720</v>
      </c>
      <c r="ET1040" s="350" t="s">
        <v>3647</v>
      </c>
      <c r="EU1040" s="350" t="str">
        <f t="shared" si="136"/>
        <v>Valle del Cauca_Yotoco</v>
      </c>
    </row>
    <row r="1041" spans="1:151" s="171" customFormat="1" ht="38.25" x14ac:dyDescent="0.2">
      <c r="A1041" s="242">
        <v>40407</v>
      </c>
      <c r="B1041" s="107" t="s">
        <v>2791</v>
      </c>
      <c r="C1041" s="107" t="s">
        <v>1945</v>
      </c>
      <c r="D1041" s="427" t="s">
        <v>2307</v>
      </c>
      <c r="E1041" s="107" t="str">
        <f>VLOOKUP(B1041&amp;C1041,Divipola!$C$2:$F$1138,4,FALSE)</f>
        <v>73001</v>
      </c>
      <c r="F1041" s="330"/>
      <c r="G1041" s="224">
        <v>1</v>
      </c>
      <c r="H1041" s="75">
        <v>1</v>
      </c>
      <c r="I1041" s="75"/>
      <c r="J1041" s="75"/>
      <c r="K1041" s="75"/>
      <c r="L1041" s="75"/>
      <c r="M1041" s="75"/>
      <c r="N1041" s="75"/>
      <c r="O1041" s="75"/>
      <c r="P1041" s="75"/>
      <c r="Q1041" s="75"/>
      <c r="R1041" s="75"/>
      <c r="S1041" s="75"/>
      <c r="T1041" s="75"/>
      <c r="U1041" s="75"/>
      <c r="V1041" s="76"/>
      <c r="W1041" s="205"/>
      <c r="X1041" s="1"/>
      <c r="Y1041" s="78">
        <f t="shared" si="137"/>
        <v>0</v>
      </c>
      <c r="Z1041" s="78">
        <f t="shared" si="138"/>
        <v>0</v>
      </c>
      <c r="AA1041" s="78">
        <f t="shared" si="142"/>
        <v>0</v>
      </c>
      <c r="AB1041" s="78">
        <f t="shared" si="139"/>
        <v>0</v>
      </c>
      <c r="AC1041" s="78"/>
      <c r="AD1041" s="78">
        <v>0</v>
      </c>
      <c r="AE1041" s="80">
        <f t="shared" si="141"/>
        <v>0</v>
      </c>
      <c r="AF1041" s="82">
        <v>0</v>
      </c>
      <c r="AG1041" s="69">
        <v>40408</v>
      </c>
      <c r="AH1041" s="84"/>
      <c r="AI1041" s="69" t="s">
        <v>1984</v>
      </c>
      <c r="AJ1041" s="25" t="s">
        <v>1985</v>
      </c>
      <c r="AK1041" s="65"/>
      <c r="AL1041" s="185" t="s">
        <v>1257</v>
      </c>
      <c r="AM1041" s="85" t="s">
        <v>1186</v>
      </c>
      <c r="AN1041" s="3"/>
      <c r="AO1041" s="4"/>
      <c r="AP1041" s="5"/>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6"/>
      <c r="CQ1041" s="7"/>
      <c r="CR1041" s="6"/>
      <c r="CS1041" s="7"/>
      <c r="CT1041" s="6"/>
      <c r="CU1041" s="7"/>
      <c r="CV1041" s="8">
        <f t="shared" si="140"/>
        <v>0</v>
      </c>
      <c r="CW1041" s="9"/>
      <c r="CX1041" s="10"/>
      <c r="CY1041" s="11"/>
      <c r="CZ1041" s="12"/>
      <c r="DA1041" s="29"/>
      <c r="DB1041" s="12"/>
      <c r="DC1041" s="9"/>
      <c r="DD1041" s="10"/>
      <c r="DE1041" s="71"/>
      <c r="DF1041" s="23"/>
      <c r="EO1041" s="353" t="str">
        <f t="shared" si="134"/>
        <v>TOLIMA_IBAGUE</v>
      </c>
      <c r="EP1041" s="350"/>
      <c r="EQ1041" s="350" t="s">
        <v>4613</v>
      </c>
      <c r="ER1041" s="358" t="s">
        <v>4614</v>
      </c>
      <c r="ES1041" s="350" t="s">
        <v>5721</v>
      </c>
      <c r="ET1041" s="350" t="s">
        <v>3648</v>
      </c>
      <c r="EU1041" s="350" t="str">
        <f t="shared" si="136"/>
        <v>Valle del Cauca_Yumbo</v>
      </c>
    </row>
    <row r="1042" spans="1:151" s="171" customFormat="1" ht="38.25" x14ac:dyDescent="0.2">
      <c r="A1042" s="242">
        <v>40408</v>
      </c>
      <c r="B1042" s="107" t="s">
        <v>1951</v>
      </c>
      <c r="C1042" s="107" t="s">
        <v>1949</v>
      </c>
      <c r="D1042" s="427" t="s">
        <v>837</v>
      </c>
      <c r="E1042" s="107" t="str">
        <f>VLOOKUP(B1042&amp;C1042,Divipola!$C$2:$F$1138,4,FALSE)</f>
        <v>08436</v>
      </c>
      <c r="F1042" s="330"/>
      <c r="G1042" s="224"/>
      <c r="H1042" s="75"/>
      <c r="I1042" s="75"/>
      <c r="J1042" s="422">
        <f>150*3.7</f>
        <v>555</v>
      </c>
      <c r="K1042" s="75">
        <v>150</v>
      </c>
      <c r="L1042" s="75"/>
      <c r="M1042" s="75">
        <v>150</v>
      </c>
      <c r="N1042" s="75"/>
      <c r="O1042" s="75"/>
      <c r="P1042" s="75"/>
      <c r="Q1042" s="75"/>
      <c r="R1042" s="75"/>
      <c r="S1042" s="75"/>
      <c r="T1042" s="75"/>
      <c r="U1042" s="75"/>
      <c r="V1042" s="76"/>
      <c r="W1042" s="205"/>
      <c r="X1042" s="1"/>
      <c r="Y1042" s="78">
        <f t="shared" si="137"/>
        <v>0</v>
      </c>
      <c r="Z1042" s="78">
        <f t="shared" si="138"/>
        <v>0</v>
      </c>
      <c r="AA1042" s="78">
        <f t="shared" si="142"/>
        <v>0</v>
      </c>
      <c r="AB1042" s="78">
        <f t="shared" si="139"/>
        <v>0</v>
      </c>
      <c r="AC1042" s="78"/>
      <c r="AD1042" s="78">
        <v>0</v>
      </c>
      <c r="AE1042" s="80">
        <f t="shared" si="141"/>
        <v>0</v>
      </c>
      <c r="AF1042" s="82">
        <v>0</v>
      </c>
      <c r="AG1042" s="69">
        <v>40413</v>
      </c>
      <c r="AH1042" s="84"/>
      <c r="AI1042" s="69" t="s">
        <v>2009</v>
      </c>
      <c r="AJ1042" s="25" t="s">
        <v>2010</v>
      </c>
      <c r="AK1042" s="65"/>
      <c r="AL1042" s="184" t="s">
        <v>3833</v>
      </c>
      <c r="AM1042" s="85" t="s">
        <v>488</v>
      </c>
      <c r="AN1042" s="3"/>
      <c r="AO1042" s="4"/>
      <c r="AP1042" s="5"/>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6"/>
      <c r="CQ1042" s="7"/>
      <c r="CR1042" s="6"/>
      <c r="CS1042" s="7"/>
      <c r="CT1042" s="6"/>
      <c r="CU1042" s="7"/>
      <c r="CV1042" s="8">
        <f t="shared" si="140"/>
        <v>0</v>
      </c>
      <c r="CW1042" s="9"/>
      <c r="CX1042" s="10"/>
      <c r="CY1042" s="11"/>
      <c r="CZ1042" s="12"/>
      <c r="DA1042" s="29"/>
      <c r="DB1042" s="12"/>
      <c r="DC1042" s="9"/>
      <c r="DD1042" s="10"/>
      <c r="DE1042" s="71"/>
      <c r="DF1042" s="23"/>
      <c r="EO1042" s="353" t="str">
        <f t="shared" si="134"/>
        <v>ATLANTICO_MANATI</v>
      </c>
      <c r="EP1042" s="350"/>
      <c r="EQ1042" s="350" t="s">
        <v>4613</v>
      </c>
      <c r="ER1042" s="358" t="s">
        <v>4614</v>
      </c>
      <c r="ES1042" s="350" t="s">
        <v>5722</v>
      </c>
      <c r="ET1042" s="350" t="s">
        <v>3649</v>
      </c>
      <c r="EU1042" s="350" t="str">
        <f t="shared" si="136"/>
        <v>Valle del Cauca_Zarzal</v>
      </c>
    </row>
    <row r="1043" spans="1:151" s="171" customFormat="1" ht="38.25" x14ac:dyDescent="0.2">
      <c r="A1043" s="242">
        <v>40408</v>
      </c>
      <c r="B1043" s="107" t="s">
        <v>1951</v>
      </c>
      <c r="C1043" s="107" t="s">
        <v>158</v>
      </c>
      <c r="D1043" s="427" t="s">
        <v>2209</v>
      </c>
      <c r="E1043" s="107" t="str">
        <f>VLOOKUP(B1043&amp;C1043,Divipola!$C$2:$F$1138,4,FALSE)</f>
        <v>08573</v>
      </c>
      <c r="F1043" s="330"/>
      <c r="G1043" s="224"/>
      <c r="H1043" s="75"/>
      <c r="I1043" s="75"/>
      <c r="J1043" s="75">
        <v>250</v>
      </c>
      <c r="K1043" s="75">
        <v>50</v>
      </c>
      <c r="L1043" s="75"/>
      <c r="M1043" s="75">
        <v>50</v>
      </c>
      <c r="N1043" s="75"/>
      <c r="O1043" s="75"/>
      <c r="P1043" s="75"/>
      <c r="Q1043" s="75"/>
      <c r="R1043" s="75"/>
      <c r="S1043" s="75"/>
      <c r="T1043" s="75"/>
      <c r="U1043" s="75"/>
      <c r="V1043" s="76"/>
      <c r="W1043" s="205"/>
      <c r="X1043" s="1"/>
      <c r="Y1043" s="78">
        <f t="shared" si="137"/>
        <v>0</v>
      </c>
      <c r="Z1043" s="78">
        <f t="shared" si="138"/>
        <v>0</v>
      </c>
      <c r="AA1043" s="78">
        <f t="shared" si="142"/>
        <v>0</v>
      </c>
      <c r="AB1043" s="78">
        <f t="shared" si="139"/>
        <v>0</v>
      </c>
      <c r="AC1043" s="78"/>
      <c r="AD1043" s="78">
        <v>0</v>
      </c>
      <c r="AE1043" s="80">
        <f t="shared" si="141"/>
        <v>0</v>
      </c>
      <c r="AF1043" s="82">
        <v>0</v>
      </c>
      <c r="AG1043" s="69">
        <v>40408</v>
      </c>
      <c r="AH1043" s="84"/>
      <c r="AI1043" s="69" t="s">
        <v>1984</v>
      </c>
      <c r="AJ1043" s="25" t="s">
        <v>1985</v>
      </c>
      <c r="AK1043" s="65"/>
      <c r="AL1043" s="185" t="s">
        <v>1257</v>
      </c>
      <c r="AM1043" s="85" t="s">
        <v>487</v>
      </c>
      <c r="AN1043" s="3"/>
      <c r="AO1043" s="4"/>
      <c r="AP1043" s="5"/>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6"/>
      <c r="CQ1043" s="7"/>
      <c r="CR1043" s="6"/>
      <c r="CS1043" s="7"/>
      <c r="CT1043" s="6"/>
      <c r="CU1043" s="7"/>
      <c r="CV1043" s="8">
        <f t="shared" si="140"/>
        <v>0</v>
      </c>
      <c r="CW1043" s="9"/>
      <c r="CX1043" s="10"/>
      <c r="CY1043" s="11"/>
      <c r="CZ1043" s="12"/>
      <c r="DA1043" s="29"/>
      <c r="DB1043" s="12"/>
      <c r="DC1043" s="9"/>
      <c r="DD1043" s="10"/>
      <c r="DE1043" s="71"/>
      <c r="DF1043" s="23"/>
      <c r="EO1043" s="353" t="str">
        <f t="shared" si="134"/>
        <v>ATLANTICO_PUERTO COLOMBIA</v>
      </c>
      <c r="EP1043" s="350"/>
      <c r="EQ1043" s="350" t="s">
        <v>4628</v>
      </c>
      <c r="ER1043" s="358" t="s">
        <v>4629</v>
      </c>
      <c r="ES1043" s="350" t="s">
        <v>5723</v>
      </c>
      <c r="ET1043" s="350" t="s">
        <v>4629</v>
      </c>
      <c r="EU1043" s="350" t="str">
        <f t="shared" si="136"/>
        <v>Arauca_Arauca</v>
      </c>
    </row>
    <row r="1044" spans="1:151" s="171" customFormat="1" ht="36" x14ac:dyDescent="0.2">
      <c r="A1044" s="242">
        <v>40408</v>
      </c>
      <c r="B1044" s="107" t="s">
        <v>1951</v>
      </c>
      <c r="C1044" s="107" t="s">
        <v>30</v>
      </c>
      <c r="D1044" s="427" t="s">
        <v>837</v>
      </c>
      <c r="E1044" s="107" t="str">
        <f>VLOOKUP(B1044&amp;C1044,Divipola!$C$2:$F$1138,4,FALSE)</f>
        <v>08606</v>
      </c>
      <c r="F1044" s="330"/>
      <c r="G1044" s="224"/>
      <c r="H1044" s="75"/>
      <c r="I1044" s="75"/>
      <c r="J1044" s="75">
        <f>83*3.7</f>
        <v>307.10000000000002</v>
      </c>
      <c r="K1044" s="75">
        <v>83</v>
      </c>
      <c r="L1044" s="75"/>
      <c r="M1044" s="75">
        <v>83</v>
      </c>
      <c r="N1044" s="75"/>
      <c r="O1044" s="75"/>
      <c r="P1044" s="75"/>
      <c r="Q1044" s="75"/>
      <c r="R1044" s="75"/>
      <c r="S1044" s="75"/>
      <c r="T1044" s="75"/>
      <c r="U1044" s="75"/>
      <c r="V1044" s="76"/>
      <c r="W1044" s="205"/>
      <c r="X1044" s="1"/>
      <c r="Y1044" s="78">
        <f t="shared" si="137"/>
        <v>0</v>
      </c>
      <c r="Z1044" s="78">
        <f t="shared" si="138"/>
        <v>0</v>
      </c>
      <c r="AA1044" s="78">
        <f t="shared" si="142"/>
        <v>0</v>
      </c>
      <c r="AB1044" s="78">
        <f t="shared" si="139"/>
        <v>0</v>
      </c>
      <c r="AC1044" s="78"/>
      <c r="AD1044" s="78">
        <v>0</v>
      </c>
      <c r="AE1044" s="80">
        <f t="shared" si="141"/>
        <v>0</v>
      </c>
      <c r="AF1044" s="82">
        <v>0</v>
      </c>
      <c r="AG1044" s="69">
        <v>40413</v>
      </c>
      <c r="AH1044" s="84"/>
      <c r="AI1044" s="69" t="s">
        <v>1984</v>
      </c>
      <c r="AJ1044" s="25" t="s">
        <v>1985</v>
      </c>
      <c r="AK1044" s="65"/>
      <c r="AL1044" s="185" t="s">
        <v>1257</v>
      </c>
      <c r="AM1044" s="85" t="s">
        <v>31</v>
      </c>
      <c r="AN1044" s="3"/>
      <c r="AO1044" s="4"/>
      <c r="AP1044" s="5"/>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6"/>
      <c r="CQ1044" s="7"/>
      <c r="CR1044" s="6"/>
      <c r="CS1044" s="7"/>
      <c r="CT1044" s="6"/>
      <c r="CU1044" s="7"/>
      <c r="CV1044" s="8">
        <f t="shared" si="140"/>
        <v>0</v>
      </c>
      <c r="CW1044" s="9"/>
      <c r="CX1044" s="10"/>
      <c r="CY1044" s="11"/>
      <c r="CZ1044" s="12"/>
      <c r="DA1044" s="29"/>
      <c r="DB1044" s="12"/>
      <c r="DC1044" s="9"/>
      <c r="DD1044" s="10"/>
      <c r="DE1044" s="71"/>
      <c r="DF1044" s="23"/>
      <c r="EO1044" s="353" t="str">
        <f t="shared" si="134"/>
        <v>ATLANTICO_REPELON</v>
      </c>
      <c r="EP1044" s="350"/>
      <c r="EQ1044" s="350" t="s">
        <v>4628</v>
      </c>
      <c r="ER1044" s="358" t="s">
        <v>4629</v>
      </c>
      <c r="ES1044" s="350" t="s">
        <v>5724</v>
      </c>
      <c r="ET1044" s="350" t="s">
        <v>3650</v>
      </c>
      <c r="EU1044" s="350" t="str">
        <f t="shared" si="136"/>
        <v>Arauca_Arauquita</v>
      </c>
    </row>
    <row r="1045" spans="1:151" s="171" customFormat="1" ht="38.25" x14ac:dyDescent="0.2">
      <c r="A1045" s="242">
        <v>40408</v>
      </c>
      <c r="B1045" s="107" t="s">
        <v>1189</v>
      </c>
      <c r="C1045" s="107" t="s">
        <v>713</v>
      </c>
      <c r="D1045" s="427" t="s">
        <v>837</v>
      </c>
      <c r="E1045" s="107" t="str">
        <f>VLOOKUP(B1045&amp;C1045,Divipola!$C$2:$F$1138,4,FALSE)</f>
        <v>85125</v>
      </c>
      <c r="F1045" s="330"/>
      <c r="G1045" s="224"/>
      <c r="H1045" s="75"/>
      <c r="I1045" s="75"/>
      <c r="J1045" s="75">
        <f>506-25-25-210</f>
        <v>246</v>
      </c>
      <c r="K1045" s="75">
        <f>113-5-5-48</f>
        <v>55</v>
      </c>
      <c r="L1045" s="75"/>
      <c r="M1045" s="75">
        <v>30</v>
      </c>
      <c r="N1045" s="75"/>
      <c r="O1045" s="75"/>
      <c r="P1045" s="75"/>
      <c r="Q1045" s="75"/>
      <c r="R1045" s="75"/>
      <c r="S1045" s="75"/>
      <c r="T1045" s="75"/>
      <c r="U1045" s="75"/>
      <c r="V1045" s="76"/>
      <c r="W1045" s="205"/>
      <c r="X1045" s="1"/>
      <c r="Y1045" s="78">
        <f t="shared" si="137"/>
        <v>0</v>
      </c>
      <c r="Z1045" s="78">
        <f t="shared" si="138"/>
        <v>0</v>
      </c>
      <c r="AA1045" s="78">
        <f t="shared" si="142"/>
        <v>0</v>
      </c>
      <c r="AB1045" s="78">
        <f t="shared" si="139"/>
        <v>0</v>
      </c>
      <c r="AC1045" s="78"/>
      <c r="AD1045" s="78">
        <v>0</v>
      </c>
      <c r="AE1045" s="80">
        <f t="shared" si="141"/>
        <v>0</v>
      </c>
      <c r="AF1045" s="82">
        <v>0</v>
      </c>
      <c r="AG1045" s="69">
        <v>40371</v>
      </c>
      <c r="AH1045" s="84"/>
      <c r="AI1045" s="69" t="s">
        <v>1984</v>
      </c>
      <c r="AJ1045" s="25" t="s">
        <v>1985</v>
      </c>
      <c r="AK1045" s="65"/>
      <c r="AL1045" s="185" t="s">
        <v>1257</v>
      </c>
      <c r="AM1045" s="85" t="s">
        <v>28</v>
      </c>
      <c r="AN1045" s="3"/>
      <c r="AO1045" s="4"/>
      <c r="AP1045" s="5"/>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c r="CO1045" s="4"/>
      <c r="CP1045" s="6"/>
      <c r="CQ1045" s="7"/>
      <c r="CR1045" s="6"/>
      <c r="CS1045" s="7"/>
      <c r="CT1045" s="6"/>
      <c r="CU1045" s="7"/>
      <c r="CV1045" s="8">
        <f t="shared" si="140"/>
        <v>0</v>
      </c>
      <c r="CW1045" s="9"/>
      <c r="CX1045" s="10"/>
      <c r="CY1045" s="11"/>
      <c r="CZ1045" s="12"/>
      <c r="DA1045" s="29"/>
      <c r="DB1045" s="12"/>
      <c r="DC1045" s="9"/>
      <c r="DD1045" s="10"/>
      <c r="DE1045" s="71"/>
      <c r="DF1045" s="23"/>
      <c r="EO1045" s="353" t="str">
        <f t="shared" si="134"/>
        <v>CASANARE_HATO COROZAL</v>
      </c>
      <c r="EP1045" s="350"/>
      <c r="EQ1045" s="350" t="s">
        <v>4628</v>
      </c>
      <c r="ER1045" s="358" t="s">
        <v>4629</v>
      </c>
      <c r="ES1045" s="350" t="s">
        <v>5725</v>
      </c>
      <c r="ET1045" s="350" t="s">
        <v>3651</v>
      </c>
      <c r="EU1045" s="350" t="str">
        <f t="shared" si="136"/>
        <v>Arauca_Cravo Norte</v>
      </c>
    </row>
    <row r="1046" spans="1:151" s="171" customFormat="1" ht="36" x14ac:dyDescent="0.2">
      <c r="A1046" s="242">
        <v>40408</v>
      </c>
      <c r="B1046" s="107" t="s">
        <v>1189</v>
      </c>
      <c r="C1046" s="107" t="s">
        <v>492</v>
      </c>
      <c r="D1046" s="427" t="s">
        <v>837</v>
      </c>
      <c r="E1046" s="107" t="str">
        <f>VLOOKUP(B1046&amp;C1046,Divipola!$C$2:$F$1138,4,FALSE)</f>
        <v>85225</v>
      </c>
      <c r="F1046" s="330"/>
      <c r="G1046" s="224"/>
      <c r="H1046" s="75"/>
      <c r="I1046" s="75"/>
      <c r="J1046" s="75">
        <v>30</v>
      </c>
      <c r="K1046" s="75">
        <v>9</v>
      </c>
      <c r="L1046" s="75"/>
      <c r="M1046" s="75">
        <v>9</v>
      </c>
      <c r="N1046" s="75"/>
      <c r="O1046" s="75"/>
      <c r="P1046" s="75"/>
      <c r="Q1046" s="75"/>
      <c r="R1046" s="75"/>
      <c r="S1046" s="75"/>
      <c r="T1046" s="75"/>
      <c r="U1046" s="75"/>
      <c r="V1046" s="76"/>
      <c r="W1046" s="205"/>
      <c r="X1046" s="1"/>
      <c r="Y1046" s="78">
        <f t="shared" si="137"/>
        <v>0</v>
      </c>
      <c r="Z1046" s="78">
        <f t="shared" si="138"/>
        <v>0</v>
      </c>
      <c r="AA1046" s="78">
        <f t="shared" si="142"/>
        <v>0</v>
      </c>
      <c r="AB1046" s="78">
        <f t="shared" si="139"/>
        <v>0</v>
      </c>
      <c r="AC1046" s="78"/>
      <c r="AD1046" s="78">
        <v>0</v>
      </c>
      <c r="AE1046" s="80">
        <f t="shared" si="141"/>
        <v>0</v>
      </c>
      <c r="AF1046" s="82">
        <v>0</v>
      </c>
      <c r="AG1046" s="69">
        <v>40413</v>
      </c>
      <c r="AH1046" s="84"/>
      <c r="AI1046" s="69" t="s">
        <v>1984</v>
      </c>
      <c r="AJ1046" s="25" t="s">
        <v>1985</v>
      </c>
      <c r="AK1046" s="65"/>
      <c r="AL1046" s="185" t="s">
        <v>1257</v>
      </c>
      <c r="AM1046" s="85" t="s">
        <v>27</v>
      </c>
      <c r="AN1046" s="3"/>
      <c r="AO1046" s="4"/>
      <c r="AP1046" s="5"/>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c r="CJ1046" s="4"/>
      <c r="CK1046" s="4"/>
      <c r="CL1046" s="4"/>
      <c r="CM1046" s="4"/>
      <c r="CN1046" s="4"/>
      <c r="CO1046" s="4"/>
      <c r="CP1046" s="6"/>
      <c r="CQ1046" s="7"/>
      <c r="CR1046" s="6"/>
      <c r="CS1046" s="7"/>
      <c r="CT1046" s="6"/>
      <c r="CU1046" s="7"/>
      <c r="CV1046" s="8">
        <f t="shared" si="140"/>
        <v>0</v>
      </c>
      <c r="CW1046" s="9"/>
      <c r="CX1046" s="10"/>
      <c r="CY1046" s="11"/>
      <c r="CZ1046" s="12"/>
      <c r="DA1046" s="29"/>
      <c r="DB1046" s="12"/>
      <c r="DC1046" s="9"/>
      <c r="DD1046" s="10"/>
      <c r="DE1046" s="71"/>
      <c r="DF1046" s="23"/>
      <c r="EO1046" s="353" t="str">
        <f t="shared" si="134"/>
        <v>CASANARE_NUNCHIA</v>
      </c>
      <c r="EP1046" s="350"/>
      <c r="EQ1046" s="350" t="s">
        <v>4628</v>
      </c>
      <c r="ER1046" s="358" t="s">
        <v>4629</v>
      </c>
      <c r="ES1046" s="350" t="s">
        <v>5726</v>
      </c>
      <c r="ET1046" s="350" t="s">
        <v>3652</v>
      </c>
      <c r="EU1046" s="350" t="str">
        <f t="shared" si="136"/>
        <v>Arauca_Fortul</v>
      </c>
    </row>
    <row r="1047" spans="1:151" s="171" customFormat="1" ht="108" x14ac:dyDescent="0.2">
      <c r="A1047" s="242">
        <v>40408</v>
      </c>
      <c r="B1047" s="107" t="s">
        <v>1189</v>
      </c>
      <c r="C1047" s="107" t="s">
        <v>2412</v>
      </c>
      <c r="D1047" s="427" t="s">
        <v>837</v>
      </c>
      <c r="E1047" s="107" t="str">
        <f>VLOOKUP(B1047&amp;C1047,Divipola!$C$2:$F$1138,4,FALSE)</f>
        <v>85263</v>
      </c>
      <c r="F1047" s="330"/>
      <c r="G1047" s="224"/>
      <c r="H1047" s="75"/>
      <c r="I1047" s="75"/>
      <c r="J1047" s="75">
        <f>1523-300-410</f>
        <v>813</v>
      </c>
      <c r="K1047" s="75">
        <v>215</v>
      </c>
      <c r="L1047" s="75"/>
      <c r="M1047" s="75">
        <v>215</v>
      </c>
      <c r="N1047" s="75"/>
      <c r="O1047" s="75"/>
      <c r="P1047" s="75"/>
      <c r="Q1047" s="75"/>
      <c r="R1047" s="75"/>
      <c r="S1047" s="75"/>
      <c r="T1047" s="75"/>
      <c r="U1047" s="75"/>
      <c r="V1047" s="76"/>
      <c r="W1047" s="205"/>
      <c r="X1047" s="1">
        <v>40452</v>
      </c>
      <c r="Y1047" s="78">
        <f t="shared" si="137"/>
        <v>42129680</v>
      </c>
      <c r="Z1047" s="78">
        <f t="shared" si="138"/>
        <v>18275000</v>
      </c>
      <c r="AA1047" s="78">
        <f t="shared" si="142"/>
        <v>0</v>
      </c>
      <c r="AB1047" s="78">
        <f t="shared" si="139"/>
        <v>0</v>
      </c>
      <c r="AC1047" s="78"/>
      <c r="AD1047" s="78">
        <v>30089400</v>
      </c>
      <c r="AE1047" s="80">
        <f t="shared" si="141"/>
        <v>90494080</v>
      </c>
      <c r="AF1047" s="82">
        <v>0</v>
      </c>
      <c r="AG1047" s="69">
        <v>40413</v>
      </c>
      <c r="AH1047" s="84">
        <v>42750</v>
      </c>
      <c r="AI1047" s="69" t="s">
        <v>2009</v>
      </c>
      <c r="AJ1047" s="25" t="s">
        <v>2010</v>
      </c>
      <c r="AK1047" s="88" t="s">
        <v>3075</v>
      </c>
      <c r="AL1047" s="185" t="s">
        <v>1831</v>
      </c>
      <c r="AM1047" s="85" t="s">
        <v>3076</v>
      </c>
      <c r="AN1047" s="3"/>
      <c r="AO1047" s="4"/>
      <c r="AP1047" s="5"/>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v>430</v>
      </c>
      <c r="BM1047" s="4">
        <f>430*25500</f>
        <v>10965000</v>
      </c>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v>430</v>
      </c>
      <c r="CK1047" s="4">
        <f>430*18000</f>
        <v>7740000</v>
      </c>
      <c r="CL1047" s="4"/>
      <c r="CM1047" s="4"/>
      <c r="CN1047" s="4">
        <v>430</v>
      </c>
      <c r="CO1047" s="4">
        <f>430*18000</f>
        <v>7740000</v>
      </c>
      <c r="CP1047" s="6">
        <v>215</v>
      </c>
      <c r="CQ1047" s="7">
        <f>215*36952</f>
        <v>7944680</v>
      </c>
      <c r="CR1047" s="6">
        <v>215</v>
      </c>
      <c r="CS1047" s="7">
        <f>215*36000</f>
        <v>7740000</v>
      </c>
      <c r="CT1047" s="6"/>
      <c r="CU1047" s="7"/>
      <c r="CV1047" s="8">
        <f t="shared" si="140"/>
        <v>42129680</v>
      </c>
      <c r="CW1047" s="9"/>
      <c r="CX1047" s="10"/>
      <c r="CY1047" s="11">
        <v>215</v>
      </c>
      <c r="CZ1047" s="12">
        <f>215*85000</f>
        <v>18275000</v>
      </c>
      <c r="DA1047" s="29"/>
      <c r="DB1047" s="12"/>
      <c r="DC1047" s="9"/>
      <c r="DD1047" s="10"/>
      <c r="DE1047" s="71"/>
      <c r="DF1047" s="23"/>
      <c r="EO1047" s="353" t="str">
        <f t="shared" si="134"/>
        <v>CASANARE_PORE</v>
      </c>
      <c r="EP1047" s="350"/>
      <c r="EQ1047" s="350" t="s">
        <v>4628</v>
      </c>
      <c r="ER1047" s="358" t="s">
        <v>4629</v>
      </c>
      <c r="ES1047" s="350" t="s">
        <v>5727</v>
      </c>
      <c r="ET1047" s="350" t="s">
        <v>3653</v>
      </c>
      <c r="EU1047" s="350" t="str">
        <f t="shared" si="136"/>
        <v>Arauca_Puerto Rondon</v>
      </c>
    </row>
    <row r="1048" spans="1:151" s="171" customFormat="1" ht="38.25" x14ac:dyDescent="0.2">
      <c r="A1048" s="242">
        <v>40408</v>
      </c>
      <c r="B1048" s="107" t="s">
        <v>2425</v>
      </c>
      <c r="C1048" s="107" t="s">
        <v>2330</v>
      </c>
      <c r="D1048" s="427" t="s">
        <v>2352</v>
      </c>
      <c r="E1048" s="107" t="str">
        <f>VLOOKUP(B1048&amp;C1048,Divipola!$C$2:$F$1138,4,FALSE)</f>
        <v>27425</v>
      </c>
      <c r="F1048" s="330"/>
      <c r="G1048" s="224">
        <v>1</v>
      </c>
      <c r="H1048" s="75">
        <v>3</v>
      </c>
      <c r="I1048" s="75"/>
      <c r="J1048" s="75"/>
      <c r="K1048" s="75"/>
      <c r="L1048" s="75"/>
      <c r="M1048" s="75"/>
      <c r="N1048" s="75"/>
      <c r="O1048" s="75"/>
      <c r="P1048" s="75"/>
      <c r="Q1048" s="75"/>
      <c r="R1048" s="75"/>
      <c r="S1048" s="75"/>
      <c r="T1048" s="75"/>
      <c r="U1048" s="75"/>
      <c r="V1048" s="76"/>
      <c r="W1048" s="205"/>
      <c r="X1048" s="1"/>
      <c r="Y1048" s="78">
        <f t="shared" si="137"/>
        <v>0</v>
      </c>
      <c r="Z1048" s="78">
        <f t="shared" si="138"/>
        <v>0</v>
      </c>
      <c r="AA1048" s="78">
        <f t="shared" si="142"/>
        <v>0</v>
      </c>
      <c r="AB1048" s="78">
        <f t="shared" si="139"/>
        <v>0</v>
      </c>
      <c r="AC1048" s="78"/>
      <c r="AD1048" s="78">
        <v>0</v>
      </c>
      <c r="AE1048" s="80">
        <f t="shared" si="141"/>
        <v>0</v>
      </c>
      <c r="AF1048" s="82">
        <v>0</v>
      </c>
      <c r="AG1048" s="69">
        <v>40413</v>
      </c>
      <c r="AH1048" s="84"/>
      <c r="AI1048" s="69" t="s">
        <v>1984</v>
      </c>
      <c r="AJ1048" s="25" t="s">
        <v>1985</v>
      </c>
      <c r="AK1048" s="65"/>
      <c r="AL1048" s="185" t="s">
        <v>1257</v>
      </c>
      <c r="AM1048" s="85" t="s">
        <v>24</v>
      </c>
      <c r="AN1048" s="3"/>
      <c r="AO1048" s="4"/>
      <c r="AP1048" s="5"/>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4"/>
      <c r="CL1048" s="4"/>
      <c r="CM1048" s="4"/>
      <c r="CN1048" s="4"/>
      <c r="CO1048" s="4"/>
      <c r="CP1048" s="6"/>
      <c r="CQ1048" s="7"/>
      <c r="CR1048" s="6"/>
      <c r="CS1048" s="7"/>
      <c r="CT1048" s="6"/>
      <c r="CU1048" s="7"/>
      <c r="CV1048" s="8">
        <f t="shared" si="140"/>
        <v>0</v>
      </c>
      <c r="CW1048" s="9"/>
      <c r="CX1048" s="10"/>
      <c r="CY1048" s="11"/>
      <c r="CZ1048" s="12"/>
      <c r="DA1048" s="29"/>
      <c r="DB1048" s="12"/>
      <c r="DC1048" s="9"/>
      <c r="DD1048" s="10"/>
      <c r="DE1048" s="71"/>
      <c r="DF1048" s="23"/>
      <c r="EO1048" s="353" t="str">
        <f t="shared" si="134"/>
        <v>CHOCO_MEDIO ATRATO</v>
      </c>
      <c r="EP1048" s="350"/>
      <c r="EQ1048" s="350" t="s">
        <v>4628</v>
      </c>
      <c r="ER1048" s="358" t="s">
        <v>4629</v>
      </c>
      <c r="ES1048" s="350" t="s">
        <v>5728</v>
      </c>
      <c r="ET1048" s="350" t="s">
        <v>3654</v>
      </c>
      <c r="EU1048" s="350" t="str">
        <f t="shared" si="136"/>
        <v>Arauca_Saravena</v>
      </c>
    </row>
    <row r="1049" spans="1:151" s="171" customFormat="1" ht="48" x14ac:dyDescent="0.2">
      <c r="A1049" s="242">
        <v>40408</v>
      </c>
      <c r="B1049" s="107" t="s">
        <v>1836</v>
      </c>
      <c r="C1049" s="107" t="s">
        <v>1814</v>
      </c>
      <c r="D1049" s="427" t="s">
        <v>837</v>
      </c>
      <c r="E1049" s="107" t="str">
        <f>VLOOKUP(B1049&amp;C1049,Divipola!$C$2:$F$1138,4,FALSE)</f>
        <v>47001</v>
      </c>
      <c r="F1049" s="330"/>
      <c r="G1049" s="224"/>
      <c r="H1049" s="75">
        <v>3</v>
      </c>
      <c r="I1049" s="75"/>
      <c r="J1049" s="75">
        <f>70*5</f>
        <v>350</v>
      </c>
      <c r="K1049" s="75">
        <v>70</v>
      </c>
      <c r="L1049" s="75">
        <v>3</v>
      </c>
      <c r="M1049" s="75">
        <v>67</v>
      </c>
      <c r="N1049" s="75"/>
      <c r="O1049" s="75"/>
      <c r="P1049" s="75"/>
      <c r="Q1049" s="75"/>
      <c r="R1049" s="75"/>
      <c r="S1049" s="75"/>
      <c r="T1049" s="75"/>
      <c r="U1049" s="75"/>
      <c r="V1049" s="76"/>
      <c r="W1049" s="205"/>
      <c r="X1049" s="1"/>
      <c r="Y1049" s="78">
        <f t="shared" si="137"/>
        <v>0</v>
      </c>
      <c r="Z1049" s="78">
        <f t="shared" si="138"/>
        <v>0</v>
      </c>
      <c r="AA1049" s="78">
        <f t="shared" si="142"/>
        <v>0</v>
      </c>
      <c r="AB1049" s="78">
        <f t="shared" si="139"/>
        <v>0</v>
      </c>
      <c r="AC1049" s="78"/>
      <c r="AD1049" s="78">
        <v>0</v>
      </c>
      <c r="AE1049" s="80">
        <f t="shared" si="141"/>
        <v>0</v>
      </c>
      <c r="AF1049" s="82">
        <v>0</v>
      </c>
      <c r="AG1049" s="69">
        <v>40413</v>
      </c>
      <c r="AH1049" s="84"/>
      <c r="AI1049" s="69" t="s">
        <v>1984</v>
      </c>
      <c r="AJ1049" s="25" t="s">
        <v>1985</v>
      </c>
      <c r="AK1049" s="65"/>
      <c r="AL1049" s="185" t="s">
        <v>1257</v>
      </c>
      <c r="AM1049" s="85" t="s">
        <v>491</v>
      </c>
      <c r="AN1049" s="3"/>
      <c r="AO1049" s="4"/>
      <c r="AP1049" s="5"/>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c r="CO1049" s="4"/>
      <c r="CP1049" s="6"/>
      <c r="CQ1049" s="7"/>
      <c r="CR1049" s="6"/>
      <c r="CS1049" s="7"/>
      <c r="CT1049" s="6"/>
      <c r="CU1049" s="7"/>
      <c r="CV1049" s="8">
        <f t="shared" si="140"/>
        <v>0</v>
      </c>
      <c r="CW1049" s="9"/>
      <c r="CX1049" s="10"/>
      <c r="CY1049" s="11"/>
      <c r="CZ1049" s="12"/>
      <c r="DA1049" s="29"/>
      <c r="DB1049" s="12"/>
      <c r="DC1049" s="9"/>
      <c r="DD1049" s="10"/>
      <c r="DE1049" s="71"/>
      <c r="DF1049" s="23"/>
      <c r="EO1049" s="353" t="str">
        <f t="shared" si="134"/>
        <v>MAGDALENA_SANTA MARTA</v>
      </c>
      <c r="EP1049" s="350"/>
      <c r="EQ1049" s="350" t="s">
        <v>4628</v>
      </c>
      <c r="ER1049" s="358" t="s">
        <v>4629</v>
      </c>
      <c r="ES1049" s="350" t="s">
        <v>5729</v>
      </c>
      <c r="ET1049" s="350" t="s">
        <v>3655</v>
      </c>
      <c r="EU1049" s="350" t="str">
        <f t="shared" si="136"/>
        <v>Arauca_Tame</v>
      </c>
    </row>
    <row r="1050" spans="1:151" s="171" customFormat="1" ht="25.5" x14ac:dyDescent="0.2">
      <c r="A1050" s="242">
        <v>40408</v>
      </c>
      <c r="B1050" s="107" t="s">
        <v>2791</v>
      </c>
      <c r="C1050" s="107" t="s">
        <v>489</v>
      </c>
      <c r="D1050" s="427" t="s">
        <v>2307</v>
      </c>
      <c r="E1050" s="107" t="str">
        <f>VLOOKUP(B1050&amp;C1050,Divipola!$C$2:$F$1138,4,FALSE)</f>
        <v>73124</v>
      </c>
      <c r="F1050" s="330"/>
      <c r="G1050" s="224">
        <v>1</v>
      </c>
      <c r="H1050" s="75"/>
      <c r="I1050" s="75"/>
      <c r="J1050" s="75"/>
      <c r="K1050" s="75"/>
      <c r="L1050" s="75"/>
      <c r="M1050" s="75"/>
      <c r="N1050" s="75">
        <v>1</v>
      </c>
      <c r="O1050" s="75"/>
      <c r="P1050" s="75"/>
      <c r="Q1050" s="75"/>
      <c r="R1050" s="75"/>
      <c r="S1050" s="75"/>
      <c r="T1050" s="75"/>
      <c r="U1050" s="75"/>
      <c r="V1050" s="76"/>
      <c r="W1050" s="205"/>
      <c r="X1050" s="1"/>
      <c r="Y1050" s="78">
        <f t="shared" si="137"/>
        <v>0</v>
      </c>
      <c r="Z1050" s="78">
        <f t="shared" si="138"/>
        <v>0</v>
      </c>
      <c r="AA1050" s="78">
        <f t="shared" si="142"/>
        <v>0</v>
      </c>
      <c r="AB1050" s="78">
        <f t="shared" si="139"/>
        <v>0</v>
      </c>
      <c r="AC1050" s="78"/>
      <c r="AD1050" s="78">
        <v>0</v>
      </c>
      <c r="AE1050" s="80">
        <f t="shared" si="141"/>
        <v>0</v>
      </c>
      <c r="AF1050" s="82">
        <v>0</v>
      </c>
      <c r="AG1050" s="69">
        <v>40413</v>
      </c>
      <c r="AH1050" s="84"/>
      <c r="AI1050" s="69" t="s">
        <v>1984</v>
      </c>
      <c r="AJ1050" s="25" t="s">
        <v>1985</v>
      </c>
      <c r="AK1050" s="65"/>
      <c r="AL1050" s="212" t="s">
        <v>1257</v>
      </c>
      <c r="AM1050" s="85" t="s">
        <v>490</v>
      </c>
      <c r="AN1050" s="3"/>
      <c r="AO1050" s="4"/>
      <c r="AP1050" s="5"/>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c r="CJ1050" s="4"/>
      <c r="CK1050" s="4"/>
      <c r="CL1050" s="4"/>
      <c r="CM1050" s="4"/>
      <c r="CN1050" s="4"/>
      <c r="CO1050" s="4"/>
      <c r="CP1050" s="6"/>
      <c r="CQ1050" s="7"/>
      <c r="CR1050" s="6"/>
      <c r="CS1050" s="7"/>
      <c r="CT1050" s="6"/>
      <c r="CU1050" s="7"/>
      <c r="CV1050" s="8">
        <f t="shared" si="140"/>
        <v>0</v>
      </c>
      <c r="CW1050" s="9"/>
      <c r="CX1050" s="10"/>
      <c r="CY1050" s="11"/>
      <c r="CZ1050" s="12"/>
      <c r="DA1050" s="29"/>
      <c r="DB1050" s="12"/>
      <c r="DC1050" s="9"/>
      <c r="DD1050" s="10"/>
      <c r="DE1050" s="71"/>
      <c r="DF1050" s="23"/>
      <c r="EO1050" s="353" t="str">
        <f t="shared" ref="EO1050:EO1112" si="143">B1050&amp;"_"&amp;C1050</f>
        <v>TOLIMA_CAJAMARCA</v>
      </c>
      <c r="EP1050" s="350"/>
      <c r="EQ1050" s="350" t="s">
        <v>4634</v>
      </c>
      <c r="ER1050" s="358" t="s">
        <v>3656</v>
      </c>
      <c r="ES1050" s="350" t="s">
        <v>5730</v>
      </c>
      <c r="ET1050" s="350" t="s">
        <v>3657</v>
      </c>
      <c r="EU1050" s="350" t="str">
        <f t="shared" si="136"/>
        <v>Casanare_Yopal</v>
      </c>
    </row>
    <row r="1051" spans="1:151" s="171" customFormat="1" ht="108" x14ac:dyDescent="0.2">
      <c r="A1051" s="242">
        <v>40409</v>
      </c>
      <c r="B1051" s="107" t="s">
        <v>1700</v>
      </c>
      <c r="C1051" s="107" t="s">
        <v>26</v>
      </c>
      <c r="D1051" s="427" t="s">
        <v>837</v>
      </c>
      <c r="E1051" s="107" t="str">
        <f>VLOOKUP(B1051&amp;C1051,Divipola!$C$2:$F$1138,4,FALSE)</f>
        <v>23464</v>
      </c>
      <c r="F1051" s="330"/>
      <c r="G1051" s="224"/>
      <c r="H1051" s="75"/>
      <c r="I1051" s="75"/>
      <c r="J1051" s="75">
        <v>4603</v>
      </c>
      <c r="K1051" s="75">
        <v>1023</v>
      </c>
      <c r="L1051" s="75"/>
      <c r="M1051" s="75">
        <v>1023</v>
      </c>
      <c r="N1051" s="75"/>
      <c r="O1051" s="75"/>
      <c r="P1051" s="75"/>
      <c r="Q1051" s="75"/>
      <c r="R1051" s="75"/>
      <c r="S1051" s="75"/>
      <c r="T1051" s="75"/>
      <c r="U1051" s="75"/>
      <c r="V1051" s="76"/>
      <c r="W1051" s="205"/>
      <c r="X1051" s="1">
        <v>40448</v>
      </c>
      <c r="Y1051" s="78">
        <f t="shared" si="137"/>
        <v>17031840</v>
      </c>
      <c r="Z1051" s="78">
        <f t="shared" si="138"/>
        <v>209610000</v>
      </c>
      <c r="AA1051" s="78">
        <f t="shared" si="142"/>
        <v>0</v>
      </c>
      <c r="AB1051" s="78">
        <f t="shared" si="139"/>
        <v>0</v>
      </c>
      <c r="AC1051" s="78"/>
      <c r="AD1051" s="78">
        <v>0</v>
      </c>
      <c r="AE1051" s="80">
        <f t="shared" si="141"/>
        <v>226641840</v>
      </c>
      <c r="AF1051" s="82">
        <v>0</v>
      </c>
      <c r="AG1051" s="69">
        <v>40413</v>
      </c>
      <c r="AH1051" s="84">
        <v>38767</v>
      </c>
      <c r="AI1051" s="69" t="s">
        <v>2009</v>
      </c>
      <c r="AJ1051" s="25" t="s">
        <v>2010</v>
      </c>
      <c r="AK1051" s="88" t="s">
        <v>2170</v>
      </c>
      <c r="AL1051" s="185" t="s">
        <v>2182</v>
      </c>
      <c r="AM1051" s="181" t="s">
        <v>689</v>
      </c>
      <c r="AN1051" s="3"/>
      <c r="AO1051" s="4"/>
      <c r="AP1051" s="5"/>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c r="BV1051" s="4"/>
      <c r="BW1051" s="4"/>
      <c r="BX1051" s="4"/>
      <c r="BY1051" s="4"/>
      <c r="BZ1051" s="4">
        <v>3</v>
      </c>
      <c r="CA1051" s="4">
        <f>3*504000</f>
        <v>1512000</v>
      </c>
      <c r="CB1051" s="4"/>
      <c r="CC1051" s="4"/>
      <c r="CD1051" s="4"/>
      <c r="CE1051" s="4"/>
      <c r="CF1051" s="4"/>
      <c r="CG1051" s="4"/>
      <c r="CH1051" s="4"/>
      <c r="CI1051" s="4"/>
      <c r="CJ1051" s="4"/>
      <c r="CK1051" s="4"/>
      <c r="CL1051" s="4"/>
      <c r="CM1051" s="4"/>
      <c r="CN1051" s="4"/>
      <c r="CO1051" s="4"/>
      <c r="CP1051" s="6">
        <v>420</v>
      </c>
      <c r="CQ1051" s="7">
        <f>420*36952</f>
        <v>15519840</v>
      </c>
      <c r="CR1051" s="6"/>
      <c r="CS1051" s="7"/>
      <c r="CT1051" s="6"/>
      <c r="CU1051" s="7"/>
      <c r="CV1051" s="8">
        <f t="shared" si="140"/>
        <v>17031840</v>
      </c>
      <c r="CW1051" s="9"/>
      <c r="CX1051" s="10"/>
      <c r="CY1051" s="11">
        <f>420+1023+1023+416</f>
        <v>2882</v>
      </c>
      <c r="CZ1051" s="12">
        <f>420*85000+1023*85000+1023*85000</f>
        <v>209610000</v>
      </c>
      <c r="DA1051" s="29"/>
      <c r="DB1051" s="12"/>
      <c r="DC1051" s="9"/>
      <c r="DD1051" s="10"/>
      <c r="DE1051" s="71"/>
      <c r="DF1051" s="23"/>
      <c r="EO1051" s="353" t="str">
        <f t="shared" si="143"/>
        <v>CORDOBA_MOMIL</v>
      </c>
      <c r="EP1051" s="350"/>
      <c r="EQ1051" s="350" t="s">
        <v>4634</v>
      </c>
      <c r="ER1051" s="358" t="s">
        <v>3656</v>
      </c>
      <c r="ES1051" s="350" t="s">
        <v>5731</v>
      </c>
      <c r="ET1051" s="350" t="s">
        <v>3658</v>
      </c>
      <c r="EU1051" s="350" t="str">
        <f t="shared" si="136"/>
        <v>Casanare_Aguazul</v>
      </c>
    </row>
    <row r="1052" spans="1:151" s="171" customFormat="1" ht="96" x14ac:dyDescent="0.2">
      <c r="A1052" s="242">
        <v>40409</v>
      </c>
      <c r="B1052" s="107" t="s">
        <v>1700</v>
      </c>
      <c r="C1052" s="107" t="s">
        <v>3186</v>
      </c>
      <c r="D1052" s="427" t="s">
        <v>837</v>
      </c>
      <c r="E1052" s="107" t="str">
        <f>VLOOKUP(B1052&amp;C1052,Divipola!$C$2:$F$1138,4,FALSE)</f>
        <v>23555</v>
      </c>
      <c r="F1052" s="330"/>
      <c r="G1052" s="224"/>
      <c r="H1052" s="75"/>
      <c r="I1052" s="75"/>
      <c r="J1052" s="75">
        <v>675</v>
      </c>
      <c r="K1052" s="75">
        <v>145</v>
      </c>
      <c r="L1052" s="75"/>
      <c r="M1052" s="75">
        <v>110</v>
      </c>
      <c r="N1052" s="75"/>
      <c r="O1052" s="75"/>
      <c r="P1052" s="75"/>
      <c r="Q1052" s="75"/>
      <c r="R1052" s="75"/>
      <c r="S1052" s="75"/>
      <c r="T1052" s="75"/>
      <c r="U1052" s="75"/>
      <c r="V1052" s="76"/>
      <c r="W1052" s="205"/>
      <c r="X1052" s="1">
        <v>40448</v>
      </c>
      <c r="Y1052" s="78">
        <f t="shared" si="137"/>
        <v>3090640</v>
      </c>
      <c r="Z1052" s="78">
        <f t="shared" si="138"/>
        <v>24650000</v>
      </c>
      <c r="AA1052" s="78">
        <f t="shared" si="142"/>
        <v>0</v>
      </c>
      <c r="AB1052" s="78">
        <f t="shared" si="139"/>
        <v>0</v>
      </c>
      <c r="AC1052" s="78"/>
      <c r="AD1052" s="78">
        <v>0</v>
      </c>
      <c r="AE1052" s="80">
        <f t="shared" si="141"/>
        <v>27740640</v>
      </c>
      <c r="AF1052" s="82">
        <v>0</v>
      </c>
      <c r="AG1052" s="69">
        <v>40413</v>
      </c>
      <c r="AH1052" s="84">
        <v>38767</v>
      </c>
      <c r="AI1052" s="69" t="s">
        <v>2009</v>
      </c>
      <c r="AJ1052" s="25" t="s">
        <v>2010</v>
      </c>
      <c r="AK1052" s="88" t="s">
        <v>2170</v>
      </c>
      <c r="AL1052" s="185" t="s">
        <v>2182</v>
      </c>
      <c r="AM1052" s="273" t="s">
        <v>688</v>
      </c>
      <c r="AN1052" s="3"/>
      <c r="AO1052" s="4"/>
      <c r="AP1052" s="5"/>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c r="BV1052" s="4"/>
      <c r="BW1052" s="4"/>
      <c r="BX1052" s="4"/>
      <c r="BY1052" s="4"/>
      <c r="BZ1052" s="4">
        <v>1</v>
      </c>
      <c r="CA1052" s="4">
        <f>1*504000</f>
        <v>504000</v>
      </c>
      <c r="CB1052" s="4"/>
      <c r="CC1052" s="4"/>
      <c r="CD1052" s="4"/>
      <c r="CE1052" s="4"/>
      <c r="CF1052" s="4"/>
      <c r="CG1052" s="4"/>
      <c r="CH1052" s="4"/>
      <c r="CI1052" s="4"/>
      <c r="CJ1052" s="4"/>
      <c r="CK1052" s="4"/>
      <c r="CL1052" s="4"/>
      <c r="CM1052" s="4"/>
      <c r="CN1052" s="4"/>
      <c r="CO1052" s="4"/>
      <c r="CP1052" s="6">
        <v>70</v>
      </c>
      <c r="CQ1052" s="7">
        <f>70*36952</f>
        <v>2586640</v>
      </c>
      <c r="CR1052" s="6"/>
      <c r="CS1052" s="7"/>
      <c r="CT1052" s="6"/>
      <c r="CU1052" s="7"/>
      <c r="CV1052" s="8">
        <f t="shared" si="140"/>
        <v>3090640</v>
      </c>
      <c r="CW1052" s="9"/>
      <c r="CX1052" s="10"/>
      <c r="CY1052" s="11">
        <f>70+110+110</f>
        <v>290</v>
      </c>
      <c r="CZ1052" s="12">
        <f>70*85000+110*85000+110*85000</f>
        <v>24650000</v>
      </c>
      <c r="DA1052" s="29"/>
      <c r="DB1052" s="12"/>
      <c r="DC1052" s="9"/>
      <c r="DD1052" s="10"/>
      <c r="DE1052" s="71"/>
      <c r="DF1052" s="23"/>
      <c r="EO1052" s="353" t="str">
        <f t="shared" si="143"/>
        <v>CORDOBA_PLANETA RICA</v>
      </c>
      <c r="EP1052" s="350"/>
      <c r="EQ1052" s="350" t="s">
        <v>4634</v>
      </c>
      <c r="ER1052" s="358" t="s">
        <v>3656</v>
      </c>
      <c r="ES1052" s="350" t="s">
        <v>5732</v>
      </c>
      <c r="ET1052" s="350" t="s">
        <v>3659</v>
      </c>
      <c r="EU1052" s="350" t="str">
        <f t="shared" si="136"/>
        <v>Casanare_Chameza</v>
      </c>
    </row>
    <row r="1053" spans="1:151" s="171" customFormat="1" ht="36" x14ac:dyDescent="0.2">
      <c r="A1053" s="245">
        <v>40409</v>
      </c>
      <c r="B1053" s="107" t="s">
        <v>708</v>
      </c>
      <c r="C1053" s="107" t="s">
        <v>2328</v>
      </c>
      <c r="D1053" s="427" t="s">
        <v>1721</v>
      </c>
      <c r="E1053" s="107" t="str">
        <f>VLOOKUP(B1053&amp;C1053,Divipola!$C$2:$F$1138,4,FALSE)</f>
        <v>50001</v>
      </c>
      <c r="F1053" s="330"/>
      <c r="G1053" s="224"/>
      <c r="H1053" s="75"/>
      <c r="I1053" s="75"/>
      <c r="J1053" s="75"/>
      <c r="K1053" s="75"/>
      <c r="L1053" s="75"/>
      <c r="M1053" s="75"/>
      <c r="N1053" s="75"/>
      <c r="O1053" s="75"/>
      <c r="P1053" s="75"/>
      <c r="Q1053" s="75"/>
      <c r="R1053" s="75"/>
      <c r="S1053" s="75"/>
      <c r="T1053" s="75"/>
      <c r="U1053" s="75">
        <v>1</v>
      </c>
      <c r="V1053" s="76"/>
      <c r="W1053" s="205"/>
      <c r="X1053" s="141"/>
      <c r="Y1053" s="142">
        <f t="shared" si="137"/>
        <v>0</v>
      </c>
      <c r="Z1053" s="142">
        <f t="shared" si="138"/>
        <v>0</v>
      </c>
      <c r="AA1053" s="142">
        <f t="shared" si="142"/>
        <v>0</v>
      </c>
      <c r="AB1053" s="142">
        <f t="shared" si="139"/>
        <v>0</v>
      </c>
      <c r="AC1053" s="142"/>
      <c r="AD1053" s="142">
        <v>0</v>
      </c>
      <c r="AE1053" s="143">
        <f t="shared" si="141"/>
        <v>0</v>
      </c>
      <c r="AF1053" s="144">
        <v>0</v>
      </c>
      <c r="AG1053" s="69">
        <v>40413</v>
      </c>
      <c r="AH1053" s="84"/>
      <c r="AI1053" s="69" t="s">
        <v>1984</v>
      </c>
      <c r="AJ1053" s="25" t="s">
        <v>1985</v>
      </c>
      <c r="AK1053" s="65"/>
      <c r="AL1053" s="185" t="s">
        <v>1257</v>
      </c>
      <c r="AM1053" s="85" t="s">
        <v>23</v>
      </c>
      <c r="AN1053" s="145"/>
      <c r="AO1053" s="146"/>
      <c r="AP1053" s="147"/>
      <c r="AQ1053" s="146"/>
      <c r="AR1053" s="146"/>
      <c r="AS1053" s="146"/>
      <c r="AT1053" s="146"/>
      <c r="AU1053" s="146"/>
      <c r="AV1053" s="146"/>
      <c r="AW1053" s="146"/>
      <c r="AX1053" s="146"/>
      <c r="AY1053" s="146"/>
      <c r="AZ1053" s="146"/>
      <c r="BA1053" s="146"/>
      <c r="BB1053" s="146"/>
      <c r="BC1053" s="146"/>
      <c r="BD1053" s="146"/>
      <c r="BE1053" s="146"/>
      <c r="BF1053" s="146"/>
      <c r="BG1053" s="146"/>
      <c r="BH1053" s="146"/>
      <c r="BI1053" s="146"/>
      <c r="BJ1053" s="146"/>
      <c r="BK1053" s="146"/>
      <c r="BL1053" s="146"/>
      <c r="BM1053" s="146"/>
      <c r="BN1053" s="146"/>
      <c r="BO1053" s="146"/>
      <c r="BP1053" s="146"/>
      <c r="BQ1053" s="146"/>
      <c r="BR1053" s="146"/>
      <c r="BS1053" s="146"/>
      <c r="BT1053" s="146"/>
      <c r="BU1053" s="146"/>
      <c r="BV1053" s="146"/>
      <c r="BW1053" s="146"/>
      <c r="BX1053" s="146"/>
      <c r="BY1053" s="146"/>
      <c r="BZ1053" s="146"/>
      <c r="CA1053" s="146"/>
      <c r="CB1053" s="146"/>
      <c r="CC1053" s="146"/>
      <c r="CD1053" s="146"/>
      <c r="CE1053" s="146"/>
      <c r="CF1053" s="146"/>
      <c r="CG1053" s="146"/>
      <c r="CH1053" s="146"/>
      <c r="CI1053" s="146"/>
      <c r="CJ1053" s="146"/>
      <c r="CK1053" s="146"/>
      <c r="CL1053" s="146"/>
      <c r="CM1053" s="146"/>
      <c r="CN1053" s="146"/>
      <c r="CO1053" s="146"/>
      <c r="CP1053" s="148"/>
      <c r="CQ1053" s="149"/>
      <c r="CR1053" s="148"/>
      <c r="CS1053" s="149"/>
      <c r="CT1053" s="148"/>
      <c r="CU1053" s="149"/>
      <c r="CV1053" s="150">
        <f t="shared" si="140"/>
        <v>0</v>
      </c>
      <c r="CW1053" s="151"/>
      <c r="CX1053" s="152"/>
      <c r="CY1053" s="153"/>
      <c r="CZ1053" s="154"/>
      <c r="DA1053" s="155"/>
      <c r="DB1053" s="154"/>
      <c r="DC1053" s="151"/>
      <c r="DD1053" s="152"/>
      <c r="DE1053" s="71"/>
      <c r="DF1053" s="156"/>
      <c r="EO1053" s="353" t="str">
        <f t="shared" si="143"/>
        <v>META_VILLAVICENCIO</v>
      </c>
      <c r="EP1053" s="350"/>
      <c r="EQ1053" s="350" t="s">
        <v>4634</v>
      </c>
      <c r="ER1053" s="358" t="s">
        <v>3656</v>
      </c>
      <c r="ES1053" s="350" t="s">
        <v>5733</v>
      </c>
      <c r="ET1053" s="350" t="s">
        <v>3660</v>
      </c>
      <c r="EU1053" s="350" t="str">
        <f t="shared" si="136"/>
        <v>Casanare_Hato Corozal</v>
      </c>
    </row>
    <row r="1054" spans="1:151" s="171" customFormat="1" ht="25.5" x14ac:dyDescent="0.2">
      <c r="A1054" s="242">
        <v>40409</v>
      </c>
      <c r="B1054" s="107" t="s">
        <v>2791</v>
      </c>
      <c r="C1054" s="107" t="s">
        <v>888</v>
      </c>
      <c r="D1054" s="427" t="s">
        <v>2209</v>
      </c>
      <c r="E1054" s="107" t="str">
        <f>VLOOKUP(B1054&amp;C1054,Divipola!$C$2:$F$1138,4,FALSE)</f>
        <v>73217</v>
      </c>
      <c r="F1054" s="330"/>
      <c r="G1054" s="224"/>
      <c r="H1054" s="75"/>
      <c r="I1054" s="75"/>
      <c r="J1054" s="75">
        <v>198</v>
      </c>
      <c r="K1054" s="75">
        <v>44</v>
      </c>
      <c r="L1054" s="75"/>
      <c r="M1054" s="75"/>
      <c r="N1054" s="75"/>
      <c r="O1054" s="75"/>
      <c r="P1054" s="75"/>
      <c r="Q1054" s="75"/>
      <c r="R1054" s="75"/>
      <c r="S1054" s="75"/>
      <c r="T1054" s="75"/>
      <c r="U1054" s="75"/>
      <c r="V1054" s="76"/>
      <c r="W1054" s="205"/>
      <c r="X1054" s="1"/>
      <c r="Y1054" s="78">
        <f t="shared" si="137"/>
        <v>0</v>
      </c>
      <c r="Z1054" s="78">
        <f t="shared" si="138"/>
        <v>0</v>
      </c>
      <c r="AA1054" s="78">
        <f t="shared" si="142"/>
        <v>0</v>
      </c>
      <c r="AB1054" s="78">
        <f t="shared" si="139"/>
        <v>0</v>
      </c>
      <c r="AC1054" s="78"/>
      <c r="AD1054" s="78">
        <v>0</v>
      </c>
      <c r="AE1054" s="80">
        <f t="shared" si="141"/>
        <v>0</v>
      </c>
      <c r="AF1054" s="82">
        <v>0</v>
      </c>
      <c r="AG1054" s="69">
        <v>40413</v>
      </c>
      <c r="AH1054" s="84"/>
      <c r="AI1054" s="69" t="s">
        <v>1984</v>
      </c>
      <c r="AJ1054" s="25" t="s">
        <v>1985</v>
      </c>
      <c r="AK1054" s="65"/>
      <c r="AL1054" s="212" t="s">
        <v>1257</v>
      </c>
      <c r="AM1054" s="85" t="s">
        <v>36</v>
      </c>
      <c r="AN1054" s="3"/>
      <c r="AO1054" s="4"/>
      <c r="AP1054" s="5"/>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6"/>
      <c r="CQ1054" s="7"/>
      <c r="CR1054" s="6"/>
      <c r="CS1054" s="7"/>
      <c r="CT1054" s="6"/>
      <c r="CU1054" s="7"/>
      <c r="CV1054" s="8">
        <f t="shared" si="140"/>
        <v>0</v>
      </c>
      <c r="CW1054" s="9"/>
      <c r="CX1054" s="10"/>
      <c r="CY1054" s="11"/>
      <c r="CZ1054" s="12"/>
      <c r="DA1054" s="29"/>
      <c r="DB1054" s="12"/>
      <c r="DC1054" s="9"/>
      <c r="DD1054" s="10"/>
      <c r="DE1054" s="71"/>
      <c r="DF1054" s="23"/>
      <c r="EO1054" s="353" t="str">
        <f t="shared" si="143"/>
        <v>TOLIMA_COYAIMA</v>
      </c>
      <c r="EP1054" s="350"/>
      <c r="EQ1054" s="350" t="s">
        <v>4634</v>
      </c>
      <c r="ER1054" s="358" t="s">
        <v>3656</v>
      </c>
      <c r="ES1054" s="350" t="s">
        <v>5734</v>
      </c>
      <c r="ET1054" s="350" t="s">
        <v>3661</v>
      </c>
      <c r="EU1054" s="350" t="str">
        <f t="shared" si="136"/>
        <v>Casanare_La Salina</v>
      </c>
    </row>
    <row r="1055" spans="1:151" s="171" customFormat="1" ht="72" x14ac:dyDescent="0.2">
      <c r="A1055" s="242">
        <v>40409</v>
      </c>
      <c r="B1055" s="107" t="s">
        <v>1462</v>
      </c>
      <c r="C1055" s="107" t="s">
        <v>609</v>
      </c>
      <c r="D1055" s="427" t="s">
        <v>2209</v>
      </c>
      <c r="E1055" s="107" t="str">
        <f>VLOOKUP(B1055&amp;C1055,Divipola!$C$2:$F$1138,4,FALSE)</f>
        <v>76364</v>
      </c>
      <c r="F1055" s="330"/>
      <c r="G1055" s="224"/>
      <c r="H1055" s="75"/>
      <c r="I1055" s="75"/>
      <c r="J1055" s="75">
        <f>118*5</f>
        <v>590</v>
      </c>
      <c r="K1055" s="75">
        <v>118</v>
      </c>
      <c r="L1055" s="75"/>
      <c r="M1055" s="75">
        <v>118</v>
      </c>
      <c r="N1055" s="75"/>
      <c r="O1055" s="75"/>
      <c r="P1055" s="75"/>
      <c r="Q1055" s="75"/>
      <c r="R1055" s="75"/>
      <c r="S1055" s="75"/>
      <c r="T1055" s="75"/>
      <c r="U1055" s="75"/>
      <c r="V1055" s="76"/>
      <c r="W1055" s="205"/>
      <c r="X1055" s="1"/>
      <c r="Y1055" s="78">
        <f t="shared" si="137"/>
        <v>0</v>
      </c>
      <c r="Z1055" s="78">
        <f t="shared" si="138"/>
        <v>0</v>
      </c>
      <c r="AA1055" s="78">
        <f t="shared" si="142"/>
        <v>0</v>
      </c>
      <c r="AB1055" s="78">
        <f t="shared" si="139"/>
        <v>0</v>
      </c>
      <c r="AC1055" s="78"/>
      <c r="AD1055" s="78">
        <v>0</v>
      </c>
      <c r="AE1055" s="80">
        <f t="shared" si="141"/>
        <v>0</v>
      </c>
      <c r="AF1055" s="82">
        <v>0</v>
      </c>
      <c r="AG1055" s="69">
        <v>40413</v>
      </c>
      <c r="AH1055" s="84"/>
      <c r="AI1055" s="69" t="s">
        <v>1984</v>
      </c>
      <c r="AJ1055" s="25" t="s">
        <v>1985</v>
      </c>
      <c r="AK1055" s="65"/>
      <c r="AL1055" s="185" t="s">
        <v>1257</v>
      </c>
      <c r="AM1055" s="85" t="s">
        <v>739</v>
      </c>
      <c r="AN1055" s="3"/>
      <c r="AO1055" s="4"/>
      <c r="AP1055" s="5"/>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6"/>
      <c r="CQ1055" s="7"/>
      <c r="CR1055" s="6"/>
      <c r="CS1055" s="7"/>
      <c r="CT1055" s="6"/>
      <c r="CU1055" s="7"/>
      <c r="CV1055" s="8">
        <f t="shared" si="140"/>
        <v>0</v>
      </c>
      <c r="CW1055" s="9"/>
      <c r="CX1055" s="10"/>
      <c r="CY1055" s="11"/>
      <c r="CZ1055" s="12"/>
      <c r="DA1055" s="29"/>
      <c r="DB1055" s="12"/>
      <c r="DC1055" s="9"/>
      <c r="DD1055" s="10"/>
      <c r="DE1055" s="71"/>
      <c r="DF1055" s="23"/>
      <c r="EO1055" s="353" t="str">
        <f t="shared" si="143"/>
        <v>VALLE DEL CAUCA_JAMUNDI</v>
      </c>
      <c r="EP1055" s="350"/>
      <c r="EQ1055" s="350" t="s">
        <v>4634</v>
      </c>
      <c r="ER1055" s="358" t="s">
        <v>3656</v>
      </c>
      <c r="ES1055" s="350" t="s">
        <v>5735</v>
      </c>
      <c r="ET1055" s="350" t="s">
        <v>3662</v>
      </c>
      <c r="EU1055" s="350" t="str">
        <f t="shared" si="136"/>
        <v>Casanare_Mani</v>
      </c>
    </row>
    <row r="1056" spans="1:151" s="171" customFormat="1" ht="25.5" x14ac:dyDescent="0.2">
      <c r="A1056" s="242">
        <v>40410</v>
      </c>
      <c r="B1056" s="107" t="s">
        <v>1951</v>
      </c>
      <c r="C1056" s="107" t="s">
        <v>145</v>
      </c>
      <c r="D1056" s="427" t="s">
        <v>2307</v>
      </c>
      <c r="E1056" s="107" t="str">
        <f>VLOOKUP(B1056&amp;C1056,Divipola!$C$2:$F$1138,4,FALSE)</f>
        <v>08832</v>
      </c>
      <c r="F1056" s="330"/>
      <c r="G1056" s="224"/>
      <c r="H1056" s="75"/>
      <c r="I1056" s="75"/>
      <c r="J1056" s="75">
        <v>75</v>
      </c>
      <c r="K1056" s="75">
        <v>15</v>
      </c>
      <c r="L1056" s="75"/>
      <c r="M1056" s="75">
        <v>15</v>
      </c>
      <c r="N1056" s="75"/>
      <c r="O1056" s="75"/>
      <c r="P1056" s="75"/>
      <c r="Q1056" s="75"/>
      <c r="R1056" s="75"/>
      <c r="S1056" s="75"/>
      <c r="T1056" s="75"/>
      <c r="U1056" s="75"/>
      <c r="V1056" s="76"/>
      <c r="W1056" s="205"/>
      <c r="X1056" s="1">
        <v>40536</v>
      </c>
      <c r="Y1056" s="78">
        <f t="shared" si="137"/>
        <v>0</v>
      </c>
      <c r="Z1056" s="78">
        <f t="shared" si="138"/>
        <v>4930000</v>
      </c>
      <c r="AA1056" s="78">
        <f t="shared" si="142"/>
        <v>0</v>
      </c>
      <c r="AB1056" s="78">
        <f t="shared" si="139"/>
        <v>0</v>
      </c>
      <c r="AC1056" s="78"/>
      <c r="AD1056" s="78">
        <v>0</v>
      </c>
      <c r="AE1056" s="80">
        <f t="shared" si="141"/>
        <v>4930000</v>
      </c>
      <c r="AF1056" s="82">
        <v>0</v>
      </c>
      <c r="AG1056" s="69">
        <v>40413</v>
      </c>
      <c r="AH1056" s="84">
        <v>47076</v>
      </c>
      <c r="AI1056" s="69" t="s">
        <v>2009</v>
      </c>
      <c r="AJ1056" s="25" t="s">
        <v>2010</v>
      </c>
      <c r="AK1056" s="65">
        <v>27459</v>
      </c>
      <c r="AL1056" s="185" t="s">
        <v>1257</v>
      </c>
      <c r="AM1056" s="85" t="s">
        <v>29</v>
      </c>
      <c r="AN1056" s="3"/>
      <c r="AO1056" s="4"/>
      <c r="AP1056" s="5"/>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6"/>
      <c r="CQ1056" s="7"/>
      <c r="CR1056" s="6"/>
      <c r="CS1056" s="7"/>
      <c r="CT1056" s="6"/>
      <c r="CU1056" s="7"/>
      <c r="CV1056" s="8">
        <f t="shared" si="140"/>
        <v>0</v>
      </c>
      <c r="CW1056" s="9"/>
      <c r="CX1056" s="10"/>
      <c r="CY1056" s="11">
        <v>58</v>
      </c>
      <c r="CZ1056" s="12">
        <f>58*85000</f>
        <v>4930000</v>
      </c>
      <c r="DA1056" s="29"/>
      <c r="DB1056" s="12"/>
      <c r="DC1056" s="9"/>
      <c r="DD1056" s="10"/>
      <c r="DE1056" s="71"/>
      <c r="DF1056" s="23"/>
      <c r="EO1056" s="353" t="str">
        <f t="shared" si="143"/>
        <v>ATLANTICO_TUBARA</v>
      </c>
      <c r="EP1056" s="350"/>
      <c r="EQ1056" s="350" t="s">
        <v>4634</v>
      </c>
      <c r="ER1056" s="358" t="s">
        <v>3656</v>
      </c>
      <c r="ES1056" s="350" t="s">
        <v>5736</v>
      </c>
      <c r="ET1056" s="350" t="s">
        <v>3663</v>
      </c>
      <c r="EU1056" s="350" t="str">
        <f t="shared" si="136"/>
        <v>Casanare_Monterrey</v>
      </c>
    </row>
    <row r="1057" spans="1:151" s="171" customFormat="1" ht="25.5" x14ac:dyDescent="0.2">
      <c r="A1057" s="242">
        <v>40410</v>
      </c>
      <c r="B1057" s="236" t="s">
        <v>289</v>
      </c>
      <c r="C1057" s="236" t="s">
        <v>4237</v>
      </c>
      <c r="D1057" s="433" t="s">
        <v>2209</v>
      </c>
      <c r="E1057" s="107" t="str">
        <f>VLOOKUP(B1057&amp;C1057,Divipola!$C$2:$F$1138,4,FALSE)</f>
        <v>17867</v>
      </c>
      <c r="F1057" s="335"/>
      <c r="G1057" s="221"/>
      <c r="H1057" s="157"/>
      <c r="I1057" s="157"/>
      <c r="J1057" s="157">
        <v>40</v>
      </c>
      <c r="K1057" s="157">
        <v>8</v>
      </c>
      <c r="L1057" s="157"/>
      <c r="M1057" s="157">
        <v>8</v>
      </c>
      <c r="N1057" s="157"/>
      <c r="O1057" s="157"/>
      <c r="P1057" s="157"/>
      <c r="Q1057" s="157"/>
      <c r="R1057" s="157"/>
      <c r="S1057" s="157"/>
      <c r="T1057" s="157"/>
      <c r="U1057" s="157"/>
      <c r="V1057" s="158"/>
      <c r="W1057" s="182"/>
      <c r="X1057" s="1"/>
      <c r="Y1057" s="78">
        <f t="shared" si="137"/>
        <v>0</v>
      </c>
      <c r="Z1057" s="78">
        <f t="shared" si="138"/>
        <v>0</v>
      </c>
      <c r="AA1057" s="78">
        <f t="shared" si="142"/>
        <v>0</v>
      </c>
      <c r="AB1057" s="78">
        <f t="shared" si="139"/>
        <v>0</v>
      </c>
      <c r="AC1057" s="78"/>
      <c r="AD1057" s="78">
        <v>0</v>
      </c>
      <c r="AE1057" s="80">
        <f t="shared" si="141"/>
        <v>0</v>
      </c>
      <c r="AF1057" s="82">
        <v>0</v>
      </c>
      <c r="AG1057" s="69">
        <v>40430</v>
      </c>
      <c r="AH1057" s="84"/>
      <c r="AI1057" s="69" t="s">
        <v>2009</v>
      </c>
      <c r="AJ1057" s="25" t="s">
        <v>2010</v>
      </c>
      <c r="AK1057" s="65"/>
      <c r="AL1057" s="184" t="s">
        <v>3833</v>
      </c>
      <c r="AM1057" s="173" t="s">
        <v>1901</v>
      </c>
      <c r="AN1057" s="159"/>
      <c r="AO1057" s="160"/>
      <c r="AP1057" s="161"/>
      <c r="AQ1057" s="160"/>
      <c r="AR1057" s="160"/>
      <c r="AS1057" s="160"/>
      <c r="AT1057" s="160"/>
      <c r="AU1057" s="160"/>
      <c r="AV1057" s="160"/>
      <c r="AW1057" s="160"/>
      <c r="AX1057" s="160"/>
      <c r="AY1057" s="160"/>
      <c r="AZ1057" s="160"/>
      <c r="BA1057" s="160"/>
      <c r="BB1057" s="160"/>
      <c r="BC1057" s="160"/>
      <c r="BD1057" s="160"/>
      <c r="BE1057" s="160"/>
      <c r="BF1057" s="160"/>
      <c r="BG1057" s="160"/>
      <c r="BH1057" s="160"/>
      <c r="BI1057" s="160"/>
      <c r="BJ1057" s="160"/>
      <c r="BK1057" s="160"/>
      <c r="BL1057" s="160"/>
      <c r="BM1057" s="160"/>
      <c r="BN1057" s="160"/>
      <c r="BO1057" s="160"/>
      <c r="BP1057" s="160"/>
      <c r="BQ1057" s="160"/>
      <c r="BR1057" s="160"/>
      <c r="BS1057" s="160"/>
      <c r="BT1057" s="160"/>
      <c r="BU1057" s="160"/>
      <c r="BV1057" s="160"/>
      <c r="BW1057" s="160"/>
      <c r="BX1057" s="160"/>
      <c r="BY1057" s="160"/>
      <c r="BZ1057" s="160"/>
      <c r="CA1057" s="160"/>
      <c r="CB1057" s="160"/>
      <c r="CC1057" s="160"/>
      <c r="CD1057" s="160"/>
      <c r="CE1057" s="160"/>
      <c r="CF1057" s="160"/>
      <c r="CG1057" s="160"/>
      <c r="CH1057" s="160"/>
      <c r="CI1057" s="160"/>
      <c r="CJ1057" s="160"/>
      <c r="CK1057" s="160"/>
      <c r="CL1057" s="160"/>
      <c r="CM1057" s="160"/>
      <c r="CN1057" s="160"/>
      <c r="CO1057" s="160"/>
      <c r="CP1057" s="162"/>
      <c r="CQ1057" s="163"/>
      <c r="CR1057" s="162"/>
      <c r="CS1057" s="163"/>
      <c r="CT1057" s="162"/>
      <c r="CU1057" s="163"/>
      <c r="CV1057" s="164">
        <f t="shared" si="140"/>
        <v>0</v>
      </c>
      <c r="CW1057" s="165"/>
      <c r="CX1057" s="166"/>
      <c r="CY1057" s="167"/>
      <c r="CZ1057" s="168"/>
      <c r="DA1057" s="169"/>
      <c r="DB1057" s="168"/>
      <c r="DC1057" s="165"/>
      <c r="DD1057" s="166"/>
      <c r="DE1057" s="71"/>
      <c r="DF1057" s="170"/>
      <c r="EO1057" s="353" t="str">
        <f t="shared" si="143"/>
        <v>CALDAS_VICTORIA</v>
      </c>
      <c r="EP1057" s="350"/>
      <c r="EQ1057" s="350" t="s">
        <v>4634</v>
      </c>
      <c r="ER1057" s="358" t="s">
        <v>3656</v>
      </c>
      <c r="ES1057" s="350" t="s">
        <v>5737</v>
      </c>
      <c r="ET1057" s="350" t="s">
        <v>3664</v>
      </c>
      <c r="EU1057" s="350" t="str">
        <f t="shared" si="136"/>
        <v>Casanare_Nunchia</v>
      </c>
    </row>
    <row r="1058" spans="1:151" s="171" customFormat="1" ht="36" x14ac:dyDescent="0.2">
      <c r="A1058" s="242">
        <v>40410</v>
      </c>
      <c r="B1058" s="222" t="s">
        <v>1719</v>
      </c>
      <c r="C1058" s="222" t="s">
        <v>282</v>
      </c>
      <c r="D1058" s="427" t="s">
        <v>2307</v>
      </c>
      <c r="E1058" s="107" t="str">
        <f>VLOOKUP(B1058&amp;C1058,Divipola!$C$2:$F$1138,4,FALSE)</f>
        <v>19137</v>
      </c>
      <c r="F1058" s="330"/>
      <c r="G1058" s="221"/>
      <c r="H1058" s="157"/>
      <c r="I1058" s="157"/>
      <c r="J1058" s="157">
        <f>2509*5</f>
        <v>12545</v>
      </c>
      <c r="K1058" s="157">
        <v>2509</v>
      </c>
      <c r="L1058" s="157"/>
      <c r="M1058" s="157">
        <v>2509</v>
      </c>
      <c r="N1058" s="157"/>
      <c r="O1058" s="157"/>
      <c r="P1058" s="157"/>
      <c r="Q1058" s="157">
        <v>2</v>
      </c>
      <c r="R1058" s="157"/>
      <c r="S1058" s="157"/>
      <c r="T1058" s="157"/>
      <c r="U1058" s="157"/>
      <c r="V1058" s="158">
        <v>13</v>
      </c>
      <c r="W1058" s="182" t="s">
        <v>747</v>
      </c>
      <c r="X1058" s="1"/>
      <c r="Y1058" s="78">
        <f t="shared" si="137"/>
        <v>0</v>
      </c>
      <c r="Z1058" s="78">
        <f t="shared" si="138"/>
        <v>0</v>
      </c>
      <c r="AA1058" s="78">
        <f t="shared" si="142"/>
        <v>0</v>
      </c>
      <c r="AB1058" s="78">
        <f t="shared" si="139"/>
        <v>0</v>
      </c>
      <c r="AC1058" s="78"/>
      <c r="AD1058" s="78">
        <v>0</v>
      </c>
      <c r="AE1058" s="80">
        <f t="shared" si="141"/>
        <v>0</v>
      </c>
      <c r="AF1058" s="82">
        <v>0</v>
      </c>
      <c r="AG1058" s="69">
        <v>40459</v>
      </c>
      <c r="AH1058" s="84"/>
      <c r="AI1058" s="69" t="s">
        <v>1984</v>
      </c>
      <c r="AJ1058" s="25" t="s">
        <v>1985</v>
      </c>
      <c r="AK1058" s="65"/>
      <c r="AL1058" s="176" t="s">
        <v>1257</v>
      </c>
      <c r="AM1058" s="173" t="s">
        <v>2708</v>
      </c>
      <c r="AN1058" s="159"/>
      <c r="AO1058" s="160"/>
      <c r="AP1058" s="161"/>
      <c r="AQ1058" s="160"/>
      <c r="AR1058" s="160"/>
      <c r="AS1058" s="160"/>
      <c r="AT1058" s="160"/>
      <c r="AU1058" s="160"/>
      <c r="AV1058" s="160"/>
      <c r="AW1058" s="160"/>
      <c r="AX1058" s="160"/>
      <c r="AY1058" s="160"/>
      <c r="AZ1058" s="160"/>
      <c r="BA1058" s="160"/>
      <c r="BB1058" s="160"/>
      <c r="BC1058" s="160"/>
      <c r="BD1058" s="160"/>
      <c r="BE1058" s="160"/>
      <c r="BF1058" s="160"/>
      <c r="BG1058" s="160"/>
      <c r="BH1058" s="160"/>
      <c r="BI1058" s="160"/>
      <c r="BJ1058" s="160"/>
      <c r="BK1058" s="160"/>
      <c r="BL1058" s="160"/>
      <c r="BM1058" s="160"/>
      <c r="BN1058" s="160"/>
      <c r="BO1058" s="160"/>
      <c r="BP1058" s="160"/>
      <c r="BQ1058" s="160"/>
      <c r="BR1058" s="160"/>
      <c r="BS1058" s="160"/>
      <c r="BT1058" s="160"/>
      <c r="BU1058" s="160"/>
      <c r="BV1058" s="160"/>
      <c r="BW1058" s="160"/>
      <c r="BX1058" s="160"/>
      <c r="BY1058" s="160"/>
      <c r="BZ1058" s="160"/>
      <c r="CA1058" s="160"/>
      <c r="CB1058" s="160"/>
      <c r="CC1058" s="160"/>
      <c r="CD1058" s="160"/>
      <c r="CE1058" s="160"/>
      <c r="CF1058" s="160"/>
      <c r="CG1058" s="160"/>
      <c r="CH1058" s="160"/>
      <c r="CI1058" s="160"/>
      <c r="CJ1058" s="160"/>
      <c r="CK1058" s="160"/>
      <c r="CL1058" s="160"/>
      <c r="CM1058" s="160"/>
      <c r="CN1058" s="160"/>
      <c r="CO1058" s="160"/>
      <c r="CP1058" s="162"/>
      <c r="CQ1058" s="163"/>
      <c r="CR1058" s="162"/>
      <c r="CS1058" s="163"/>
      <c r="CT1058" s="162"/>
      <c r="CU1058" s="163"/>
      <c r="CV1058" s="164">
        <f t="shared" si="140"/>
        <v>0</v>
      </c>
      <c r="CW1058" s="165"/>
      <c r="CX1058" s="166"/>
      <c r="CY1058" s="167"/>
      <c r="CZ1058" s="168"/>
      <c r="DA1058" s="169"/>
      <c r="DB1058" s="168"/>
      <c r="DC1058" s="165"/>
      <c r="DD1058" s="166"/>
      <c r="DE1058" s="71"/>
      <c r="DF1058" s="170"/>
      <c r="EO1058" s="353" t="str">
        <f t="shared" si="143"/>
        <v>CAUCA_CALDONO</v>
      </c>
      <c r="EP1058" s="350"/>
      <c r="EQ1058" s="350" t="s">
        <v>4634</v>
      </c>
      <c r="ER1058" s="358" t="s">
        <v>3656</v>
      </c>
      <c r="ES1058" s="350" t="s">
        <v>5738</v>
      </c>
      <c r="ET1058" s="350" t="s">
        <v>3665</v>
      </c>
      <c r="EU1058" s="350" t="str">
        <f t="shared" si="136"/>
        <v>Casanare_Orocue</v>
      </c>
    </row>
    <row r="1059" spans="1:151" s="171" customFormat="1" ht="38.25" x14ac:dyDescent="0.2">
      <c r="A1059" s="242">
        <v>40410</v>
      </c>
      <c r="B1059" s="107" t="s">
        <v>1719</v>
      </c>
      <c r="C1059" s="107" t="s">
        <v>33</v>
      </c>
      <c r="D1059" s="427" t="s">
        <v>1721</v>
      </c>
      <c r="E1059" s="107" t="str">
        <f>VLOOKUP(B1059&amp;C1059,Divipola!$C$2:$F$1138,4,FALSE)</f>
        <v>19807</v>
      </c>
      <c r="F1059" s="330"/>
      <c r="G1059" s="224"/>
      <c r="H1059" s="75"/>
      <c r="I1059" s="75"/>
      <c r="J1059" s="75"/>
      <c r="K1059" s="75"/>
      <c r="L1059" s="75"/>
      <c r="M1059" s="75"/>
      <c r="N1059" s="75"/>
      <c r="O1059" s="75"/>
      <c r="P1059" s="75"/>
      <c r="Q1059" s="75"/>
      <c r="R1059" s="75"/>
      <c r="S1059" s="75"/>
      <c r="T1059" s="75"/>
      <c r="U1059" s="75"/>
      <c r="V1059" s="76"/>
      <c r="W1059" s="205"/>
      <c r="X1059" s="1"/>
      <c r="Y1059" s="78">
        <f t="shared" si="137"/>
        <v>0</v>
      </c>
      <c r="Z1059" s="78">
        <f t="shared" si="138"/>
        <v>0</v>
      </c>
      <c r="AA1059" s="78">
        <f t="shared" si="142"/>
        <v>0</v>
      </c>
      <c r="AB1059" s="78">
        <f t="shared" si="139"/>
        <v>0</v>
      </c>
      <c r="AC1059" s="78"/>
      <c r="AD1059" s="78">
        <v>0</v>
      </c>
      <c r="AE1059" s="80">
        <f t="shared" si="141"/>
        <v>0</v>
      </c>
      <c r="AF1059" s="82">
        <v>0</v>
      </c>
      <c r="AG1059" s="69">
        <v>40413</v>
      </c>
      <c r="AH1059" s="84"/>
      <c r="AI1059" s="69" t="s">
        <v>1984</v>
      </c>
      <c r="AJ1059" s="25" t="s">
        <v>1985</v>
      </c>
      <c r="AK1059" s="65"/>
      <c r="AL1059" s="185" t="s">
        <v>1257</v>
      </c>
      <c r="AM1059" s="85" t="s">
        <v>34</v>
      </c>
      <c r="AN1059" s="3"/>
      <c r="AO1059" s="4"/>
      <c r="AP1059" s="5"/>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c r="CJ1059" s="4"/>
      <c r="CK1059" s="4"/>
      <c r="CL1059" s="4"/>
      <c r="CM1059" s="4"/>
      <c r="CN1059" s="4"/>
      <c r="CO1059" s="4"/>
      <c r="CP1059" s="6"/>
      <c r="CQ1059" s="7"/>
      <c r="CR1059" s="6"/>
      <c r="CS1059" s="7"/>
      <c r="CT1059" s="6"/>
      <c r="CU1059" s="7"/>
      <c r="CV1059" s="8">
        <f t="shared" si="140"/>
        <v>0</v>
      </c>
      <c r="CW1059" s="9"/>
      <c r="CX1059" s="10"/>
      <c r="CY1059" s="11"/>
      <c r="CZ1059" s="12"/>
      <c r="DA1059" s="29"/>
      <c r="DB1059" s="12"/>
      <c r="DC1059" s="9"/>
      <c r="DD1059" s="10"/>
      <c r="DE1059" s="71"/>
      <c r="DF1059" s="23"/>
      <c r="EO1059" s="353" t="str">
        <f t="shared" si="143"/>
        <v>CAUCA_TIMBIO</v>
      </c>
      <c r="EP1059" s="350"/>
      <c r="EQ1059" s="350" t="s">
        <v>4634</v>
      </c>
      <c r="ER1059" s="358" t="s">
        <v>3656</v>
      </c>
      <c r="ES1059" s="350" t="s">
        <v>5739</v>
      </c>
      <c r="ET1059" s="350" t="s">
        <v>3666</v>
      </c>
      <c r="EU1059" s="350" t="str">
        <f t="shared" si="136"/>
        <v>Casanare_Paz de Ariporo</v>
      </c>
    </row>
    <row r="1060" spans="1:151" s="171" customFormat="1" ht="38.25" x14ac:dyDescent="0.2">
      <c r="A1060" s="242">
        <v>40410</v>
      </c>
      <c r="B1060" s="107" t="s">
        <v>2007</v>
      </c>
      <c r="C1060" s="107" t="s">
        <v>1383</v>
      </c>
      <c r="D1060" s="427" t="s">
        <v>1721</v>
      </c>
      <c r="E1060" s="107" t="str">
        <f>VLOOKUP(B1060&amp;C1060,Divipola!$C$2:$F$1138,4,FALSE)</f>
        <v>25120</v>
      </c>
      <c r="F1060" s="330"/>
      <c r="G1060" s="224"/>
      <c r="H1060" s="75"/>
      <c r="I1060" s="75"/>
      <c r="J1060" s="75">
        <v>8</v>
      </c>
      <c r="K1060" s="75">
        <v>1</v>
      </c>
      <c r="L1060" s="75">
        <v>1</v>
      </c>
      <c r="M1060" s="75"/>
      <c r="N1060" s="75"/>
      <c r="O1060" s="75"/>
      <c r="P1060" s="75"/>
      <c r="Q1060" s="75"/>
      <c r="R1060" s="75"/>
      <c r="S1060" s="75"/>
      <c r="T1060" s="75"/>
      <c r="U1060" s="75"/>
      <c r="V1060" s="76"/>
      <c r="W1060" s="205"/>
      <c r="X1060" s="1"/>
      <c r="Y1060" s="78">
        <f t="shared" si="137"/>
        <v>0</v>
      </c>
      <c r="Z1060" s="78">
        <f t="shared" si="138"/>
        <v>0</v>
      </c>
      <c r="AA1060" s="78">
        <f t="shared" si="142"/>
        <v>0</v>
      </c>
      <c r="AB1060" s="78">
        <f t="shared" si="139"/>
        <v>0</v>
      </c>
      <c r="AC1060" s="78"/>
      <c r="AD1060" s="78">
        <v>0</v>
      </c>
      <c r="AE1060" s="80">
        <f t="shared" si="141"/>
        <v>0</v>
      </c>
      <c r="AF1060" s="82">
        <v>0</v>
      </c>
      <c r="AG1060" s="69">
        <v>40413</v>
      </c>
      <c r="AH1060" s="84"/>
      <c r="AI1060" s="69" t="s">
        <v>1984</v>
      </c>
      <c r="AJ1060" s="25" t="s">
        <v>1985</v>
      </c>
      <c r="AK1060" s="65"/>
      <c r="AL1060" s="185" t="s">
        <v>1257</v>
      </c>
      <c r="AM1060" s="85" t="s">
        <v>32</v>
      </c>
      <c r="AN1060" s="3"/>
      <c r="AO1060" s="4"/>
      <c r="AP1060" s="5"/>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c r="CJ1060" s="4"/>
      <c r="CK1060" s="4"/>
      <c r="CL1060" s="4"/>
      <c r="CM1060" s="4"/>
      <c r="CN1060" s="4"/>
      <c r="CO1060" s="4"/>
      <c r="CP1060" s="6"/>
      <c r="CQ1060" s="7"/>
      <c r="CR1060" s="6"/>
      <c r="CS1060" s="7"/>
      <c r="CT1060" s="6"/>
      <c r="CU1060" s="7"/>
      <c r="CV1060" s="8">
        <f t="shared" si="140"/>
        <v>0</v>
      </c>
      <c r="CW1060" s="9"/>
      <c r="CX1060" s="10"/>
      <c r="CY1060" s="11"/>
      <c r="CZ1060" s="12"/>
      <c r="DA1060" s="29"/>
      <c r="DB1060" s="12"/>
      <c r="DC1060" s="9"/>
      <c r="DD1060" s="10"/>
      <c r="DE1060" s="71"/>
      <c r="DF1060" s="23"/>
      <c r="EO1060" s="353" t="str">
        <f t="shared" si="143"/>
        <v>CUNDINAMARCA_CABRERA</v>
      </c>
      <c r="EP1060" s="350"/>
      <c r="EQ1060" s="350" t="s">
        <v>4634</v>
      </c>
      <c r="ER1060" s="358" t="s">
        <v>3656</v>
      </c>
      <c r="ES1060" s="350" t="s">
        <v>5740</v>
      </c>
      <c r="ET1060" s="350" t="s">
        <v>3667</v>
      </c>
      <c r="EU1060" s="350" t="str">
        <f t="shared" si="136"/>
        <v>Casanare_Pore</v>
      </c>
    </row>
    <row r="1061" spans="1:151" s="171" customFormat="1" ht="25.5" x14ac:dyDescent="0.2">
      <c r="A1061" s="242">
        <v>40410</v>
      </c>
      <c r="B1061" s="107" t="s">
        <v>2012</v>
      </c>
      <c r="C1061" s="107" t="s">
        <v>2433</v>
      </c>
      <c r="D1061" s="427" t="s">
        <v>2209</v>
      </c>
      <c r="E1061" s="107" t="str">
        <f>VLOOKUP(B1061&amp;C1061,Divipola!$C$2:$F$1138,4,FALSE)</f>
        <v>66001</v>
      </c>
      <c r="F1061" s="330"/>
      <c r="G1061" s="224"/>
      <c r="H1061" s="75"/>
      <c r="I1061" s="75"/>
      <c r="J1061" s="75">
        <f>82*5</f>
        <v>410</v>
      </c>
      <c r="K1061" s="75">
        <v>82</v>
      </c>
      <c r="L1061" s="75"/>
      <c r="M1061" s="75">
        <v>82</v>
      </c>
      <c r="N1061" s="75"/>
      <c r="O1061" s="75"/>
      <c r="P1061" s="75"/>
      <c r="Q1061" s="75"/>
      <c r="R1061" s="75"/>
      <c r="S1061" s="75"/>
      <c r="T1061" s="75"/>
      <c r="U1061" s="75"/>
      <c r="V1061" s="76"/>
      <c r="W1061" s="205"/>
      <c r="X1061" s="1"/>
      <c r="Y1061" s="78">
        <f t="shared" si="137"/>
        <v>0</v>
      </c>
      <c r="Z1061" s="78">
        <f t="shared" si="138"/>
        <v>0</v>
      </c>
      <c r="AA1061" s="78">
        <f t="shared" si="142"/>
        <v>0</v>
      </c>
      <c r="AB1061" s="78">
        <f t="shared" si="139"/>
        <v>0</v>
      </c>
      <c r="AC1061" s="78"/>
      <c r="AD1061" s="78">
        <v>0</v>
      </c>
      <c r="AE1061" s="80">
        <f t="shared" si="141"/>
        <v>0</v>
      </c>
      <c r="AF1061" s="82">
        <v>0</v>
      </c>
      <c r="AG1061" s="69">
        <v>40413</v>
      </c>
      <c r="AH1061" s="84"/>
      <c r="AI1061" s="69" t="s">
        <v>1984</v>
      </c>
      <c r="AJ1061" s="25" t="s">
        <v>1985</v>
      </c>
      <c r="AK1061" s="65"/>
      <c r="AL1061" s="185" t="s">
        <v>1257</v>
      </c>
      <c r="AM1061" s="85" t="s">
        <v>35</v>
      </c>
      <c r="AN1061" s="3"/>
      <c r="AO1061" s="4"/>
      <c r="AP1061" s="5"/>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c r="CJ1061" s="4"/>
      <c r="CK1061" s="4"/>
      <c r="CL1061" s="4"/>
      <c r="CM1061" s="4"/>
      <c r="CN1061" s="4"/>
      <c r="CO1061" s="4"/>
      <c r="CP1061" s="6"/>
      <c r="CQ1061" s="7"/>
      <c r="CR1061" s="6"/>
      <c r="CS1061" s="7"/>
      <c r="CT1061" s="6"/>
      <c r="CU1061" s="7"/>
      <c r="CV1061" s="8">
        <f t="shared" si="140"/>
        <v>0</v>
      </c>
      <c r="CW1061" s="9"/>
      <c r="CX1061" s="10"/>
      <c r="CY1061" s="11"/>
      <c r="CZ1061" s="12"/>
      <c r="DA1061" s="29"/>
      <c r="DB1061" s="12"/>
      <c r="DC1061" s="9"/>
      <c r="DD1061" s="10"/>
      <c r="DE1061" s="71"/>
      <c r="DF1061" s="23"/>
      <c r="EO1061" s="353" t="str">
        <f t="shared" si="143"/>
        <v>RISARALDA_PEREIRA</v>
      </c>
      <c r="EP1061" s="350"/>
      <c r="EQ1061" s="350" t="s">
        <v>4634</v>
      </c>
      <c r="ER1061" s="358" t="s">
        <v>3656</v>
      </c>
      <c r="ES1061" s="350" t="s">
        <v>5741</v>
      </c>
      <c r="ET1061" s="350" t="s">
        <v>3668</v>
      </c>
      <c r="EU1061" s="350" t="str">
        <f t="shared" si="136"/>
        <v>Casanare_Recetor</v>
      </c>
    </row>
    <row r="1062" spans="1:151" s="171" customFormat="1" ht="132" x14ac:dyDescent="0.2">
      <c r="A1062" s="242">
        <v>40411</v>
      </c>
      <c r="B1062" s="107" t="s">
        <v>1700</v>
      </c>
      <c r="C1062" s="107" t="s">
        <v>2371</v>
      </c>
      <c r="D1062" s="427" t="s">
        <v>837</v>
      </c>
      <c r="E1062" s="107" t="str">
        <f>VLOOKUP(B1062&amp;C1062,Divipola!$C$2:$F$1138,4,FALSE)</f>
        <v>23079</v>
      </c>
      <c r="F1062" s="330"/>
      <c r="G1062" s="224"/>
      <c r="H1062" s="75"/>
      <c r="I1062" s="75"/>
      <c r="J1062" s="75">
        <v>2100</v>
      </c>
      <c r="K1062" s="75">
        <v>427</v>
      </c>
      <c r="L1062" s="75"/>
      <c r="M1062" s="75">
        <v>427</v>
      </c>
      <c r="N1062" s="75"/>
      <c r="O1062" s="75"/>
      <c r="P1062" s="75"/>
      <c r="Q1062" s="75"/>
      <c r="R1062" s="75"/>
      <c r="S1062" s="75"/>
      <c r="T1062" s="75"/>
      <c r="U1062" s="75"/>
      <c r="V1062" s="76"/>
      <c r="W1062" s="205"/>
      <c r="X1062" s="1">
        <v>40436</v>
      </c>
      <c r="Y1062" s="78">
        <f t="shared" si="137"/>
        <v>10892870.4</v>
      </c>
      <c r="Z1062" s="78">
        <f t="shared" si="138"/>
        <v>77435000</v>
      </c>
      <c r="AA1062" s="78">
        <f t="shared" si="142"/>
        <v>0</v>
      </c>
      <c r="AB1062" s="78">
        <f t="shared" si="139"/>
        <v>0</v>
      </c>
      <c r="AC1062" s="78"/>
      <c r="AD1062" s="78">
        <v>80000000</v>
      </c>
      <c r="AE1062" s="80">
        <f t="shared" si="141"/>
        <v>168327870.40000001</v>
      </c>
      <c r="AF1062" s="82">
        <v>0</v>
      </c>
      <c r="AG1062" s="69">
        <v>40413</v>
      </c>
      <c r="AH1062" s="84">
        <v>3876</v>
      </c>
      <c r="AI1062" s="69" t="s">
        <v>2009</v>
      </c>
      <c r="AJ1062" s="25" t="s">
        <v>2010</v>
      </c>
      <c r="AK1062" s="88" t="s">
        <v>2468</v>
      </c>
      <c r="AL1062" s="185" t="s">
        <v>2182</v>
      </c>
      <c r="AM1062" s="181" t="s">
        <v>2469</v>
      </c>
      <c r="AN1062" s="3"/>
      <c r="AO1062" s="4"/>
      <c r="AP1062" s="5"/>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c r="BP1062" s="4"/>
      <c r="BQ1062" s="4"/>
      <c r="BR1062" s="4"/>
      <c r="BS1062" s="4"/>
      <c r="BT1062" s="4"/>
      <c r="BU1062" s="4"/>
      <c r="BV1062" s="4"/>
      <c r="BW1062" s="4"/>
      <c r="BX1062" s="4"/>
      <c r="BY1062" s="4"/>
      <c r="BZ1062" s="4">
        <f>5+2</f>
        <v>7</v>
      </c>
      <c r="CA1062" s="4">
        <f>5*496999.68+2*504000</f>
        <v>3492998.4</v>
      </c>
      <c r="CB1062" s="4"/>
      <c r="CC1062" s="4"/>
      <c r="CD1062" s="4"/>
      <c r="CE1062" s="4"/>
      <c r="CF1062" s="4"/>
      <c r="CG1062" s="4"/>
      <c r="CH1062" s="4"/>
      <c r="CI1062" s="4"/>
      <c r="CJ1062" s="4"/>
      <c r="CK1062" s="4"/>
      <c r="CL1062" s="4"/>
      <c r="CM1062" s="4"/>
      <c r="CN1062" s="4"/>
      <c r="CO1062" s="4"/>
      <c r="CP1062" s="6">
        <v>200</v>
      </c>
      <c r="CQ1062" s="7">
        <f>200*36999.36</f>
        <v>7399872</v>
      </c>
      <c r="CR1062" s="6"/>
      <c r="CS1062" s="7"/>
      <c r="CT1062" s="6"/>
      <c r="CU1062" s="7"/>
      <c r="CV1062" s="8">
        <f t="shared" si="140"/>
        <v>10892870.4</v>
      </c>
      <c r="CW1062" s="9"/>
      <c r="CX1062" s="10"/>
      <c r="CY1062" s="11">
        <f>200+284+427</f>
        <v>911</v>
      </c>
      <c r="CZ1062" s="12">
        <f>200*85000+284*85000+427*85000</f>
        <v>77435000</v>
      </c>
      <c r="DA1062" s="29"/>
      <c r="DB1062" s="12"/>
      <c r="DC1062" s="9"/>
      <c r="DD1062" s="10"/>
      <c r="DE1062" s="71">
        <v>2</v>
      </c>
      <c r="DF1062" s="23"/>
      <c r="EO1062" s="353" t="str">
        <f t="shared" si="143"/>
        <v>CORDOBA_BUENAVISTA</v>
      </c>
      <c r="EP1062" s="350"/>
      <c r="EQ1062" s="350" t="s">
        <v>4634</v>
      </c>
      <c r="ER1062" s="358" t="s">
        <v>3656</v>
      </c>
      <c r="ES1062" s="350" t="s">
        <v>5742</v>
      </c>
      <c r="ET1062" s="350" t="s">
        <v>5912</v>
      </c>
      <c r="EU1062" s="350" t="str">
        <f t="shared" si="136"/>
        <v>Casanare_Sabanalarga</v>
      </c>
    </row>
    <row r="1063" spans="1:151" s="171" customFormat="1" ht="108" x14ac:dyDescent="0.2">
      <c r="A1063" s="242">
        <v>40411</v>
      </c>
      <c r="B1063" s="107" t="s">
        <v>1700</v>
      </c>
      <c r="C1063" s="107" t="s">
        <v>38</v>
      </c>
      <c r="D1063" s="427" t="s">
        <v>837</v>
      </c>
      <c r="E1063" s="107" t="str">
        <f>VLOOKUP(B1063&amp;C1063,Divipola!$C$2:$F$1138,4,FALSE)</f>
        <v>23586</v>
      </c>
      <c r="F1063" s="330"/>
      <c r="G1063" s="224"/>
      <c r="H1063" s="75"/>
      <c r="I1063" s="75"/>
      <c r="J1063" s="75">
        <v>1552</v>
      </c>
      <c r="K1063" s="75">
        <v>335</v>
      </c>
      <c r="L1063" s="75"/>
      <c r="M1063" s="75">
        <v>335</v>
      </c>
      <c r="N1063" s="75"/>
      <c r="O1063" s="75"/>
      <c r="P1063" s="75"/>
      <c r="Q1063" s="75"/>
      <c r="R1063" s="75"/>
      <c r="S1063" s="75"/>
      <c r="T1063" s="75"/>
      <c r="U1063" s="75"/>
      <c r="V1063" s="76"/>
      <c r="W1063" s="205"/>
      <c r="X1063" s="1">
        <v>40443</v>
      </c>
      <c r="Y1063" s="78">
        <f t="shared" si="137"/>
        <v>15140320</v>
      </c>
      <c r="Z1063" s="78">
        <f t="shared" si="138"/>
        <v>87720000</v>
      </c>
      <c r="AA1063" s="78">
        <f t="shared" si="142"/>
        <v>0</v>
      </c>
      <c r="AB1063" s="78">
        <f t="shared" si="139"/>
        <v>0</v>
      </c>
      <c r="AC1063" s="78"/>
      <c r="AD1063" s="78">
        <v>0</v>
      </c>
      <c r="AE1063" s="80">
        <f t="shared" si="141"/>
        <v>102860320</v>
      </c>
      <c r="AF1063" s="82">
        <v>0</v>
      </c>
      <c r="AG1063" s="69">
        <v>40413</v>
      </c>
      <c r="AH1063" s="84">
        <v>38767</v>
      </c>
      <c r="AI1063" s="69" t="s">
        <v>2009</v>
      </c>
      <c r="AJ1063" s="25" t="s">
        <v>2010</v>
      </c>
      <c r="AK1063" s="88" t="s">
        <v>2169</v>
      </c>
      <c r="AL1063" s="185" t="s">
        <v>2182</v>
      </c>
      <c r="AM1063" s="85" t="s">
        <v>206</v>
      </c>
      <c r="AN1063" s="3"/>
      <c r="AO1063" s="4"/>
      <c r="AP1063" s="5"/>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c r="BO1063" s="4"/>
      <c r="BP1063" s="4"/>
      <c r="BQ1063" s="4"/>
      <c r="BR1063" s="4"/>
      <c r="BS1063" s="4"/>
      <c r="BT1063" s="4"/>
      <c r="BU1063" s="4"/>
      <c r="BV1063" s="4"/>
      <c r="BW1063" s="4"/>
      <c r="BX1063" s="4"/>
      <c r="BY1063" s="4"/>
      <c r="BZ1063" s="4">
        <f>1+2</f>
        <v>3</v>
      </c>
      <c r="CA1063" s="4">
        <f>1*520000+2*504000</f>
        <v>1528000</v>
      </c>
      <c r="CB1063" s="4"/>
      <c r="CC1063" s="4"/>
      <c r="CD1063" s="4"/>
      <c r="CE1063" s="4"/>
      <c r="CF1063" s="4"/>
      <c r="CG1063" s="4"/>
      <c r="CH1063" s="4"/>
      <c r="CI1063" s="4"/>
      <c r="CJ1063" s="4"/>
      <c r="CK1063" s="4"/>
      <c r="CL1063" s="4"/>
      <c r="CM1063" s="4"/>
      <c r="CN1063" s="4"/>
      <c r="CO1063" s="4"/>
      <c r="CP1063" s="6">
        <f>200+160</f>
        <v>360</v>
      </c>
      <c r="CQ1063" s="7">
        <f>200*38500+160*36952</f>
        <v>13612320</v>
      </c>
      <c r="CR1063" s="6"/>
      <c r="CS1063" s="7"/>
      <c r="CT1063" s="6"/>
      <c r="CU1063" s="7"/>
      <c r="CV1063" s="8">
        <f t="shared" si="140"/>
        <v>15140320</v>
      </c>
      <c r="CW1063" s="9"/>
      <c r="CX1063" s="10"/>
      <c r="CY1063" s="11">
        <f>200+160+336+336</f>
        <v>1032</v>
      </c>
      <c r="CZ1063" s="12">
        <f>200*85000+160*85000+336*85000+336*85000</f>
        <v>87720000</v>
      </c>
      <c r="DA1063" s="29"/>
      <c r="DB1063" s="12"/>
      <c r="DC1063" s="9"/>
      <c r="DD1063" s="10"/>
      <c r="DE1063" s="71"/>
      <c r="DF1063" s="23"/>
      <c r="EO1063" s="353" t="str">
        <f t="shared" si="143"/>
        <v>CORDOBA_PURISIMA</v>
      </c>
      <c r="EP1063" s="350"/>
      <c r="EQ1063" s="350" t="s">
        <v>4634</v>
      </c>
      <c r="ER1063" s="358" t="s">
        <v>3656</v>
      </c>
      <c r="ES1063" s="350" t="s">
        <v>5743</v>
      </c>
      <c r="ET1063" s="350" t="s">
        <v>3669</v>
      </c>
      <c r="EU1063" s="350" t="str">
        <f t="shared" si="136"/>
        <v>Casanare_Sacama</v>
      </c>
    </row>
    <row r="1064" spans="1:151" s="171" customFormat="1" ht="38.25" x14ac:dyDescent="0.2">
      <c r="A1064" s="242">
        <v>40412</v>
      </c>
      <c r="B1064" s="107" t="s">
        <v>2017</v>
      </c>
      <c r="C1064" s="107" t="s">
        <v>1842</v>
      </c>
      <c r="D1064" s="427" t="s">
        <v>2209</v>
      </c>
      <c r="E1064" s="107" t="str">
        <f>VLOOKUP(B1064&amp;C1064,Divipola!$C$2:$F$1138,4,FALSE)</f>
        <v>13894</v>
      </c>
      <c r="F1064" s="330"/>
      <c r="G1064" s="224"/>
      <c r="H1064" s="75"/>
      <c r="I1064" s="75"/>
      <c r="J1064" s="75">
        <v>1000</v>
      </c>
      <c r="K1064" s="75">
        <v>200</v>
      </c>
      <c r="L1064" s="75">
        <v>4</v>
      </c>
      <c r="M1064" s="75">
        <v>196</v>
      </c>
      <c r="N1064" s="75"/>
      <c r="O1064" s="75"/>
      <c r="P1064" s="75"/>
      <c r="Q1064" s="75"/>
      <c r="R1064" s="75"/>
      <c r="S1064" s="75"/>
      <c r="T1064" s="75"/>
      <c r="U1064" s="75"/>
      <c r="V1064" s="76"/>
      <c r="W1064" s="205" t="s">
        <v>2263</v>
      </c>
      <c r="X1064" s="1"/>
      <c r="Y1064" s="78">
        <f t="shared" si="137"/>
        <v>0</v>
      </c>
      <c r="Z1064" s="78">
        <f t="shared" si="138"/>
        <v>0</v>
      </c>
      <c r="AA1064" s="78">
        <f t="shared" si="142"/>
        <v>0</v>
      </c>
      <c r="AB1064" s="78">
        <f t="shared" si="139"/>
        <v>0</v>
      </c>
      <c r="AC1064" s="78"/>
      <c r="AD1064" s="78">
        <v>0</v>
      </c>
      <c r="AE1064" s="80">
        <f t="shared" si="141"/>
        <v>0</v>
      </c>
      <c r="AF1064" s="82">
        <v>0</v>
      </c>
      <c r="AG1064" s="69">
        <v>40413</v>
      </c>
      <c r="AH1064" s="84"/>
      <c r="AI1064" s="69" t="s">
        <v>1984</v>
      </c>
      <c r="AJ1064" s="25" t="s">
        <v>1985</v>
      </c>
      <c r="AK1064" s="65"/>
      <c r="AL1064" s="185" t="s">
        <v>1257</v>
      </c>
      <c r="AM1064" s="85" t="s">
        <v>37</v>
      </c>
      <c r="AN1064" s="3"/>
      <c r="AO1064" s="4"/>
      <c r="AP1064" s="5"/>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c r="CJ1064" s="4"/>
      <c r="CK1064" s="4"/>
      <c r="CL1064" s="4"/>
      <c r="CM1064" s="4"/>
      <c r="CN1064" s="4"/>
      <c r="CO1064" s="4"/>
      <c r="CP1064" s="6"/>
      <c r="CQ1064" s="7"/>
      <c r="CR1064" s="6"/>
      <c r="CS1064" s="7"/>
      <c r="CT1064" s="6"/>
      <c r="CU1064" s="7"/>
      <c r="CV1064" s="8">
        <f t="shared" si="140"/>
        <v>0</v>
      </c>
      <c r="CW1064" s="9"/>
      <c r="CX1064" s="10"/>
      <c r="CY1064" s="11"/>
      <c r="CZ1064" s="12"/>
      <c r="DA1064" s="29"/>
      <c r="DB1064" s="12"/>
      <c r="DC1064" s="9"/>
      <c r="DD1064" s="10"/>
      <c r="DE1064" s="71"/>
      <c r="DF1064" s="23"/>
      <c r="EO1064" s="353" t="str">
        <f t="shared" si="143"/>
        <v>BOLIVAR_ZAMBRANO</v>
      </c>
      <c r="EP1064" s="350"/>
      <c r="EQ1064" s="350" t="s">
        <v>4634</v>
      </c>
      <c r="ER1064" s="358" t="s">
        <v>3656</v>
      </c>
      <c r="ES1064" s="350" t="s">
        <v>5744</v>
      </c>
      <c r="ET1064" s="350" t="s">
        <v>3670</v>
      </c>
      <c r="EU1064" s="350" t="str">
        <f t="shared" si="136"/>
        <v>Casanare_San Luis de Palenque</v>
      </c>
    </row>
    <row r="1065" spans="1:151" s="171" customFormat="1" ht="25.5" x14ac:dyDescent="0.2">
      <c r="A1065" s="242">
        <v>40412</v>
      </c>
      <c r="B1065" s="107" t="s">
        <v>2425</v>
      </c>
      <c r="C1065" s="107" t="s">
        <v>2374</v>
      </c>
      <c r="D1065" s="427" t="s">
        <v>2307</v>
      </c>
      <c r="E1065" s="107" t="str">
        <f>VLOOKUP(B1065&amp;C1065,Divipola!$C$2:$F$1138,4,FALSE)</f>
        <v>27001</v>
      </c>
      <c r="F1065" s="330"/>
      <c r="G1065" s="224"/>
      <c r="H1065" s="75"/>
      <c r="I1065" s="75"/>
      <c r="J1065" s="75">
        <v>3</v>
      </c>
      <c r="K1065" s="75">
        <v>1</v>
      </c>
      <c r="L1065" s="75"/>
      <c r="M1065" s="75"/>
      <c r="N1065" s="75"/>
      <c r="O1065" s="75"/>
      <c r="P1065" s="75"/>
      <c r="Q1065" s="75"/>
      <c r="R1065" s="75"/>
      <c r="S1065" s="75"/>
      <c r="T1065" s="75"/>
      <c r="U1065" s="75"/>
      <c r="V1065" s="76"/>
      <c r="W1065" s="205"/>
      <c r="X1065" s="1"/>
      <c r="Y1065" s="78">
        <f t="shared" si="137"/>
        <v>0</v>
      </c>
      <c r="Z1065" s="78">
        <f t="shared" si="138"/>
        <v>0</v>
      </c>
      <c r="AA1065" s="78">
        <f t="shared" si="142"/>
        <v>0</v>
      </c>
      <c r="AB1065" s="78">
        <f t="shared" si="139"/>
        <v>0</v>
      </c>
      <c r="AC1065" s="78"/>
      <c r="AD1065" s="78">
        <v>0</v>
      </c>
      <c r="AE1065" s="80">
        <f t="shared" si="141"/>
        <v>0</v>
      </c>
      <c r="AF1065" s="82">
        <v>0</v>
      </c>
      <c r="AG1065" s="69">
        <v>40413</v>
      </c>
      <c r="AH1065" s="84"/>
      <c r="AI1065" s="69" t="s">
        <v>1984</v>
      </c>
      <c r="AJ1065" s="25" t="s">
        <v>1985</v>
      </c>
      <c r="AK1065" s="65"/>
      <c r="AL1065" s="185" t="s">
        <v>1257</v>
      </c>
      <c r="AM1065" s="85" t="s">
        <v>39</v>
      </c>
      <c r="AN1065" s="3"/>
      <c r="AO1065" s="4"/>
      <c r="AP1065" s="5"/>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c r="CO1065" s="4"/>
      <c r="CP1065" s="6"/>
      <c r="CQ1065" s="7"/>
      <c r="CR1065" s="6"/>
      <c r="CS1065" s="7"/>
      <c r="CT1065" s="6"/>
      <c r="CU1065" s="7"/>
      <c r="CV1065" s="8">
        <f t="shared" si="140"/>
        <v>0</v>
      </c>
      <c r="CW1065" s="9"/>
      <c r="CX1065" s="10"/>
      <c r="CY1065" s="11"/>
      <c r="CZ1065" s="12"/>
      <c r="DA1065" s="29"/>
      <c r="DB1065" s="12"/>
      <c r="DC1065" s="9"/>
      <c r="DD1065" s="10"/>
      <c r="DE1065" s="71"/>
      <c r="DF1065" s="23"/>
      <c r="EO1065" s="353" t="str">
        <f t="shared" si="143"/>
        <v>CHOCO_QUIBDO</v>
      </c>
      <c r="EP1065" s="350"/>
      <c r="EQ1065" s="350" t="s">
        <v>4634</v>
      </c>
      <c r="ER1065" s="358" t="s">
        <v>3656</v>
      </c>
      <c r="ES1065" s="350" t="s">
        <v>5745</v>
      </c>
      <c r="ET1065" s="350" t="s">
        <v>3671</v>
      </c>
      <c r="EU1065" s="350" t="str">
        <f t="shared" si="136"/>
        <v>Casanare_Tamara</v>
      </c>
    </row>
    <row r="1066" spans="1:151" s="171" customFormat="1" ht="25.5" x14ac:dyDescent="0.2">
      <c r="A1066" s="246">
        <v>40413</v>
      </c>
      <c r="B1066" s="279" t="s">
        <v>2401</v>
      </c>
      <c r="C1066" s="279" t="s">
        <v>3123</v>
      </c>
      <c r="D1066" s="431" t="s">
        <v>2307</v>
      </c>
      <c r="E1066" s="107" t="str">
        <f>VLOOKUP(B1066&amp;C1066,Divipola!$C$2:$F$1138,4,FALSE)</f>
        <v>05819</v>
      </c>
      <c r="F1066" s="334"/>
      <c r="G1066" s="221"/>
      <c r="H1066" s="157"/>
      <c r="I1066" s="157">
        <v>2</v>
      </c>
      <c r="J1066" s="157"/>
      <c r="K1066" s="157"/>
      <c r="L1066" s="157"/>
      <c r="M1066" s="157"/>
      <c r="N1066" s="157">
        <v>1</v>
      </c>
      <c r="O1066" s="157"/>
      <c r="P1066" s="157"/>
      <c r="Q1066" s="157"/>
      <c r="R1066" s="157"/>
      <c r="S1066" s="157"/>
      <c r="T1066" s="157"/>
      <c r="U1066" s="157"/>
      <c r="V1066" s="158"/>
      <c r="W1066" s="182"/>
      <c r="X1066" s="1"/>
      <c r="Y1066" s="78">
        <f t="shared" si="137"/>
        <v>0</v>
      </c>
      <c r="Z1066" s="78">
        <f t="shared" si="138"/>
        <v>0</v>
      </c>
      <c r="AA1066" s="78">
        <f t="shared" si="142"/>
        <v>0</v>
      </c>
      <c r="AB1066" s="78">
        <f t="shared" si="139"/>
        <v>0</v>
      </c>
      <c r="AC1066" s="78"/>
      <c r="AD1066" s="78">
        <v>0</v>
      </c>
      <c r="AE1066" s="80">
        <f t="shared" si="141"/>
        <v>0</v>
      </c>
      <c r="AF1066" s="82">
        <v>0</v>
      </c>
      <c r="AG1066" s="69">
        <v>40413</v>
      </c>
      <c r="AH1066" s="84"/>
      <c r="AI1066" s="69" t="s">
        <v>1984</v>
      </c>
      <c r="AJ1066" s="25" t="s">
        <v>1985</v>
      </c>
      <c r="AK1066" s="65"/>
      <c r="AL1066" s="176" t="s">
        <v>1257</v>
      </c>
      <c r="AM1066" s="173" t="s">
        <v>40</v>
      </c>
      <c r="AN1066" s="159"/>
      <c r="AO1066" s="160"/>
      <c r="AP1066" s="161"/>
      <c r="AQ1066" s="160"/>
      <c r="AR1066" s="160"/>
      <c r="AS1066" s="160"/>
      <c r="AT1066" s="160"/>
      <c r="AU1066" s="160"/>
      <c r="AV1066" s="160"/>
      <c r="AW1066" s="160"/>
      <c r="AX1066" s="160"/>
      <c r="AY1066" s="160"/>
      <c r="AZ1066" s="160"/>
      <c r="BA1066" s="160"/>
      <c r="BB1066" s="160"/>
      <c r="BC1066" s="160"/>
      <c r="BD1066" s="160"/>
      <c r="BE1066" s="160"/>
      <c r="BF1066" s="160"/>
      <c r="BG1066" s="160"/>
      <c r="BH1066" s="160"/>
      <c r="BI1066" s="160"/>
      <c r="BJ1066" s="160"/>
      <c r="BK1066" s="160"/>
      <c r="BL1066" s="160"/>
      <c r="BM1066" s="160"/>
      <c r="BN1066" s="160"/>
      <c r="BO1066" s="160"/>
      <c r="BP1066" s="160"/>
      <c r="BQ1066" s="160"/>
      <c r="BR1066" s="160"/>
      <c r="BS1066" s="160"/>
      <c r="BT1066" s="160"/>
      <c r="BU1066" s="160"/>
      <c r="BV1066" s="160"/>
      <c r="BW1066" s="160"/>
      <c r="BX1066" s="160"/>
      <c r="BY1066" s="160"/>
      <c r="BZ1066" s="160"/>
      <c r="CA1066" s="160"/>
      <c r="CB1066" s="160"/>
      <c r="CC1066" s="160"/>
      <c r="CD1066" s="160"/>
      <c r="CE1066" s="160"/>
      <c r="CF1066" s="160"/>
      <c r="CG1066" s="160"/>
      <c r="CH1066" s="160"/>
      <c r="CI1066" s="160"/>
      <c r="CJ1066" s="160"/>
      <c r="CK1066" s="160"/>
      <c r="CL1066" s="160"/>
      <c r="CM1066" s="160"/>
      <c r="CN1066" s="160"/>
      <c r="CO1066" s="160"/>
      <c r="CP1066" s="162"/>
      <c r="CQ1066" s="163"/>
      <c r="CR1066" s="162"/>
      <c r="CS1066" s="163"/>
      <c r="CT1066" s="162"/>
      <c r="CU1066" s="163"/>
      <c r="CV1066" s="164">
        <f t="shared" si="140"/>
        <v>0</v>
      </c>
      <c r="CW1066" s="165"/>
      <c r="CX1066" s="166"/>
      <c r="CY1066" s="167"/>
      <c r="CZ1066" s="168"/>
      <c r="DA1066" s="169"/>
      <c r="DB1066" s="168"/>
      <c r="DC1066" s="165"/>
      <c r="DD1066" s="166"/>
      <c r="DE1066" s="71"/>
      <c r="DF1066" s="170"/>
      <c r="EO1066" s="353" t="str">
        <f t="shared" si="143"/>
        <v>ANTIOQUIA_TOLEDO</v>
      </c>
      <c r="EP1066" s="350"/>
      <c r="EQ1066" s="350" t="s">
        <v>4634</v>
      </c>
      <c r="ER1066" s="358" t="s">
        <v>3656</v>
      </c>
      <c r="ES1066" s="350" t="s">
        <v>5747</v>
      </c>
      <c r="ET1066" s="350" t="s">
        <v>3672</v>
      </c>
      <c r="EU1066" s="350" t="str">
        <f t="shared" si="136"/>
        <v>Casanare_Trinidad</v>
      </c>
    </row>
    <row r="1067" spans="1:151" s="171" customFormat="1" ht="168" x14ac:dyDescent="0.2">
      <c r="A1067" s="242">
        <v>40413</v>
      </c>
      <c r="B1067" s="236" t="s">
        <v>2017</v>
      </c>
      <c r="C1067" s="236" t="s">
        <v>4070</v>
      </c>
      <c r="D1067" s="433" t="s">
        <v>837</v>
      </c>
      <c r="E1067" s="107" t="str">
        <f>VLOOKUP(B1067&amp;C1067,Divipola!$C$2:$F$1138,4,FALSE)</f>
        <v>13468</v>
      </c>
      <c r="F1067" s="335"/>
      <c r="G1067" s="221"/>
      <c r="H1067" s="157"/>
      <c r="I1067" s="157"/>
      <c r="J1067" s="421">
        <f>10297*3.7</f>
        <v>38098.9</v>
      </c>
      <c r="K1067" s="157">
        <v>10297</v>
      </c>
      <c r="L1067" s="157"/>
      <c r="M1067" s="157">
        <v>8592</v>
      </c>
      <c r="N1067" s="157"/>
      <c r="O1067" s="157"/>
      <c r="P1067" s="157"/>
      <c r="Q1067" s="157"/>
      <c r="R1067" s="157"/>
      <c r="S1067" s="157"/>
      <c r="T1067" s="157"/>
      <c r="U1067" s="157"/>
      <c r="V1067" s="158"/>
      <c r="W1067" s="182"/>
      <c r="X1067" s="1">
        <v>40427</v>
      </c>
      <c r="Y1067" s="78">
        <f t="shared" si="137"/>
        <v>206134000</v>
      </c>
      <c r="Z1067" s="78">
        <f t="shared" si="138"/>
        <v>1213120000</v>
      </c>
      <c r="AA1067" s="78">
        <f t="shared" si="142"/>
        <v>0</v>
      </c>
      <c r="AB1067" s="78">
        <f t="shared" si="139"/>
        <v>0</v>
      </c>
      <c r="AC1067" s="78">
        <f>49000000*1.16</f>
        <v>56839999.999999993</v>
      </c>
      <c r="AD1067" s="78">
        <v>0</v>
      </c>
      <c r="AE1067" s="80">
        <f t="shared" si="141"/>
        <v>1476094000</v>
      </c>
      <c r="AF1067" s="82">
        <v>0</v>
      </c>
      <c r="AG1067" s="69">
        <v>40423</v>
      </c>
      <c r="AH1067" s="84">
        <v>45466</v>
      </c>
      <c r="AI1067" s="69" t="s">
        <v>2009</v>
      </c>
      <c r="AJ1067" s="25" t="s">
        <v>2010</v>
      </c>
      <c r="AK1067" s="88" t="s">
        <v>133</v>
      </c>
      <c r="AL1067" s="176" t="s">
        <v>1831</v>
      </c>
      <c r="AM1067" s="173" t="s">
        <v>297</v>
      </c>
      <c r="AN1067" s="159"/>
      <c r="AO1067" s="160"/>
      <c r="AP1067" s="161"/>
      <c r="AQ1067" s="160"/>
      <c r="AR1067" s="160"/>
      <c r="AS1067" s="160"/>
      <c r="AT1067" s="160"/>
      <c r="AU1067" s="160"/>
      <c r="AV1067" s="160"/>
      <c r="AW1067" s="160"/>
      <c r="AX1067" s="160"/>
      <c r="AY1067" s="160"/>
      <c r="AZ1067" s="160"/>
      <c r="BA1067" s="160"/>
      <c r="BB1067" s="160"/>
      <c r="BC1067" s="160"/>
      <c r="BD1067" s="160"/>
      <c r="BE1067" s="160"/>
      <c r="BF1067" s="160"/>
      <c r="BG1067" s="160"/>
      <c r="BH1067" s="160"/>
      <c r="BI1067" s="160"/>
      <c r="BJ1067" s="160"/>
      <c r="BK1067" s="160"/>
      <c r="BL1067" s="160"/>
      <c r="BM1067" s="160"/>
      <c r="BN1067" s="160"/>
      <c r="BO1067" s="160"/>
      <c r="BP1067" s="160"/>
      <c r="BQ1067" s="160"/>
      <c r="BR1067" s="160"/>
      <c r="BS1067" s="160"/>
      <c r="BT1067" s="160"/>
      <c r="BU1067" s="160"/>
      <c r="BV1067" s="160"/>
      <c r="BW1067" s="160"/>
      <c r="BX1067" s="160"/>
      <c r="BY1067" s="160"/>
      <c r="BZ1067" s="160">
        <v>20</v>
      </c>
      <c r="CA1067" s="160">
        <f>20*510400</f>
        <v>10208000</v>
      </c>
      <c r="CB1067" s="160"/>
      <c r="CC1067" s="160"/>
      <c r="CD1067" s="160"/>
      <c r="CE1067" s="160"/>
      <c r="CF1067" s="160"/>
      <c r="CG1067" s="160"/>
      <c r="CH1067" s="160"/>
      <c r="CI1067" s="160"/>
      <c r="CJ1067" s="160"/>
      <c r="CK1067" s="160"/>
      <c r="CL1067" s="160"/>
      <c r="CM1067" s="160"/>
      <c r="CN1067" s="160">
        <f>1000+5779</f>
        <v>6779</v>
      </c>
      <c r="CO1067" s="160">
        <f>1000*18000+5779*18000</f>
        <v>122022000</v>
      </c>
      <c r="CP1067" s="162">
        <v>2000</v>
      </c>
      <c r="CQ1067" s="163">
        <f>2000*36952</f>
        <v>73904000</v>
      </c>
      <c r="CR1067" s="162"/>
      <c r="CS1067" s="163"/>
      <c r="CT1067" s="162"/>
      <c r="CU1067" s="163"/>
      <c r="CV1067" s="164">
        <f t="shared" si="140"/>
        <v>206134000</v>
      </c>
      <c r="CW1067" s="165"/>
      <c r="CX1067" s="166"/>
      <c r="CY1067" s="171">
        <f>3000+2000+500+1796+1796+5180</f>
        <v>14272</v>
      </c>
      <c r="CZ1067" s="170">
        <f>3000*85000+2000*85000+500*85000+1796*85000+1796*85000+5180*85000</f>
        <v>1213120000</v>
      </c>
      <c r="DA1067" s="169"/>
      <c r="DB1067" s="168"/>
      <c r="DC1067" s="165"/>
      <c r="DD1067" s="166"/>
      <c r="DE1067" s="71"/>
      <c r="DF1067" s="170"/>
      <c r="EO1067" s="353" t="str">
        <f t="shared" si="143"/>
        <v>BOLIVAR_MOMPOS</v>
      </c>
      <c r="EP1067" s="350"/>
      <c r="EQ1067" s="350" t="s">
        <v>4634</v>
      </c>
      <c r="ER1067" s="358" t="s">
        <v>3656</v>
      </c>
      <c r="ES1067" s="350" t="s">
        <v>5748</v>
      </c>
      <c r="ET1067" s="350" t="s">
        <v>6019</v>
      </c>
      <c r="EU1067" s="350" t="str">
        <f t="shared" si="136"/>
        <v>Casanare_Villanueva</v>
      </c>
    </row>
    <row r="1068" spans="1:151" s="171" customFormat="1" ht="38.25" x14ac:dyDescent="0.2">
      <c r="A1068" s="242">
        <v>40414</v>
      </c>
      <c r="B1068" s="107" t="s">
        <v>5778</v>
      </c>
      <c r="C1068" s="236" t="s">
        <v>167</v>
      </c>
      <c r="D1068" s="433" t="s">
        <v>2209</v>
      </c>
      <c r="E1068" s="107" t="str">
        <f>VLOOKUP(B1068&amp;C1068,Divipola!$C$2:$F$1138,4,FALSE)</f>
        <v>44090</v>
      </c>
      <c r="F1068" s="335"/>
      <c r="G1068" s="221"/>
      <c r="H1068" s="157"/>
      <c r="I1068" s="157"/>
      <c r="J1068" s="157">
        <v>35</v>
      </c>
      <c r="K1068" s="157">
        <v>7</v>
      </c>
      <c r="L1068" s="157"/>
      <c r="M1068" s="157">
        <v>7</v>
      </c>
      <c r="N1068" s="157"/>
      <c r="O1068" s="157"/>
      <c r="P1068" s="157"/>
      <c r="Q1068" s="157"/>
      <c r="R1068" s="157"/>
      <c r="S1068" s="157"/>
      <c r="T1068" s="157"/>
      <c r="U1068" s="157"/>
      <c r="V1068" s="158"/>
      <c r="W1068" s="182"/>
      <c r="X1068" s="1"/>
      <c r="Y1068" s="78">
        <f t="shared" si="137"/>
        <v>0</v>
      </c>
      <c r="Z1068" s="78">
        <f t="shared" si="138"/>
        <v>0</v>
      </c>
      <c r="AA1068" s="78">
        <f t="shared" si="142"/>
        <v>0</v>
      </c>
      <c r="AB1068" s="78">
        <f t="shared" si="139"/>
        <v>0</v>
      </c>
      <c r="AC1068" s="78"/>
      <c r="AD1068" s="78">
        <v>0</v>
      </c>
      <c r="AE1068" s="80">
        <f t="shared" si="141"/>
        <v>0</v>
      </c>
      <c r="AF1068" s="82">
        <v>0</v>
      </c>
      <c r="AG1068" s="69">
        <v>40416</v>
      </c>
      <c r="AH1068" s="84"/>
      <c r="AI1068" s="69" t="s">
        <v>1984</v>
      </c>
      <c r="AJ1068" s="25" t="s">
        <v>1985</v>
      </c>
      <c r="AK1068" s="65"/>
      <c r="AL1068" s="176" t="s">
        <v>1257</v>
      </c>
      <c r="AM1068" s="173" t="s">
        <v>499</v>
      </c>
      <c r="AN1068" s="159"/>
      <c r="AO1068" s="160"/>
      <c r="AP1068" s="161"/>
      <c r="AQ1068" s="160"/>
      <c r="AR1068" s="160"/>
      <c r="AS1068" s="160"/>
      <c r="AT1068" s="160"/>
      <c r="AU1068" s="160"/>
      <c r="AV1068" s="160"/>
      <c r="AW1068" s="160"/>
      <c r="AX1068" s="160"/>
      <c r="AY1068" s="160"/>
      <c r="AZ1068" s="160"/>
      <c r="BA1068" s="160"/>
      <c r="BB1068" s="160"/>
      <c r="BC1068" s="160"/>
      <c r="BD1068" s="160"/>
      <c r="BE1068" s="160"/>
      <c r="BF1068" s="160"/>
      <c r="BG1068" s="160"/>
      <c r="BH1068" s="160"/>
      <c r="BI1068" s="160"/>
      <c r="BJ1068" s="160"/>
      <c r="BK1068" s="160"/>
      <c r="BL1068" s="160"/>
      <c r="BM1068" s="160"/>
      <c r="BN1068" s="160"/>
      <c r="BO1068" s="160"/>
      <c r="BP1068" s="160"/>
      <c r="BQ1068" s="160"/>
      <c r="BR1068" s="160"/>
      <c r="BS1068" s="160"/>
      <c r="BT1068" s="160"/>
      <c r="BU1068" s="160"/>
      <c r="BV1068" s="160"/>
      <c r="BW1068" s="160"/>
      <c r="BX1068" s="160"/>
      <c r="BY1068" s="160"/>
      <c r="BZ1068" s="160"/>
      <c r="CA1068" s="160"/>
      <c r="CB1068" s="160"/>
      <c r="CC1068" s="160"/>
      <c r="CD1068" s="160"/>
      <c r="CE1068" s="160"/>
      <c r="CF1068" s="160"/>
      <c r="CG1068" s="160"/>
      <c r="CH1068" s="160"/>
      <c r="CI1068" s="160"/>
      <c r="CJ1068" s="160"/>
      <c r="CK1068" s="160"/>
      <c r="CL1068" s="160"/>
      <c r="CM1068" s="160"/>
      <c r="CN1068" s="160"/>
      <c r="CO1068" s="160"/>
      <c r="CP1068" s="162"/>
      <c r="CQ1068" s="163"/>
      <c r="CR1068" s="162"/>
      <c r="CS1068" s="163"/>
      <c r="CT1068" s="162"/>
      <c r="CU1068" s="163"/>
      <c r="CV1068" s="164">
        <f t="shared" si="140"/>
        <v>0</v>
      </c>
      <c r="CW1068" s="165"/>
      <c r="CX1068" s="166"/>
      <c r="CY1068" s="167"/>
      <c r="CZ1068" s="168"/>
      <c r="DA1068" s="169"/>
      <c r="DB1068" s="168"/>
      <c r="DC1068" s="165"/>
      <c r="DD1068" s="166"/>
      <c r="DE1068" s="71"/>
      <c r="DF1068" s="170"/>
      <c r="EO1068" s="353" t="str">
        <f t="shared" si="143"/>
        <v>LA GUAJIRA_DIBULLA</v>
      </c>
      <c r="EP1068" s="350"/>
      <c r="EQ1068" s="350" t="s">
        <v>4648</v>
      </c>
      <c r="ER1068" s="358" t="s">
        <v>4649</v>
      </c>
      <c r="ES1068" s="350" t="s">
        <v>5749</v>
      </c>
      <c r="ET1068" s="350" t="s">
        <v>3673</v>
      </c>
      <c r="EU1068" s="350" t="str">
        <f t="shared" si="136"/>
        <v>Putumayo_Mocoa</v>
      </c>
    </row>
    <row r="1069" spans="1:151" s="171" customFormat="1" ht="33.75" x14ac:dyDescent="0.2">
      <c r="A1069" s="242">
        <v>40415</v>
      </c>
      <c r="B1069" s="236" t="s">
        <v>2756</v>
      </c>
      <c r="C1069" s="236" t="s">
        <v>2756</v>
      </c>
      <c r="D1069" s="433" t="s">
        <v>837</v>
      </c>
      <c r="E1069" s="107" t="str">
        <f>VLOOKUP(B1069&amp;C1069,Divipola!$C$2:$F$1138,4,FALSE)</f>
        <v>81001</v>
      </c>
      <c r="F1069" s="335"/>
      <c r="G1069" s="221"/>
      <c r="H1069" s="157"/>
      <c r="I1069" s="157"/>
      <c r="J1069" s="157"/>
      <c r="K1069" s="157"/>
      <c r="L1069" s="157"/>
      <c r="M1069" s="157"/>
      <c r="N1069" s="157"/>
      <c r="O1069" s="157"/>
      <c r="P1069" s="157"/>
      <c r="Q1069" s="157"/>
      <c r="R1069" s="157"/>
      <c r="S1069" s="157"/>
      <c r="T1069" s="157"/>
      <c r="U1069" s="157"/>
      <c r="V1069" s="158"/>
      <c r="W1069" s="182"/>
      <c r="X1069" s="1"/>
      <c r="Y1069" s="78">
        <f t="shared" si="137"/>
        <v>0</v>
      </c>
      <c r="Z1069" s="78">
        <f t="shared" si="138"/>
        <v>0</v>
      </c>
      <c r="AA1069" s="78">
        <f t="shared" si="142"/>
        <v>0</v>
      </c>
      <c r="AB1069" s="78">
        <f t="shared" si="139"/>
        <v>13500000</v>
      </c>
      <c r="AC1069" s="78"/>
      <c r="AD1069" s="78">
        <v>0</v>
      </c>
      <c r="AE1069" s="80">
        <f t="shared" si="141"/>
        <v>13500000</v>
      </c>
      <c r="AF1069" s="82">
        <v>0</v>
      </c>
      <c r="AG1069" s="69">
        <v>40415</v>
      </c>
      <c r="AH1069" s="84">
        <v>42804</v>
      </c>
      <c r="AI1069" s="69" t="s">
        <v>2009</v>
      </c>
      <c r="AJ1069" s="25" t="s">
        <v>2010</v>
      </c>
      <c r="AK1069" s="65">
        <v>21328</v>
      </c>
      <c r="AL1069" s="184" t="s">
        <v>199</v>
      </c>
      <c r="AM1069" s="173" t="s">
        <v>198</v>
      </c>
      <c r="AN1069" s="159"/>
      <c r="AO1069" s="160"/>
      <c r="AP1069" s="161"/>
      <c r="AQ1069" s="160"/>
      <c r="AR1069" s="160"/>
      <c r="AS1069" s="160"/>
      <c r="AT1069" s="160"/>
      <c r="AU1069" s="160"/>
      <c r="AV1069" s="160"/>
      <c r="AW1069" s="160"/>
      <c r="AX1069" s="160"/>
      <c r="AY1069" s="160"/>
      <c r="AZ1069" s="160"/>
      <c r="BA1069" s="160"/>
      <c r="BB1069" s="160"/>
      <c r="BC1069" s="160"/>
      <c r="BD1069" s="160"/>
      <c r="BE1069" s="160"/>
      <c r="BF1069" s="160"/>
      <c r="BG1069" s="160"/>
      <c r="BH1069" s="160"/>
      <c r="BI1069" s="160"/>
      <c r="BJ1069" s="160"/>
      <c r="BK1069" s="160"/>
      <c r="BL1069" s="160"/>
      <c r="BM1069" s="160"/>
      <c r="BN1069" s="160"/>
      <c r="BO1069" s="160"/>
      <c r="BP1069" s="160"/>
      <c r="BQ1069" s="160"/>
      <c r="BR1069" s="160"/>
      <c r="BS1069" s="160"/>
      <c r="BT1069" s="160"/>
      <c r="BU1069" s="160"/>
      <c r="BV1069" s="160"/>
      <c r="BW1069" s="160"/>
      <c r="BX1069" s="160"/>
      <c r="BY1069" s="160"/>
      <c r="BZ1069" s="160"/>
      <c r="CA1069" s="160"/>
      <c r="CB1069" s="160"/>
      <c r="CC1069" s="160"/>
      <c r="CD1069" s="160"/>
      <c r="CE1069" s="160"/>
      <c r="CF1069" s="160"/>
      <c r="CG1069" s="160"/>
      <c r="CH1069" s="160"/>
      <c r="CI1069" s="160"/>
      <c r="CJ1069" s="160"/>
      <c r="CK1069" s="160"/>
      <c r="CL1069" s="160"/>
      <c r="CM1069" s="160"/>
      <c r="CN1069" s="160"/>
      <c r="CO1069" s="160"/>
      <c r="CP1069" s="162"/>
      <c r="CQ1069" s="163"/>
      <c r="CR1069" s="162"/>
      <c r="CS1069" s="163"/>
      <c r="CT1069" s="162"/>
      <c r="CU1069" s="163"/>
      <c r="CV1069" s="164">
        <f t="shared" si="140"/>
        <v>0</v>
      </c>
      <c r="CW1069" s="165">
        <v>15000</v>
      </c>
      <c r="CX1069" s="166">
        <f>15000*900</f>
        <v>13500000</v>
      </c>
      <c r="CY1069" s="167"/>
      <c r="CZ1069" s="168"/>
      <c r="DA1069" s="169"/>
      <c r="DB1069" s="168"/>
      <c r="DC1069" s="165"/>
      <c r="DD1069" s="166"/>
      <c r="DE1069" s="71"/>
      <c r="DF1069" s="170"/>
      <c r="EO1069" s="353" t="str">
        <f t="shared" si="143"/>
        <v>ARAUCA_ARAUCA</v>
      </c>
      <c r="EP1069" s="350"/>
      <c r="EQ1069" s="350" t="s">
        <v>4648</v>
      </c>
      <c r="ER1069" s="358" t="s">
        <v>4649</v>
      </c>
      <c r="ES1069" s="350" t="s">
        <v>5750</v>
      </c>
      <c r="ET1069" s="350" t="s">
        <v>3379</v>
      </c>
      <c r="EU1069" s="350" t="str">
        <f t="shared" si="136"/>
        <v>Putumayo_Colon</v>
      </c>
    </row>
    <row r="1070" spans="1:151" s="171" customFormat="1" ht="45" x14ac:dyDescent="0.2">
      <c r="A1070" s="242">
        <v>40415</v>
      </c>
      <c r="B1070" s="236" t="s">
        <v>2017</v>
      </c>
      <c r="C1070" s="236" t="s">
        <v>1963</v>
      </c>
      <c r="D1070" s="433" t="s">
        <v>837</v>
      </c>
      <c r="E1070" s="107" t="str">
        <f>VLOOKUP(B1070&amp;C1070,Divipola!$C$2:$F$1138,4,FALSE)</f>
        <v>13188</v>
      </c>
      <c r="F1070" s="335"/>
      <c r="G1070" s="221"/>
      <c r="H1070" s="157"/>
      <c r="I1070" s="157"/>
      <c r="J1070" s="421">
        <f>2262*3.7</f>
        <v>8369.4</v>
      </c>
      <c r="K1070" s="157">
        <v>2262</v>
      </c>
      <c r="L1070" s="157"/>
      <c r="M1070" s="157">
        <v>2000</v>
      </c>
      <c r="N1070" s="157"/>
      <c r="O1070" s="157"/>
      <c r="P1070" s="157"/>
      <c r="Q1070" s="157"/>
      <c r="R1070" s="157"/>
      <c r="S1070" s="157"/>
      <c r="T1070" s="157"/>
      <c r="U1070" s="157"/>
      <c r="V1070" s="158"/>
      <c r="W1070" s="182"/>
      <c r="X1070" s="1">
        <v>40452</v>
      </c>
      <c r="Y1070" s="78">
        <f t="shared" si="137"/>
        <v>270432000</v>
      </c>
      <c r="Z1070" s="78">
        <f t="shared" si="138"/>
        <v>146540000</v>
      </c>
      <c r="AA1070" s="78">
        <f t="shared" si="142"/>
        <v>0</v>
      </c>
      <c r="AB1070" s="78">
        <f t="shared" si="139"/>
        <v>0</v>
      </c>
      <c r="AC1070" s="78"/>
      <c r="AD1070" s="78">
        <v>0</v>
      </c>
      <c r="AE1070" s="80">
        <f t="shared" si="141"/>
        <v>416972000</v>
      </c>
      <c r="AF1070" s="82">
        <v>0</v>
      </c>
      <c r="AG1070" s="69">
        <v>40415</v>
      </c>
      <c r="AH1070" s="84">
        <v>47005</v>
      </c>
      <c r="AI1070" s="69" t="s">
        <v>2009</v>
      </c>
      <c r="AJ1070" s="25" t="s">
        <v>2010</v>
      </c>
      <c r="AK1070" s="88" t="s">
        <v>2901</v>
      </c>
      <c r="AL1070" s="176" t="s">
        <v>2182</v>
      </c>
      <c r="AM1070" s="173" t="s">
        <v>1268</v>
      </c>
      <c r="AN1070" s="159"/>
      <c r="AO1070" s="160"/>
      <c r="AP1070" s="161"/>
      <c r="AQ1070" s="160"/>
      <c r="AR1070" s="160"/>
      <c r="AS1070" s="160"/>
      <c r="AT1070" s="160"/>
      <c r="AU1070" s="160"/>
      <c r="AV1070" s="160"/>
      <c r="AW1070" s="160"/>
      <c r="AX1070" s="160"/>
      <c r="AY1070" s="160"/>
      <c r="AZ1070" s="160">
        <v>2000</v>
      </c>
      <c r="BA1070" s="160">
        <f>2000*56000</f>
        <v>112000000</v>
      </c>
      <c r="BB1070" s="160"/>
      <c r="BC1070" s="160"/>
      <c r="BD1070" s="160"/>
      <c r="BE1070" s="160"/>
      <c r="BF1070" s="160"/>
      <c r="BG1070" s="160"/>
      <c r="BH1070" s="160"/>
      <c r="BI1070" s="160"/>
      <c r="BJ1070" s="160"/>
      <c r="BK1070" s="160"/>
      <c r="BL1070" s="160"/>
      <c r="BM1070" s="160"/>
      <c r="BN1070" s="160"/>
      <c r="BO1070" s="160"/>
      <c r="BP1070" s="160"/>
      <c r="BQ1070" s="160"/>
      <c r="BR1070" s="160"/>
      <c r="BS1070" s="160"/>
      <c r="BT1070" s="160"/>
      <c r="BU1070" s="160"/>
      <c r="BV1070" s="160"/>
      <c r="BW1070" s="160"/>
      <c r="BX1070" s="160"/>
      <c r="BY1070" s="160"/>
      <c r="BZ1070" s="160">
        <v>20</v>
      </c>
      <c r="CA1070" s="160">
        <f>20*520000</f>
        <v>10400000</v>
      </c>
      <c r="CB1070" s="160"/>
      <c r="CC1070" s="160"/>
      <c r="CD1070" s="160"/>
      <c r="CE1070" s="160"/>
      <c r="CF1070" s="160"/>
      <c r="CG1070" s="160"/>
      <c r="CH1070" s="160"/>
      <c r="CI1070" s="160"/>
      <c r="CJ1070" s="160">
        <v>2000</v>
      </c>
      <c r="CK1070" s="160">
        <f>2000*21500</f>
        <v>43000000</v>
      </c>
      <c r="CL1070" s="160"/>
      <c r="CM1070" s="160"/>
      <c r="CN1070" s="160">
        <v>1724</v>
      </c>
      <c r="CO1070" s="160">
        <f>1724*18000</f>
        <v>31032000</v>
      </c>
      <c r="CP1070" s="162">
        <v>2000</v>
      </c>
      <c r="CQ1070" s="163">
        <f>2000*37000</f>
        <v>74000000</v>
      </c>
      <c r="CR1070" s="162"/>
      <c r="CS1070" s="163"/>
      <c r="CT1070" s="162"/>
      <c r="CU1070" s="163"/>
      <c r="CV1070" s="164">
        <f t="shared" si="140"/>
        <v>270432000</v>
      </c>
      <c r="CW1070" s="165"/>
      <c r="CX1070" s="166"/>
      <c r="CY1070" s="167">
        <f>1200+524</f>
        <v>1724</v>
      </c>
      <c r="CZ1070" s="168">
        <f>1200*85000+524*85000</f>
        <v>146540000</v>
      </c>
      <c r="DA1070" s="169"/>
      <c r="DB1070" s="168"/>
      <c r="DC1070" s="165"/>
      <c r="DD1070" s="166"/>
      <c r="DE1070" s="71"/>
      <c r="DF1070" s="170"/>
      <c r="EO1070" s="353" t="str">
        <f t="shared" si="143"/>
        <v>BOLIVAR_CICUCO</v>
      </c>
      <c r="EP1070" s="350"/>
      <c r="EQ1070" s="350" t="s">
        <v>4648</v>
      </c>
      <c r="ER1070" s="358" t="s">
        <v>4649</v>
      </c>
      <c r="ES1070" s="350" t="s">
        <v>5751</v>
      </c>
      <c r="ET1070" s="350" t="s">
        <v>3674</v>
      </c>
      <c r="EU1070" s="350" t="str">
        <f t="shared" si="136"/>
        <v>Putumayo_Orito</v>
      </c>
    </row>
    <row r="1071" spans="1:151" s="171" customFormat="1" ht="48" x14ac:dyDescent="0.2">
      <c r="A1071" s="242">
        <v>40415</v>
      </c>
      <c r="B1071" s="236" t="s">
        <v>2017</v>
      </c>
      <c r="C1071" s="236" t="s">
        <v>161</v>
      </c>
      <c r="D1071" s="433" t="s">
        <v>837</v>
      </c>
      <c r="E1071" s="107" t="str">
        <f>VLOOKUP(B1071&amp;C1071,Divipola!$C$2:$F$1138,4,FALSE)</f>
        <v>13780</v>
      </c>
      <c r="F1071" s="335"/>
      <c r="G1071" s="221"/>
      <c r="H1071" s="157"/>
      <c r="I1071" s="157"/>
      <c r="J1071" s="421">
        <f>2981*3.7</f>
        <v>11029.7</v>
      </c>
      <c r="K1071" s="157">
        <v>2981</v>
      </c>
      <c r="L1071" s="157"/>
      <c r="M1071" s="157">
        <v>2686</v>
      </c>
      <c r="N1071" s="157"/>
      <c r="O1071" s="157"/>
      <c r="P1071" s="157"/>
      <c r="Q1071" s="157"/>
      <c r="R1071" s="157"/>
      <c r="S1071" s="157"/>
      <c r="T1071" s="157"/>
      <c r="U1071" s="157"/>
      <c r="V1071" s="158"/>
      <c r="W1071" s="182"/>
      <c r="X1071" s="1">
        <v>40452</v>
      </c>
      <c r="Y1071" s="78">
        <f t="shared" si="137"/>
        <v>189268000</v>
      </c>
      <c r="Z1071" s="78">
        <f t="shared" si="138"/>
        <v>386410000</v>
      </c>
      <c r="AA1071" s="78">
        <f t="shared" si="142"/>
        <v>0</v>
      </c>
      <c r="AB1071" s="78">
        <f t="shared" si="139"/>
        <v>0</v>
      </c>
      <c r="AC1071" s="78"/>
      <c r="AD1071" s="78">
        <v>30000000</v>
      </c>
      <c r="AE1071" s="80">
        <f t="shared" si="141"/>
        <v>605678000</v>
      </c>
      <c r="AF1071" s="82">
        <v>0</v>
      </c>
      <c r="AG1071" s="69">
        <v>40415</v>
      </c>
      <c r="AH1071" s="84">
        <v>51824</v>
      </c>
      <c r="AI1071" s="69" t="s">
        <v>2009</v>
      </c>
      <c r="AJ1071" s="25" t="s">
        <v>2010</v>
      </c>
      <c r="AK1071" s="88" t="s">
        <v>2902</v>
      </c>
      <c r="AL1071" s="176" t="s">
        <v>2182</v>
      </c>
      <c r="AM1071" s="173" t="s">
        <v>2583</v>
      </c>
      <c r="AN1071" s="159"/>
      <c r="AO1071" s="160"/>
      <c r="AP1071" s="161"/>
      <c r="AQ1071" s="160"/>
      <c r="AR1071" s="160"/>
      <c r="AS1071" s="160"/>
      <c r="AT1071" s="160"/>
      <c r="AU1071" s="160"/>
      <c r="AV1071" s="160"/>
      <c r="AW1071" s="160"/>
      <c r="AX1071" s="160"/>
      <c r="AY1071" s="160"/>
      <c r="AZ1071" s="160"/>
      <c r="BA1071" s="160"/>
      <c r="BB1071" s="160"/>
      <c r="BC1071" s="160"/>
      <c r="BD1071" s="160"/>
      <c r="BE1071" s="160"/>
      <c r="BF1071" s="160"/>
      <c r="BG1071" s="160"/>
      <c r="BH1071" s="160"/>
      <c r="BI1071" s="160"/>
      <c r="BJ1071" s="160"/>
      <c r="BK1071" s="160"/>
      <c r="BL1071" s="160"/>
      <c r="BM1071" s="160"/>
      <c r="BN1071" s="160"/>
      <c r="BO1071" s="160"/>
      <c r="BP1071" s="160"/>
      <c r="BQ1071" s="160"/>
      <c r="BR1071" s="160"/>
      <c r="BS1071" s="160"/>
      <c r="BT1071" s="160"/>
      <c r="BU1071" s="160"/>
      <c r="BV1071" s="160"/>
      <c r="BW1071" s="160"/>
      <c r="BX1071" s="160"/>
      <c r="BY1071" s="160"/>
      <c r="BZ1071" s="160"/>
      <c r="CA1071" s="160"/>
      <c r="CB1071" s="160"/>
      <c r="CC1071" s="160"/>
      <c r="CD1071" s="160"/>
      <c r="CE1071" s="160"/>
      <c r="CF1071" s="160"/>
      <c r="CG1071" s="160"/>
      <c r="CH1071" s="160"/>
      <c r="CI1071" s="160"/>
      <c r="CJ1071" s="160">
        <v>2686</v>
      </c>
      <c r="CK1071" s="160">
        <f>2686*21000</f>
        <v>56406000</v>
      </c>
      <c r="CL1071" s="160"/>
      <c r="CM1071" s="160"/>
      <c r="CN1071" s="160">
        <f>1200+660</f>
        <v>1860</v>
      </c>
      <c r="CO1071" s="160">
        <f>1200*18000+660*18000</f>
        <v>33480000</v>
      </c>
      <c r="CP1071" s="162">
        <v>2686</v>
      </c>
      <c r="CQ1071" s="163">
        <f>2686*37000</f>
        <v>99382000</v>
      </c>
      <c r="CR1071" s="162"/>
      <c r="CS1071" s="163"/>
      <c r="CT1071" s="162"/>
      <c r="CU1071" s="163"/>
      <c r="CV1071" s="164">
        <f t="shared" si="140"/>
        <v>189268000</v>
      </c>
      <c r="CW1071" s="165"/>
      <c r="CX1071" s="166"/>
      <c r="CY1071" s="167">
        <f>1200+660+2686</f>
        <v>4546</v>
      </c>
      <c r="CZ1071" s="168">
        <f>1200*85000+660*85000+2686*85000</f>
        <v>386410000</v>
      </c>
      <c r="DA1071" s="169"/>
      <c r="DB1071" s="168"/>
      <c r="DC1071" s="165"/>
      <c r="DD1071" s="166"/>
      <c r="DE1071" s="71"/>
      <c r="DF1071" s="170"/>
      <c r="EO1071" s="353" t="str">
        <f t="shared" si="143"/>
        <v>BOLIVAR_TALAIGUA NUEVO</v>
      </c>
      <c r="EP1071" s="350"/>
      <c r="EQ1071" s="350" t="s">
        <v>4648</v>
      </c>
      <c r="ER1071" s="358" t="s">
        <v>4649</v>
      </c>
      <c r="ES1071" s="350" t="s">
        <v>5752</v>
      </c>
      <c r="ET1071" s="350" t="s">
        <v>3675</v>
      </c>
      <c r="EU1071" s="350" t="str">
        <f t="shared" si="136"/>
        <v>Putumayo_Puerto Asis</v>
      </c>
    </row>
    <row r="1072" spans="1:151" s="171" customFormat="1" ht="38.25" x14ac:dyDescent="0.2">
      <c r="A1072" s="242">
        <v>40415</v>
      </c>
      <c r="B1072" s="236" t="s">
        <v>2242</v>
      </c>
      <c r="C1072" s="236" t="s">
        <v>1930</v>
      </c>
      <c r="D1072" s="427" t="s">
        <v>2307</v>
      </c>
      <c r="E1072" s="107" t="str">
        <f>VLOOKUP(B1072&amp;C1072,Divipola!$C$2:$F$1138,4,FALSE)</f>
        <v>20011</v>
      </c>
      <c r="F1072" s="330"/>
      <c r="G1072" s="221"/>
      <c r="H1072" s="157"/>
      <c r="I1072" s="157"/>
      <c r="J1072" s="157">
        <v>45</v>
      </c>
      <c r="K1072" s="157">
        <v>9</v>
      </c>
      <c r="L1072" s="157">
        <v>2</v>
      </c>
      <c r="M1072" s="157">
        <v>7</v>
      </c>
      <c r="N1072" s="157">
        <v>1</v>
      </c>
      <c r="O1072" s="157"/>
      <c r="P1072" s="157"/>
      <c r="Q1072" s="157"/>
      <c r="R1072" s="157"/>
      <c r="S1072" s="157"/>
      <c r="T1072" s="157"/>
      <c r="U1072" s="157"/>
      <c r="V1072" s="158">
        <v>16</v>
      </c>
      <c r="W1072" s="182" t="s">
        <v>1232</v>
      </c>
      <c r="X1072" s="1"/>
      <c r="Y1072" s="78">
        <f t="shared" si="137"/>
        <v>0</v>
      </c>
      <c r="Z1072" s="78">
        <f t="shared" si="138"/>
        <v>0</v>
      </c>
      <c r="AA1072" s="78">
        <f t="shared" si="142"/>
        <v>0</v>
      </c>
      <c r="AB1072" s="78">
        <f t="shared" si="139"/>
        <v>0</v>
      </c>
      <c r="AC1072" s="78"/>
      <c r="AD1072" s="78">
        <v>0</v>
      </c>
      <c r="AE1072" s="80">
        <f t="shared" si="141"/>
        <v>0</v>
      </c>
      <c r="AF1072" s="82">
        <v>0</v>
      </c>
      <c r="AG1072" s="69">
        <v>40418</v>
      </c>
      <c r="AH1072" s="84"/>
      <c r="AI1072" s="69" t="s">
        <v>1984</v>
      </c>
      <c r="AJ1072" s="25" t="s">
        <v>1985</v>
      </c>
      <c r="AK1072" s="65"/>
      <c r="AL1072" s="176" t="s">
        <v>1257</v>
      </c>
      <c r="AM1072" s="173" t="s">
        <v>180</v>
      </c>
      <c r="AN1072" s="159"/>
      <c r="AO1072" s="160"/>
      <c r="AP1072" s="161"/>
      <c r="AQ1072" s="160"/>
      <c r="AR1072" s="160"/>
      <c r="AS1072" s="160"/>
      <c r="AT1072" s="160"/>
      <c r="AU1072" s="160"/>
      <c r="AV1072" s="160"/>
      <c r="AW1072" s="160"/>
      <c r="AX1072" s="160"/>
      <c r="AY1072" s="160"/>
      <c r="AZ1072" s="160"/>
      <c r="BA1072" s="160"/>
      <c r="BB1072" s="160"/>
      <c r="BC1072" s="160"/>
      <c r="BD1072" s="160"/>
      <c r="BE1072" s="160"/>
      <c r="BF1072" s="160"/>
      <c r="BG1072" s="160"/>
      <c r="BH1072" s="160"/>
      <c r="BI1072" s="160"/>
      <c r="BJ1072" s="160"/>
      <c r="BK1072" s="160"/>
      <c r="BL1072" s="160"/>
      <c r="BM1072" s="160"/>
      <c r="BN1072" s="160"/>
      <c r="BO1072" s="160"/>
      <c r="BP1072" s="160"/>
      <c r="BQ1072" s="160"/>
      <c r="BR1072" s="160"/>
      <c r="BS1072" s="160"/>
      <c r="BT1072" s="160"/>
      <c r="BU1072" s="160"/>
      <c r="BV1072" s="160"/>
      <c r="BW1072" s="160"/>
      <c r="BX1072" s="160"/>
      <c r="BY1072" s="160"/>
      <c r="BZ1072" s="160"/>
      <c r="CA1072" s="160"/>
      <c r="CB1072" s="160"/>
      <c r="CC1072" s="160"/>
      <c r="CD1072" s="160"/>
      <c r="CE1072" s="160"/>
      <c r="CF1072" s="160"/>
      <c r="CG1072" s="160"/>
      <c r="CH1072" s="160"/>
      <c r="CI1072" s="160"/>
      <c r="CJ1072" s="160"/>
      <c r="CK1072" s="160"/>
      <c r="CL1072" s="160"/>
      <c r="CM1072" s="160"/>
      <c r="CN1072" s="160"/>
      <c r="CO1072" s="160"/>
      <c r="CP1072" s="162"/>
      <c r="CQ1072" s="163"/>
      <c r="CR1072" s="162"/>
      <c r="CS1072" s="163"/>
      <c r="CT1072" s="162"/>
      <c r="CU1072" s="163"/>
      <c r="CV1072" s="164">
        <f t="shared" si="140"/>
        <v>0</v>
      </c>
      <c r="CW1072" s="165"/>
      <c r="CX1072" s="166"/>
      <c r="CY1072" s="167"/>
      <c r="CZ1072" s="168"/>
      <c r="DA1072" s="169"/>
      <c r="DB1072" s="168"/>
      <c r="DC1072" s="165"/>
      <c r="DD1072" s="166"/>
      <c r="DE1072" s="71"/>
      <c r="DF1072" s="170"/>
      <c r="EO1072" s="353" t="str">
        <f t="shared" si="143"/>
        <v>CESAR_AGUACHICA</v>
      </c>
      <c r="EP1072" s="350"/>
      <c r="EQ1072" s="350" t="s">
        <v>4648</v>
      </c>
      <c r="ER1072" s="358" t="s">
        <v>4649</v>
      </c>
      <c r="ES1072" s="350" t="s">
        <v>5753</v>
      </c>
      <c r="ET1072" s="350" t="s">
        <v>3676</v>
      </c>
      <c r="EU1072" s="350" t="str">
        <f t="shared" si="136"/>
        <v>Putumayo_Puerto Caicedo</v>
      </c>
    </row>
    <row r="1073" spans="1:151" s="171" customFormat="1" ht="84" x14ac:dyDescent="0.2">
      <c r="A1073" s="242">
        <v>40415</v>
      </c>
      <c r="B1073" s="236" t="s">
        <v>2245</v>
      </c>
      <c r="C1073" s="236" t="s">
        <v>497</v>
      </c>
      <c r="D1073" s="430" t="s">
        <v>168</v>
      </c>
      <c r="E1073" s="107" t="str">
        <f>VLOOKUP(B1073&amp;C1073,Divipola!$C$2:$F$1138,4,FALSE)</f>
        <v>52001</v>
      </c>
      <c r="F1073" s="333"/>
      <c r="G1073" s="221"/>
      <c r="H1073" s="157"/>
      <c r="I1073" s="157"/>
      <c r="J1073" s="157"/>
      <c r="K1073" s="157"/>
      <c r="L1073" s="157"/>
      <c r="M1073" s="157"/>
      <c r="N1073" s="157"/>
      <c r="O1073" s="157"/>
      <c r="P1073" s="157"/>
      <c r="Q1073" s="157"/>
      <c r="R1073" s="157"/>
      <c r="S1073" s="157"/>
      <c r="T1073" s="157"/>
      <c r="U1073" s="157"/>
      <c r="V1073" s="158"/>
      <c r="W1073" s="182"/>
      <c r="X1073" s="1"/>
      <c r="Y1073" s="78">
        <f t="shared" si="137"/>
        <v>0</v>
      </c>
      <c r="Z1073" s="78">
        <f t="shared" si="138"/>
        <v>0</v>
      </c>
      <c r="AA1073" s="78">
        <f t="shared" si="142"/>
        <v>0</v>
      </c>
      <c r="AB1073" s="78">
        <f t="shared" si="139"/>
        <v>0</v>
      </c>
      <c r="AC1073" s="78"/>
      <c r="AD1073" s="78">
        <v>0</v>
      </c>
      <c r="AE1073" s="80">
        <f t="shared" si="141"/>
        <v>0</v>
      </c>
      <c r="AF1073" s="82">
        <v>0</v>
      </c>
      <c r="AG1073" s="69">
        <v>40415</v>
      </c>
      <c r="AH1073" s="84"/>
      <c r="AI1073" s="69" t="s">
        <v>1984</v>
      </c>
      <c r="AJ1073" s="25" t="s">
        <v>1985</v>
      </c>
      <c r="AK1073" s="65"/>
      <c r="AL1073" s="176" t="s">
        <v>1257</v>
      </c>
      <c r="AM1073" s="173" t="s">
        <v>671</v>
      </c>
      <c r="AN1073" s="159"/>
      <c r="AO1073" s="160"/>
      <c r="AP1073" s="161"/>
      <c r="AQ1073" s="160"/>
      <c r="AR1073" s="160"/>
      <c r="AS1073" s="160"/>
      <c r="AT1073" s="160"/>
      <c r="AU1073" s="160"/>
      <c r="AV1073" s="160"/>
      <c r="AW1073" s="160"/>
      <c r="AX1073" s="160"/>
      <c r="AY1073" s="160"/>
      <c r="AZ1073" s="160"/>
      <c r="BA1073" s="160"/>
      <c r="BB1073" s="160"/>
      <c r="BC1073" s="160"/>
      <c r="BD1073" s="160"/>
      <c r="BE1073" s="160"/>
      <c r="BF1073" s="160"/>
      <c r="BG1073" s="160"/>
      <c r="BH1073" s="160"/>
      <c r="BI1073" s="160"/>
      <c r="BJ1073" s="160"/>
      <c r="BK1073" s="160"/>
      <c r="BL1073" s="160"/>
      <c r="BM1073" s="160"/>
      <c r="BN1073" s="160"/>
      <c r="BO1073" s="160"/>
      <c r="BP1073" s="160"/>
      <c r="BQ1073" s="160"/>
      <c r="BR1073" s="160"/>
      <c r="BS1073" s="160"/>
      <c r="BT1073" s="160"/>
      <c r="BU1073" s="160"/>
      <c r="BV1073" s="160"/>
      <c r="BW1073" s="160"/>
      <c r="BX1073" s="160"/>
      <c r="BY1073" s="160"/>
      <c r="BZ1073" s="160"/>
      <c r="CA1073" s="160"/>
      <c r="CB1073" s="160"/>
      <c r="CC1073" s="160"/>
      <c r="CD1073" s="160"/>
      <c r="CE1073" s="160"/>
      <c r="CF1073" s="160"/>
      <c r="CG1073" s="160"/>
      <c r="CH1073" s="160"/>
      <c r="CI1073" s="160"/>
      <c r="CJ1073" s="160"/>
      <c r="CK1073" s="160"/>
      <c r="CL1073" s="160"/>
      <c r="CM1073" s="160"/>
      <c r="CN1073" s="160"/>
      <c r="CO1073" s="160"/>
      <c r="CP1073" s="162"/>
      <c r="CQ1073" s="163"/>
      <c r="CR1073" s="162"/>
      <c r="CS1073" s="163"/>
      <c r="CT1073" s="162"/>
      <c r="CU1073" s="163"/>
      <c r="CV1073" s="164">
        <f t="shared" si="140"/>
        <v>0</v>
      </c>
      <c r="CW1073" s="165"/>
      <c r="CX1073" s="166"/>
      <c r="CY1073" s="167"/>
      <c r="CZ1073" s="168"/>
      <c r="DA1073" s="169"/>
      <c r="DB1073" s="168"/>
      <c r="DC1073" s="165"/>
      <c r="DD1073" s="166"/>
      <c r="DE1073" s="71"/>
      <c r="DF1073" s="170"/>
      <c r="EO1073" s="353" t="str">
        <f t="shared" si="143"/>
        <v>NARIÑO_PASTO</v>
      </c>
      <c r="EP1073" s="350"/>
      <c r="EQ1073" s="350" t="s">
        <v>4648</v>
      </c>
      <c r="ER1073" s="358" t="s">
        <v>4649</v>
      </c>
      <c r="ES1073" s="350" t="s">
        <v>5754</v>
      </c>
      <c r="ET1073" s="350" t="s">
        <v>3677</v>
      </c>
      <c r="EU1073" s="350" t="str">
        <f t="shared" si="136"/>
        <v>Putumayo_Puerto Guzman</v>
      </c>
    </row>
    <row r="1074" spans="1:151" s="171" customFormat="1" ht="38.25" x14ac:dyDescent="0.2">
      <c r="A1074" s="242">
        <v>40415</v>
      </c>
      <c r="B1074" s="236" t="s">
        <v>2427</v>
      </c>
      <c r="C1074" s="236" t="s">
        <v>628</v>
      </c>
      <c r="D1074" s="427" t="s">
        <v>2307</v>
      </c>
      <c r="E1074" s="107" t="str">
        <f>VLOOKUP(B1074&amp;C1074,Divipola!$C$2:$F$1138,4,FALSE)</f>
        <v>68001</v>
      </c>
      <c r="F1074" s="330"/>
      <c r="G1074" s="275"/>
      <c r="H1074" s="157">
        <v>2</v>
      </c>
      <c r="I1074" s="157"/>
      <c r="J1074" s="157">
        <v>75</v>
      </c>
      <c r="K1074" s="157">
        <v>15</v>
      </c>
      <c r="L1074" s="157"/>
      <c r="M1074" s="157">
        <v>15</v>
      </c>
      <c r="N1074" s="157"/>
      <c r="O1074" s="157"/>
      <c r="P1074" s="157"/>
      <c r="Q1074" s="157"/>
      <c r="R1074" s="157"/>
      <c r="S1074" s="157"/>
      <c r="T1074" s="157"/>
      <c r="U1074" s="157"/>
      <c r="V1074" s="158"/>
      <c r="W1074" s="182"/>
      <c r="X1074" s="1"/>
      <c r="Y1074" s="78">
        <f t="shared" si="137"/>
        <v>0</v>
      </c>
      <c r="Z1074" s="78">
        <f t="shared" si="138"/>
        <v>0</v>
      </c>
      <c r="AA1074" s="78">
        <f t="shared" si="142"/>
        <v>0</v>
      </c>
      <c r="AB1074" s="78">
        <f t="shared" si="139"/>
        <v>0</v>
      </c>
      <c r="AC1074" s="78"/>
      <c r="AD1074" s="78">
        <v>0</v>
      </c>
      <c r="AE1074" s="80">
        <f t="shared" si="141"/>
        <v>0</v>
      </c>
      <c r="AF1074" s="82">
        <v>0</v>
      </c>
      <c r="AG1074" s="69">
        <v>40418</v>
      </c>
      <c r="AH1074" s="84"/>
      <c r="AI1074" s="69" t="s">
        <v>2009</v>
      </c>
      <c r="AJ1074" s="25" t="s">
        <v>2010</v>
      </c>
      <c r="AK1074" s="65"/>
      <c r="AL1074" s="281" t="s">
        <v>2663</v>
      </c>
      <c r="AM1074" s="173" t="s">
        <v>177</v>
      </c>
      <c r="AN1074" s="159"/>
      <c r="AO1074" s="160"/>
      <c r="AP1074" s="161"/>
      <c r="AQ1074" s="160"/>
      <c r="AR1074" s="160"/>
      <c r="AS1074" s="160"/>
      <c r="AT1074" s="160"/>
      <c r="AU1074" s="160"/>
      <c r="AV1074" s="160"/>
      <c r="AW1074" s="160"/>
      <c r="AX1074" s="160"/>
      <c r="AY1074" s="160"/>
      <c r="AZ1074" s="160"/>
      <c r="BA1074" s="160"/>
      <c r="BB1074" s="160"/>
      <c r="BC1074" s="160"/>
      <c r="BD1074" s="160"/>
      <c r="BE1074" s="160"/>
      <c r="BF1074" s="160"/>
      <c r="BG1074" s="160"/>
      <c r="BH1074" s="160"/>
      <c r="BI1074" s="160"/>
      <c r="BJ1074" s="160"/>
      <c r="BK1074" s="160"/>
      <c r="BL1074" s="160"/>
      <c r="BM1074" s="160"/>
      <c r="BN1074" s="160"/>
      <c r="BO1074" s="160"/>
      <c r="BP1074" s="160"/>
      <c r="BQ1074" s="160"/>
      <c r="BR1074" s="160"/>
      <c r="BS1074" s="160"/>
      <c r="BT1074" s="160"/>
      <c r="BU1074" s="160"/>
      <c r="BV1074" s="160"/>
      <c r="BW1074" s="160"/>
      <c r="BX1074" s="160"/>
      <c r="BY1074" s="160"/>
      <c r="BZ1074" s="160"/>
      <c r="CA1074" s="160"/>
      <c r="CB1074" s="160"/>
      <c r="CC1074" s="160"/>
      <c r="CD1074" s="160"/>
      <c r="CE1074" s="160"/>
      <c r="CF1074" s="160"/>
      <c r="CG1074" s="160"/>
      <c r="CH1074" s="160"/>
      <c r="CI1074" s="160"/>
      <c r="CJ1074" s="160"/>
      <c r="CK1074" s="160"/>
      <c r="CL1074" s="160"/>
      <c r="CM1074" s="160"/>
      <c r="CN1074" s="160"/>
      <c r="CO1074" s="160"/>
      <c r="CP1074" s="162"/>
      <c r="CQ1074" s="163"/>
      <c r="CR1074" s="162"/>
      <c r="CS1074" s="163"/>
      <c r="CT1074" s="162"/>
      <c r="CU1074" s="163"/>
      <c r="CV1074" s="164">
        <f t="shared" si="140"/>
        <v>0</v>
      </c>
      <c r="CW1074" s="165"/>
      <c r="CX1074" s="166"/>
      <c r="CY1074" s="167"/>
      <c r="CZ1074" s="168"/>
      <c r="DA1074" s="169"/>
      <c r="DB1074" s="168"/>
      <c r="DC1074" s="165"/>
      <c r="DD1074" s="166"/>
      <c r="DE1074" s="71"/>
      <c r="DF1074" s="170"/>
      <c r="EO1074" s="353" t="str">
        <f t="shared" si="143"/>
        <v>SANTANDER_BUCARAMANGA</v>
      </c>
      <c r="EP1074" s="350"/>
      <c r="EQ1074" s="350" t="s">
        <v>4648</v>
      </c>
      <c r="ER1074" s="358" t="s">
        <v>4649</v>
      </c>
      <c r="ES1074" s="350" t="s">
        <v>5755</v>
      </c>
      <c r="ET1074" s="350" t="s">
        <v>3678</v>
      </c>
      <c r="EU1074" s="350" t="str">
        <f t="shared" si="136"/>
        <v>Putumayo_Leguizamo</v>
      </c>
    </row>
    <row r="1075" spans="1:151" s="171" customFormat="1" ht="36" x14ac:dyDescent="0.2">
      <c r="A1075" s="242">
        <v>40415</v>
      </c>
      <c r="B1075" s="236" t="s">
        <v>2427</v>
      </c>
      <c r="C1075" s="236" t="s">
        <v>1384</v>
      </c>
      <c r="D1075" s="427" t="s">
        <v>2307</v>
      </c>
      <c r="E1075" s="107" t="str">
        <f>VLOOKUP(B1075&amp;C1075,Divipola!$C$2:$F$1138,4,FALSE)</f>
        <v>68432</v>
      </c>
      <c r="F1075" s="330"/>
      <c r="G1075" s="275"/>
      <c r="H1075" s="157"/>
      <c r="I1075" s="157"/>
      <c r="J1075" s="157">
        <f>80*5</f>
        <v>400</v>
      </c>
      <c r="K1075" s="157">
        <v>80</v>
      </c>
      <c r="L1075" s="157">
        <v>7</v>
      </c>
      <c r="M1075" s="157">
        <v>20</v>
      </c>
      <c r="N1075" s="157">
        <v>4</v>
      </c>
      <c r="O1075" s="157">
        <v>2</v>
      </c>
      <c r="P1075" s="157"/>
      <c r="Q1075" s="157"/>
      <c r="R1075" s="157"/>
      <c r="S1075" s="157"/>
      <c r="T1075" s="157"/>
      <c r="U1075" s="157"/>
      <c r="V1075" s="158">
        <v>50</v>
      </c>
      <c r="W1075" s="205" t="s">
        <v>2180</v>
      </c>
      <c r="X1075" s="1"/>
      <c r="Y1075" s="78">
        <f t="shared" si="137"/>
        <v>0</v>
      </c>
      <c r="Z1075" s="78">
        <f t="shared" si="138"/>
        <v>0</v>
      </c>
      <c r="AA1075" s="78">
        <f t="shared" si="142"/>
        <v>0</v>
      </c>
      <c r="AB1075" s="78">
        <f t="shared" si="139"/>
        <v>0</v>
      </c>
      <c r="AC1075" s="78"/>
      <c r="AD1075" s="78">
        <v>0</v>
      </c>
      <c r="AE1075" s="80">
        <f t="shared" si="141"/>
        <v>0</v>
      </c>
      <c r="AF1075" s="82">
        <v>0</v>
      </c>
      <c r="AG1075" s="69">
        <v>40416</v>
      </c>
      <c r="AH1075" s="84"/>
      <c r="AI1075" s="69" t="s">
        <v>2009</v>
      </c>
      <c r="AJ1075" s="25" t="s">
        <v>2010</v>
      </c>
      <c r="AK1075" s="65"/>
      <c r="AL1075" s="184" t="s">
        <v>2663</v>
      </c>
      <c r="AM1075" s="173" t="s">
        <v>169</v>
      </c>
      <c r="AN1075" s="159"/>
      <c r="AO1075" s="160"/>
      <c r="AP1075" s="161"/>
      <c r="AQ1075" s="160"/>
      <c r="AR1075" s="160"/>
      <c r="AS1075" s="160"/>
      <c r="AT1075" s="160"/>
      <c r="AU1075" s="160"/>
      <c r="AV1075" s="160"/>
      <c r="AW1075" s="160"/>
      <c r="AX1075" s="160"/>
      <c r="AY1075" s="160"/>
      <c r="AZ1075" s="160"/>
      <c r="BA1075" s="160"/>
      <c r="BB1075" s="160"/>
      <c r="BC1075" s="160"/>
      <c r="BD1075" s="160"/>
      <c r="BE1075" s="160"/>
      <c r="BF1075" s="160"/>
      <c r="BG1075" s="160"/>
      <c r="BH1075" s="160"/>
      <c r="BI1075" s="160"/>
      <c r="BJ1075" s="160"/>
      <c r="BK1075" s="160"/>
      <c r="BL1075" s="160"/>
      <c r="BM1075" s="160"/>
      <c r="BN1075" s="160"/>
      <c r="BO1075" s="160"/>
      <c r="BP1075" s="160"/>
      <c r="BQ1075" s="160"/>
      <c r="BR1075" s="160"/>
      <c r="BS1075" s="160"/>
      <c r="BT1075" s="160"/>
      <c r="BU1075" s="160"/>
      <c r="BV1075" s="160"/>
      <c r="BW1075" s="160"/>
      <c r="BX1075" s="160"/>
      <c r="BY1075" s="160"/>
      <c r="BZ1075" s="160"/>
      <c r="CA1075" s="160"/>
      <c r="CB1075" s="160"/>
      <c r="CC1075" s="160"/>
      <c r="CD1075" s="160"/>
      <c r="CE1075" s="160"/>
      <c r="CF1075" s="160"/>
      <c r="CG1075" s="160"/>
      <c r="CH1075" s="160"/>
      <c r="CI1075" s="160"/>
      <c r="CJ1075" s="160"/>
      <c r="CK1075" s="160"/>
      <c r="CL1075" s="160"/>
      <c r="CM1075" s="160"/>
      <c r="CN1075" s="160"/>
      <c r="CO1075" s="160"/>
      <c r="CP1075" s="162"/>
      <c r="CQ1075" s="163"/>
      <c r="CR1075" s="162"/>
      <c r="CS1075" s="163"/>
      <c r="CT1075" s="162"/>
      <c r="CU1075" s="163"/>
      <c r="CV1075" s="164">
        <f t="shared" si="140"/>
        <v>0</v>
      </c>
      <c r="CW1075" s="165"/>
      <c r="CX1075" s="166"/>
      <c r="CY1075" s="167"/>
      <c r="CZ1075" s="168"/>
      <c r="DA1075" s="169"/>
      <c r="DB1075" s="168"/>
      <c r="DC1075" s="165"/>
      <c r="DD1075" s="166"/>
      <c r="DE1075" s="71"/>
      <c r="DF1075" s="170"/>
      <c r="EO1075" s="353" t="str">
        <f t="shared" si="143"/>
        <v>SANTANDER_MALAGA</v>
      </c>
      <c r="EP1075" s="350"/>
      <c r="EQ1075" s="350" t="s">
        <v>4648</v>
      </c>
      <c r="ER1075" s="358" t="s">
        <v>4649</v>
      </c>
      <c r="ES1075" s="350" t="s">
        <v>5756</v>
      </c>
      <c r="ET1075" s="350" t="s">
        <v>3679</v>
      </c>
      <c r="EU1075" s="350" t="str">
        <f t="shared" si="136"/>
        <v>Putumayo_Sibundoy</v>
      </c>
    </row>
    <row r="1076" spans="1:151" s="171" customFormat="1" ht="48" x14ac:dyDescent="0.2">
      <c r="A1076" s="242">
        <v>40416</v>
      </c>
      <c r="B1076" s="222" t="s">
        <v>2242</v>
      </c>
      <c r="C1076" s="222" t="s">
        <v>737</v>
      </c>
      <c r="D1076" s="430" t="s">
        <v>837</v>
      </c>
      <c r="E1076" s="107" t="str">
        <f>VLOOKUP(B1076&amp;C1076,Divipola!$C$2:$F$1138,4,FALSE)</f>
        <v>20060</v>
      </c>
      <c r="F1076" s="333"/>
      <c r="G1076" s="221"/>
      <c r="H1076" s="157"/>
      <c r="I1076" s="157"/>
      <c r="J1076" s="157"/>
      <c r="K1076" s="157"/>
      <c r="L1076" s="157"/>
      <c r="M1076" s="157"/>
      <c r="N1076" s="157">
        <v>3</v>
      </c>
      <c r="O1076" s="157"/>
      <c r="P1076" s="157"/>
      <c r="Q1076" s="157"/>
      <c r="R1076" s="157"/>
      <c r="S1076" s="157"/>
      <c r="T1076" s="157"/>
      <c r="U1076" s="157"/>
      <c r="V1076" s="158">
        <v>60</v>
      </c>
      <c r="W1076" s="182" t="s">
        <v>1243</v>
      </c>
      <c r="X1076" s="1"/>
      <c r="Y1076" s="78">
        <f t="shared" si="137"/>
        <v>0</v>
      </c>
      <c r="Z1076" s="78">
        <f t="shared" si="138"/>
        <v>0</v>
      </c>
      <c r="AA1076" s="78">
        <f t="shared" si="142"/>
        <v>0</v>
      </c>
      <c r="AB1076" s="78">
        <f t="shared" si="139"/>
        <v>0</v>
      </c>
      <c r="AC1076" s="78"/>
      <c r="AD1076" s="78">
        <v>0</v>
      </c>
      <c r="AE1076" s="80">
        <f t="shared" si="141"/>
        <v>0</v>
      </c>
      <c r="AF1076" s="82">
        <v>0</v>
      </c>
      <c r="AG1076" s="69">
        <v>40471</v>
      </c>
      <c r="AH1076" s="84"/>
      <c r="AI1076" s="69" t="s">
        <v>1984</v>
      </c>
      <c r="AJ1076" s="25" t="s">
        <v>1985</v>
      </c>
      <c r="AK1076" s="65"/>
      <c r="AL1076" s="176" t="s">
        <v>1257</v>
      </c>
      <c r="AM1076" s="173" t="s">
        <v>2071</v>
      </c>
      <c r="AN1076" s="159"/>
      <c r="AO1076" s="160"/>
      <c r="AP1076" s="161"/>
      <c r="AQ1076" s="160"/>
      <c r="AR1076" s="160"/>
      <c r="AS1076" s="160"/>
      <c r="AT1076" s="160"/>
      <c r="AU1076" s="160"/>
      <c r="AV1076" s="160"/>
      <c r="AW1076" s="160"/>
      <c r="AX1076" s="160"/>
      <c r="AY1076" s="160"/>
      <c r="AZ1076" s="160"/>
      <c r="BA1076" s="160"/>
      <c r="BB1076" s="160"/>
      <c r="BC1076" s="160"/>
      <c r="BD1076" s="160"/>
      <c r="BE1076" s="160"/>
      <c r="BF1076" s="160"/>
      <c r="BG1076" s="160"/>
      <c r="BH1076" s="160"/>
      <c r="BI1076" s="160"/>
      <c r="BJ1076" s="160"/>
      <c r="BK1076" s="160"/>
      <c r="BL1076" s="160"/>
      <c r="BM1076" s="160"/>
      <c r="BN1076" s="160"/>
      <c r="BO1076" s="160"/>
      <c r="BP1076" s="160"/>
      <c r="BQ1076" s="160"/>
      <c r="BR1076" s="160"/>
      <c r="BS1076" s="160"/>
      <c r="BT1076" s="160"/>
      <c r="BU1076" s="160"/>
      <c r="BV1076" s="160"/>
      <c r="BW1076" s="160"/>
      <c r="BX1076" s="160"/>
      <c r="BY1076" s="160"/>
      <c r="BZ1076" s="160"/>
      <c r="CA1076" s="160"/>
      <c r="CB1076" s="160"/>
      <c r="CC1076" s="160"/>
      <c r="CD1076" s="160"/>
      <c r="CE1076" s="160"/>
      <c r="CF1076" s="160"/>
      <c r="CG1076" s="160"/>
      <c r="CH1076" s="160"/>
      <c r="CI1076" s="160"/>
      <c r="CJ1076" s="160"/>
      <c r="CK1076" s="160"/>
      <c r="CL1076" s="160"/>
      <c r="CM1076" s="160"/>
      <c r="CN1076" s="160"/>
      <c r="CO1076" s="160"/>
      <c r="CP1076" s="162"/>
      <c r="CQ1076" s="163"/>
      <c r="CR1076" s="162"/>
      <c r="CS1076" s="163"/>
      <c r="CT1076" s="162"/>
      <c r="CU1076" s="163"/>
      <c r="CV1076" s="164">
        <f t="shared" si="140"/>
        <v>0</v>
      </c>
      <c r="CW1076" s="165"/>
      <c r="CX1076" s="166"/>
      <c r="CY1076" s="167"/>
      <c r="CZ1076" s="168"/>
      <c r="DA1076" s="169"/>
      <c r="DB1076" s="168"/>
      <c r="DC1076" s="165"/>
      <c r="DD1076" s="166"/>
      <c r="DE1076" s="71"/>
      <c r="DF1076" s="170"/>
      <c r="EO1076" s="353" t="str">
        <f t="shared" si="143"/>
        <v>CESAR_BOSCONIA</v>
      </c>
      <c r="EP1076" s="350"/>
      <c r="EQ1076" s="350" t="s">
        <v>4648</v>
      </c>
      <c r="ER1076" s="358" t="s">
        <v>4649</v>
      </c>
      <c r="ES1076" s="350" t="s">
        <v>5757</v>
      </c>
      <c r="ET1076" s="350" t="s">
        <v>5917</v>
      </c>
      <c r="EU1076" s="350" t="str">
        <f t="shared" si="136"/>
        <v>Putumayo_San Francisco</v>
      </c>
    </row>
    <row r="1077" spans="1:151" s="171" customFormat="1" ht="72" x14ac:dyDescent="0.2">
      <c r="A1077" s="242">
        <v>40416</v>
      </c>
      <c r="B1077" s="107" t="s">
        <v>1836</v>
      </c>
      <c r="C1077" s="107" t="s">
        <v>1814</v>
      </c>
      <c r="D1077" s="427" t="s">
        <v>837</v>
      </c>
      <c r="E1077" s="107" t="str">
        <f>VLOOKUP(B1077&amp;C1077,Divipola!$C$2:$F$1138,4,FALSE)</f>
        <v>47001</v>
      </c>
      <c r="F1077" s="330"/>
      <c r="G1077" s="221"/>
      <c r="H1077" s="157"/>
      <c r="I1077" s="157"/>
      <c r="J1077" s="157">
        <v>12500</v>
      </c>
      <c r="K1077" s="157">
        <v>2500</v>
      </c>
      <c r="L1077" s="157">
        <v>5</v>
      </c>
      <c r="M1077" s="157">
        <v>2495</v>
      </c>
      <c r="N1077" s="157"/>
      <c r="O1077" s="157"/>
      <c r="P1077" s="157"/>
      <c r="Q1077" s="157"/>
      <c r="R1077" s="157"/>
      <c r="S1077" s="157"/>
      <c r="T1077" s="157"/>
      <c r="U1077" s="157"/>
      <c r="V1077" s="158"/>
      <c r="W1077" s="182"/>
      <c r="X1077" s="1">
        <v>40443</v>
      </c>
      <c r="Y1077" s="78">
        <f t="shared" si="137"/>
        <v>94500000</v>
      </c>
      <c r="Z1077" s="78">
        <f t="shared" si="138"/>
        <v>0</v>
      </c>
      <c r="AA1077" s="78">
        <f t="shared" si="142"/>
        <v>0</v>
      </c>
      <c r="AB1077" s="78">
        <f t="shared" si="139"/>
        <v>29580000</v>
      </c>
      <c r="AC1077" s="78"/>
      <c r="AD1077" s="78">
        <v>0</v>
      </c>
      <c r="AE1077" s="80">
        <f t="shared" si="141"/>
        <v>124080000</v>
      </c>
      <c r="AF1077" s="82">
        <v>0</v>
      </c>
      <c r="AG1077" s="69">
        <v>40417</v>
      </c>
      <c r="AH1077" s="84">
        <v>38277</v>
      </c>
      <c r="AI1077" s="69" t="s">
        <v>2009</v>
      </c>
      <c r="AJ1077" s="25" t="s">
        <v>2010</v>
      </c>
      <c r="AK1077" s="88" t="s">
        <v>1625</v>
      </c>
      <c r="AL1077" s="176" t="s">
        <v>163</v>
      </c>
      <c r="AM1077" s="173" t="s">
        <v>178</v>
      </c>
      <c r="AN1077" s="159"/>
      <c r="AO1077" s="160"/>
      <c r="AP1077" s="161"/>
      <c r="AQ1077" s="160"/>
      <c r="AR1077" s="160"/>
      <c r="AS1077" s="160"/>
      <c r="AT1077" s="160"/>
      <c r="AU1077" s="160"/>
      <c r="AV1077" s="160"/>
      <c r="AW1077" s="160"/>
      <c r="AX1077" s="160"/>
      <c r="AY1077" s="160"/>
      <c r="AZ1077" s="160"/>
      <c r="BA1077" s="160"/>
      <c r="BB1077" s="160">
        <v>1000</v>
      </c>
      <c r="BC1077" s="160">
        <f>1000*56000</f>
        <v>56000000</v>
      </c>
      <c r="BD1077" s="160"/>
      <c r="BE1077" s="160"/>
      <c r="BF1077" s="160"/>
      <c r="BG1077" s="160"/>
      <c r="BH1077" s="160"/>
      <c r="BI1077" s="160"/>
      <c r="BJ1077" s="160"/>
      <c r="BK1077" s="160"/>
      <c r="BL1077" s="160"/>
      <c r="BM1077" s="160"/>
      <c r="BN1077" s="160"/>
      <c r="BO1077" s="160"/>
      <c r="BP1077" s="160"/>
      <c r="BQ1077" s="160"/>
      <c r="BR1077" s="160"/>
      <c r="BS1077" s="160"/>
      <c r="BT1077" s="160"/>
      <c r="BU1077" s="160"/>
      <c r="BV1077" s="160"/>
      <c r="BW1077" s="160"/>
      <c r="BX1077" s="160"/>
      <c r="BY1077" s="160"/>
      <c r="BZ1077" s="160"/>
      <c r="CA1077" s="160"/>
      <c r="CB1077" s="160"/>
      <c r="CC1077" s="160"/>
      <c r="CD1077" s="160"/>
      <c r="CE1077" s="160"/>
      <c r="CF1077" s="160"/>
      <c r="CG1077" s="160"/>
      <c r="CH1077" s="160"/>
      <c r="CI1077" s="160"/>
      <c r="CJ1077" s="160"/>
      <c r="CK1077" s="160"/>
      <c r="CL1077" s="160"/>
      <c r="CM1077" s="160"/>
      <c r="CN1077" s="160"/>
      <c r="CO1077" s="160"/>
      <c r="CP1077" s="162">
        <v>1000</v>
      </c>
      <c r="CQ1077" s="163">
        <f>1000*38500</f>
        <v>38500000</v>
      </c>
      <c r="CR1077" s="162"/>
      <c r="CS1077" s="163"/>
      <c r="CT1077" s="162"/>
      <c r="CU1077" s="163"/>
      <c r="CV1077" s="164">
        <f t="shared" si="140"/>
        <v>94500000</v>
      </c>
      <c r="CW1077" s="165">
        <v>30000</v>
      </c>
      <c r="CX1077" s="166">
        <f>30000*986</f>
        <v>29580000</v>
      </c>
      <c r="CY1077" s="167"/>
      <c r="CZ1077" s="168"/>
      <c r="DA1077" s="169"/>
      <c r="DB1077" s="168"/>
      <c r="DC1077" s="165"/>
      <c r="DD1077" s="166"/>
      <c r="DE1077" s="71"/>
      <c r="DF1077" s="170"/>
      <c r="EO1077" s="353" t="str">
        <f t="shared" si="143"/>
        <v>MAGDALENA_SANTA MARTA</v>
      </c>
      <c r="EP1077" s="350"/>
      <c r="EQ1077" s="350" t="s">
        <v>4648</v>
      </c>
      <c r="ER1077" s="358" t="s">
        <v>4649</v>
      </c>
      <c r="ES1077" s="350" t="s">
        <v>5758</v>
      </c>
      <c r="ET1077" s="350" t="s">
        <v>3536</v>
      </c>
      <c r="EU1077" s="350" t="str">
        <f t="shared" si="136"/>
        <v>Putumayo_San Miguel</v>
      </c>
    </row>
    <row r="1078" spans="1:151" s="171" customFormat="1" ht="36" x14ac:dyDescent="0.2">
      <c r="A1078" s="242">
        <v>40417</v>
      </c>
      <c r="B1078" s="236" t="s">
        <v>2791</v>
      </c>
      <c r="C1078" s="236" t="s">
        <v>1945</v>
      </c>
      <c r="D1078" s="433" t="s">
        <v>2209</v>
      </c>
      <c r="E1078" s="107" t="str">
        <f>VLOOKUP(B1078&amp;C1078,Divipola!$C$2:$F$1138,4,FALSE)</f>
        <v>73001</v>
      </c>
      <c r="F1078" s="335"/>
      <c r="G1078" s="221"/>
      <c r="H1078" s="157"/>
      <c r="I1078" s="157"/>
      <c r="J1078" s="157">
        <f>350*5</f>
        <v>1750</v>
      </c>
      <c r="K1078" s="157">
        <v>350</v>
      </c>
      <c r="L1078" s="157"/>
      <c r="M1078" s="157">
        <v>100</v>
      </c>
      <c r="N1078" s="157"/>
      <c r="O1078" s="157"/>
      <c r="P1078" s="157"/>
      <c r="Q1078" s="157"/>
      <c r="R1078" s="157"/>
      <c r="S1078" s="157"/>
      <c r="T1078" s="157">
        <v>1</v>
      </c>
      <c r="U1078" s="157"/>
      <c r="V1078" s="158"/>
      <c r="W1078" s="182"/>
      <c r="X1078" s="1"/>
      <c r="Y1078" s="78">
        <f t="shared" si="137"/>
        <v>0</v>
      </c>
      <c r="Z1078" s="78">
        <f t="shared" si="138"/>
        <v>0</v>
      </c>
      <c r="AA1078" s="78">
        <f t="shared" si="142"/>
        <v>0</v>
      </c>
      <c r="AB1078" s="78">
        <f t="shared" si="139"/>
        <v>0</v>
      </c>
      <c r="AC1078" s="78"/>
      <c r="AD1078" s="78">
        <v>0</v>
      </c>
      <c r="AE1078" s="80">
        <f t="shared" si="141"/>
        <v>0</v>
      </c>
      <c r="AF1078" s="82">
        <v>0</v>
      </c>
      <c r="AG1078" s="69">
        <v>40418</v>
      </c>
      <c r="AH1078" s="84"/>
      <c r="AI1078" s="69" t="s">
        <v>1984</v>
      </c>
      <c r="AJ1078" s="25" t="s">
        <v>1985</v>
      </c>
      <c r="AK1078" s="65"/>
      <c r="AL1078" s="176" t="s">
        <v>1257</v>
      </c>
      <c r="AM1078" s="173" t="s">
        <v>179</v>
      </c>
      <c r="AN1078" s="159"/>
      <c r="AO1078" s="160"/>
      <c r="AP1078" s="161"/>
      <c r="AQ1078" s="160"/>
      <c r="AR1078" s="160"/>
      <c r="AS1078" s="160"/>
      <c r="AT1078" s="160"/>
      <c r="AU1078" s="160"/>
      <c r="AV1078" s="160"/>
      <c r="AW1078" s="160"/>
      <c r="AX1078" s="160"/>
      <c r="AY1078" s="160"/>
      <c r="AZ1078" s="160"/>
      <c r="BA1078" s="160"/>
      <c r="BB1078" s="160"/>
      <c r="BC1078" s="160"/>
      <c r="BD1078" s="160"/>
      <c r="BE1078" s="160"/>
      <c r="BF1078" s="160"/>
      <c r="BG1078" s="160"/>
      <c r="BH1078" s="160"/>
      <c r="BI1078" s="160"/>
      <c r="BJ1078" s="160"/>
      <c r="BK1078" s="160"/>
      <c r="BL1078" s="160"/>
      <c r="BM1078" s="160"/>
      <c r="BN1078" s="160"/>
      <c r="BO1078" s="160"/>
      <c r="BP1078" s="160"/>
      <c r="BQ1078" s="160"/>
      <c r="BR1078" s="160"/>
      <c r="BS1078" s="160"/>
      <c r="BT1078" s="160"/>
      <c r="BU1078" s="160"/>
      <c r="BV1078" s="160"/>
      <c r="BW1078" s="160"/>
      <c r="BX1078" s="160"/>
      <c r="BY1078" s="160"/>
      <c r="BZ1078" s="160"/>
      <c r="CA1078" s="160"/>
      <c r="CB1078" s="160"/>
      <c r="CC1078" s="160"/>
      <c r="CD1078" s="160"/>
      <c r="CE1078" s="160"/>
      <c r="CF1078" s="160"/>
      <c r="CG1078" s="160"/>
      <c r="CH1078" s="160"/>
      <c r="CI1078" s="160"/>
      <c r="CJ1078" s="160"/>
      <c r="CK1078" s="160"/>
      <c r="CL1078" s="160"/>
      <c r="CM1078" s="160"/>
      <c r="CN1078" s="160"/>
      <c r="CO1078" s="160"/>
      <c r="CP1078" s="162"/>
      <c r="CQ1078" s="163"/>
      <c r="CR1078" s="162"/>
      <c r="CS1078" s="163"/>
      <c r="CT1078" s="162"/>
      <c r="CU1078" s="163"/>
      <c r="CV1078" s="164">
        <f t="shared" si="140"/>
        <v>0</v>
      </c>
      <c r="CW1078" s="165"/>
      <c r="CX1078" s="166"/>
      <c r="CY1078" s="167"/>
      <c r="CZ1078" s="168"/>
      <c r="DA1078" s="169"/>
      <c r="DB1078" s="168"/>
      <c r="DC1078" s="165"/>
      <c r="DD1078" s="166"/>
      <c r="DE1078" s="71"/>
      <c r="DF1078" s="170"/>
      <c r="EO1078" s="353" t="str">
        <f t="shared" si="143"/>
        <v>TOLIMA_IBAGUE</v>
      </c>
      <c r="EP1078" s="350"/>
      <c r="EQ1078" s="350" t="s">
        <v>4648</v>
      </c>
      <c r="ER1078" s="358" t="s">
        <v>4649</v>
      </c>
      <c r="ES1078" s="350" t="s">
        <v>5759</v>
      </c>
      <c r="ET1078" s="350" t="s">
        <v>3452</v>
      </c>
      <c r="EU1078" s="350" t="str">
        <f t="shared" si="136"/>
        <v>Putumayo_Santiago</v>
      </c>
    </row>
    <row r="1079" spans="1:151" s="171" customFormat="1" ht="132" x14ac:dyDescent="0.2">
      <c r="A1079" s="242">
        <v>40418</v>
      </c>
      <c r="B1079" s="236" t="s">
        <v>1719</v>
      </c>
      <c r="C1079" s="236" t="s">
        <v>3143</v>
      </c>
      <c r="D1079" s="433" t="s">
        <v>1713</v>
      </c>
      <c r="E1079" s="107" t="str">
        <f>VLOOKUP(B1079&amp;C1079,Divipola!$C$2:$F$1138,4,FALSE)</f>
        <v>19397</v>
      </c>
      <c r="F1079" s="335"/>
      <c r="G1079" s="221"/>
      <c r="H1079" s="157"/>
      <c r="I1079" s="157"/>
      <c r="J1079" s="157">
        <f>12*5</f>
        <v>60</v>
      </c>
      <c r="K1079" s="157">
        <v>12</v>
      </c>
      <c r="L1079" s="157"/>
      <c r="M1079" s="157">
        <v>12</v>
      </c>
      <c r="N1079" s="157"/>
      <c r="O1079" s="157"/>
      <c r="P1079" s="157"/>
      <c r="Q1079" s="157"/>
      <c r="R1079" s="157"/>
      <c r="S1079" s="157"/>
      <c r="T1079" s="157"/>
      <c r="U1079" s="157"/>
      <c r="V1079" s="158"/>
      <c r="W1079" s="182"/>
      <c r="X1079" s="1">
        <v>40480</v>
      </c>
      <c r="Y1079" s="78">
        <f t="shared" si="137"/>
        <v>0</v>
      </c>
      <c r="Z1079" s="78">
        <f t="shared" si="138"/>
        <v>0</v>
      </c>
      <c r="AA1079" s="78">
        <f t="shared" si="142"/>
        <v>0</v>
      </c>
      <c r="AB1079" s="78">
        <f t="shared" si="139"/>
        <v>0</v>
      </c>
      <c r="AC1079" s="78"/>
      <c r="AD1079" s="78">
        <v>25000000</v>
      </c>
      <c r="AE1079" s="80">
        <f t="shared" si="141"/>
        <v>25000000</v>
      </c>
      <c r="AF1079" s="82">
        <v>0</v>
      </c>
      <c r="AG1079" s="69">
        <v>40418</v>
      </c>
      <c r="AH1079" s="94" t="s">
        <v>2057</v>
      </c>
      <c r="AI1079" s="69" t="s">
        <v>2009</v>
      </c>
      <c r="AJ1079" s="25" t="s">
        <v>2010</v>
      </c>
      <c r="AK1079" s="65">
        <v>40507</v>
      </c>
      <c r="AL1079" s="176" t="s">
        <v>2182</v>
      </c>
      <c r="AM1079" s="173" t="s">
        <v>2059</v>
      </c>
      <c r="AN1079" s="159"/>
      <c r="AO1079" s="160"/>
      <c r="AP1079" s="161"/>
      <c r="AQ1079" s="160"/>
      <c r="AR1079" s="160"/>
      <c r="AS1079" s="160"/>
      <c r="AT1079" s="160"/>
      <c r="AU1079" s="160"/>
      <c r="AV1079" s="160"/>
      <c r="AW1079" s="160"/>
      <c r="AX1079" s="160"/>
      <c r="AY1079" s="160"/>
      <c r="AZ1079" s="160"/>
      <c r="BA1079" s="160"/>
      <c r="BB1079" s="160"/>
      <c r="BC1079" s="160"/>
      <c r="BD1079" s="160"/>
      <c r="BE1079" s="160"/>
      <c r="BF1079" s="160"/>
      <c r="BG1079" s="160"/>
      <c r="BH1079" s="160"/>
      <c r="BI1079" s="160"/>
      <c r="BJ1079" s="160"/>
      <c r="BK1079" s="160"/>
      <c r="BL1079" s="160"/>
      <c r="BM1079" s="160"/>
      <c r="BN1079" s="160"/>
      <c r="BO1079" s="160"/>
      <c r="BP1079" s="160"/>
      <c r="BQ1079" s="160"/>
      <c r="BR1079" s="160"/>
      <c r="BS1079" s="160"/>
      <c r="BT1079" s="160"/>
      <c r="BU1079" s="160"/>
      <c r="BV1079" s="160"/>
      <c r="BW1079" s="160"/>
      <c r="BX1079" s="160"/>
      <c r="BY1079" s="160"/>
      <c r="BZ1079" s="160"/>
      <c r="CA1079" s="160"/>
      <c r="CB1079" s="160"/>
      <c r="CC1079" s="160"/>
      <c r="CD1079" s="160"/>
      <c r="CE1079" s="160"/>
      <c r="CF1079" s="160"/>
      <c r="CG1079" s="160"/>
      <c r="CH1079" s="160"/>
      <c r="CI1079" s="160"/>
      <c r="CJ1079" s="160"/>
      <c r="CK1079" s="160"/>
      <c r="CL1079" s="160"/>
      <c r="CM1079" s="160"/>
      <c r="CN1079" s="160"/>
      <c r="CO1079" s="160"/>
      <c r="CP1079" s="162"/>
      <c r="CQ1079" s="163"/>
      <c r="CR1079" s="162"/>
      <c r="CS1079" s="163"/>
      <c r="CT1079" s="162"/>
      <c r="CU1079" s="163"/>
      <c r="CV1079" s="164">
        <f t="shared" si="140"/>
        <v>0</v>
      </c>
      <c r="CW1079" s="165"/>
      <c r="CX1079" s="166"/>
      <c r="CY1079" s="167"/>
      <c r="CZ1079" s="168"/>
      <c r="DA1079" s="169"/>
      <c r="DB1079" s="168"/>
      <c r="DC1079" s="165"/>
      <c r="DD1079" s="166"/>
      <c r="DE1079" s="71" t="s">
        <v>2058</v>
      </c>
      <c r="DF1079" s="170"/>
      <c r="EO1079" s="353" t="str">
        <f t="shared" si="143"/>
        <v>CAUCA_LA VEGA</v>
      </c>
      <c r="EP1079" s="350"/>
      <c r="EQ1079" s="350" t="s">
        <v>4648</v>
      </c>
      <c r="ER1079" s="358" t="s">
        <v>4649</v>
      </c>
      <c r="ES1079" s="350" t="s">
        <v>5760</v>
      </c>
      <c r="ET1079" s="350" t="s">
        <v>3680</v>
      </c>
      <c r="EU1079" s="350" t="str">
        <f t="shared" si="136"/>
        <v>Putumayo_Valle del Guamuez</v>
      </c>
    </row>
    <row r="1080" spans="1:151" s="171" customFormat="1" ht="132" x14ac:dyDescent="0.2">
      <c r="A1080" s="242">
        <v>40418</v>
      </c>
      <c r="B1080" s="222" t="s">
        <v>1719</v>
      </c>
      <c r="C1080" s="222" t="s">
        <v>3143</v>
      </c>
      <c r="D1080" s="427" t="s">
        <v>2307</v>
      </c>
      <c r="E1080" s="107" t="str">
        <f>VLOOKUP(B1080&amp;C1080,Divipola!$C$2:$F$1138,4,FALSE)</f>
        <v>19397</v>
      </c>
      <c r="F1080" s="330"/>
      <c r="G1080" s="221"/>
      <c r="H1080" s="157"/>
      <c r="I1080" s="157"/>
      <c r="J1080" s="157"/>
      <c r="K1080" s="157"/>
      <c r="L1080" s="157"/>
      <c r="M1080" s="157"/>
      <c r="N1080" s="157">
        <v>3</v>
      </c>
      <c r="O1080" s="157"/>
      <c r="P1080" s="157"/>
      <c r="Q1080" s="157"/>
      <c r="R1080" s="157"/>
      <c r="S1080" s="157"/>
      <c r="T1080" s="157"/>
      <c r="U1080" s="157"/>
      <c r="V1080" s="158"/>
      <c r="W1080" s="182"/>
      <c r="X1080" s="1">
        <v>40480</v>
      </c>
      <c r="Y1080" s="78">
        <f t="shared" si="137"/>
        <v>0</v>
      </c>
      <c r="Z1080" s="78">
        <f t="shared" si="138"/>
        <v>0</v>
      </c>
      <c r="AA1080" s="78">
        <f t="shared" si="142"/>
        <v>0</v>
      </c>
      <c r="AB1080" s="78">
        <f t="shared" si="139"/>
        <v>0</v>
      </c>
      <c r="AC1080" s="78"/>
      <c r="AD1080" s="78">
        <v>10000000</v>
      </c>
      <c r="AE1080" s="80">
        <f t="shared" si="141"/>
        <v>10000000</v>
      </c>
      <c r="AF1080" s="82">
        <v>0</v>
      </c>
      <c r="AG1080" s="69">
        <v>40418</v>
      </c>
      <c r="AH1080" s="94" t="s">
        <v>2057</v>
      </c>
      <c r="AI1080" s="69" t="s">
        <v>2009</v>
      </c>
      <c r="AJ1080" s="25" t="s">
        <v>2010</v>
      </c>
      <c r="AK1080" s="65">
        <v>40507</v>
      </c>
      <c r="AL1080" s="176" t="s">
        <v>2182</v>
      </c>
      <c r="AM1080" s="173" t="s">
        <v>2060</v>
      </c>
      <c r="AN1080" s="159"/>
      <c r="AO1080" s="160"/>
      <c r="AP1080" s="161"/>
      <c r="AQ1080" s="160"/>
      <c r="AR1080" s="160"/>
      <c r="AS1080" s="160"/>
      <c r="AT1080" s="160"/>
      <c r="AU1080" s="160"/>
      <c r="AV1080" s="160"/>
      <c r="AW1080" s="160"/>
      <c r="AX1080" s="160"/>
      <c r="AY1080" s="160"/>
      <c r="AZ1080" s="160"/>
      <c r="BA1080" s="160"/>
      <c r="BB1080" s="160"/>
      <c r="BC1080" s="160"/>
      <c r="BD1080" s="160"/>
      <c r="BE1080" s="160"/>
      <c r="BF1080" s="160"/>
      <c r="BG1080" s="160"/>
      <c r="BH1080" s="160"/>
      <c r="BI1080" s="160"/>
      <c r="BJ1080" s="160"/>
      <c r="BK1080" s="160"/>
      <c r="BL1080" s="160"/>
      <c r="BM1080" s="160"/>
      <c r="BN1080" s="160"/>
      <c r="BO1080" s="160"/>
      <c r="BP1080" s="160"/>
      <c r="BQ1080" s="160"/>
      <c r="BR1080" s="160"/>
      <c r="BS1080" s="160"/>
      <c r="BT1080" s="160"/>
      <c r="BU1080" s="160"/>
      <c r="BV1080" s="160"/>
      <c r="BW1080" s="160"/>
      <c r="BX1080" s="160"/>
      <c r="BY1080" s="160"/>
      <c r="BZ1080" s="160"/>
      <c r="CA1080" s="160"/>
      <c r="CB1080" s="160"/>
      <c r="CC1080" s="160"/>
      <c r="CD1080" s="160"/>
      <c r="CE1080" s="160"/>
      <c r="CF1080" s="160"/>
      <c r="CG1080" s="160"/>
      <c r="CH1080" s="160"/>
      <c r="CI1080" s="160"/>
      <c r="CJ1080" s="160"/>
      <c r="CK1080" s="160"/>
      <c r="CL1080" s="160"/>
      <c r="CM1080" s="160"/>
      <c r="CN1080" s="160"/>
      <c r="CO1080" s="160"/>
      <c r="CP1080" s="162"/>
      <c r="CQ1080" s="163"/>
      <c r="CR1080" s="162"/>
      <c r="CS1080" s="163"/>
      <c r="CT1080" s="162"/>
      <c r="CU1080" s="163"/>
      <c r="CV1080" s="164">
        <f t="shared" si="140"/>
        <v>0</v>
      </c>
      <c r="CW1080" s="165"/>
      <c r="CX1080" s="166"/>
      <c r="CY1080" s="167"/>
      <c r="CZ1080" s="168"/>
      <c r="DA1080" s="169"/>
      <c r="DB1080" s="168"/>
      <c r="DC1080" s="165"/>
      <c r="DD1080" s="166"/>
      <c r="DE1080" s="71" t="s">
        <v>2058</v>
      </c>
      <c r="DF1080" s="170"/>
      <c r="EO1080" s="353" t="str">
        <f t="shared" si="143"/>
        <v>CAUCA_LA VEGA</v>
      </c>
      <c r="EP1080" s="350"/>
      <c r="EQ1080" s="350" t="s">
        <v>4648</v>
      </c>
      <c r="ER1080" s="358" t="s">
        <v>4649</v>
      </c>
      <c r="ES1080" s="350" t="s">
        <v>5761</v>
      </c>
      <c r="ET1080" s="350" t="s">
        <v>3681</v>
      </c>
      <c r="EU1080" s="350" t="str">
        <f t="shared" si="136"/>
        <v>Putumayo_Villagarzon</v>
      </c>
    </row>
    <row r="1081" spans="1:151" s="171" customFormat="1" ht="72" x14ac:dyDescent="0.2">
      <c r="A1081" s="242">
        <v>40418</v>
      </c>
      <c r="B1081" s="222" t="s">
        <v>1336</v>
      </c>
      <c r="C1081" s="236" t="s">
        <v>1423</v>
      </c>
      <c r="D1081" s="433" t="s">
        <v>837</v>
      </c>
      <c r="E1081" s="107" t="str">
        <f>VLOOKUP(B1081&amp;C1081,Divipola!$C$2:$F$1138,4,FALSE)</f>
        <v>54347</v>
      </c>
      <c r="F1081" s="335"/>
      <c r="G1081" s="221"/>
      <c r="H1081" s="157"/>
      <c r="I1081" s="157"/>
      <c r="J1081" s="157">
        <f>581-40</f>
        <v>541</v>
      </c>
      <c r="K1081" s="157">
        <f>144-8</f>
        <v>136</v>
      </c>
      <c r="L1081" s="157"/>
      <c r="M1081" s="157">
        <v>15</v>
      </c>
      <c r="N1081" s="157"/>
      <c r="O1081" s="157"/>
      <c r="P1081" s="157"/>
      <c r="Q1081" s="157"/>
      <c r="R1081" s="157"/>
      <c r="S1081" s="157"/>
      <c r="T1081" s="157"/>
      <c r="U1081" s="157"/>
      <c r="V1081" s="158"/>
      <c r="W1081" s="182"/>
      <c r="X1081" s="1">
        <v>40511</v>
      </c>
      <c r="Y1081" s="78">
        <f t="shared" si="137"/>
        <v>0</v>
      </c>
      <c r="Z1081" s="78">
        <f t="shared" si="138"/>
        <v>0</v>
      </c>
      <c r="AA1081" s="78">
        <f>600*21315+2000*104.4+200*21460+120*19952+100*12992</f>
        <v>20983240</v>
      </c>
      <c r="AB1081" s="78">
        <f t="shared" si="139"/>
        <v>0</v>
      </c>
      <c r="AC1081" s="78"/>
      <c r="AD1081" s="78">
        <v>0</v>
      </c>
      <c r="AE1081" s="80">
        <f t="shared" si="141"/>
        <v>20983240</v>
      </c>
      <c r="AF1081" s="82">
        <v>0</v>
      </c>
      <c r="AG1081" s="69">
        <v>40435</v>
      </c>
      <c r="AH1081" s="84">
        <v>57402</v>
      </c>
      <c r="AI1081" s="69" t="s">
        <v>2009</v>
      </c>
      <c r="AJ1081" s="25" t="s">
        <v>2010</v>
      </c>
      <c r="AK1081" s="65">
        <v>24569</v>
      </c>
      <c r="AL1081" s="176" t="s">
        <v>1474</v>
      </c>
      <c r="AM1081" s="173" t="s">
        <v>292</v>
      </c>
      <c r="AN1081" s="159"/>
      <c r="AO1081" s="160"/>
      <c r="AP1081" s="161"/>
      <c r="AQ1081" s="160"/>
      <c r="AR1081" s="160"/>
      <c r="AS1081" s="160"/>
      <c r="AT1081" s="160"/>
      <c r="AU1081" s="160"/>
      <c r="AV1081" s="160"/>
      <c r="AW1081" s="160"/>
      <c r="AX1081" s="160"/>
      <c r="AY1081" s="160"/>
      <c r="AZ1081" s="160"/>
      <c r="BA1081" s="160"/>
      <c r="BB1081" s="160"/>
      <c r="BC1081" s="160"/>
      <c r="BD1081" s="160"/>
      <c r="BE1081" s="160"/>
      <c r="BF1081" s="160"/>
      <c r="BG1081" s="160"/>
      <c r="BH1081" s="160"/>
      <c r="BI1081" s="160"/>
      <c r="BJ1081" s="160"/>
      <c r="BK1081" s="160"/>
      <c r="BL1081" s="160"/>
      <c r="BM1081" s="160"/>
      <c r="BN1081" s="160"/>
      <c r="BO1081" s="160"/>
      <c r="BP1081" s="160"/>
      <c r="BQ1081" s="160"/>
      <c r="BR1081" s="160"/>
      <c r="BS1081" s="160"/>
      <c r="BT1081" s="160"/>
      <c r="BU1081" s="160"/>
      <c r="BV1081" s="160"/>
      <c r="BW1081" s="160"/>
      <c r="BX1081" s="160"/>
      <c r="BY1081" s="160"/>
      <c r="BZ1081" s="160"/>
      <c r="CA1081" s="160"/>
      <c r="CB1081" s="160"/>
      <c r="CC1081" s="160"/>
      <c r="CD1081" s="160"/>
      <c r="CE1081" s="160"/>
      <c r="CF1081" s="160"/>
      <c r="CG1081" s="160"/>
      <c r="CH1081" s="160"/>
      <c r="CI1081" s="160"/>
      <c r="CJ1081" s="160"/>
      <c r="CK1081" s="160"/>
      <c r="CL1081" s="160"/>
      <c r="CM1081" s="160"/>
      <c r="CN1081" s="160"/>
      <c r="CO1081" s="160"/>
      <c r="CP1081" s="162"/>
      <c r="CQ1081" s="163"/>
      <c r="CR1081" s="162"/>
      <c r="CS1081" s="163"/>
      <c r="CT1081" s="162"/>
      <c r="CU1081" s="163"/>
      <c r="CV1081" s="164">
        <f t="shared" si="140"/>
        <v>0</v>
      </c>
      <c r="CW1081" s="165"/>
      <c r="CX1081" s="166"/>
      <c r="CY1081" s="167"/>
      <c r="CZ1081" s="168"/>
      <c r="DA1081" s="169"/>
      <c r="DB1081" s="168"/>
      <c r="DC1081" s="165"/>
      <c r="DD1081" s="166"/>
      <c r="DE1081" s="71"/>
      <c r="DF1081" s="170"/>
      <c r="EO1081" s="353" t="str">
        <f t="shared" si="143"/>
        <v>NORTE DE SANTANDER_HERRAN</v>
      </c>
      <c r="EP1081" s="350"/>
      <c r="EQ1081" s="350" t="s">
        <v>4658</v>
      </c>
      <c r="ER1081" s="358" t="s">
        <v>3531</v>
      </c>
      <c r="ES1081" s="350" t="s">
        <v>5762</v>
      </c>
      <c r="ET1081" s="350" t="s">
        <v>3531</v>
      </c>
      <c r="EU1081" s="350" t="str">
        <f t="shared" si="136"/>
        <v>San Andres_San Andres</v>
      </c>
    </row>
    <row r="1082" spans="1:151" s="171" customFormat="1" ht="38.25" x14ac:dyDescent="0.2">
      <c r="A1082" s="242">
        <v>40420</v>
      </c>
      <c r="B1082" s="222" t="s">
        <v>828</v>
      </c>
      <c r="C1082" s="222" t="s">
        <v>3091</v>
      </c>
      <c r="D1082" s="430" t="s">
        <v>2307</v>
      </c>
      <c r="E1082" s="107" t="str">
        <f>VLOOKUP(B1082&amp;C1082,Divipola!$C$2:$F$1138,4,FALSE)</f>
        <v>15690</v>
      </c>
      <c r="F1082" s="333"/>
      <c r="G1082" s="221"/>
      <c r="H1082" s="157"/>
      <c r="I1082" s="157"/>
      <c r="J1082" s="157">
        <v>500</v>
      </c>
      <c r="K1082" s="157">
        <v>100</v>
      </c>
      <c r="L1082" s="157">
        <v>60</v>
      </c>
      <c r="M1082" s="157">
        <v>40</v>
      </c>
      <c r="N1082" s="157"/>
      <c r="O1082" s="157"/>
      <c r="P1082" s="157"/>
      <c r="Q1082" s="157"/>
      <c r="R1082" s="157"/>
      <c r="S1082" s="157"/>
      <c r="T1082" s="157"/>
      <c r="U1082" s="157"/>
      <c r="V1082" s="158"/>
      <c r="W1082" s="182"/>
      <c r="X1082" s="1"/>
      <c r="Y1082" s="78">
        <f t="shared" si="137"/>
        <v>0</v>
      </c>
      <c r="Z1082" s="78">
        <f t="shared" si="138"/>
        <v>0</v>
      </c>
      <c r="AA1082" s="78">
        <f t="shared" ref="AA1082:AA1113" si="144">DB1082+DD1082</f>
        <v>0</v>
      </c>
      <c r="AB1082" s="78">
        <f t="shared" si="139"/>
        <v>0</v>
      </c>
      <c r="AC1082" s="78"/>
      <c r="AD1082" s="78">
        <v>0</v>
      </c>
      <c r="AE1082" s="80">
        <f t="shared" si="141"/>
        <v>0</v>
      </c>
      <c r="AF1082" s="82">
        <v>0</v>
      </c>
      <c r="AG1082" s="69">
        <v>40589</v>
      </c>
      <c r="AH1082" s="84"/>
      <c r="AI1082" s="69" t="s">
        <v>1984</v>
      </c>
      <c r="AJ1082" s="25" t="s">
        <v>1985</v>
      </c>
      <c r="AK1082" s="65"/>
      <c r="AL1082" s="176" t="s">
        <v>1257</v>
      </c>
      <c r="AM1082" s="173" t="s">
        <v>391</v>
      </c>
      <c r="AN1082" s="159"/>
      <c r="AO1082" s="160"/>
      <c r="AP1082" s="161"/>
      <c r="AQ1082" s="160"/>
      <c r="AR1082" s="160"/>
      <c r="AS1082" s="160"/>
      <c r="AT1082" s="160"/>
      <c r="AU1082" s="160"/>
      <c r="AV1082" s="160"/>
      <c r="AW1082" s="160"/>
      <c r="AX1082" s="160"/>
      <c r="AY1082" s="160"/>
      <c r="AZ1082" s="160"/>
      <c r="BA1082" s="160"/>
      <c r="BB1082" s="160"/>
      <c r="BC1082" s="160"/>
      <c r="BD1082" s="160"/>
      <c r="BE1082" s="160"/>
      <c r="BF1082" s="160"/>
      <c r="BG1082" s="160"/>
      <c r="BH1082" s="160"/>
      <c r="BI1082" s="160"/>
      <c r="BJ1082" s="160"/>
      <c r="BK1082" s="160"/>
      <c r="BL1082" s="160"/>
      <c r="BM1082" s="160"/>
      <c r="BN1082" s="160"/>
      <c r="BO1082" s="160"/>
      <c r="BP1082" s="160"/>
      <c r="BQ1082" s="160"/>
      <c r="BR1082" s="160"/>
      <c r="BS1082" s="160"/>
      <c r="BT1082" s="160"/>
      <c r="BU1082" s="160"/>
      <c r="BV1082" s="160"/>
      <c r="BW1082" s="160"/>
      <c r="BX1082" s="160"/>
      <c r="BY1082" s="160"/>
      <c r="BZ1082" s="160"/>
      <c r="CA1082" s="160"/>
      <c r="CB1082" s="160"/>
      <c r="CC1082" s="160"/>
      <c r="CD1082" s="160"/>
      <c r="CE1082" s="160"/>
      <c r="CF1082" s="160"/>
      <c r="CG1082" s="160"/>
      <c r="CH1082" s="160"/>
      <c r="CI1082" s="160"/>
      <c r="CJ1082" s="160"/>
      <c r="CK1082" s="160"/>
      <c r="CL1082" s="160"/>
      <c r="CM1082" s="160"/>
      <c r="CN1082" s="160"/>
      <c r="CO1082" s="160"/>
      <c r="CP1082" s="162"/>
      <c r="CQ1082" s="163"/>
      <c r="CR1082" s="162"/>
      <c r="CS1082" s="163"/>
      <c r="CT1082" s="162"/>
      <c r="CU1082" s="163"/>
      <c r="CV1082" s="164">
        <f t="shared" si="140"/>
        <v>0</v>
      </c>
      <c r="CW1082" s="165"/>
      <c r="CX1082" s="166"/>
      <c r="CY1082" s="167"/>
      <c r="CZ1082" s="168"/>
      <c r="DA1082" s="169"/>
      <c r="DB1082" s="168"/>
      <c r="DC1082" s="165"/>
      <c r="DD1082" s="166"/>
      <c r="DE1082" s="71"/>
      <c r="DF1082" s="170"/>
      <c r="EO1082" s="353" t="str">
        <f t="shared" si="143"/>
        <v>BOYACA_SANTA MARIA</v>
      </c>
      <c r="EP1082" s="350"/>
      <c r="EQ1082" s="350" t="s">
        <v>4658</v>
      </c>
      <c r="ER1082" s="358" t="s">
        <v>3531</v>
      </c>
      <c r="ES1082" s="350" t="s">
        <v>5763</v>
      </c>
      <c r="ET1082" s="350" t="s">
        <v>3407</v>
      </c>
      <c r="EU1082" s="350" t="str">
        <f t="shared" si="136"/>
        <v>San Andres_Providencia</v>
      </c>
    </row>
    <row r="1083" spans="1:151" s="171" customFormat="1" ht="48" x14ac:dyDescent="0.2">
      <c r="A1083" s="242">
        <v>40420</v>
      </c>
      <c r="B1083" s="236" t="s">
        <v>828</v>
      </c>
      <c r="C1083" s="236" t="s">
        <v>4181</v>
      </c>
      <c r="D1083" s="433" t="s">
        <v>837</v>
      </c>
      <c r="E1083" s="107" t="str">
        <f>VLOOKUP(B1083&amp;C1083,Divipola!$C$2:$F$1138,4,FALSE)</f>
        <v>15686</v>
      </c>
      <c r="F1083" s="335"/>
      <c r="G1083" s="221"/>
      <c r="H1083" s="157"/>
      <c r="I1083" s="157"/>
      <c r="J1083" s="157">
        <f>34*5</f>
        <v>170</v>
      </c>
      <c r="K1083" s="157">
        <v>34</v>
      </c>
      <c r="L1083" s="157"/>
      <c r="M1083" s="157">
        <v>25</v>
      </c>
      <c r="N1083" s="157">
        <v>3</v>
      </c>
      <c r="O1083" s="157"/>
      <c r="P1083" s="157">
        <v>2</v>
      </c>
      <c r="Q1083" s="157"/>
      <c r="R1083" s="157"/>
      <c r="S1083" s="157"/>
      <c r="T1083" s="157"/>
      <c r="U1083" s="157"/>
      <c r="V1083" s="158"/>
      <c r="W1083" s="182"/>
      <c r="X1083" s="1">
        <v>40530</v>
      </c>
      <c r="Y1083" s="78">
        <f t="shared" si="137"/>
        <v>3004984</v>
      </c>
      <c r="Z1083" s="78">
        <f t="shared" si="138"/>
        <v>2125000</v>
      </c>
      <c r="AA1083" s="78">
        <f t="shared" si="144"/>
        <v>0</v>
      </c>
      <c r="AB1083" s="78">
        <f t="shared" si="139"/>
        <v>0</v>
      </c>
      <c r="AC1083" s="78"/>
      <c r="AD1083" s="78">
        <v>0</v>
      </c>
      <c r="AE1083" s="80">
        <f t="shared" si="141"/>
        <v>5129984</v>
      </c>
      <c r="AF1083" s="82">
        <v>0</v>
      </c>
      <c r="AG1083" s="69">
        <v>40423</v>
      </c>
      <c r="AH1083" s="84"/>
      <c r="AI1083" s="69" t="s">
        <v>2009</v>
      </c>
      <c r="AJ1083" s="25" t="s">
        <v>2010</v>
      </c>
      <c r="AK1083" s="88" t="s">
        <v>72</v>
      </c>
      <c r="AL1083" s="176" t="s">
        <v>1257</v>
      </c>
      <c r="AM1083" s="173" t="s">
        <v>201</v>
      </c>
      <c r="AN1083" s="159"/>
      <c r="AO1083" s="160"/>
      <c r="AP1083" s="161"/>
      <c r="AQ1083" s="160"/>
      <c r="AR1083" s="160"/>
      <c r="AS1083" s="160"/>
      <c r="AT1083" s="160"/>
      <c r="AU1083" s="160"/>
      <c r="AV1083" s="160"/>
      <c r="AW1083" s="160"/>
      <c r="AX1083" s="160"/>
      <c r="AY1083" s="160"/>
      <c r="AZ1083" s="160"/>
      <c r="BA1083" s="160"/>
      <c r="BB1083" s="160"/>
      <c r="BC1083" s="160"/>
      <c r="BD1083" s="160"/>
      <c r="BE1083" s="160"/>
      <c r="BF1083" s="160"/>
      <c r="BG1083" s="160"/>
      <c r="BH1083" s="160"/>
      <c r="BI1083" s="160"/>
      <c r="BJ1083" s="160"/>
      <c r="BK1083" s="160"/>
      <c r="BL1083" s="160">
        <v>25</v>
      </c>
      <c r="BM1083" s="160">
        <f>25*25500</f>
        <v>637500</v>
      </c>
      <c r="BN1083" s="160"/>
      <c r="BO1083" s="160"/>
      <c r="BP1083" s="160"/>
      <c r="BQ1083" s="160"/>
      <c r="BR1083" s="160"/>
      <c r="BS1083" s="160"/>
      <c r="BT1083" s="160"/>
      <c r="BU1083" s="160"/>
      <c r="BV1083" s="160"/>
      <c r="BW1083" s="160"/>
      <c r="BX1083" s="160"/>
      <c r="BY1083" s="160"/>
      <c r="BZ1083" s="160"/>
      <c r="CA1083" s="160"/>
      <c r="CB1083" s="160"/>
      <c r="CC1083" s="160"/>
      <c r="CD1083" s="160"/>
      <c r="CE1083" s="160"/>
      <c r="CF1083" s="160"/>
      <c r="CG1083" s="160"/>
      <c r="CH1083" s="160"/>
      <c r="CI1083" s="160"/>
      <c r="CJ1083" s="160"/>
      <c r="CK1083" s="160"/>
      <c r="CL1083" s="160"/>
      <c r="CM1083" s="160"/>
      <c r="CN1083" s="160">
        <v>25</v>
      </c>
      <c r="CO1083" s="160">
        <f>25*18000</f>
        <v>450000</v>
      </c>
      <c r="CP1083" s="162">
        <v>25</v>
      </c>
      <c r="CQ1083" s="163">
        <f>25*36999.36</f>
        <v>924984</v>
      </c>
      <c r="CR1083" s="162">
        <v>25</v>
      </c>
      <c r="CS1083" s="163">
        <f>25*39700</f>
        <v>992500</v>
      </c>
      <c r="CT1083" s="162"/>
      <c r="CU1083" s="163"/>
      <c r="CV1083" s="164">
        <f t="shared" si="140"/>
        <v>3004984</v>
      </c>
      <c r="CW1083" s="165"/>
      <c r="CX1083" s="166"/>
      <c r="CY1083" s="167">
        <v>25</v>
      </c>
      <c r="CZ1083" s="168">
        <f>25*85000</f>
        <v>2125000</v>
      </c>
      <c r="DA1083" s="169"/>
      <c r="DB1083" s="168"/>
      <c r="DC1083" s="165"/>
      <c r="DD1083" s="166"/>
      <c r="DE1083" s="71"/>
      <c r="DF1083" s="170"/>
      <c r="EO1083" s="353" t="str">
        <f t="shared" si="143"/>
        <v>BOYACA_SANTANA</v>
      </c>
      <c r="EP1083" s="350"/>
      <c r="EQ1083" s="350" t="s">
        <v>4660</v>
      </c>
      <c r="ER1083" s="358" t="s">
        <v>3682</v>
      </c>
      <c r="ES1083" s="350" t="s">
        <v>5764</v>
      </c>
      <c r="ET1083" s="350" t="s">
        <v>3683</v>
      </c>
      <c r="EU1083" s="350" t="str">
        <f t="shared" ref="EU1083:EU1116" si="145">ER1083&amp;"_"&amp;ET1083</f>
        <v>Amazonas_Leticia</v>
      </c>
    </row>
    <row r="1084" spans="1:151" s="171" customFormat="1" ht="38.25" x14ac:dyDescent="0.2">
      <c r="A1084" s="242">
        <v>40420</v>
      </c>
      <c r="B1084" s="236" t="s">
        <v>1719</v>
      </c>
      <c r="C1084" s="107" t="s">
        <v>1720</v>
      </c>
      <c r="D1084" s="433" t="s">
        <v>2781</v>
      </c>
      <c r="E1084" s="107" t="str">
        <f>VLOOKUP(B1084&amp;C1084,Divipola!$C$2:$F$1138,4,FALSE)</f>
        <v>19001</v>
      </c>
      <c r="F1084" s="335"/>
      <c r="G1084" s="221"/>
      <c r="H1084" s="157">
        <v>5</v>
      </c>
      <c r="I1084" s="157"/>
      <c r="J1084" s="157">
        <v>19</v>
      </c>
      <c r="K1084" s="157">
        <v>3</v>
      </c>
      <c r="L1084" s="157">
        <v>1</v>
      </c>
      <c r="M1084" s="157">
        <v>2</v>
      </c>
      <c r="N1084" s="157"/>
      <c r="O1084" s="157"/>
      <c r="P1084" s="157"/>
      <c r="Q1084" s="157"/>
      <c r="R1084" s="157"/>
      <c r="S1084" s="157"/>
      <c r="T1084" s="157"/>
      <c r="U1084" s="157"/>
      <c r="V1084" s="158"/>
      <c r="W1084" s="182"/>
      <c r="X1084" s="1"/>
      <c r="Y1084" s="78">
        <f t="shared" si="137"/>
        <v>0</v>
      </c>
      <c r="Z1084" s="78">
        <f t="shared" si="138"/>
        <v>0</v>
      </c>
      <c r="AA1084" s="78">
        <f t="shared" si="144"/>
        <v>0</v>
      </c>
      <c r="AB1084" s="78">
        <f t="shared" si="139"/>
        <v>0</v>
      </c>
      <c r="AC1084" s="78"/>
      <c r="AD1084" s="78">
        <v>0</v>
      </c>
      <c r="AE1084" s="80">
        <f t="shared" si="141"/>
        <v>0</v>
      </c>
      <c r="AF1084" s="82">
        <v>0</v>
      </c>
      <c r="AG1084" s="69">
        <v>40423</v>
      </c>
      <c r="AH1084" s="84"/>
      <c r="AI1084" s="69" t="s">
        <v>1984</v>
      </c>
      <c r="AJ1084" s="25" t="s">
        <v>1985</v>
      </c>
      <c r="AK1084" s="65"/>
      <c r="AL1084" s="176" t="s">
        <v>1257</v>
      </c>
      <c r="AM1084" s="173" t="s">
        <v>200</v>
      </c>
      <c r="AN1084" s="159"/>
      <c r="AO1084" s="160"/>
      <c r="AP1084" s="161"/>
      <c r="AQ1084" s="160"/>
      <c r="AR1084" s="160"/>
      <c r="AS1084" s="160"/>
      <c r="AT1084" s="160"/>
      <c r="AU1084" s="160"/>
      <c r="AV1084" s="160"/>
      <c r="AW1084" s="160"/>
      <c r="AX1084" s="160"/>
      <c r="AY1084" s="160"/>
      <c r="AZ1084" s="160"/>
      <c r="BA1084" s="160"/>
      <c r="BB1084" s="160"/>
      <c r="BC1084" s="160"/>
      <c r="BD1084" s="160"/>
      <c r="BE1084" s="160"/>
      <c r="BF1084" s="160"/>
      <c r="BG1084" s="160"/>
      <c r="BH1084" s="160"/>
      <c r="BI1084" s="160"/>
      <c r="BJ1084" s="160"/>
      <c r="BK1084" s="160"/>
      <c r="BL1084" s="160"/>
      <c r="BM1084" s="160"/>
      <c r="BN1084" s="160"/>
      <c r="BO1084" s="160"/>
      <c r="BP1084" s="160"/>
      <c r="BQ1084" s="160"/>
      <c r="BR1084" s="160"/>
      <c r="BS1084" s="160"/>
      <c r="BT1084" s="160"/>
      <c r="BU1084" s="160"/>
      <c r="BV1084" s="160"/>
      <c r="BW1084" s="160"/>
      <c r="BX1084" s="160"/>
      <c r="BY1084" s="160"/>
      <c r="BZ1084" s="160"/>
      <c r="CA1084" s="160"/>
      <c r="CB1084" s="160"/>
      <c r="CC1084" s="160"/>
      <c r="CD1084" s="160"/>
      <c r="CE1084" s="160"/>
      <c r="CF1084" s="160"/>
      <c r="CG1084" s="160"/>
      <c r="CH1084" s="160"/>
      <c r="CI1084" s="160"/>
      <c r="CJ1084" s="160"/>
      <c r="CK1084" s="160"/>
      <c r="CL1084" s="160"/>
      <c r="CM1084" s="160"/>
      <c r="CN1084" s="160"/>
      <c r="CO1084" s="160"/>
      <c r="CP1084" s="162"/>
      <c r="CQ1084" s="163"/>
      <c r="CR1084" s="162"/>
      <c r="CS1084" s="163"/>
      <c r="CT1084" s="162"/>
      <c r="CU1084" s="163"/>
      <c r="CV1084" s="164">
        <f t="shared" si="140"/>
        <v>0</v>
      </c>
      <c r="CW1084" s="165"/>
      <c r="CX1084" s="166"/>
      <c r="CY1084" s="167"/>
      <c r="CZ1084" s="168"/>
      <c r="DA1084" s="169"/>
      <c r="DB1084" s="168"/>
      <c r="DC1084" s="165"/>
      <c r="DD1084" s="166"/>
      <c r="DE1084" s="71"/>
      <c r="DF1084" s="170"/>
      <c r="EO1084" s="353" t="str">
        <f t="shared" si="143"/>
        <v>CAUCA_POPAYAN</v>
      </c>
      <c r="EP1084" s="350"/>
      <c r="EQ1084" s="350" t="s">
        <v>4660</v>
      </c>
      <c r="ER1084" s="358" t="s">
        <v>3682</v>
      </c>
      <c r="ES1084" s="350" t="s">
        <v>3684</v>
      </c>
      <c r="ET1084" s="350" t="s">
        <v>3685</v>
      </c>
      <c r="EU1084" s="350" t="str">
        <f t="shared" si="145"/>
        <v>Amazonas_El Encanto (CD)</v>
      </c>
    </row>
    <row r="1085" spans="1:151" s="171" customFormat="1" ht="38.25" x14ac:dyDescent="0.2">
      <c r="A1085" s="242">
        <v>40422</v>
      </c>
      <c r="B1085" s="107" t="s">
        <v>2012</v>
      </c>
      <c r="C1085" s="236" t="s">
        <v>2433</v>
      </c>
      <c r="D1085" s="433" t="s">
        <v>837</v>
      </c>
      <c r="E1085" s="107" t="str">
        <f>VLOOKUP(B1085&amp;C1085,Divipola!$C$2:$F$1138,4,FALSE)</f>
        <v>66001</v>
      </c>
      <c r="F1085" s="335"/>
      <c r="G1085" s="221"/>
      <c r="H1085" s="157"/>
      <c r="I1085" s="157"/>
      <c r="J1085" s="157">
        <v>75</v>
      </c>
      <c r="K1085" s="157">
        <v>15</v>
      </c>
      <c r="L1085" s="157"/>
      <c r="M1085" s="157">
        <v>15</v>
      </c>
      <c r="N1085" s="157"/>
      <c r="O1085" s="157"/>
      <c r="P1085" s="157"/>
      <c r="Q1085" s="157"/>
      <c r="R1085" s="157"/>
      <c r="S1085" s="157"/>
      <c r="T1085" s="157"/>
      <c r="U1085" s="157"/>
      <c r="V1085" s="158"/>
      <c r="W1085" s="182"/>
      <c r="X1085" s="1"/>
      <c r="Y1085" s="78">
        <f t="shared" si="137"/>
        <v>0</v>
      </c>
      <c r="Z1085" s="78">
        <f t="shared" si="138"/>
        <v>0</v>
      </c>
      <c r="AA1085" s="78">
        <f t="shared" si="144"/>
        <v>0</v>
      </c>
      <c r="AB1085" s="78">
        <f t="shared" si="139"/>
        <v>0</v>
      </c>
      <c r="AC1085" s="78"/>
      <c r="AD1085" s="78">
        <v>0</v>
      </c>
      <c r="AE1085" s="80">
        <f t="shared" si="141"/>
        <v>0</v>
      </c>
      <c r="AF1085" s="82">
        <v>0</v>
      </c>
      <c r="AG1085" s="69">
        <v>40428</v>
      </c>
      <c r="AH1085" s="84"/>
      <c r="AI1085" s="69" t="s">
        <v>1984</v>
      </c>
      <c r="AJ1085" s="25" t="s">
        <v>1985</v>
      </c>
      <c r="AK1085" s="65"/>
      <c r="AL1085" s="176" t="s">
        <v>1257</v>
      </c>
      <c r="AM1085" s="181" t="s">
        <v>649</v>
      </c>
      <c r="AN1085" s="159"/>
      <c r="AO1085" s="160"/>
      <c r="AP1085" s="161"/>
      <c r="AQ1085" s="160"/>
      <c r="AR1085" s="160"/>
      <c r="AS1085" s="160"/>
      <c r="AT1085" s="160"/>
      <c r="AU1085" s="160"/>
      <c r="AV1085" s="160"/>
      <c r="AW1085" s="160"/>
      <c r="AX1085" s="160"/>
      <c r="AY1085" s="160"/>
      <c r="AZ1085" s="160"/>
      <c r="BA1085" s="160"/>
      <c r="BB1085" s="160"/>
      <c r="BC1085" s="160"/>
      <c r="BD1085" s="160"/>
      <c r="BE1085" s="160"/>
      <c r="BF1085" s="160"/>
      <c r="BG1085" s="160"/>
      <c r="BH1085" s="160"/>
      <c r="BI1085" s="160"/>
      <c r="BJ1085" s="160"/>
      <c r="BK1085" s="160"/>
      <c r="BL1085" s="160"/>
      <c r="BM1085" s="160"/>
      <c r="BN1085" s="160"/>
      <c r="BO1085" s="160"/>
      <c r="BP1085" s="160"/>
      <c r="BQ1085" s="160"/>
      <c r="BR1085" s="160"/>
      <c r="BS1085" s="160"/>
      <c r="BT1085" s="160"/>
      <c r="BU1085" s="160"/>
      <c r="BV1085" s="160"/>
      <c r="BW1085" s="160"/>
      <c r="BX1085" s="160"/>
      <c r="BY1085" s="160"/>
      <c r="BZ1085" s="160"/>
      <c r="CA1085" s="160"/>
      <c r="CB1085" s="160"/>
      <c r="CC1085" s="160"/>
      <c r="CD1085" s="160"/>
      <c r="CE1085" s="160"/>
      <c r="CF1085" s="160"/>
      <c r="CG1085" s="160"/>
      <c r="CH1085" s="160"/>
      <c r="CI1085" s="160"/>
      <c r="CJ1085" s="160"/>
      <c r="CK1085" s="160"/>
      <c r="CL1085" s="160"/>
      <c r="CM1085" s="160"/>
      <c r="CN1085" s="160"/>
      <c r="CO1085" s="160"/>
      <c r="CP1085" s="162"/>
      <c r="CQ1085" s="163"/>
      <c r="CR1085" s="162"/>
      <c r="CS1085" s="163"/>
      <c r="CT1085" s="162"/>
      <c r="CU1085" s="163"/>
      <c r="CV1085" s="164">
        <f t="shared" si="140"/>
        <v>0</v>
      </c>
      <c r="CW1085" s="165"/>
      <c r="CX1085" s="166"/>
      <c r="CY1085" s="167"/>
      <c r="CZ1085" s="168"/>
      <c r="DA1085" s="169"/>
      <c r="DB1085" s="168"/>
      <c r="DC1085" s="165"/>
      <c r="DD1085" s="166"/>
      <c r="DE1085" s="71"/>
      <c r="DF1085" s="170"/>
      <c r="EO1085" s="353" t="str">
        <f t="shared" si="143"/>
        <v>RISARALDA_PEREIRA</v>
      </c>
      <c r="EP1085" s="350"/>
      <c r="EQ1085" s="350" t="s">
        <v>4660</v>
      </c>
      <c r="ER1085" s="358" t="s">
        <v>3682</v>
      </c>
      <c r="ES1085" s="350" t="s">
        <v>3686</v>
      </c>
      <c r="ET1085" s="350" t="s">
        <v>3687</v>
      </c>
      <c r="EU1085" s="350" t="str">
        <f t="shared" si="145"/>
        <v>Amazonas_La Chorrera (CD)</v>
      </c>
    </row>
    <row r="1086" spans="1:151" s="171" customFormat="1" ht="48" x14ac:dyDescent="0.2">
      <c r="A1086" s="242">
        <v>40422</v>
      </c>
      <c r="B1086" s="236" t="s">
        <v>2372</v>
      </c>
      <c r="C1086" s="236" t="s">
        <v>2393</v>
      </c>
      <c r="D1086" s="433" t="s">
        <v>837</v>
      </c>
      <c r="E1086" s="107" t="str">
        <f>VLOOKUP(B1086&amp;C1086,Divipola!$C$2:$F$1138,4,FALSE)</f>
        <v>70429</v>
      </c>
      <c r="F1086" s="335"/>
      <c r="G1086" s="221"/>
      <c r="H1086" s="157"/>
      <c r="I1086" s="157"/>
      <c r="J1086" s="157"/>
      <c r="K1086" s="157"/>
      <c r="L1086" s="157"/>
      <c r="M1086" s="157"/>
      <c r="N1086" s="157"/>
      <c r="O1086" s="157"/>
      <c r="P1086" s="157"/>
      <c r="Q1086" s="157"/>
      <c r="R1086" s="157"/>
      <c r="S1086" s="157"/>
      <c r="T1086" s="157"/>
      <c r="U1086" s="157"/>
      <c r="V1086" s="158"/>
      <c r="W1086" s="182"/>
      <c r="X1086" s="1">
        <v>40476</v>
      </c>
      <c r="Y1086" s="78">
        <f t="shared" si="137"/>
        <v>0</v>
      </c>
      <c r="Z1086" s="78">
        <f t="shared" si="138"/>
        <v>102000000</v>
      </c>
      <c r="AA1086" s="78">
        <f t="shared" si="144"/>
        <v>0</v>
      </c>
      <c r="AB1086" s="78">
        <f t="shared" si="139"/>
        <v>0</v>
      </c>
      <c r="AC1086" s="78"/>
      <c r="AD1086" s="78">
        <v>0</v>
      </c>
      <c r="AE1086" s="80">
        <f t="shared" si="141"/>
        <v>102000000</v>
      </c>
      <c r="AF1086" s="82">
        <v>0</v>
      </c>
      <c r="AG1086" s="69">
        <v>40424</v>
      </c>
      <c r="AH1086" s="84">
        <v>45638</v>
      </c>
      <c r="AI1086" s="69" t="s">
        <v>2009</v>
      </c>
      <c r="AJ1086" s="25" t="s">
        <v>2010</v>
      </c>
      <c r="AK1086" s="65">
        <v>22651</v>
      </c>
      <c r="AL1086" s="176" t="s">
        <v>1831</v>
      </c>
      <c r="AM1086" s="173" t="s">
        <v>1497</v>
      </c>
      <c r="AN1086" s="159"/>
      <c r="AO1086" s="160"/>
      <c r="AP1086" s="161"/>
      <c r="AQ1086" s="160"/>
      <c r="AR1086" s="160"/>
      <c r="AS1086" s="160"/>
      <c r="AT1086" s="160"/>
      <c r="AU1086" s="160"/>
      <c r="AV1086" s="160"/>
      <c r="AW1086" s="160"/>
      <c r="AX1086" s="160"/>
      <c r="AY1086" s="160"/>
      <c r="AZ1086" s="160"/>
      <c r="BA1086" s="160"/>
      <c r="BB1086" s="160"/>
      <c r="BC1086" s="160"/>
      <c r="BD1086" s="160"/>
      <c r="BE1086" s="160"/>
      <c r="BF1086" s="160"/>
      <c r="BG1086" s="160"/>
      <c r="BH1086" s="160"/>
      <c r="BI1086" s="160"/>
      <c r="BJ1086" s="160"/>
      <c r="BK1086" s="160"/>
      <c r="BL1086" s="160"/>
      <c r="BM1086" s="160"/>
      <c r="BN1086" s="160"/>
      <c r="BO1086" s="160"/>
      <c r="BP1086" s="160"/>
      <c r="BQ1086" s="160"/>
      <c r="BR1086" s="160"/>
      <c r="BS1086" s="160"/>
      <c r="BT1086" s="160"/>
      <c r="BU1086" s="160"/>
      <c r="BV1086" s="160"/>
      <c r="BW1086" s="160"/>
      <c r="BX1086" s="160"/>
      <c r="BY1086" s="160"/>
      <c r="BZ1086" s="160"/>
      <c r="CA1086" s="160"/>
      <c r="CB1086" s="160"/>
      <c r="CC1086" s="160"/>
      <c r="CD1086" s="160"/>
      <c r="CE1086" s="160"/>
      <c r="CF1086" s="160"/>
      <c r="CG1086" s="160"/>
      <c r="CH1086" s="160"/>
      <c r="CI1086" s="160"/>
      <c r="CJ1086" s="160"/>
      <c r="CK1086" s="160"/>
      <c r="CL1086" s="160"/>
      <c r="CM1086" s="160"/>
      <c r="CN1086" s="160"/>
      <c r="CO1086" s="160"/>
      <c r="CP1086" s="162"/>
      <c r="CQ1086" s="163"/>
      <c r="CR1086" s="162"/>
      <c r="CS1086" s="163"/>
      <c r="CT1086" s="162"/>
      <c r="CU1086" s="163"/>
      <c r="CV1086" s="164">
        <f t="shared" si="140"/>
        <v>0</v>
      </c>
      <c r="CW1086" s="165"/>
      <c r="CX1086" s="166"/>
      <c r="CY1086" s="167">
        <v>1200</v>
      </c>
      <c r="CZ1086" s="168">
        <f>1200*85000</f>
        <v>102000000</v>
      </c>
      <c r="DA1086" s="169"/>
      <c r="DB1086" s="168"/>
      <c r="DC1086" s="165"/>
      <c r="DD1086" s="166"/>
      <c r="DE1086" s="71"/>
      <c r="DF1086" s="170"/>
      <c r="EO1086" s="353" t="str">
        <f t="shared" si="143"/>
        <v>SUCRE_MAJAGUAL</v>
      </c>
      <c r="EP1086" s="350"/>
      <c r="EQ1086" s="350" t="s">
        <v>4660</v>
      </c>
      <c r="ER1086" s="358" t="s">
        <v>3682</v>
      </c>
      <c r="ES1086" s="350" t="s">
        <v>3688</v>
      </c>
      <c r="ET1086" s="350" t="s">
        <v>3689</v>
      </c>
      <c r="EU1086" s="350" t="str">
        <f t="shared" si="145"/>
        <v>Amazonas_La Pedrera (CD)</v>
      </c>
    </row>
    <row r="1087" spans="1:151" s="171" customFormat="1" ht="78.75" x14ac:dyDescent="0.2">
      <c r="A1087" s="242">
        <v>40422</v>
      </c>
      <c r="B1087" s="222" t="s">
        <v>1462</v>
      </c>
      <c r="C1087" s="222" t="s">
        <v>2697</v>
      </c>
      <c r="D1087" s="430" t="s">
        <v>837</v>
      </c>
      <c r="E1087" s="107" t="str">
        <f>VLOOKUP(B1087&amp;C1087,Divipola!$C$2:$F$1138,4,FALSE)</f>
        <v>76111</v>
      </c>
      <c r="F1087" s="333"/>
      <c r="G1087" s="221"/>
      <c r="H1087" s="157"/>
      <c r="I1087" s="157"/>
      <c r="J1087" s="157">
        <f>537*5</f>
        <v>2685</v>
      </c>
      <c r="K1087" s="157">
        <f>45+130+125+35+52+150</f>
        <v>537</v>
      </c>
      <c r="L1087" s="157"/>
      <c r="M1087" s="157"/>
      <c r="N1087" s="157">
        <v>1</v>
      </c>
      <c r="O1087" s="157"/>
      <c r="P1087" s="157"/>
      <c r="Q1087" s="157">
        <v>5</v>
      </c>
      <c r="R1087" s="157"/>
      <c r="S1087" s="157"/>
      <c r="T1087" s="157"/>
      <c r="U1087" s="157"/>
      <c r="V1087" s="158"/>
      <c r="W1087" s="182"/>
      <c r="X1087" s="1"/>
      <c r="Y1087" s="78">
        <f t="shared" si="137"/>
        <v>0</v>
      </c>
      <c r="Z1087" s="78">
        <f t="shared" si="138"/>
        <v>0</v>
      </c>
      <c r="AA1087" s="78">
        <f t="shared" si="144"/>
        <v>0</v>
      </c>
      <c r="AB1087" s="78">
        <f t="shared" si="139"/>
        <v>0</v>
      </c>
      <c r="AC1087" s="78"/>
      <c r="AD1087" s="78">
        <v>0</v>
      </c>
      <c r="AE1087" s="80">
        <f t="shared" si="141"/>
        <v>0</v>
      </c>
      <c r="AF1087" s="82">
        <v>0</v>
      </c>
      <c r="AG1087" s="69">
        <v>40455</v>
      </c>
      <c r="AH1087" s="84">
        <v>53241</v>
      </c>
      <c r="AI1087" s="69" t="s">
        <v>1984</v>
      </c>
      <c r="AJ1087" s="25" t="s">
        <v>1985</v>
      </c>
      <c r="AK1087" s="65"/>
      <c r="AL1087" s="176" t="s">
        <v>1257</v>
      </c>
      <c r="AM1087" s="187" t="s">
        <v>2698</v>
      </c>
      <c r="AN1087" s="159"/>
      <c r="AO1087" s="160"/>
      <c r="AP1087" s="161"/>
      <c r="AQ1087" s="160"/>
      <c r="AR1087" s="160"/>
      <c r="AS1087" s="160"/>
      <c r="AT1087" s="160"/>
      <c r="AU1087" s="160"/>
      <c r="AV1087" s="160"/>
      <c r="AW1087" s="160"/>
      <c r="AX1087" s="160"/>
      <c r="AY1087" s="160"/>
      <c r="AZ1087" s="160"/>
      <c r="BA1087" s="160"/>
      <c r="BB1087" s="160"/>
      <c r="BC1087" s="160"/>
      <c r="BD1087" s="160"/>
      <c r="BE1087" s="160"/>
      <c r="BF1087" s="160"/>
      <c r="BG1087" s="160"/>
      <c r="BH1087" s="160"/>
      <c r="BI1087" s="160"/>
      <c r="BJ1087" s="160"/>
      <c r="BK1087" s="160"/>
      <c r="BL1087" s="160"/>
      <c r="BM1087" s="160"/>
      <c r="BN1087" s="160"/>
      <c r="BO1087" s="160"/>
      <c r="BP1087" s="160"/>
      <c r="BQ1087" s="160"/>
      <c r="BR1087" s="160"/>
      <c r="BS1087" s="160"/>
      <c r="BT1087" s="160"/>
      <c r="BU1087" s="160"/>
      <c r="BV1087" s="160"/>
      <c r="BW1087" s="160"/>
      <c r="BX1087" s="160"/>
      <c r="BY1087" s="160"/>
      <c r="BZ1087" s="160"/>
      <c r="CA1087" s="160"/>
      <c r="CB1087" s="160"/>
      <c r="CC1087" s="160"/>
      <c r="CD1087" s="160"/>
      <c r="CE1087" s="160"/>
      <c r="CF1087" s="160"/>
      <c r="CG1087" s="160"/>
      <c r="CH1087" s="160"/>
      <c r="CI1087" s="160"/>
      <c r="CJ1087" s="160"/>
      <c r="CK1087" s="160"/>
      <c r="CL1087" s="160"/>
      <c r="CM1087" s="160"/>
      <c r="CN1087" s="160"/>
      <c r="CO1087" s="160"/>
      <c r="CP1087" s="162"/>
      <c r="CQ1087" s="163"/>
      <c r="CR1087" s="162"/>
      <c r="CS1087" s="163"/>
      <c r="CT1087" s="162"/>
      <c r="CU1087" s="163"/>
      <c r="CV1087" s="164">
        <f t="shared" si="140"/>
        <v>0</v>
      </c>
      <c r="CW1087" s="165"/>
      <c r="CX1087" s="166"/>
      <c r="CY1087" s="167"/>
      <c r="CZ1087" s="168"/>
      <c r="DA1087" s="169"/>
      <c r="DB1087" s="168"/>
      <c r="DC1087" s="165"/>
      <c r="DD1087" s="166"/>
      <c r="DE1087" s="71"/>
      <c r="DF1087" s="170"/>
      <c r="EO1087" s="353" t="str">
        <f t="shared" si="143"/>
        <v>VALLE DEL CAUCA_GUADALAJARA DE BUGA</v>
      </c>
      <c r="EP1087" s="350"/>
      <c r="EQ1087" s="350" t="s">
        <v>4660</v>
      </c>
      <c r="ER1087" s="358" t="s">
        <v>3682</v>
      </c>
      <c r="ES1087" s="350" t="s">
        <v>3690</v>
      </c>
      <c r="ET1087" s="350" t="s">
        <v>3691</v>
      </c>
      <c r="EU1087" s="350" t="str">
        <f t="shared" si="145"/>
        <v>Amazonas_La Victoria (CD)</v>
      </c>
    </row>
    <row r="1088" spans="1:151" s="171" customFormat="1" ht="60" x14ac:dyDescent="0.2">
      <c r="A1088" s="242">
        <v>40423</v>
      </c>
      <c r="B1088" s="222" t="s">
        <v>2013</v>
      </c>
      <c r="C1088" s="222" t="s">
        <v>2013</v>
      </c>
      <c r="D1088" s="430" t="s">
        <v>837</v>
      </c>
      <c r="E1088" s="107" t="str">
        <f>VLOOKUP(B1088&amp;C1088,Divipola!$C$2:$F$1138,4,FALSE)</f>
        <v>00000</v>
      </c>
      <c r="F1088" s="333"/>
      <c r="G1088" s="221"/>
      <c r="H1088" s="157"/>
      <c r="I1088" s="157"/>
      <c r="J1088" s="157"/>
      <c r="K1088" s="157"/>
      <c r="L1088" s="157"/>
      <c r="M1088" s="157"/>
      <c r="N1088" s="157"/>
      <c r="O1088" s="157"/>
      <c r="P1088" s="157"/>
      <c r="Q1088" s="157"/>
      <c r="R1088" s="157"/>
      <c r="S1088" s="157"/>
      <c r="T1088" s="157"/>
      <c r="U1088" s="157"/>
      <c r="V1088" s="158"/>
      <c r="W1088" s="182"/>
      <c r="X1088" s="1">
        <v>40448</v>
      </c>
      <c r="Y1088" s="78">
        <f t="shared" si="137"/>
        <v>109428000</v>
      </c>
      <c r="Z1088" s="78">
        <f t="shared" si="138"/>
        <v>127500000</v>
      </c>
      <c r="AA1088" s="78">
        <f t="shared" si="144"/>
        <v>0</v>
      </c>
      <c r="AB1088" s="78">
        <f t="shared" si="139"/>
        <v>0</v>
      </c>
      <c r="AC1088" s="78"/>
      <c r="AD1088" s="78">
        <v>0</v>
      </c>
      <c r="AE1088" s="80">
        <f t="shared" si="141"/>
        <v>236928000</v>
      </c>
      <c r="AF1088" s="82">
        <v>0</v>
      </c>
      <c r="AG1088" s="69">
        <v>40420</v>
      </c>
      <c r="AH1088" s="84">
        <v>44355</v>
      </c>
      <c r="AI1088" s="69" t="s">
        <v>2009</v>
      </c>
      <c r="AJ1088" s="25" t="s">
        <v>2010</v>
      </c>
      <c r="AK1088" s="88" t="s">
        <v>2581</v>
      </c>
      <c r="AL1088" s="176" t="s">
        <v>1628</v>
      </c>
      <c r="AM1088" s="173" t="s">
        <v>1680</v>
      </c>
      <c r="AN1088" s="159"/>
      <c r="AO1088" s="160"/>
      <c r="AP1088" s="161"/>
      <c r="AQ1088" s="160"/>
      <c r="AR1088" s="160"/>
      <c r="AS1088" s="160"/>
      <c r="AT1088" s="160"/>
      <c r="AU1088" s="160"/>
      <c r="AV1088" s="160"/>
      <c r="AW1088" s="160"/>
      <c r="AX1088" s="160"/>
      <c r="AY1088" s="160"/>
      <c r="AZ1088" s="160"/>
      <c r="BA1088" s="160"/>
      <c r="BB1088" s="160"/>
      <c r="BC1088" s="160"/>
      <c r="BD1088" s="160"/>
      <c r="BE1088" s="160"/>
      <c r="BF1088" s="160"/>
      <c r="BG1088" s="160"/>
      <c r="BH1088" s="160"/>
      <c r="BI1088" s="160"/>
      <c r="BJ1088" s="160"/>
      <c r="BK1088" s="160"/>
      <c r="BL1088" s="160"/>
      <c r="BM1088" s="160"/>
      <c r="BN1088" s="160"/>
      <c r="BO1088" s="160"/>
      <c r="BP1088" s="160"/>
      <c r="BQ1088" s="160"/>
      <c r="BR1088" s="160"/>
      <c r="BS1088" s="160"/>
      <c r="BT1088" s="160"/>
      <c r="BU1088" s="160"/>
      <c r="BV1088" s="160"/>
      <c r="BW1088" s="160"/>
      <c r="BX1088" s="160"/>
      <c r="BY1088" s="160"/>
      <c r="BZ1088" s="160"/>
      <c r="CA1088" s="160"/>
      <c r="CB1088" s="160"/>
      <c r="CC1088" s="160"/>
      <c r="CD1088" s="160"/>
      <c r="CE1088" s="160"/>
      <c r="CF1088" s="160"/>
      <c r="CG1088" s="160"/>
      <c r="CH1088" s="160"/>
      <c r="CI1088" s="160"/>
      <c r="CJ1088" s="160"/>
      <c r="CK1088" s="160"/>
      <c r="CL1088" s="160"/>
      <c r="CM1088" s="160"/>
      <c r="CN1088" s="160"/>
      <c r="CO1088" s="160"/>
      <c r="CP1088" s="162">
        <f>500+500+500</f>
        <v>1500</v>
      </c>
      <c r="CQ1088" s="163">
        <f>1000*36952+500*36952</f>
        <v>55428000</v>
      </c>
      <c r="CR1088" s="162">
        <f>500+500+500</f>
        <v>1500</v>
      </c>
      <c r="CS1088" s="163">
        <f>500*36000+500*36000+500*36000</f>
        <v>54000000</v>
      </c>
      <c r="CT1088" s="162"/>
      <c r="CU1088" s="163"/>
      <c r="CV1088" s="164">
        <f t="shared" si="140"/>
        <v>109428000</v>
      </c>
      <c r="CW1088" s="165"/>
      <c r="CX1088" s="166"/>
      <c r="CY1088" s="167">
        <f>500+500+500</f>
        <v>1500</v>
      </c>
      <c r="CZ1088" s="168">
        <f>500*85000+500*85000+500*85000</f>
        <v>127500000</v>
      </c>
      <c r="DA1088" s="169"/>
      <c r="DB1088" s="168"/>
      <c r="DC1088" s="165"/>
      <c r="DD1088" s="166"/>
      <c r="DE1088" s="71"/>
      <c r="DF1088" s="170"/>
      <c r="EO1088" s="353" t="str">
        <f t="shared" si="143"/>
        <v>NACION_NACION</v>
      </c>
      <c r="EP1088" s="350"/>
      <c r="EQ1088" s="350" t="s">
        <v>4660</v>
      </c>
      <c r="ER1088" s="358" t="s">
        <v>3682</v>
      </c>
      <c r="ES1088" s="350" t="s">
        <v>3692</v>
      </c>
      <c r="ET1088" s="350" t="s">
        <v>3693</v>
      </c>
      <c r="EU1088" s="350" t="str">
        <f t="shared" si="145"/>
        <v>Amazonas_Miriti - Parana (CD)</v>
      </c>
    </row>
    <row r="1089" spans="1:151" s="171" customFormat="1" ht="60" x14ac:dyDescent="0.2">
      <c r="A1089" s="242">
        <v>40423</v>
      </c>
      <c r="B1089" s="222" t="s">
        <v>1336</v>
      </c>
      <c r="C1089" s="236" t="s">
        <v>657</v>
      </c>
      <c r="D1089" s="427" t="s">
        <v>2307</v>
      </c>
      <c r="E1089" s="107" t="str">
        <f>VLOOKUP(B1089&amp;C1089,Divipola!$C$2:$F$1138,4,FALSE)</f>
        <v>54245</v>
      </c>
      <c r="F1089" s="330"/>
      <c r="G1089" s="221"/>
      <c r="H1089" s="157"/>
      <c r="I1089" s="157"/>
      <c r="J1089" s="157">
        <f>5789-550-20</f>
        <v>5219</v>
      </c>
      <c r="K1089" s="157">
        <f>1412-110-4</f>
        <v>1298</v>
      </c>
      <c r="L1089" s="157">
        <f>49-17</f>
        <v>32</v>
      </c>
      <c r="M1089" s="157">
        <v>179</v>
      </c>
      <c r="N1089" s="157"/>
      <c r="O1089" s="157"/>
      <c r="P1089" s="157"/>
      <c r="Q1089" s="157">
        <v>4</v>
      </c>
      <c r="R1089" s="157">
        <v>1</v>
      </c>
      <c r="S1089" s="157"/>
      <c r="T1089" s="157">
        <v>7</v>
      </c>
      <c r="U1089" s="157"/>
      <c r="V1089" s="158"/>
      <c r="W1089" s="182" t="s">
        <v>2180</v>
      </c>
      <c r="X1089" s="1"/>
      <c r="Y1089" s="78">
        <f t="shared" si="137"/>
        <v>0</v>
      </c>
      <c r="Z1089" s="78">
        <f t="shared" si="138"/>
        <v>0</v>
      </c>
      <c r="AA1089" s="78">
        <f t="shared" si="144"/>
        <v>0</v>
      </c>
      <c r="AB1089" s="78">
        <f t="shared" si="139"/>
        <v>0</v>
      </c>
      <c r="AC1089" s="78"/>
      <c r="AD1089" s="78">
        <v>0</v>
      </c>
      <c r="AE1089" s="80">
        <f t="shared" si="141"/>
        <v>0</v>
      </c>
      <c r="AF1089" s="82">
        <v>0</v>
      </c>
      <c r="AG1089" s="69">
        <v>40428</v>
      </c>
      <c r="AH1089" s="84"/>
      <c r="AI1089" s="69" t="s">
        <v>1984</v>
      </c>
      <c r="AJ1089" s="25" t="s">
        <v>1985</v>
      </c>
      <c r="AK1089" s="65"/>
      <c r="AL1089" s="176" t="s">
        <v>1257</v>
      </c>
      <c r="AM1089" s="173" t="s">
        <v>658</v>
      </c>
      <c r="AN1089" s="159"/>
      <c r="AO1089" s="160"/>
      <c r="AP1089" s="161"/>
      <c r="AQ1089" s="160"/>
      <c r="AR1089" s="160"/>
      <c r="AS1089" s="160"/>
      <c r="AT1089" s="160"/>
      <c r="AU1089" s="160"/>
      <c r="AV1089" s="160"/>
      <c r="AW1089" s="160"/>
      <c r="AX1089" s="160"/>
      <c r="AY1089" s="160"/>
      <c r="AZ1089" s="160"/>
      <c r="BA1089" s="160"/>
      <c r="BB1089" s="160"/>
      <c r="BC1089" s="160"/>
      <c r="BD1089" s="160"/>
      <c r="BE1089" s="160"/>
      <c r="BF1089" s="160"/>
      <c r="BG1089" s="160"/>
      <c r="BH1089" s="160"/>
      <c r="BI1089" s="160"/>
      <c r="BJ1089" s="160"/>
      <c r="BK1089" s="160"/>
      <c r="BL1089" s="160"/>
      <c r="BM1089" s="160"/>
      <c r="BN1089" s="160"/>
      <c r="BO1089" s="160"/>
      <c r="BP1089" s="160"/>
      <c r="BQ1089" s="160"/>
      <c r="BR1089" s="160"/>
      <c r="BS1089" s="160"/>
      <c r="BT1089" s="160"/>
      <c r="BU1089" s="160"/>
      <c r="BV1089" s="160"/>
      <c r="BW1089" s="160"/>
      <c r="BX1089" s="160"/>
      <c r="BY1089" s="160"/>
      <c r="BZ1089" s="160"/>
      <c r="CA1089" s="160"/>
      <c r="CB1089" s="160"/>
      <c r="CC1089" s="160"/>
      <c r="CD1089" s="160"/>
      <c r="CE1089" s="160"/>
      <c r="CF1089" s="160"/>
      <c r="CG1089" s="160"/>
      <c r="CH1089" s="160"/>
      <c r="CI1089" s="160"/>
      <c r="CJ1089" s="160"/>
      <c r="CK1089" s="160"/>
      <c r="CL1089" s="160"/>
      <c r="CM1089" s="160"/>
      <c r="CN1089" s="160"/>
      <c r="CO1089" s="160"/>
      <c r="CP1089" s="162"/>
      <c r="CQ1089" s="163"/>
      <c r="CR1089" s="162"/>
      <c r="CS1089" s="163"/>
      <c r="CT1089" s="162"/>
      <c r="CU1089" s="163"/>
      <c r="CV1089" s="164">
        <f t="shared" si="140"/>
        <v>0</v>
      </c>
      <c r="CW1089" s="165"/>
      <c r="CX1089" s="166"/>
      <c r="CY1089" s="167"/>
      <c r="CZ1089" s="168"/>
      <c r="DA1089" s="169"/>
      <c r="DB1089" s="168"/>
      <c r="DC1089" s="165"/>
      <c r="DD1089" s="166"/>
      <c r="DE1089" s="71"/>
      <c r="DF1089" s="170"/>
      <c r="EO1089" s="353" t="str">
        <f t="shared" si="143"/>
        <v>NORTE DE SANTANDER_EL CARMEN</v>
      </c>
      <c r="EP1089" s="350"/>
      <c r="EQ1089" s="350" t="s">
        <v>4660</v>
      </c>
      <c r="ER1089" s="358" t="s">
        <v>3682</v>
      </c>
      <c r="ES1089" s="350" t="s">
        <v>3694</v>
      </c>
      <c r="ET1089" s="350" t="s">
        <v>3695</v>
      </c>
      <c r="EU1089" s="350" t="str">
        <f t="shared" si="145"/>
        <v>Amazonas_Puerto Alegria (CD)</v>
      </c>
    </row>
    <row r="1090" spans="1:151" s="171" customFormat="1" ht="84" x14ac:dyDescent="0.2">
      <c r="A1090" s="242">
        <v>40423</v>
      </c>
      <c r="B1090" s="222" t="s">
        <v>1462</v>
      </c>
      <c r="C1090" s="222" t="s">
        <v>2697</v>
      </c>
      <c r="D1090" s="430" t="s">
        <v>2209</v>
      </c>
      <c r="E1090" s="107" t="str">
        <f>VLOOKUP(B1090&amp;C1090,Divipola!$C$2:$F$1138,4,FALSE)</f>
        <v>76111</v>
      </c>
      <c r="F1090" s="333"/>
      <c r="G1090" s="221"/>
      <c r="H1090" s="157"/>
      <c r="I1090" s="157"/>
      <c r="J1090" s="157">
        <v>503</v>
      </c>
      <c r="K1090" s="157">
        <v>372</v>
      </c>
      <c r="L1090" s="157"/>
      <c r="M1090" s="157"/>
      <c r="N1090" s="157"/>
      <c r="O1090" s="157"/>
      <c r="P1090" s="157"/>
      <c r="Q1090" s="157"/>
      <c r="R1090" s="157"/>
      <c r="S1090" s="157"/>
      <c r="T1090" s="157"/>
      <c r="U1090" s="157"/>
      <c r="V1090" s="158"/>
      <c r="W1090" s="182"/>
      <c r="X1090" s="1"/>
      <c r="Y1090" s="78">
        <f t="shared" si="137"/>
        <v>0</v>
      </c>
      <c r="Z1090" s="78">
        <f t="shared" si="138"/>
        <v>0</v>
      </c>
      <c r="AA1090" s="78">
        <f t="shared" si="144"/>
        <v>0</v>
      </c>
      <c r="AB1090" s="78">
        <f t="shared" si="139"/>
        <v>0</v>
      </c>
      <c r="AC1090" s="78"/>
      <c r="AD1090" s="78">
        <v>0</v>
      </c>
      <c r="AE1090" s="80">
        <f t="shared" si="141"/>
        <v>0</v>
      </c>
      <c r="AF1090" s="82">
        <v>0</v>
      </c>
      <c r="AG1090" s="69">
        <v>40483</v>
      </c>
      <c r="AH1090" s="84"/>
      <c r="AI1090" s="69" t="s">
        <v>1984</v>
      </c>
      <c r="AJ1090" s="25" t="s">
        <v>1985</v>
      </c>
      <c r="AK1090" s="65"/>
      <c r="AL1090" s="176" t="s">
        <v>1257</v>
      </c>
      <c r="AM1090" s="173" t="s">
        <v>2618</v>
      </c>
      <c r="AN1090" s="159"/>
      <c r="AO1090" s="160"/>
      <c r="AP1090" s="161"/>
      <c r="AQ1090" s="160"/>
      <c r="AR1090" s="160"/>
      <c r="AS1090" s="160"/>
      <c r="AT1090" s="160"/>
      <c r="AU1090" s="160"/>
      <c r="AV1090" s="160"/>
      <c r="AW1090" s="160"/>
      <c r="AX1090" s="160"/>
      <c r="AY1090" s="160"/>
      <c r="AZ1090" s="160"/>
      <c r="BA1090" s="160"/>
      <c r="BB1090" s="160"/>
      <c r="BC1090" s="160"/>
      <c r="BD1090" s="160"/>
      <c r="BE1090" s="160"/>
      <c r="BF1090" s="160"/>
      <c r="BG1090" s="160"/>
      <c r="BH1090" s="160"/>
      <c r="BI1090" s="160"/>
      <c r="BJ1090" s="160"/>
      <c r="BK1090" s="160"/>
      <c r="BL1090" s="160"/>
      <c r="BM1090" s="160"/>
      <c r="BN1090" s="160"/>
      <c r="BO1090" s="160"/>
      <c r="BP1090" s="160"/>
      <c r="BQ1090" s="160"/>
      <c r="BR1090" s="160"/>
      <c r="BS1090" s="160"/>
      <c r="BT1090" s="160"/>
      <c r="BU1090" s="160"/>
      <c r="BV1090" s="160"/>
      <c r="BW1090" s="160"/>
      <c r="BX1090" s="160"/>
      <c r="BY1090" s="160"/>
      <c r="BZ1090" s="160"/>
      <c r="CA1090" s="160"/>
      <c r="CB1090" s="160"/>
      <c r="CC1090" s="160"/>
      <c r="CD1090" s="160"/>
      <c r="CE1090" s="160"/>
      <c r="CF1090" s="160"/>
      <c r="CG1090" s="160"/>
      <c r="CH1090" s="160"/>
      <c r="CI1090" s="160"/>
      <c r="CJ1090" s="160"/>
      <c r="CK1090" s="160"/>
      <c r="CL1090" s="160"/>
      <c r="CM1090" s="160"/>
      <c r="CN1090" s="160"/>
      <c r="CO1090" s="160"/>
      <c r="CP1090" s="162"/>
      <c r="CQ1090" s="163"/>
      <c r="CR1090" s="162"/>
      <c r="CS1090" s="163"/>
      <c r="CT1090" s="162"/>
      <c r="CU1090" s="163"/>
      <c r="CV1090" s="164">
        <f t="shared" si="140"/>
        <v>0</v>
      </c>
      <c r="CW1090" s="165"/>
      <c r="CX1090" s="166"/>
      <c r="CY1090" s="167"/>
      <c r="CZ1090" s="168"/>
      <c r="DA1090" s="169"/>
      <c r="DB1090" s="168"/>
      <c r="DC1090" s="165"/>
      <c r="DD1090" s="166"/>
      <c r="DE1090" s="71"/>
      <c r="DF1090" s="170"/>
      <c r="EO1090" s="353" t="str">
        <f t="shared" si="143"/>
        <v>VALLE DEL CAUCA_GUADALAJARA DE BUGA</v>
      </c>
      <c r="EP1090" s="350"/>
      <c r="EQ1090" s="350" t="s">
        <v>4660</v>
      </c>
      <c r="ER1090" s="358" t="s">
        <v>3682</v>
      </c>
      <c r="ES1090" s="350" t="s">
        <v>3696</v>
      </c>
      <c r="ET1090" s="350" t="s">
        <v>3697</v>
      </c>
      <c r="EU1090" s="350" t="str">
        <f t="shared" si="145"/>
        <v>Amazonas_Puerto Arica (CD)</v>
      </c>
    </row>
    <row r="1091" spans="1:151" s="171" customFormat="1" ht="38.25" x14ac:dyDescent="0.2">
      <c r="A1091" s="246">
        <v>40425</v>
      </c>
      <c r="B1091" s="279" t="s">
        <v>2401</v>
      </c>
      <c r="C1091" s="279" t="s">
        <v>856</v>
      </c>
      <c r="D1091" s="434" t="s">
        <v>837</v>
      </c>
      <c r="E1091" s="107" t="str">
        <f>VLOOKUP(B1091&amp;C1091,Divipola!$C$2:$F$1138,4,FALSE)</f>
        <v>05088</v>
      </c>
      <c r="F1091" s="336"/>
      <c r="G1091" s="221"/>
      <c r="H1091" s="157"/>
      <c r="I1091" s="157"/>
      <c r="J1091" s="157">
        <v>90</v>
      </c>
      <c r="K1091" s="157">
        <v>18</v>
      </c>
      <c r="L1091" s="157"/>
      <c r="M1091" s="157">
        <v>18</v>
      </c>
      <c r="N1091" s="157"/>
      <c r="O1091" s="157"/>
      <c r="P1091" s="157"/>
      <c r="Q1091" s="157"/>
      <c r="R1091" s="157"/>
      <c r="S1091" s="157"/>
      <c r="T1091" s="157"/>
      <c r="U1091" s="157"/>
      <c r="V1091" s="158"/>
      <c r="W1091" s="182"/>
      <c r="X1091" s="1"/>
      <c r="Y1091" s="78">
        <f t="shared" ref="Y1091:Y1154" si="146">CV1091</f>
        <v>0</v>
      </c>
      <c r="Z1091" s="78">
        <f t="shared" ref="Z1091:Z1154" si="147">CZ1091</f>
        <v>0</v>
      </c>
      <c r="AA1091" s="78">
        <f t="shared" si="144"/>
        <v>0</v>
      </c>
      <c r="AB1091" s="78">
        <f t="shared" ref="AB1091:AB1154" si="148">CX1091</f>
        <v>0</v>
      </c>
      <c r="AC1091" s="78"/>
      <c r="AD1091" s="78">
        <v>0</v>
      </c>
      <c r="AE1091" s="80">
        <f t="shared" si="141"/>
        <v>0</v>
      </c>
      <c r="AF1091" s="82">
        <v>0</v>
      </c>
      <c r="AG1091" s="69">
        <v>40428</v>
      </c>
      <c r="AH1091" s="84"/>
      <c r="AI1091" s="69" t="s">
        <v>1984</v>
      </c>
      <c r="AJ1091" s="25" t="s">
        <v>1985</v>
      </c>
      <c r="AK1091" s="65"/>
      <c r="AL1091" s="176" t="s">
        <v>1257</v>
      </c>
      <c r="AM1091" s="173" t="s">
        <v>653</v>
      </c>
      <c r="AN1091" s="159"/>
      <c r="AO1091" s="160"/>
      <c r="AP1091" s="161"/>
      <c r="AQ1091" s="160"/>
      <c r="AR1091" s="160"/>
      <c r="AS1091" s="160"/>
      <c r="AT1091" s="160"/>
      <c r="AU1091" s="160"/>
      <c r="AV1091" s="160"/>
      <c r="AW1091" s="160"/>
      <c r="AX1091" s="160"/>
      <c r="AY1091" s="160"/>
      <c r="AZ1091" s="160"/>
      <c r="BA1091" s="160"/>
      <c r="BB1091" s="160"/>
      <c r="BC1091" s="160"/>
      <c r="BD1091" s="160"/>
      <c r="BE1091" s="160"/>
      <c r="BF1091" s="160"/>
      <c r="BG1091" s="160"/>
      <c r="BH1091" s="160"/>
      <c r="BI1091" s="160"/>
      <c r="BJ1091" s="160"/>
      <c r="BK1091" s="160"/>
      <c r="BL1091" s="160"/>
      <c r="BM1091" s="160"/>
      <c r="BN1091" s="160"/>
      <c r="BO1091" s="160"/>
      <c r="BP1091" s="160"/>
      <c r="BQ1091" s="160"/>
      <c r="BR1091" s="160"/>
      <c r="BS1091" s="160"/>
      <c r="BT1091" s="160"/>
      <c r="BU1091" s="160"/>
      <c r="BV1091" s="160"/>
      <c r="BW1091" s="160"/>
      <c r="BX1091" s="160"/>
      <c r="BY1091" s="160"/>
      <c r="BZ1091" s="160"/>
      <c r="CA1091" s="160"/>
      <c r="CB1091" s="160"/>
      <c r="CC1091" s="160"/>
      <c r="CD1091" s="160"/>
      <c r="CE1091" s="160"/>
      <c r="CF1091" s="160"/>
      <c r="CG1091" s="160"/>
      <c r="CH1091" s="160"/>
      <c r="CI1091" s="160"/>
      <c r="CJ1091" s="160"/>
      <c r="CK1091" s="160"/>
      <c r="CL1091" s="160"/>
      <c r="CM1091" s="160"/>
      <c r="CN1091" s="160"/>
      <c r="CO1091" s="160"/>
      <c r="CP1091" s="162"/>
      <c r="CQ1091" s="163"/>
      <c r="CR1091" s="162"/>
      <c r="CS1091" s="163"/>
      <c r="CT1091" s="162"/>
      <c r="CU1091" s="163"/>
      <c r="CV1091" s="164">
        <f t="shared" ref="CV1091:CV1154" si="149">AO1091+AQ1091+AS1091+AU1091+AW1091+AY1091+BA1091+BC1091+BE1091+BG1091+BI1091+BK1091+BM1091+BO1091+BQ1091+BS1091+BU1091+BW1091+BY1091+CA1091+CC1091+CE1091+CG1091+CI1091+CK1091+CM1091+CO1091+CQ1091+CS1091+CU1091</f>
        <v>0</v>
      </c>
      <c r="CW1091" s="165"/>
      <c r="CX1091" s="166"/>
      <c r="CY1091" s="167"/>
      <c r="CZ1091" s="168"/>
      <c r="DA1091" s="169"/>
      <c r="DB1091" s="168"/>
      <c r="DC1091" s="165"/>
      <c r="DD1091" s="166"/>
      <c r="DE1091" s="71"/>
      <c r="DF1091" s="170"/>
      <c r="EO1091" s="353" t="str">
        <f t="shared" si="143"/>
        <v>ANTIOQUIA_BELLO</v>
      </c>
      <c r="EP1091" s="350"/>
      <c r="EQ1091" s="350" t="s">
        <v>4660</v>
      </c>
      <c r="ER1091" s="358" t="s">
        <v>3682</v>
      </c>
      <c r="ES1091" s="350" t="s">
        <v>5765</v>
      </c>
      <c r="ET1091" s="350" t="s">
        <v>3698</v>
      </c>
      <c r="EU1091" s="350" t="str">
        <f t="shared" si="145"/>
        <v>Amazonas_Puerto Nariño</v>
      </c>
    </row>
    <row r="1092" spans="1:151" s="171" customFormat="1" ht="51" x14ac:dyDescent="0.2">
      <c r="A1092" s="242">
        <v>40425</v>
      </c>
      <c r="B1092" s="236" t="s">
        <v>2372</v>
      </c>
      <c r="C1092" s="236" t="s">
        <v>880</v>
      </c>
      <c r="D1092" s="433" t="s">
        <v>2209</v>
      </c>
      <c r="E1092" s="107" t="str">
        <f>VLOOKUP(B1092&amp;C1092,Divipola!$C$2:$F$1138,4,FALSE)</f>
        <v>70124</v>
      </c>
      <c r="F1092" s="335"/>
      <c r="G1092" s="221"/>
      <c r="H1092" s="157"/>
      <c r="I1092" s="157"/>
      <c r="J1092" s="157">
        <v>300</v>
      </c>
      <c r="K1092" s="157">
        <v>75</v>
      </c>
      <c r="L1092" s="157"/>
      <c r="M1092" s="157">
        <v>60</v>
      </c>
      <c r="N1092" s="157"/>
      <c r="O1092" s="157"/>
      <c r="P1092" s="157"/>
      <c r="Q1092" s="157"/>
      <c r="R1092" s="157"/>
      <c r="S1092" s="157"/>
      <c r="T1092" s="157"/>
      <c r="U1092" s="157"/>
      <c r="V1092" s="158"/>
      <c r="W1092" s="182"/>
      <c r="X1092" s="1">
        <v>40487</v>
      </c>
      <c r="Y1092" s="78">
        <f t="shared" si="146"/>
        <v>50400000</v>
      </c>
      <c r="Z1092" s="78">
        <f t="shared" si="147"/>
        <v>119000000</v>
      </c>
      <c r="AA1092" s="78">
        <f t="shared" si="144"/>
        <v>25305600</v>
      </c>
      <c r="AB1092" s="78">
        <f t="shared" si="148"/>
        <v>0</v>
      </c>
      <c r="AC1092" s="78"/>
      <c r="AD1092" s="78">
        <v>0</v>
      </c>
      <c r="AE1092" s="80">
        <f t="shared" si="141"/>
        <v>194705600</v>
      </c>
      <c r="AF1092" s="82">
        <v>0</v>
      </c>
      <c r="AG1092" s="69">
        <v>40428</v>
      </c>
      <c r="AH1092" s="84">
        <v>46609</v>
      </c>
      <c r="AI1092" s="69" t="s">
        <v>2009</v>
      </c>
      <c r="AJ1092" s="70" t="s">
        <v>2010</v>
      </c>
      <c r="AK1092" s="65">
        <v>23551</v>
      </c>
      <c r="AL1092" s="176" t="s">
        <v>1831</v>
      </c>
      <c r="AM1092" s="173" t="s">
        <v>655</v>
      </c>
      <c r="AN1092" s="159"/>
      <c r="AO1092" s="160"/>
      <c r="AP1092" s="161"/>
      <c r="AQ1092" s="160"/>
      <c r="AR1092" s="160"/>
      <c r="AS1092" s="160"/>
      <c r="AT1092" s="160"/>
      <c r="AU1092" s="160"/>
      <c r="AV1092" s="160"/>
      <c r="AW1092" s="160"/>
      <c r="AX1092" s="160"/>
      <c r="AY1092" s="160"/>
      <c r="AZ1092" s="160"/>
      <c r="BA1092" s="160"/>
      <c r="BB1092" s="160"/>
      <c r="BC1092" s="160"/>
      <c r="BD1092" s="160"/>
      <c r="BE1092" s="160"/>
      <c r="BF1092" s="160"/>
      <c r="BG1092" s="160"/>
      <c r="BH1092" s="160"/>
      <c r="BI1092" s="160"/>
      <c r="BJ1092" s="160"/>
      <c r="BK1092" s="160"/>
      <c r="BL1092" s="160"/>
      <c r="BM1092" s="160"/>
      <c r="BN1092" s="160"/>
      <c r="BO1092" s="160"/>
      <c r="BP1092" s="160"/>
      <c r="BQ1092" s="160"/>
      <c r="BR1092" s="160"/>
      <c r="BS1092" s="160"/>
      <c r="BT1092" s="160"/>
      <c r="BU1092" s="160"/>
      <c r="BV1092" s="160"/>
      <c r="BW1092" s="160"/>
      <c r="BX1092" s="160"/>
      <c r="BY1092" s="160"/>
      <c r="BZ1092" s="160"/>
      <c r="CA1092" s="160"/>
      <c r="CB1092" s="160"/>
      <c r="CC1092" s="160"/>
      <c r="CD1092" s="160"/>
      <c r="CE1092" s="160"/>
      <c r="CF1092" s="160"/>
      <c r="CG1092" s="160"/>
      <c r="CH1092" s="160"/>
      <c r="CI1092" s="160"/>
      <c r="CJ1092" s="160"/>
      <c r="CK1092" s="160"/>
      <c r="CL1092" s="160"/>
      <c r="CM1092" s="160"/>
      <c r="CN1092" s="160">
        <v>2800</v>
      </c>
      <c r="CO1092" s="160">
        <f>2800*18000</f>
        <v>50400000</v>
      </c>
      <c r="CP1092" s="162"/>
      <c r="CQ1092" s="163"/>
      <c r="CR1092" s="162"/>
      <c r="CS1092" s="163"/>
      <c r="CT1092" s="162"/>
      <c r="CU1092" s="163"/>
      <c r="CV1092" s="164">
        <f t="shared" si="149"/>
        <v>50400000</v>
      </c>
      <c r="CW1092" s="165"/>
      <c r="CX1092" s="166"/>
      <c r="CY1092" s="167">
        <v>1400</v>
      </c>
      <c r="CZ1092" s="168">
        <f>1400*85000</f>
        <v>119000000</v>
      </c>
      <c r="DA1092" s="169"/>
      <c r="DB1092" s="168"/>
      <c r="DC1092" s="165">
        <v>1200</v>
      </c>
      <c r="DD1092" s="166">
        <f>1200*19000+7200*348</f>
        <v>25305600</v>
      </c>
      <c r="DE1092" s="71"/>
      <c r="DF1092" s="170"/>
      <c r="EO1092" s="353" t="str">
        <f t="shared" si="143"/>
        <v>SUCRE_CAIMITO</v>
      </c>
      <c r="EP1092" s="350"/>
      <c r="EQ1092" s="350" t="s">
        <v>4660</v>
      </c>
      <c r="ER1092" s="358" t="s">
        <v>3682</v>
      </c>
      <c r="ES1092" s="350" t="s">
        <v>3699</v>
      </c>
      <c r="ET1092" s="350" t="s">
        <v>3700</v>
      </c>
      <c r="EU1092" s="350" t="str">
        <f t="shared" si="145"/>
        <v>Amazonas_Puerto Santander (CD)</v>
      </c>
    </row>
    <row r="1093" spans="1:151" s="171" customFormat="1" ht="60" x14ac:dyDescent="0.2">
      <c r="A1093" s="242">
        <v>40425</v>
      </c>
      <c r="B1093" s="236" t="s">
        <v>2372</v>
      </c>
      <c r="C1093" s="236" t="s">
        <v>706</v>
      </c>
      <c r="D1093" s="433" t="s">
        <v>837</v>
      </c>
      <c r="E1093" s="107" t="str">
        <f>VLOOKUP(B1093&amp;C1093,Divipola!$C$2:$F$1138,4,FALSE)</f>
        <v>70215</v>
      </c>
      <c r="F1093" s="335"/>
      <c r="G1093" s="221"/>
      <c r="H1093" s="157"/>
      <c r="I1093" s="157"/>
      <c r="J1093" s="157">
        <v>4120</v>
      </c>
      <c r="K1093" s="157">
        <v>1030</v>
      </c>
      <c r="L1093" s="157"/>
      <c r="M1093" s="157"/>
      <c r="N1093" s="157"/>
      <c r="O1093" s="157"/>
      <c r="P1093" s="157"/>
      <c r="Q1093" s="157"/>
      <c r="R1093" s="157"/>
      <c r="S1093" s="157"/>
      <c r="T1093" s="157"/>
      <c r="U1093" s="157"/>
      <c r="V1093" s="158"/>
      <c r="W1093" s="182"/>
      <c r="X1093" s="1">
        <v>40452</v>
      </c>
      <c r="Y1093" s="78">
        <f t="shared" si="146"/>
        <v>55800000</v>
      </c>
      <c r="Z1093" s="78">
        <f t="shared" si="147"/>
        <v>102000000</v>
      </c>
      <c r="AA1093" s="78">
        <f t="shared" si="144"/>
        <v>0</v>
      </c>
      <c r="AB1093" s="78">
        <f t="shared" si="148"/>
        <v>0</v>
      </c>
      <c r="AC1093" s="78"/>
      <c r="AD1093" s="78">
        <v>0</v>
      </c>
      <c r="AE1093" s="80">
        <f t="shared" si="141"/>
        <v>157800000</v>
      </c>
      <c r="AF1093" s="82">
        <v>0</v>
      </c>
      <c r="AG1093" s="69">
        <v>40428</v>
      </c>
      <c r="AH1093" s="84">
        <v>46609</v>
      </c>
      <c r="AI1093" s="69" t="s">
        <v>2009</v>
      </c>
      <c r="AJ1093" s="25" t="s">
        <v>2010</v>
      </c>
      <c r="AK1093" s="65">
        <v>20539</v>
      </c>
      <c r="AL1093" s="176" t="s">
        <v>1831</v>
      </c>
      <c r="AM1093" s="173" t="s">
        <v>652</v>
      </c>
      <c r="AN1093" s="159"/>
      <c r="AO1093" s="160"/>
      <c r="AP1093" s="161"/>
      <c r="AQ1093" s="160"/>
      <c r="AR1093" s="160"/>
      <c r="AS1093" s="160"/>
      <c r="AT1093" s="160"/>
      <c r="AU1093" s="160"/>
      <c r="AV1093" s="160"/>
      <c r="AW1093" s="160"/>
      <c r="AX1093" s="160"/>
      <c r="AY1093" s="160"/>
      <c r="AZ1093" s="160">
        <v>600</v>
      </c>
      <c r="BA1093" s="160">
        <f>600*56000</f>
        <v>33600000</v>
      </c>
      <c r="BB1093" s="160"/>
      <c r="BC1093" s="160"/>
      <c r="BD1093" s="160"/>
      <c r="BE1093" s="160"/>
      <c r="BF1093" s="160"/>
      <c r="BG1093" s="160"/>
      <c r="BH1093" s="160"/>
      <c r="BI1093" s="160"/>
      <c r="BJ1093" s="160"/>
      <c r="BK1093" s="160"/>
      <c r="BL1093" s="160"/>
      <c r="BM1093" s="160"/>
      <c r="BN1093" s="160"/>
      <c r="BO1093" s="160"/>
      <c r="BP1093" s="160"/>
      <c r="BQ1093" s="160"/>
      <c r="BR1093" s="160"/>
      <c r="BS1093" s="160"/>
      <c r="BT1093" s="160"/>
      <c r="BU1093" s="160"/>
      <c r="BV1093" s="160"/>
      <c r="BW1093" s="160"/>
      <c r="BX1093" s="160"/>
      <c r="BY1093" s="160"/>
      <c r="BZ1093" s="160"/>
      <c r="CA1093" s="160"/>
      <c r="CB1093" s="160"/>
      <c r="CC1093" s="160"/>
      <c r="CD1093" s="160"/>
      <c r="CE1093" s="160"/>
      <c r="CF1093" s="160"/>
      <c r="CG1093" s="160"/>
      <c r="CH1093" s="160"/>
      <c r="CI1093" s="160"/>
      <c r="CJ1093" s="160"/>
      <c r="CK1093" s="160"/>
      <c r="CL1093" s="160"/>
      <c r="CM1093" s="160"/>
      <c r="CN1093" s="160"/>
      <c r="CO1093" s="160"/>
      <c r="CP1093" s="162">
        <v>600</v>
      </c>
      <c r="CQ1093" s="163">
        <f>600*37000</f>
        <v>22200000</v>
      </c>
      <c r="CR1093" s="162"/>
      <c r="CS1093" s="163"/>
      <c r="CT1093" s="162"/>
      <c r="CU1093" s="163"/>
      <c r="CV1093" s="164">
        <f t="shared" si="149"/>
        <v>55800000</v>
      </c>
      <c r="CW1093" s="165"/>
      <c r="CX1093" s="166"/>
      <c r="CY1093" s="167">
        <f>600+600</f>
        <v>1200</v>
      </c>
      <c r="CZ1093" s="168">
        <f>600*85000+600*85000</f>
        <v>102000000</v>
      </c>
      <c r="DA1093" s="169"/>
      <c r="DB1093" s="168"/>
      <c r="DC1093" s="165"/>
      <c r="DD1093" s="166"/>
      <c r="DE1093" s="71"/>
      <c r="DF1093" s="170"/>
      <c r="EO1093" s="353" t="str">
        <f t="shared" si="143"/>
        <v>SUCRE_COROZAL</v>
      </c>
      <c r="EP1093" s="350"/>
      <c r="EQ1093" s="350" t="s">
        <v>4660</v>
      </c>
      <c r="ER1093" s="358" t="s">
        <v>3682</v>
      </c>
      <c r="ES1093" s="350" t="s">
        <v>3701</v>
      </c>
      <c r="ET1093" s="350" t="s">
        <v>3702</v>
      </c>
      <c r="EU1093" s="350" t="str">
        <f t="shared" si="145"/>
        <v>Amazonas_Tarapaca (CD)</v>
      </c>
    </row>
    <row r="1094" spans="1:151" s="171" customFormat="1" ht="38.25" x14ac:dyDescent="0.2">
      <c r="A1094" s="246">
        <v>40426</v>
      </c>
      <c r="B1094" s="279" t="s">
        <v>2401</v>
      </c>
      <c r="C1094" s="279" t="s">
        <v>2135</v>
      </c>
      <c r="D1094" s="434" t="s">
        <v>2209</v>
      </c>
      <c r="E1094" s="107" t="str">
        <f>VLOOKUP(B1094&amp;C1094,Divipola!$C$2:$F$1138,4,FALSE)</f>
        <v>05649</v>
      </c>
      <c r="F1094" s="336"/>
      <c r="G1094" s="221"/>
      <c r="H1094" s="157"/>
      <c r="I1094" s="157"/>
      <c r="J1094" s="157">
        <v>36</v>
      </c>
      <c r="K1094" s="157">
        <v>14</v>
      </c>
      <c r="L1094" s="157"/>
      <c r="M1094" s="157">
        <v>13</v>
      </c>
      <c r="N1094" s="157"/>
      <c r="O1094" s="157"/>
      <c r="P1094" s="157"/>
      <c r="Q1094" s="157"/>
      <c r="R1094" s="157"/>
      <c r="S1094" s="157"/>
      <c r="T1094" s="157">
        <v>2</v>
      </c>
      <c r="U1094" s="157"/>
      <c r="V1094" s="158"/>
      <c r="W1094" s="182"/>
      <c r="X1094" s="1"/>
      <c r="Y1094" s="78">
        <f t="shared" si="146"/>
        <v>0</v>
      </c>
      <c r="Z1094" s="78">
        <f t="shared" si="147"/>
        <v>0</v>
      </c>
      <c r="AA1094" s="78">
        <f t="shared" si="144"/>
        <v>0</v>
      </c>
      <c r="AB1094" s="78">
        <f t="shared" si="148"/>
        <v>0</v>
      </c>
      <c r="AC1094" s="78"/>
      <c r="AD1094" s="78">
        <v>0</v>
      </c>
      <c r="AE1094" s="80">
        <f t="shared" si="141"/>
        <v>0</v>
      </c>
      <c r="AF1094" s="82">
        <v>0</v>
      </c>
      <c r="AG1094" s="69">
        <v>40428</v>
      </c>
      <c r="AH1094" s="84"/>
      <c r="AI1094" s="69" t="s">
        <v>1984</v>
      </c>
      <c r="AJ1094" s="25" t="s">
        <v>1985</v>
      </c>
      <c r="AK1094" s="65"/>
      <c r="AL1094" s="176" t="s">
        <v>1257</v>
      </c>
      <c r="AM1094" s="173" t="s">
        <v>659</v>
      </c>
      <c r="AN1094" s="159"/>
      <c r="AO1094" s="160"/>
      <c r="AP1094" s="161"/>
      <c r="AQ1094" s="160"/>
      <c r="AR1094" s="160"/>
      <c r="AS1094" s="160"/>
      <c r="AT1094" s="160"/>
      <c r="AU1094" s="160"/>
      <c r="AV1094" s="160"/>
      <c r="AW1094" s="160"/>
      <c r="AX1094" s="160"/>
      <c r="AY1094" s="160"/>
      <c r="AZ1094" s="160"/>
      <c r="BA1094" s="160"/>
      <c r="BB1094" s="160"/>
      <c r="BC1094" s="160"/>
      <c r="BD1094" s="160"/>
      <c r="BE1094" s="160"/>
      <c r="BF1094" s="160"/>
      <c r="BG1094" s="160"/>
      <c r="BH1094" s="160"/>
      <c r="BI1094" s="160"/>
      <c r="BJ1094" s="160"/>
      <c r="BK1094" s="160"/>
      <c r="BL1094" s="160"/>
      <c r="BM1094" s="160"/>
      <c r="BN1094" s="160"/>
      <c r="BO1094" s="160"/>
      <c r="BP1094" s="160"/>
      <c r="BQ1094" s="160"/>
      <c r="BR1094" s="160"/>
      <c r="BS1094" s="160"/>
      <c r="BT1094" s="160"/>
      <c r="BU1094" s="160"/>
      <c r="BV1094" s="160"/>
      <c r="BW1094" s="160"/>
      <c r="BX1094" s="160"/>
      <c r="BY1094" s="160"/>
      <c r="BZ1094" s="160"/>
      <c r="CA1094" s="160"/>
      <c r="CB1094" s="160"/>
      <c r="CC1094" s="160"/>
      <c r="CD1094" s="160"/>
      <c r="CE1094" s="160"/>
      <c r="CF1094" s="160"/>
      <c r="CG1094" s="160"/>
      <c r="CH1094" s="160"/>
      <c r="CI1094" s="160"/>
      <c r="CJ1094" s="160"/>
      <c r="CK1094" s="160"/>
      <c r="CL1094" s="160"/>
      <c r="CM1094" s="160"/>
      <c r="CN1094" s="160"/>
      <c r="CO1094" s="160"/>
      <c r="CP1094" s="162"/>
      <c r="CQ1094" s="163"/>
      <c r="CR1094" s="162"/>
      <c r="CS1094" s="163"/>
      <c r="CT1094" s="162"/>
      <c r="CU1094" s="163"/>
      <c r="CV1094" s="164">
        <f t="shared" si="149"/>
        <v>0</v>
      </c>
      <c r="CW1094" s="165"/>
      <c r="CX1094" s="166"/>
      <c r="CY1094" s="167"/>
      <c r="CZ1094" s="168"/>
      <c r="DA1094" s="169"/>
      <c r="DB1094" s="168"/>
      <c r="DC1094" s="165"/>
      <c r="DD1094" s="166"/>
      <c r="DE1094" s="71"/>
      <c r="DF1094" s="170"/>
      <c r="EO1094" s="353" t="str">
        <f t="shared" si="143"/>
        <v>ANTIOQUIA_SAN CARLOS</v>
      </c>
      <c r="EP1094" s="350"/>
      <c r="EQ1094" s="350" t="s">
        <v>4662</v>
      </c>
      <c r="ER1094" s="358" t="s">
        <v>3703</v>
      </c>
      <c r="ES1094" s="350" t="s">
        <v>5766</v>
      </c>
      <c r="ET1094" s="350" t="s">
        <v>3704</v>
      </c>
      <c r="EU1094" s="350" t="str">
        <f t="shared" si="145"/>
        <v>Guainia_Inirida</v>
      </c>
    </row>
    <row r="1095" spans="1:151" s="171" customFormat="1" ht="38.25" x14ac:dyDescent="0.2">
      <c r="A1095" s="242">
        <v>40426</v>
      </c>
      <c r="B1095" s="236" t="s">
        <v>708</v>
      </c>
      <c r="C1095" s="236" t="s">
        <v>2328</v>
      </c>
      <c r="D1095" s="433" t="s">
        <v>837</v>
      </c>
      <c r="E1095" s="107" t="str">
        <f>VLOOKUP(B1095&amp;C1095,Divipola!$C$2:$F$1138,4,FALSE)</f>
        <v>50001</v>
      </c>
      <c r="F1095" s="335"/>
      <c r="G1095" s="221"/>
      <c r="H1095" s="157"/>
      <c r="I1095" s="157"/>
      <c r="J1095" s="157">
        <v>100</v>
      </c>
      <c r="K1095" s="157">
        <v>20</v>
      </c>
      <c r="L1095" s="157"/>
      <c r="M1095" s="157">
        <v>20</v>
      </c>
      <c r="N1095" s="157"/>
      <c r="O1095" s="157"/>
      <c r="P1095" s="157"/>
      <c r="Q1095" s="157"/>
      <c r="R1095" s="157"/>
      <c r="S1095" s="157"/>
      <c r="T1095" s="157"/>
      <c r="U1095" s="157"/>
      <c r="V1095" s="158"/>
      <c r="W1095" s="182"/>
      <c r="X1095" s="1"/>
      <c r="Y1095" s="78">
        <f t="shared" si="146"/>
        <v>0</v>
      </c>
      <c r="Z1095" s="78">
        <f t="shared" si="147"/>
        <v>0</v>
      </c>
      <c r="AA1095" s="78">
        <f t="shared" si="144"/>
        <v>0</v>
      </c>
      <c r="AB1095" s="78">
        <f t="shared" si="148"/>
        <v>0</v>
      </c>
      <c r="AC1095" s="78"/>
      <c r="AD1095" s="78">
        <v>0</v>
      </c>
      <c r="AE1095" s="80">
        <f t="shared" si="141"/>
        <v>0</v>
      </c>
      <c r="AF1095" s="82">
        <v>0</v>
      </c>
      <c r="AG1095" s="69">
        <v>40428</v>
      </c>
      <c r="AH1095" s="84"/>
      <c r="AI1095" s="69" t="s">
        <v>1984</v>
      </c>
      <c r="AJ1095" s="25" t="s">
        <v>1985</v>
      </c>
      <c r="AK1095" s="65"/>
      <c r="AL1095" s="176" t="s">
        <v>1257</v>
      </c>
      <c r="AM1095" s="173" t="s">
        <v>660</v>
      </c>
      <c r="AN1095" s="159"/>
      <c r="AO1095" s="160"/>
      <c r="AP1095" s="161"/>
      <c r="AQ1095" s="160"/>
      <c r="AR1095" s="160"/>
      <c r="AS1095" s="160"/>
      <c r="AT1095" s="160"/>
      <c r="AU1095" s="160"/>
      <c r="AV1095" s="160"/>
      <c r="AW1095" s="160"/>
      <c r="AX1095" s="160"/>
      <c r="AY1095" s="160"/>
      <c r="AZ1095" s="160"/>
      <c r="BA1095" s="160"/>
      <c r="BB1095" s="160"/>
      <c r="BC1095" s="160"/>
      <c r="BD1095" s="160"/>
      <c r="BE1095" s="160"/>
      <c r="BF1095" s="160"/>
      <c r="BG1095" s="160"/>
      <c r="BH1095" s="160"/>
      <c r="BI1095" s="160"/>
      <c r="BJ1095" s="160"/>
      <c r="BK1095" s="160"/>
      <c r="BL1095" s="160"/>
      <c r="BM1095" s="160"/>
      <c r="BN1095" s="160"/>
      <c r="BO1095" s="160"/>
      <c r="BP1095" s="160"/>
      <c r="BQ1095" s="160"/>
      <c r="BR1095" s="160"/>
      <c r="BS1095" s="160"/>
      <c r="BT1095" s="160"/>
      <c r="BU1095" s="160"/>
      <c r="BV1095" s="160"/>
      <c r="BW1095" s="160"/>
      <c r="BX1095" s="160"/>
      <c r="BY1095" s="160"/>
      <c r="BZ1095" s="160"/>
      <c r="CA1095" s="160"/>
      <c r="CB1095" s="160"/>
      <c r="CC1095" s="160"/>
      <c r="CD1095" s="160"/>
      <c r="CE1095" s="160"/>
      <c r="CF1095" s="160"/>
      <c r="CG1095" s="160"/>
      <c r="CH1095" s="160"/>
      <c r="CI1095" s="160"/>
      <c r="CJ1095" s="160"/>
      <c r="CK1095" s="160"/>
      <c r="CL1095" s="160"/>
      <c r="CM1095" s="160"/>
      <c r="CN1095" s="160"/>
      <c r="CO1095" s="160"/>
      <c r="CP1095" s="162"/>
      <c r="CQ1095" s="163"/>
      <c r="CR1095" s="162"/>
      <c r="CS1095" s="163"/>
      <c r="CT1095" s="162"/>
      <c r="CU1095" s="163"/>
      <c r="CV1095" s="164">
        <f t="shared" si="149"/>
        <v>0</v>
      </c>
      <c r="CW1095" s="165"/>
      <c r="CX1095" s="166"/>
      <c r="CY1095" s="167"/>
      <c r="CZ1095" s="168"/>
      <c r="DA1095" s="169"/>
      <c r="DB1095" s="168"/>
      <c r="DC1095" s="165"/>
      <c r="DD1095" s="166"/>
      <c r="DE1095" s="71"/>
      <c r="DF1095" s="170"/>
      <c r="EO1095" s="353" t="str">
        <f t="shared" si="143"/>
        <v>META_VILLAVICENCIO</v>
      </c>
      <c r="EP1095" s="350"/>
      <c r="EQ1095" s="350" t="s">
        <v>4662</v>
      </c>
      <c r="ER1095" s="358" t="s">
        <v>3703</v>
      </c>
      <c r="ES1095" s="350" t="s">
        <v>3705</v>
      </c>
      <c r="ET1095" s="350" t="s">
        <v>3706</v>
      </c>
      <c r="EU1095" s="350" t="str">
        <f t="shared" si="145"/>
        <v>Guainia_Barranco Minas (CD)</v>
      </c>
    </row>
    <row r="1096" spans="1:151" s="171" customFormat="1" ht="38.25" x14ac:dyDescent="0.2">
      <c r="A1096" s="242">
        <v>40426</v>
      </c>
      <c r="B1096" s="107" t="s">
        <v>2012</v>
      </c>
      <c r="C1096" s="236" t="s">
        <v>2183</v>
      </c>
      <c r="D1096" s="427" t="s">
        <v>2307</v>
      </c>
      <c r="E1096" s="107" t="str">
        <f>VLOOKUP(B1096&amp;C1096,Divipola!$C$2:$F$1138,4,FALSE)</f>
        <v>66088</v>
      </c>
      <c r="F1096" s="330"/>
      <c r="G1096" s="221"/>
      <c r="H1096" s="157"/>
      <c r="I1096" s="157"/>
      <c r="J1096" s="157"/>
      <c r="K1096" s="157"/>
      <c r="L1096" s="157"/>
      <c r="M1096" s="157"/>
      <c r="N1096" s="157">
        <v>11</v>
      </c>
      <c r="O1096" s="157">
        <v>7</v>
      </c>
      <c r="P1096" s="157"/>
      <c r="Q1096" s="157"/>
      <c r="R1096" s="157"/>
      <c r="S1096" s="157"/>
      <c r="T1096" s="157"/>
      <c r="U1096" s="157"/>
      <c r="V1096" s="158"/>
      <c r="W1096" s="182"/>
      <c r="X1096" s="1"/>
      <c r="Y1096" s="78">
        <f t="shared" si="146"/>
        <v>0</v>
      </c>
      <c r="Z1096" s="78">
        <f t="shared" si="147"/>
        <v>0</v>
      </c>
      <c r="AA1096" s="78">
        <f t="shared" si="144"/>
        <v>0</v>
      </c>
      <c r="AB1096" s="78">
        <f t="shared" si="148"/>
        <v>0</v>
      </c>
      <c r="AC1096" s="78"/>
      <c r="AD1096" s="78">
        <v>0</v>
      </c>
      <c r="AE1096" s="80">
        <f t="shared" si="141"/>
        <v>0</v>
      </c>
      <c r="AF1096" s="82">
        <v>0</v>
      </c>
      <c r="AG1096" s="69">
        <v>40428</v>
      </c>
      <c r="AH1096" s="84"/>
      <c r="AI1096" s="69" t="s">
        <v>1984</v>
      </c>
      <c r="AJ1096" s="25" t="s">
        <v>1985</v>
      </c>
      <c r="AK1096" s="65"/>
      <c r="AL1096" s="176" t="s">
        <v>1257</v>
      </c>
      <c r="AM1096" s="173" t="s">
        <v>661</v>
      </c>
      <c r="AN1096" s="159"/>
      <c r="AO1096" s="160"/>
      <c r="AP1096" s="161"/>
      <c r="AQ1096" s="160"/>
      <c r="AR1096" s="160"/>
      <c r="AS1096" s="160"/>
      <c r="AT1096" s="160"/>
      <c r="AU1096" s="160"/>
      <c r="AV1096" s="160"/>
      <c r="AW1096" s="160"/>
      <c r="AX1096" s="160"/>
      <c r="AY1096" s="160"/>
      <c r="AZ1096" s="160"/>
      <c r="BA1096" s="160"/>
      <c r="BB1096" s="160"/>
      <c r="BC1096" s="160"/>
      <c r="BD1096" s="160"/>
      <c r="BE1096" s="160"/>
      <c r="BF1096" s="160"/>
      <c r="BG1096" s="160"/>
      <c r="BH1096" s="160"/>
      <c r="BI1096" s="160"/>
      <c r="BJ1096" s="160"/>
      <c r="BK1096" s="160"/>
      <c r="BL1096" s="160"/>
      <c r="BM1096" s="160"/>
      <c r="BN1096" s="160"/>
      <c r="BO1096" s="160"/>
      <c r="BP1096" s="160"/>
      <c r="BQ1096" s="160"/>
      <c r="BR1096" s="160"/>
      <c r="BS1096" s="160"/>
      <c r="BT1096" s="160"/>
      <c r="BU1096" s="160"/>
      <c r="BV1096" s="160"/>
      <c r="BW1096" s="160"/>
      <c r="BX1096" s="160"/>
      <c r="BY1096" s="160"/>
      <c r="BZ1096" s="160"/>
      <c r="CA1096" s="160"/>
      <c r="CB1096" s="160"/>
      <c r="CC1096" s="160"/>
      <c r="CD1096" s="160"/>
      <c r="CE1096" s="160"/>
      <c r="CF1096" s="160"/>
      <c r="CG1096" s="160"/>
      <c r="CH1096" s="160"/>
      <c r="CI1096" s="160"/>
      <c r="CJ1096" s="160"/>
      <c r="CK1096" s="160"/>
      <c r="CL1096" s="160"/>
      <c r="CM1096" s="160"/>
      <c r="CN1096" s="160"/>
      <c r="CO1096" s="160"/>
      <c r="CP1096" s="162"/>
      <c r="CQ1096" s="163"/>
      <c r="CR1096" s="162"/>
      <c r="CS1096" s="163"/>
      <c r="CT1096" s="162"/>
      <c r="CU1096" s="163"/>
      <c r="CV1096" s="164">
        <f t="shared" si="149"/>
        <v>0</v>
      </c>
      <c r="CW1096" s="165"/>
      <c r="CX1096" s="166"/>
      <c r="CY1096" s="167"/>
      <c r="CZ1096" s="168"/>
      <c r="DA1096" s="169"/>
      <c r="DB1096" s="168"/>
      <c r="DC1096" s="165"/>
      <c r="DD1096" s="166"/>
      <c r="DE1096" s="71"/>
      <c r="DF1096" s="170"/>
      <c r="EO1096" s="353" t="str">
        <f t="shared" si="143"/>
        <v>RISARALDA_BELEN DE UMBRIA</v>
      </c>
      <c r="EP1096" s="350"/>
      <c r="EQ1096" s="350" t="s">
        <v>4662</v>
      </c>
      <c r="ER1096" s="358" t="s">
        <v>3703</v>
      </c>
      <c r="ES1096" s="350" t="s">
        <v>3707</v>
      </c>
      <c r="ET1096" s="350" t="s">
        <v>3708</v>
      </c>
      <c r="EU1096" s="350" t="str">
        <f t="shared" si="145"/>
        <v>Guainia_Mapiripana (CD)</v>
      </c>
    </row>
    <row r="1097" spans="1:151" s="171" customFormat="1" ht="153" x14ac:dyDescent="0.2">
      <c r="A1097" s="242">
        <v>40426</v>
      </c>
      <c r="B1097" s="236" t="s">
        <v>2427</v>
      </c>
      <c r="C1097" s="222" t="s">
        <v>651</v>
      </c>
      <c r="D1097" s="430" t="s">
        <v>650</v>
      </c>
      <c r="E1097" s="107" t="e">
        <f>VLOOKUP(B1097&amp;C1097,Divipola!$C$2:$F$1138,4,FALSE)</f>
        <v>#N/A</v>
      </c>
      <c r="F1097" s="333"/>
      <c r="G1097" s="221"/>
      <c r="H1097" s="157"/>
      <c r="I1097" s="157"/>
      <c r="J1097" s="157"/>
      <c r="K1097" s="157"/>
      <c r="L1097" s="157"/>
      <c r="M1097" s="157"/>
      <c r="N1097" s="157"/>
      <c r="O1097" s="157"/>
      <c r="P1097" s="157"/>
      <c r="Q1097" s="157"/>
      <c r="R1097" s="157"/>
      <c r="S1097" s="157"/>
      <c r="T1097" s="157"/>
      <c r="U1097" s="157"/>
      <c r="V1097" s="158"/>
      <c r="W1097" s="182"/>
      <c r="X1097" s="1"/>
      <c r="Y1097" s="78">
        <f t="shared" si="146"/>
        <v>0</v>
      </c>
      <c r="Z1097" s="78">
        <f t="shared" si="147"/>
        <v>0</v>
      </c>
      <c r="AA1097" s="78">
        <f t="shared" si="144"/>
        <v>0</v>
      </c>
      <c r="AB1097" s="78">
        <f t="shared" si="148"/>
        <v>0</v>
      </c>
      <c r="AC1097" s="78"/>
      <c r="AD1097" s="78">
        <v>0</v>
      </c>
      <c r="AE1097" s="80">
        <f t="shared" ref="AE1097:AE1160" si="150">Y1097+Z1097+AA1097+AB1097+AC1097+AD1097</f>
        <v>0</v>
      </c>
      <c r="AF1097" s="82">
        <v>0</v>
      </c>
      <c r="AG1097" s="69">
        <v>40428</v>
      </c>
      <c r="AH1097" s="84"/>
      <c r="AI1097" s="69" t="s">
        <v>1984</v>
      </c>
      <c r="AJ1097" s="25" t="s">
        <v>1985</v>
      </c>
      <c r="AK1097" s="65"/>
      <c r="AL1097" s="176" t="s">
        <v>1257</v>
      </c>
      <c r="AM1097" s="173" t="s">
        <v>656</v>
      </c>
      <c r="AN1097" s="159"/>
      <c r="AO1097" s="160"/>
      <c r="AP1097" s="161"/>
      <c r="AQ1097" s="160"/>
      <c r="AR1097" s="160"/>
      <c r="AS1097" s="160"/>
      <c r="AT1097" s="160"/>
      <c r="AU1097" s="160"/>
      <c r="AV1097" s="160"/>
      <c r="AW1097" s="160"/>
      <c r="AX1097" s="160"/>
      <c r="AY1097" s="160"/>
      <c r="AZ1097" s="160"/>
      <c r="BA1097" s="160"/>
      <c r="BB1097" s="160"/>
      <c r="BC1097" s="160"/>
      <c r="BD1097" s="160"/>
      <c r="BE1097" s="160"/>
      <c r="BF1097" s="160"/>
      <c r="BG1097" s="160"/>
      <c r="BH1097" s="160"/>
      <c r="BI1097" s="160"/>
      <c r="BJ1097" s="160"/>
      <c r="BK1097" s="160"/>
      <c r="BL1097" s="160"/>
      <c r="BM1097" s="160"/>
      <c r="BN1097" s="160"/>
      <c r="BO1097" s="160"/>
      <c r="BP1097" s="160"/>
      <c r="BQ1097" s="160"/>
      <c r="BR1097" s="160"/>
      <c r="BS1097" s="160"/>
      <c r="BT1097" s="160"/>
      <c r="BU1097" s="160"/>
      <c r="BV1097" s="160"/>
      <c r="BW1097" s="160"/>
      <c r="BX1097" s="160"/>
      <c r="BY1097" s="160"/>
      <c r="BZ1097" s="160"/>
      <c r="CA1097" s="160"/>
      <c r="CB1097" s="160"/>
      <c r="CC1097" s="160"/>
      <c r="CD1097" s="160"/>
      <c r="CE1097" s="160"/>
      <c r="CF1097" s="160"/>
      <c r="CG1097" s="160"/>
      <c r="CH1097" s="160"/>
      <c r="CI1097" s="160"/>
      <c r="CJ1097" s="160"/>
      <c r="CK1097" s="160"/>
      <c r="CL1097" s="160"/>
      <c r="CM1097" s="160"/>
      <c r="CN1097" s="160"/>
      <c r="CO1097" s="160"/>
      <c r="CP1097" s="162"/>
      <c r="CQ1097" s="163"/>
      <c r="CR1097" s="162"/>
      <c r="CS1097" s="163"/>
      <c r="CT1097" s="162"/>
      <c r="CU1097" s="163"/>
      <c r="CV1097" s="164">
        <f t="shared" si="149"/>
        <v>0</v>
      </c>
      <c r="CW1097" s="165"/>
      <c r="CX1097" s="166"/>
      <c r="CY1097" s="167"/>
      <c r="CZ1097" s="168"/>
      <c r="DA1097" s="169"/>
      <c r="DB1097" s="168"/>
      <c r="DC1097" s="165"/>
      <c r="DD1097" s="166"/>
      <c r="DE1097" s="71"/>
      <c r="DF1097" s="170"/>
      <c r="EO1097" s="353" t="str">
        <f t="shared" si="143"/>
        <v>SANTANDER_BUCARAMANGA, LOS SANTOS, SAN ANDRES, SAN JIOAQUIN, MOGOTES, ONZAGA, PINCHOTE</v>
      </c>
      <c r="EP1097" s="350"/>
      <c r="EQ1097" s="350" t="s">
        <v>4662</v>
      </c>
      <c r="ER1097" s="358" t="s">
        <v>3703</v>
      </c>
      <c r="ES1097" s="350" t="s">
        <v>3709</v>
      </c>
      <c r="ET1097" s="350" t="s">
        <v>3710</v>
      </c>
      <c r="EU1097" s="350" t="str">
        <f t="shared" si="145"/>
        <v>Guainia_San Felipe (CD)</v>
      </c>
    </row>
    <row r="1098" spans="1:151" s="171" customFormat="1" ht="51" x14ac:dyDescent="0.2">
      <c r="A1098" s="242">
        <v>40427</v>
      </c>
      <c r="B1098" s="236" t="s">
        <v>2401</v>
      </c>
      <c r="C1098" s="236" t="s">
        <v>1253</v>
      </c>
      <c r="D1098" s="433" t="s">
        <v>2352</v>
      </c>
      <c r="E1098" s="107" t="str">
        <f>VLOOKUP(B1098&amp;C1098,Divipola!$C$2:$F$1138,4,FALSE)</f>
        <v>05495</v>
      </c>
      <c r="F1098" s="335"/>
      <c r="G1098" s="221"/>
      <c r="H1098" s="157"/>
      <c r="I1098" s="157"/>
      <c r="J1098" s="157">
        <v>70</v>
      </c>
      <c r="K1098" s="157">
        <v>14</v>
      </c>
      <c r="L1098" s="157"/>
      <c r="M1098" s="157">
        <v>14</v>
      </c>
      <c r="N1098" s="157"/>
      <c r="O1098" s="157"/>
      <c r="P1098" s="157"/>
      <c r="Q1098" s="157"/>
      <c r="R1098" s="157"/>
      <c r="S1098" s="157"/>
      <c r="T1098" s="157"/>
      <c r="U1098" s="157"/>
      <c r="V1098" s="158"/>
      <c r="W1098" s="182"/>
      <c r="X1098" s="1"/>
      <c r="Y1098" s="78">
        <f t="shared" si="146"/>
        <v>0</v>
      </c>
      <c r="Z1098" s="78">
        <f t="shared" si="147"/>
        <v>0</v>
      </c>
      <c r="AA1098" s="78">
        <f t="shared" si="144"/>
        <v>0</v>
      </c>
      <c r="AB1098" s="78">
        <f t="shared" si="148"/>
        <v>0</v>
      </c>
      <c r="AC1098" s="78"/>
      <c r="AD1098" s="78">
        <v>0</v>
      </c>
      <c r="AE1098" s="80">
        <f t="shared" si="150"/>
        <v>0</v>
      </c>
      <c r="AF1098" s="82">
        <v>0</v>
      </c>
      <c r="AG1098" s="69">
        <v>40429</v>
      </c>
      <c r="AH1098" s="84"/>
      <c r="AI1098" s="69" t="s">
        <v>1984</v>
      </c>
      <c r="AJ1098" s="25" t="s">
        <v>1985</v>
      </c>
      <c r="AK1098" s="65"/>
      <c r="AL1098" s="176" t="s">
        <v>1257</v>
      </c>
      <c r="AM1098" s="173" t="s">
        <v>670</v>
      </c>
      <c r="AN1098" s="159"/>
      <c r="AO1098" s="160"/>
      <c r="AP1098" s="161"/>
      <c r="AQ1098" s="160"/>
      <c r="AR1098" s="160"/>
      <c r="AS1098" s="160"/>
      <c r="AT1098" s="160"/>
      <c r="AU1098" s="160"/>
      <c r="AV1098" s="160"/>
      <c r="AW1098" s="160"/>
      <c r="AX1098" s="160"/>
      <c r="AY1098" s="160"/>
      <c r="AZ1098" s="160"/>
      <c r="BA1098" s="160"/>
      <c r="BB1098" s="160"/>
      <c r="BC1098" s="160"/>
      <c r="BD1098" s="160"/>
      <c r="BE1098" s="160"/>
      <c r="BF1098" s="160"/>
      <c r="BG1098" s="160"/>
      <c r="BH1098" s="160"/>
      <c r="BI1098" s="160"/>
      <c r="BJ1098" s="160"/>
      <c r="BK1098" s="160"/>
      <c r="BL1098" s="160"/>
      <c r="BM1098" s="160"/>
      <c r="BN1098" s="160"/>
      <c r="BO1098" s="160"/>
      <c r="BP1098" s="160"/>
      <c r="BQ1098" s="160"/>
      <c r="BR1098" s="160"/>
      <c r="BS1098" s="160"/>
      <c r="BT1098" s="160"/>
      <c r="BU1098" s="160"/>
      <c r="BV1098" s="160"/>
      <c r="BW1098" s="160"/>
      <c r="BX1098" s="160"/>
      <c r="BY1098" s="160"/>
      <c r="BZ1098" s="160"/>
      <c r="CA1098" s="160"/>
      <c r="CB1098" s="160"/>
      <c r="CC1098" s="160"/>
      <c r="CD1098" s="160"/>
      <c r="CE1098" s="160"/>
      <c r="CF1098" s="160"/>
      <c r="CG1098" s="160"/>
      <c r="CH1098" s="160"/>
      <c r="CI1098" s="160"/>
      <c r="CJ1098" s="160"/>
      <c r="CK1098" s="160"/>
      <c r="CL1098" s="160"/>
      <c r="CM1098" s="160"/>
      <c r="CN1098" s="160"/>
      <c r="CO1098" s="160"/>
      <c r="CP1098" s="162"/>
      <c r="CQ1098" s="163"/>
      <c r="CR1098" s="162"/>
      <c r="CS1098" s="163"/>
      <c r="CT1098" s="162"/>
      <c r="CU1098" s="163"/>
      <c r="CV1098" s="164">
        <f t="shared" si="149"/>
        <v>0</v>
      </c>
      <c r="CW1098" s="165"/>
      <c r="CX1098" s="166"/>
      <c r="CY1098" s="167"/>
      <c r="CZ1098" s="168"/>
      <c r="DA1098" s="169"/>
      <c r="DB1098" s="168"/>
      <c r="DC1098" s="165"/>
      <c r="DD1098" s="166"/>
      <c r="DE1098" s="71"/>
      <c r="DF1098" s="170">
        <v>1265</v>
      </c>
      <c r="EO1098" s="353" t="str">
        <f t="shared" si="143"/>
        <v>ANTIOQUIA_NECHI</v>
      </c>
      <c r="EP1098" s="350"/>
      <c r="EQ1098" s="350" t="s">
        <v>4662</v>
      </c>
      <c r="ER1098" s="358" t="s">
        <v>3703</v>
      </c>
      <c r="ES1098" s="350" t="s">
        <v>3711</v>
      </c>
      <c r="ET1098" s="350" t="s">
        <v>3712</v>
      </c>
      <c r="EU1098" s="350" t="str">
        <f t="shared" si="145"/>
        <v>Guainia_Puerto Colombia (CD)</v>
      </c>
    </row>
    <row r="1099" spans="1:151" s="171" customFormat="1" ht="38.25" x14ac:dyDescent="0.2">
      <c r="A1099" s="242">
        <v>40427</v>
      </c>
      <c r="B1099" s="236" t="s">
        <v>1951</v>
      </c>
      <c r="C1099" s="236" t="s">
        <v>158</v>
      </c>
      <c r="D1099" s="433" t="s">
        <v>2209</v>
      </c>
      <c r="E1099" s="107" t="str">
        <f>VLOOKUP(B1099&amp;C1099,Divipola!$C$2:$F$1138,4,FALSE)</f>
        <v>08573</v>
      </c>
      <c r="F1099" s="335"/>
      <c r="G1099" s="221"/>
      <c r="H1099" s="157"/>
      <c r="I1099" s="157"/>
      <c r="J1099" s="157">
        <f>225*5</f>
        <v>1125</v>
      </c>
      <c r="K1099" s="157">
        <v>225</v>
      </c>
      <c r="L1099" s="157"/>
      <c r="M1099" s="157">
        <v>225</v>
      </c>
      <c r="N1099" s="157"/>
      <c r="O1099" s="157"/>
      <c r="P1099" s="157"/>
      <c r="Q1099" s="157"/>
      <c r="R1099" s="157"/>
      <c r="S1099" s="157"/>
      <c r="T1099" s="157"/>
      <c r="U1099" s="157"/>
      <c r="V1099" s="158"/>
      <c r="W1099" s="182"/>
      <c r="X1099" s="1"/>
      <c r="Y1099" s="78">
        <f t="shared" si="146"/>
        <v>0</v>
      </c>
      <c r="Z1099" s="78">
        <f t="shared" si="147"/>
        <v>0</v>
      </c>
      <c r="AA1099" s="78">
        <f t="shared" si="144"/>
        <v>0</v>
      </c>
      <c r="AB1099" s="78">
        <f t="shared" si="148"/>
        <v>0</v>
      </c>
      <c r="AC1099" s="78"/>
      <c r="AD1099" s="78">
        <v>0</v>
      </c>
      <c r="AE1099" s="80">
        <f t="shared" si="150"/>
        <v>0</v>
      </c>
      <c r="AF1099" s="82">
        <v>0</v>
      </c>
      <c r="AG1099" s="69">
        <v>40429</v>
      </c>
      <c r="AH1099" s="84"/>
      <c r="AI1099" s="69" t="s">
        <v>1984</v>
      </c>
      <c r="AJ1099" s="25" t="s">
        <v>1985</v>
      </c>
      <c r="AK1099" s="65"/>
      <c r="AL1099" s="176" t="s">
        <v>1257</v>
      </c>
      <c r="AM1099" s="173" t="s">
        <v>1607</v>
      </c>
      <c r="AN1099" s="159"/>
      <c r="AO1099" s="160"/>
      <c r="AP1099" s="161"/>
      <c r="AQ1099" s="160"/>
      <c r="AR1099" s="160"/>
      <c r="AS1099" s="160"/>
      <c r="AT1099" s="160"/>
      <c r="AU1099" s="160"/>
      <c r="AV1099" s="160"/>
      <c r="AW1099" s="160"/>
      <c r="AX1099" s="160"/>
      <c r="AY1099" s="160"/>
      <c r="AZ1099" s="160"/>
      <c r="BA1099" s="160"/>
      <c r="BB1099" s="160"/>
      <c r="BC1099" s="160"/>
      <c r="BD1099" s="160"/>
      <c r="BE1099" s="160"/>
      <c r="BF1099" s="160"/>
      <c r="BG1099" s="160"/>
      <c r="BH1099" s="160"/>
      <c r="BI1099" s="160"/>
      <c r="BJ1099" s="160"/>
      <c r="BK1099" s="160"/>
      <c r="BL1099" s="160"/>
      <c r="BM1099" s="160"/>
      <c r="BN1099" s="160"/>
      <c r="BO1099" s="160"/>
      <c r="BP1099" s="160"/>
      <c r="BQ1099" s="160"/>
      <c r="BR1099" s="160"/>
      <c r="BS1099" s="160"/>
      <c r="BT1099" s="160"/>
      <c r="BU1099" s="160"/>
      <c r="BV1099" s="160"/>
      <c r="BW1099" s="160"/>
      <c r="BX1099" s="160"/>
      <c r="BY1099" s="160"/>
      <c r="BZ1099" s="160"/>
      <c r="CA1099" s="160"/>
      <c r="CB1099" s="160"/>
      <c r="CC1099" s="160"/>
      <c r="CD1099" s="160"/>
      <c r="CE1099" s="160"/>
      <c r="CF1099" s="160"/>
      <c r="CG1099" s="160"/>
      <c r="CH1099" s="160"/>
      <c r="CI1099" s="160"/>
      <c r="CJ1099" s="160"/>
      <c r="CK1099" s="160"/>
      <c r="CL1099" s="160"/>
      <c r="CM1099" s="160"/>
      <c r="CN1099" s="160"/>
      <c r="CO1099" s="160"/>
      <c r="CP1099" s="162"/>
      <c r="CQ1099" s="163"/>
      <c r="CR1099" s="162"/>
      <c r="CS1099" s="163"/>
      <c r="CT1099" s="162"/>
      <c r="CU1099" s="163"/>
      <c r="CV1099" s="164">
        <f t="shared" si="149"/>
        <v>0</v>
      </c>
      <c r="CW1099" s="165"/>
      <c r="CX1099" s="166"/>
      <c r="CY1099" s="167"/>
      <c r="CZ1099" s="168"/>
      <c r="DA1099" s="169"/>
      <c r="DB1099" s="168"/>
      <c r="DC1099" s="165"/>
      <c r="DD1099" s="166"/>
      <c r="DE1099" s="71"/>
      <c r="DF1099" s="170"/>
      <c r="EO1099" s="353" t="str">
        <f t="shared" si="143"/>
        <v>ATLANTICO_PUERTO COLOMBIA</v>
      </c>
      <c r="EP1099" s="350"/>
      <c r="EQ1099" s="350" t="s">
        <v>4662</v>
      </c>
      <c r="ER1099" s="358" t="s">
        <v>3703</v>
      </c>
      <c r="ES1099" s="350" t="s">
        <v>3713</v>
      </c>
      <c r="ET1099" s="350" t="s">
        <v>3714</v>
      </c>
      <c r="EU1099" s="350" t="str">
        <f t="shared" si="145"/>
        <v>Guainia_La Guadalupe (CD)</v>
      </c>
    </row>
    <row r="1100" spans="1:151" s="171" customFormat="1" ht="25.5" x14ac:dyDescent="0.2">
      <c r="A1100" s="242">
        <v>40427</v>
      </c>
      <c r="B1100" s="236" t="s">
        <v>1719</v>
      </c>
      <c r="C1100" s="107" t="s">
        <v>1720</v>
      </c>
      <c r="D1100" s="433" t="s">
        <v>837</v>
      </c>
      <c r="E1100" s="107" t="str">
        <f>VLOOKUP(B1100&amp;C1100,Divipola!$C$2:$F$1138,4,FALSE)</f>
        <v>19001</v>
      </c>
      <c r="F1100" s="335"/>
      <c r="G1100" s="221"/>
      <c r="H1100" s="157"/>
      <c r="I1100" s="157"/>
      <c r="J1100" s="157">
        <v>10</v>
      </c>
      <c r="K1100" s="157">
        <v>2</v>
      </c>
      <c r="L1100" s="157"/>
      <c r="M1100" s="157">
        <v>2</v>
      </c>
      <c r="N1100" s="157"/>
      <c r="O1100" s="157"/>
      <c r="P1100" s="157"/>
      <c r="Q1100" s="157"/>
      <c r="R1100" s="157"/>
      <c r="S1100" s="157"/>
      <c r="T1100" s="157"/>
      <c r="U1100" s="157"/>
      <c r="V1100" s="158"/>
      <c r="W1100" s="182"/>
      <c r="X1100" s="1"/>
      <c r="Y1100" s="78">
        <f t="shared" si="146"/>
        <v>0</v>
      </c>
      <c r="Z1100" s="78">
        <f t="shared" si="147"/>
        <v>0</v>
      </c>
      <c r="AA1100" s="78">
        <f t="shared" si="144"/>
        <v>0</v>
      </c>
      <c r="AB1100" s="78">
        <f t="shared" si="148"/>
        <v>0</v>
      </c>
      <c r="AC1100" s="78"/>
      <c r="AD1100" s="78">
        <v>0</v>
      </c>
      <c r="AE1100" s="80">
        <f t="shared" si="150"/>
        <v>0</v>
      </c>
      <c r="AF1100" s="82">
        <v>0</v>
      </c>
      <c r="AG1100" s="69">
        <v>40428</v>
      </c>
      <c r="AH1100" s="84"/>
      <c r="AI1100" s="69" t="s">
        <v>1984</v>
      </c>
      <c r="AJ1100" s="25" t="s">
        <v>1985</v>
      </c>
      <c r="AK1100" s="65"/>
      <c r="AL1100" s="176" t="s">
        <v>1257</v>
      </c>
      <c r="AM1100" s="173" t="s">
        <v>662</v>
      </c>
      <c r="AN1100" s="159"/>
      <c r="AO1100" s="160"/>
      <c r="AP1100" s="161"/>
      <c r="AQ1100" s="160"/>
      <c r="AR1100" s="160"/>
      <c r="AS1100" s="160"/>
      <c r="AT1100" s="160"/>
      <c r="AU1100" s="160"/>
      <c r="AV1100" s="160"/>
      <c r="AW1100" s="160"/>
      <c r="AX1100" s="160"/>
      <c r="AY1100" s="160"/>
      <c r="AZ1100" s="160"/>
      <c r="BA1100" s="160"/>
      <c r="BB1100" s="160"/>
      <c r="BC1100" s="160"/>
      <c r="BD1100" s="160"/>
      <c r="BE1100" s="160"/>
      <c r="BF1100" s="160"/>
      <c r="BG1100" s="160"/>
      <c r="BH1100" s="160"/>
      <c r="BI1100" s="160"/>
      <c r="BJ1100" s="160"/>
      <c r="BK1100" s="160"/>
      <c r="BL1100" s="160"/>
      <c r="BM1100" s="160"/>
      <c r="BN1100" s="160"/>
      <c r="BO1100" s="160"/>
      <c r="BP1100" s="160"/>
      <c r="BQ1100" s="160"/>
      <c r="BR1100" s="160"/>
      <c r="BS1100" s="160"/>
      <c r="BT1100" s="160"/>
      <c r="BU1100" s="160"/>
      <c r="BV1100" s="160"/>
      <c r="BW1100" s="160"/>
      <c r="BX1100" s="160"/>
      <c r="BY1100" s="160"/>
      <c r="BZ1100" s="160"/>
      <c r="CA1100" s="160"/>
      <c r="CB1100" s="160"/>
      <c r="CC1100" s="160"/>
      <c r="CD1100" s="160"/>
      <c r="CE1100" s="160"/>
      <c r="CF1100" s="160"/>
      <c r="CG1100" s="160"/>
      <c r="CH1100" s="160"/>
      <c r="CI1100" s="160"/>
      <c r="CJ1100" s="160"/>
      <c r="CK1100" s="160"/>
      <c r="CL1100" s="160"/>
      <c r="CM1100" s="160"/>
      <c r="CN1100" s="160"/>
      <c r="CO1100" s="160"/>
      <c r="CP1100" s="162"/>
      <c r="CQ1100" s="163"/>
      <c r="CR1100" s="162"/>
      <c r="CS1100" s="163"/>
      <c r="CT1100" s="162"/>
      <c r="CU1100" s="163"/>
      <c r="CV1100" s="164">
        <f t="shared" si="149"/>
        <v>0</v>
      </c>
      <c r="CW1100" s="165"/>
      <c r="CX1100" s="166"/>
      <c r="CY1100" s="167"/>
      <c r="CZ1100" s="168"/>
      <c r="DA1100" s="169"/>
      <c r="DB1100" s="168"/>
      <c r="DC1100" s="165"/>
      <c r="DD1100" s="166"/>
      <c r="DE1100" s="71"/>
      <c r="DF1100" s="170"/>
      <c r="EO1100" s="353" t="str">
        <f t="shared" si="143"/>
        <v>CAUCA_POPAYAN</v>
      </c>
      <c r="EP1100" s="350"/>
      <c r="EQ1100" s="350" t="s">
        <v>4662</v>
      </c>
      <c r="ER1100" s="358" t="s">
        <v>3703</v>
      </c>
      <c r="ES1100" s="350" t="s">
        <v>3715</v>
      </c>
      <c r="ET1100" s="350" t="s">
        <v>3716</v>
      </c>
      <c r="EU1100" s="350" t="str">
        <f t="shared" si="145"/>
        <v>Guainia_Cacahual (CD)</v>
      </c>
    </row>
    <row r="1101" spans="1:151" s="171" customFormat="1" ht="48" x14ac:dyDescent="0.2">
      <c r="A1101" s="242">
        <v>40427</v>
      </c>
      <c r="B1101" s="222" t="s">
        <v>2425</v>
      </c>
      <c r="C1101" s="222" t="s">
        <v>1553</v>
      </c>
      <c r="D1101" s="430" t="s">
        <v>837</v>
      </c>
      <c r="E1101" s="107" t="str">
        <f>VLOOKUP(B1101&amp;C1101,Divipola!$C$2:$F$1138,4,FALSE)</f>
        <v>27787</v>
      </c>
      <c r="F1101" s="333"/>
      <c r="G1101" s="221"/>
      <c r="H1101" s="157"/>
      <c r="I1101" s="157"/>
      <c r="J1101" s="157">
        <v>770</v>
      </c>
      <c r="K1101" s="157">
        <v>297</v>
      </c>
      <c r="L1101" s="157"/>
      <c r="M1101" s="157"/>
      <c r="N1101" s="157"/>
      <c r="O1101" s="157"/>
      <c r="P1101" s="157"/>
      <c r="Q1101" s="157"/>
      <c r="R1101" s="157"/>
      <c r="S1101" s="157"/>
      <c r="T1101" s="157"/>
      <c r="U1101" s="157"/>
      <c r="V1101" s="158"/>
      <c r="W1101" s="182"/>
      <c r="X1101" s="1"/>
      <c r="Y1101" s="78">
        <f t="shared" si="146"/>
        <v>0</v>
      </c>
      <c r="Z1101" s="78">
        <f t="shared" si="147"/>
        <v>0</v>
      </c>
      <c r="AA1101" s="78">
        <f t="shared" si="144"/>
        <v>0</v>
      </c>
      <c r="AB1101" s="78">
        <f t="shared" si="148"/>
        <v>0</v>
      </c>
      <c r="AC1101" s="78"/>
      <c r="AD1101" s="78">
        <v>0</v>
      </c>
      <c r="AE1101" s="80">
        <f t="shared" si="150"/>
        <v>0</v>
      </c>
      <c r="AF1101" s="82">
        <v>0</v>
      </c>
      <c r="AG1101" s="69">
        <v>40444</v>
      </c>
      <c r="AH1101" s="84">
        <v>50748</v>
      </c>
      <c r="AI1101" s="69" t="s">
        <v>1984</v>
      </c>
      <c r="AJ1101" s="25" t="s">
        <v>1985</v>
      </c>
      <c r="AK1101" s="65"/>
      <c r="AL1101" s="176" t="s">
        <v>1257</v>
      </c>
      <c r="AM1101" s="173" t="s">
        <v>1685</v>
      </c>
      <c r="AN1101" s="159"/>
      <c r="AO1101" s="160"/>
      <c r="AP1101" s="161"/>
      <c r="AQ1101" s="160"/>
      <c r="AR1101" s="160"/>
      <c r="AS1101" s="160"/>
      <c r="AT1101" s="160"/>
      <c r="AU1101" s="160"/>
      <c r="AV1101" s="160"/>
      <c r="AW1101" s="160"/>
      <c r="AX1101" s="160"/>
      <c r="AY1101" s="160"/>
      <c r="AZ1101" s="160"/>
      <c r="BA1101" s="160"/>
      <c r="BB1101" s="160"/>
      <c r="BC1101" s="160"/>
      <c r="BD1101" s="160"/>
      <c r="BE1101" s="160"/>
      <c r="BF1101" s="160"/>
      <c r="BG1101" s="160"/>
      <c r="BH1101" s="160"/>
      <c r="BI1101" s="160"/>
      <c r="BJ1101" s="160"/>
      <c r="BK1101" s="160"/>
      <c r="BL1101" s="160"/>
      <c r="BM1101" s="160"/>
      <c r="BN1101" s="160"/>
      <c r="BO1101" s="160"/>
      <c r="BP1101" s="160"/>
      <c r="BQ1101" s="160"/>
      <c r="BR1101" s="160"/>
      <c r="BS1101" s="160"/>
      <c r="BT1101" s="160"/>
      <c r="BU1101" s="160"/>
      <c r="BV1101" s="160"/>
      <c r="BW1101" s="160"/>
      <c r="BX1101" s="160"/>
      <c r="BY1101" s="160"/>
      <c r="BZ1101" s="160"/>
      <c r="CA1101" s="160"/>
      <c r="CB1101" s="160"/>
      <c r="CC1101" s="160"/>
      <c r="CD1101" s="160"/>
      <c r="CE1101" s="160"/>
      <c r="CF1101" s="160"/>
      <c r="CG1101" s="160"/>
      <c r="CH1101" s="160"/>
      <c r="CI1101" s="160"/>
      <c r="CJ1101" s="160"/>
      <c r="CK1101" s="160"/>
      <c r="CL1101" s="160"/>
      <c r="CM1101" s="160"/>
      <c r="CN1101" s="160"/>
      <c r="CO1101" s="160"/>
      <c r="CP1101" s="162"/>
      <c r="CQ1101" s="163"/>
      <c r="CR1101" s="162"/>
      <c r="CS1101" s="163"/>
      <c r="CT1101" s="162"/>
      <c r="CU1101" s="163"/>
      <c r="CV1101" s="8">
        <f t="shared" si="149"/>
        <v>0</v>
      </c>
      <c r="CW1101" s="165"/>
      <c r="CX1101" s="166"/>
      <c r="CY1101" s="167"/>
      <c r="CZ1101" s="274"/>
      <c r="DA1101" s="169"/>
      <c r="DB1101" s="168"/>
      <c r="DC1101" s="165"/>
      <c r="DD1101" s="166"/>
      <c r="DE1101" s="71"/>
      <c r="DF1101" s="170"/>
      <c r="EO1101" s="353" t="str">
        <f t="shared" si="143"/>
        <v>CHOCO_TADO</v>
      </c>
      <c r="EP1101" s="350"/>
      <c r="EQ1101" s="350" t="s">
        <v>4662</v>
      </c>
      <c r="ER1101" s="358" t="s">
        <v>3703</v>
      </c>
      <c r="ES1101" s="350" t="s">
        <v>3717</v>
      </c>
      <c r="ET1101" s="350" t="s">
        <v>3718</v>
      </c>
      <c r="EU1101" s="350" t="str">
        <f t="shared" si="145"/>
        <v>Guainia_Pana Pana (CD)</v>
      </c>
    </row>
    <row r="1102" spans="1:151" s="171" customFormat="1" ht="38.25" x14ac:dyDescent="0.2">
      <c r="A1102" s="242">
        <v>40427</v>
      </c>
      <c r="B1102" s="107" t="s">
        <v>5778</v>
      </c>
      <c r="C1102" s="236" t="s">
        <v>1060</v>
      </c>
      <c r="D1102" s="430" t="s">
        <v>1993</v>
      </c>
      <c r="E1102" s="107" t="str">
        <f>VLOOKUP(B1102&amp;C1102,Divipola!$C$2:$F$1138,4,FALSE)</f>
        <v>44001</v>
      </c>
      <c r="F1102" s="333"/>
      <c r="G1102" s="221">
        <v>1</v>
      </c>
      <c r="H1102" s="157"/>
      <c r="I1102" s="157"/>
      <c r="J1102" s="157"/>
      <c r="K1102" s="157"/>
      <c r="L1102" s="157"/>
      <c r="M1102" s="157"/>
      <c r="N1102" s="157"/>
      <c r="O1102" s="157"/>
      <c r="P1102" s="157"/>
      <c r="Q1102" s="157"/>
      <c r="R1102" s="157"/>
      <c r="S1102" s="157"/>
      <c r="T1102" s="157"/>
      <c r="U1102" s="157"/>
      <c r="V1102" s="158"/>
      <c r="W1102" s="182"/>
      <c r="X1102" s="1"/>
      <c r="Y1102" s="78">
        <f t="shared" si="146"/>
        <v>0</v>
      </c>
      <c r="Z1102" s="78">
        <f t="shared" si="147"/>
        <v>0</v>
      </c>
      <c r="AA1102" s="78">
        <f t="shared" si="144"/>
        <v>0</v>
      </c>
      <c r="AB1102" s="78">
        <f t="shared" si="148"/>
        <v>0</v>
      </c>
      <c r="AC1102" s="78"/>
      <c r="AD1102" s="78">
        <v>0</v>
      </c>
      <c r="AE1102" s="80">
        <f t="shared" si="150"/>
        <v>0</v>
      </c>
      <c r="AF1102" s="82">
        <v>0</v>
      </c>
      <c r="AG1102" s="69">
        <v>40428</v>
      </c>
      <c r="AH1102" s="84"/>
      <c r="AI1102" s="69" t="s">
        <v>1984</v>
      </c>
      <c r="AJ1102" s="25" t="s">
        <v>1985</v>
      </c>
      <c r="AK1102" s="65"/>
      <c r="AL1102" s="176" t="s">
        <v>1257</v>
      </c>
      <c r="AM1102" s="173" t="s">
        <v>665</v>
      </c>
      <c r="AN1102" s="159"/>
      <c r="AO1102" s="160"/>
      <c r="AP1102" s="161"/>
      <c r="AQ1102" s="160"/>
      <c r="AR1102" s="160"/>
      <c r="AS1102" s="160"/>
      <c r="AT1102" s="160"/>
      <c r="AU1102" s="160"/>
      <c r="AV1102" s="160"/>
      <c r="AW1102" s="160"/>
      <c r="AX1102" s="160"/>
      <c r="AY1102" s="160"/>
      <c r="AZ1102" s="160"/>
      <c r="BA1102" s="160"/>
      <c r="BB1102" s="160"/>
      <c r="BC1102" s="160"/>
      <c r="BD1102" s="160"/>
      <c r="BE1102" s="160"/>
      <c r="BF1102" s="160"/>
      <c r="BG1102" s="160"/>
      <c r="BH1102" s="160"/>
      <c r="BI1102" s="160"/>
      <c r="BJ1102" s="160"/>
      <c r="BK1102" s="160"/>
      <c r="BL1102" s="160"/>
      <c r="BM1102" s="160"/>
      <c r="BN1102" s="160"/>
      <c r="BO1102" s="160"/>
      <c r="BP1102" s="160"/>
      <c r="BQ1102" s="160"/>
      <c r="BR1102" s="160"/>
      <c r="BS1102" s="160"/>
      <c r="BT1102" s="160"/>
      <c r="BU1102" s="160"/>
      <c r="BV1102" s="160"/>
      <c r="BW1102" s="160"/>
      <c r="BX1102" s="160"/>
      <c r="BY1102" s="160"/>
      <c r="BZ1102" s="160"/>
      <c r="CA1102" s="160"/>
      <c r="CB1102" s="160"/>
      <c r="CC1102" s="160"/>
      <c r="CD1102" s="160"/>
      <c r="CE1102" s="160"/>
      <c r="CF1102" s="160"/>
      <c r="CG1102" s="160"/>
      <c r="CH1102" s="160"/>
      <c r="CI1102" s="160"/>
      <c r="CJ1102" s="160"/>
      <c r="CK1102" s="160"/>
      <c r="CL1102" s="160"/>
      <c r="CM1102" s="160"/>
      <c r="CN1102" s="160"/>
      <c r="CO1102" s="160"/>
      <c r="CP1102" s="162"/>
      <c r="CQ1102" s="163"/>
      <c r="CR1102" s="162"/>
      <c r="CS1102" s="163"/>
      <c r="CT1102" s="162"/>
      <c r="CU1102" s="163"/>
      <c r="CV1102" s="164">
        <f t="shared" si="149"/>
        <v>0</v>
      </c>
      <c r="CW1102" s="165"/>
      <c r="CX1102" s="166"/>
      <c r="CY1102" s="167"/>
      <c r="CZ1102" s="168"/>
      <c r="DA1102" s="169"/>
      <c r="DB1102" s="168"/>
      <c r="DC1102" s="165"/>
      <c r="DD1102" s="166"/>
      <c r="DE1102" s="71"/>
      <c r="DF1102" s="170"/>
      <c r="EO1102" s="353" t="str">
        <f t="shared" si="143"/>
        <v>LA GUAJIRA_RIOHACHA</v>
      </c>
      <c r="EP1102" s="350"/>
      <c r="EQ1102" s="350" t="s">
        <v>4662</v>
      </c>
      <c r="ER1102" s="358" t="s">
        <v>3703</v>
      </c>
      <c r="ES1102" s="350" t="s">
        <v>3719</v>
      </c>
      <c r="ET1102" s="350" t="s">
        <v>3720</v>
      </c>
      <c r="EU1102" s="350" t="str">
        <f t="shared" si="145"/>
        <v>Guainia_Morichal (CD)</v>
      </c>
    </row>
    <row r="1103" spans="1:151" s="171" customFormat="1" ht="140.25" x14ac:dyDescent="0.2">
      <c r="A1103" s="242">
        <v>40427</v>
      </c>
      <c r="B1103" s="236" t="s">
        <v>1462</v>
      </c>
      <c r="C1103" s="222" t="s">
        <v>663</v>
      </c>
      <c r="D1103" s="430" t="s">
        <v>650</v>
      </c>
      <c r="E1103" s="107" t="e">
        <f>VLOOKUP(B1103&amp;C1103,Divipola!$C$2:$F$1138,4,FALSE)</f>
        <v>#N/A</v>
      </c>
      <c r="F1103" s="333"/>
      <c r="G1103" s="221"/>
      <c r="H1103" s="157"/>
      <c r="I1103" s="157"/>
      <c r="J1103" s="157"/>
      <c r="K1103" s="157"/>
      <c r="L1103" s="157"/>
      <c r="M1103" s="157"/>
      <c r="N1103" s="157"/>
      <c r="O1103" s="157"/>
      <c r="P1103" s="157"/>
      <c r="Q1103" s="157"/>
      <c r="R1103" s="157"/>
      <c r="S1103" s="157"/>
      <c r="T1103" s="157"/>
      <c r="U1103" s="157"/>
      <c r="V1103" s="158"/>
      <c r="W1103" s="182"/>
      <c r="X1103" s="1"/>
      <c r="Y1103" s="78">
        <f t="shared" si="146"/>
        <v>0</v>
      </c>
      <c r="Z1103" s="78">
        <f t="shared" si="147"/>
        <v>0</v>
      </c>
      <c r="AA1103" s="78">
        <f t="shared" si="144"/>
        <v>0</v>
      </c>
      <c r="AB1103" s="78">
        <f t="shared" si="148"/>
        <v>0</v>
      </c>
      <c r="AC1103" s="78"/>
      <c r="AD1103" s="78">
        <v>0</v>
      </c>
      <c r="AE1103" s="80">
        <f t="shared" si="150"/>
        <v>0</v>
      </c>
      <c r="AF1103" s="82">
        <v>0</v>
      </c>
      <c r="AG1103" s="69">
        <v>40428</v>
      </c>
      <c r="AH1103" s="84"/>
      <c r="AI1103" s="69" t="s">
        <v>1984</v>
      </c>
      <c r="AJ1103" s="25" t="s">
        <v>1985</v>
      </c>
      <c r="AK1103" s="65"/>
      <c r="AL1103" s="176" t="s">
        <v>1257</v>
      </c>
      <c r="AM1103" s="173" t="s">
        <v>664</v>
      </c>
      <c r="AN1103" s="159"/>
      <c r="AO1103" s="160"/>
      <c r="AP1103" s="161"/>
      <c r="AQ1103" s="160"/>
      <c r="AR1103" s="160"/>
      <c r="AS1103" s="160"/>
      <c r="AT1103" s="160"/>
      <c r="AU1103" s="160"/>
      <c r="AV1103" s="160"/>
      <c r="AW1103" s="160"/>
      <c r="AX1103" s="160"/>
      <c r="AY1103" s="160"/>
      <c r="AZ1103" s="160"/>
      <c r="BA1103" s="160"/>
      <c r="BB1103" s="160"/>
      <c r="BC1103" s="160"/>
      <c r="BD1103" s="160"/>
      <c r="BE1103" s="160"/>
      <c r="BF1103" s="160"/>
      <c r="BG1103" s="160"/>
      <c r="BH1103" s="160"/>
      <c r="BI1103" s="160"/>
      <c r="BJ1103" s="160"/>
      <c r="BK1103" s="160"/>
      <c r="BL1103" s="160"/>
      <c r="BM1103" s="160"/>
      <c r="BN1103" s="160"/>
      <c r="BO1103" s="160"/>
      <c r="BP1103" s="160"/>
      <c r="BQ1103" s="160"/>
      <c r="BR1103" s="160"/>
      <c r="BS1103" s="160"/>
      <c r="BT1103" s="160"/>
      <c r="BU1103" s="160"/>
      <c r="BV1103" s="160"/>
      <c r="BW1103" s="160"/>
      <c r="BX1103" s="160"/>
      <c r="BY1103" s="160"/>
      <c r="BZ1103" s="160"/>
      <c r="CA1103" s="160"/>
      <c r="CB1103" s="160"/>
      <c r="CC1103" s="160"/>
      <c r="CD1103" s="160"/>
      <c r="CE1103" s="160"/>
      <c r="CF1103" s="160"/>
      <c r="CG1103" s="160"/>
      <c r="CH1103" s="160"/>
      <c r="CI1103" s="160"/>
      <c r="CJ1103" s="160"/>
      <c r="CK1103" s="160"/>
      <c r="CL1103" s="160"/>
      <c r="CM1103" s="160"/>
      <c r="CN1103" s="160"/>
      <c r="CO1103" s="160"/>
      <c r="CP1103" s="162"/>
      <c r="CQ1103" s="163"/>
      <c r="CR1103" s="162"/>
      <c r="CS1103" s="163"/>
      <c r="CT1103" s="162"/>
      <c r="CU1103" s="163"/>
      <c r="CV1103" s="164">
        <f t="shared" si="149"/>
        <v>0</v>
      </c>
      <c r="CW1103" s="165"/>
      <c r="CX1103" s="166"/>
      <c r="CY1103" s="167"/>
      <c r="CZ1103" s="168"/>
      <c r="DA1103" s="169"/>
      <c r="DB1103" s="168"/>
      <c r="DC1103" s="165"/>
      <c r="DD1103" s="166"/>
      <c r="DE1103" s="71"/>
      <c r="DF1103" s="170"/>
      <c r="EO1103" s="353" t="str">
        <f t="shared" si="143"/>
        <v>VALLE DEL CAUCA_EL CAIRO, LA UNION, ROLDANILLO, ZARZAL, VERSALLES, TORO, ARGELIA</v>
      </c>
      <c r="EP1103" s="350"/>
      <c r="EQ1103" s="350" t="s">
        <v>4664</v>
      </c>
      <c r="ER1103" s="358" t="s">
        <v>3721</v>
      </c>
      <c r="ES1103" s="350" t="s">
        <v>5767</v>
      </c>
      <c r="ET1103" s="350" t="s">
        <v>3722</v>
      </c>
      <c r="EU1103" s="350" t="str">
        <f t="shared" si="145"/>
        <v>Guaviare_San Jose del Guaviare</v>
      </c>
    </row>
    <row r="1104" spans="1:151" s="171" customFormat="1" ht="25.5" x14ac:dyDescent="0.2">
      <c r="A1104" s="246">
        <v>40428</v>
      </c>
      <c r="B1104" s="279" t="s">
        <v>2401</v>
      </c>
      <c r="C1104" s="279" t="s">
        <v>2747</v>
      </c>
      <c r="D1104" s="431" t="s">
        <v>2307</v>
      </c>
      <c r="E1104" s="107" t="str">
        <f>VLOOKUP(B1104&amp;C1104,Divipola!$C$2:$F$1138,4,FALSE)</f>
        <v>05001</v>
      </c>
      <c r="F1104" s="334"/>
      <c r="G1104" s="221"/>
      <c r="H1104" s="157"/>
      <c r="I1104" s="157"/>
      <c r="J1104" s="157">
        <v>15</v>
      </c>
      <c r="K1104" s="157">
        <v>3</v>
      </c>
      <c r="L1104" s="157">
        <v>1</v>
      </c>
      <c r="M1104" s="157">
        <v>2</v>
      </c>
      <c r="N1104" s="157"/>
      <c r="O1104" s="157"/>
      <c r="P1104" s="157"/>
      <c r="Q1104" s="157"/>
      <c r="R1104" s="157"/>
      <c r="S1104" s="157"/>
      <c r="T1104" s="157"/>
      <c r="U1104" s="157"/>
      <c r="V1104" s="158"/>
      <c r="W1104" s="182"/>
      <c r="X1104" s="1"/>
      <c r="Y1104" s="78">
        <f t="shared" si="146"/>
        <v>0</v>
      </c>
      <c r="Z1104" s="78">
        <f t="shared" si="147"/>
        <v>0</v>
      </c>
      <c r="AA1104" s="78">
        <f t="shared" si="144"/>
        <v>0</v>
      </c>
      <c r="AB1104" s="78">
        <f t="shared" si="148"/>
        <v>0</v>
      </c>
      <c r="AC1104" s="78"/>
      <c r="AD1104" s="78">
        <v>0</v>
      </c>
      <c r="AE1104" s="80">
        <f t="shared" si="150"/>
        <v>0</v>
      </c>
      <c r="AF1104" s="82">
        <v>0</v>
      </c>
      <c r="AG1104" s="69">
        <v>40429</v>
      </c>
      <c r="AH1104" s="84"/>
      <c r="AI1104" s="69" t="s">
        <v>1984</v>
      </c>
      <c r="AJ1104" s="25" t="s">
        <v>1985</v>
      </c>
      <c r="AK1104" s="65"/>
      <c r="AL1104" s="176" t="s">
        <v>1257</v>
      </c>
      <c r="AM1104" s="173" t="s">
        <v>675</v>
      </c>
      <c r="AN1104" s="159"/>
      <c r="AO1104" s="160"/>
      <c r="AP1104" s="161"/>
      <c r="AQ1104" s="160"/>
      <c r="AR1104" s="160"/>
      <c r="AS1104" s="160"/>
      <c r="AT1104" s="160"/>
      <c r="AU1104" s="160"/>
      <c r="AV1104" s="160"/>
      <c r="AW1104" s="160"/>
      <c r="AX1104" s="160"/>
      <c r="AY1104" s="160"/>
      <c r="AZ1104" s="160"/>
      <c r="BA1104" s="160"/>
      <c r="BB1104" s="160"/>
      <c r="BC1104" s="160"/>
      <c r="BD1104" s="160"/>
      <c r="BE1104" s="160"/>
      <c r="BF1104" s="160"/>
      <c r="BG1104" s="160"/>
      <c r="BH1104" s="160"/>
      <c r="BI1104" s="160"/>
      <c r="BJ1104" s="160"/>
      <c r="BK1104" s="160"/>
      <c r="BL1104" s="160"/>
      <c r="BM1104" s="160"/>
      <c r="BN1104" s="160"/>
      <c r="BO1104" s="160"/>
      <c r="BP1104" s="160"/>
      <c r="BQ1104" s="160"/>
      <c r="BR1104" s="160"/>
      <c r="BS1104" s="160"/>
      <c r="BT1104" s="160"/>
      <c r="BU1104" s="160"/>
      <c r="BV1104" s="160"/>
      <c r="BW1104" s="160"/>
      <c r="BX1104" s="160"/>
      <c r="BY1104" s="160"/>
      <c r="BZ1104" s="160"/>
      <c r="CA1104" s="160"/>
      <c r="CB1104" s="160"/>
      <c r="CC1104" s="160"/>
      <c r="CD1104" s="160"/>
      <c r="CE1104" s="160"/>
      <c r="CF1104" s="160"/>
      <c r="CG1104" s="160"/>
      <c r="CH1104" s="160"/>
      <c r="CI1104" s="160"/>
      <c r="CJ1104" s="160"/>
      <c r="CK1104" s="160"/>
      <c r="CL1104" s="160"/>
      <c r="CM1104" s="160"/>
      <c r="CN1104" s="160"/>
      <c r="CO1104" s="160"/>
      <c r="CP1104" s="162"/>
      <c r="CQ1104" s="163"/>
      <c r="CR1104" s="162"/>
      <c r="CS1104" s="163"/>
      <c r="CT1104" s="162"/>
      <c r="CU1104" s="163"/>
      <c r="CV1104" s="164">
        <f t="shared" si="149"/>
        <v>0</v>
      </c>
      <c r="CW1104" s="165"/>
      <c r="CX1104" s="166"/>
      <c r="CY1104" s="167"/>
      <c r="CZ1104" s="168"/>
      <c r="DA1104" s="169"/>
      <c r="DB1104" s="168"/>
      <c r="DC1104" s="165"/>
      <c r="DD1104" s="166"/>
      <c r="DE1104" s="71"/>
      <c r="DF1104" s="170"/>
      <c r="EO1104" s="353" t="str">
        <f t="shared" si="143"/>
        <v>ANTIOQUIA_MEDELLIN</v>
      </c>
      <c r="EP1104" s="350"/>
      <c r="EQ1104" s="350" t="s">
        <v>4664</v>
      </c>
      <c r="ER1104" s="358" t="s">
        <v>3721</v>
      </c>
      <c r="ES1104" s="350" t="s">
        <v>5768</v>
      </c>
      <c r="ET1104" s="350" t="s">
        <v>5983</v>
      </c>
      <c r="EU1104" s="350" t="str">
        <f t="shared" si="145"/>
        <v>Guaviare_Calamar</v>
      </c>
    </row>
    <row r="1105" spans="1:151" s="171" customFormat="1" ht="38.25" x14ac:dyDescent="0.2">
      <c r="A1105" s="242">
        <v>40428</v>
      </c>
      <c r="B1105" s="236" t="s">
        <v>1951</v>
      </c>
      <c r="C1105" s="236" t="s">
        <v>1989</v>
      </c>
      <c r="D1105" s="433" t="s">
        <v>2209</v>
      </c>
      <c r="E1105" s="107" t="str">
        <f>VLOOKUP(B1105&amp;C1105,Divipola!$C$2:$F$1138,4,FALSE)</f>
        <v>08001</v>
      </c>
      <c r="F1105" s="335"/>
      <c r="G1105" s="221"/>
      <c r="H1105" s="157"/>
      <c r="I1105" s="157"/>
      <c r="J1105" s="157">
        <v>185</v>
      </c>
      <c r="K1105" s="157">
        <v>37</v>
      </c>
      <c r="L1105" s="157"/>
      <c r="M1105" s="157">
        <v>37</v>
      </c>
      <c r="N1105" s="157"/>
      <c r="O1105" s="157"/>
      <c r="P1105" s="157"/>
      <c r="Q1105" s="157"/>
      <c r="R1105" s="157"/>
      <c r="S1105" s="157"/>
      <c r="T1105" s="157">
        <v>2</v>
      </c>
      <c r="U1105" s="157"/>
      <c r="V1105" s="158"/>
      <c r="W1105" s="182"/>
      <c r="X1105" s="1"/>
      <c r="Y1105" s="78">
        <f t="shared" si="146"/>
        <v>0</v>
      </c>
      <c r="Z1105" s="78">
        <f t="shared" si="147"/>
        <v>0</v>
      </c>
      <c r="AA1105" s="78">
        <f t="shared" si="144"/>
        <v>0</v>
      </c>
      <c r="AB1105" s="78">
        <f t="shared" si="148"/>
        <v>0</v>
      </c>
      <c r="AC1105" s="78"/>
      <c r="AD1105" s="78">
        <v>0</v>
      </c>
      <c r="AE1105" s="80">
        <f t="shared" si="150"/>
        <v>0</v>
      </c>
      <c r="AF1105" s="82">
        <v>0</v>
      </c>
      <c r="AG1105" s="69">
        <v>40429</v>
      </c>
      <c r="AH1105" s="84"/>
      <c r="AI1105" s="69" t="s">
        <v>1984</v>
      </c>
      <c r="AJ1105" s="25" t="s">
        <v>1985</v>
      </c>
      <c r="AK1105" s="65"/>
      <c r="AL1105" s="176" t="s">
        <v>1257</v>
      </c>
      <c r="AM1105" s="173" t="s">
        <v>676</v>
      </c>
      <c r="AN1105" s="159"/>
      <c r="AO1105" s="160"/>
      <c r="AP1105" s="161"/>
      <c r="AQ1105" s="160"/>
      <c r="AR1105" s="160"/>
      <c r="AS1105" s="160"/>
      <c r="AT1105" s="160"/>
      <c r="AU1105" s="160"/>
      <c r="AV1105" s="160"/>
      <c r="AW1105" s="160"/>
      <c r="AX1105" s="160"/>
      <c r="AY1105" s="160"/>
      <c r="AZ1105" s="160"/>
      <c r="BA1105" s="160"/>
      <c r="BB1105" s="160"/>
      <c r="BC1105" s="160"/>
      <c r="BD1105" s="160"/>
      <c r="BE1105" s="160"/>
      <c r="BF1105" s="160"/>
      <c r="BG1105" s="160"/>
      <c r="BH1105" s="160"/>
      <c r="BI1105" s="160"/>
      <c r="BJ1105" s="160"/>
      <c r="BK1105" s="160"/>
      <c r="BL1105" s="160"/>
      <c r="BM1105" s="160"/>
      <c r="BN1105" s="160"/>
      <c r="BO1105" s="160"/>
      <c r="BP1105" s="160"/>
      <c r="BQ1105" s="160"/>
      <c r="BR1105" s="160"/>
      <c r="BS1105" s="160"/>
      <c r="BT1105" s="160"/>
      <c r="BU1105" s="160"/>
      <c r="BV1105" s="160"/>
      <c r="BW1105" s="160"/>
      <c r="BX1105" s="160"/>
      <c r="BY1105" s="160"/>
      <c r="BZ1105" s="160"/>
      <c r="CA1105" s="160"/>
      <c r="CB1105" s="160"/>
      <c r="CC1105" s="160"/>
      <c r="CD1105" s="160"/>
      <c r="CE1105" s="160"/>
      <c r="CF1105" s="160"/>
      <c r="CG1105" s="160"/>
      <c r="CH1105" s="160"/>
      <c r="CI1105" s="160"/>
      <c r="CJ1105" s="160"/>
      <c r="CK1105" s="160"/>
      <c r="CL1105" s="160"/>
      <c r="CM1105" s="160"/>
      <c r="CN1105" s="160"/>
      <c r="CO1105" s="160"/>
      <c r="CP1105" s="162"/>
      <c r="CQ1105" s="163"/>
      <c r="CR1105" s="162"/>
      <c r="CS1105" s="163"/>
      <c r="CT1105" s="162"/>
      <c r="CU1105" s="163"/>
      <c r="CV1105" s="164">
        <f t="shared" si="149"/>
        <v>0</v>
      </c>
      <c r="CW1105" s="165"/>
      <c r="CX1105" s="166"/>
      <c r="CY1105" s="167"/>
      <c r="CZ1105" s="168"/>
      <c r="DA1105" s="169"/>
      <c r="DB1105" s="168"/>
      <c r="DC1105" s="165"/>
      <c r="DD1105" s="166"/>
      <c r="DE1105" s="71"/>
      <c r="DF1105" s="170"/>
      <c r="EO1105" s="353" t="str">
        <f t="shared" si="143"/>
        <v>ATLANTICO_BARRANQUILLA</v>
      </c>
      <c r="EP1105" s="350"/>
      <c r="EQ1105" s="350" t="s">
        <v>4664</v>
      </c>
      <c r="ER1105" s="358" t="s">
        <v>3721</v>
      </c>
      <c r="ES1105" s="350" t="s">
        <v>5769</v>
      </c>
      <c r="ET1105" s="350" t="s">
        <v>3723</v>
      </c>
      <c r="EU1105" s="350" t="str">
        <f t="shared" si="145"/>
        <v>Guaviare_El Retorno</v>
      </c>
    </row>
    <row r="1106" spans="1:151" s="171" customFormat="1" ht="38.25" x14ac:dyDescent="0.2">
      <c r="A1106" s="242">
        <v>40428</v>
      </c>
      <c r="B1106" s="236" t="s">
        <v>1951</v>
      </c>
      <c r="C1106" s="236" t="s">
        <v>674</v>
      </c>
      <c r="D1106" s="433" t="s">
        <v>837</v>
      </c>
      <c r="E1106" s="107" t="str">
        <f>VLOOKUP(B1106&amp;C1106,Divipola!$C$2:$F$1138,4,FALSE)</f>
        <v>08638</v>
      </c>
      <c r="F1106" s="335"/>
      <c r="G1106" s="221"/>
      <c r="H1106" s="157"/>
      <c r="I1106" s="157"/>
      <c r="J1106" s="157">
        <v>100</v>
      </c>
      <c r="K1106" s="157">
        <v>20</v>
      </c>
      <c r="L1106" s="157"/>
      <c r="M1106" s="157">
        <v>20</v>
      </c>
      <c r="N1106" s="157"/>
      <c r="O1106" s="157"/>
      <c r="P1106" s="157"/>
      <c r="Q1106" s="157"/>
      <c r="R1106" s="157"/>
      <c r="S1106" s="157"/>
      <c r="T1106" s="157"/>
      <c r="U1106" s="157"/>
      <c r="V1106" s="158">
        <v>0</v>
      </c>
      <c r="W1106" s="182"/>
      <c r="X1106" s="1"/>
      <c r="Y1106" s="78">
        <f t="shared" si="146"/>
        <v>0</v>
      </c>
      <c r="Z1106" s="78">
        <f t="shared" si="147"/>
        <v>0</v>
      </c>
      <c r="AA1106" s="78">
        <f t="shared" si="144"/>
        <v>0</v>
      </c>
      <c r="AB1106" s="78">
        <f t="shared" si="148"/>
        <v>0</v>
      </c>
      <c r="AC1106" s="78"/>
      <c r="AD1106" s="78">
        <v>0</v>
      </c>
      <c r="AE1106" s="80">
        <f t="shared" si="150"/>
        <v>0</v>
      </c>
      <c r="AF1106" s="82">
        <v>0</v>
      </c>
      <c r="AG1106" s="69">
        <v>40429</v>
      </c>
      <c r="AH1106" s="84"/>
      <c r="AI1106" s="69" t="s">
        <v>1984</v>
      </c>
      <c r="AJ1106" s="25" t="s">
        <v>1985</v>
      </c>
      <c r="AK1106" s="65"/>
      <c r="AL1106" s="176" t="s">
        <v>1257</v>
      </c>
      <c r="AM1106" s="173" t="s">
        <v>1612</v>
      </c>
      <c r="AN1106" s="159"/>
      <c r="AO1106" s="160"/>
      <c r="AP1106" s="161"/>
      <c r="AQ1106" s="160"/>
      <c r="AR1106" s="160"/>
      <c r="AS1106" s="160"/>
      <c r="AT1106" s="160"/>
      <c r="AU1106" s="160"/>
      <c r="AV1106" s="160"/>
      <c r="AW1106" s="160"/>
      <c r="AX1106" s="160"/>
      <c r="AY1106" s="160"/>
      <c r="AZ1106" s="160"/>
      <c r="BA1106" s="160"/>
      <c r="BB1106" s="160"/>
      <c r="BC1106" s="160"/>
      <c r="BD1106" s="160"/>
      <c r="BE1106" s="160"/>
      <c r="BF1106" s="160"/>
      <c r="BG1106" s="160"/>
      <c r="BH1106" s="160"/>
      <c r="BI1106" s="160"/>
      <c r="BJ1106" s="160"/>
      <c r="BK1106" s="160"/>
      <c r="BL1106" s="160"/>
      <c r="BM1106" s="160"/>
      <c r="BN1106" s="160"/>
      <c r="BO1106" s="160"/>
      <c r="BP1106" s="160"/>
      <c r="BQ1106" s="160"/>
      <c r="BR1106" s="160"/>
      <c r="BS1106" s="160"/>
      <c r="BT1106" s="160"/>
      <c r="BU1106" s="160"/>
      <c r="BV1106" s="160"/>
      <c r="BW1106" s="160"/>
      <c r="BX1106" s="160"/>
      <c r="BY1106" s="160"/>
      <c r="BZ1106" s="160"/>
      <c r="CA1106" s="160"/>
      <c r="CB1106" s="160"/>
      <c r="CC1106" s="160"/>
      <c r="CD1106" s="160"/>
      <c r="CE1106" s="160"/>
      <c r="CF1106" s="160"/>
      <c r="CG1106" s="160"/>
      <c r="CH1106" s="160"/>
      <c r="CI1106" s="160"/>
      <c r="CJ1106" s="160"/>
      <c r="CK1106" s="160"/>
      <c r="CL1106" s="160"/>
      <c r="CM1106" s="160"/>
      <c r="CN1106" s="160"/>
      <c r="CO1106" s="160"/>
      <c r="CP1106" s="162"/>
      <c r="CQ1106" s="163"/>
      <c r="CR1106" s="162"/>
      <c r="CS1106" s="163"/>
      <c r="CT1106" s="162"/>
      <c r="CU1106" s="163"/>
      <c r="CV1106" s="164">
        <f t="shared" si="149"/>
        <v>0</v>
      </c>
      <c r="CW1106" s="165"/>
      <c r="CX1106" s="166"/>
      <c r="CY1106" s="167"/>
      <c r="CZ1106" s="168"/>
      <c r="DA1106" s="169"/>
      <c r="DB1106" s="168"/>
      <c r="DC1106" s="165"/>
      <c r="DD1106" s="166"/>
      <c r="DE1106" s="71"/>
      <c r="DF1106" s="170"/>
      <c r="EO1106" s="353" t="str">
        <f t="shared" si="143"/>
        <v>ATLANTICO_SABANALARGA</v>
      </c>
      <c r="EP1106" s="350"/>
      <c r="EQ1106" s="350" t="s">
        <v>4664</v>
      </c>
      <c r="ER1106" s="358" t="s">
        <v>3721</v>
      </c>
      <c r="ES1106" s="350" t="s">
        <v>5770</v>
      </c>
      <c r="ET1106" s="350" t="s">
        <v>6071</v>
      </c>
      <c r="EU1106" s="350" t="str">
        <f t="shared" si="145"/>
        <v>Guaviare_Miraflores</v>
      </c>
    </row>
    <row r="1107" spans="1:151" s="171" customFormat="1" ht="51" x14ac:dyDescent="0.2">
      <c r="A1107" s="246">
        <v>40429</v>
      </c>
      <c r="B1107" s="279" t="s">
        <v>2401</v>
      </c>
      <c r="C1107" s="280" t="s">
        <v>3026</v>
      </c>
      <c r="D1107" s="434" t="s">
        <v>2209</v>
      </c>
      <c r="E1107" s="107" t="str">
        <f>VLOOKUP(B1107&amp;C1107,Divipola!$C$2:$F$1138,4,FALSE)</f>
        <v>05686</v>
      </c>
      <c r="F1107" s="336"/>
      <c r="G1107" s="221"/>
      <c r="H1107" s="157"/>
      <c r="I1107" s="157"/>
      <c r="J1107" s="157">
        <v>60</v>
      </c>
      <c r="K1107" s="157">
        <v>20</v>
      </c>
      <c r="L1107" s="157">
        <v>5</v>
      </c>
      <c r="M1107" s="157">
        <v>14</v>
      </c>
      <c r="N1107" s="157"/>
      <c r="O1107" s="157"/>
      <c r="P1107" s="157"/>
      <c r="Q1107" s="157"/>
      <c r="R1107" s="157"/>
      <c r="S1107" s="157"/>
      <c r="T1107" s="157"/>
      <c r="U1107" s="157"/>
      <c r="V1107" s="158"/>
      <c r="W1107" s="182" t="s">
        <v>3027</v>
      </c>
      <c r="X1107" s="1"/>
      <c r="Y1107" s="78">
        <f t="shared" si="146"/>
        <v>0</v>
      </c>
      <c r="Z1107" s="78">
        <f t="shared" si="147"/>
        <v>0</v>
      </c>
      <c r="AA1107" s="78">
        <f t="shared" si="144"/>
        <v>0</v>
      </c>
      <c r="AB1107" s="78">
        <f t="shared" si="148"/>
        <v>0</v>
      </c>
      <c r="AC1107" s="78"/>
      <c r="AD1107" s="78">
        <v>0</v>
      </c>
      <c r="AE1107" s="80">
        <f t="shared" si="150"/>
        <v>0</v>
      </c>
      <c r="AF1107" s="82">
        <v>0</v>
      </c>
      <c r="AG1107" s="69">
        <v>40435</v>
      </c>
      <c r="AH1107" s="84"/>
      <c r="AI1107" s="69" t="s">
        <v>1984</v>
      </c>
      <c r="AJ1107" s="25" t="s">
        <v>1985</v>
      </c>
      <c r="AK1107" s="65"/>
      <c r="AL1107" s="176" t="s">
        <v>1257</v>
      </c>
      <c r="AM1107" s="173" t="s">
        <v>1268</v>
      </c>
      <c r="AN1107" s="159"/>
      <c r="AO1107" s="160"/>
      <c r="AP1107" s="161"/>
      <c r="AQ1107" s="160"/>
      <c r="AR1107" s="160"/>
      <c r="AS1107" s="160"/>
      <c r="AT1107" s="160"/>
      <c r="AU1107" s="160"/>
      <c r="AV1107" s="160"/>
      <c r="AW1107" s="160"/>
      <c r="AX1107" s="160"/>
      <c r="AY1107" s="160"/>
      <c r="AZ1107" s="160"/>
      <c r="BA1107" s="160"/>
      <c r="BB1107" s="160"/>
      <c r="BC1107" s="160"/>
      <c r="BD1107" s="160"/>
      <c r="BE1107" s="160"/>
      <c r="BF1107" s="160"/>
      <c r="BG1107" s="160"/>
      <c r="BH1107" s="160"/>
      <c r="BI1107" s="160"/>
      <c r="BJ1107" s="160"/>
      <c r="BK1107" s="160"/>
      <c r="BL1107" s="160"/>
      <c r="BM1107" s="160"/>
      <c r="BN1107" s="160"/>
      <c r="BO1107" s="160"/>
      <c r="BP1107" s="160"/>
      <c r="BQ1107" s="160"/>
      <c r="BR1107" s="160"/>
      <c r="BS1107" s="160"/>
      <c r="BT1107" s="160"/>
      <c r="BU1107" s="160"/>
      <c r="BV1107" s="160"/>
      <c r="BW1107" s="160"/>
      <c r="BX1107" s="160"/>
      <c r="BY1107" s="160"/>
      <c r="BZ1107" s="160"/>
      <c r="CA1107" s="160"/>
      <c r="CB1107" s="160"/>
      <c r="CC1107" s="160"/>
      <c r="CD1107" s="160"/>
      <c r="CE1107" s="160"/>
      <c r="CF1107" s="160"/>
      <c r="CG1107" s="160"/>
      <c r="CH1107" s="160"/>
      <c r="CI1107" s="160"/>
      <c r="CJ1107" s="160"/>
      <c r="CK1107" s="160"/>
      <c r="CL1107" s="160"/>
      <c r="CM1107" s="160"/>
      <c r="CN1107" s="160"/>
      <c r="CO1107" s="160"/>
      <c r="CP1107" s="162"/>
      <c r="CQ1107" s="163"/>
      <c r="CR1107" s="162"/>
      <c r="CS1107" s="163"/>
      <c r="CT1107" s="162"/>
      <c r="CU1107" s="163"/>
      <c r="CV1107" s="164">
        <f t="shared" si="149"/>
        <v>0</v>
      </c>
      <c r="CW1107" s="165"/>
      <c r="CX1107" s="166"/>
      <c r="CY1107" s="167"/>
      <c r="CZ1107" s="168"/>
      <c r="DA1107" s="169"/>
      <c r="DB1107" s="168"/>
      <c r="DC1107" s="165"/>
      <c r="DD1107" s="166"/>
      <c r="DE1107" s="71"/>
      <c r="DF1107" s="170"/>
      <c r="EO1107" s="353" t="str">
        <f t="shared" si="143"/>
        <v>ANTIOQUIA_SANTA ROSA DE OSOS</v>
      </c>
      <c r="EP1107" s="350"/>
      <c r="EQ1107" s="350" t="s">
        <v>4666</v>
      </c>
      <c r="ER1107" s="358" t="s">
        <v>3724</v>
      </c>
      <c r="ES1107" s="350" t="s">
        <v>5771</v>
      </c>
      <c r="ET1107" s="350" t="s">
        <v>3725</v>
      </c>
      <c r="EU1107" s="350" t="str">
        <f t="shared" si="145"/>
        <v>Vaupes_Mitu</v>
      </c>
    </row>
    <row r="1108" spans="1:151" s="171" customFormat="1" ht="60" x14ac:dyDescent="0.2">
      <c r="A1108" s="246">
        <v>40429</v>
      </c>
      <c r="B1108" s="279" t="s">
        <v>2401</v>
      </c>
      <c r="C1108" s="279" t="s">
        <v>3123</v>
      </c>
      <c r="D1108" s="431" t="s">
        <v>2307</v>
      </c>
      <c r="E1108" s="107" t="str">
        <f>VLOOKUP(B1108&amp;C1108,Divipola!$C$2:$F$1138,4,FALSE)</f>
        <v>05819</v>
      </c>
      <c r="F1108" s="334"/>
      <c r="G1108" s="221"/>
      <c r="H1108" s="157"/>
      <c r="I1108" s="157"/>
      <c r="J1108" s="157">
        <v>400</v>
      </c>
      <c r="K1108" s="157">
        <v>100</v>
      </c>
      <c r="L1108" s="157">
        <v>32</v>
      </c>
      <c r="M1108" s="157">
        <f>91-32</f>
        <v>59</v>
      </c>
      <c r="N1108" s="157"/>
      <c r="O1108" s="157"/>
      <c r="P1108" s="157"/>
      <c r="Q1108" s="157"/>
      <c r="R1108" s="157"/>
      <c r="S1108" s="157"/>
      <c r="T1108" s="157">
        <v>1</v>
      </c>
      <c r="U1108" s="157"/>
      <c r="V1108" s="158"/>
      <c r="W1108" s="182"/>
      <c r="X1108" s="1">
        <v>40506</v>
      </c>
      <c r="Y1108" s="78">
        <f t="shared" si="146"/>
        <v>33567200</v>
      </c>
      <c r="Z1108" s="78">
        <f t="shared" si="147"/>
        <v>13600000</v>
      </c>
      <c r="AA1108" s="78">
        <f t="shared" si="144"/>
        <v>0</v>
      </c>
      <c r="AB1108" s="78">
        <f t="shared" si="148"/>
        <v>7600000</v>
      </c>
      <c r="AC1108" s="78"/>
      <c r="AD1108" s="78">
        <v>0</v>
      </c>
      <c r="AE1108" s="80">
        <f t="shared" si="150"/>
        <v>54767200</v>
      </c>
      <c r="AF1108" s="82">
        <v>0</v>
      </c>
      <c r="AG1108" s="69">
        <v>40429</v>
      </c>
      <c r="AH1108" s="84">
        <v>50860</v>
      </c>
      <c r="AI1108" s="69" t="s">
        <v>2009</v>
      </c>
      <c r="AJ1108" s="25" t="s">
        <v>2010</v>
      </c>
      <c r="AK1108" s="65">
        <v>24960</v>
      </c>
      <c r="AL1108" s="185" t="s">
        <v>2182</v>
      </c>
      <c r="AM1108" s="173" t="s">
        <v>1683</v>
      </c>
      <c r="AN1108" s="159"/>
      <c r="AO1108" s="160"/>
      <c r="AP1108" s="161"/>
      <c r="AQ1108" s="160"/>
      <c r="AR1108" s="160"/>
      <c r="AS1108" s="160"/>
      <c r="AT1108" s="160"/>
      <c r="AU1108" s="160"/>
      <c r="AV1108" s="160">
        <v>160</v>
      </c>
      <c r="AW1108" s="160">
        <f>160*21000</f>
        <v>3360000</v>
      </c>
      <c r="AX1108" s="160"/>
      <c r="AY1108" s="160"/>
      <c r="AZ1108" s="160">
        <v>160</v>
      </c>
      <c r="BA1108" s="160">
        <f>160*56000</f>
        <v>8960000</v>
      </c>
      <c r="BB1108" s="160"/>
      <c r="BC1108" s="160"/>
      <c r="BD1108" s="160"/>
      <c r="BE1108" s="160"/>
      <c r="BF1108" s="160"/>
      <c r="BG1108" s="160"/>
      <c r="BH1108" s="160"/>
      <c r="BI1108" s="160"/>
      <c r="BJ1108" s="160"/>
      <c r="BK1108" s="160"/>
      <c r="BL1108" s="160"/>
      <c r="BM1108" s="160"/>
      <c r="BN1108" s="160"/>
      <c r="BO1108" s="160"/>
      <c r="BP1108" s="160"/>
      <c r="BQ1108" s="160"/>
      <c r="BR1108" s="160"/>
      <c r="BS1108" s="160"/>
      <c r="BT1108" s="160"/>
      <c r="BU1108" s="160"/>
      <c r="BV1108" s="160"/>
      <c r="BW1108" s="160"/>
      <c r="BX1108" s="160"/>
      <c r="BY1108" s="160"/>
      <c r="BZ1108" s="160">
        <v>10</v>
      </c>
      <c r="CA1108" s="160">
        <f>10*504000</f>
        <v>5040000</v>
      </c>
      <c r="CB1108" s="160"/>
      <c r="CC1108" s="160"/>
      <c r="CD1108" s="160"/>
      <c r="CE1108" s="160"/>
      <c r="CF1108" s="160"/>
      <c r="CG1108" s="160"/>
      <c r="CH1108" s="160">
        <v>160</v>
      </c>
      <c r="CI1108" s="160">
        <f>160*25000</f>
        <v>4000000</v>
      </c>
      <c r="CJ1108" s="160"/>
      <c r="CK1108" s="160"/>
      <c r="CL1108" s="160"/>
      <c r="CM1108" s="160"/>
      <c r="CN1108" s="160"/>
      <c r="CO1108" s="160"/>
      <c r="CP1108" s="162">
        <v>160</v>
      </c>
      <c r="CQ1108" s="163">
        <f>160*36595</f>
        <v>5855200</v>
      </c>
      <c r="CR1108" s="162">
        <v>160</v>
      </c>
      <c r="CS1108" s="163">
        <f>160*39700</f>
        <v>6352000</v>
      </c>
      <c r="CT1108" s="162"/>
      <c r="CU1108" s="163"/>
      <c r="CV1108" s="164">
        <f t="shared" si="149"/>
        <v>33567200</v>
      </c>
      <c r="CW1108" s="165">
        <v>8000</v>
      </c>
      <c r="CX1108" s="166">
        <f>8000*950</f>
        <v>7600000</v>
      </c>
      <c r="CY1108" s="167">
        <v>160</v>
      </c>
      <c r="CZ1108" s="168">
        <f>160*85000</f>
        <v>13600000</v>
      </c>
      <c r="DA1108" s="169"/>
      <c r="DB1108" s="168"/>
      <c r="DC1108" s="165"/>
      <c r="DD1108" s="166"/>
      <c r="DE1108" s="71"/>
      <c r="DF1108" s="170"/>
      <c r="EO1108" s="353" t="str">
        <f t="shared" si="143"/>
        <v>ANTIOQUIA_TOLEDO</v>
      </c>
      <c r="EP1108" s="350"/>
      <c r="EQ1108" s="350" t="s">
        <v>4666</v>
      </c>
      <c r="ER1108" s="358" t="s">
        <v>3724</v>
      </c>
      <c r="ES1108" s="350" t="s">
        <v>5772</v>
      </c>
      <c r="ET1108" s="350" t="s">
        <v>3726</v>
      </c>
      <c r="EU1108" s="350" t="str">
        <f t="shared" si="145"/>
        <v>Vaupes_Caruru</v>
      </c>
    </row>
    <row r="1109" spans="1:151" s="171" customFormat="1" ht="38.25" x14ac:dyDescent="0.2">
      <c r="A1109" s="242">
        <v>40429</v>
      </c>
      <c r="B1109" s="236" t="s">
        <v>1951</v>
      </c>
      <c r="C1109" s="236" t="s">
        <v>1989</v>
      </c>
      <c r="D1109" s="433" t="s">
        <v>837</v>
      </c>
      <c r="E1109" s="107" t="str">
        <f>VLOOKUP(B1109&amp;C1109,Divipola!$C$2:$F$1138,4,FALSE)</f>
        <v>08001</v>
      </c>
      <c r="F1109" s="335"/>
      <c r="G1109" s="221"/>
      <c r="H1109" s="157"/>
      <c r="I1109" s="157"/>
      <c r="J1109" s="157">
        <v>450</v>
      </c>
      <c r="K1109" s="157">
        <v>150</v>
      </c>
      <c r="L1109" s="157"/>
      <c r="M1109" s="157">
        <v>150</v>
      </c>
      <c r="N1109" s="157"/>
      <c r="O1109" s="157"/>
      <c r="P1109" s="157"/>
      <c r="Q1109" s="157"/>
      <c r="R1109" s="157"/>
      <c r="S1109" s="157"/>
      <c r="T1109" s="157"/>
      <c r="U1109" s="157"/>
      <c r="V1109" s="158"/>
      <c r="W1109" s="182"/>
      <c r="X1109" s="1"/>
      <c r="Y1109" s="78">
        <f t="shared" si="146"/>
        <v>0</v>
      </c>
      <c r="Z1109" s="78">
        <f t="shared" si="147"/>
        <v>0</v>
      </c>
      <c r="AA1109" s="78">
        <f t="shared" si="144"/>
        <v>0</v>
      </c>
      <c r="AB1109" s="78">
        <f t="shared" si="148"/>
        <v>0</v>
      </c>
      <c r="AC1109" s="78"/>
      <c r="AD1109" s="78">
        <v>0</v>
      </c>
      <c r="AE1109" s="80">
        <f t="shared" si="150"/>
        <v>0</v>
      </c>
      <c r="AF1109" s="82">
        <v>0</v>
      </c>
      <c r="AG1109" s="69">
        <v>40429</v>
      </c>
      <c r="AH1109" s="84"/>
      <c r="AI1109" s="69" t="s">
        <v>1984</v>
      </c>
      <c r="AJ1109" s="25" t="s">
        <v>1985</v>
      </c>
      <c r="AK1109" s="65"/>
      <c r="AL1109" s="176" t="s">
        <v>1257</v>
      </c>
      <c r="AM1109" s="173" t="s">
        <v>673</v>
      </c>
      <c r="AN1109" s="159"/>
      <c r="AO1109" s="160"/>
      <c r="AP1109" s="161"/>
      <c r="AQ1109" s="160"/>
      <c r="AR1109" s="160"/>
      <c r="AS1109" s="160"/>
      <c r="AT1109" s="160"/>
      <c r="AU1109" s="160"/>
      <c r="AV1109" s="160"/>
      <c r="AW1109" s="160"/>
      <c r="AX1109" s="160"/>
      <c r="AY1109" s="160"/>
      <c r="AZ1109" s="160"/>
      <c r="BA1109" s="160"/>
      <c r="BB1109" s="160"/>
      <c r="BC1109" s="160"/>
      <c r="BD1109" s="160"/>
      <c r="BE1109" s="160"/>
      <c r="BF1109" s="160"/>
      <c r="BG1109" s="160"/>
      <c r="BH1109" s="160"/>
      <c r="BI1109" s="160"/>
      <c r="BJ1109" s="160"/>
      <c r="BK1109" s="160"/>
      <c r="BL1109" s="160"/>
      <c r="BM1109" s="160"/>
      <c r="BN1109" s="160"/>
      <c r="BO1109" s="160"/>
      <c r="BP1109" s="160"/>
      <c r="BQ1109" s="160"/>
      <c r="BR1109" s="160"/>
      <c r="BS1109" s="160"/>
      <c r="BT1109" s="160"/>
      <c r="BU1109" s="160"/>
      <c r="BV1109" s="160"/>
      <c r="BW1109" s="160"/>
      <c r="BX1109" s="160"/>
      <c r="BY1109" s="160"/>
      <c r="BZ1109" s="160"/>
      <c r="CA1109" s="160"/>
      <c r="CB1109" s="160"/>
      <c r="CC1109" s="160"/>
      <c r="CD1109" s="160"/>
      <c r="CE1109" s="160"/>
      <c r="CF1109" s="160"/>
      <c r="CG1109" s="160"/>
      <c r="CH1109" s="160"/>
      <c r="CI1109" s="160"/>
      <c r="CJ1109" s="160"/>
      <c r="CK1109" s="160"/>
      <c r="CL1109" s="160"/>
      <c r="CM1109" s="160"/>
      <c r="CN1109" s="160"/>
      <c r="CO1109" s="160"/>
      <c r="CP1109" s="162"/>
      <c r="CQ1109" s="163"/>
      <c r="CR1109" s="162"/>
      <c r="CS1109" s="163"/>
      <c r="CT1109" s="162"/>
      <c r="CU1109" s="163"/>
      <c r="CV1109" s="164">
        <f t="shared" si="149"/>
        <v>0</v>
      </c>
      <c r="CW1109" s="165"/>
      <c r="CX1109" s="166"/>
      <c r="CY1109" s="167"/>
      <c r="CZ1109" s="168"/>
      <c r="DA1109" s="169"/>
      <c r="DB1109" s="168"/>
      <c r="DC1109" s="165"/>
      <c r="DD1109" s="166"/>
      <c r="DE1109" s="71"/>
      <c r="DF1109" s="170"/>
      <c r="EO1109" s="353" t="str">
        <f t="shared" si="143"/>
        <v>ATLANTICO_BARRANQUILLA</v>
      </c>
      <c r="EP1109" s="350"/>
      <c r="EQ1109" s="350" t="s">
        <v>4666</v>
      </c>
      <c r="ER1109" s="358" t="s">
        <v>3724</v>
      </c>
      <c r="ES1109" s="350" t="s">
        <v>3727</v>
      </c>
      <c r="ET1109" s="350" t="s">
        <v>3728</v>
      </c>
      <c r="EU1109" s="350" t="str">
        <f t="shared" si="145"/>
        <v>Vaupes_Pacoa (CD)</v>
      </c>
    </row>
    <row r="1110" spans="1:151" s="171" customFormat="1" ht="156" x14ac:dyDescent="0.2">
      <c r="A1110" s="242">
        <v>40429</v>
      </c>
      <c r="B1110" s="107" t="s">
        <v>5778</v>
      </c>
      <c r="C1110" s="236" t="s">
        <v>1060</v>
      </c>
      <c r="D1110" s="433" t="s">
        <v>837</v>
      </c>
      <c r="E1110" s="107" t="str">
        <f>VLOOKUP(B1110&amp;C1110,Divipola!$C$2:$F$1138,4,FALSE)</f>
        <v>44001</v>
      </c>
      <c r="F1110" s="335"/>
      <c r="G1110" s="221"/>
      <c r="H1110" s="157"/>
      <c r="I1110" s="157"/>
      <c r="J1110" s="157">
        <f>4147*5</f>
        <v>20735</v>
      </c>
      <c r="K1110" s="157">
        <f>5344-425-21-751</f>
        <v>4147</v>
      </c>
      <c r="L1110" s="157">
        <v>12</v>
      </c>
      <c r="M1110" s="157">
        <v>5595</v>
      </c>
      <c r="N1110" s="157"/>
      <c r="O1110" s="157"/>
      <c r="P1110" s="157"/>
      <c r="Q1110" s="157"/>
      <c r="R1110" s="157"/>
      <c r="S1110" s="157"/>
      <c r="T1110" s="157"/>
      <c r="U1110" s="157"/>
      <c r="V1110" s="158">
        <v>2834</v>
      </c>
      <c r="W1110" s="182"/>
      <c r="X1110" s="1">
        <v>40466</v>
      </c>
      <c r="Y1110" s="78">
        <f t="shared" si="146"/>
        <v>77465371.879999995</v>
      </c>
      <c r="Z1110" s="78">
        <f t="shared" si="147"/>
        <v>111605000</v>
      </c>
      <c r="AA1110" s="78">
        <f t="shared" si="144"/>
        <v>0</v>
      </c>
      <c r="AB1110" s="78">
        <f t="shared" si="148"/>
        <v>0</v>
      </c>
      <c r="AC1110" s="78">
        <v>54288000</v>
      </c>
      <c r="AD1110" s="78">
        <v>0</v>
      </c>
      <c r="AE1110" s="80">
        <f t="shared" si="150"/>
        <v>243358371.88</v>
      </c>
      <c r="AF1110" s="82">
        <v>0</v>
      </c>
      <c r="AG1110" s="69">
        <v>40429</v>
      </c>
      <c r="AH1110" s="84">
        <v>51059</v>
      </c>
      <c r="AI1110" s="69" t="s">
        <v>2009</v>
      </c>
      <c r="AJ1110" s="25" t="s">
        <v>2010</v>
      </c>
      <c r="AK1110" s="88" t="s">
        <v>1528</v>
      </c>
      <c r="AL1110" s="176" t="s">
        <v>1628</v>
      </c>
      <c r="AM1110" s="173" t="s">
        <v>1508</v>
      </c>
      <c r="AN1110" s="159"/>
      <c r="AO1110" s="160"/>
      <c r="AP1110" s="161"/>
      <c r="AQ1110" s="160"/>
      <c r="AR1110" s="160"/>
      <c r="AS1110" s="160"/>
      <c r="AT1110" s="160"/>
      <c r="AU1110" s="160"/>
      <c r="AV1110" s="160"/>
      <c r="AW1110" s="160"/>
      <c r="AX1110" s="160"/>
      <c r="AY1110" s="160"/>
      <c r="AZ1110" s="160"/>
      <c r="BA1110" s="160"/>
      <c r="BB1110" s="160"/>
      <c r="BC1110" s="160"/>
      <c r="BD1110" s="160"/>
      <c r="BE1110" s="160"/>
      <c r="BF1110" s="160"/>
      <c r="BG1110" s="160"/>
      <c r="BH1110" s="160"/>
      <c r="BI1110" s="160"/>
      <c r="BJ1110" s="160"/>
      <c r="BK1110" s="160"/>
      <c r="BL1110" s="160"/>
      <c r="BM1110" s="160"/>
      <c r="BN1110" s="160"/>
      <c r="BO1110" s="160"/>
      <c r="BP1110" s="160"/>
      <c r="BQ1110" s="160"/>
      <c r="BR1110" s="160"/>
      <c r="BS1110" s="160"/>
      <c r="BT1110" s="160"/>
      <c r="BU1110" s="160"/>
      <c r="BV1110" s="160"/>
      <c r="BW1110" s="160"/>
      <c r="BX1110" s="160"/>
      <c r="BY1110" s="160"/>
      <c r="BZ1110" s="160"/>
      <c r="CA1110" s="160"/>
      <c r="CB1110" s="160"/>
      <c r="CC1110" s="160"/>
      <c r="CD1110" s="160"/>
      <c r="CE1110" s="160"/>
      <c r="CF1110" s="160"/>
      <c r="CG1110" s="160"/>
      <c r="CH1110" s="160"/>
      <c r="CI1110" s="160"/>
      <c r="CJ1110" s="160"/>
      <c r="CK1110" s="160"/>
      <c r="CL1110" s="160"/>
      <c r="CM1110" s="160"/>
      <c r="CN1110" s="160">
        <v>1313</v>
      </c>
      <c r="CO1110" s="160">
        <f>1313*19999.56</f>
        <v>26259422.280000001</v>
      </c>
      <c r="CP1110" s="162">
        <v>1313</v>
      </c>
      <c r="CQ1110" s="163">
        <f>1313*38999.2</f>
        <v>51205949.599999994</v>
      </c>
      <c r="CR1110" s="162"/>
      <c r="CS1110" s="163"/>
      <c r="CT1110" s="162"/>
      <c r="CU1110" s="163"/>
      <c r="CV1110" s="164">
        <f t="shared" si="149"/>
        <v>77465371.879999995</v>
      </c>
      <c r="CW1110" s="165"/>
      <c r="CX1110" s="166"/>
      <c r="CY1110" s="167">
        <v>1313</v>
      </c>
      <c r="CZ1110" s="168">
        <f>1313*85000</f>
        <v>111605000</v>
      </c>
      <c r="DA1110" s="169"/>
      <c r="DB1110" s="168"/>
      <c r="DC1110" s="165"/>
      <c r="DD1110" s="166"/>
      <c r="DE1110" s="71"/>
      <c r="DF1110" s="170"/>
      <c r="EO1110" s="353" t="str">
        <f t="shared" si="143"/>
        <v>LA GUAJIRA_RIOHACHA</v>
      </c>
      <c r="EP1110" s="350"/>
      <c r="EQ1110" s="350" t="s">
        <v>4666</v>
      </c>
      <c r="ER1110" s="358" t="s">
        <v>3724</v>
      </c>
      <c r="ES1110" s="350" t="s">
        <v>5773</v>
      </c>
      <c r="ET1110" s="350" t="s">
        <v>3729</v>
      </c>
      <c r="EU1110" s="350" t="str">
        <f t="shared" si="145"/>
        <v>Vaupes_Taraira</v>
      </c>
    </row>
    <row r="1111" spans="1:151" s="171" customFormat="1" ht="51" x14ac:dyDescent="0.2">
      <c r="A1111" s="242">
        <v>40429</v>
      </c>
      <c r="B1111" s="222" t="s">
        <v>1336</v>
      </c>
      <c r="C1111" s="236" t="s">
        <v>2744</v>
      </c>
      <c r="D1111" s="433" t="s">
        <v>2781</v>
      </c>
      <c r="E1111" s="107" t="str">
        <f>VLOOKUP(B1111&amp;C1111,Divipola!$C$2:$F$1138,4,FALSE)</f>
        <v>54673</v>
      </c>
      <c r="F1111" s="335"/>
      <c r="G1111" s="221"/>
      <c r="H1111" s="157"/>
      <c r="I1111" s="157"/>
      <c r="J1111" s="157"/>
      <c r="K1111" s="157"/>
      <c r="L1111" s="157"/>
      <c r="M1111" s="157"/>
      <c r="N1111" s="157"/>
      <c r="O1111" s="157"/>
      <c r="P1111" s="157"/>
      <c r="Q1111" s="157"/>
      <c r="R1111" s="157"/>
      <c r="S1111" s="157"/>
      <c r="T1111" s="157"/>
      <c r="U1111" s="157"/>
      <c r="V1111" s="158"/>
      <c r="W1111" s="182"/>
      <c r="X1111" s="1"/>
      <c r="Y1111" s="78">
        <f t="shared" si="146"/>
        <v>0</v>
      </c>
      <c r="Z1111" s="78">
        <f t="shared" si="147"/>
        <v>0</v>
      </c>
      <c r="AA1111" s="78">
        <f t="shared" si="144"/>
        <v>0</v>
      </c>
      <c r="AB1111" s="78">
        <f t="shared" si="148"/>
        <v>0</v>
      </c>
      <c r="AC1111" s="78"/>
      <c r="AD1111" s="78">
        <v>0</v>
      </c>
      <c r="AE1111" s="80">
        <f t="shared" si="150"/>
        <v>0</v>
      </c>
      <c r="AF1111" s="82">
        <v>0</v>
      </c>
      <c r="AG1111" s="69">
        <v>40429</v>
      </c>
      <c r="AH1111" s="84"/>
      <c r="AI1111" s="69" t="s">
        <v>1984</v>
      </c>
      <c r="AJ1111" s="25" t="s">
        <v>1985</v>
      </c>
      <c r="AK1111" s="65"/>
      <c r="AL1111" s="176" t="s">
        <v>1257</v>
      </c>
      <c r="AM1111" s="173" t="s">
        <v>677</v>
      </c>
      <c r="AN1111" s="159"/>
      <c r="AO1111" s="160"/>
      <c r="AP1111" s="161"/>
      <c r="AQ1111" s="160"/>
      <c r="AR1111" s="160"/>
      <c r="AS1111" s="160"/>
      <c r="AT1111" s="160"/>
      <c r="AU1111" s="160"/>
      <c r="AV1111" s="160"/>
      <c r="AW1111" s="160"/>
      <c r="AX1111" s="160"/>
      <c r="AY1111" s="160"/>
      <c r="AZ1111" s="160"/>
      <c r="BA1111" s="160"/>
      <c r="BB1111" s="160"/>
      <c r="BC1111" s="160"/>
      <c r="BD1111" s="160"/>
      <c r="BE1111" s="160"/>
      <c r="BF1111" s="160"/>
      <c r="BG1111" s="160"/>
      <c r="BH1111" s="160"/>
      <c r="BI1111" s="160"/>
      <c r="BJ1111" s="160"/>
      <c r="BK1111" s="160"/>
      <c r="BL1111" s="160"/>
      <c r="BM1111" s="160"/>
      <c r="BN1111" s="160"/>
      <c r="BO1111" s="160"/>
      <c r="BP1111" s="160"/>
      <c r="BQ1111" s="160"/>
      <c r="BR1111" s="160"/>
      <c r="BS1111" s="160"/>
      <c r="BT1111" s="160"/>
      <c r="BU1111" s="160"/>
      <c r="BV1111" s="160"/>
      <c r="BW1111" s="160"/>
      <c r="BX1111" s="160"/>
      <c r="BY1111" s="160"/>
      <c r="BZ1111" s="160"/>
      <c r="CA1111" s="160"/>
      <c r="CB1111" s="160"/>
      <c r="CC1111" s="160"/>
      <c r="CD1111" s="160"/>
      <c r="CE1111" s="160"/>
      <c r="CF1111" s="160"/>
      <c r="CG1111" s="160"/>
      <c r="CH1111" s="160"/>
      <c r="CI1111" s="160"/>
      <c r="CJ1111" s="160"/>
      <c r="CK1111" s="160"/>
      <c r="CL1111" s="160"/>
      <c r="CM1111" s="160"/>
      <c r="CN1111" s="160"/>
      <c r="CO1111" s="160"/>
      <c r="CP1111" s="162"/>
      <c r="CQ1111" s="163"/>
      <c r="CR1111" s="162"/>
      <c r="CS1111" s="163"/>
      <c r="CT1111" s="162"/>
      <c r="CU1111" s="163"/>
      <c r="CV1111" s="164">
        <f t="shared" si="149"/>
        <v>0</v>
      </c>
      <c r="CW1111" s="165"/>
      <c r="CX1111" s="166"/>
      <c r="CY1111" s="167"/>
      <c r="CZ1111" s="168"/>
      <c r="DA1111" s="169"/>
      <c r="DB1111" s="168"/>
      <c r="DC1111" s="165"/>
      <c r="DD1111" s="166"/>
      <c r="DE1111" s="71"/>
      <c r="DF1111" s="170"/>
      <c r="EO1111" s="353" t="str">
        <f t="shared" si="143"/>
        <v>NORTE DE SANTANDER_SAN CAYETANO</v>
      </c>
      <c r="EP1111" s="350"/>
      <c r="EQ1111" s="350" t="s">
        <v>4666</v>
      </c>
      <c r="ER1111" s="358" t="s">
        <v>3724</v>
      </c>
      <c r="ES1111" s="350" t="s">
        <v>3730</v>
      </c>
      <c r="ET1111" s="350" t="s">
        <v>3731</v>
      </c>
      <c r="EU1111" s="350" t="str">
        <f t="shared" si="145"/>
        <v>Vaupes_Papunaua (CD)</v>
      </c>
    </row>
    <row r="1112" spans="1:151" s="171" customFormat="1" ht="96" x14ac:dyDescent="0.2">
      <c r="A1112" s="242">
        <v>40429</v>
      </c>
      <c r="B1112" s="222" t="s">
        <v>2014</v>
      </c>
      <c r="C1112" s="222" t="s">
        <v>2371</v>
      </c>
      <c r="D1112" s="427" t="s">
        <v>2307</v>
      </c>
      <c r="E1112" s="107" t="str">
        <f>VLOOKUP(B1112&amp;C1112,Divipola!$C$2:$F$1138,4,FALSE)</f>
        <v>63111</v>
      </c>
      <c r="F1112" s="330"/>
      <c r="G1112" s="221"/>
      <c r="H1112" s="157"/>
      <c r="I1112" s="157"/>
      <c r="J1112" s="157">
        <v>553</v>
      </c>
      <c r="K1112" s="157">
        <v>214</v>
      </c>
      <c r="L1112" s="157"/>
      <c r="M1112" s="157"/>
      <c r="N1112" s="157">
        <v>5</v>
      </c>
      <c r="O1112" s="157"/>
      <c r="P1112" s="157"/>
      <c r="Q1112" s="157"/>
      <c r="R1112" s="157"/>
      <c r="S1112" s="157"/>
      <c r="T1112" s="157"/>
      <c r="U1112" s="157"/>
      <c r="V1112" s="158"/>
      <c r="W1112" s="182"/>
      <c r="X1112" s="1">
        <v>40464</v>
      </c>
      <c r="Y1112" s="78">
        <f t="shared" si="146"/>
        <v>0</v>
      </c>
      <c r="Z1112" s="78">
        <f t="shared" si="147"/>
        <v>0</v>
      </c>
      <c r="AA1112" s="78">
        <f t="shared" si="144"/>
        <v>0</v>
      </c>
      <c r="AB1112" s="78">
        <f t="shared" si="148"/>
        <v>0</v>
      </c>
      <c r="AC1112" s="78"/>
      <c r="AD1112" s="78">
        <v>35131000</v>
      </c>
      <c r="AE1112" s="80">
        <f t="shared" si="150"/>
        <v>35131000</v>
      </c>
      <c r="AF1112" s="82">
        <v>0</v>
      </c>
      <c r="AG1112" s="242">
        <v>40431</v>
      </c>
      <c r="AH1112" s="84">
        <v>47547</v>
      </c>
      <c r="AI1112" s="69" t="s">
        <v>2009</v>
      </c>
      <c r="AJ1112" s="25" t="s">
        <v>2010</v>
      </c>
      <c r="AK1112" s="65">
        <v>37218</v>
      </c>
      <c r="AL1112" s="176" t="s">
        <v>1831</v>
      </c>
      <c r="AM1112" s="177" t="s">
        <v>3117</v>
      </c>
      <c r="AN1112" s="159"/>
      <c r="AO1112" s="160"/>
      <c r="AP1112" s="161"/>
      <c r="AQ1112" s="160"/>
      <c r="AR1112" s="160"/>
      <c r="AS1112" s="160"/>
      <c r="AT1112" s="160"/>
      <c r="AU1112" s="160"/>
      <c r="AV1112" s="160"/>
      <c r="AW1112" s="160"/>
      <c r="AX1112" s="160"/>
      <c r="AY1112" s="160"/>
      <c r="AZ1112" s="160"/>
      <c r="BA1112" s="160"/>
      <c r="BB1112" s="160"/>
      <c r="BC1112" s="160"/>
      <c r="BD1112" s="160"/>
      <c r="BE1112" s="160"/>
      <c r="BF1112" s="160"/>
      <c r="BG1112" s="160"/>
      <c r="BH1112" s="160"/>
      <c r="BI1112" s="160"/>
      <c r="BJ1112" s="160"/>
      <c r="BK1112" s="160"/>
      <c r="BL1112" s="160"/>
      <c r="BM1112" s="160"/>
      <c r="BN1112" s="160"/>
      <c r="BO1112" s="160"/>
      <c r="BP1112" s="160"/>
      <c r="BQ1112" s="160"/>
      <c r="BR1112" s="160"/>
      <c r="BS1112" s="160"/>
      <c r="BT1112" s="160"/>
      <c r="BU1112" s="160"/>
      <c r="BV1112" s="160"/>
      <c r="BW1112" s="160"/>
      <c r="BX1112" s="160"/>
      <c r="BY1112" s="160"/>
      <c r="BZ1112" s="160"/>
      <c r="CA1112" s="160"/>
      <c r="CB1112" s="160"/>
      <c r="CC1112" s="160"/>
      <c r="CD1112" s="160"/>
      <c r="CE1112" s="160"/>
      <c r="CF1112" s="160"/>
      <c r="CG1112" s="160"/>
      <c r="CH1112" s="160"/>
      <c r="CI1112" s="160"/>
      <c r="CJ1112" s="160"/>
      <c r="CK1112" s="160"/>
      <c r="CL1112" s="160"/>
      <c r="CM1112" s="160"/>
      <c r="CN1112" s="160"/>
      <c r="CO1112" s="160"/>
      <c r="CP1112" s="162"/>
      <c r="CQ1112" s="163"/>
      <c r="CR1112" s="162"/>
      <c r="CS1112" s="163"/>
      <c r="CT1112" s="162"/>
      <c r="CU1112" s="163"/>
      <c r="CV1112" s="164">
        <f t="shared" si="149"/>
        <v>0</v>
      </c>
      <c r="CW1112" s="165"/>
      <c r="CX1112" s="166"/>
      <c r="CY1112" s="167"/>
      <c r="CZ1112" s="168"/>
      <c r="DA1112" s="169"/>
      <c r="DB1112" s="168"/>
      <c r="DC1112" s="165"/>
      <c r="DD1112" s="166"/>
      <c r="DE1112" s="71">
        <v>4</v>
      </c>
      <c r="DF1112" s="170">
        <v>1336</v>
      </c>
      <c r="EO1112" s="353" t="str">
        <f t="shared" si="143"/>
        <v>QUINDIO_BUENAVISTA</v>
      </c>
      <c r="EP1112" s="350"/>
      <c r="EQ1112" s="350" t="s">
        <v>4666</v>
      </c>
      <c r="ER1112" s="358" t="s">
        <v>3724</v>
      </c>
      <c r="ES1112" s="350" t="s">
        <v>3732</v>
      </c>
      <c r="ET1112" s="350" t="s">
        <v>3733</v>
      </c>
      <c r="EU1112" s="350" t="str">
        <f t="shared" si="145"/>
        <v>Vaupes_Yavarate (CD)</v>
      </c>
    </row>
    <row r="1113" spans="1:151" s="171" customFormat="1" ht="25.5" x14ac:dyDescent="0.2">
      <c r="A1113" s="242">
        <v>40429</v>
      </c>
      <c r="B1113" s="236" t="s">
        <v>2791</v>
      </c>
      <c r="C1113" s="236" t="s">
        <v>1945</v>
      </c>
      <c r="D1113" s="427" t="s">
        <v>2307</v>
      </c>
      <c r="E1113" s="107" t="str">
        <f>VLOOKUP(B1113&amp;C1113,Divipola!$C$2:$F$1138,4,FALSE)</f>
        <v>73001</v>
      </c>
      <c r="F1113" s="330"/>
      <c r="G1113" s="221"/>
      <c r="H1113" s="157"/>
      <c r="I1113" s="157"/>
      <c r="J1113" s="157">
        <v>15</v>
      </c>
      <c r="K1113" s="157">
        <v>3</v>
      </c>
      <c r="L1113" s="157"/>
      <c r="M1113" s="157">
        <v>3</v>
      </c>
      <c r="N1113" s="157"/>
      <c r="O1113" s="157"/>
      <c r="P1113" s="157"/>
      <c r="Q1113" s="157"/>
      <c r="R1113" s="157"/>
      <c r="S1113" s="157"/>
      <c r="T1113" s="157"/>
      <c r="U1113" s="157"/>
      <c r="V1113" s="158"/>
      <c r="W1113" s="182"/>
      <c r="X1113" s="1"/>
      <c r="Y1113" s="78">
        <f t="shared" si="146"/>
        <v>0</v>
      </c>
      <c r="Z1113" s="78">
        <f t="shared" si="147"/>
        <v>0</v>
      </c>
      <c r="AA1113" s="78">
        <f t="shared" si="144"/>
        <v>0</v>
      </c>
      <c r="AB1113" s="78">
        <f t="shared" si="148"/>
        <v>0</v>
      </c>
      <c r="AC1113" s="78"/>
      <c r="AD1113" s="78">
        <v>0</v>
      </c>
      <c r="AE1113" s="80">
        <f t="shared" si="150"/>
        <v>0</v>
      </c>
      <c r="AF1113" s="82">
        <v>0</v>
      </c>
      <c r="AG1113" s="69">
        <v>40429</v>
      </c>
      <c r="AH1113" s="84"/>
      <c r="AI1113" s="69" t="s">
        <v>1984</v>
      </c>
      <c r="AJ1113" s="25" t="s">
        <v>1985</v>
      </c>
      <c r="AK1113" s="65"/>
      <c r="AL1113" s="176" t="s">
        <v>1257</v>
      </c>
      <c r="AM1113" s="173" t="s">
        <v>672</v>
      </c>
      <c r="AN1113" s="159"/>
      <c r="AO1113" s="160"/>
      <c r="AP1113" s="161"/>
      <c r="AQ1113" s="160"/>
      <c r="AR1113" s="160"/>
      <c r="AS1113" s="160"/>
      <c r="AT1113" s="160"/>
      <c r="AU1113" s="160"/>
      <c r="AV1113" s="160"/>
      <c r="AW1113" s="160"/>
      <c r="AX1113" s="160"/>
      <c r="AY1113" s="160"/>
      <c r="AZ1113" s="160"/>
      <c r="BA1113" s="160"/>
      <c r="BB1113" s="160"/>
      <c r="BC1113" s="160"/>
      <c r="BD1113" s="160"/>
      <c r="BE1113" s="160"/>
      <c r="BF1113" s="160"/>
      <c r="BG1113" s="160"/>
      <c r="BH1113" s="160"/>
      <c r="BI1113" s="160"/>
      <c r="BJ1113" s="160"/>
      <c r="BK1113" s="160"/>
      <c r="BL1113" s="160"/>
      <c r="BM1113" s="160"/>
      <c r="BN1113" s="160"/>
      <c r="BO1113" s="160"/>
      <c r="BP1113" s="160"/>
      <c r="BQ1113" s="160"/>
      <c r="BR1113" s="160"/>
      <c r="BS1113" s="160"/>
      <c r="BT1113" s="160"/>
      <c r="BU1113" s="160"/>
      <c r="BV1113" s="160"/>
      <c r="BW1113" s="160"/>
      <c r="BX1113" s="160"/>
      <c r="BY1113" s="160"/>
      <c r="BZ1113" s="160"/>
      <c r="CA1113" s="160"/>
      <c r="CB1113" s="160"/>
      <c r="CC1113" s="160"/>
      <c r="CD1113" s="160"/>
      <c r="CE1113" s="160"/>
      <c r="CF1113" s="160"/>
      <c r="CG1113" s="160"/>
      <c r="CH1113" s="160"/>
      <c r="CI1113" s="160"/>
      <c r="CJ1113" s="160"/>
      <c r="CK1113" s="160"/>
      <c r="CL1113" s="160"/>
      <c r="CM1113" s="160"/>
      <c r="CN1113" s="160"/>
      <c r="CO1113" s="160"/>
      <c r="CP1113" s="162"/>
      <c r="CQ1113" s="163"/>
      <c r="CR1113" s="162"/>
      <c r="CS1113" s="163"/>
      <c r="CT1113" s="162"/>
      <c r="CU1113" s="163"/>
      <c r="CV1113" s="164">
        <f t="shared" si="149"/>
        <v>0</v>
      </c>
      <c r="CW1113" s="165"/>
      <c r="CX1113" s="166"/>
      <c r="CY1113" s="167"/>
      <c r="CZ1113" s="168"/>
      <c r="DA1113" s="169"/>
      <c r="DB1113" s="168"/>
      <c r="DC1113" s="165"/>
      <c r="DD1113" s="166"/>
      <c r="DE1113" s="71"/>
      <c r="DF1113" s="170">
        <v>1267</v>
      </c>
      <c r="EO1113" s="353" t="str">
        <f t="shared" ref="EO1113:EO1175" si="151">B1113&amp;"_"&amp;C1113</f>
        <v>TOLIMA_IBAGUE</v>
      </c>
      <c r="EP1113" s="350"/>
      <c r="EQ1113" s="350" t="s">
        <v>4672</v>
      </c>
      <c r="ER1113" s="358" t="s">
        <v>3734</v>
      </c>
      <c r="ES1113" s="350" t="s">
        <v>5774</v>
      </c>
      <c r="ET1113" s="350" t="s">
        <v>3735</v>
      </c>
      <c r="EU1113" s="350" t="str">
        <f t="shared" si="145"/>
        <v>Vichada_Puerto Carreño</v>
      </c>
    </row>
    <row r="1114" spans="1:151" s="171" customFormat="1" ht="180" x14ac:dyDescent="0.2">
      <c r="A1114" s="242">
        <v>40429</v>
      </c>
      <c r="B1114" s="236" t="s">
        <v>1462</v>
      </c>
      <c r="C1114" s="236" t="s">
        <v>2736</v>
      </c>
      <c r="D1114" s="433" t="s">
        <v>2209</v>
      </c>
      <c r="E1114" s="107" t="str">
        <f>VLOOKUP(B1114&amp;C1114,Divipola!$C$2:$F$1138,4,FALSE)</f>
        <v>76606</v>
      </c>
      <c r="F1114" s="335"/>
      <c r="G1114" s="221"/>
      <c r="H1114" s="157"/>
      <c r="I1114" s="157"/>
      <c r="J1114" s="157">
        <f>31*5</f>
        <v>155</v>
      </c>
      <c r="K1114" s="157">
        <f>158-127</f>
        <v>31</v>
      </c>
      <c r="L1114" s="157"/>
      <c r="M1114" s="157">
        <v>31</v>
      </c>
      <c r="N1114" s="157"/>
      <c r="O1114" s="157"/>
      <c r="P1114" s="157"/>
      <c r="Q1114" s="157"/>
      <c r="R1114" s="157"/>
      <c r="S1114" s="157"/>
      <c r="T1114" s="157"/>
      <c r="U1114" s="157">
        <v>6</v>
      </c>
      <c r="V1114" s="158"/>
      <c r="W1114" s="182"/>
      <c r="X1114" s="1">
        <v>40452</v>
      </c>
      <c r="Y1114" s="78">
        <f t="shared" si="146"/>
        <v>72798236</v>
      </c>
      <c r="Z1114" s="78">
        <f t="shared" si="147"/>
        <v>33999384</v>
      </c>
      <c r="AA1114" s="78">
        <f t="shared" ref="AA1114:AA1145" si="152">DB1114+DD1114</f>
        <v>58499910.000000007</v>
      </c>
      <c r="AB1114" s="78">
        <f t="shared" si="148"/>
        <v>0</v>
      </c>
      <c r="AC1114" s="78"/>
      <c r="AD1114" s="78">
        <v>0</v>
      </c>
      <c r="AE1114" s="80">
        <f t="shared" si="150"/>
        <v>165297530</v>
      </c>
      <c r="AF1114" s="82">
        <v>0</v>
      </c>
      <c r="AG1114" s="242">
        <v>40429</v>
      </c>
      <c r="AH1114" s="84">
        <v>47553</v>
      </c>
      <c r="AI1114" s="69" t="s">
        <v>2009</v>
      </c>
      <c r="AJ1114" s="25" t="s">
        <v>2010</v>
      </c>
      <c r="AK1114" s="65">
        <v>20704</v>
      </c>
      <c r="AL1114" s="176" t="s">
        <v>1831</v>
      </c>
      <c r="AM1114" s="173" t="s">
        <v>902</v>
      </c>
      <c r="AN1114" s="159"/>
      <c r="AO1114" s="160"/>
      <c r="AP1114" s="161"/>
      <c r="AQ1114" s="160"/>
      <c r="AR1114" s="160"/>
      <c r="AS1114" s="160"/>
      <c r="AT1114" s="160"/>
      <c r="AU1114" s="160"/>
      <c r="AV1114" s="160">
        <v>800</v>
      </c>
      <c r="AW1114" s="160">
        <f>800*20998.32</f>
        <v>16798656</v>
      </c>
      <c r="AX1114" s="160"/>
      <c r="AY1114" s="160"/>
      <c r="AZ1114" s="160">
        <v>1000</v>
      </c>
      <c r="BA1114" s="160">
        <f>1000*55999.58</f>
        <v>55999580</v>
      </c>
      <c r="BB1114" s="160"/>
      <c r="BC1114" s="160"/>
      <c r="BD1114" s="160"/>
      <c r="BE1114" s="160"/>
      <c r="BF1114" s="160"/>
      <c r="BG1114" s="160"/>
      <c r="BH1114" s="160"/>
      <c r="BI1114" s="160"/>
      <c r="BJ1114" s="160"/>
      <c r="BK1114" s="160"/>
      <c r="BL1114" s="160"/>
      <c r="BM1114" s="160"/>
      <c r="BN1114" s="160"/>
      <c r="BO1114" s="160"/>
      <c r="BP1114" s="160"/>
      <c r="BQ1114" s="160"/>
      <c r="BR1114" s="160"/>
      <c r="BS1114" s="160"/>
      <c r="BT1114" s="160"/>
      <c r="BU1114" s="160"/>
      <c r="BV1114" s="160"/>
      <c r="BW1114" s="160"/>
      <c r="BX1114" s="160"/>
      <c r="BY1114" s="160"/>
      <c r="BZ1114" s="160"/>
      <c r="CA1114" s="160"/>
      <c r="CB1114" s="160"/>
      <c r="CC1114" s="160"/>
      <c r="CD1114" s="160"/>
      <c r="CE1114" s="160"/>
      <c r="CF1114" s="160"/>
      <c r="CG1114" s="160"/>
      <c r="CH1114" s="160"/>
      <c r="CI1114" s="160"/>
      <c r="CJ1114" s="160"/>
      <c r="CK1114" s="160"/>
      <c r="CL1114" s="160"/>
      <c r="CM1114" s="160"/>
      <c r="CN1114" s="160"/>
      <c r="CO1114" s="160"/>
      <c r="CP1114" s="162"/>
      <c r="CQ1114" s="163"/>
      <c r="CR1114" s="162"/>
      <c r="CS1114" s="163"/>
      <c r="CT1114" s="162"/>
      <c r="CU1114" s="163"/>
      <c r="CV1114" s="164">
        <f t="shared" si="149"/>
        <v>72798236</v>
      </c>
      <c r="CW1114" s="165"/>
      <c r="CX1114" s="166"/>
      <c r="CY1114" s="167">
        <v>400</v>
      </c>
      <c r="CZ1114" s="168">
        <f>400*84998.46</f>
        <v>33999384</v>
      </c>
      <c r="DA1114" s="169"/>
      <c r="DB1114" s="168"/>
      <c r="DC1114" s="165">
        <v>3000</v>
      </c>
      <c r="DD1114" s="166">
        <f>3000*18999.99+6000*249.99</f>
        <v>58499910.000000007</v>
      </c>
      <c r="DE1114" s="71"/>
      <c r="DF1114" s="170"/>
      <c r="EO1114" s="353" t="str">
        <f t="shared" si="151"/>
        <v>VALLE DEL CAUCA_RESTREPO</v>
      </c>
      <c r="EP1114" s="350"/>
      <c r="EQ1114" s="350" t="s">
        <v>4672</v>
      </c>
      <c r="ER1114" s="358" t="s">
        <v>3734</v>
      </c>
      <c r="ES1114" s="350" t="s">
        <v>5775</v>
      </c>
      <c r="ET1114" s="350" t="s">
        <v>3736</v>
      </c>
      <c r="EU1114" s="350" t="str">
        <f t="shared" si="145"/>
        <v>Vichada_La Primavera</v>
      </c>
    </row>
    <row r="1115" spans="1:151" s="171" customFormat="1" ht="120" x14ac:dyDescent="0.2">
      <c r="A1115" s="242">
        <v>40430</v>
      </c>
      <c r="B1115" s="107" t="s">
        <v>1700</v>
      </c>
      <c r="C1115" s="236" t="s">
        <v>154</v>
      </c>
      <c r="D1115" s="433" t="s">
        <v>837</v>
      </c>
      <c r="E1115" s="107" t="str">
        <f>VLOOKUP(B1115&amp;C1115,Divipola!$C$2:$F$1138,4,FALSE)</f>
        <v>23068</v>
      </c>
      <c r="F1115" s="335"/>
      <c r="G1115" s="221"/>
      <c r="H1115" s="157"/>
      <c r="I1115" s="157"/>
      <c r="J1115" s="157"/>
      <c r="K1115" s="157"/>
      <c r="L1115" s="157"/>
      <c r="M1115" s="157"/>
      <c r="N1115" s="157"/>
      <c r="O1115" s="157"/>
      <c r="P1115" s="157"/>
      <c r="Q1115" s="157"/>
      <c r="R1115" s="157"/>
      <c r="S1115" s="157"/>
      <c r="T1115" s="157"/>
      <c r="U1115" s="157"/>
      <c r="V1115" s="158"/>
      <c r="W1115" s="182"/>
      <c r="X1115" s="1">
        <v>40459</v>
      </c>
      <c r="Y1115" s="78">
        <f t="shared" si="146"/>
        <v>94517996.799999997</v>
      </c>
      <c r="Z1115" s="78">
        <f t="shared" si="147"/>
        <v>977500000</v>
      </c>
      <c r="AA1115" s="78">
        <f t="shared" si="152"/>
        <v>0</v>
      </c>
      <c r="AB1115" s="78">
        <f t="shared" si="148"/>
        <v>0</v>
      </c>
      <c r="AC1115" s="78"/>
      <c r="AD1115" s="78">
        <v>37000000</v>
      </c>
      <c r="AE1115" s="80">
        <f t="shared" si="150"/>
        <v>1109017996.8</v>
      </c>
      <c r="AF1115" s="82">
        <v>0</v>
      </c>
      <c r="AG1115" s="69">
        <v>40429</v>
      </c>
      <c r="AH1115" s="84">
        <v>38767</v>
      </c>
      <c r="AI1115" s="69" t="s">
        <v>2009</v>
      </c>
      <c r="AJ1115" s="25" t="s">
        <v>2010</v>
      </c>
      <c r="AK1115" s="88" t="s">
        <v>2848</v>
      </c>
      <c r="AL1115" s="176" t="s">
        <v>1831</v>
      </c>
      <c r="AM1115" s="177" t="s">
        <v>2849</v>
      </c>
      <c r="AN1115" s="159"/>
      <c r="AO1115" s="160"/>
      <c r="AP1115" s="161"/>
      <c r="AQ1115" s="160"/>
      <c r="AR1115" s="160"/>
      <c r="AS1115" s="160"/>
      <c r="AT1115" s="160"/>
      <c r="AU1115" s="160"/>
      <c r="AV1115" s="160"/>
      <c r="AW1115" s="160"/>
      <c r="AX1115" s="160"/>
      <c r="AY1115" s="160"/>
      <c r="AZ1115" s="160"/>
      <c r="BA1115" s="160"/>
      <c r="BB1115" s="160"/>
      <c r="BC1115" s="160"/>
      <c r="BD1115" s="160"/>
      <c r="BE1115" s="160"/>
      <c r="BF1115" s="160"/>
      <c r="BG1115" s="160"/>
      <c r="BH1115" s="160"/>
      <c r="BI1115" s="160"/>
      <c r="BJ1115" s="160"/>
      <c r="BK1115" s="160"/>
      <c r="BL1115" s="160"/>
      <c r="BM1115" s="160"/>
      <c r="BN1115" s="160"/>
      <c r="BO1115" s="160"/>
      <c r="BP1115" s="160"/>
      <c r="BQ1115" s="160"/>
      <c r="BR1115" s="160"/>
      <c r="BS1115" s="160"/>
      <c r="BT1115" s="160"/>
      <c r="BU1115" s="160"/>
      <c r="BV1115" s="160"/>
      <c r="BW1115" s="160"/>
      <c r="BX1115" s="160"/>
      <c r="BY1115" s="160"/>
      <c r="BZ1115" s="160">
        <f>10+10+10+15</f>
        <v>45</v>
      </c>
      <c r="CA1115" s="160">
        <f>10*504600+10*470000+10*496999.68+15*440800</f>
        <v>21327996.800000001</v>
      </c>
      <c r="CB1115" s="160"/>
      <c r="CC1115" s="160"/>
      <c r="CD1115" s="160"/>
      <c r="CE1115" s="160"/>
      <c r="CF1115" s="160"/>
      <c r="CG1115" s="160"/>
      <c r="CH1115" s="160"/>
      <c r="CI1115" s="160"/>
      <c r="CJ1115" s="160"/>
      <c r="CK1115" s="160"/>
      <c r="CL1115" s="160"/>
      <c r="CM1115" s="160"/>
      <c r="CN1115" s="160"/>
      <c r="CO1115" s="160"/>
      <c r="CP1115" s="162">
        <v>2000</v>
      </c>
      <c r="CQ1115" s="163">
        <f>2000*36595</f>
        <v>73190000</v>
      </c>
      <c r="CR1115" s="162"/>
      <c r="CS1115" s="163"/>
      <c r="CT1115" s="162"/>
      <c r="CU1115" s="163"/>
      <c r="CV1115" s="164">
        <f t="shared" si="149"/>
        <v>94517996.799999997</v>
      </c>
      <c r="CW1115" s="165"/>
      <c r="CX1115" s="166"/>
      <c r="CY1115" s="167">
        <f>2000+2500+3500+3500</f>
        <v>11500</v>
      </c>
      <c r="CZ1115" s="168">
        <f>2000*85000+2500*85000+3500*85000+3500*85000</f>
        <v>977500000</v>
      </c>
      <c r="DA1115" s="169"/>
      <c r="DB1115" s="168"/>
      <c r="DC1115" s="165"/>
      <c r="DD1115" s="166"/>
      <c r="DE1115" s="71"/>
      <c r="DF1115" s="170"/>
      <c r="EO1115" s="353" t="str">
        <f t="shared" si="151"/>
        <v>CORDOBA_AYAPEL</v>
      </c>
      <c r="EP1115" s="350"/>
      <c r="EQ1115" s="350" t="s">
        <v>4672</v>
      </c>
      <c r="ER1115" s="358" t="s">
        <v>3734</v>
      </c>
      <c r="ES1115" s="350" t="s">
        <v>5776</v>
      </c>
      <c r="ET1115" s="350" t="s">
        <v>3737</v>
      </c>
      <c r="EU1115" s="350" t="str">
        <f t="shared" si="145"/>
        <v>Vichada_Santa Rosalia</v>
      </c>
    </row>
    <row r="1116" spans="1:151" s="171" customFormat="1" ht="36.75" thickBot="1" x14ac:dyDescent="0.25">
      <c r="A1116" s="242">
        <v>40431</v>
      </c>
      <c r="B1116" s="222" t="s">
        <v>828</v>
      </c>
      <c r="C1116" s="222" t="s">
        <v>2368</v>
      </c>
      <c r="D1116" s="430" t="s">
        <v>837</v>
      </c>
      <c r="E1116" s="107" t="str">
        <f>VLOOKUP(B1116&amp;C1116,Divipola!$C$2:$F$1138,4,FALSE)</f>
        <v>15778</v>
      </c>
      <c r="F1116" s="333"/>
      <c r="G1116" s="221"/>
      <c r="H1116" s="157"/>
      <c r="I1116" s="157"/>
      <c r="J1116" s="157">
        <f>171*5</f>
        <v>855</v>
      </c>
      <c r="K1116" s="157">
        <v>171</v>
      </c>
      <c r="L1116" s="157"/>
      <c r="M1116" s="157">
        <v>70</v>
      </c>
      <c r="N1116" s="157"/>
      <c r="O1116" s="157"/>
      <c r="P1116" s="157"/>
      <c r="Q1116" s="157"/>
      <c r="R1116" s="157"/>
      <c r="S1116" s="157"/>
      <c r="T1116" s="157"/>
      <c r="U1116" s="157"/>
      <c r="V1116" s="158"/>
      <c r="W1116" s="182"/>
      <c r="X1116" s="1">
        <v>40530</v>
      </c>
      <c r="Y1116" s="78">
        <f t="shared" si="146"/>
        <v>26128802.800000001</v>
      </c>
      <c r="Z1116" s="78">
        <f t="shared" si="147"/>
        <v>14450000</v>
      </c>
      <c r="AA1116" s="78">
        <f t="shared" si="152"/>
        <v>0</v>
      </c>
      <c r="AB1116" s="78">
        <f t="shared" si="148"/>
        <v>0</v>
      </c>
      <c r="AC1116" s="78"/>
      <c r="AD1116" s="78">
        <v>0</v>
      </c>
      <c r="AE1116" s="80">
        <f t="shared" si="150"/>
        <v>40578802.799999997</v>
      </c>
      <c r="AF1116" s="82">
        <v>0</v>
      </c>
      <c r="AG1116" s="69">
        <v>40504</v>
      </c>
      <c r="AH1116" s="84"/>
      <c r="AI1116" s="69" t="s">
        <v>2009</v>
      </c>
      <c r="AJ1116" s="25" t="s">
        <v>2010</v>
      </c>
      <c r="AK1116" s="88" t="s">
        <v>72</v>
      </c>
      <c r="AL1116" s="176" t="s">
        <v>1676</v>
      </c>
      <c r="AM1116" s="173" t="s">
        <v>1661</v>
      </c>
      <c r="AN1116" s="159"/>
      <c r="AO1116" s="160"/>
      <c r="AP1116" s="161"/>
      <c r="AQ1116" s="160"/>
      <c r="AR1116" s="160"/>
      <c r="AS1116" s="160"/>
      <c r="AT1116" s="160"/>
      <c r="AU1116" s="160"/>
      <c r="AV1116" s="160"/>
      <c r="AW1116" s="160"/>
      <c r="AX1116" s="160"/>
      <c r="AY1116" s="160"/>
      <c r="AZ1116" s="160">
        <v>170</v>
      </c>
      <c r="BA1116" s="160">
        <f>170*56000</f>
        <v>9520000</v>
      </c>
      <c r="BB1116" s="160"/>
      <c r="BC1116" s="160"/>
      <c r="BD1116" s="160"/>
      <c r="BE1116" s="160"/>
      <c r="BF1116" s="160"/>
      <c r="BG1116" s="160"/>
      <c r="BH1116" s="160"/>
      <c r="BI1116" s="160"/>
      <c r="BJ1116" s="160"/>
      <c r="BK1116" s="160"/>
      <c r="BL1116" s="160"/>
      <c r="BM1116" s="160"/>
      <c r="BN1116" s="160"/>
      <c r="BO1116" s="160"/>
      <c r="BP1116" s="160"/>
      <c r="BQ1116" s="160"/>
      <c r="BR1116" s="160"/>
      <c r="BS1116" s="160"/>
      <c r="BT1116" s="160"/>
      <c r="BU1116" s="160"/>
      <c r="BV1116" s="160"/>
      <c r="BW1116" s="160"/>
      <c r="BX1116" s="160"/>
      <c r="BY1116" s="160"/>
      <c r="BZ1116" s="160"/>
      <c r="CA1116" s="160"/>
      <c r="CB1116" s="160"/>
      <c r="CC1116" s="160"/>
      <c r="CD1116" s="160"/>
      <c r="CE1116" s="160"/>
      <c r="CF1116" s="160"/>
      <c r="CG1116" s="160"/>
      <c r="CH1116" s="160"/>
      <c r="CI1116" s="160"/>
      <c r="CJ1116" s="160">
        <v>170</v>
      </c>
      <c r="CK1116" s="160">
        <f>170*20999.48</f>
        <v>3569911.6</v>
      </c>
      <c r="CL1116" s="160"/>
      <c r="CM1116" s="160"/>
      <c r="CN1116" s="160"/>
      <c r="CO1116" s="160"/>
      <c r="CP1116" s="162">
        <v>170</v>
      </c>
      <c r="CQ1116" s="163">
        <f>170*36999.36</f>
        <v>6289891.2000000002</v>
      </c>
      <c r="CR1116" s="162">
        <v>170</v>
      </c>
      <c r="CS1116" s="163">
        <f>170*39700</f>
        <v>6749000</v>
      </c>
      <c r="CT1116" s="162"/>
      <c r="CU1116" s="163"/>
      <c r="CV1116" s="164">
        <f t="shared" si="149"/>
        <v>26128802.800000001</v>
      </c>
      <c r="CW1116" s="165"/>
      <c r="CX1116" s="166"/>
      <c r="CY1116" s="167">
        <v>170</v>
      </c>
      <c r="CZ1116" s="168">
        <f>170*85000</f>
        <v>14450000</v>
      </c>
      <c r="DA1116" s="169"/>
      <c r="DB1116" s="168"/>
      <c r="DC1116" s="165"/>
      <c r="DD1116" s="166"/>
      <c r="DE1116" s="71"/>
      <c r="DF1116" s="170"/>
      <c r="EO1116" s="353" t="str">
        <f t="shared" si="151"/>
        <v>BOYACA_SUTATENZA</v>
      </c>
      <c r="EP1116" s="350"/>
      <c r="EQ1116" s="356" t="s">
        <v>4672</v>
      </c>
      <c r="ER1116" s="369" t="s">
        <v>3734</v>
      </c>
      <c r="ES1116" s="356" t="s">
        <v>5777</v>
      </c>
      <c r="ET1116" s="356" t="s">
        <v>3738</v>
      </c>
      <c r="EU1116" s="356" t="str">
        <f t="shared" si="145"/>
        <v>Vichada_Cumaribo</v>
      </c>
    </row>
    <row r="1117" spans="1:151" s="171" customFormat="1" ht="48.75" thickTop="1" x14ac:dyDescent="0.2">
      <c r="A1117" s="242">
        <v>40431</v>
      </c>
      <c r="B1117" s="107" t="s">
        <v>5778</v>
      </c>
      <c r="C1117" s="222" t="s">
        <v>600</v>
      </c>
      <c r="D1117" s="430" t="s">
        <v>2209</v>
      </c>
      <c r="E1117" s="107" t="str">
        <f>VLOOKUP(B1117&amp;C1117,Divipola!$C$2:$F$1138,4,FALSE)</f>
        <v>44035</v>
      </c>
      <c r="F1117" s="333"/>
      <c r="G1117" s="221"/>
      <c r="H1117" s="157"/>
      <c r="I1117" s="157"/>
      <c r="J1117" s="157">
        <f>137*5-117</f>
        <v>568</v>
      </c>
      <c r="K1117" s="157">
        <f>137-32</f>
        <v>105</v>
      </c>
      <c r="L1117" s="157"/>
      <c r="M1117" s="157">
        <v>137</v>
      </c>
      <c r="N1117" s="157"/>
      <c r="O1117" s="157"/>
      <c r="P1117" s="157"/>
      <c r="Q1117" s="157"/>
      <c r="R1117" s="157"/>
      <c r="S1117" s="157"/>
      <c r="T1117" s="157">
        <v>3</v>
      </c>
      <c r="U1117" s="157"/>
      <c r="V1117" s="158"/>
      <c r="W1117" s="182"/>
      <c r="X1117" s="1">
        <v>40508</v>
      </c>
      <c r="Y1117" s="78">
        <f t="shared" si="146"/>
        <v>17494900</v>
      </c>
      <c r="Z1117" s="78">
        <f t="shared" si="147"/>
        <v>11645000</v>
      </c>
      <c r="AA1117" s="78">
        <f t="shared" si="152"/>
        <v>0</v>
      </c>
      <c r="AB1117" s="78">
        <f t="shared" si="148"/>
        <v>0</v>
      </c>
      <c r="AC1117" s="78"/>
      <c r="AD1117" s="78">
        <v>0</v>
      </c>
      <c r="AE1117" s="80">
        <f t="shared" si="150"/>
        <v>29139900</v>
      </c>
      <c r="AF1117" s="82">
        <v>0</v>
      </c>
      <c r="AG1117" s="69">
        <v>40484</v>
      </c>
      <c r="AH1117" s="84">
        <v>59457</v>
      </c>
      <c r="AI1117" s="69" t="s">
        <v>2009</v>
      </c>
      <c r="AJ1117" s="25" t="s">
        <v>2010</v>
      </c>
      <c r="AK1117" s="109">
        <v>24642</v>
      </c>
      <c r="AL1117" s="185" t="s">
        <v>2182</v>
      </c>
      <c r="AM1117" s="173" t="s">
        <v>1228</v>
      </c>
      <c r="AN1117" s="159"/>
      <c r="AO1117" s="160"/>
      <c r="AP1117" s="161"/>
      <c r="AQ1117" s="160"/>
      <c r="AR1117" s="160"/>
      <c r="AS1117" s="160"/>
      <c r="AT1117" s="160"/>
      <c r="AU1117" s="160"/>
      <c r="AV1117" s="160"/>
      <c r="AW1117" s="160"/>
      <c r="AX1117" s="160"/>
      <c r="AY1117" s="160"/>
      <c r="AZ1117" s="160"/>
      <c r="BA1117" s="160"/>
      <c r="BB1117" s="160"/>
      <c r="BC1117" s="160"/>
      <c r="BD1117" s="160"/>
      <c r="BE1117" s="160"/>
      <c r="BF1117" s="160"/>
      <c r="BG1117" s="160"/>
      <c r="BH1117" s="160"/>
      <c r="BI1117" s="160"/>
      <c r="BJ1117" s="160"/>
      <c r="BK1117" s="160"/>
      <c r="BL1117" s="160">
        <v>274</v>
      </c>
      <c r="BM1117" s="160">
        <f>274*25500</f>
        <v>6987000</v>
      </c>
      <c r="BN1117" s="160"/>
      <c r="BO1117" s="160"/>
      <c r="BP1117" s="160"/>
      <c r="BQ1117" s="160"/>
      <c r="BR1117" s="160"/>
      <c r="BS1117" s="160"/>
      <c r="BT1117" s="160"/>
      <c r="BU1117" s="160"/>
      <c r="BV1117" s="160"/>
      <c r="BW1117" s="160"/>
      <c r="BX1117" s="160"/>
      <c r="BY1117" s="160"/>
      <c r="BZ1117" s="160"/>
      <c r="CA1117" s="160"/>
      <c r="CB1117" s="160"/>
      <c r="CC1117" s="160"/>
      <c r="CD1117" s="160"/>
      <c r="CE1117" s="160"/>
      <c r="CF1117" s="160"/>
      <c r="CG1117" s="160"/>
      <c r="CH1117" s="160"/>
      <c r="CI1117" s="160"/>
      <c r="CJ1117" s="160"/>
      <c r="CK1117" s="160"/>
      <c r="CL1117" s="160"/>
      <c r="CM1117" s="160"/>
      <c r="CN1117" s="160"/>
      <c r="CO1117" s="160"/>
      <c r="CP1117" s="162">
        <v>137</v>
      </c>
      <c r="CQ1117" s="163">
        <f>137*37000</f>
        <v>5069000</v>
      </c>
      <c r="CR1117" s="162">
        <v>137</v>
      </c>
      <c r="CS1117" s="163">
        <f>137*39700</f>
        <v>5438900</v>
      </c>
      <c r="CT1117" s="162"/>
      <c r="CU1117" s="163"/>
      <c r="CV1117" s="164">
        <f t="shared" si="149"/>
        <v>17494900</v>
      </c>
      <c r="CW1117" s="165"/>
      <c r="CX1117" s="166"/>
      <c r="CY1117" s="167">
        <v>137</v>
      </c>
      <c r="CZ1117" s="168">
        <f>137*85000</f>
        <v>11645000</v>
      </c>
      <c r="DA1117" s="169"/>
      <c r="DB1117" s="168"/>
      <c r="DC1117" s="165"/>
      <c r="DD1117" s="166"/>
      <c r="DE1117" s="71"/>
      <c r="DF1117" s="170"/>
      <c r="EO1117" s="353" t="str">
        <f t="shared" si="151"/>
        <v>LA GUAJIRA_ALBANIA</v>
      </c>
      <c r="EP1117" s="350"/>
      <c r="EQ1117" s="350"/>
      <c r="ER1117" s="357"/>
      <c r="ES1117" s="350"/>
      <c r="ET1117" s="350"/>
      <c r="EU1117" s="350"/>
    </row>
    <row r="1118" spans="1:151" s="171" customFormat="1" ht="38.25" x14ac:dyDescent="0.2">
      <c r="A1118" s="242">
        <v>40431</v>
      </c>
      <c r="B1118" s="236" t="s">
        <v>1836</v>
      </c>
      <c r="C1118" s="236" t="s">
        <v>1814</v>
      </c>
      <c r="D1118" s="433" t="s">
        <v>837</v>
      </c>
      <c r="E1118" s="107" t="str">
        <f>VLOOKUP(B1118&amp;C1118,Divipola!$C$2:$F$1138,4,FALSE)</f>
        <v>47001</v>
      </c>
      <c r="F1118" s="335"/>
      <c r="G1118" s="221"/>
      <c r="H1118" s="157"/>
      <c r="I1118" s="157"/>
      <c r="J1118" s="157"/>
      <c r="K1118" s="157"/>
      <c r="L1118" s="157"/>
      <c r="M1118" s="157"/>
      <c r="N1118" s="157"/>
      <c r="O1118" s="157"/>
      <c r="P1118" s="157"/>
      <c r="Q1118" s="157"/>
      <c r="R1118" s="157"/>
      <c r="S1118" s="157"/>
      <c r="T1118" s="157"/>
      <c r="U1118" s="157"/>
      <c r="V1118" s="158"/>
      <c r="W1118" s="182" t="s">
        <v>3030</v>
      </c>
      <c r="X1118" s="1"/>
      <c r="Y1118" s="78">
        <f t="shared" si="146"/>
        <v>0</v>
      </c>
      <c r="Z1118" s="78">
        <f t="shared" si="147"/>
        <v>0</v>
      </c>
      <c r="AA1118" s="78">
        <f t="shared" si="152"/>
        <v>0</v>
      </c>
      <c r="AB1118" s="78">
        <f t="shared" si="148"/>
        <v>0</v>
      </c>
      <c r="AC1118" s="78"/>
      <c r="AD1118" s="78">
        <v>0</v>
      </c>
      <c r="AE1118" s="80">
        <f t="shared" si="150"/>
        <v>0</v>
      </c>
      <c r="AF1118" s="82">
        <v>0</v>
      </c>
      <c r="AG1118" s="69">
        <v>40435</v>
      </c>
      <c r="AH1118" s="84"/>
      <c r="AI1118" s="69" t="s">
        <v>1984</v>
      </c>
      <c r="AJ1118" s="25" t="s">
        <v>1985</v>
      </c>
      <c r="AK1118" s="65"/>
      <c r="AL1118" s="176" t="s">
        <v>1257</v>
      </c>
      <c r="AM1118" s="173" t="s">
        <v>3029</v>
      </c>
      <c r="AN1118" s="159"/>
      <c r="AO1118" s="160"/>
      <c r="AP1118" s="161"/>
      <c r="AQ1118" s="160"/>
      <c r="AR1118" s="160"/>
      <c r="AS1118" s="160"/>
      <c r="AT1118" s="160"/>
      <c r="AU1118" s="160"/>
      <c r="AV1118" s="160"/>
      <c r="AW1118" s="160"/>
      <c r="AX1118" s="160"/>
      <c r="AY1118" s="160"/>
      <c r="AZ1118" s="160"/>
      <c r="BA1118" s="160"/>
      <c r="BB1118" s="160"/>
      <c r="BC1118" s="160"/>
      <c r="BD1118" s="160"/>
      <c r="BE1118" s="160"/>
      <c r="BF1118" s="160"/>
      <c r="BG1118" s="160"/>
      <c r="BH1118" s="160"/>
      <c r="BI1118" s="160"/>
      <c r="BJ1118" s="160"/>
      <c r="BK1118" s="160"/>
      <c r="BL1118" s="160"/>
      <c r="BM1118" s="160"/>
      <c r="BN1118" s="160"/>
      <c r="BO1118" s="160"/>
      <c r="BP1118" s="160"/>
      <c r="BQ1118" s="160"/>
      <c r="BR1118" s="160"/>
      <c r="BS1118" s="160"/>
      <c r="BT1118" s="160"/>
      <c r="BU1118" s="160"/>
      <c r="BV1118" s="160"/>
      <c r="BW1118" s="160"/>
      <c r="BX1118" s="160"/>
      <c r="BY1118" s="160"/>
      <c r="BZ1118" s="160"/>
      <c r="CA1118" s="160"/>
      <c r="CB1118" s="160"/>
      <c r="CC1118" s="160"/>
      <c r="CD1118" s="160"/>
      <c r="CE1118" s="160"/>
      <c r="CF1118" s="160"/>
      <c r="CG1118" s="160"/>
      <c r="CH1118" s="160"/>
      <c r="CI1118" s="160"/>
      <c r="CJ1118" s="160"/>
      <c r="CK1118" s="160"/>
      <c r="CL1118" s="160"/>
      <c r="CM1118" s="160"/>
      <c r="CN1118" s="160"/>
      <c r="CO1118" s="160"/>
      <c r="CP1118" s="162"/>
      <c r="CQ1118" s="163"/>
      <c r="CR1118" s="162"/>
      <c r="CS1118" s="163"/>
      <c r="CT1118" s="162"/>
      <c r="CU1118" s="163"/>
      <c r="CV1118" s="164">
        <f t="shared" si="149"/>
        <v>0</v>
      </c>
      <c r="CW1118" s="165"/>
      <c r="CX1118" s="166"/>
      <c r="CY1118" s="167"/>
      <c r="CZ1118" s="168"/>
      <c r="DA1118" s="169"/>
      <c r="DB1118" s="168"/>
      <c r="DC1118" s="165"/>
      <c r="DD1118" s="166"/>
      <c r="DE1118" s="71"/>
      <c r="DF1118" s="170"/>
      <c r="EO1118" s="353" t="str">
        <f t="shared" si="151"/>
        <v>MAGDALENA_SANTA MARTA</v>
      </c>
      <c r="EP1118" s="350"/>
      <c r="EQ1118" s="351" t="s">
        <v>4660</v>
      </c>
      <c r="ER1118" s="352" t="s">
        <v>235</v>
      </c>
      <c r="ES1118" s="351" t="s">
        <v>4660</v>
      </c>
      <c r="ET1118" s="350" t="s">
        <v>2008</v>
      </c>
      <c r="EU1118" s="350" t="str">
        <f t="shared" ref="EU1118:EU1145" si="153">ER1118&amp;"_"&amp;ET1118</f>
        <v>AMAZONAS_DEPARTAMENTO</v>
      </c>
    </row>
    <row r="1119" spans="1:151" s="171" customFormat="1" ht="38.25" x14ac:dyDescent="0.2">
      <c r="A1119" s="242">
        <v>40431</v>
      </c>
      <c r="B1119" s="236" t="s">
        <v>708</v>
      </c>
      <c r="C1119" s="236" t="s">
        <v>2328</v>
      </c>
      <c r="D1119" s="433" t="s">
        <v>2209</v>
      </c>
      <c r="E1119" s="107" t="str">
        <f>VLOOKUP(B1119&amp;C1119,Divipola!$C$2:$F$1138,4,FALSE)</f>
        <v>50001</v>
      </c>
      <c r="F1119" s="335"/>
      <c r="G1119" s="221"/>
      <c r="H1119" s="157"/>
      <c r="I1119" s="157"/>
      <c r="J1119" s="157">
        <v>20</v>
      </c>
      <c r="K1119" s="157">
        <v>4</v>
      </c>
      <c r="L1119" s="157"/>
      <c r="M1119" s="157">
        <v>4</v>
      </c>
      <c r="N1119" s="157"/>
      <c r="O1119" s="157"/>
      <c r="P1119" s="157"/>
      <c r="Q1119" s="157"/>
      <c r="R1119" s="157"/>
      <c r="S1119" s="157"/>
      <c r="T1119" s="157"/>
      <c r="U1119" s="157"/>
      <c r="V1119" s="158"/>
      <c r="W1119" s="182" t="s">
        <v>279</v>
      </c>
      <c r="X1119" s="1"/>
      <c r="Y1119" s="78">
        <f t="shared" si="146"/>
        <v>0</v>
      </c>
      <c r="Z1119" s="78">
        <f t="shared" si="147"/>
        <v>0</v>
      </c>
      <c r="AA1119" s="78">
        <f t="shared" si="152"/>
        <v>0</v>
      </c>
      <c r="AB1119" s="78">
        <f t="shared" si="148"/>
        <v>0</v>
      </c>
      <c r="AC1119" s="78"/>
      <c r="AD1119" s="78">
        <v>0</v>
      </c>
      <c r="AE1119" s="80">
        <f t="shared" si="150"/>
        <v>0</v>
      </c>
      <c r="AF1119" s="82">
        <v>0</v>
      </c>
      <c r="AG1119" s="69">
        <v>40435</v>
      </c>
      <c r="AH1119" s="84"/>
      <c r="AI1119" s="69" t="s">
        <v>1984</v>
      </c>
      <c r="AJ1119" s="25" t="s">
        <v>1985</v>
      </c>
      <c r="AK1119" s="65"/>
      <c r="AL1119" s="176" t="s">
        <v>1257</v>
      </c>
      <c r="AM1119" s="173" t="s">
        <v>3028</v>
      </c>
      <c r="AN1119" s="159"/>
      <c r="AO1119" s="160"/>
      <c r="AP1119" s="161"/>
      <c r="AQ1119" s="160"/>
      <c r="AR1119" s="160"/>
      <c r="AS1119" s="160"/>
      <c r="AT1119" s="160"/>
      <c r="AU1119" s="160"/>
      <c r="AV1119" s="160"/>
      <c r="AW1119" s="160"/>
      <c r="AX1119" s="160"/>
      <c r="AY1119" s="160"/>
      <c r="AZ1119" s="160"/>
      <c r="BA1119" s="160"/>
      <c r="BB1119" s="160"/>
      <c r="BC1119" s="160"/>
      <c r="BD1119" s="160"/>
      <c r="BE1119" s="160"/>
      <c r="BF1119" s="160"/>
      <c r="BG1119" s="160"/>
      <c r="BH1119" s="160"/>
      <c r="BI1119" s="160"/>
      <c r="BJ1119" s="160"/>
      <c r="BK1119" s="160"/>
      <c r="BL1119" s="160"/>
      <c r="BM1119" s="160"/>
      <c r="BN1119" s="160"/>
      <c r="BO1119" s="160"/>
      <c r="BP1119" s="160"/>
      <c r="BQ1119" s="160"/>
      <c r="BR1119" s="160"/>
      <c r="BS1119" s="160"/>
      <c r="BT1119" s="160"/>
      <c r="BU1119" s="160"/>
      <c r="BV1119" s="160"/>
      <c r="BW1119" s="160"/>
      <c r="BX1119" s="160"/>
      <c r="BY1119" s="160"/>
      <c r="BZ1119" s="160"/>
      <c r="CA1119" s="160"/>
      <c r="CB1119" s="160"/>
      <c r="CC1119" s="160"/>
      <c r="CD1119" s="160"/>
      <c r="CE1119" s="160"/>
      <c r="CF1119" s="160"/>
      <c r="CG1119" s="160"/>
      <c r="CH1119" s="160"/>
      <c r="CI1119" s="160"/>
      <c r="CJ1119" s="160"/>
      <c r="CK1119" s="160"/>
      <c r="CL1119" s="160"/>
      <c r="CM1119" s="160"/>
      <c r="CN1119" s="160"/>
      <c r="CO1119" s="160"/>
      <c r="CP1119" s="162"/>
      <c r="CQ1119" s="163"/>
      <c r="CR1119" s="162"/>
      <c r="CS1119" s="163"/>
      <c r="CT1119" s="162"/>
      <c r="CU1119" s="163"/>
      <c r="CV1119" s="164">
        <f t="shared" si="149"/>
        <v>0</v>
      </c>
      <c r="CW1119" s="165"/>
      <c r="CX1119" s="166"/>
      <c r="CY1119" s="167"/>
      <c r="CZ1119" s="168"/>
      <c r="DA1119" s="169"/>
      <c r="DB1119" s="168"/>
      <c r="DC1119" s="165"/>
      <c r="DD1119" s="166"/>
      <c r="DE1119" s="71"/>
      <c r="DF1119" s="170"/>
      <c r="EO1119" s="353" t="str">
        <f t="shared" si="151"/>
        <v>META_VILLAVICENCIO</v>
      </c>
      <c r="EP1119" s="350"/>
      <c r="EQ1119" s="351" t="s">
        <v>3884</v>
      </c>
      <c r="ER1119" s="352" t="s">
        <v>2401</v>
      </c>
      <c r="ES1119" s="351" t="s">
        <v>3884</v>
      </c>
      <c r="ET1119" s="350" t="s">
        <v>2008</v>
      </c>
      <c r="EU1119" s="350" t="str">
        <f t="shared" si="153"/>
        <v>ANTIOQUIA_DEPARTAMENTO</v>
      </c>
    </row>
    <row r="1120" spans="1:151" s="171" customFormat="1" ht="51" x14ac:dyDescent="0.2">
      <c r="A1120" s="242">
        <v>40432</v>
      </c>
      <c r="B1120" s="107" t="s">
        <v>2012</v>
      </c>
      <c r="C1120" s="222" t="s">
        <v>2118</v>
      </c>
      <c r="D1120" s="430" t="s">
        <v>2209</v>
      </c>
      <c r="E1120" s="107" t="str">
        <f>VLOOKUP(B1120&amp;C1120,Divipola!$C$2:$F$1138,4,FALSE)</f>
        <v>66682</v>
      </c>
      <c r="F1120" s="333"/>
      <c r="G1120" s="221"/>
      <c r="H1120" s="157"/>
      <c r="I1120" s="157"/>
      <c r="J1120" s="157">
        <v>15</v>
      </c>
      <c r="K1120" s="157">
        <v>3</v>
      </c>
      <c r="L1120" s="157">
        <v>3</v>
      </c>
      <c r="M1120" s="157"/>
      <c r="N1120" s="157"/>
      <c r="O1120" s="157"/>
      <c r="P1120" s="157"/>
      <c r="Q1120" s="157"/>
      <c r="R1120" s="157"/>
      <c r="S1120" s="157"/>
      <c r="T1120" s="157"/>
      <c r="U1120" s="157"/>
      <c r="V1120" s="158"/>
      <c r="W1120" s="182"/>
      <c r="X1120" s="1"/>
      <c r="Y1120" s="78">
        <f t="shared" si="146"/>
        <v>0</v>
      </c>
      <c r="Z1120" s="78">
        <f t="shared" si="147"/>
        <v>0</v>
      </c>
      <c r="AA1120" s="78">
        <f t="shared" si="152"/>
        <v>0</v>
      </c>
      <c r="AB1120" s="78">
        <f t="shared" si="148"/>
        <v>0</v>
      </c>
      <c r="AC1120" s="78"/>
      <c r="AD1120" s="78">
        <v>0</v>
      </c>
      <c r="AE1120" s="80">
        <f t="shared" si="150"/>
        <v>0</v>
      </c>
      <c r="AF1120" s="82">
        <v>0</v>
      </c>
      <c r="AG1120" s="69">
        <v>40455</v>
      </c>
      <c r="AH1120" s="84"/>
      <c r="AI1120" s="69" t="s">
        <v>1984</v>
      </c>
      <c r="AJ1120" s="25" t="s">
        <v>1985</v>
      </c>
      <c r="AK1120" s="65"/>
      <c r="AL1120" s="176" t="s">
        <v>1257</v>
      </c>
      <c r="AM1120" s="173" t="s">
        <v>2592</v>
      </c>
      <c r="AN1120" s="159"/>
      <c r="AO1120" s="160"/>
      <c r="AP1120" s="161"/>
      <c r="AQ1120" s="160"/>
      <c r="AR1120" s="160"/>
      <c r="AS1120" s="160"/>
      <c r="AT1120" s="160"/>
      <c r="AU1120" s="160"/>
      <c r="AV1120" s="160"/>
      <c r="AW1120" s="160"/>
      <c r="AX1120" s="160"/>
      <c r="AY1120" s="160"/>
      <c r="AZ1120" s="160"/>
      <c r="BA1120" s="160"/>
      <c r="BB1120" s="160"/>
      <c r="BC1120" s="160"/>
      <c r="BD1120" s="160"/>
      <c r="BE1120" s="160"/>
      <c r="BF1120" s="160"/>
      <c r="BG1120" s="160"/>
      <c r="BH1120" s="160"/>
      <c r="BI1120" s="160"/>
      <c r="BJ1120" s="160"/>
      <c r="BK1120" s="160"/>
      <c r="BL1120" s="160"/>
      <c r="BM1120" s="160"/>
      <c r="BN1120" s="160"/>
      <c r="BO1120" s="160"/>
      <c r="BP1120" s="160"/>
      <c r="BQ1120" s="160"/>
      <c r="BR1120" s="160"/>
      <c r="BS1120" s="160"/>
      <c r="BT1120" s="160"/>
      <c r="BU1120" s="160"/>
      <c r="BV1120" s="160"/>
      <c r="BW1120" s="160"/>
      <c r="BX1120" s="160"/>
      <c r="BY1120" s="160"/>
      <c r="BZ1120" s="160"/>
      <c r="CA1120" s="160"/>
      <c r="CB1120" s="160"/>
      <c r="CC1120" s="160"/>
      <c r="CD1120" s="160"/>
      <c r="CE1120" s="160"/>
      <c r="CF1120" s="160"/>
      <c r="CG1120" s="160"/>
      <c r="CH1120" s="160"/>
      <c r="CI1120" s="160"/>
      <c r="CJ1120" s="160"/>
      <c r="CK1120" s="160"/>
      <c r="CL1120" s="160"/>
      <c r="CM1120" s="160"/>
      <c r="CN1120" s="160"/>
      <c r="CO1120" s="160"/>
      <c r="CP1120" s="162"/>
      <c r="CQ1120" s="163"/>
      <c r="CR1120" s="162"/>
      <c r="CS1120" s="163"/>
      <c r="CT1120" s="162"/>
      <c r="CU1120" s="163"/>
      <c r="CV1120" s="164">
        <f t="shared" si="149"/>
        <v>0</v>
      </c>
      <c r="CW1120" s="165"/>
      <c r="CX1120" s="166"/>
      <c r="CY1120" s="167"/>
      <c r="CZ1120" s="168"/>
      <c r="DA1120" s="169"/>
      <c r="DB1120" s="168"/>
      <c r="DC1120" s="165"/>
      <c r="DD1120" s="166"/>
      <c r="DE1120" s="71"/>
      <c r="DF1120" s="170"/>
      <c r="EO1120" s="353" t="str">
        <f t="shared" si="151"/>
        <v>RISARALDA_SANTA ROSA DE CABAL</v>
      </c>
      <c r="EP1120" s="350"/>
      <c r="EQ1120" s="351" t="s">
        <v>4628</v>
      </c>
      <c r="ER1120" s="352" t="s">
        <v>2756</v>
      </c>
      <c r="ES1120" s="351" t="s">
        <v>4628</v>
      </c>
      <c r="ET1120" s="350" t="s">
        <v>2008</v>
      </c>
      <c r="EU1120" s="350" t="str">
        <f t="shared" si="153"/>
        <v>ARAUCA_DEPARTAMENTO</v>
      </c>
    </row>
    <row r="1121" spans="1:151" s="171" customFormat="1" ht="72" x14ac:dyDescent="0.2">
      <c r="A1121" s="242">
        <v>40432</v>
      </c>
      <c r="B1121" s="222" t="s">
        <v>2427</v>
      </c>
      <c r="C1121" s="222" t="s">
        <v>1272</v>
      </c>
      <c r="D1121" s="430" t="s">
        <v>2209</v>
      </c>
      <c r="E1121" s="107" t="str">
        <f>VLOOKUP(B1121&amp;C1121,Divipola!$C$2:$F$1138,4,FALSE)</f>
        <v>68689</v>
      </c>
      <c r="F1121" s="333"/>
      <c r="G1121" s="275"/>
      <c r="H1121" s="157"/>
      <c r="I1121" s="157"/>
      <c r="J1121" s="157">
        <v>324</v>
      </c>
      <c r="K1121" s="157">
        <v>69</v>
      </c>
      <c r="L1121" s="157">
        <v>8</v>
      </c>
      <c r="M1121" s="157">
        <v>19</v>
      </c>
      <c r="N1121" s="157">
        <v>12</v>
      </c>
      <c r="O1121" s="157">
        <v>4</v>
      </c>
      <c r="P1121" s="157"/>
      <c r="Q1121" s="157">
        <v>4</v>
      </c>
      <c r="R1121" s="157"/>
      <c r="S1121" s="157"/>
      <c r="T1121" s="157"/>
      <c r="U1121" s="157"/>
      <c r="V1121" s="158">
        <v>200</v>
      </c>
      <c r="W1121" s="205" t="s">
        <v>2180</v>
      </c>
      <c r="X1121" s="1"/>
      <c r="Y1121" s="78">
        <f t="shared" si="146"/>
        <v>0</v>
      </c>
      <c r="Z1121" s="78">
        <f t="shared" si="147"/>
        <v>0</v>
      </c>
      <c r="AA1121" s="78">
        <f t="shared" si="152"/>
        <v>0</v>
      </c>
      <c r="AB1121" s="78">
        <f t="shared" si="148"/>
        <v>0</v>
      </c>
      <c r="AC1121" s="78"/>
      <c r="AD1121" s="78">
        <v>0</v>
      </c>
      <c r="AE1121" s="80">
        <f t="shared" si="150"/>
        <v>0</v>
      </c>
      <c r="AF1121" s="82">
        <v>0</v>
      </c>
      <c r="AG1121" s="69">
        <v>40455</v>
      </c>
      <c r="AH1121" s="84">
        <v>53171</v>
      </c>
      <c r="AI1121" s="69" t="s">
        <v>2009</v>
      </c>
      <c r="AJ1121" s="25" t="s">
        <v>2010</v>
      </c>
      <c r="AK1121" s="65"/>
      <c r="AL1121" s="184" t="s">
        <v>2663</v>
      </c>
      <c r="AM1121" s="173" t="s">
        <v>3011</v>
      </c>
      <c r="AN1121" s="159"/>
      <c r="AO1121" s="160"/>
      <c r="AP1121" s="161"/>
      <c r="AQ1121" s="160"/>
      <c r="AR1121" s="160"/>
      <c r="AS1121" s="160"/>
      <c r="AT1121" s="160"/>
      <c r="AU1121" s="160"/>
      <c r="AV1121" s="160"/>
      <c r="AW1121" s="160"/>
      <c r="AX1121" s="160"/>
      <c r="AY1121" s="160"/>
      <c r="AZ1121" s="160"/>
      <c r="BA1121" s="160"/>
      <c r="BB1121" s="160"/>
      <c r="BC1121" s="160"/>
      <c r="BD1121" s="160"/>
      <c r="BE1121" s="160"/>
      <c r="BF1121" s="160"/>
      <c r="BG1121" s="160"/>
      <c r="BH1121" s="160"/>
      <c r="BI1121" s="160"/>
      <c r="BJ1121" s="160"/>
      <c r="BK1121" s="160"/>
      <c r="BL1121" s="160"/>
      <c r="BM1121" s="160"/>
      <c r="BN1121" s="160"/>
      <c r="BO1121" s="160"/>
      <c r="BP1121" s="160"/>
      <c r="BQ1121" s="160"/>
      <c r="BR1121" s="160"/>
      <c r="BS1121" s="160"/>
      <c r="BT1121" s="160"/>
      <c r="BU1121" s="160"/>
      <c r="BV1121" s="160"/>
      <c r="BW1121" s="160"/>
      <c r="BX1121" s="160"/>
      <c r="BY1121" s="160"/>
      <c r="BZ1121" s="160"/>
      <c r="CA1121" s="160"/>
      <c r="CB1121" s="160"/>
      <c r="CC1121" s="160"/>
      <c r="CD1121" s="160"/>
      <c r="CE1121" s="160"/>
      <c r="CF1121" s="160"/>
      <c r="CG1121" s="160"/>
      <c r="CH1121" s="160"/>
      <c r="CI1121" s="160"/>
      <c r="CJ1121" s="160"/>
      <c r="CK1121" s="160"/>
      <c r="CL1121" s="160"/>
      <c r="CM1121" s="160"/>
      <c r="CN1121" s="160"/>
      <c r="CO1121" s="160"/>
      <c r="CP1121" s="162"/>
      <c r="CQ1121" s="163"/>
      <c r="CR1121" s="162"/>
      <c r="CS1121" s="163"/>
      <c r="CT1121" s="162"/>
      <c r="CU1121" s="163"/>
      <c r="CV1121" s="164">
        <f t="shared" si="149"/>
        <v>0</v>
      </c>
      <c r="CW1121" s="165"/>
      <c r="CX1121" s="166"/>
      <c r="CY1121" s="167"/>
      <c r="CZ1121" s="168"/>
      <c r="DA1121" s="169"/>
      <c r="DB1121" s="168"/>
      <c r="DC1121" s="165"/>
      <c r="DD1121" s="166"/>
      <c r="DE1121" s="71"/>
      <c r="DF1121" s="170"/>
      <c r="EO1121" s="353" t="str">
        <f t="shared" si="151"/>
        <v>SANTANDER_SAN VICENTE DE CHUCURI</v>
      </c>
      <c r="EP1121" s="350"/>
      <c r="EQ1121" s="351" t="s">
        <v>4025</v>
      </c>
      <c r="ER1121" s="352" t="s">
        <v>1951</v>
      </c>
      <c r="ES1121" s="351" t="s">
        <v>4025</v>
      </c>
      <c r="ET1121" s="350" t="s">
        <v>2008</v>
      </c>
      <c r="EU1121" s="350" t="str">
        <f t="shared" si="153"/>
        <v>ATLANTICO_DEPARTAMENTO</v>
      </c>
    </row>
    <row r="1122" spans="1:151" s="171" customFormat="1" ht="48" x14ac:dyDescent="0.2">
      <c r="A1122" s="242">
        <v>40433</v>
      </c>
      <c r="B1122" s="236" t="s">
        <v>2401</v>
      </c>
      <c r="C1122" s="236" t="s">
        <v>1253</v>
      </c>
      <c r="D1122" s="433" t="s">
        <v>2734</v>
      </c>
      <c r="E1122" s="107" t="str">
        <f>VLOOKUP(B1122&amp;C1122,Divipola!$C$2:$F$1138,4,FALSE)</f>
        <v>05495</v>
      </c>
      <c r="F1122" s="335"/>
      <c r="G1122" s="221">
        <v>2</v>
      </c>
      <c r="H1122" s="157"/>
      <c r="I1122" s="157"/>
      <c r="J1122" s="157"/>
      <c r="K1122" s="157"/>
      <c r="L1122" s="157"/>
      <c r="M1122" s="157"/>
      <c r="N1122" s="157"/>
      <c r="O1122" s="157"/>
      <c r="P1122" s="157"/>
      <c r="Q1122" s="157"/>
      <c r="R1122" s="157"/>
      <c r="S1122" s="157"/>
      <c r="T1122" s="157"/>
      <c r="U1122" s="157"/>
      <c r="V1122" s="158"/>
      <c r="W1122" s="182"/>
      <c r="X1122" s="1"/>
      <c r="Y1122" s="78">
        <f t="shared" si="146"/>
        <v>0</v>
      </c>
      <c r="Z1122" s="78">
        <f t="shared" si="147"/>
        <v>0</v>
      </c>
      <c r="AA1122" s="78">
        <f t="shared" si="152"/>
        <v>0</v>
      </c>
      <c r="AB1122" s="78">
        <f t="shared" si="148"/>
        <v>0</v>
      </c>
      <c r="AC1122" s="78"/>
      <c r="AD1122" s="78">
        <v>0</v>
      </c>
      <c r="AE1122" s="80">
        <f t="shared" si="150"/>
        <v>0</v>
      </c>
      <c r="AF1122" s="82">
        <v>0</v>
      </c>
      <c r="AG1122" s="69">
        <v>40435</v>
      </c>
      <c r="AH1122" s="84"/>
      <c r="AI1122" s="69" t="s">
        <v>1984</v>
      </c>
      <c r="AJ1122" s="25" t="s">
        <v>1985</v>
      </c>
      <c r="AK1122" s="65"/>
      <c r="AL1122" s="176" t="s">
        <v>1257</v>
      </c>
      <c r="AM1122" s="173" t="s">
        <v>1422</v>
      </c>
      <c r="AN1122" s="159"/>
      <c r="AO1122" s="160"/>
      <c r="AP1122" s="161"/>
      <c r="AQ1122" s="160"/>
      <c r="AR1122" s="160"/>
      <c r="AS1122" s="160"/>
      <c r="AT1122" s="160"/>
      <c r="AU1122" s="160"/>
      <c r="AV1122" s="160"/>
      <c r="AW1122" s="160"/>
      <c r="AX1122" s="160"/>
      <c r="AY1122" s="160"/>
      <c r="AZ1122" s="160"/>
      <c r="BA1122" s="160"/>
      <c r="BB1122" s="160"/>
      <c r="BC1122" s="160"/>
      <c r="BD1122" s="160"/>
      <c r="BE1122" s="160"/>
      <c r="BF1122" s="160"/>
      <c r="BG1122" s="160"/>
      <c r="BH1122" s="160"/>
      <c r="BI1122" s="160"/>
      <c r="BJ1122" s="160"/>
      <c r="BK1122" s="160"/>
      <c r="BL1122" s="160"/>
      <c r="BM1122" s="160"/>
      <c r="BN1122" s="160"/>
      <c r="BO1122" s="160"/>
      <c r="BP1122" s="160"/>
      <c r="BQ1122" s="160"/>
      <c r="BR1122" s="160"/>
      <c r="BS1122" s="160"/>
      <c r="BT1122" s="160"/>
      <c r="BU1122" s="160"/>
      <c r="BV1122" s="160"/>
      <c r="BW1122" s="160"/>
      <c r="BX1122" s="160"/>
      <c r="BY1122" s="160"/>
      <c r="BZ1122" s="160"/>
      <c r="CA1122" s="160"/>
      <c r="CB1122" s="160"/>
      <c r="CC1122" s="160"/>
      <c r="CD1122" s="160"/>
      <c r="CE1122" s="160"/>
      <c r="CF1122" s="160"/>
      <c r="CG1122" s="160"/>
      <c r="CH1122" s="160"/>
      <c r="CI1122" s="160"/>
      <c r="CJ1122" s="160"/>
      <c r="CK1122" s="160"/>
      <c r="CL1122" s="160"/>
      <c r="CM1122" s="160"/>
      <c r="CN1122" s="160"/>
      <c r="CO1122" s="160"/>
      <c r="CP1122" s="162"/>
      <c r="CQ1122" s="163"/>
      <c r="CR1122" s="162"/>
      <c r="CS1122" s="163"/>
      <c r="CT1122" s="162"/>
      <c r="CU1122" s="163"/>
      <c r="CV1122" s="164">
        <f t="shared" si="149"/>
        <v>0</v>
      </c>
      <c r="CW1122" s="165"/>
      <c r="CX1122" s="166"/>
      <c r="CY1122" s="167"/>
      <c r="CZ1122" s="168"/>
      <c r="DA1122" s="169"/>
      <c r="DB1122" s="168"/>
      <c r="DC1122" s="165"/>
      <c r="DD1122" s="166"/>
      <c r="DE1122" s="71"/>
      <c r="DF1122" s="170"/>
      <c r="EO1122" s="353" t="str">
        <f t="shared" si="151"/>
        <v>ANTIOQUIA_NECHI</v>
      </c>
      <c r="EP1122" s="350"/>
      <c r="EQ1122" s="351" t="s">
        <v>4050</v>
      </c>
      <c r="ER1122" s="352" t="s">
        <v>2682</v>
      </c>
      <c r="ES1122" s="351" t="s">
        <v>4050</v>
      </c>
      <c r="ET1122" s="350" t="s">
        <v>2008</v>
      </c>
      <c r="EU1122" s="350" t="str">
        <f t="shared" si="153"/>
        <v>BOGOTA D.C._DEPARTAMENTO</v>
      </c>
    </row>
    <row r="1123" spans="1:151" s="171" customFormat="1" ht="45" x14ac:dyDescent="0.2">
      <c r="A1123" s="242">
        <v>40433</v>
      </c>
      <c r="B1123" s="236" t="s">
        <v>2017</v>
      </c>
      <c r="C1123" s="236" t="s">
        <v>2105</v>
      </c>
      <c r="D1123" s="433" t="s">
        <v>837</v>
      </c>
      <c r="E1123" s="107" t="str">
        <f>VLOOKUP(B1123&amp;C1123,Divipola!$C$2:$F$1138,4,FALSE)</f>
        <v>13670</v>
      </c>
      <c r="F1123" s="335"/>
      <c r="G1123" s="221"/>
      <c r="H1123" s="157"/>
      <c r="I1123" s="157"/>
      <c r="J1123" s="157">
        <v>285</v>
      </c>
      <c r="K1123" s="157">
        <v>57</v>
      </c>
      <c r="L1123" s="157">
        <v>7</v>
      </c>
      <c r="M1123" s="157">
        <v>50</v>
      </c>
      <c r="N1123" s="157">
        <v>1</v>
      </c>
      <c r="O1123" s="157"/>
      <c r="P1123" s="157"/>
      <c r="Q1123" s="157"/>
      <c r="R1123" s="157"/>
      <c r="S1123" s="157"/>
      <c r="T1123" s="157"/>
      <c r="U1123" s="157"/>
      <c r="V1123" s="158">
        <v>100</v>
      </c>
      <c r="W1123" s="182" t="s">
        <v>2180</v>
      </c>
      <c r="X1123" s="1">
        <v>40514</v>
      </c>
      <c r="Y1123" s="78">
        <f t="shared" si="146"/>
        <v>3168000</v>
      </c>
      <c r="Z1123" s="78">
        <f t="shared" si="147"/>
        <v>14960000</v>
      </c>
      <c r="AA1123" s="78">
        <f t="shared" si="152"/>
        <v>0</v>
      </c>
      <c r="AB1123" s="78">
        <f t="shared" si="148"/>
        <v>0</v>
      </c>
      <c r="AC1123" s="78"/>
      <c r="AD1123" s="78">
        <v>0</v>
      </c>
      <c r="AE1123" s="80">
        <f t="shared" si="150"/>
        <v>18128000</v>
      </c>
      <c r="AF1123" s="82">
        <v>0</v>
      </c>
      <c r="AG1123" s="69">
        <v>40435</v>
      </c>
      <c r="AH1123" s="84">
        <v>47005</v>
      </c>
      <c r="AI1123" s="69" t="s">
        <v>2009</v>
      </c>
      <c r="AJ1123" s="25" t="s">
        <v>2010</v>
      </c>
      <c r="AK1123" s="65">
        <v>23792</v>
      </c>
      <c r="AL1123" s="185" t="s">
        <v>2182</v>
      </c>
      <c r="AM1123" s="173" t="s">
        <v>3031</v>
      </c>
      <c r="AN1123" s="159"/>
      <c r="AO1123" s="160"/>
      <c r="AP1123" s="161"/>
      <c r="AQ1123" s="160"/>
      <c r="AR1123" s="160"/>
      <c r="AS1123" s="160"/>
      <c r="AT1123" s="160"/>
      <c r="AU1123" s="160"/>
      <c r="AV1123" s="160"/>
      <c r="AW1123" s="160"/>
      <c r="AX1123" s="160"/>
      <c r="AY1123" s="160"/>
      <c r="AZ1123" s="160"/>
      <c r="BA1123" s="160"/>
      <c r="BB1123" s="160"/>
      <c r="BC1123" s="160"/>
      <c r="BD1123" s="160"/>
      <c r="BE1123" s="160"/>
      <c r="BF1123" s="160"/>
      <c r="BG1123" s="160"/>
      <c r="BH1123" s="160"/>
      <c r="BI1123" s="160"/>
      <c r="BJ1123" s="160"/>
      <c r="BK1123" s="160"/>
      <c r="BL1123" s="160"/>
      <c r="BM1123" s="160"/>
      <c r="BN1123" s="160"/>
      <c r="BO1123" s="160"/>
      <c r="BP1123" s="160"/>
      <c r="BQ1123" s="160"/>
      <c r="BR1123" s="160"/>
      <c r="BS1123" s="160"/>
      <c r="BT1123" s="160"/>
      <c r="BU1123" s="160"/>
      <c r="BV1123" s="160"/>
      <c r="BW1123" s="160"/>
      <c r="BX1123" s="160"/>
      <c r="BY1123" s="160"/>
      <c r="BZ1123" s="160"/>
      <c r="CA1123" s="160"/>
      <c r="CB1123" s="160"/>
      <c r="CC1123" s="160"/>
      <c r="CD1123" s="160"/>
      <c r="CE1123" s="160"/>
      <c r="CF1123" s="160"/>
      <c r="CG1123" s="160"/>
      <c r="CH1123" s="160"/>
      <c r="CI1123" s="160"/>
      <c r="CJ1123" s="160"/>
      <c r="CK1123" s="160"/>
      <c r="CL1123" s="160"/>
      <c r="CM1123" s="160"/>
      <c r="CN1123" s="160">
        <v>176</v>
      </c>
      <c r="CO1123" s="160">
        <f>176*18000</f>
        <v>3168000</v>
      </c>
      <c r="CP1123" s="162"/>
      <c r="CQ1123" s="163"/>
      <c r="CR1123" s="162"/>
      <c r="CS1123" s="163"/>
      <c r="CT1123" s="162"/>
      <c r="CU1123" s="163"/>
      <c r="CV1123" s="164">
        <f t="shared" si="149"/>
        <v>3168000</v>
      </c>
      <c r="CW1123" s="165"/>
      <c r="CX1123" s="166"/>
      <c r="CY1123" s="167">
        <v>176</v>
      </c>
      <c r="CZ1123" s="168">
        <f>176*85000</f>
        <v>14960000</v>
      </c>
      <c r="DA1123" s="169"/>
      <c r="DB1123" s="168"/>
      <c r="DC1123" s="165"/>
      <c r="DD1123" s="166"/>
      <c r="DE1123" s="71"/>
      <c r="DF1123" s="170"/>
      <c r="EO1123" s="353" t="str">
        <f t="shared" si="151"/>
        <v>BOLIVAR_SAN PABLO</v>
      </c>
      <c r="EP1123" s="350"/>
      <c r="EQ1123" s="351" t="s">
        <v>4051</v>
      </c>
      <c r="ER1123" s="352" t="s">
        <v>2017</v>
      </c>
      <c r="ES1123" s="351" t="s">
        <v>4051</v>
      </c>
      <c r="ET1123" s="350" t="s">
        <v>2008</v>
      </c>
      <c r="EU1123" s="350" t="str">
        <f t="shared" si="153"/>
        <v>BOLIVAR_DEPARTAMENTO</v>
      </c>
    </row>
    <row r="1124" spans="1:151" s="171" customFormat="1" ht="38.25" x14ac:dyDescent="0.2">
      <c r="A1124" s="242">
        <v>40434</v>
      </c>
      <c r="B1124" s="236" t="s">
        <v>2401</v>
      </c>
      <c r="C1124" s="236" t="s">
        <v>1418</v>
      </c>
      <c r="D1124" s="433" t="s">
        <v>2352</v>
      </c>
      <c r="E1124" s="107" t="str">
        <f>VLOOKUP(B1124&amp;C1124,Divipola!$C$2:$F$1138,4,FALSE)</f>
        <v>05142</v>
      </c>
      <c r="F1124" s="335"/>
      <c r="G1124" s="221"/>
      <c r="H1124" s="157"/>
      <c r="I1124" s="157"/>
      <c r="J1124" s="157">
        <v>12</v>
      </c>
      <c r="K1124" s="157">
        <v>2</v>
      </c>
      <c r="L1124" s="157"/>
      <c r="M1124" s="157">
        <v>2</v>
      </c>
      <c r="N1124" s="157"/>
      <c r="O1124" s="157"/>
      <c r="P1124" s="157"/>
      <c r="Q1124" s="157"/>
      <c r="R1124" s="157"/>
      <c r="S1124" s="157"/>
      <c r="T1124" s="157"/>
      <c r="U1124" s="157"/>
      <c r="V1124" s="158"/>
      <c r="W1124" s="182"/>
      <c r="X1124" s="1"/>
      <c r="Y1124" s="78">
        <f t="shared" si="146"/>
        <v>0</v>
      </c>
      <c r="Z1124" s="78">
        <f t="shared" si="147"/>
        <v>0</v>
      </c>
      <c r="AA1124" s="78">
        <f t="shared" si="152"/>
        <v>0</v>
      </c>
      <c r="AB1124" s="78">
        <f t="shared" si="148"/>
        <v>0</v>
      </c>
      <c r="AC1124" s="78"/>
      <c r="AD1124" s="78">
        <v>0</v>
      </c>
      <c r="AE1124" s="80">
        <f t="shared" si="150"/>
        <v>0</v>
      </c>
      <c r="AF1124" s="82">
        <v>0</v>
      </c>
      <c r="AG1124" s="69">
        <v>40435</v>
      </c>
      <c r="AH1124" s="84"/>
      <c r="AI1124" s="69" t="s">
        <v>1984</v>
      </c>
      <c r="AJ1124" s="25" t="s">
        <v>1985</v>
      </c>
      <c r="AK1124" s="65"/>
      <c r="AL1124" s="176" t="s">
        <v>1257</v>
      </c>
      <c r="AM1124" s="173" t="s">
        <v>1419</v>
      </c>
      <c r="AN1124" s="159"/>
      <c r="AO1124" s="160"/>
      <c r="AP1124" s="161"/>
      <c r="AQ1124" s="160"/>
      <c r="AR1124" s="160"/>
      <c r="AS1124" s="160"/>
      <c r="AT1124" s="160"/>
      <c r="AU1124" s="160"/>
      <c r="AV1124" s="160"/>
      <c r="AW1124" s="160"/>
      <c r="AX1124" s="160"/>
      <c r="AY1124" s="160"/>
      <c r="AZ1124" s="160"/>
      <c r="BA1124" s="160"/>
      <c r="BB1124" s="160"/>
      <c r="BC1124" s="160"/>
      <c r="BD1124" s="160"/>
      <c r="BE1124" s="160"/>
      <c r="BF1124" s="160"/>
      <c r="BG1124" s="160"/>
      <c r="BH1124" s="160"/>
      <c r="BI1124" s="160"/>
      <c r="BJ1124" s="160"/>
      <c r="BK1124" s="160"/>
      <c r="BL1124" s="160"/>
      <c r="BM1124" s="160"/>
      <c r="BN1124" s="160"/>
      <c r="BO1124" s="160"/>
      <c r="BP1124" s="160"/>
      <c r="BQ1124" s="160"/>
      <c r="BR1124" s="160"/>
      <c r="BS1124" s="160"/>
      <c r="BT1124" s="160"/>
      <c r="BU1124" s="160"/>
      <c r="BV1124" s="160"/>
      <c r="BW1124" s="160"/>
      <c r="BX1124" s="160"/>
      <c r="BY1124" s="160"/>
      <c r="BZ1124" s="160"/>
      <c r="CA1124" s="160"/>
      <c r="CB1124" s="160"/>
      <c r="CC1124" s="160"/>
      <c r="CD1124" s="160"/>
      <c r="CE1124" s="160"/>
      <c r="CF1124" s="160"/>
      <c r="CG1124" s="160"/>
      <c r="CH1124" s="160"/>
      <c r="CI1124" s="160"/>
      <c r="CJ1124" s="160"/>
      <c r="CK1124" s="160"/>
      <c r="CL1124" s="160"/>
      <c r="CM1124" s="160"/>
      <c r="CN1124" s="160"/>
      <c r="CO1124" s="160"/>
      <c r="CP1124" s="162"/>
      <c r="CQ1124" s="163"/>
      <c r="CR1124" s="162"/>
      <c r="CS1124" s="163"/>
      <c r="CT1124" s="162"/>
      <c r="CU1124" s="163"/>
      <c r="CV1124" s="164">
        <f t="shared" si="149"/>
        <v>0</v>
      </c>
      <c r="CW1124" s="165"/>
      <c r="CX1124" s="166"/>
      <c r="CY1124" s="167"/>
      <c r="CZ1124" s="168"/>
      <c r="DA1124" s="169"/>
      <c r="DB1124" s="168"/>
      <c r="DC1124" s="165"/>
      <c r="DD1124" s="166"/>
      <c r="DE1124" s="71"/>
      <c r="DF1124" s="170"/>
      <c r="EO1124" s="353" t="str">
        <f t="shared" si="151"/>
        <v>ANTIOQUIA_CARACOLI</v>
      </c>
      <c r="EP1124" s="350"/>
      <c r="EQ1124" s="351" t="s">
        <v>4092</v>
      </c>
      <c r="ER1124" s="352" t="s">
        <v>828</v>
      </c>
      <c r="ES1124" s="351" t="s">
        <v>4092</v>
      </c>
      <c r="ET1124" s="350" t="s">
        <v>2008</v>
      </c>
      <c r="EU1124" s="350" t="str">
        <f t="shared" si="153"/>
        <v>BOYACA_DEPARTAMENTO</v>
      </c>
    </row>
    <row r="1125" spans="1:151" s="171" customFormat="1" ht="63.75" x14ac:dyDescent="0.2">
      <c r="A1125" s="246">
        <v>40434</v>
      </c>
      <c r="B1125" s="279" t="s">
        <v>2401</v>
      </c>
      <c r="C1125" s="280" t="s">
        <v>1416</v>
      </c>
      <c r="D1125" s="431" t="s">
        <v>2307</v>
      </c>
      <c r="E1125" s="107" t="str">
        <f>VLOOKUP(B1125&amp;C1125,Divipola!$C$2:$F$1138,4,FALSE)</f>
        <v>05647</v>
      </c>
      <c r="F1125" s="334"/>
      <c r="G1125" s="221"/>
      <c r="H1125" s="157"/>
      <c r="I1125" s="157"/>
      <c r="J1125" s="157">
        <v>151</v>
      </c>
      <c r="K1125" s="157">
        <v>32</v>
      </c>
      <c r="L1125" s="157">
        <v>14</v>
      </c>
      <c r="M1125" s="157">
        <v>18</v>
      </c>
      <c r="N1125" s="157">
        <v>1</v>
      </c>
      <c r="O1125" s="157"/>
      <c r="P1125" s="157"/>
      <c r="Q1125" s="157"/>
      <c r="R1125" s="157"/>
      <c r="S1125" s="157"/>
      <c r="T1125" s="157"/>
      <c r="U1125" s="157"/>
      <c r="V1125" s="158"/>
      <c r="W1125" s="182"/>
      <c r="X1125" s="1"/>
      <c r="Y1125" s="78">
        <f t="shared" si="146"/>
        <v>0</v>
      </c>
      <c r="Z1125" s="78">
        <f t="shared" si="147"/>
        <v>0</v>
      </c>
      <c r="AA1125" s="78">
        <f t="shared" si="152"/>
        <v>0</v>
      </c>
      <c r="AB1125" s="78">
        <f t="shared" si="148"/>
        <v>0</v>
      </c>
      <c r="AC1125" s="78"/>
      <c r="AD1125" s="78">
        <v>0</v>
      </c>
      <c r="AE1125" s="80">
        <f t="shared" si="150"/>
        <v>0</v>
      </c>
      <c r="AF1125" s="82">
        <v>0</v>
      </c>
      <c r="AG1125" s="69">
        <v>40435</v>
      </c>
      <c r="AH1125" s="84"/>
      <c r="AI1125" s="69" t="s">
        <v>1984</v>
      </c>
      <c r="AJ1125" s="25" t="s">
        <v>1985</v>
      </c>
      <c r="AK1125" s="65"/>
      <c r="AL1125" s="176" t="s">
        <v>1257</v>
      </c>
      <c r="AM1125" s="173" t="s">
        <v>1417</v>
      </c>
      <c r="AN1125" s="159"/>
      <c r="AO1125" s="160"/>
      <c r="AP1125" s="161"/>
      <c r="AQ1125" s="160"/>
      <c r="AR1125" s="160"/>
      <c r="AS1125" s="160"/>
      <c r="AT1125" s="160"/>
      <c r="AU1125" s="160"/>
      <c r="AV1125" s="160"/>
      <c r="AW1125" s="160"/>
      <c r="AX1125" s="160"/>
      <c r="AY1125" s="160"/>
      <c r="AZ1125" s="160"/>
      <c r="BA1125" s="160"/>
      <c r="BB1125" s="160"/>
      <c r="BC1125" s="160"/>
      <c r="BD1125" s="160"/>
      <c r="BE1125" s="160"/>
      <c r="BF1125" s="160"/>
      <c r="BG1125" s="160"/>
      <c r="BH1125" s="160"/>
      <c r="BI1125" s="160"/>
      <c r="BJ1125" s="160"/>
      <c r="BK1125" s="160"/>
      <c r="BL1125" s="160"/>
      <c r="BM1125" s="160"/>
      <c r="BN1125" s="160"/>
      <c r="BO1125" s="160"/>
      <c r="BP1125" s="160"/>
      <c r="BQ1125" s="160"/>
      <c r="BR1125" s="160"/>
      <c r="BS1125" s="160"/>
      <c r="BT1125" s="160"/>
      <c r="BU1125" s="160"/>
      <c r="BV1125" s="160"/>
      <c r="BW1125" s="160"/>
      <c r="BX1125" s="160"/>
      <c r="BY1125" s="160"/>
      <c r="BZ1125" s="160"/>
      <c r="CA1125" s="160"/>
      <c r="CB1125" s="160"/>
      <c r="CC1125" s="160"/>
      <c r="CD1125" s="160"/>
      <c r="CE1125" s="160"/>
      <c r="CF1125" s="160"/>
      <c r="CG1125" s="160"/>
      <c r="CH1125" s="160"/>
      <c r="CI1125" s="160"/>
      <c r="CJ1125" s="160"/>
      <c r="CK1125" s="160"/>
      <c r="CL1125" s="160"/>
      <c r="CM1125" s="160"/>
      <c r="CN1125" s="160"/>
      <c r="CO1125" s="160"/>
      <c r="CP1125" s="162"/>
      <c r="CQ1125" s="163"/>
      <c r="CR1125" s="162"/>
      <c r="CS1125" s="163"/>
      <c r="CT1125" s="162"/>
      <c r="CU1125" s="163"/>
      <c r="CV1125" s="164">
        <f t="shared" si="149"/>
        <v>0</v>
      </c>
      <c r="CW1125" s="165"/>
      <c r="CX1125" s="166"/>
      <c r="CY1125" s="167"/>
      <c r="CZ1125" s="168"/>
      <c r="DA1125" s="169"/>
      <c r="DB1125" s="168"/>
      <c r="DC1125" s="165"/>
      <c r="DD1125" s="166"/>
      <c r="DE1125" s="71"/>
      <c r="DF1125" s="170"/>
      <c r="EO1125" s="353" t="str">
        <f t="shared" si="151"/>
        <v>ANTIOQUIA_SAN ANDRES DE CUERQUIA</v>
      </c>
      <c r="EP1125" s="350"/>
      <c r="EQ1125" s="351" t="s">
        <v>4220</v>
      </c>
      <c r="ER1125" s="352" t="s">
        <v>289</v>
      </c>
      <c r="ES1125" s="351" t="s">
        <v>4220</v>
      </c>
      <c r="ET1125" s="350" t="s">
        <v>2008</v>
      </c>
      <c r="EU1125" s="350" t="str">
        <f t="shared" si="153"/>
        <v>CALDAS_DEPARTAMENTO</v>
      </c>
    </row>
    <row r="1126" spans="1:151" s="171" customFormat="1" ht="38.25" x14ac:dyDescent="0.2">
      <c r="A1126" s="242">
        <v>40434</v>
      </c>
      <c r="B1126" s="236" t="s">
        <v>2425</v>
      </c>
      <c r="C1126" s="236" t="s">
        <v>1311</v>
      </c>
      <c r="D1126" s="427" t="s">
        <v>2307</v>
      </c>
      <c r="E1126" s="107" t="str">
        <f>VLOOKUP(B1126&amp;C1126,Divipola!$C$2:$F$1138,4,FALSE)</f>
        <v>27050</v>
      </c>
      <c r="F1126" s="330"/>
      <c r="G1126" s="221"/>
      <c r="H1126" s="157"/>
      <c r="I1126" s="157"/>
      <c r="J1126" s="157"/>
      <c r="K1126" s="157"/>
      <c r="L1126" s="157"/>
      <c r="M1126" s="157"/>
      <c r="N1126" s="157"/>
      <c r="O1126" s="157"/>
      <c r="P1126" s="157"/>
      <c r="Q1126" s="157"/>
      <c r="R1126" s="157"/>
      <c r="S1126" s="157"/>
      <c r="T1126" s="157"/>
      <c r="U1126" s="157"/>
      <c r="V1126" s="158"/>
      <c r="W1126" s="182"/>
      <c r="X1126" s="1"/>
      <c r="Y1126" s="78">
        <f t="shared" si="146"/>
        <v>16258000</v>
      </c>
      <c r="Z1126" s="78">
        <f t="shared" si="147"/>
        <v>23885000</v>
      </c>
      <c r="AA1126" s="78">
        <f t="shared" si="152"/>
        <v>0</v>
      </c>
      <c r="AB1126" s="78">
        <f t="shared" si="148"/>
        <v>0</v>
      </c>
      <c r="AC1126" s="78"/>
      <c r="AD1126" s="78">
        <v>0</v>
      </c>
      <c r="AE1126" s="80">
        <f t="shared" si="150"/>
        <v>40143000</v>
      </c>
      <c r="AF1126" s="82">
        <v>0</v>
      </c>
      <c r="AG1126" s="69">
        <v>40435</v>
      </c>
      <c r="AH1126" s="84"/>
      <c r="AI1126" s="69" t="s">
        <v>2009</v>
      </c>
      <c r="AJ1126" s="25" t="s">
        <v>2010</v>
      </c>
      <c r="AK1126" s="65"/>
      <c r="AL1126" s="176" t="s">
        <v>1257</v>
      </c>
      <c r="AM1126" s="173" t="s">
        <v>3034</v>
      </c>
      <c r="AN1126" s="159"/>
      <c r="AO1126" s="160"/>
      <c r="AP1126" s="161"/>
      <c r="AQ1126" s="160"/>
      <c r="AR1126" s="160"/>
      <c r="AS1126" s="160"/>
      <c r="AT1126" s="160"/>
      <c r="AU1126" s="160"/>
      <c r="AV1126" s="160"/>
      <c r="AW1126" s="160"/>
      <c r="AX1126" s="160"/>
      <c r="AY1126" s="160"/>
      <c r="AZ1126" s="160"/>
      <c r="BA1126" s="160"/>
      <c r="BB1126" s="160">
        <v>200</v>
      </c>
      <c r="BC1126" s="160">
        <f>200*56000</f>
        <v>11200000</v>
      </c>
      <c r="BD1126" s="160"/>
      <c r="BE1126" s="160"/>
      <c r="BF1126" s="160"/>
      <c r="BG1126" s="160"/>
      <c r="BH1126" s="160"/>
      <c r="BI1126" s="160"/>
      <c r="BJ1126" s="160"/>
      <c r="BK1126" s="160"/>
      <c r="BL1126" s="160"/>
      <c r="BM1126" s="160"/>
      <c r="BN1126" s="160"/>
      <c r="BO1126" s="160"/>
      <c r="BP1126" s="160"/>
      <c r="BQ1126" s="160"/>
      <c r="BR1126" s="160"/>
      <c r="BS1126" s="160"/>
      <c r="BT1126" s="160"/>
      <c r="BU1126" s="160"/>
      <c r="BV1126" s="160"/>
      <c r="BW1126" s="160"/>
      <c r="BX1126" s="160"/>
      <c r="BY1126" s="160"/>
      <c r="BZ1126" s="160"/>
      <c r="CA1126" s="160"/>
      <c r="CB1126" s="160"/>
      <c r="CC1126" s="160"/>
      <c r="CD1126" s="160"/>
      <c r="CE1126" s="160"/>
      <c r="CF1126" s="160"/>
      <c r="CG1126" s="160"/>
      <c r="CH1126" s="160"/>
      <c r="CI1126" s="160"/>
      <c r="CJ1126" s="160"/>
      <c r="CK1126" s="160"/>
      <c r="CL1126" s="160"/>
      <c r="CM1126" s="160"/>
      <c r="CN1126" s="160">
        <v>281</v>
      </c>
      <c r="CO1126" s="160">
        <f>281*18000</f>
        <v>5058000</v>
      </c>
      <c r="CP1126" s="162"/>
      <c r="CQ1126" s="163"/>
      <c r="CR1126" s="162"/>
      <c r="CS1126" s="163"/>
      <c r="CT1126" s="162"/>
      <c r="CU1126" s="163"/>
      <c r="CV1126" s="164">
        <f t="shared" si="149"/>
        <v>16258000</v>
      </c>
      <c r="CW1126" s="165"/>
      <c r="CX1126" s="166"/>
      <c r="CY1126" s="167">
        <v>281</v>
      </c>
      <c r="CZ1126" s="168">
        <f>281*85000</f>
        <v>23885000</v>
      </c>
      <c r="DA1126" s="169"/>
      <c r="DB1126" s="168"/>
      <c r="DC1126" s="165"/>
      <c r="DD1126" s="166"/>
      <c r="DE1126" s="71"/>
      <c r="DF1126" s="170"/>
      <c r="EO1126" s="353" t="str">
        <f t="shared" si="151"/>
        <v>CHOCO_ATRATO</v>
      </c>
      <c r="EP1126" s="350"/>
      <c r="EQ1126" s="351" t="s">
        <v>4239</v>
      </c>
      <c r="ER1126" s="352" t="s">
        <v>3112</v>
      </c>
      <c r="ES1126" s="351" t="s">
        <v>4239</v>
      </c>
      <c r="ET1126" s="350" t="s">
        <v>2008</v>
      </c>
      <c r="EU1126" s="350" t="str">
        <f t="shared" si="153"/>
        <v>CAQUETA_DEPARTAMENTO</v>
      </c>
    </row>
    <row r="1127" spans="1:151" s="171" customFormat="1" ht="38.25" x14ac:dyDescent="0.2">
      <c r="A1127" s="242">
        <v>40434</v>
      </c>
      <c r="B1127" s="236" t="s">
        <v>1836</v>
      </c>
      <c r="C1127" s="236" t="s">
        <v>1886</v>
      </c>
      <c r="D1127" s="427" t="s">
        <v>2307</v>
      </c>
      <c r="E1127" s="107" t="str">
        <f>VLOOKUP(B1127&amp;C1127,Divipola!$C$2:$F$1138,4,FALSE)</f>
        <v>47189</v>
      </c>
      <c r="F1127" s="330"/>
      <c r="G1127" s="221">
        <v>2</v>
      </c>
      <c r="H1127" s="157">
        <v>4</v>
      </c>
      <c r="I1127" s="157"/>
      <c r="J1127" s="157">
        <v>6</v>
      </c>
      <c r="K1127" s="157">
        <v>1</v>
      </c>
      <c r="L1127" s="157">
        <v>1</v>
      </c>
      <c r="M1127" s="157"/>
      <c r="N1127" s="157"/>
      <c r="O1127" s="157"/>
      <c r="P1127" s="157"/>
      <c r="Q1127" s="157"/>
      <c r="R1127" s="157"/>
      <c r="S1127" s="157"/>
      <c r="T1127" s="157"/>
      <c r="U1127" s="157"/>
      <c r="V1127" s="158"/>
      <c r="W1127" s="182"/>
      <c r="X1127" s="1"/>
      <c r="Y1127" s="78">
        <f t="shared" si="146"/>
        <v>0</v>
      </c>
      <c r="Z1127" s="78">
        <f t="shared" si="147"/>
        <v>0</v>
      </c>
      <c r="AA1127" s="78">
        <f t="shared" si="152"/>
        <v>0</v>
      </c>
      <c r="AB1127" s="78">
        <f t="shared" si="148"/>
        <v>0</v>
      </c>
      <c r="AC1127" s="78"/>
      <c r="AD1127" s="78">
        <v>0</v>
      </c>
      <c r="AE1127" s="80">
        <f t="shared" si="150"/>
        <v>0</v>
      </c>
      <c r="AF1127" s="82">
        <v>0</v>
      </c>
      <c r="AG1127" s="69">
        <v>40435</v>
      </c>
      <c r="AH1127" s="84"/>
      <c r="AI1127" s="69" t="s">
        <v>1984</v>
      </c>
      <c r="AJ1127" s="25" t="s">
        <v>1985</v>
      </c>
      <c r="AK1127" s="65"/>
      <c r="AL1127" s="176" t="s">
        <v>1257</v>
      </c>
      <c r="AM1127" s="173" t="s">
        <v>3032</v>
      </c>
      <c r="AN1127" s="159"/>
      <c r="AO1127" s="160"/>
      <c r="AP1127" s="161"/>
      <c r="AQ1127" s="160"/>
      <c r="AR1127" s="160"/>
      <c r="AS1127" s="160"/>
      <c r="AT1127" s="160"/>
      <c r="AU1127" s="160"/>
      <c r="AV1127" s="160"/>
      <c r="AW1127" s="160"/>
      <c r="AX1127" s="160"/>
      <c r="AY1127" s="160"/>
      <c r="AZ1127" s="160"/>
      <c r="BA1127" s="160"/>
      <c r="BB1127" s="160"/>
      <c r="BC1127" s="160"/>
      <c r="BD1127" s="160"/>
      <c r="BE1127" s="160"/>
      <c r="BF1127" s="160"/>
      <c r="BG1127" s="160"/>
      <c r="BH1127" s="160"/>
      <c r="BI1127" s="160"/>
      <c r="BJ1127" s="160"/>
      <c r="BK1127" s="160"/>
      <c r="BL1127" s="160"/>
      <c r="BM1127" s="160"/>
      <c r="BN1127" s="160"/>
      <c r="BO1127" s="160"/>
      <c r="BP1127" s="160"/>
      <c r="BQ1127" s="160"/>
      <c r="BR1127" s="160"/>
      <c r="BS1127" s="160"/>
      <c r="BT1127" s="160"/>
      <c r="BU1127" s="160"/>
      <c r="BV1127" s="160"/>
      <c r="BW1127" s="160"/>
      <c r="BX1127" s="160"/>
      <c r="BY1127" s="160"/>
      <c r="BZ1127" s="160"/>
      <c r="CA1127" s="160"/>
      <c r="CB1127" s="160"/>
      <c r="CC1127" s="160"/>
      <c r="CD1127" s="160"/>
      <c r="CE1127" s="160"/>
      <c r="CF1127" s="160"/>
      <c r="CG1127" s="160"/>
      <c r="CH1127" s="160"/>
      <c r="CI1127" s="160"/>
      <c r="CJ1127" s="160"/>
      <c r="CK1127" s="160"/>
      <c r="CL1127" s="160"/>
      <c r="CM1127" s="160"/>
      <c r="CN1127" s="160"/>
      <c r="CO1127" s="160"/>
      <c r="CP1127" s="162"/>
      <c r="CQ1127" s="163"/>
      <c r="CR1127" s="162"/>
      <c r="CS1127" s="163"/>
      <c r="CT1127" s="162"/>
      <c r="CU1127" s="163"/>
      <c r="CV1127" s="164">
        <f t="shared" si="149"/>
        <v>0</v>
      </c>
      <c r="CW1127" s="165"/>
      <c r="CX1127" s="166"/>
      <c r="CY1127" s="167"/>
      <c r="CZ1127" s="168"/>
      <c r="DA1127" s="169"/>
      <c r="DB1127" s="168"/>
      <c r="DC1127" s="165"/>
      <c r="DD1127" s="166"/>
      <c r="DE1127" s="71"/>
      <c r="DF1127" s="170"/>
      <c r="EO1127" s="353" t="str">
        <f t="shared" si="151"/>
        <v>MAGDALENA_CIENAGA</v>
      </c>
      <c r="EP1127" s="350"/>
      <c r="EQ1127" s="351" t="s">
        <v>4634</v>
      </c>
      <c r="ER1127" s="352" t="s">
        <v>1189</v>
      </c>
      <c r="ES1127" s="351" t="s">
        <v>4634</v>
      </c>
      <c r="ET1127" s="350" t="s">
        <v>2008</v>
      </c>
      <c r="EU1127" s="350" t="str">
        <f t="shared" si="153"/>
        <v>CASANARE_DEPARTAMENTO</v>
      </c>
    </row>
    <row r="1128" spans="1:151" s="201" customFormat="1" ht="38.25" x14ac:dyDescent="0.2">
      <c r="A1128" s="242">
        <v>40434</v>
      </c>
      <c r="B1128" s="236" t="s">
        <v>1836</v>
      </c>
      <c r="C1128" s="236" t="s">
        <v>1814</v>
      </c>
      <c r="D1128" s="433" t="s">
        <v>837</v>
      </c>
      <c r="E1128" s="107" t="str">
        <f>VLOOKUP(B1128&amp;C1128,Divipola!$C$2:$F$1138,4,FALSE)</f>
        <v>47001</v>
      </c>
      <c r="F1128" s="335"/>
      <c r="G1128" s="221"/>
      <c r="H1128" s="157"/>
      <c r="I1128" s="157"/>
      <c r="J1128" s="157">
        <v>15</v>
      </c>
      <c r="K1128" s="157">
        <v>3</v>
      </c>
      <c r="L1128" s="157"/>
      <c r="M1128" s="157">
        <v>3</v>
      </c>
      <c r="N1128" s="157"/>
      <c r="O1128" s="157"/>
      <c r="P1128" s="157"/>
      <c r="Q1128" s="157"/>
      <c r="R1128" s="157"/>
      <c r="S1128" s="157"/>
      <c r="T1128" s="157"/>
      <c r="U1128" s="157"/>
      <c r="V1128" s="158"/>
      <c r="W1128" s="182"/>
      <c r="X1128" s="1"/>
      <c r="Y1128" s="78">
        <f t="shared" si="146"/>
        <v>0</v>
      </c>
      <c r="Z1128" s="78">
        <f t="shared" si="147"/>
        <v>0</v>
      </c>
      <c r="AA1128" s="78">
        <f t="shared" si="152"/>
        <v>0</v>
      </c>
      <c r="AB1128" s="78">
        <f t="shared" si="148"/>
        <v>0</v>
      </c>
      <c r="AC1128" s="78"/>
      <c r="AD1128" s="78">
        <v>0</v>
      </c>
      <c r="AE1128" s="80">
        <f t="shared" si="150"/>
        <v>0</v>
      </c>
      <c r="AF1128" s="82">
        <v>0</v>
      </c>
      <c r="AG1128" s="69">
        <v>40435</v>
      </c>
      <c r="AH1128" s="84"/>
      <c r="AI1128" s="69" t="s">
        <v>1984</v>
      </c>
      <c r="AJ1128" s="25" t="s">
        <v>1985</v>
      </c>
      <c r="AK1128" s="65"/>
      <c r="AL1128" s="176" t="s">
        <v>1257</v>
      </c>
      <c r="AM1128" s="173" t="s">
        <v>3033</v>
      </c>
      <c r="AN1128" s="159"/>
      <c r="AO1128" s="160"/>
      <c r="AP1128" s="161"/>
      <c r="AQ1128" s="160"/>
      <c r="AR1128" s="160"/>
      <c r="AS1128" s="160"/>
      <c r="AT1128" s="160"/>
      <c r="AU1128" s="160"/>
      <c r="AV1128" s="160"/>
      <c r="AW1128" s="160"/>
      <c r="AX1128" s="160"/>
      <c r="AY1128" s="160"/>
      <c r="AZ1128" s="160"/>
      <c r="BA1128" s="160"/>
      <c r="BB1128" s="160"/>
      <c r="BC1128" s="160"/>
      <c r="BD1128" s="160"/>
      <c r="BE1128" s="160"/>
      <c r="BF1128" s="160"/>
      <c r="BG1128" s="160"/>
      <c r="BH1128" s="160"/>
      <c r="BI1128" s="160"/>
      <c r="BJ1128" s="160"/>
      <c r="BK1128" s="160"/>
      <c r="BL1128" s="160"/>
      <c r="BM1128" s="160"/>
      <c r="BN1128" s="160"/>
      <c r="BO1128" s="160"/>
      <c r="BP1128" s="160"/>
      <c r="BQ1128" s="160"/>
      <c r="BR1128" s="160"/>
      <c r="BS1128" s="160"/>
      <c r="BT1128" s="160"/>
      <c r="BU1128" s="160"/>
      <c r="BV1128" s="160"/>
      <c r="BW1128" s="160"/>
      <c r="BX1128" s="160"/>
      <c r="BY1128" s="160"/>
      <c r="BZ1128" s="160"/>
      <c r="CA1128" s="160"/>
      <c r="CB1128" s="160"/>
      <c r="CC1128" s="160"/>
      <c r="CD1128" s="160"/>
      <c r="CE1128" s="160"/>
      <c r="CF1128" s="160"/>
      <c r="CG1128" s="160"/>
      <c r="CH1128" s="160"/>
      <c r="CI1128" s="160"/>
      <c r="CJ1128" s="160"/>
      <c r="CK1128" s="160"/>
      <c r="CL1128" s="160"/>
      <c r="CM1128" s="160"/>
      <c r="CN1128" s="160"/>
      <c r="CO1128" s="160"/>
      <c r="CP1128" s="162"/>
      <c r="CQ1128" s="163"/>
      <c r="CR1128" s="162"/>
      <c r="CS1128" s="163"/>
      <c r="CT1128" s="162"/>
      <c r="CU1128" s="163"/>
      <c r="CV1128" s="164">
        <f t="shared" si="149"/>
        <v>0</v>
      </c>
      <c r="CW1128" s="165"/>
      <c r="CX1128" s="166"/>
      <c r="CY1128" s="167"/>
      <c r="CZ1128" s="168"/>
      <c r="DA1128" s="169"/>
      <c r="DB1128" s="168"/>
      <c r="DC1128" s="165"/>
      <c r="DD1128" s="166"/>
      <c r="DE1128" s="71"/>
      <c r="DF1128" s="170"/>
      <c r="EO1128" s="353" t="str">
        <f t="shared" si="151"/>
        <v>MAGDALENA_SANTA MARTA</v>
      </c>
      <c r="EP1128" s="350"/>
      <c r="EQ1128" s="351" t="s">
        <v>4256</v>
      </c>
      <c r="ER1128" s="352" t="s">
        <v>1719</v>
      </c>
      <c r="ES1128" s="351" t="s">
        <v>4256</v>
      </c>
      <c r="ET1128" s="350" t="s">
        <v>2008</v>
      </c>
      <c r="EU1128" s="350" t="str">
        <f t="shared" si="153"/>
        <v>CAUCA_DEPARTAMENTO</v>
      </c>
    </row>
    <row r="1129" spans="1:151" s="171" customFormat="1" ht="120" x14ac:dyDescent="0.2">
      <c r="A1129" s="242">
        <v>40434</v>
      </c>
      <c r="B1129" s="222" t="s">
        <v>1836</v>
      </c>
      <c r="C1129" s="222" t="s">
        <v>1348</v>
      </c>
      <c r="D1129" s="430" t="s">
        <v>837</v>
      </c>
      <c r="E1129" s="107" t="str">
        <f>VLOOKUP(B1129&amp;C1129,Divipola!$C$2:$F$1138,4,FALSE)</f>
        <v>47980</v>
      </c>
      <c r="F1129" s="333"/>
      <c r="G1129" s="221"/>
      <c r="H1129" s="157"/>
      <c r="I1129" s="157"/>
      <c r="J1129" s="157">
        <f>8530-860-225</f>
        <v>7445</v>
      </c>
      <c r="K1129" s="157">
        <f>1706-172-45</f>
        <v>1489</v>
      </c>
      <c r="L1129" s="157"/>
      <c r="M1129" s="157">
        <v>1680</v>
      </c>
      <c r="N1129" s="157"/>
      <c r="O1129" s="157"/>
      <c r="P1129" s="157"/>
      <c r="Q1129" s="157"/>
      <c r="R1129" s="157"/>
      <c r="S1129" s="157"/>
      <c r="T1129" s="157">
        <v>1</v>
      </c>
      <c r="U1129" s="157"/>
      <c r="V1129" s="158"/>
      <c r="W1129" s="182"/>
      <c r="X1129" s="1">
        <v>40508</v>
      </c>
      <c r="Y1129" s="78">
        <f t="shared" si="146"/>
        <v>49843840</v>
      </c>
      <c r="Z1129" s="78">
        <f t="shared" si="147"/>
        <v>227800000</v>
      </c>
      <c r="AA1129" s="78">
        <f t="shared" si="152"/>
        <v>0</v>
      </c>
      <c r="AB1129" s="78">
        <f t="shared" si="148"/>
        <v>4500800</v>
      </c>
      <c r="AC1129" s="78"/>
      <c r="AD1129" s="78">
        <v>0</v>
      </c>
      <c r="AE1129" s="80">
        <f t="shared" si="150"/>
        <v>282144640</v>
      </c>
      <c r="AF1129" s="82">
        <v>0</v>
      </c>
      <c r="AG1129" s="69">
        <v>40441</v>
      </c>
      <c r="AH1129" s="84">
        <v>52364</v>
      </c>
      <c r="AI1129" s="69" t="s">
        <v>2009</v>
      </c>
      <c r="AJ1129" s="25" t="s">
        <v>2010</v>
      </c>
      <c r="AK1129" s="65"/>
      <c r="AL1129" s="185" t="s">
        <v>2182</v>
      </c>
      <c r="AM1129" s="173" t="s">
        <v>1865</v>
      </c>
      <c r="AN1129" s="159"/>
      <c r="AO1129" s="160"/>
      <c r="AP1129" s="161"/>
      <c r="AQ1129" s="160"/>
      <c r="AR1129" s="160"/>
      <c r="AS1129" s="160"/>
      <c r="AT1129" s="160"/>
      <c r="AU1129" s="160"/>
      <c r="AV1129" s="160"/>
      <c r="AW1129" s="160"/>
      <c r="AX1129" s="160"/>
      <c r="AY1129" s="160"/>
      <c r="AZ1129" s="160">
        <v>270</v>
      </c>
      <c r="BA1129" s="160">
        <f>270*55712</f>
        <v>15042240</v>
      </c>
      <c r="BB1129" s="160"/>
      <c r="BC1129" s="160"/>
      <c r="BD1129" s="160"/>
      <c r="BE1129" s="160"/>
      <c r="BF1129" s="160"/>
      <c r="BG1129" s="160"/>
      <c r="BH1129" s="160"/>
      <c r="BI1129" s="160"/>
      <c r="BJ1129" s="160"/>
      <c r="BK1129" s="160"/>
      <c r="BL1129" s="160"/>
      <c r="BM1129" s="160"/>
      <c r="BN1129" s="160"/>
      <c r="BO1129" s="160"/>
      <c r="BP1129" s="160"/>
      <c r="BQ1129" s="160"/>
      <c r="BR1129" s="160"/>
      <c r="BS1129" s="160"/>
      <c r="BT1129" s="160"/>
      <c r="BU1129" s="160"/>
      <c r="BV1129" s="160"/>
      <c r="BW1129" s="160"/>
      <c r="BX1129" s="160"/>
      <c r="BY1129" s="160"/>
      <c r="BZ1129" s="160">
        <f>4+5</f>
        <v>9</v>
      </c>
      <c r="CA1129" s="160">
        <f>4*510400+5*504000</f>
        <v>4561600</v>
      </c>
      <c r="CB1129" s="160"/>
      <c r="CC1129" s="160"/>
      <c r="CD1129" s="160"/>
      <c r="CE1129" s="160"/>
      <c r="CF1129" s="160"/>
      <c r="CG1129" s="160"/>
      <c r="CH1129" s="160"/>
      <c r="CI1129" s="160"/>
      <c r="CJ1129" s="160"/>
      <c r="CK1129" s="160"/>
      <c r="CL1129" s="160"/>
      <c r="CM1129" s="160"/>
      <c r="CN1129" s="160">
        <v>1680</v>
      </c>
      <c r="CO1129" s="160">
        <f>1680*18000</f>
        <v>30240000</v>
      </c>
      <c r="CP1129" s="162"/>
      <c r="CQ1129" s="163"/>
      <c r="CR1129" s="162"/>
      <c r="CS1129" s="163"/>
      <c r="CT1129" s="162"/>
      <c r="CU1129" s="163"/>
      <c r="CV1129" s="164">
        <f t="shared" si="149"/>
        <v>49843840</v>
      </c>
      <c r="CW1129" s="165">
        <v>5000</v>
      </c>
      <c r="CX1129" s="166">
        <f>5000*900.16</f>
        <v>4500800</v>
      </c>
      <c r="CY1129" s="167">
        <f>1680+1000</f>
        <v>2680</v>
      </c>
      <c r="CZ1129" s="168">
        <f>1680*85000+1000*85000</f>
        <v>227800000</v>
      </c>
      <c r="DA1129" s="169"/>
      <c r="DB1129" s="168"/>
      <c r="DC1129" s="165"/>
      <c r="DD1129" s="166"/>
      <c r="DE1129" s="71"/>
      <c r="DF1129" s="170"/>
      <c r="EO1129" s="353" t="str">
        <f t="shared" si="151"/>
        <v>MAGDALENA_ZONA BANANERA</v>
      </c>
      <c r="EP1129" s="350"/>
      <c r="EQ1129" s="351" t="s">
        <v>4280</v>
      </c>
      <c r="ER1129" s="352" t="s">
        <v>2242</v>
      </c>
      <c r="ES1129" s="351" t="s">
        <v>4280</v>
      </c>
      <c r="ET1129" s="350" t="s">
        <v>2008</v>
      </c>
      <c r="EU1129" s="350" t="str">
        <f t="shared" si="153"/>
        <v>CESAR_DEPARTAMENTO</v>
      </c>
    </row>
    <row r="1130" spans="1:151" s="171" customFormat="1" ht="48" x14ac:dyDescent="0.2">
      <c r="A1130" s="242">
        <v>40434</v>
      </c>
      <c r="B1130" s="222" t="s">
        <v>2372</v>
      </c>
      <c r="C1130" s="222" t="s">
        <v>4590</v>
      </c>
      <c r="D1130" s="430" t="s">
        <v>837</v>
      </c>
      <c r="E1130" s="107" t="str">
        <f>VLOOKUP(B1130&amp;C1130,Divipola!$C$2:$F$1138,4,FALSE)</f>
        <v>70742</v>
      </c>
      <c r="F1130" s="333"/>
      <c r="G1130" s="221"/>
      <c r="H1130" s="157"/>
      <c r="I1130" s="157"/>
      <c r="J1130" s="157">
        <f>108*5</f>
        <v>540</v>
      </c>
      <c r="K1130" s="157">
        <v>108</v>
      </c>
      <c r="L1130" s="157"/>
      <c r="M1130" s="157">
        <v>223</v>
      </c>
      <c r="N1130" s="157">
        <v>1</v>
      </c>
      <c r="O1130" s="157"/>
      <c r="P1130" s="157"/>
      <c r="Q1130" s="157"/>
      <c r="R1130" s="157"/>
      <c r="S1130" s="157"/>
      <c r="T1130" s="157"/>
      <c r="U1130" s="157"/>
      <c r="V1130" s="158"/>
      <c r="W1130" s="182"/>
      <c r="X1130" s="1">
        <v>40466</v>
      </c>
      <c r="Y1130" s="78">
        <f t="shared" si="146"/>
        <v>0</v>
      </c>
      <c r="Z1130" s="78">
        <f t="shared" si="147"/>
        <v>21250000</v>
      </c>
      <c r="AA1130" s="78">
        <f t="shared" si="152"/>
        <v>0</v>
      </c>
      <c r="AB1130" s="78">
        <f t="shared" si="148"/>
        <v>0</v>
      </c>
      <c r="AC1130" s="78"/>
      <c r="AD1130" s="78">
        <v>300000000</v>
      </c>
      <c r="AE1130" s="80">
        <f t="shared" si="150"/>
        <v>321250000</v>
      </c>
      <c r="AF1130" s="82">
        <v>0</v>
      </c>
      <c r="AG1130" s="69">
        <v>40438</v>
      </c>
      <c r="AH1130" s="84">
        <v>49172</v>
      </c>
      <c r="AI1130" s="69" t="s">
        <v>2009</v>
      </c>
      <c r="AJ1130" s="25" t="s">
        <v>2010</v>
      </c>
      <c r="AK1130" s="65">
        <v>476</v>
      </c>
      <c r="AL1130" s="176" t="s">
        <v>1831</v>
      </c>
      <c r="AM1130" s="177" t="s">
        <v>1801</v>
      </c>
      <c r="AN1130" s="159"/>
      <c r="AO1130" s="160"/>
      <c r="AP1130" s="161"/>
      <c r="AQ1130" s="160"/>
      <c r="AR1130" s="160"/>
      <c r="AS1130" s="160"/>
      <c r="AT1130" s="160"/>
      <c r="AU1130" s="160"/>
      <c r="AV1130" s="160"/>
      <c r="AW1130" s="160"/>
      <c r="AX1130" s="160"/>
      <c r="AY1130" s="160"/>
      <c r="AZ1130" s="160"/>
      <c r="BA1130" s="160"/>
      <c r="BB1130" s="160"/>
      <c r="BC1130" s="160"/>
      <c r="BD1130" s="160"/>
      <c r="BE1130" s="160"/>
      <c r="BF1130" s="160"/>
      <c r="BG1130" s="160"/>
      <c r="BH1130" s="160"/>
      <c r="BI1130" s="160"/>
      <c r="BJ1130" s="160"/>
      <c r="BK1130" s="160"/>
      <c r="BL1130" s="160"/>
      <c r="BM1130" s="160"/>
      <c r="BN1130" s="160"/>
      <c r="BO1130" s="160"/>
      <c r="BP1130" s="160"/>
      <c r="BQ1130" s="160"/>
      <c r="BR1130" s="160"/>
      <c r="BS1130" s="160"/>
      <c r="BT1130" s="160"/>
      <c r="BU1130" s="160"/>
      <c r="BV1130" s="160"/>
      <c r="BW1130" s="160"/>
      <c r="BX1130" s="160"/>
      <c r="BY1130" s="160"/>
      <c r="BZ1130" s="160"/>
      <c r="CA1130" s="160"/>
      <c r="CB1130" s="160"/>
      <c r="CC1130" s="160"/>
      <c r="CD1130" s="160"/>
      <c r="CE1130" s="160"/>
      <c r="CF1130" s="160"/>
      <c r="CG1130" s="160"/>
      <c r="CH1130" s="160"/>
      <c r="CI1130" s="160"/>
      <c r="CJ1130" s="160"/>
      <c r="CK1130" s="160"/>
      <c r="CL1130" s="160"/>
      <c r="CM1130" s="160"/>
      <c r="CN1130" s="160"/>
      <c r="CO1130" s="160"/>
      <c r="CP1130" s="162"/>
      <c r="CQ1130" s="163"/>
      <c r="CR1130" s="162"/>
      <c r="CS1130" s="163"/>
      <c r="CT1130" s="162"/>
      <c r="CU1130" s="163"/>
      <c r="CV1130" s="164">
        <f t="shared" si="149"/>
        <v>0</v>
      </c>
      <c r="CW1130" s="165"/>
      <c r="CX1130" s="166"/>
      <c r="CY1130" s="167">
        <v>250</v>
      </c>
      <c r="CZ1130" s="168">
        <f>250*85000</f>
        <v>21250000</v>
      </c>
      <c r="DA1130" s="169"/>
      <c r="DB1130" s="168"/>
      <c r="DC1130" s="165"/>
      <c r="DD1130" s="166"/>
      <c r="DE1130" s="71">
        <v>4</v>
      </c>
      <c r="DF1130" s="170"/>
      <c r="EO1130" s="353" t="str">
        <f t="shared" si="151"/>
        <v>SUCRE_SAN LUIS DE SINCE</v>
      </c>
      <c r="EP1130" s="350"/>
      <c r="EQ1130" s="351" t="s">
        <v>4295</v>
      </c>
      <c r="ER1130" s="352" t="s">
        <v>1700</v>
      </c>
      <c r="ES1130" s="351" t="s">
        <v>4295</v>
      </c>
      <c r="ET1130" s="350" t="s">
        <v>2008</v>
      </c>
      <c r="EU1130" s="350" t="str">
        <f t="shared" si="153"/>
        <v>CORDOBA_DEPARTAMENTO</v>
      </c>
    </row>
    <row r="1131" spans="1:151" s="171" customFormat="1" ht="51" x14ac:dyDescent="0.2">
      <c r="A1131" s="242">
        <v>40435</v>
      </c>
      <c r="B1131" s="236" t="s">
        <v>2756</v>
      </c>
      <c r="C1131" s="236" t="s">
        <v>619</v>
      </c>
      <c r="D1131" s="433" t="s">
        <v>837</v>
      </c>
      <c r="E1131" s="107" t="str">
        <f>VLOOKUP(B1131&amp;C1131,Divipola!$C$2:$F$1138,4,FALSE)</f>
        <v>81794</v>
      </c>
      <c r="F1131" s="335"/>
      <c r="G1131" s="221"/>
      <c r="H1131" s="157"/>
      <c r="I1131" s="157"/>
      <c r="J1131" s="157">
        <f>779-35</f>
        <v>744</v>
      </c>
      <c r="K1131" s="157">
        <v>191</v>
      </c>
      <c r="L1131" s="157"/>
      <c r="M1131" s="183">
        <v>191</v>
      </c>
      <c r="N1131" s="157"/>
      <c r="O1131" s="157"/>
      <c r="P1131" s="157"/>
      <c r="Q1131" s="157"/>
      <c r="R1131" s="157"/>
      <c r="S1131" s="157"/>
      <c r="T1131" s="157"/>
      <c r="U1131" s="157"/>
      <c r="V1131" s="158"/>
      <c r="W1131" s="182"/>
      <c r="X1131" s="1"/>
      <c r="Y1131" s="78">
        <f t="shared" si="146"/>
        <v>0</v>
      </c>
      <c r="Z1131" s="78">
        <f t="shared" si="147"/>
        <v>0</v>
      </c>
      <c r="AA1131" s="78">
        <f t="shared" si="152"/>
        <v>0</v>
      </c>
      <c r="AB1131" s="78">
        <f t="shared" si="148"/>
        <v>0</v>
      </c>
      <c r="AC1131" s="78"/>
      <c r="AD1131" s="78">
        <v>0</v>
      </c>
      <c r="AE1131" s="80">
        <f t="shared" si="150"/>
        <v>0</v>
      </c>
      <c r="AF1131" s="82">
        <v>0</v>
      </c>
      <c r="AG1131" s="69">
        <v>40441</v>
      </c>
      <c r="AH1131" s="84"/>
      <c r="AI1131" s="69" t="s">
        <v>2009</v>
      </c>
      <c r="AJ1131" s="25" t="s">
        <v>2010</v>
      </c>
      <c r="AK1131" s="65"/>
      <c r="AL1131" s="214" t="s">
        <v>1674</v>
      </c>
      <c r="AM1131" s="173" t="s">
        <v>1600</v>
      </c>
      <c r="AN1131" s="159"/>
      <c r="AO1131" s="160"/>
      <c r="AP1131" s="161"/>
      <c r="AQ1131" s="160"/>
      <c r="AR1131" s="160"/>
      <c r="AS1131" s="160"/>
      <c r="AT1131" s="160"/>
      <c r="AU1131" s="160"/>
      <c r="AV1131" s="160"/>
      <c r="AW1131" s="160"/>
      <c r="AX1131" s="160"/>
      <c r="AY1131" s="160"/>
      <c r="AZ1131" s="160"/>
      <c r="BA1131" s="160"/>
      <c r="BB1131" s="160"/>
      <c r="BC1131" s="160"/>
      <c r="BD1131" s="160"/>
      <c r="BE1131" s="160"/>
      <c r="BF1131" s="160"/>
      <c r="BG1131" s="160"/>
      <c r="BH1131" s="160"/>
      <c r="BI1131" s="160"/>
      <c r="BJ1131" s="160"/>
      <c r="BK1131" s="160"/>
      <c r="BL1131" s="160"/>
      <c r="BM1131" s="160"/>
      <c r="BN1131" s="160"/>
      <c r="BO1131" s="160"/>
      <c r="BP1131" s="160"/>
      <c r="BQ1131" s="160"/>
      <c r="BR1131" s="160"/>
      <c r="BS1131" s="160"/>
      <c r="BT1131" s="160"/>
      <c r="BU1131" s="160"/>
      <c r="BV1131" s="160"/>
      <c r="BW1131" s="160"/>
      <c r="BX1131" s="160"/>
      <c r="BY1131" s="160"/>
      <c r="BZ1131" s="160"/>
      <c r="CA1131" s="160"/>
      <c r="CB1131" s="160"/>
      <c r="CC1131" s="160"/>
      <c r="CD1131" s="160"/>
      <c r="CE1131" s="160"/>
      <c r="CF1131" s="160"/>
      <c r="CG1131" s="160"/>
      <c r="CH1131" s="160"/>
      <c r="CI1131" s="160"/>
      <c r="CJ1131" s="160"/>
      <c r="CK1131" s="160"/>
      <c r="CL1131" s="160"/>
      <c r="CM1131" s="160"/>
      <c r="CN1131" s="160"/>
      <c r="CO1131" s="160"/>
      <c r="CP1131" s="162"/>
      <c r="CQ1131" s="163"/>
      <c r="CR1131" s="162"/>
      <c r="CS1131" s="163"/>
      <c r="CT1131" s="162"/>
      <c r="CU1131" s="163"/>
      <c r="CV1131" s="164">
        <f t="shared" si="149"/>
        <v>0</v>
      </c>
      <c r="CW1131" s="165"/>
      <c r="CX1131" s="166"/>
      <c r="CY1131" s="167"/>
      <c r="CZ1131" s="168"/>
      <c r="DA1131" s="169"/>
      <c r="DB1131" s="168"/>
      <c r="DC1131" s="165"/>
      <c r="DD1131" s="166"/>
      <c r="DE1131" s="71"/>
      <c r="DF1131" s="170"/>
      <c r="EO1131" s="353" t="str">
        <f t="shared" si="151"/>
        <v>ARAUCA_TAME</v>
      </c>
      <c r="EP1131" s="350"/>
      <c r="EQ1131" s="351" t="s">
        <v>4311</v>
      </c>
      <c r="ER1131" s="352" t="s">
        <v>2007</v>
      </c>
      <c r="ES1131" s="351" t="s">
        <v>4311</v>
      </c>
      <c r="ET1131" s="350" t="s">
        <v>2008</v>
      </c>
      <c r="EU1131" s="350" t="str">
        <f t="shared" si="153"/>
        <v>CUNDINAMARCA_DEPARTAMENTO</v>
      </c>
    </row>
    <row r="1132" spans="1:151" s="171" customFormat="1" ht="38.25" x14ac:dyDescent="0.2">
      <c r="A1132" s="242">
        <v>40435</v>
      </c>
      <c r="B1132" s="222" t="s">
        <v>1333</v>
      </c>
      <c r="C1132" s="222" t="s">
        <v>382</v>
      </c>
      <c r="D1132" s="430" t="s">
        <v>2209</v>
      </c>
      <c r="E1132" s="107" t="str">
        <f>VLOOKUP(B1132&amp;C1132,Divipola!$C$2:$F$1138,4,FALSE)</f>
        <v>41244</v>
      </c>
      <c r="F1132" s="333"/>
      <c r="G1132" s="221"/>
      <c r="H1132" s="157"/>
      <c r="I1132" s="157"/>
      <c r="J1132" s="157">
        <v>74</v>
      </c>
      <c r="K1132" s="157">
        <v>12</v>
      </c>
      <c r="L1132" s="157"/>
      <c r="M1132" s="157">
        <v>6</v>
      </c>
      <c r="N1132" s="157"/>
      <c r="O1132" s="157"/>
      <c r="P1132" s="157"/>
      <c r="Q1132" s="157"/>
      <c r="R1132" s="157"/>
      <c r="S1132" s="157"/>
      <c r="T1132" s="157"/>
      <c r="U1132" s="157"/>
      <c r="V1132" s="158"/>
      <c r="W1132" s="182"/>
      <c r="X1132" s="1"/>
      <c r="Y1132" s="78">
        <f t="shared" si="146"/>
        <v>0</v>
      </c>
      <c r="Z1132" s="78">
        <f t="shared" si="147"/>
        <v>0</v>
      </c>
      <c r="AA1132" s="78">
        <f t="shared" si="152"/>
        <v>0</v>
      </c>
      <c r="AB1132" s="78">
        <f t="shared" si="148"/>
        <v>0</v>
      </c>
      <c r="AC1132" s="78"/>
      <c r="AD1132" s="78">
        <v>0</v>
      </c>
      <c r="AE1132" s="80">
        <f t="shared" si="150"/>
        <v>0</v>
      </c>
      <c r="AF1132" s="82">
        <v>0</v>
      </c>
      <c r="AG1132" s="69">
        <v>40581</v>
      </c>
      <c r="AH1132" s="84"/>
      <c r="AI1132" s="69" t="s">
        <v>1984</v>
      </c>
      <c r="AJ1132" s="25" t="s">
        <v>1985</v>
      </c>
      <c r="AK1132" s="65"/>
      <c r="AL1132" s="176" t="s">
        <v>1257</v>
      </c>
      <c r="AM1132" s="173" t="s">
        <v>349</v>
      </c>
      <c r="AN1132" s="159"/>
      <c r="AO1132" s="160"/>
      <c r="AP1132" s="161"/>
      <c r="AQ1132" s="160"/>
      <c r="AR1132" s="160"/>
      <c r="AS1132" s="160"/>
      <c r="AT1132" s="160"/>
      <c r="AU1132" s="160"/>
      <c r="AV1132" s="160"/>
      <c r="AW1132" s="160"/>
      <c r="AX1132" s="160"/>
      <c r="AY1132" s="160"/>
      <c r="AZ1132" s="160"/>
      <c r="BA1132" s="160"/>
      <c r="BB1132" s="160"/>
      <c r="BC1132" s="160"/>
      <c r="BD1132" s="160"/>
      <c r="BE1132" s="160"/>
      <c r="BF1132" s="160"/>
      <c r="BG1132" s="160"/>
      <c r="BH1132" s="160"/>
      <c r="BI1132" s="160"/>
      <c r="BJ1132" s="160"/>
      <c r="BK1132" s="160"/>
      <c r="BL1132" s="160"/>
      <c r="BM1132" s="160"/>
      <c r="BN1132" s="160"/>
      <c r="BO1132" s="160"/>
      <c r="BP1132" s="160"/>
      <c r="BQ1132" s="160"/>
      <c r="BR1132" s="160"/>
      <c r="BS1132" s="160"/>
      <c r="BT1132" s="160"/>
      <c r="BU1132" s="160"/>
      <c r="BV1132" s="160"/>
      <c r="BW1132" s="160"/>
      <c r="BX1132" s="160"/>
      <c r="BY1132" s="160"/>
      <c r="BZ1132" s="160"/>
      <c r="CA1132" s="160"/>
      <c r="CB1132" s="160"/>
      <c r="CC1132" s="160"/>
      <c r="CD1132" s="160"/>
      <c r="CE1132" s="160"/>
      <c r="CF1132" s="160"/>
      <c r="CG1132" s="160"/>
      <c r="CH1132" s="160"/>
      <c r="CI1132" s="160"/>
      <c r="CJ1132" s="160"/>
      <c r="CK1132" s="160"/>
      <c r="CL1132" s="160"/>
      <c r="CM1132" s="160"/>
      <c r="CN1132" s="160"/>
      <c r="CO1132" s="160"/>
      <c r="CP1132" s="162"/>
      <c r="CQ1132" s="163"/>
      <c r="CR1132" s="162"/>
      <c r="CS1132" s="163"/>
      <c r="CT1132" s="162"/>
      <c r="CU1132" s="163"/>
      <c r="CV1132" s="164">
        <f t="shared" si="149"/>
        <v>0</v>
      </c>
      <c r="CW1132" s="165"/>
      <c r="CX1132" s="166"/>
      <c r="CY1132" s="167"/>
      <c r="CZ1132" s="168"/>
      <c r="DA1132" s="169"/>
      <c r="DB1132" s="168"/>
      <c r="DC1132" s="165"/>
      <c r="DD1132" s="166"/>
      <c r="DE1132" s="71"/>
      <c r="DF1132" s="170"/>
      <c r="EO1132" s="353" t="str">
        <f t="shared" si="151"/>
        <v>HUILA_ELIAS</v>
      </c>
      <c r="EP1132" s="350"/>
      <c r="EQ1132" s="351" t="s">
        <v>4407</v>
      </c>
      <c r="ER1132" s="352" t="s">
        <v>2425</v>
      </c>
      <c r="ES1132" s="351" t="s">
        <v>4407</v>
      </c>
      <c r="ET1132" s="350" t="s">
        <v>2008</v>
      </c>
      <c r="EU1132" s="350" t="str">
        <f t="shared" si="153"/>
        <v>CHOCO_DEPARTAMENTO</v>
      </c>
    </row>
    <row r="1133" spans="1:151" s="171" customFormat="1" ht="38.25" x14ac:dyDescent="0.2">
      <c r="A1133" s="242">
        <v>40435</v>
      </c>
      <c r="B1133" s="236" t="s">
        <v>1333</v>
      </c>
      <c r="C1133" s="236" t="s">
        <v>1433</v>
      </c>
      <c r="D1133" s="433" t="s">
        <v>2209</v>
      </c>
      <c r="E1133" s="107" t="str">
        <f>VLOOKUP(B1133&amp;C1133,Divipola!$C$2:$F$1138,4,FALSE)</f>
        <v>41359</v>
      </c>
      <c r="F1133" s="335"/>
      <c r="G1133" s="221"/>
      <c r="H1133" s="157"/>
      <c r="I1133" s="157"/>
      <c r="J1133" s="157"/>
      <c r="K1133" s="157"/>
      <c r="L1133" s="157"/>
      <c r="M1133" s="157"/>
      <c r="N1133" s="157"/>
      <c r="O1133" s="157"/>
      <c r="P1133" s="157"/>
      <c r="Q1133" s="157"/>
      <c r="R1133" s="157"/>
      <c r="S1133" s="157"/>
      <c r="T1133" s="157">
        <v>1</v>
      </c>
      <c r="U1133" s="157"/>
      <c r="V1133" s="158"/>
      <c r="W1133" s="182"/>
      <c r="X1133" s="1"/>
      <c r="Y1133" s="78">
        <f t="shared" si="146"/>
        <v>0</v>
      </c>
      <c r="Z1133" s="78">
        <f t="shared" si="147"/>
        <v>0</v>
      </c>
      <c r="AA1133" s="78">
        <f t="shared" si="152"/>
        <v>0</v>
      </c>
      <c r="AB1133" s="78">
        <f t="shared" si="148"/>
        <v>0</v>
      </c>
      <c r="AC1133" s="78"/>
      <c r="AD1133" s="78">
        <v>0</v>
      </c>
      <c r="AE1133" s="80">
        <f t="shared" si="150"/>
        <v>0</v>
      </c>
      <c r="AF1133" s="82">
        <v>0</v>
      </c>
      <c r="AG1133" s="69">
        <v>40441</v>
      </c>
      <c r="AH1133" s="84"/>
      <c r="AI1133" s="69" t="s">
        <v>1984</v>
      </c>
      <c r="AJ1133" s="25" t="s">
        <v>1985</v>
      </c>
      <c r="AK1133" s="65"/>
      <c r="AL1133" s="176" t="s">
        <v>1257</v>
      </c>
      <c r="AM1133" s="173" t="s">
        <v>1435</v>
      </c>
      <c r="AN1133" s="159"/>
      <c r="AO1133" s="160"/>
      <c r="AP1133" s="161"/>
      <c r="AQ1133" s="160"/>
      <c r="AR1133" s="160"/>
      <c r="AS1133" s="160"/>
      <c r="AT1133" s="160"/>
      <c r="AU1133" s="160"/>
      <c r="AV1133" s="160"/>
      <c r="AW1133" s="160"/>
      <c r="AX1133" s="160"/>
      <c r="AY1133" s="160"/>
      <c r="AZ1133" s="160"/>
      <c r="BA1133" s="160"/>
      <c r="BB1133" s="160"/>
      <c r="BC1133" s="160"/>
      <c r="BD1133" s="160"/>
      <c r="BE1133" s="160"/>
      <c r="BF1133" s="160"/>
      <c r="BG1133" s="160"/>
      <c r="BH1133" s="160"/>
      <c r="BI1133" s="160"/>
      <c r="BJ1133" s="160"/>
      <c r="BK1133" s="160"/>
      <c r="BL1133" s="160"/>
      <c r="BM1133" s="160"/>
      <c r="BN1133" s="160"/>
      <c r="BO1133" s="160"/>
      <c r="BP1133" s="160"/>
      <c r="BQ1133" s="160"/>
      <c r="BR1133" s="160"/>
      <c r="BS1133" s="160"/>
      <c r="BT1133" s="160"/>
      <c r="BU1133" s="160"/>
      <c r="BV1133" s="160"/>
      <c r="BW1133" s="160"/>
      <c r="BX1133" s="160"/>
      <c r="BY1133" s="160"/>
      <c r="BZ1133" s="160"/>
      <c r="CA1133" s="160"/>
      <c r="CB1133" s="160"/>
      <c r="CC1133" s="160"/>
      <c r="CD1133" s="160"/>
      <c r="CE1133" s="160"/>
      <c r="CF1133" s="160"/>
      <c r="CG1133" s="160"/>
      <c r="CH1133" s="160"/>
      <c r="CI1133" s="160"/>
      <c r="CJ1133" s="160"/>
      <c r="CK1133" s="160"/>
      <c r="CL1133" s="160"/>
      <c r="CM1133" s="160"/>
      <c r="CN1133" s="160"/>
      <c r="CO1133" s="160"/>
      <c r="CP1133" s="162"/>
      <c r="CQ1133" s="163"/>
      <c r="CR1133" s="162"/>
      <c r="CS1133" s="163"/>
      <c r="CT1133" s="162"/>
      <c r="CU1133" s="163"/>
      <c r="CV1133" s="164">
        <f t="shared" si="149"/>
        <v>0</v>
      </c>
      <c r="CW1133" s="165"/>
      <c r="CX1133" s="166"/>
      <c r="CY1133" s="167"/>
      <c r="CZ1133" s="168"/>
      <c r="DA1133" s="169"/>
      <c r="DB1133" s="168"/>
      <c r="DC1133" s="165"/>
      <c r="DD1133" s="166"/>
      <c r="DE1133" s="71"/>
      <c r="DF1133" s="170"/>
      <c r="EO1133" s="353" t="str">
        <f t="shared" si="151"/>
        <v>HUILA_ISNOS</v>
      </c>
      <c r="EP1133" s="350"/>
      <c r="EQ1133" s="351" t="s">
        <v>4662</v>
      </c>
      <c r="ER1133" s="352" t="s">
        <v>3102</v>
      </c>
      <c r="ES1133" s="351" t="s">
        <v>4662</v>
      </c>
      <c r="ET1133" s="350" t="s">
        <v>2008</v>
      </c>
      <c r="EU1133" s="350" t="str">
        <f t="shared" si="153"/>
        <v>GUAINIA_DEPARTAMENTO</v>
      </c>
    </row>
    <row r="1134" spans="1:151" s="189" customFormat="1" ht="38.25" x14ac:dyDescent="0.2">
      <c r="A1134" s="242">
        <v>40435</v>
      </c>
      <c r="B1134" s="222" t="s">
        <v>1333</v>
      </c>
      <c r="C1134" s="222" t="s">
        <v>1597</v>
      </c>
      <c r="D1134" s="430" t="s">
        <v>2209</v>
      </c>
      <c r="E1134" s="107" t="str">
        <f>VLOOKUP(B1134&amp;C1134,Divipola!$C$2:$F$1138,4,FALSE)</f>
        <v>41551</v>
      </c>
      <c r="F1134" s="333"/>
      <c r="G1134" s="221"/>
      <c r="H1134" s="157"/>
      <c r="I1134" s="157"/>
      <c r="J1134" s="157"/>
      <c r="K1134" s="157"/>
      <c r="L1134" s="157"/>
      <c r="M1134" s="157"/>
      <c r="N1134" s="157"/>
      <c r="O1134" s="157"/>
      <c r="P1134" s="157"/>
      <c r="Q1134" s="157"/>
      <c r="R1134" s="157"/>
      <c r="S1134" s="157"/>
      <c r="T1134" s="157">
        <v>1</v>
      </c>
      <c r="U1134" s="157"/>
      <c r="V1134" s="158"/>
      <c r="W1134" s="182"/>
      <c r="X1134" s="1"/>
      <c r="Y1134" s="78">
        <f t="shared" si="146"/>
        <v>0</v>
      </c>
      <c r="Z1134" s="78">
        <f t="shared" si="147"/>
        <v>0</v>
      </c>
      <c r="AA1134" s="78">
        <f t="shared" si="152"/>
        <v>0</v>
      </c>
      <c r="AB1134" s="78">
        <f t="shared" si="148"/>
        <v>0</v>
      </c>
      <c r="AC1134" s="78"/>
      <c r="AD1134" s="78">
        <v>0</v>
      </c>
      <c r="AE1134" s="80">
        <f t="shared" si="150"/>
        <v>0</v>
      </c>
      <c r="AF1134" s="82">
        <v>0</v>
      </c>
      <c r="AG1134" s="69">
        <v>40441</v>
      </c>
      <c r="AH1134" s="84"/>
      <c r="AI1134" s="69" t="s">
        <v>1984</v>
      </c>
      <c r="AJ1134" s="25" t="s">
        <v>1985</v>
      </c>
      <c r="AK1134" s="65"/>
      <c r="AL1134" s="176" t="s">
        <v>1257</v>
      </c>
      <c r="AM1134" s="173" t="s">
        <v>1598</v>
      </c>
      <c r="AN1134" s="159"/>
      <c r="AO1134" s="160"/>
      <c r="AP1134" s="161"/>
      <c r="AQ1134" s="160"/>
      <c r="AR1134" s="160"/>
      <c r="AS1134" s="160"/>
      <c r="AT1134" s="160"/>
      <c r="AU1134" s="160"/>
      <c r="AV1134" s="160"/>
      <c r="AW1134" s="160"/>
      <c r="AX1134" s="160"/>
      <c r="AY1134" s="160"/>
      <c r="AZ1134" s="160"/>
      <c r="BA1134" s="160"/>
      <c r="BB1134" s="160"/>
      <c r="BC1134" s="160"/>
      <c r="BD1134" s="160"/>
      <c r="BE1134" s="160"/>
      <c r="BF1134" s="160"/>
      <c r="BG1134" s="160"/>
      <c r="BH1134" s="160"/>
      <c r="BI1134" s="160"/>
      <c r="BJ1134" s="160"/>
      <c r="BK1134" s="160"/>
      <c r="BL1134" s="160"/>
      <c r="BM1134" s="160"/>
      <c r="BN1134" s="160"/>
      <c r="BO1134" s="160"/>
      <c r="BP1134" s="160"/>
      <c r="BQ1134" s="160"/>
      <c r="BR1134" s="160"/>
      <c r="BS1134" s="160"/>
      <c r="BT1134" s="160"/>
      <c r="BU1134" s="160"/>
      <c r="BV1134" s="160"/>
      <c r="BW1134" s="160"/>
      <c r="BX1134" s="160"/>
      <c r="BY1134" s="160"/>
      <c r="BZ1134" s="160"/>
      <c r="CA1134" s="160"/>
      <c r="CB1134" s="160"/>
      <c r="CC1134" s="160"/>
      <c r="CD1134" s="160"/>
      <c r="CE1134" s="160"/>
      <c r="CF1134" s="160"/>
      <c r="CG1134" s="160"/>
      <c r="CH1134" s="160"/>
      <c r="CI1134" s="160"/>
      <c r="CJ1134" s="160"/>
      <c r="CK1134" s="160"/>
      <c r="CL1134" s="160"/>
      <c r="CM1134" s="160"/>
      <c r="CN1134" s="160"/>
      <c r="CO1134" s="160"/>
      <c r="CP1134" s="162"/>
      <c r="CQ1134" s="163"/>
      <c r="CR1134" s="162"/>
      <c r="CS1134" s="163"/>
      <c r="CT1134" s="162"/>
      <c r="CU1134" s="163"/>
      <c r="CV1134" s="164">
        <f t="shared" si="149"/>
        <v>0</v>
      </c>
      <c r="CW1134" s="165"/>
      <c r="CX1134" s="166"/>
      <c r="CY1134" s="167"/>
      <c r="CZ1134" s="168"/>
      <c r="DA1134" s="169"/>
      <c r="DB1134" s="168"/>
      <c r="DC1134" s="165"/>
      <c r="DD1134" s="166"/>
      <c r="DE1134" s="71"/>
      <c r="DF1134" s="170"/>
      <c r="EO1134" s="353" t="str">
        <f t="shared" si="151"/>
        <v>HUILA_PITALITO</v>
      </c>
      <c r="EP1134" s="350"/>
      <c r="EQ1134" s="351" t="s">
        <v>4440</v>
      </c>
      <c r="ER1134" s="352" t="s">
        <v>2423</v>
      </c>
      <c r="ES1134" s="351" t="s">
        <v>4440</v>
      </c>
      <c r="ET1134" s="350" t="s">
        <v>2008</v>
      </c>
      <c r="EU1134" s="350" t="str">
        <f t="shared" si="153"/>
        <v>GUAJIRA_DEPARTAMENTO</v>
      </c>
    </row>
    <row r="1135" spans="1:151" s="171" customFormat="1" ht="38.25" x14ac:dyDescent="0.2">
      <c r="A1135" s="242">
        <v>40435</v>
      </c>
      <c r="B1135" s="236" t="s">
        <v>1333</v>
      </c>
      <c r="C1135" s="236" t="s">
        <v>1432</v>
      </c>
      <c r="D1135" s="433" t="s">
        <v>2209</v>
      </c>
      <c r="E1135" s="107" t="str">
        <f>VLOOKUP(B1135&amp;C1135,Divipola!$C$2:$F$1138,4,FALSE)</f>
        <v>41807</v>
      </c>
      <c r="F1135" s="335"/>
      <c r="G1135" s="221"/>
      <c r="H1135" s="157"/>
      <c r="I1135" s="157"/>
      <c r="J1135" s="157">
        <v>29</v>
      </c>
      <c r="K1135" s="157">
        <v>5</v>
      </c>
      <c r="L1135" s="157"/>
      <c r="M1135" s="157">
        <v>5</v>
      </c>
      <c r="N1135" s="157"/>
      <c r="O1135" s="157"/>
      <c r="P1135" s="157"/>
      <c r="Q1135" s="157"/>
      <c r="R1135" s="157"/>
      <c r="S1135" s="157"/>
      <c r="T1135" s="157">
        <v>1</v>
      </c>
      <c r="U1135" s="157"/>
      <c r="V1135" s="158"/>
      <c r="W1135" s="182"/>
      <c r="X1135" s="1"/>
      <c r="Y1135" s="78">
        <f t="shared" si="146"/>
        <v>0</v>
      </c>
      <c r="Z1135" s="78">
        <f t="shared" si="147"/>
        <v>0</v>
      </c>
      <c r="AA1135" s="78">
        <f t="shared" si="152"/>
        <v>0</v>
      </c>
      <c r="AB1135" s="78">
        <f t="shared" si="148"/>
        <v>0</v>
      </c>
      <c r="AC1135" s="78"/>
      <c r="AD1135" s="78">
        <v>0</v>
      </c>
      <c r="AE1135" s="80">
        <f t="shared" si="150"/>
        <v>0</v>
      </c>
      <c r="AF1135" s="82">
        <v>0</v>
      </c>
      <c r="AG1135" s="69">
        <v>40441</v>
      </c>
      <c r="AH1135" s="84"/>
      <c r="AI1135" s="69" t="s">
        <v>1984</v>
      </c>
      <c r="AJ1135" s="25" t="s">
        <v>1985</v>
      </c>
      <c r="AK1135" s="65"/>
      <c r="AL1135" s="176" t="s">
        <v>1257</v>
      </c>
      <c r="AM1135" s="173" t="s">
        <v>1434</v>
      </c>
      <c r="AN1135" s="159"/>
      <c r="AO1135" s="160"/>
      <c r="AP1135" s="161"/>
      <c r="AQ1135" s="160"/>
      <c r="AR1135" s="160"/>
      <c r="AS1135" s="160"/>
      <c r="AT1135" s="160"/>
      <c r="AU1135" s="160"/>
      <c r="AV1135" s="160"/>
      <c r="AW1135" s="160"/>
      <c r="AX1135" s="160"/>
      <c r="AY1135" s="160"/>
      <c r="AZ1135" s="160"/>
      <c r="BA1135" s="160"/>
      <c r="BB1135" s="160"/>
      <c r="BC1135" s="160"/>
      <c r="BD1135" s="160"/>
      <c r="BE1135" s="160"/>
      <c r="BF1135" s="160"/>
      <c r="BG1135" s="160"/>
      <c r="BH1135" s="160"/>
      <c r="BI1135" s="160"/>
      <c r="BJ1135" s="160"/>
      <c r="BK1135" s="160"/>
      <c r="BL1135" s="160"/>
      <c r="BM1135" s="160"/>
      <c r="BN1135" s="160"/>
      <c r="BO1135" s="160"/>
      <c r="BP1135" s="160"/>
      <c r="BQ1135" s="160"/>
      <c r="BR1135" s="160"/>
      <c r="BS1135" s="160"/>
      <c r="BT1135" s="160"/>
      <c r="BU1135" s="160"/>
      <c r="BV1135" s="160"/>
      <c r="BW1135" s="160"/>
      <c r="BX1135" s="160"/>
      <c r="BY1135" s="160"/>
      <c r="BZ1135" s="160"/>
      <c r="CA1135" s="160"/>
      <c r="CB1135" s="160"/>
      <c r="CC1135" s="160"/>
      <c r="CD1135" s="160"/>
      <c r="CE1135" s="160"/>
      <c r="CF1135" s="160"/>
      <c r="CG1135" s="160"/>
      <c r="CH1135" s="160"/>
      <c r="CI1135" s="160"/>
      <c r="CJ1135" s="160"/>
      <c r="CK1135" s="160"/>
      <c r="CL1135" s="160"/>
      <c r="CM1135" s="160"/>
      <c r="CN1135" s="160"/>
      <c r="CO1135" s="160"/>
      <c r="CP1135" s="162"/>
      <c r="CQ1135" s="163"/>
      <c r="CR1135" s="162"/>
      <c r="CS1135" s="163"/>
      <c r="CT1135" s="162"/>
      <c r="CU1135" s="163"/>
      <c r="CV1135" s="164">
        <f t="shared" si="149"/>
        <v>0</v>
      </c>
      <c r="CW1135" s="165"/>
      <c r="CX1135" s="166"/>
      <c r="CY1135" s="167"/>
      <c r="CZ1135" s="168"/>
      <c r="DA1135" s="169"/>
      <c r="DB1135" s="168"/>
      <c r="DC1135" s="165"/>
      <c r="DD1135" s="166"/>
      <c r="DE1135" s="71"/>
      <c r="DF1135" s="170"/>
      <c r="EO1135" s="353" t="str">
        <f t="shared" si="151"/>
        <v>HUILA_TIMANA</v>
      </c>
      <c r="EP1135" s="350"/>
      <c r="EQ1135" s="351" t="s">
        <v>4664</v>
      </c>
      <c r="ER1135" s="352" t="s">
        <v>2321</v>
      </c>
      <c r="ES1135" s="351" t="s">
        <v>4664</v>
      </c>
      <c r="ET1135" s="350" t="s">
        <v>2008</v>
      </c>
      <c r="EU1135" s="350" t="str">
        <f t="shared" si="153"/>
        <v>GUAVIARE_DEPARTAMENTO</v>
      </c>
    </row>
    <row r="1136" spans="1:151" s="171" customFormat="1" ht="38.25" x14ac:dyDescent="0.2">
      <c r="A1136" s="242">
        <v>40435</v>
      </c>
      <c r="B1136" s="222" t="s">
        <v>1336</v>
      </c>
      <c r="C1136" s="236" t="s">
        <v>1732</v>
      </c>
      <c r="D1136" s="433" t="s">
        <v>837</v>
      </c>
      <c r="E1136" s="107" t="str">
        <f>VLOOKUP(B1136&amp;C1136,Divipola!$C$2:$F$1138,4,FALSE)</f>
        <v>54001</v>
      </c>
      <c r="F1136" s="335"/>
      <c r="G1136" s="221"/>
      <c r="H1136" s="157"/>
      <c r="I1136" s="157"/>
      <c r="J1136" s="157">
        <v>35</v>
      </c>
      <c r="K1136" s="157">
        <v>7</v>
      </c>
      <c r="L1136" s="157"/>
      <c r="M1136" s="157">
        <v>7</v>
      </c>
      <c r="N1136" s="157"/>
      <c r="O1136" s="157"/>
      <c r="P1136" s="157"/>
      <c r="Q1136" s="157"/>
      <c r="R1136" s="157"/>
      <c r="S1136" s="157"/>
      <c r="T1136" s="157"/>
      <c r="U1136" s="157"/>
      <c r="V1136" s="158"/>
      <c r="W1136" s="182"/>
      <c r="X1136" s="1"/>
      <c r="Y1136" s="78">
        <f t="shared" si="146"/>
        <v>0</v>
      </c>
      <c r="Z1136" s="78">
        <f t="shared" si="147"/>
        <v>0</v>
      </c>
      <c r="AA1136" s="78">
        <f t="shared" si="152"/>
        <v>0</v>
      </c>
      <c r="AB1136" s="78">
        <f t="shared" si="148"/>
        <v>0</v>
      </c>
      <c r="AC1136" s="78"/>
      <c r="AD1136" s="78">
        <v>0</v>
      </c>
      <c r="AE1136" s="80">
        <f t="shared" si="150"/>
        <v>0</v>
      </c>
      <c r="AF1136" s="82">
        <v>0</v>
      </c>
      <c r="AG1136" s="69">
        <v>40441</v>
      </c>
      <c r="AH1136" s="84"/>
      <c r="AI1136" s="69" t="s">
        <v>1984</v>
      </c>
      <c r="AJ1136" s="25" t="s">
        <v>1985</v>
      </c>
      <c r="AK1136" s="65"/>
      <c r="AL1136" s="69" t="s">
        <v>1257</v>
      </c>
      <c r="AM1136" s="173" t="s">
        <v>1436</v>
      </c>
      <c r="AN1136" s="159"/>
      <c r="AO1136" s="160"/>
      <c r="AP1136" s="161"/>
      <c r="AQ1136" s="160"/>
      <c r="AR1136" s="160"/>
      <c r="AS1136" s="160"/>
      <c r="AT1136" s="160"/>
      <c r="AU1136" s="160"/>
      <c r="AV1136" s="160"/>
      <c r="AW1136" s="160"/>
      <c r="AX1136" s="160"/>
      <c r="AY1136" s="160"/>
      <c r="AZ1136" s="160"/>
      <c r="BA1136" s="160"/>
      <c r="BB1136" s="160"/>
      <c r="BC1136" s="160"/>
      <c r="BD1136" s="160"/>
      <c r="BE1136" s="160"/>
      <c r="BF1136" s="160"/>
      <c r="BG1136" s="160"/>
      <c r="BH1136" s="160"/>
      <c r="BI1136" s="160"/>
      <c r="BJ1136" s="160"/>
      <c r="BK1136" s="160"/>
      <c r="BL1136" s="160"/>
      <c r="BM1136" s="160"/>
      <c r="BN1136" s="160"/>
      <c r="BO1136" s="160"/>
      <c r="BP1136" s="160"/>
      <c r="BQ1136" s="160"/>
      <c r="BR1136" s="160"/>
      <c r="BS1136" s="160"/>
      <c r="BT1136" s="160"/>
      <c r="BU1136" s="160"/>
      <c r="BV1136" s="160"/>
      <c r="BW1136" s="160"/>
      <c r="BX1136" s="160"/>
      <c r="BY1136" s="160"/>
      <c r="BZ1136" s="160"/>
      <c r="CA1136" s="160"/>
      <c r="CB1136" s="160"/>
      <c r="CC1136" s="160"/>
      <c r="CD1136" s="160"/>
      <c r="CE1136" s="160"/>
      <c r="CF1136" s="160"/>
      <c r="CG1136" s="160"/>
      <c r="CH1136" s="160"/>
      <c r="CI1136" s="160"/>
      <c r="CJ1136" s="160"/>
      <c r="CK1136" s="160"/>
      <c r="CL1136" s="160"/>
      <c r="CM1136" s="160"/>
      <c r="CN1136" s="160"/>
      <c r="CO1136" s="160"/>
      <c r="CP1136" s="162"/>
      <c r="CQ1136" s="163"/>
      <c r="CR1136" s="162"/>
      <c r="CS1136" s="163"/>
      <c r="CT1136" s="162"/>
      <c r="CU1136" s="163"/>
      <c r="CV1136" s="164">
        <f t="shared" si="149"/>
        <v>0</v>
      </c>
      <c r="CW1136" s="165"/>
      <c r="CX1136" s="166"/>
      <c r="CY1136" s="167"/>
      <c r="CZ1136" s="168"/>
      <c r="DA1136" s="169"/>
      <c r="DB1136" s="168"/>
      <c r="DC1136" s="165"/>
      <c r="DD1136" s="166"/>
      <c r="DE1136" s="71"/>
      <c r="DF1136" s="170"/>
      <c r="EO1136" s="353" t="str">
        <f t="shared" si="151"/>
        <v>NORTE DE SANTANDER_CUCUTA</v>
      </c>
      <c r="EP1136" s="350"/>
      <c r="EQ1136" s="351" t="s">
        <v>4420</v>
      </c>
      <c r="ER1136" s="352" t="s">
        <v>1333</v>
      </c>
      <c r="ES1136" s="351" t="s">
        <v>4420</v>
      </c>
      <c r="ET1136" s="350" t="s">
        <v>2008</v>
      </c>
      <c r="EU1136" s="350" t="str">
        <f t="shared" si="153"/>
        <v>HUILA_DEPARTAMENTO</v>
      </c>
    </row>
    <row r="1137" spans="1:151" s="171" customFormat="1" ht="38.25" x14ac:dyDescent="0.2">
      <c r="A1137" s="242">
        <v>40435</v>
      </c>
      <c r="B1137" s="236" t="s">
        <v>832</v>
      </c>
      <c r="C1137" s="236" t="s">
        <v>4657</v>
      </c>
      <c r="D1137" s="433" t="s">
        <v>2209</v>
      </c>
      <c r="E1137" s="107" t="str">
        <f>VLOOKUP(B1137&amp;C1137,Divipola!$C$2:$F$1138,4,FALSE)</f>
        <v>86885</v>
      </c>
      <c r="F1137" s="335"/>
      <c r="G1137" s="221"/>
      <c r="H1137" s="157"/>
      <c r="I1137" s="157"/>
      <c r="J1137" s="157">
        <v>2</v>
      </c>
      <c r="K1137" s="157">
        <v>1</v>
      </c>
      <c r="L1137" s="157"/>
      <c r="M1137" s="157">
        <v>1</v>
      </c>
      <c r="N1137" s="157"/>
      <c r="O1137" s="157"/>
      <c r="P1137" s="157"/>
      <c r="Q1137" s="157"/>
      <c r="R1137" s="157"/>
      <c r="S1137" s="157"/>
      <c r="T1137" s="157"/>
      <c r="U1137" s="157"/>
      <c r="V1137" s="158"/>
      <c r="W1137" s="182"/>
      <c r="X1137" s="1"/>
      <c r="Y1137" s="78">
        <f t="shared" si="146"/>
        <v>0</v>
      </c>
      <c r="Z1137" s="78">
        <f t="shared" si="147"/>
        <v>0</v>
      </c>
      <c r="AA1137" s="78">
        <f t="shared" si="152"/>
        <v>0</v>
      </c>
      <c r="AB1137" s="78">
        <f t="shared" si="148"/>
        <v>0</v>
      </c>
      <c r="AC1137" s="78"/>
      <c r="AD1137" s="78">
        <v>0</v>
      </c>
      <c r="AE1137" s="80">
        <f t="shared" si="150"/>
        <v>0</v>
      </c>
      <c r="AF1137" s="82">
        <v>0</v>
      </c>
      <c r="AG1137" s="69">
        <v>40441</v>
      </c>
      <c r="AH1137" s="84"/>
      <c r="AI1137" s="69" t="s">
        <v>1984</v>
      </c>
      <c r="AJ1137" s="25" t="s">
        <v>1985</v>
      </c>
      <c r="AK1137" s="65"/>
      <c r="AL1137" s="176" t="s">
        <v>1257</v>
      </c>
      <c r="AM1137" s="173" t="s">
        <v>1343</v>
      </c>
      <c r="AN1137" s="159"/>
      <c r="AO1137" s="160"/>
      <c r="AP1137" s="161"/>
      <c r="AQ1137" s="160"/>
      <c r="AR1137" s="160"/>
      <c r="AS1137" s="160"/>
      <c r="AT1137" s="160"/>
      <c r="AU1137" s="160"/>
      <c r="AV1137" s="160"/>
      <c r="AW1137" s="160"/>
      <c r="AX1137" s="160"/>
      <c r="AY1137" s="160"/>
      <c r="AZ1137" s="160"/>
      <c r="BA1137" s="160"/>
      <c r="BB1137" s="160"/>
      <c r="BC1137" s="160"/>
      <c r="BD1137" s="160"/>
      <c r="BE1137" s="160"/>
      <c r="BF1137" s="160"/>
      <c r="BG1137" s="160"/>
      <c r="BH1137" s="160"/>
      <c r="BI1137" s="160"/>
      <c r="BJ1137" s="160"/>
      <c r="BK1137" s="160"/>
      <c r="BL1137" s="160"/>
      <c r="BM1137" s="160"/>
      <c r="BN1137" s="160"/>
      <c r="BO1137" s="160"/>
      <c r="BP1137" s="160"/>
      <c r="BQ1137" s="160"/>
      <c r="BR1137" s="160"/>
      <c r="BS1137" s="160"/>
      <c r="BT1137" s="160"/>
      <c r="BU1137" s="160"/>
      <c r="BV1137" s="160"/>
      <c r="BW1137" s="160"/>
      <c r="BX1137" s="160"/>
      <c r="BY1137" s="160"/>
      <c r="BZ1137" s="160"/>
      <c r="CA1137" s="160"/>
      <c r="CB1137" s="160"/>
      <c r="CC1137" s="160"/>
      <c r="CD1137" s="160"/>
      <c r="CE1137" s="160"/>
      <c r="CF1137" s="160"/>
      <c r="CG1137" s="160"/>
      <c r="CH1137" s="160"/>
      <c r="CI1137" s="160"/>
      <c r="CJ1137" s="160"/>
      <c r="CK1137" s="160"/>
      <c r="CL1137" s="160"/>
      <c r="CM1137" s="160"/>
      <c r="CN1137" s="160"/>
      <c r="CO1137" s="160"/>
      <c r="CP1137" s="162"/>
      <c r="CQ1137" s="163"/>
      <c r="CR1137" s="162"/>
      <c r="CS1137" s="163"/>
      <c r="CT1137" s="162"/>
      <c r="CU1137" s="163"/>
      <c r="CV1137" s="164">
        <f t="shared" si="149"/>
        <v>0</v>
      </c>
      <c r="CW1137" s="165"/>
      <c r="CX1137" s="166"/>
      <c r="CY1137" s="167"/>
      <c r="CZ1137" s="168"/>
      <c r="DA1137" s="169"/>
      <c r="DB1137" s="168"/>
      <c r="DC1137" s="165"/>
      <c r="DD1137" s="166"/>
      <c r="DE1137" s="71"/>
      <c r="DF1137" s="170"/>
      <c r="EO1137" s="353" t="str">
        <f t="shared" si="151"/>
        <v>PUTUMAYO_VILLAGARZON</v>
      </c>
      <c r="EP1137" s="350"/>
      <c r="EQ1137" s="351" t="s">
        <v>4449</v>
      </c>
      <c r="ER1137" s="352" t="s">
        <v>1836</v>
      </c>
      <c r="ES1137" s="351" t="s">
        <v>4449</v>
      </c>
      <c r="ET1137" s="350" t="s">
        <v>2008</v>
      </c>
      <c r="EU1137" s="350" t="str">
        <f t="shared" si="153"/>
        <v>MAGDALENA_DEPARTAMENTO</v>
      </c>
    </row>
    <row r="1138" spans="1:151" s="171" customFormat="1" ht="38.25" x14ac:dyDescent="0.2">
      <c r="A1138" s="242">
        <v>40436</v>
      </c>
      <c r="B1138" s="236" t="s">
        <v>1951</v>
      </c>
      <c r="C1138" s="236" t="s">
        <v>1989</v>
      </c>
      <c r="D1138" s="433" t="s">
        <v>2209</v>
      </c>
      <c r="E1138" s="107" t="str">
        <f>VLOOKUP(B1138&amp;C1138,Divipola!$C$2:$F$1138,4,FALSE)</f>
        <v>08001</v>
      </c>
      <c r="F1138" s="335"/>
      <c r="G1138" s="221"/>
      <c r="H1138" s="157"/>
      <c r="I1138" s="157"/>
      <c r="J1138" s="157">
        <v>85</v>
      </c>
      <c r="K1138" s="157">
        <v>17</v>
      </c>
      <c r="L1138" s="157"/>
      <c r="M1138" s="157">
        <v>17</v>
      </c>
      <c r="N1138" s="157"/>
      <c r="O1138" s="157"/>
      <c r="P1138" s="157"/>
      <c r="Q1138" s="157"/>
      <c r="R1138" s="157"/>
      <c r="S1138" s="157"/>
      <c r="T1138" s="157"/>
      <c r="U1138" s="157"/>
      <c r="V1138" s="158"/>
      <c r="W1138" s="182"/>
      <c r="X1138" s="1"/>
      <c r="Y1138" s="78">
        <f t="shared" si="146"/>
        <v>0</v>
      </c>
      <c r="Z1138" s="78">
        <f t="shared" si="147"/>
        <v>0</v>
      </c>
      <c r="AA1138" s="78">
        <f t="shared" si="152"/>
        <v>0</v>
      </c>
      <c r="AB1138" s="78">
        <f t="shared" si="148"/>
        <v>0</v>
      </c>
      <c r="AC1138" s="78"/>
      <c r="AD1138" s="78">
        <v>0</v>
      </c>
      <c r="AE1138" s="80">
        <f t="shared" si="150"/>
        <v>0</v>
      </c>
      <c r="AF1138" s="82">
        <v>0</v>
      </c>
      <c r="AG1138" s="69">
        <v>40441</v>
      </c>
      <c r="AH1138" s="84"/>
      <c r="AI1138" s="69" t="s">
        <v>1984</v>
      </c>
      <c r="AJ1138" s="25" t="s">
        <v>1985</v>
      </c>
      <c r="AK1138" s="65"/>
      <c r="AL1138" s="176" t="s">
        <v>1257</v>
      </c>
      <c r="AM1138" s="173" t="s">
        <v>1437</v>
      </c>
      <c r="AN1138" s="159"/>
      <c r="AO1138" s="160"/>
      <c r="AP1138" s="161"/>
      <c r="AQ1138" s="160"/>
      <c r="AR1138" s="160"/>
      <c r="AS1138" s="160"/>
      <c r="AT1138" s="160"/>
      <c r="AU1138" s="160"/>
      <c r="AV1138" s="160"/>
      <c r="AW1138" s="160"/>
      <c r="AX1138" s="160"/>
      <c r="AY1138" s="160"/>
      <c r="AZ1138" s="160"/>
      <c r="BA1138" s="160"/>
      <c r="BB1138" s="160"/>
      <c r="BC1138" s="160"/>
      <c r="BD1138" s="160"/>
      <c r="BE1138" s="160"/>
      <c r="BF1138" s="160"/>
      <c r="BG1138" s="160"/>
      <c r="BH1138" s="160"/>
      <c r="BI1138" s="160"/>
      <c r="BJ1138" s="160"/>
      <c r="BK1138" s="160"/>
      <c r="BL1138" s="160"/>
      <c r="BM1138" s="160"/>
      <c r="BN1138" s="160"/>
      <c r="BO1138" s="160"/>
      <c r="BP1138" s="160"/>
      <c r="BQ1138" s="160"/>
      <c r="BR1138" s="160"/>
      <c r="BS1138" s="160"/>
      <c r="BT1138" s="160"/>
      <c r="BU1138" s="160"/>
      <c r="BV1138" s="160"/>
      <c r="BW1138" s="160"/>
      <c r="BX1138" s="160"/>
      <c r="BY1138" s="160"/>
      <c r="BZ1138" s="160"/>
      <c r="CA1138" s="160"/>
      <c r="CB1138" s="160"/>
      <c r="CC1138" s="160"/>
      <c r="CD1138" s="160"/>
      <c r="CE1138" s="160"/>
      <c r="CF1138" s="160"/>
      <c r="CG1138" s="160"/>
      <c r="CH1138" s="160"/>
      <c r="CI1138" s="160"/>
      <c r="CJ1138" s="160"/>
      <c r="CK1138" s="160"/>
      <c r="CL1138" s="160"/>
      <c r="CM1138" s="160"/>
      <c r="CN1138" s="160"/>
      <c r="CO1138" s="160"/>
      <c r="CP1138" s="162"/>
      <c r="CQ1138" s="163"/>
      <c r="CR1138" s="162"/>
      <c r="CS1138" s="163"/>
      <c r="CT1138" s="162"/>
      <c r="CU1138" s="163"/>
      <c r="CV1138" s="164">
        <f t="shared" si="149"/>
        <v>0</v>
      </c>
      <c r="CW1138" s="165"/>
      <c r="CX1138" s="166"/>
      <c r="CY1138" s="167"/>
      <c r="CZ1138" s="168"/>
      <c r="DA1138" s="169"/>
      <c r="DB1138" s="168"/>
      <c r="DC1138" s="165"/>
      <c r="DD1138" s="166"/>
      <c r="DE1138" s="71"/>
      <c r="DF1138" s="170"/>
      <c r="EO1138" s="353" t="str">
        <f t="shared" si="151"/>
        <v>ATLANTICO_BARRANQUILLA</v>
      </c>
      <c r="EP1138" s="350"/>
      <c r="EQ1138" s="351" t="s">
        <v>4466</v>
      </c>
      <c r="ER1138" s="352" t="s">
        <v>708</v>
      </c>
      <c r="ES1138" s="351" t="s">
        <v>4466</v>
      </c>
      <c r="ET1138" s="350" t="s">
        <v>2008</v>
      </c>
      <c r="EU1138" s="350" t="str">
        <f t="shared" si="153"/>
        <v>META_DEPARTAMENTO</v>
      </c>
    </row>
    <row r="1139" spans="1:151" s="171" customFormat="1" ht="38.25" x14ac:dyDescent="0.2">
      <c r="A1139" s="242">
        <v>40436</v>
      </c>
      <c r="B1139" s="222" t="s">
        <v>2242</v>
      </c>
      <c r="C1139" s="222" t="s">
        <v>1212</v>
      </c>
      <c r="D1139" s="430" t="s">
        <v>2209</v>
      </c>
      <c r="E1139" s="107" t="str">
        <f>VLOOKUP(B1139&amp;C1139,Divipola!$C$2:$F$1138,4,FALSE)</f>
        <v>20787</v>
      </c>
      <c r="F1139" s="333"/>
      <c r="G1139" s="221"/>
      <c r="H1139" s="157"/>
      <c r="I1139" s="157"/>
      <c r="J1139" s="183">
        <v>17</v>
      </c>
      <c r="K1139" s="157">
        <v>3</v>
      </c>
      <c r="L1139" s="157"/>
      <c r="M1139" s="157">
        <v>3</v>
      </c>
      <c r="N1139" s="157"/>
      <c r="O1139" s="157"/>
      <c r="P1139" s="157"/>
      <c r="Q1139" s="157"/>
      <c r="R1139" s="157"/>
      <c r="S1139" s="157"/>
      <c r="T1139" s="157"/>
      <c r="U1139" s="157"/>
      <c r="V1139" s="158"/>
      <c r="W1139" s="182"/>
      <c r="X1139" s="1"/>
      <c r="Y1139" s="78">
        <f t="shared" si="146"/>
        <v>0</v>
      </c>
      <c r="Z1139" s="78">
        <f t="shared" si="147"/>
        <v>0</v>
      </c>
      <c r="AA1139" s="78">
        <f t="shared" si="152"/>
        <v>0</v>
      </c>
      <c r="AB1139" s="78">
        <f t="shared" si="148"/>
        <v>0</v>
      </c>
      <c r="AC1139" s="78"/>
      <c r="AD1139" s="78">
        <v>0</v>
      </c>
      <c r="AE1139" s="80">
        <f t="shared" si="150"/>
        <v>0</v>
      </c>
      <c r="AF1139" s="82">
        <v>0</v>
      </c>
      <c r="AG1139" s="69">
        <v>40441</v>
      </c>
      <c r="AH1139" s="84"/>
      <c r="AI1139" s="69" t="s">
        <v>1984</v>
      </c>
      <c r="AJ1139" s="25" t="s">
        <v>1985</v>
      </c>
      <c r="AK1139" s="65"/>
      <c r="AL1139" s="176" t="s">
        <v>1257</v>
      </c>
      <c r="AM1139" s="173" t="s">
        <v>1595</v>
      </c>
      <c r="AN1139" s="159"/>
      <c r="AO1139" s="160"/>
      <c r="AP1139" s="161"/>
      <c r="AQ1139" s="160"/>
      <c r="AR1139" s="160"/>
      <c r="AS1139" s="160"/>
      <c r="AT1139" s="160"/>
      <c r="AU1139" s="160"/>
      <c r="AV1139" s="160"/>
      <c r="AW1139" s="160"/>
      <c r="AX1139" s="160"/>
      <c r="AY1139" s="160"/>
      <c r="AZ1139" s="160"/>
      <c r="BA1139" s="160"/>
      <c r="BB1139" s="160"/>
      <c r="BC1139" s="160"/>
      <c r="BD1139" s="160"/>
      <c r="BE1139" s="160"/>
      <c r="BF1139" s="160"/>
      <c r="BG1139" s="160"/>
      <c r="BH1139" s="160"/>
      <c r="BI1139" s="160"/>
      <c r="BJ1139" s="160"/>
      <c r="BK1139" s="160"/>
      <c r="BL1139" s="160"/>
      <c r="BM1139" s="160"/>
      <c r="BN1139" s="160"/>
      <c r="BO1139" s="160"/>
      <c r="BP1139" s="160"/>
      <c r="BQ1139" s="160"/>
      <c r="BR1139" s="160"/>
      <c r="BS1139" s="160"/>
      <c r="BT1139" s="160"/>
      <c r="BU1139" s="160"/>
      <c r="BV1139" s="160"/>
      <c r="BW1139" s="160"/>
      <c r="BX1139" s="160"/>
      <c r="BY1139" s="160"/>
      <c r="BZ1139" s="160"/>
      <c r="CA1139" s="160"/>
      <c r="CB1139" s="160"/>
      <c r="CC1139" s="160"/>
      <c r="CD1139" s="160"/>
      <c r="CE1139" s="160"/>
      <c r="CF1139" s="160"/>
      <c r="CG1139" s="160"/>
      <c r="CH1139" s="160"/>
      <c r="CI1139" s="160"/>
      <c r="CJ1139" s="160"/>
      <c r="CK1139" s="160"/>
      <c r="CL1139" s="160"/>
      <c r="CM1139" s="160"/>
      <c r="CN1139" s="160"/>
      <c r="CO1139" s="160"/>
      <c r="CP1139" s="162"/>
      <c r="CQ1139" s="163"/>
      <c r="CR1139" s="162"/>
      <c r="CS1139" s="163"/>
      <c r="CT1139" s="162"/>
      <c r="CU1139" s="163"/>
      <c r="CV1139" s="164">
        <f t="shared" si="149"/>
        <v>0</v>
      </c>
      <c r="CW1139" s="165"/>
      <c r="CX1139" s="166"/>
      <c r="CY1139" s="167"/>
      <c r="CZ1139" s="168"/>
      <c r="DA1139" s="169"/>
      <c r="DB1139" s="168"/>
      <c r="DC1139" s="165"/>
      <c r="DD1139" s="166"/>
      <c r="DE1139" s="71"/>
      <c r="DF1139" s="170"/>
      <c r="EO1139" s="353" t="str">
        <f t="shared" si="151"/>
        <v>CESAR_TAMALAMEQUE</v>
      </c>
      <c r="EP1139" s="350"/>
      <c r="EQ1139" s="351" t="s">
        <v>4485</v>
      </c>
      <c r="ER1139" s="352" t="s">
        <v>2245</v>
      </c>
      <c r="ES1139" s="351" t="s">
        <v>4485</v>
      </c>
      <c r="ET1139" s="350" t="s">
        <v>2008</v>
      </c>
      <c r="EU1139" s="350" t="str">
        <f t="shared" si="153"/>
        <v>NARIÑO_DEPARTAMENTO</v>
      </c>
    </row>
    <row r="1140" spans="1:151" s="171" customFormat="1" ht="51" x14ac:dyDescent="0.2">
      <c r="A1140" s="242">
        <v>40436</v>
      </c>
      <c r="B1140" s="107" t="s">
        <v>2012</v>
      </c>
      <c r="C1140" s="222" t="s">
        <v>2593</v>
      </c>
      <c r="D1140" s="427" t="s">
        <v>2307</v>
      </c>
      <c r="E1140" s="107" t="str">
        <f>VLOOKUP(B1140&amp;C1140,Divipola!$C$2:$F$1138,4,FALSE)</f>
        <v>66594</v>
      </c>
      <c r="F1140" s="330"/>
      <c r="G1140" s="221"/>
      <c r="H1140" s="157"/>
      <c r="I1140" s="157"/>
      <c r="J1140" s="157">
        <v>25</v>
      </c>
      <c r="K1140" s="157">
        <v>5</v>
      </c>
      <c r="L1140" s="157"/>
      <c r="M1140" s="157">
        <v>5</v>
      </c>
      <c r="N1140" s="157"/>
      <c r="O1140" s="157"/>
      <c r="P1140" s="157"/>
      <c r="Q1140" s="157"/>
      <c r="R1140" s="157"/>
      <c r="S1140" s="157"/>
      <c r="T1140" s="157">
        <v>5</v>
      </c>
      <c r="U1140" s="157"/>
      <c r="V1140" s="158"/>
      <c r="W1140" s="182"/>
      <c r="X1140" s="1"/>
      <c r="Y1140" s="78">
        <f t="shared" si="146"/>
        <v>0</v>
      </c>
      <c r="Z1140" s="78">
        <f t="shared" si="147"/>
        <v>0</v>
      </c>
      <c r="AA1140" s="78">
        <f t="shared" si="152"/>
        <v>0</v>
      </c>
      <c r="AB1140" s="78">
        <f t="shared" si="148"/>
        <v>0</v>
      </c>
      <c r="AC1140" s="78"/>
      <c r="AD1140" s="78">
        <v>0</v>
      </c>
      <c r="AE1140" s="80">
        <f t="shared" si="150"/>
        <v>0</v>
      </c>
      <c r="AF1140" s="82">
        <v>0</v>
      </c>
      <c r="AG1140" s="69">
        <v>40455</v>
      </c>
      <c r="AH1140" s="84"/>
      <c r="AI1140" s="69" t="s">
        <v>1984</v>
      </c>
      <c r="AJ1140" s="25" t="s">
        <v>1985</v>
      </c>
      <c r="AK1140" s="65"/>
      <c r="AL1140" s="176" t="s">
        <v>1257</v>
      </c>
      <c r="AM1140" s="173" t="s">
        <v>2594</v>
      </c>
      <c r="AN1140" s="159"/>
      <c r="AO1140" s="160"/>
      <c r="AP1140" s="161"/>
      <c r="AQ1140" s="160"/>
      <c r="AR1140" s="160"/>
      <c r="AS1140" s="160"/>
      <c r="AT1140" s="160"/>
      <c r="AU1140" s="160"/>
      <c r="AV1140" s="160"/>
      <c r="AW1140" s="160"/>
      <c r="AX1140" s="160"/>
      <c r="AY1140" s="160"/>
      <c r="AZ1140" s="160"/>
      <c r="BA1140" s="160"/>
      <c r="BB1140" s="160"/>
      <c r="BC1140" s="160"/>
      <c r="BD1140" s="160"/>
      <c r="BE1140" s="160"/>
      <c r="BF1140" s="160"/>
      <c r="BG1140" s="160"/>
      <c r="BH1140" s="160"/>
      <c r="BI1140" s="160"/>
      <c r="BJ1140" s="160"/>
      <c r="BK1140" s="160"/>
      <c r="BL1140" s="160"/>
      <c r="BM1140" s="160"/>
      <c r="BN1140" s="160"/>
      <c r="BO1140" s="160"/>
      <c r="BP1140" s="160"/>
      <c r="BQ1140" s="160"/>
      <c r="BR1140" s="160"/>
      <c r="BS1140" s="160"/>
      <c r="BT1140" s="160"/>
      <c r="BU1140" s="160"/>
      <c r="BV1140" s="160"/>
      <c r="BW1140" s="160"/>
      <c r="BX1140" s="160"/>
      <c r="BY1140" s="160"/>
      <c r="BZ1140" s="160"/>
      <c r="CA1140" s="160"/>
      <c r="CB1140" s="160"/>
      <c r="CC1140" s="160"/>
      <c r="CD1140" s="160"/>
      <c r="CE1140" s="160"/>
      <c r="CF1140" s="160"/>
      <c r="CG1140" s="160"/>
      <c r="CH1140" s="160"/>
      <c r="CI1140" s="160"/>
      <c r="CJ1140" s="160"/>
      <c r="CK1140" s="160"/>
      <c r="CL1140" s="160"/>
      <c r="CM1140" s="160"/>
      <c r="CN1140" s="160"/>
      <c r="CO1140" s="160"/>
      <c r="CP1140" s="162"/>
      <c r="CQ1140" s="163"/>
      <c r="CR1140" s="162"/>
      <c r="CS1140" s="163"/>
      <c r="CT1140" s="162"/>
      <c r="CU1140" s="163"/>
      <c r="CV1140" s="164">
        <f t="shared" si="149"/>
        <v>0</v>
      </c>
      <c r="CW1140" s="165"/>
      <c r="CX1140" s="166"/>
      <c r="CY1140" s="167"/>
      <c r="CZ1140" s="168"/>
      <c r="DA1140" s="169"/>
      <c r="DB1140" s="168"/>
      <c r="DC1140" s="165"/>
      <c r="DD1140" s="166"/>
      <c r="DE1140" s="71"/>
      <c r="DF1140" s="170"/>
      <c r="EO1140" s="353" t="str">
        <f t="shared" si="151"/>
        <v>RISARALDA_QUINCHIA</v>
      </c>
      <c r="EP1140" s="350"/>
      <c r="EQ1140" s="351" t="s">
        <v>4515</v>
      </c>
      <c r="ER1140" s="352" t="s">
        <v>1336</v>
      </c>
      <c r="ES1140" s="351" t="s">
        <v>4515</v>
      </c>
      <c r="ET1140" s="350" t="s">
        <v>2008</v>
      </c>
      <c r="EU1140" s="350" t="str">
        <f t="shared" si="153"/>
        <v>NORTE DE SANTANDER_DEPARTAMENTO</v>
      </c>
    </row>
    <row r="1141" spans="1:151" s="171" customFormat="1" ht="84" x14ac:dyDescent="0.2">
      <c r="A1141" s="242">
        <v>40436</v>
      </c>
      <c r="B1141" s="236" t="s">
        <v>2427</v>
      </c>
      <c r="C1141" s="236" t="s">
        <v>1438</v>
      </c>
      <c r="D1141" s="427" t="s">
        <v>2307</v>
      </c>
      <c r="E1141" s="107" t="str">
        <f>VLOOKUP(B1141&amp;C1141,Divipola!$C$2:$F$1138,4,FALSE)</f>
        <v>68755</v>
      </c>
      <c r="F1141" s="330"/>
      <c r="G1141" s="275"/>
      <c r="H1141" s="157"/>
      <c r="I1141" s="157"/>
      <c r="J1141" s="157">
        <f>80*5</f>
        <v>400</v>
      </c>
      <c r="K1141" s="157">
        <v>80</v>
      </c>
      <c r="L1141" s="157">
        <v>4</v>
      </c>
      <c r="M1141" s="157">
        <v>16</v>
      </c>
      <c r="N1141" s="157">
        <v>1</v>
      </c>
      <c r="O1141" s="157"/>
      <c r="P1141" s="157"/>
      <c r="Q1141" s="157"/>
      <c r="R1141" s="157"/>
      <c r="S1141" s="157"/>
      <c r="T1141" s="157"/>
      <c r="U1141" s="157"/>
      <c r="V1141" s="158">
        <v>130</v>
      </c>
      <c r="W1141" s="182"/>
      <c r="X1141" s="1"/>
      <c r="Y1141" s="78">
        <f t="shared" si="146"/>
        <v>0</v>
      </c>
      <c r="Z1141" s="78">
        <f t="shared" si="147"/>
        <v>0</v>
      </c>
      <c r="AA1141" s="78">
        <f t="shared" si="152"/>
        <v>0</v>
      </c>
      <c r="AB1141" s="78">
        <f t="shared" si="148"/>
        <v>0</v>
      </c>
      <c r="AC1141" s="78"/>
      <c r="AD1141" s="78">
        <v>0</v>
      </c>
      <c r="AE1141" s="80">
        <f t="shared" si="150"/>
        <v>0</v>
      </c>
      <c r="AF1141" s="82">
        <v>0</v>
      </c>
      <c r="AG1141" s="69">
        <v>40441</v>
      </c>
      <c r="AH1141" s="84"/>
      <c r="AI1141" s="69" t="s">
        <v>2009</v>
      </c>
      <c r="AJ1141" s="25" t="s">
        <v>2010</v>
      </c>
      <c r="AK1141" s="65"/>
      <c r="AL1141" s="184" t="s">
        <v>2663</v>
      </c>
      <c r="AM1141" s="173" t="s">
        <v>3172</v>
      </c>
      <c r="AN1141" s="159"/>
      <c r="AO1141" s="160"/>
      <c r="AP1141" s="161"/>
      <c r="AQ1141" s="160"/>
      <c r="AR1141" s="160"/>
      <c r="AS1141" s="160"/>
      <c r="AT1141" s="160"/>
      <c r="AU1141" s="160"/>
      <c r="AV1141" s="160"/>
      <c r="AW1141" s="160"/>
      <c r="AX1141" s="160"/>
      <c r="AY1141" s="160"/>
      <c r="AZ1141" s="160"/>
      <c r="BA1141" s="160"/>
      <c r="BB1141" s="160"/>
      <c r="BC1141" s="160"/>
      <c r="BD1141" s="160"/>
      <c r="BE1141" s="160"/>
      <c r="BF1141" s="160"/>
      <c r="BG1141" s="160"/>
      <c r="BH1141" s="160"/>
      <c r="BI1141" s="160"/>
      <c r="BJ1141" s="160"/>
      <c r="BK1141" s="160"/>
      <c r="BL1141" s="160"/>
      <c r="BM1141" s="160"/>
      <c r="BN1141" s="160"/>
      <c r="BO1141" s="160"/>
      <c r="BP1141" s="160"/>
      <c r="BQ1141" s="160"/>
      <c r="BR1141" s="160"/>
      <c r="BS1141" s="160"/>
      <c r="BT1141" s="160"/>
      <c r="BU1141" s="160"/>
      <c r="BV1141" s="160"/>
      <c r="BW1141" s="160"/>
      <c r="BX1141" s="160"/>
      <c r="BY1141" s="160"/>
      <c r="BZ1141" s="160"/>
      <c r="CA1141" s="160"/>
      <c r="CB1141" s="160"/>
      <c r="CC1141" s="160"/>
      <c r="CD1141" s="160"/>
      <c r="CE1141" s="160"/>
      <c r="CF1141" s="160"/>
      <c r="CG1141" s="160"/>
      <c r="CH1141" s="160"/>
      <c r="CI1141" s="160"/>
      <c r="CJ1141" s="160"/>
      <c r="CK1141" s="160"/>
      <c r="CL1141" s="160"/>
      <c r="CM1141" s="160"/>
      <c r="CN1141" s="160"/>
      <c r="CO1141" s="160"/>
      <c r="CP1141" s="162"/>
      <c r="CQ1141" s="163"/>
      <c r="CR1141" s="162"/>
      <c r="CS1141" s="163"/>
      <c r="CT1141" s="162"/>
      <c r="CU1141" s="163"/>
      <c r="CV1141" s="164">
        <f t="shared" si="149"/>
        <v>0</v>
      </c>
      <c r="CW1141" s="165"/>
      <c r="CX1141" s="166"/>
      <c r="CY1141" s="167"/>
      <c r="CZ1141" s="168"/>
      <c r="DA1141" s="169"/>
      <c r="DB1141" s="168"/>
      <c r="DC1141" s="165"/>
      <c r="DD1141" s="166"/>
      <c r="DE1141" s="71"/>
      <c r="DF1141" s="170"/>
      <c r="EO1141" s="353" t="str">
        <f t="shared" si="151"/>
        <v>SANTANDER_SOCORRO</v>
      </c>
      <c r="EP1141" s="350"/>
      <c r="EQ1141" s="351" t="s">
        <v>4648</v>
      </c>
      <c r="ER1141" s="352" t="s">
        <v>832</v>
      </c>
      <c r="ES1141" s="351" t="s">
        <v>4648</v>
      </c>
      <c r="ET1141" s="350" t="s">
        <v>2008</v>
      </c>
      <c r="EU1141" s="350" t="str">
        <f t="shared" si="153"/>
        <v>PUTUMAYO_DEPARTAMENTO</v>
      </c>
    </row>
    <row r="1142" spans="1:151" s="171" customFormat="1" ht="51" x14ac:dyDescent="0.2">
      <c r="A1142" s="242">
        <v>40436</v>
      </c>
      <c r="B1142" s="236" t="s">
        <v>1462</v>
      </c>
      <c r="C1142" s="107" t="s">
        <v>4615</v>
      </c>
      <c r="D1142" s="430" t="s">
        <v>1721</v>
      </c>
      <c r="E1142" s="107" t="str">
        <f>VLOOKUP(B1142&amp;C1142,Divipola!$C$2:$F$1138,4,FALSE)</f>
        <v>76001</v>
      </c>
      <c r="F1142" s="333"/>
      <c r="G1142" s="221"/>
      <c r="H1142" s="157">
        <v>9</v>
      </c>
      <c r="I1142" s="157"/>
      <c r="J1142" s="157"/>
      <c r="K1142" s="157"/>
      <c r="L1142" s="157"/>
      <c r="M1142" s="157"/>
      <c r="N1142" s="157"/>
      <c r="O1142" s="157"/>
      <c r="P1142" s="157"/>
      <c r="Q1142" s="157"/>
      <c r="R1142" s="157"/>
      <c r="S1142" s="157"/>
      <c r="T1142" s="157">
        <v>1</v>
      </c>
      <c r="U1142" s="157"/>
      <c r="V1142" s="158"/>
      <c r="W1142" s="182"/>
      <c r="X1142" s="1"/>
      <c r="Y1142" s="78">
        <f t="shared" si="146"/>
        <v>0</v>
      </c>
      <c r="Z1142" s="78">
        <f t="shared" si="147"/>
        <v>0</v>
      </c>
      <c r="AA1142" s="78">
        <f t="shared" si="152"/>
        <v>0</v>
      </c>
      <c r="AB1142" s="78">
        <f t="shared" si="148"/>
        <v>0</v>
      </c>
      <c r="AC1142" s="78"/>
      <c r="AD1142" s="78">
        <v>0</v>
      </c>
      <c r="AE1142" s="80">
        <f t="shared" si="150"/>
        <v>0</v>
      </c>
      <c r="AF1142" s="82">
        <v>0</v>
      </c>
      <c r="AG1142" s="69">
        <v>40441</v>
      </c>
      <c r="AH1142" s="84"/>
      <c r="AI1142" s="69" t="s">
        <v>1984</v>
      </c>
      <c r="AJ1142" s="25" t="s">
        <v>1985</v>
      </c>
      <c r="AK1142" s="65"/>
      <c r="AL1142" s="176" t="s">
        <v>1257</v>
      </c>
      <c r="AM1142" s="173" t="s">
        <v>2222</v>
      </c>
      <c r="AN1142" s="159"/>
      <c r="AO1142" s="160"/>
      <c r="AP1142" s="161"/>
      <c r="AQ1142" s="160"/>
      <c r="AR1142" s="160"/>
      <c r="AS1142" s="160"/>
      <c r="AT1142" s="160"/>
      <c r="AU1142" s="160"/>
      <c r="AV1142" s="160"/>
      <c r="AW1142" s="160"/>
      <c r="AX1142" s="160"/>
      <c r="AY1142" s="160"/>
      <c r="AZ1142" s="160"/>
      <c r="BA1142" s="160"/>
      <c r="BB1142" s="160"/>
      <c r="BC1142" s="160"/>
      <c r="BD1142" s="160"/>
      <c r="BE1142" s="160"/>
      <c r="BF1142" s="160"/>
      <c r="BG1142" s="160"/>
      <c r="BH1142" s="160"/>
      <c r="BI1142" s="160"/>
      <c r="BJ1142" s="160"/>
      <c r="BK1142" s="160"/>
      <c r="BL1142" s="160"/>
      <c r="BM1142" s="160"/>
      <c r="BN1142" s="160"/>
      <c r="BO1142" s="160"/>
      <c r="BP1142" s="160"/>
      <c r="BQ1142" s="160"/>
      <c r="BR1142" s="160"/>
      <c r="BS1142" s="160"/>
      <c r="BT1142" s="160"/>
      <c r="BU1142" s="160"/>
      <c r="BV1142" s="160"/>
      <c r="BW1142" s="160"/>
      <c r="BX1142" s="160"/>
      <c r="BY1142" s="160"/>
      <c r="BZ1142" s="160"/>
      <c r="CA1142" s="160"/>
      <c r="CB1142" s="160"/>
      <c r="CC1142" s="160"/>
      <c r="CD1142" s="160"/>
      <c r="CE1142" s="160"/>
      <c r="CF1142" s="160"/>
      <c r="CG1142" s="160"/>
      <c r="CH1142" s="160"/>
      <c r="CI1142" s="160"/>
      <c r="CJ1142" s="160"/>
      <c r="CK1142" s="160"/>
      <c r="CL1142" s="160"/>
      <c r="CM1142" s="160"/>
      <c r="CN1142" s="160"/>
      <c r="CO1142" s="160"/>
      <c r="CP1142" s="162"/>
      <c r="CQ1142" s="163"/>
      <c r="CR1142" s="162"/>
      <c r="CS1142" s="163"/>
      <c r="CT1142" s="162"/>
      <c r="CU1142" s="163"/>
      <c r="CV1142" s="164">
        <f t="shared" si="149"/>
        <v>0</v>
      </c>
      <c r="CW1142" s="165"/>
      <c r="CX1142" s="166"/>
      <c r="CY1142" s="167"/>
      <c r="CZ1142" s="168"/>
      <c r="DA1142" s="169"/>
      <c r="DB1142" s="168"/>
      <c r="DC1142" s="165"/>
      <c r="DD1142" s="166"/>
      <c r="DE1142" s="71"/>
      <c r="DF1142" s="170"/>
      <c r="EO1142" s="353" t="str">
        <f t="shared" si="151"/>
        <v>VALLE DEL CAUCA_CALI</v>
      </c>
      <c r="EP1142" s="350"/>
      <c r="EQ1142" s="351" t="s">
        <v>4658</v>
      </c>
      <c r="ER1142" s="352" t="s">
        <v>1972</v>
      </c>
      <c r="ES1142" s="351" t="s">
        <v>4658</v>
      </c>
      <c r="ET1142" s="350" t="s">
        <v>2008</v>
      </c>
      <c r="EU1142" s="350" t="str">
        <f t="shared" si="153"/>
        <v>SAN ANDRES_DEPARTAMENTO</v>
      </c>
    </row>
    <row r="1143" spans="1:151" s="171" customFormat="1" ht="60" x14ac:dyDescent="0.2">
      <c r="A1143" s="242">
        <v>40436</v>
      </c>
      <c r="B1143" s="222" t="s">
        <v>1462</v>
      </c>
      <c r="C1143" s="222" t="s">
        <v>865</v>
      </c>
      <c r="D1143" s="430" t="s">
        <v>2209</v>
      </c>
      <c r="E1143" s="107" t="str">
        <f>VLOOKUP(B1143&amp;C1143,Divipola!$C$2:$F$1138,4,FALSE)</f>
        <v>76243</v>
      </c>
      <c r="F1143" s="333"/>
      <c r="G1143" s="221"/>
      <c r="H1143" s="157"/>
      <c r="I1143" s="157"/>
      <c r="J1143" s="157">
        <f>160*5</f>
        <v>800</v>
      </c>
      <c r="K1143" s="157">
        <v>160</v>
      </c>
      <c r="L1143" s="157"/>
      <c r="M1143" s="157">
        <v>160</v>
      </c>
      <c r="N1143" s="157"/>
      <c r="O1143" s="157"/>
      <c r="P1143" s="157"/>
      <c r="Q1143" s="157"/>
      <c r="R1143" s="157"/>
      <c r="S1143" s="157"/>
      <c r="T1143" s="157"/>
      <c r="U1143" s="157"/>
      <c r="V1143" s="158"/>
      <c r="W1143" s="182"/>
      <c r="X1143" s="1"/>
      <c r="Y1143" s="78">
        <f t="shared" si="146"/>
        <v>13671000</v>
      </c>
      <c r="Z1143" s="78">
        <f t="shared" si="147"/>
        <v>12495000</v>
      </c>
      <c r="AA1143" s="78">
        <f t="shared" si="152"/>
        <v>0</v>
      </c>
      <c r="AB1143" s="78">
        <f t="shared" si="148"/>
        <v>0</v>
      </c>
      <c r="AC1143" s="78"/>
      <c r="AD1143" s="78">
        <v>0</v>
      </c>
      <c r="AE1143" s="80">
        <f t="shared" si="150"/>
        <v>26166000</v>
      </c>
      <c r="AF1143" s="82">
        <v>0</v>
      </c>
      <c r="AG1143" s="69">
        <v>40483</v>
      </c>
      <c r="AH1143" s="84"/>
      <c r="AI1143" s="69" t="s">
        <v>2009</v>
      </c>
      <c r="AJ1143" s="25" t="s">
        <v>2010</v>
      </c>
      <c r="AK1143" s="65"/>
      <c r="AL1143" s="176" t="s">
        <v>1257</v>
      </c>
      <c r="AM1143" s="173" t="s">
        <v>2617</v>
      </c>
      <c r="AN1143" s="159"/>
      <c r="AO1143" s="160"/>
      <c r="AP1143" s="161"/>
      <c r="AQ1143" s="160"/>
      <c r="AR1143" s="160"/>
      <c r="AS1143" s="160"/>
      <c r="AT1143" s="160"/>
      <c r="AU1143" s="160"/>
      <c r="AV1143" s="160"/>
      <c r="AW1143" s="160"/>
      <c r="AX1143" s="160"/>
      <c r="AY1143" s="160"/>
      <c r="AZ1143" s="160">
        <v>147</v>
      </c>
      <c r="BA1143" s="160">
        <f>147*56000</f>
        <v>8232000</v>
      </c>
      <c r="BB1143" s="160"/>
      <c r="BC1143" s="160"/>
      <c r="BD1143" s="160"/>
      <c r="BE1143" s="160"/>
      <c r="BF1143" s="160"/>
      <c r="BG1143" s="160"/>
      <c r="BH1143" s="160"/>
      <c r="BI1143" s="160"/>
      <c r="BJ1143" s="160"/>
      <c r="BK1143" s="160"/>
      <c r="BL1143" s="160"/>
      <c r="BM1143" s="160"/>
      <c r="BN1143" s="160"/>
      <c r="BO1143" s="160"/>
      <c r="BP1143" s="160"/>
      <c r="BQ1143" s="160"/>
      <c r="BR1143" s="160"/>
      <c r="BS1143" s="160"/>
      <c r="BT1143" s="160"/>
      <c r="BU1143" s="160"/>
      <c r="BV1143" s="160"/>
      <c r="BW1143" s="160"/>
      <c r="BX1143" s="160"/>
      <c r="BY1143" s="160"/>
      <c r="BZ1143" s="160"/>
      <c r="CA1143" s="160"/>
      <c r="CB1143" s="160"/>
      <c r="CC1143" s="160"/>
      <c r="CD1143" s="160"/>
      <c r="CE1143" s="160"/>
      <c r="CF1143" s="160"/>
      <c r="CG1143" s="160"/>
      <c r="CH1143" s="160"/>
      <c r="CI1143" s="160"/>
      <c r="CJ1143" s="160"/>
      <c r="CK1143" s="160"/>
      <c r="CL1143" s="160"/>
      <c r="CM1143" s="160"/>
      <c r="CN1143" s="160"/>
      <c r="CO1143" s="160"/>
      <c r="CP1143" s="162">
        <v>147</v>
      </c>
      <c r="CQ1143" s="163">
        <f>147*37000</f>
        <v>5439000</v>
      </c>
      <c r="CR1143" s="162"/>
      <c r="CS1143" s="163"/>
      <c r="CT1143" s="162"/>
      <c r="CU1143" s="163"/>
      <c r="CV1143" s="164">
        <f t="shared" si="149"/>
        <v>13671000</v>
      </c>
      <c r="CW1143" s="165"/>
      <c r="CX1143" s="166"/>
      <c r="CY1143" s="167">
        <v>147</v>
      </c>
      <c r="CZ1143" s="168">
        <f>147*85000</f>
        <v>12495000</v>
      </c>
      <c r="DA1143" s="169"/>
      <c r="DB1143" s="168"/>
      <c r="DC1143" s="165"/>
      <c r="DD1143" s="166"/>
      <c r="DE1143" s="71"/>
      <c r="DF1143" s="170"/>
      <c r="EO1143" s="353" t="str">
        <f t="shared" si="151"/>
        <v>VALLE DEL CAUCA_EL AGUILA</v>
      </c>
      <c r="EP1143" s="350"/>
      <c r="EQ1143" s="351" t="s">
        <v>4526</v>
      </c>
      <c r="ER1143" s="352" t="s">
        <v>2014</v>
      </c>
      <c r="ES1143" s="351" t="s">
        <v>4526</v>
      </c>
      <c r="ET1143" s="350" t="s">
        <v>2008</v>
      </c>
      <c r="EU1143" s="350" t="str">
        <f t="shared" si="153"/>
        <v>QUINDIO_DEPARTAMENTO</v>
      </c>
    </row>
    <row r="1144" spans="1:151" s="171" customFormat="1" ht="51" x14ac:dyDescent="0.2">
      <c r="A1144" s="242">
        <v>40436</v>
      </c>
      <c r="B1144" s="222" t="s">
        <v>1462</v>
      </c>
      <c r="C1144" s="222" t="s">
        <v>610</v>
      </c>
      <c r="D1144" s="430" t="s">
        <v>2209</v>
      </c>
      <c r="E1144" s="107" t="str">
        <f>VLOOKUP(B1144&amp;C1144,Divipola!$C$2:$F$1138,4,FALSE)</f>
        <v>76520</v>
      </c>
      <c r="F1144" s="333"/>
      <c r="G1144" s="221">
        <v>1</v>
      </c>
      <c r="H1144" s="157"/>
      <c r="I1144" s="157"/>
      <c r="J1144" s="157">
        <v>175</v>
      </c>
      <c r="K1144" s="157">
        <v>35</v>
      </c>
      <c r="L1144" s="157"/>
      <c r="M1144" s="157">
        <v>35</v>
      </c>
      <c r="N1144" s="157"/>
      <c r="O1144" s="157"/>
      <c r="P1144" s="157"/>
      <c r="Q1144" s="157"/>
      <c r="R1144" s="157"/>
      <c r="S1144" s="157"/>
      <c r="T1144" s="157"/>
      <c r="U1144" s="157">
        <v>1</v>
      </c>
      <c r="V1144" s="158"/>
      <c r="W1144" s="182"/>
      <c r="X1144" s="1"/>
      <c r="Y1144" s="78">
        <f t="shared" si="146"/>
        <v>0</v>
      </c>
      <c r="Z1144" s="78">
        <f t="shared" si="147"/>
        <v>0</v>
      </c>
      <c r="AA1144" s="78">
        <f t="shared" si="152"/>
        <v>0</v>
      </c>
      <c r="AB1144" s="78">
        <f t="shared" si="148"/>
        <v>0</v>
      </c>
      <c r="AC1144" s="78"/>
      <c r="AD1144" s="78">
        <v>0</v>
      </c>
      <c r="AE1144" s="80">
        <f t="shared" si="150"/>
        <v>0</v>
      </c>
      <c r="AF1144" s="82">
        <v>0</v>
      </c>
      <c r="AG1144" s="69">
        <v>40441</v>
      </c>
      <c r="AH1144" s="84"/>
      <c r="AI1144" s="69" t="s">
        <v>1984</v>
      </c>
      <c r="AJ1144" s="25" t="s">
        <v>1985</v>
      </c>
      <c r="AK1144" s="65"/>
      <c r="AL1144" s="176" t="s">
        <v>1257</v>
      </c>
      <c r="AM1144" s="173" t="s">
        <v>1599</v>
      </c>
      <c r="AN1144" s="159"/>
      <c r="AO1144" s="160"/>
      <c r="AP1144" s="161"/>
      <c r="AQ1144" s="160"/>
      <c r="AR1144" s="160"/>
      <c r="AS1144" s="160"/>
      <c r="AT1144" s="160"/>
      <c r="AU1144" s="160"/>
      <c r="AV1144" s="160"/>
      <c r="AW1144" s="160"/>
      <c r="AX1144" s="160"/>
      <c r="AY1144" s="160"/>
      <c r="AZ1144" s="160"/>
      <c r="BA1144" s="160"/>
      <c r="BB1144" s="160"/>
      <c r="BC1144" s="160"/>
      <c r="BD1144" s="160"/>
      <c r="BE1144" s="160"/>
      <c r="BF1144" s="160"/>
      <c r="BG1144" s="160"/>
      <c r="BH1144" s="160"/>
      <c r="BI1144" s="160"/>
      <c r="BJ1144" s="160"/>
      <c r="BK1144" s="160"/>
      <c r="BL1144" s="160"/>
      <c r="BM1144" s="160"/>
      <c r="BN1144" s="160"/>
      <c r="BO1144" s="160"/>
      <c r="BP1144" s="160"/>
      <c r="BQ1144" s="160"/>
      <c r="BR1144" s="160"/>
      <c r="BS1144" s="160"/>
      <c r="BT1144" s="160"/>
      <c r="BU1144" s="160"/>
      <c r="BV1144" s="160"/>
      <c r="BW1144" s="160"/>
      <c r="BX1144" s="160"/>
      <c r="BY1144" s="160"/>
      <c r="BZ1144" s="160"/>
      <c r="CA1144" s="160"/>
      <c r="CB1144" s="160"/>
      <c r="CC1144" s="160"/>
      <c r="CD1144" s="160"/>
      <c r="CE1144" s="160"/>
      <c r="CF1144" s="160"/>
      <c r="CG1144" s="160"/>
      <c r="CH1144" s="160"/>
      <c r="CI1144" s="160"/>
      <c r="CJ1144" s="160"/>
      <c r="CK1144" s="160"/>
      <c r="CL1144" s="160"/>
      <c r="CM1144" s="160"/>
      <c r="CN1144" s="160"/>
      <c r="CO1144" s="160"/>
      <c r="CP1144" s="162"/>
      <c r="CQ1144" s="163"/>
      <c r="CR1144" s="162"/>
      <c r="CS1144" s="163"/>
      <c r="CT1144" s="162"/>
      <c r="CU1144" s="163"/>
      <c r="CV1144" s="164">
        <f t="shared" si="149"/>
        <v>0</v>
      </c>
      <c r="CW1144" s="165"/>
      <c r="CX1144" s="166"/>
      <c r="CY1144" s="167"/>
      <c r="CZ1144" s="168"/>
      <c r="DA1144" s="169"/>
      <c r="DB1144" s="168"/>
      <c r="DC1144" s="165"/>
      <c r="DD1144" s="166"/>
      <c r="DE1144" s="71"/>
      <c r="DF1144" s="170"/>
      <c r="EO1144" s="353" t="str">
        <f t="shared" si="151"/>
        <v>VALLE DEL CAUCA_PALMIRA</v>
      </c>
      <c r="EP1144" s="350"/>
      <c r="EQ1144" s="351" t="s">
        <v>4531</v>
      </c>
      <c r="ER1144" s="352" t="s">
        <v>2012</v>
      </c>
      <c r="ES1144" s="351" t="s">
        <v>4531</v>
      </c>
      <c r="ET1144" s="350" t="s">
        <v>2008</v>
      </c>
      <c r="EU1144" s="350" t="str">
        <f t="shared" si="153"/>
        <v>RISARALDA_DEPARTAMENTO</v>
      </c>
    </row>
    <row r="1145" spans="1:151" s="171" customFormat="1" ht="38.25" x14ac:dyDescent="0.2">
      <c r="A1145" s="242">
        <v>40437</v>
      </c>
      <c r="B1145" s="222" t="s">
        <v>1951</v>
      </c>
      <c r="C1145" s="222" t="s">
        <v>1989</v>
      </c>
      <c r="D1145" s="427" t="s">
        <v>2307</v>
      </c>
      <c r="E1145" s="107" t="str">
        <f>VLOOKUP(B1145&amp;C1145,Divipola!$C$2:$F$1138,4,FALSE)</f>
        <v>08001</v>
      </c>
      <c r="F1145" s="330"/>
      <c r="G1145" s="221"/>
      <c r="H1145" s="157"/>
      <c r="I1145" s="157"/>
      <c r="J1145" s="157">
        <v>50</v>
      </c>
      <c r="K1145" s="157">
        <v>10</v>
      </c>
      <c r="L1145" s="157">
        <v>6</v>
      </c>
      <c r="M1145" s="157">
        <v>4</v>
      </c>
      <c r="N1145" s="157"/>
      <c r="O1145" s="157"/>
      <c r="P1145" s="157"/>
      <c r="Q1145" s="157"/>
      <c r="R1145" s="157"/>
      <c r="S1145" s="157"/>
      <c r="T1145" s="157"/>
      <c r="U1145" s="157"/>
      <c r="V1145" s="158"/>
      <c r="W1145" s="182"/>
      <c r="X1145" s="1"/>
      <c r="Y1145" s="78">
        <f t="shared" si="146"/>
        <v>0</v>
      </c>
      <c r="Z1145" s="78">
        <f t="shared" si="147"/>
        <v>0</v>
      </c>
      <c r="AA1145" s="78">
        <f t="shared" si="152"/>
        <v>0</v>
      </c>
      <c r="AB1145" s="78">
        <f t="shared" si="148"/>
        <v>0</v>
      </c>
      <c r="AC1145" s="78"/>
      <c r="AD1145" s="78">
        <v>0</v>
      </c>
      <c r="AE1145" s="80">
        <f t="shared" si="150"/>
        <v>0</v>
      </c>
      <c r="AF1145" s="82">
        <v>0</v>
      </c>
      <c r="AG1145" s="69">
        <v>40441</v>
      </c>
      <c r="AH1145" s="84"/>
      <c r="AI1145" s="69" t="s">
        <v>1984</v>
      </c>
      <c r="AJ1145" s="25" t="s">
        <v>1985</v>
      </c>
      <c r="AK1145" s="65"/>
      <c r="AL1145" s="176" t="s">
        <v>1257</v>
      </c>
      <c r="AM1145" s="173" t="s">
        <v>1604</v>
      </c>
      <c r="AN1145" s="159"/>
      <c r="AO1145" s="160"/>
      <c r="AP1145" s="161"/>
      <c r="AQ1145" s="160"/>
      <c r="AR1145" s="160"/>
      <c r="AS1145" s="160"/>
      <c r="AT1145" s="160"/>
      <c r="AU1145" s="160"/>
      <c r="AV1145" s="160"/>
      <c r="AW1145" s="160"/>
      <c r="AX1145" s="160"/>
      <c r="AY1145" s="160"/>
      <c r="AZ1145" s="160"/>
      <c r="BA1145" s="160"/>
      <c r="BB1145" s="160"/>
      <c r="BC1145" s="160"/>
      <c r="BD1145" s="160"/>
      <c r="BE1145" s="160"/>
      <c r="BF1145" s="160"/>
      <c r="BG1145" s="160"/>
      <c r="BH1145" s="160"/>
      <c r="BI1145" s="160"/>
      <c r="BJ1145" s="160"/>
      <c r="BK1145" s="160"/>
      <c r="BL1145" s="160"/>
      <c r="BM1145" s="160"/>
      <c r="BN1145" s="160"/>
      <c r="BO1145" s="160"/>
      <c r="BP1145" s="160"/>
      <c r="BQ1145" s="160"/>
      <c r="BR1145" s="160"/>
      <c r="BS1145" s="160"/>
      <c r="BT1145" s="160"/>
      <c r="BU1145" s="160"/>
      <c r="BV1145" s="160"/>
      <c r="BW1145" s="160"/>
      <c r="BX1145" s="160"/>
      <c r="BY1145" s="160"/>
      <c r="BZ1145" s="160"/>
      <c r="CA1145" s="160"/>
      <c r="CB1145" s="160"/>
      <c r="CC1145" s="160"/>
      <c r="CD1145" s="160"/>
      <c r="CE1145" s="160"/>
      <c r="CF1145" s="160"/>
      <c r="CG1145" s="160"/>
      <c r="CH1145" s="160"/>
      <c r="CI1145" s="160"/>
      <c r="CJ1145" s="160"/>
      <c r="CK1145" s="160"/>
      <c r="CL1145" s="160"/>
      <c r="CM1145" s="160"/>
      <c r="CN1145" s="160"/>
      <c r="CO1145" s="160"/>
      <c r="CP1145" s="162"/>
      <c r="CQ1145" s="163"/>
      <c r="CR1145" s="162"/>
      <c r="CS1145" s="163"/>
      <c r="CT1145" s="162"/>
      <c r="CU1145" s="163"/>
      <c r="CV1145" s="164">
        <f t="shared" si="149"/>
        <v>0</v>
      </c>
      <c r="CW1145" s="165"/>
      <c r="CX1145" s="166"/>
      <c r="CY1145" s="167"/>
      <c r="CZ1145" s="168"/>
      <c r="DA1145" s="169"/>
      <c r="DB1145" s="168"/>
      <c r="DC1145" s="165"/>
      <c r="DD1145" s="166"/>
      <c r="DE1145" s="71"/>
      <c r="DF1145" s="170"/>
      <c r="EO1145" s="353" t="str">
        <f t="shared" si="151"/>
        <v>ATLANTICO_BARRANQUILLA</v>
      </c>
      <c r="EP1145" s="350"/>
      <c r="EQ1145" s="351" t="s">
        <v>4535</v>
      </c>
      <c r="ER1145" s="352" t="s">
        <v>2427</v>
      </c>
      <c r="ES1145" s="351" t="s">
        <v>4535</v>
      </c>
      <c r="ET1145" s="350" t="s">
        <v>2008</v>
      </c>
      <c r="EU1145" s="350" t="str">
        <f t="shared" si="153"/>
        <v>SANTANDER_DEPARTAMENTO</v>
      </c>
    </row>
    <row r="1146" spans="1:151" s="171" customFormat="1" ht="38.25" x14ac:dyDescent="0.2">
      <c r="A1146" s="242">
        <v>40437</v>
      </c>
      <c r="B1146" s="222" t="s">
        <v>3112</v>
      </c>
      <c r="C1146" s="222" t="s">
        <v>4245</v>
      </c>
      <c r="D1146" s="430" t="s">
        <v>2209</v>
      </c>
      <c r="E1146" s="107" t="str">
        <f>VLOOKUP(B1146&amp;C1146,Divipola!$C$2:$F$1138,4,FALSE)</f>
        <v>18247</v>
      </c>
      <c r="F1146" s="333"/>
      <c r="G1146" s="221"/>
      <c r="H1146" s="157">
        <v>1</v>
      </c>
      <c r="I1146" s="157"/>
      <c r="J1146" s="157">
        <f>88*5</f>
        <v>440</v>
      </c>
      <c r="K1146" s="157">
        <v>88</v>
      </c>
      <c r="L1146" s="157"/>
      <c r="M1146" s="157"/>
      <c r="N1146" s="157"/>
      <c r="O1146" s="157"/>
      <c r="P1146" s="157"/>
      <c r="Q1146" s="157"/>
      <c r="R1146" s="157"/>
      <c r="S1146" s="157"/>
      <c r="T1146" s="157"/>
      <c r="U1146" s="157"/>
      <c r="V1146" s="158"/>
      <c r="W1146" s="182"/>
      <c r="X1146" s="1"/>
      <c r="Y1146" s="78">
        <f t="shared" si="146"/>
        <v>0</v>
      </c>
      <c r="Z1146" s="78">
        <f t="shared" si="147"/>
        <v>0</v>
      </c>
      <c r="AA1146" s="78">
        <f t="shared" ref="AA1146:AA1168" si="154">DB1146+DD1146</f>
        <v>0</v>
      </c>
      <c r="AB1146" s="78">
        <f t="shared" si="148"/>
        <v>0</v>
      </c>
      <c r="AC1146" s="78"/>
      <c r="AD1146" s="78">
        <v>0</v>
      </c>
      <c r="AE1146" s="80">
        <f t="shared" si="150"/>
        <v>0</v>
      </c>
      <c r="AF1146" s="82">
        <v>0</v>
      </c>
      <c r="AG1146" s="69">
        <v>40441</v>
      </c>
      <c r="AH1146" s="84"/>
      <c r="AI1146" s="69" t="s">
        <v>1984</v>
      </c>
      <c r="AJ1146" s="25" t="s">
        <v>1985</v>
      </c>
      <c r="AK1146" s="65"/>
      <c r="AL1146" s="176" t="s">
        <v>1257</v>
      </c>
      <c r="AM1146" s="173" t="s">
        <v>1603</v>
      </c>
      <c r="AN1146" s="159"/>
      <c r="AO1146" s="160"/>
      <c r="AP1146" s="161"/>
      <c r="AQ1146" s="160"/>
      <c r="AR1146" s="160"/>
      <c r="AS1146" s="160"/>
      <c r="AT1146" s="160"/>
      <c r="AU1146" s="160"/>
      <c r="AV1146" s="160"/>
      <c r="AW1146" s="160"/>
      <c r="AX1146" s="160"/>
      <c r="AY1146" s="160"/>
      <c r="AZ1146" s="160"/>
      <c r="BA1146" s="160"/>
      <c r="BB1146" s="160"/>
      <c r="BC1146" s="160"/>
      <c r="BD1146" s="160"/>
      <c r="BE1146" s="160"/>
      <c r="BF1146" s="160"/>
      <c r="BG1146" s="160"/>
      <c r="BH1146" s="160"/>
      <c r="BI1146" s="160"/>
      <c r="BJ1146" s="160"/>
      <c r="BK1146" s="160"/>
      <c r="BL1146" s="160"/>
      <c r="BM1146" s="160"/>
      <c r="BN1146" s="160"/>
      <c r="BO1146" s="160"/>
      <c r="BP1146" s="160"/>
      <c r="BQ1146" s="160"/>
      <c r="BR1146" s="160"/>
      <c r="BS1146" s="160"/>
      <c r="BT1146" s="160"/>
      <c r="BU1146" s="160"/>
      <c r="BV1146" s="160"/>
      <c r="BW1146" s="160"/>
      <c r="BX1146" s="160"/>
      <c r="BY1146" s="160"/>
      <c r="BZ1146" s="160"/>
      <c r="CA1146" s="160"/>
      <c r="CB1146" s="160"/>
      <c r="CC1146" s="160"/>
      <c r="CD1146" s="160"/>
      <c r="CE1146" s="160"/>
      <c r="CF1146" s="160"/>
      <c r="CG1146" s="160"/>
      <c r="CH1146" s="160"/>
      <c r="CI1146" s="160"/>
      <c r="CJ1146" s="160"/>
      <c r="CK1146" s="160"/>
      <c r="CL1146" s="160"/>
      <c r="CM1146" s="160"/>
      <c r="CN1146" s="160"/>
      <c r="CO1146" s="160"/>
      <c r="CP1146" s="162"/>
      <c r="CQ1146" s="163"/>
      <c r="CR1146" s="162"/>
      <c r="CS1146" s="163"/>
      <c r="CT1146" s="162"/>
      <c r="CU1146" s="163"/>
      <c r="CV1146" s="164">
        <f t="shared" si="149"/>
        <v>0</v>
      </c>
      <c r="CW1146" s="165"/>
      <c r="CX1146" s="166"/>
      <c r="CY1146" s="167"/>
      <c r="CZ1146" s="168"/>
      <c r="DA1146" s="169"/>
      <c r="DB1146" s="168"/>
      <c r="DC1146" s="165"/>
      <c r="DD1146" s="166"/>
      <c r="DE1146" s="71"/>
      <c r="DF1146" s="170"/>
      <c r="EO1146" s="353" t="str">
        <f t="shared" si="151"/>
        <v>CAQUETA_EL DONCELLO</v>
      </c>
      <c r="EP1146" s="350"/>
      <c r="EQ1146" s="351" t="s">
        <v>4571</v>
      </c>
      <c r="ER1146" s="352" t="s">
        <v>2372</v>
      </c>
      <c r="ES1146" s="351" t="s">
        <v>4571</v>
      </c>
      <c r="ET1146" s="357" t="s">
        <v>2008</v>
      </c>
      <c r="EU1146" s="350" t="str">
        <f>ER1146&amp;"_"&amp;ET1146</f>
        <v>SUCRE_DEPARTAMENTO</v>
      </c>
    </row>
    <row r="1147" spans="1:151" s="171" customFormat="1" ht="38.25" x14ac:dyDescent="0.2">
      <c r="A1147" s="242">
        <v>40437</v>
      </c>
      <c r="B1147" s="107" t="s">
        <v>1700</v>
      </c>
      <c r="C1147" s="222" t="s">
        <v>1593</v>
      </c>
      <c r="D1147" s="430" t="s">
        <v>2331</v>
      </c>
      <c r="E1147" s="107" t="str">
        <f>VLOOKUP(B1147&amp;C1147,Divipola!$C$2:$F$1138,4,FALSE)</f>
        <v>23682</v>
      </c>
      <c r="F1147" s="333"/>
      <c r="G1147" s="221"/>
      <c r="H1147" s="157"/>
      <c r="I1147" s="157"/>
      <c r="J1147" s="157">
        <v>735</v>
      </c>
      <c r="K1147" s="157">
        <v>148</v>
      </c>
      <c r="L1147" s="157"/>
      <c r="M1147" s="157">
        <v>22</v>
      </c>
      <c r="N1147" s="157"/>
      <c r="O1147" s="157"/>
      <c r="P1147" s="157"/>
      <c r="Q1147" s="157"/>
      <c r="R1147" s="157"/>
      <c r="S1147" s="157"/>
      <c r="T1147" s="157"/>
      <c r="U1147" s="157"/>
      <c r="V1147" s="158"/>
      <c r="W1147" s="182"/>
      <c r="X1147" s="1"/>
      <c r="Y1147" s="78">
        <f t="shared" si="146"/>
        <v>0</v>
      </c>
      <c r="Z1147" s="78">
        <f t="shared" si="147"/>
        <v>0</v>
      </c>
      <c r="AA1147" s="78">
        <f t="shared" si="154"/>
        <v>0</v>
      </c>
      <c r="AB1147" s="78">
        <f t="shared" si="148"/>
        <v>0</v>
      </c>
      <c r="AC1147" s="78"/>
      <c r="AD1147" s="78">
        <v>0</v>
      </c>
      <c r="AE1147" s="80">
        <f t="shared" si="150"/>
        <v>0</v>
      </c>
      <c r="AF1147" s="82">
        <v>0</v>
      </c>
      <c r="AG1147" s="69">
        <v>40441</v>
      </c>
      <c r="AH1147" s="84"/>
      <c r="AI1147" s="69" t="s">
        <v>1984</v>
      </c>
      <c r="AJ1147" s="25" t="s">
        <v>1985</v>
      </c>
      <c r="AK1147" s="65"/>
      <c r="AL1147" s="176" t="s">
        <v>1257</v>
      </c>
      <c r="AM1147" s="173" t="s">
        <v>1594</v>
      </c>
      <c r="AN1147" s="159"/>
      <c r="AO1147" s="160"/>
      <c r="AP1147" s="161"/>
      <c r="AQ1147" s="160"/>
      <c r="AR1147" s="160"/>
      <c r="AS1147" s="160"/>
      <c r="AT1147" s="160"/>
      <c r="AU1147" s="160"/>
      <c r="AV1147" s="160"/>
      <c r="AW1147" s="160"/>
      <c r="AX1147" s="160"/>
      <c r="AY1147" s="160"/>
      <c r="AZ1147" s="160"/>
      <c r="BA1147" s="160"/>
      <c r="BB1147" s="160"/>
      <c r="BC1147" s="160"/>
      <c r="BD1147" s="160"/>
      <c r="BE1147" s="160"/>
      <c r="BF1147" s="160"/>
      <c r="BG1147" s="160"/>
      <c r="BH1147" s="160"/>
      <c r="BI1147" s="160"/>
      <c r="BJ1147" s="160"/>
      <c r="BK1147" s="160"/>
      <c r="BL1147" s="160"/>
      <c r="BM1147" s="160"/>
      <c r="BN1147" s="160"/>
      <c r="BO1147" s="160"/>
      <c r="BP1147" s="160"/>
      <c r="BQ1147" s="160"/>
      <c r="BR1147" s="160"/>
      <c r="BS1147" s="160"/>
      <c r="BT1147" s="160"/>
      <c r="BU1147" s="160"/>
      <c r="BV1147" s="160"/>
      <c r="BW1147" s="160"/>
      <c r="BX1147" s="160"/>
      <c r="BY1147" s="160"/>
      <c r="BZ1147" s="160"/>
      <c r="CA1147" s="160"/>
      <c r="CB1147" s="160"/>
      <c r="CC1147" s="160"/>
      <c r="CD1147" s="160"/>
      <c r="CE1147" s="160"/>
      <c r="CF1147" s="160"/>
      <c r="CG1147" s="160"/>
      <c r="CH1147" s="160"/>
      <c r="CI1147" s="160"/>
      <c r="CJ1147" s="160"/>
      <c r="CK1147" s="160"/>
      <c r="CL1147" s="160"/>
      <c r="CM1147" s="160"/>
      <c r="CN1147" s="160"/>
      <c r="CO1147" s="160"/>
      <c r="CP1147" s="162"/>
      <c r="CQ1147" s="163"/>
      <c r="CR1147" s="162"/>
      <c r="CS1147" s="163"/>
      <c r="CT1147" s="162"/>
      <c r="CU1147" s="163"/>
      <c r="CV1147" s="164">
        <f t="shared" si="149"/>
        <v>0</v>
      </c>
      <c r="CW1147" s="165"/>
      <c r="CX1147" s="166"/>
      <c r="CY1147" s="167"/>
      <c r="CZ1147" s="168"/>
      <c r="DA1147" s="169"/>
      <c r="DB1147" s="168"/>
      <c r="DC1147" s="165"/>
      <c r="DD1147" s="166"/>
      <c r="DE1147" s="71"/>
      <c r="DF1147" s="170"/>
      <c r="EO1147" s="353" t="str">
        <f t="shared" si="151"/>
        <v>CORDOBA_SAN JOSE DE URE</v>
      </c>
      <c r="EP1147" s="350"/>
      <c r="EQ1147" s="351" t="s">
        <v>4594</v>
      </c>
      <c r="ER1147" s="350" t="s">
        <v>2791</v>
      </c>
      <c r="ES1147" s="351" t="s">
        <v>4594</v>
      </c>
      <c r="ET1147" s="357" t="s">
        <v>2008</v>
      </c>
      <c r="EU1147" s="351" t="str">
        <f>ER1147&amp;"_"&amp;ET1147</f>
        <v>TOLIMA_DEPARTAMENTO</v>
      </c>
    </row>
    <row r="1148" spans="1:151" s="171" customFormat="1" ht="38.25" x14ac:dyDescent="0.2">
      <c r="A1148" s="242">
        <v>40437</v>
      </c>
      <c r="B1148" s="222" t="s">
        <v>1336</v>
      </c>
      <c r="C1148" s="222" t="s">
        <v>1057</v>
      </c>
      <c r="D1148" s="430" t="s">
        <v>837</v>
      </c>
      <c r="E1148" s="107" t="str">
        <f>VLOOKUP(B1148&amp;C1148,Divipola!$C$2:$F$1138,4,FALSE)</f>
        <v>54344</v>
      </c>
      <c r="F1148" s="333"/>
      <c r="G1148" s="221"/>
      <c r="H1148" s="157"/>
      <c r="I1148" s="157"/>
      <c r="J1148" s="157">
        <v>25</v>
      </c>
      <c r="K1148" s="157">
        <v>5</v>
      </c>
      <c r="L1148" s="157"/>
      <c r="M1148" s="157"/>
      <c r="N1148" s="157"/>
      <c r="O1148" s="157"/>
      <c r="P1148" s="157"/>
      <c r="Q1148" s="157">
        <v>1</v>
      </c>
      <c r="R1148" s="157">
        <v>1</v>
      </c>
      <c r="S1148" s="157"/>
      <c r="T1148" s="157"/>
      <c r="U1148" s="157"/>
      <c r="V1148" s="158"/>
      <c r="W1148" s="182"/>
      <c r="X1148" s="1"/>
      <c r="Y1148" s="78">
        <f t="shared" si="146"/>
        <v>0</v>
      </c>
      <c r="Z1148" s="78">
        <f t="shared" si="147"/>
        <v>0</v>
      </c>
      <c r="AA1148" s="78">
        <f t="shared" si="154"/>
        <v>0</v>
      </c>
      <c r="AB1148" s="78">
        <f t="shared" si="148"/>
        <v>0</v>
      </c>
      <c r="AC1148" s="78"/>
      <c r="AD1148" s="78">
        <v>0</v>
      </c>
      <c r="AE1148" s="80">
        <f t="shared" si="150"/>
        <v>0</v>
      </c>
      <c r="AF1148" s="82">
        <v>0</v>
      </c>
      <c r="AG1148" s="69">
        <v>40441</v>
      </c>
      <c r="AH1148" s="84"/>
      <c r="AI1148" s="69" t="s">
        <v>1984</v>
      </c>
      <c r="AJ1148" s="25" t="s">
        <v>1985</v>
      </c>
      <c r="AK1148" s="65"/>
      <c r="AL1148" s="176" t="s">
        <v>1257</v>
      </c>
      <c r="AM1148" s="173" t="s">
        <v>1601</v>
      </c>
      <c r="AN1148" s="159"/>
      <c r="AO1148" s="160"/>
      <c r="AP1148" s="161"/>
      <c r="AQ1148" s="160"/>
      <c r="AR1148" s="160"/>
      <c r="AS1148" s="160"/>
      <c r="AT1148" s="160"/>
      <c r="AU1148" s="160"/>
      <c r="AV1148" s="160"/>
      <c r="AW1148" s="160"/>
      <c r="AX1148" s="160"/>
      <c r="AY1148" s="160"/>
      <c r="AZ1148" s="160"/>
      <c r="BA1148" s="160"/>
      <c r="BB1148" s="160"/>
      <c r="BC1148" s="160"/>
      <c r="BD1148" s="160"/>
      <c r="BE1148" s="160"/>
      <c r="BF1148" s="160"/>
      <c r="BG1148" s="160"/>
      <c r="BH1148" s="160"/>
      <c r="BI1148" s="160"/>
      <c r="BJ1148" s="160"/>
      <c r="BK1148" s="160"/>
      <c r="BL1148" s="160"/>
      <c r="BM1148" s="160"/>
      <c r="BN1148" s="160"/>
      <c r="BO1148" s="160"/>
      <c r="BP1148" s="160"/>
      <c r="BQ1148" s="160"/>
      <c r="BR1148" s="160"/>
      <c r="BS1148" s="160"/>
      <c r="BT1148" s="160"/>
      <c r="BU1148" s="160"/>
      <c r="BV1148" s="160"/>
      <c r="BW1148" s="160"/>
      <c r="BX1148" s="160"/>
      <c r="BY1148" s="160"/>
      <c r="BZ1148" s="160"/>
      <c r="CA1148" s="160"/>
      <c r="CB1148" s="160"/>
      <c r="CC1148" s="160"/>
      <c r="CD1148" s="160"/>
      <c r="CE1148" s="160"/>
      <c r="CF1148" s="160"/>
      <c r="CG1148" s="160"/>
      <c r="CH1148" s="160"/>
      <c r="CI1148" s="160"/>
      <c r="CJ1148" s="160"/>
      <c r="CK1148" s="160"/>
      <c r="CL1148" s="160"/>
      <c r="CM1148" s="160"/>
      <c r="CN1148" s="160"/>
      <c r="CO1148" s="160"/>
      <c r="CP1148" s="162"/>
      <c r="CQ1148" s="163"/>
      <c r="CR1148" s="162"/>
      <c r="CS1148" s="163"/>
      <c r="CT1148" s="162"/>
      <c r="CU1148" s="163"/>
      <c r="CV1148" s="164">
        <f t="shared" si="149"/>
        <v>0</v>
      </c>
      <c r="CW1148" s="165"/>
      <c r="CX1148" s="166"/>
      <c r="CY1148" s="167"/>
      <c r="CZ1148" s="168"/>
      <c r="DA1148" s="169"/>
      <c r="DB1148" s="168"/>
      <c r="DC1148" s="165"/>
      <c r="DD1148" s="166"/>
      <c r="DE1148" s="71"/>
      <c r="DF1148" s="170"/>
      <c r="EO1148" s="353" t="str">
        <f t="shared" si="151"/>
        <v>NORTE DE SANTANDER_HACARI</v>
      </c>
      <c r="EP1148" s="350"/>
      <c r="EQ1148" s="351" t="s">
        <v>4666</v>
      </c>
      <c r="ER1148" s="350" t="s">
        <v>4667</v>
      </c>
      <c r="ES1148" s="351" t="s">
        <v>4666</v>
      </c>
      <c r="ET1148" s="357" t="s">
        <v>2008</v>
      </c>
      <c r="EU1148" s="351" t="str">
        <f>ER1148&amp;"_"&amp;ET1148</f>
        <v>VAUPES_DEPARTAMENTO</v>
      </c>
    </row>
    <row r="1149" spans="1:151" s="171" customFormat="1" ht="38.25" x14ac:dyDescent="0.2">
      <c r="A1149" s="242">
        <v>40437</v>
      </c>
      <c r="B1149" s="222" t="s">
        <v>2372</v>
      </c>
      <c r="C1149" s="222" t="s">
        <v>4592</v>
      </c>
      <c r="D1149" s="430" t="s">
        <v>2209</v>
      </c>
      <c r="E1149" s="107" t="str">
        <f>VLOOKUP(B1149&amp;C1149,Divipola!$C$2:$F$1138,4,FALSE)</f>
        <v>70820</v>
      </c>
      <c r="F1149" s="333"/>
      <c r="G1149" s="221"/>
      <c r="H1149" s="157"/>
      <c r="I1149" s="157"/>
      <c r="J1149" s="157">
        <v>3936</v>
      </c>
      <c r="K1149" s="157">
        <v>734</v>
      </c>
      <c r="L1149" s="157"/>
      <c r="M1149" s="157">
        <v>555</v>
      </c>
      <c r="N1149" s="157"/>
      <c r="O1149" s="157"/>
      <c r="P1149" s="157"/>
      <c r="Q1149" s="157"/>
      <c r="R1149" s="157"/>
      <c r="S1149" s="157"/>
      <c r="T1149" s="157"/>
      <c r="U1149" s="157"/>
      <c r="V1149" s="158"/>
      <c r="W1149" s="182"/>
      <c r="X1149" s="1"/>
      <c r="Y1149" s="78">
        <f t="shared" si="146"/>
        <v>0</v>
      </c>
      <c r="Z1149" s="78">
        <f t="shared" si="147"/>
        <v>0</v>
      </c>
      <c r="AA1149" s="78">
        <f t="shared" si="154"/>
        <v>0</v>
      </c>
      <c r="AB1149" s="78">
        <f t="shared" si="148"/>
        <v>0</v>
      </c>
      <c r="AC1149" s="78"/>
      <c r="AD1149" s="78">
        <v>0</v>
      </c>
      <c r="AE1149" s="80">
        <f t="shared" si="150"/>
        <v>0</v>
      </c>
      <c r="AF1149" s="82">
        <v>0</v>
      </c>
      <c r="AG1149" s="69">
        <v>40437</v>
      </c>
      <c r="AH1149" s="84"/>
      <c r="AI1149" s="69" t="s">
        <v>1984</v>
      </c>
      <c r="AJ1149" s="25" t="s">
        <v>1985</v>
      </c>
      <c r="AK1149" s="65"/>
      <c r="AL1149" s="176" t="s">
        <v>1257</v>
      </c>
      <c r="AM1149" s="173"/>
      <c r="AN1149" s="159"/>
      <c r="AO1149" s="160"/>
      <c r="AP1149" s="161"/>
      <c r="AQ1149" s="160"/>
      <c r="AR1149" s="160"/>
      <c r="AS1149" s="160"/>
      <c r="AT1149" s="160"/>
      <c r="AU1149" s="160"/>
      <c r="AV1149" s="160"/>
      <c r="AW1149" s="160"/>
      <c r="AX1149" s="160"/>
      <c r="AY1149" s="160"/>
      <c r="AZ1149" s="160"/>
      <c r="BA1149" s="160"/>
      <c r="BB1149" s="160"/>
      <c r="BC1149" s="160"/>
      <c r="BD1149" s="160"/>
      <c r="BE1149" s="160"/>
      <c r="BF1149" s="160"/>
      <c r="BG1149" s="160"/>
      <c r="BH1149" s="160"/>
      <c r="BI1149" s="160"/>
      <c r="BJ1149" s="160"/>
      <c r="BK1149" s="160"/>
      <c r="BL1149" s="160"/>
      <c r="BM1149" s="160"/>
      <c r="BN1149" s="160"/>
      <c r="BO1149" s="160"/>
      <c r="BP1149" s="160"/>
      <c r="BQ1149" s="160"/>
      <c r="BR1149" s="160"/>
      <c r="BS1149" s="160"/>
      <c r="BT1149" s="160"/>
      <c r="BU1149" s="160"/>
      <c r="BV1149" s="160"/>
      <c r="BW1149" s="160"/>
      <c r="BX1149" s="160"/>
      <c r="BY1149" s="160"/>
      <c r="BZ1149" s="160"/>
      <c r="CA1149" s="160"/>
      <c r="CB1149" s="160"/>
      <c r="CC1149" s="160"/>
      <c r="CD1149" s="160"/>
      <c r="CE1149" s="160"/>
      <c r="CF1149" s="160"/>
      <c r="CG1149" s="160"/>
      <c r="CH1149" s="160"/>
      <c r="CI1149" s="160"/>
      <c r="CJ1149" s="160"/>
      <c r="CK1149" s="160"/>
      <c r="CL1149" s="160"/>
      <c r="CM1149" s="160"/>
      <c r="CN1149" s="160"/>
      <c r="CO1149" s="160"/>
      <c r="CP1149" s="162"/>
      <c r="CQ1149" s="163"/>
      <c r="CR1149" s="162"/>
      <c r="CS1149" s="163"/>
      <c r="CT1149" s="162"/>
      <c r="CU1149" s="163"/>
      <c r="CV1149" s="164">
        <f t="shared" si="149"/>
        <v>0</v>
      </c>
      <c r="CW1149" s="165"/>
      <c r="CX1149" s="166"/>
      <c r="CY1149" s="167"/>
      <c r="CZ1149" s="168"/>
      <c r="DA1149" s="169"/>
      <c r="DB1149" s="168"/>
      <c r="DC1149" s="165"/>
      <c r="DD1149" s="166"/>
      <c r="DE1149" s="71"/>
      <c r="DF1149" s="170"/>
      <c r="EO1149" s="353" t="str">
        <f t="shared" si="151"/>
        <v>SUCRE_SANTIAGO DE TOLU</v>
      </c>
      <c r="EP1149" s="350"/>
      <c r="EQ1149" s="351" t="s">
        <v>4672</v>
      </c>
      <c r="ER1149" s="350" t="s">
        <v>4673</v>
      </c>
      <c r="ES1149" s="351" t="s">
        <v>4672</v>
      </c>
      <c r="ET1149" s="357" t="s">
        <v>2008</v>
      </c>
      <c r="EU1149" s="351" t="str">
        <f>ER1149&amp;"_"&amp;ET1149</f>
        <v>VICHADA_DEPARTAMENTO</v>
      </c>
    </row>
    <row r="1150" spans="1:151" s="171" customFormat="1" ht="45.75" thickBot="1" x14ac:dyDescent="0.25">
      <c r="A1150" s="242">
        <v>40437</v>
      </c>
      <c r="B1150" s="222" t="s">
        <v>2372</v>
      </c>
      <c r="C1150" s="222" t="s">
        <v>1605</v>
      </c>
      <c r="D1150" s="430" t="s">
        <v>837</v>
      </c>
      <c r="E1150" s="107" t="str">
        <f>VLOOKUP(B1150&amp;C1150,Divipola!$C$2:$F$1138,4,FALSE)</f>
        <v>70001</v>
      </c>
      <c r="F1150" s="333"/>
      <c r="G1150" s="221"/>
      <c r="H1150" s="157"/>
      <c r="I1150" s="157"/>
      <c r="J1150" s="157">
        <v>3170</v>
      </c>
      <c r="K1150" s="157">
        <v>750</v>
      </c>
      <c r="L1150" s="157"/>
      <c r="M1150" s="157"/>
      <c r="N1150" s="157"/>
      <c r="O1150" s="157">
        <v>1</v>
      </c>
      <c r="P1150" s="157"/>
      <c r="Q1150" s="157"/>
      <c r="R1150" s="157"/>
      <c r="S1150" s="157"/>
      <c r="T1150" s="157"/>
      <c r="U1150" s="157"/>
      <c r="V1150" s="158"/>
      <c r="W1150" s="182"/>
      <c r="X1150" s="1"/>
      <c r="Y1150" s="78">
        <f t="shared" si="146"/>
        <v>0</v>
      </c>
      <c r="Z1150" s="78">
        <f t="shared" si="147"/>
        <v>13600000</v>
      </c>
      <c r="AA1150" s="78">
        <f t="shared" si="154"/>
        <v>0</v>
      </c>
      <c r="AB1150" s="78">
        <f t="shared" si="148"/>
        <v>0</v>
      </c>
      <c r="AC1150" s="78"/>
      <c r="AD1150" s="78">
        <v>0</v>
      </c>
      <c r="AE1150" s="80">
        <f t="shared" si="150"/>
        <v>13600000</v>
      </c>
      <c r="AF1150" s="82">
        <v>0</v>
      </c>
      <c r="AG1150" s="69">
        <v>40441</v>
      </c>
      <c r="AH1150" s="84"/>
      <c r="AI1150" s="69" t="s">
        <v>2009</v>
      </c>
      <c r="AJ1150" s="25" t="s">
        <v>2010</v>
      </c>
      <c r="AK1150" s="65"/>
      <c r="AL1150" s="185" t="s">
        <v>2182</v>
      </c>
      <c r="AM1150" s="173" t="s">
        <v>1606</v>
      </c>
      <c r="AN1150" s="159"/>
      <c r="AO1150" s="160"/>
      <c r="AP1150" s="161"/>
      <c r="AQ1150" s="160"/>
      <c r="AR1150" s="160"/>
      <c r="AS1150" s="160"/>
      <c r="AT1150" s="160"/>
      <c r="AU1150" s="160"/>
      <c r="AV1150" s="160"/>
      <c r="AW1150" s="160"/>
      <c r="AX1150" s="160"/>
      <c r="AY1150" s="160"/>
      <c r="AZ1150" s="160"/>
      <c r="BA1150" s="160"/>
      <c r="BB1150" s="160"/>
      <c r="BC1150" s="160"/>
      <c r="BD1150" s="160"/>
      <c r="BE1150" s="160"/>
      <c r="BF1150" s="160"/>
      <c r="BG1150" s="160"/>
      <c r="BH1150" s="160"/>
      <c r="BI1150" s="160"/>
      <c r="BJ1150" s="160"/>
      <c r="BK1150" s="160"/>
      <c r="BL1150" s="160"/>
      <c r="BM1150" s="160"/>
      <c r="BN1150" s="160"/>
      <c r="BO1150" s="160"/>
      <c r="BP1150" s="160"/>
      <c r="BQ1150" s="160"/>
      <c r="BR1150" s="160"/>
      <c r="BS1150" s="160"/>
      <c r="BT1150" s="160"/>
      <c r="BU1150" s="160"/>
      <c r="BV1150" s="160"/>
      <c r="BW1150" s="160"/>
      <c r="BX1150" s="160"/>
      <c r="BY1150" s="160"/>
      <c r="BZ1150" s="160"/>
      <c r="CA1150" s="160"/>
      <c r="CB1150" s="160"/>
      <c r="CC1150" s="160"/>
      <c r="CD1150" s="160"/>
      <c r="CE1150" s="160"/>
      <c r="CF1150" s="160"/>
      <c r="CG1150" s="160"/>
      <c r="CH1150" s="160"/>
      <c r="CI1150" s="160"/>
      <c r="CJ1150" s="160"/>
      <c r="CK1150" s="160"/>
      <c r="CL1150" s="160"/>
      <c r="CM1150" s="160"/>
      <c r="CN1150" s="160"/>
      <c r="CO1150" s="160"/>
      <c r="CP1150" s="162"/>
      <c r="CQ1150" s="163"/>
      <c r="CR1150" s="162"/>
      <c r="CS1150" s="163"/>
      <c r="CT1150" s="162"/>
      <c r="CU1150" s="163"/>
      <c r="CV1150" s="164">
        <f t="shared" si="149"/>
        <v>0</v>
      </c>
      <c r="CW1150" s="165"/>
      <c r="CX1150" s="166"/>
      <c r="CY1150" s="167">
        <v>160</v>
      </c>
      <c r="CZ1150" s="168">
        <f>160*85000</f>
        <v>13600000</v>
      </c>
      <c r="DA1150" s="169"/>
      <c r="DB1150" s="168"/>
      <c r="DC1150" s="165"/>
      <c r="DD1150" s="166"/>
      <c r="DE1150" s="71"/>
      <c r="DF1150" s="170"/>
      <c r="EO1150" s="353" t="str">
        <f t="shared" si="151"/>
        <v>SUCRE_SINCELEJO</v>
      </c>
      <c r="EP1150" s="350"/>
      <c r="EQ1150" s="370" t="s">
        <v>4613</v>
      </c>
      <c r="ER1150" s="356" t="s">
        <v>1462</v>
      </c>
      <c r="ES1150" s="370" t="s">
        <v>4613</v>
      </c>
      <c r="ET1150" s="371" t="s">
        <v>2008</v>
      </c>
      <c r="EU1150" s="370" t="str">
        <f>ER1150&amp;"_"&amp;ET1150</f>
        <v>VALLE DEL CAUCA_DEPARTAMENTO</v>
      </c>
    </row>
    <row r="1151" spans="1:151" s="171" customFormat="1" ht="39" thickTop="1" x14ac:dyDescent="0.2">
      <c r="A1151" s="242">
        <v>40438</v>
      </c>
      <c r="B1151" s="222" t="s">
        <v>2372</v>
      </c>
      <c r="C1151" s="222" t="s">
        <v>2008</v>
      </c>
      <c r="D1151" s="430" t="s">
        <v>837</v>
      </c>
      <c r="E1151" s="107">
        <f>VLOOKUP(B1151&amp;C1151,Divipola!$C$2:$F$1138,4,FALSE)</f>
        <v>70</v>
      </c>
      <c r="F1151" s="333"/>
      <c r="G1151" s="221"/>
      <c r="H1151" s="157"/>
      <c r="I1151" s="157"/>
      <c r="J1151" s="157"/>
      <c r="K1151" s="157"/>
      <c r="L1151" s="157"/>
      <c r="M1151" s="157"/>
      <c r="N1151" s="157"/>
      <c r="O1151" s="157"/>
      <c r="P1151" s="157"/>
      <c r="Q1151" s="157"/>
      <c r="R1151" s="157"/>
      <c r="S1151" s="157"/>
      <c r="T1151" s="157"/>
      <c r="U1151" s="157"/>
      <c r="V1151" s="158"/>
      <c r="W1151" s="182"/>
      <c r="X1151" s="1">
        <v>40463</v>
      </c>
      <c r="Y1151" s="78">
        <f t="shared" si="146"/>
        <v>0</v>
      </c>
      <c r="Z1151" s="78">
        <f t="shared" si="147"/>
        <v>0</v>
      </c>
      <c r="AA1151" s="78">
        <f t="shared" si="154"/>
        <v>0</v>
      </c>
      <c r="AB1151" s="78">
        <f t="shared" si="148"/>
        <v>270522000</v>
      </c>
      <c r="AC1151" s="78"/>
      <c r="AD1151" s="78">
        <v>0</v>
      </c>
      <c r="AE1151" s="80">
        <f t="shared" si="150"/>
        <v>270522000</v>
      </c>
      <c r="AF1151" s="82">
        <v>0</v>
      </c>
      <c r="AG1151" s="69">
        <v>40427</v>
      </c>
      <c r="AH1151" s="84">
        <v>46020</v>
      </c>
      <c r="AI1151" s="69" t="s">
        <v>2009</v>
      </c>
      <c r="AJ1151" s="25" t="s">
        <v>2010</v>
      </c>
      <c r="AK1151" s="88" t="s">
        <v>2466</v>
      </c>
      <c r="AL1151" s="176" t="s">
        <v>1431</v>
      </c>
      <c r="AM1151" s="173" t="s">
        <v>1677</v>
      </c>
      <c r="AN1151" s="159"/>
      <c r="AO1151" s="160"/>
      <c r="AP1151" s="161"/>
      <c r="AQ1151" s="160"/>
      <c r="AR1151" s="160"/>
      <c r="AS1151" s="160"/>
      <c r="AT1151" s="160"/>
      <c r="AU1151" s="160"/>
      <c r="AV1151" s="160"/>
      <c r="AW1151" s="160"/>
      <c r="AX1151" s="160"/>
      <c r="AY1151" s="160"/>
      <c r="AZ1151" s="160"/>
      <c r="BA1151" s="160"/>
      <c r="BB1151" s="160"/>
      <c r="BC1151" s="160"/>
      <c r="BD1151" s="160"/>
      <c r="BE1151" s="160"/>
      <c r="BF1151" s="160"/>
      <c r="BG1151" s="160"/>
      <c r="BH1151" s="160"/>
      <c r="BI1151" s="160"/>
      <c r="BJ1151" s="160"/>
      <c r="BK1151" s="160"/>
      <c r="BL1151" s="160"/>
      <c r="BM1151" s="160"/>
      <c r="BN1151" s="160"/>
      <c r="BO1151" s="160"/>
      <c r="BP1151" s="160"/>
      <c r="BQ1151" s="160"/>
      <c r="BR1151" s="160"/>
      <c r="BS1151" s="160"/>
      <c r="BT1151" s="160"/>
      <c r="BU1151" s="160"/>
      <c r="BV1151" s="160"/>
      <c r="BW1151" s="160"/>
      <c r="BX1151" s="160"/>
      <c r="BY1151" s="160"/>
      <c r="BZ1151" s="160"/>
      <c r="CA1151" s="160"/>
      <c r="CB1151" s="160"/>
      <c r="CC1151" s="160"/>
      <c r="CD1151" s="160"/>
      <c r="CE1151" s="160"/>
      <c r="CF1151" s="160"/>
      <c r="CG1151" s="160"/>
      <c r="CH1151" s="160"/>
      <c r="CI1151" s="160"/>
      <c r="CJ1151" s="160"/>
      <c r="CK1151" s="160"/>
      <c r="CL1151" s="160"/>
      <c r="CM1151" s="160"/>
      <c r="CN1151" s="160"/>
      <c r="CO1151" s="160"/>
      <c r="CP1151" s="162"/>
      <c r="CQ1151" s="163"/>
      <c r="CR1151" s="162"/>
      <c r="CS1151" s="163"/>
      <c r="CT1151" s="162"/>
      <c r="CU1151" s="163"/>
      <c r="CV1151" s="164">
        <f t="shared" si="149"/>
        <v>0</v>
      </c>
      <c r="CW1151" s="165">
        <f>50000+50000+200000</f>
        <v>300000</v>
      </c>
      <c r="CX1151" s="166">
        <f>50000*904.8+50000*905+200000*900.16</f>
        <v>270522000</v>
      </c>
      <c r="CY1151" s="167"/>
      <c r="CZ1151" s="168"/>
      <c r="DA1151" s="169"/>
      <c r="DB1151" s="168"/>
      <c r="DC1151" s="165"/>
      <c r="DD1151" s="166"/>
      <c r="DE1151" s="71"/>
      <c r="DF1151" s="170"/>
      <c r="EO1151" s="353" t="str">
        <f t="shared" si="151"/>
        <v>SUCRE_DEPARTAMENTO</v>
      </c>
      <c r="EP1151" s="350"/>
      <c r="EQ1151" s="350"/>
      <c r="ER1151" s="357"/>
      <c r="ES1151" s="350"/>
      <c r="ET1151" s="350"/>
      <c r="EU1151" s="350"/>
    </row>
    <row r="1152" spans="1:151" s="171" customFormat="1" ht="60" x14ac:dyDescent="0.2">
      <c r="A1152" s="242">
        <v>40438</v>
      </c>
      <c r="B1152" s="222" t="s">
        <v>1462</v>
      </c>
      <c r="C1152" s="222" t="s">
        <v>3116</v>
      </c>
      <c r="D1152" s="430" t="s">
        <v>837</v>
      </c>
      <c r="E1152" s="107" t="str">
        <f>VLOOKUP(B1152&amp;C1152,Divipola!$C$2:$F$1138,4,FALSE)</f>
        <v>76823</v>
      </c>
      <c r="F1152" s="333"/>
      <c r="G1152" s="221"/>
      <c r="H1152" s="157"/>
      <c r="I1152" s="157"/>
      <c r="J1152" s="157">
        <f>39*5</f>
        <v>195</v>
      </c>
      <c r="K1152" s="157">
        <v>39</v>
      </c>
      <c r="L1152" s="157"/>
      <c r="M1152" s="157">
        <v>39</v>
      </c>
      <c r="N1152" s="157"/>
      <c r="O1152" s="157"/>
      <c r="P1152" s="157"/>
      <c r="Q1152" s="157"/>
      <c r="R1152" s="157"/>
      <c r="S1152" s="157"/>
      <c r="T1152" s="157"/>
      <c r="U1152" s="157"/>
      <c r="V1152" s="158"/>
      <c r="W1152" s="182"/>
      <c r="X1152" s="1"/>
      <c r="Y1152" s="78">
        <f t="shared" si="146"/>
        <v>0</v>
      </c>
      <c r="Z1152" s="78">
        <f t="shared" si="147"/>
        <v>0</v>
      </c>
      <c r="AA1152" s="78">
        <f t="shared" si="154"/>
        <v>0</v>
      </c>
      <c r="AB1152" s="78">
        <f t="shared" si="148"/>
        <v>0</v>
      </c>
      <c r="AC1152" s="78"/>
      <c r="AD1152" s="78">
        <v>0</v>
      </c>
      <c r="AE1152" s="80">
        <f t="shared" si="150"/>
        <v>0</v>
      </c>
      <c r="AF1152" s="82">
        <v>0</v>
      </c>
      <c r="AG1152" s="69">
        <v>40441</v>
      </c>
      <c r="AH1152" s="84"/>
      <c r="AI1152" s="69" t="s">
        <v>1984</v>
      </c>
      <c r="AJ1152" s="25" t="s">
        <v>1985</v>
      </c>
      <c r="AK1152" s="65"/>
      <c r="AL1152" s="176" t="s">
        <v>1257</v>
      </c>
      <c r="AM1152" s="173" t="s">
        <v>741</v>
      </c>
      <c r="AN1152" s="159"/>
      <c r="AO1152" s="160"/>
      <c r="AP1152" s="161"/>
      <c r="AQ1152" s="160"/>
      <c r="AR1152" s="160"/>
      <c r="AS1152" s="160"/>
      <c r="AT1152" s="160"/>
      <c r="AU1152" s="160"/>
      <c r="AV1152" s="160"/>
      <c r="AW1152" s="160"/>
      <c r="AX1152" s="160"/>
      <c r="AY1152" s="160"/>
      <c r="AZ1152" s="160"/>
      <c r="BA1152" s="160"/>
      <c r="BB1152" s="160"/>
      <c r="BC1152" s="160"/>
      <c r="BD1152" s="160"/>
      <c r="BE1152" s="160"/>
      <c r="BF1152" s="160"/>
      <c r="BG1152" s="160"/>
      <c r="BH1152" s="160"/>
      <c r="BI1152" s="160"/>
      <c r="BJ1152" s="160"/>
      <c r="BK1152" s="160"/>
      <c r="BL1152" s="160"/>
      <c r="BM1152" s="160"/>
      <c r="BN1152" s="160"/>
      <c r="BO1152" s="160"/>
      <c r="BP1152" s="160"/>
      <c r="BQ1152" s="160"/>
      <c r="BR1152" s="160"/>
      <c r="BS1152" s="160"/>
      <c r="BT1152" s="160"/>
      <c r="BU1152" s="160"/>
      <c r="BV1152" s="160"/>
      <c r="BW1152" s="160"/>
      <c r="BX1152" s="160"/>
      <c r="BY1152" s="160"/>
      <c r="BZ1152" s="160"/>
      <c r="CA1152" s="160"/>
      <c r="CB1152" s="160"/>
      <c r="CC1152" s="160"/>
      <c r="CD1152" s="160"/>
      <c r="CE1152" s="160"/>
      <c r="CF1152" s="160"/>
      <c r="CG1152" s="160"/>
      <c r="CH1152" s="160"/>
      <c r="CI1152" s="160"/>
      <c r="CJ1152" s="160"/>
      <c r="CK1152" s="160"/>
      <c r="CL1152" s="160"/>
      <c r="CM1152" s="160"/>
      <c r="CN1152" s="160"/>
      <c r="CO1152" s="160"/>
      <c r="CP1152" s="162"/>
      <c r="CQ1152" s="163"/>
      <c r="CR1152" s="162"/>
      <c r="CS1152" s="163"/>
      <c r="CT1152" s="162"/>
      <c r="CU1152" s="163"/>
      <c r="CV1152" s="164">
        <f t="shared" si="149"/>
        <v>0</v>
      </c>
      <c r="CW1152" s="165"/>
      <c r="CX1152" s="166"/>
      <c r="CY1152" s="167"/>
      <c r="CZ1152" s="168"/>
      <c r="DA1152" s="169"/>
      <c r="DB1152" s="168"/>
      <c r="DC1152" s="165"/>
      <c r="DD1152" s="166"/>
      <c r="DE1152" s="71"/>
      <c r="DF1152" s="170">
        <v>1352</v>
      </c>
      <c r="EO1152" s="353" t="str">
        <f t="shared" si="151"/>
        <v>VALLE DEL CAUCA_TORO</v>
      </c>
      <c r="EP1152" s="350"/>
      <c r="EQ1152" s="350"/>
      <c r="ER1152" s="357"/>
      <c r="ES1152" s="350"/>
      <c r="ET1152" s="350"/>
      <c r="EU1152" s="350"/>
    </row>
    <row r="1153" spans="1:151" s="171" customFormat="1" ht="25.5" x14ac:dyDescent="0.2">
      <c r="A1153" s="242">
        <v>40439</v>
      </c>
      <c r="B1153" s="107" t="s">
        <v>2012</v>
      </c>
      <c r="C1153" s="222" t="s">
        <v>2433</v>
      </c>
      <c r="D1153" s="430" t="s">
        <v>1721</v>
      </c>
      <c r="E1153" s="107" t="str">
        <f>VLOOKUP(B1153&amp;C1153,Divipola!$C$2:$F$1138,4,FALSE)</f>
        <v>66001</v>
      </c>
      <c r="F1153" s="333"/>
      <c r="G1153" s="221"/>
      <c r="H1153" s="157"/>
      <c r="I1153" s="157"/>
      <c r="J1153" s="157">
        <v>38</v>
      </c>
      <c r="K1153" s="157">
        <v>5</v>
      </c>
      <c r="L1153" s="157"/>
      <c r="M1153" s="157">
        <v>5</v>
      </c>
      <c r="N1153" s="157"/>
      <c r="O1153" s="157"/>
      <c r="P1153" s="157"/>
      <c r="Q1153" s="157"/>
      <c r="R1153" s="157"/>
      <c r="S1153" s="157"/>
      <c r="T1153" s="157"/>
      <c r="U1153" s="157"/>
      <c r="V1153" s="158"/>
      <c r="W1153" s="182"/>
      <c r="X1153" s="1"/>
      <c r="Y1153" s="78">
        <f t="shared" si="146"/>
        <v>0</v>
      </c>
      <c r="Z1153" s="78">
        <f t="shared" si="147"/>
        <v>0</v>
      </c>
      <c r="AA1153" s="78">
        <f t="shared" si="154"/>
        <v>0</v>
      </c>
      <c r="AB1153" s="78">
        <f t="shared" si="148"/>
        <v>0</v>
      </c>
      <c r="AC1153" s="78"/>
      <c r="AD1153" s="78">
        <v>0</v>
      </c>
      <c r="AE1153" s="80">
        <f t="shared" si="150"/>
        <v>0</v>
      </c>
      <c r="AF1153" s="82">
        <v>0</v>
      </c>
      <c r="AG1153" s="69">
        <v>40441</v>
      </c>
      <c r="AH1153" s="84"/>
      <c r="AI1153" s="69" t="s">
        <v>1984</v>
      </c>
      <c r="AJ1153" s="25" t="s">
        <v>1985</v>
      </c>
      <c r="AK1153" s="65"/>
      <c r="AL1153" s="176" t="s">
        <v>1257</v>
      </c>
      <c r="AM1153" s="173" t="s">
        <v>1608</v>
      </c>
      <c r="AN1153" s="159"/>
      <c r="AO1153" s="160"/>
      <c r="AP1153" s="161"/>
      <c r="AQ1153" s="160"/>
      <c r="AR1153" s="160"/>
      <c r="AS1153" s="160"/>
      <c r="AT1153" s="160"/>
      <c r="AU1153" s="160"/>
      <c r="AV1153" s="160"/>
      <c r="AW1153" s="160"/>
      <c r="AX1153" s="160"/>
      <c r="AY1153" s="160"/>
      <c r="AZ1153" s="160"/>
      <c r="BA1153" s="160"/>
      <c r="BB1153" s="160"/>
      <c r="BC1153" s="160"/>
      <c r="BD1153" s="160"/>
      <c r="BE1153" s="160"/>
      <c r="BF1153" s="160"/>
      <c r="BG1153" s="160"/>
      <c r="BH1153" s="160"/>
      <c r="BI1153" s="160"/>
      <c r="BJ1153" s="160"/>
      <c r="BK1153" s="160"/>
      <c r="BL1153" s="160"/>
      <c r="BM1153" s="160"/>
      <c r="BN1153" s="160"/>
      <c r="BO1153" s="160"/>
      <c r="BP1153" s="160"/>
      <c r="BQ1153" s="160"/>
      <c r="BR1153" s="160"/>
      <c r="BS1153" s="160"/>
      <c r="BT1153" s="160"/>
      <c r="BU1153" s="160"/>
      <c r="BV1153" s="160"/>
      <c r="BW1153" s="160"/>
      <c r="BX1153" s="160"/>
      <c r="BY1153" s="160"/>
      <c r="BZ1153" s="160"/>
      <c r="CA1153" s="160"/>
      <c r="CB1153" s="160"/>
      <c r="CC1153" s="160"/>
      <c r="CD1153" s="160"/>
      <c r="CE1153" s="160"/>
      <c r="CF1153" s="160"/>
      <c r="CG1153" s="160"/>
      <c r="CH1153" s="160"/>
      <c r="CI1153" s="160"/>
      <c r="CJ1153" s="160"/>
      <c r="CK1153" s="160"/>
      <c r="CL1153" s="160"/>
      <c r="CM1153" s="160"/>
      <c r="CN1153" s="160"/>
      <c r="CO1153" s="160"/>
      <c r="CP1153" s="162"/>
      <c r="CQ1153" s="163"/>
      <c r="CR1153" s="162"/>
      <c r="CS1153" s="163"/>
      <c r="CT1153" s="162"/>
      <c r="CU1153" s="163"/>
      <c r="CV1153" s="164">
        <f t="shared" si="149"/>
        <v>0</v>
      </c>
      <c r="CW1153" s="165"/>
      <c r="CX1153" s="166"/>
      <c r="CY1153" s="167"/>
      <c r="CZ1153" s="168"/>
      <c r="DA1153" s="169"/>
      <c r="DB1153" s="168"/>
      <c r="DC1153" s="165"/>
      <c r="DD1153" s="166"/>
      <c r="DE1153" s="71"/>
      <c r="DF1153" s="170"/>
      <c r="EO1153" s="353" t="str">
        <f t="shared" si="151"/>
        <v>RISARALDA_PEREIRA</v>
      </c>
      <c r="EP1153" s="350"/>
      <c r="EQ1153" s="350"/>
      <c r="ER1153" s="357"/>
      <c r="ES1153" s="350"/>
      <c r="ET1153" s="350"/>
      <c r="EU1153" s="350"/>
    </row>
    <row r="1154" spans="1:151" s="171" customFormat="1" ht="25.5" x14ac:dyDescent="0.2">
      <c r="A1154" s="242">
        <v>40440</v>
      </c>
      <c r="B1154" s="222" t="s">
        <v>2017</v>
      </c>
      <c r="C1154" s="222" t="s">
        <v>1956</v>
      </c>
      <c r="D1154" s="427" t="s">
        <v>2307</v>
      </c>
      <c r="E1154" s="107" t="str">
        <f>VLOOKUP(B1154&amp;C1154,Divipola!$C$2:$F$1138,4,FALSE)</f>
        <v>13836</v>
      </c>
      <c r="F1154" s="330"/>
      <c r="G1154" s="221"/>
      <c r="H1154" s="157"/>
      <c r="I1154" s="157"/>
      <c r="J1154" s="157">
        <v>7</v>
      </c>
      <c r="K1154" s="157">
        <v>1</v>
      </c>
      <c r="L1154" s="157"/>
      <c r="M1154" s="157">
        <v>1</v>
      </c>
      <c r="N1154" s="157"/>
      <c r="O1154" s="157"/>
      <c r="P1154" s="157"/>
      <c r="Q1154" s="157"/>
      <c r="R1154" s="157"/>
      <c r="S1154" s="157"/>
      <c r="T1154" s="157"/>
      <c r="U1154" s="157"/>
      <c r="V1154" s="158"/>
      <c r="W1154" s="182"/>
      <c r="X1154" s="1"/>
      <c r="Y1154" s="78">
        <f t="shared" si="146"/>
        <v>0</v>
      </c>
      <c r="Z1154" s="78">
        <f t="shared" si="147"/>
        <v>0</v>
      </c>
      <c r="AA1154" s="78">
        <f t="shared" si="154"/>
        <v>0</v>
      </c>
      <c r="AB1154" s="78">
        <f t="shared" si="148"/>
        <v>0</v>
      </c>
      <c r="AC1154" s="78"/>
      <c r="AD1154" s="78">
        <v>0</v>
      </c>
      <c r="AE1154" s="80">
        <f t="shared" si="150"/>
        <v>0</v>
      </c>
      <c r="AF1154" s="82">
        <v>0</v>
      </c>
      <c r="AG1154" s="69">
        <v>40441</v>
      </c>
      <c r="AH1154" s="84"/>
      <c r="AI1154" s="69" t="s">
        <v>1984</v>
      </c>
      <c r="AJ1154" s="25" t="s">
        <v>1985</v>
      </c>
      <c r="AK1154" s="65"/>
      <c r="AL1154" s="176" t="s">
        <v>1257</v>
      </c>
      <c r="AM1154" s="173" t="s">
        <v>1609</v>
      </c>
      <c r="AN1154" s="159"/>
      <c r="AO1154" s="160"/>
      <c r="AP1154" s="161"/>
      <c r="AQ1154" s="160"/>
      <c r="AR1154" s="160"/>
      <c r="AS1154" s="160"/>
      <c r="AT1154" s="160"/>
      <c r="AU1154" s="160"/>
      <c r="AV1154" s="160"/>
      <c r="AW1154" s="160"/>
      <c r="AX1154" s="160"/>
      <c r="AY1154" s="160"/>
      <c r="AZ1154" s="160"/>
      <c r="BA1154" s="160"/>
      <c r="BB1154" s="160"/>
      <c r="BC1154" s="160"/>
      <c r="BD1154" s="160"/>
      <c r="BE1154" s="160"/>
      <c r="BF1154" s="160"/>
      <c r="BG1154" s="160"/>
      <c r="BH1154" s="160"/>
      <c r="BI1154" s="160"/>
      <c r="BJ1154" s="160"/>
      <c r="BK1154" s="160"/>
      <c r="BL1154" s="160"/>
      <c r="BM1154" s="160"/>
      <c r="BN1154" s="160"/>
      <c r="BO1154" s="160"/>
      <c r="BP1154" s="160"/>
      <c r="BQ1154" s="160"/>
      <c r="BR1154" s="160"/>
      <c r="BS1154" s="160"/>
      <c r="BT1154" s="160"/>
      <c r="BU1154" s="160"/>
      <c r="BV1154" s="160"/>
      <c r="BW1154" s="160"/>
      <c r="BX1154" s="160"/>
      <c r="BY1154" s="160"/>
      <c r="BZ1154" s="160"/>
      <c r="CA1154" s="160"/>
      <c r="CB1154" s="160"/>
      <c r="CC1154" s="160"/>
      <c r="CD1154" s="160"/>
      <c r="CE1154" s="160"/>
      <c r="CF1154" s="160"/>
      <c r="CG1154" s="160"/>
      <c r="CH1154" s="160"/>
      <c r="CI1154" s="160"/>
      <c r="CJ1154" s="160"/>
      <c r="CK1154" s="160"/>
      <c r="CL1154" s="160"/>
      <c r="CM1154" s="160"/>
      <c r="CN1154" s="160"/>
      <c r="CO1154" s="160"/>
      <c r="CP1154" s="162"/>
      <c r="CQ1154" s="163"/>
      <c r="CR1154" s="162"/>
      <c r="CS1154" s="163"/>
      <c r="CT1154" s="162"/>
      <c r="CU1154" s="163"/>
      <c r="CV1154" s="164">
        <f t="shared" si="149"/>
        <v>0</v>
      </c>
      <c r="CW1154" s="165"/>
      <c r="CX1154" s="166"/>
      <c r="CY1154" s="167"/>
      <c r="CZ1154" s="168"/>
      <c r="DA1154" s="169"/>
      <c r="DB1154" s="168"/>
      <c r="DC1154" s="165"/>
      <c r="DD1154" s="166"/>
      <c r="DE1154" s="71"/>
      <c r="DF1154" s="170"/>
      <c r="EO1154" s="353" t="str">
        <f t="shared" si="151"/>
        <v>BOLIVAR_TURBACO</v>
      </c>
      <c r="EP1154" s="350"/>
      <c r="EQ1154" s="350"/>
      <c r="ER1154" s="357"/>
      <c r="ES1154" s="350"/>
      <c r="ET1154" s="350"/>
      <c r="EU1154" s="350"/>
    </row>
    <row r="1155" spans="1:151" s="171" customFormat="1" ht="156" x14ac:dyDescent="0.2">
      <c r="A1155" s="242">
        <v>40440</v>
      </c>
      <c r="B1155" s="107" t="s">
        <v>5778</v>
      </c>
      <c r="C1155" s="222" t="s">
        <v>2424</v>
      </c>
      <c r="D1155" s="430" t="s">
        <v>837</v>
      </c>
      <c r="E1155" s="107" t="str">
        <f>VLOOKUP(B1155&amp;C1155,Divipola!$C$2:$F$1138,4,FALSE)</f>
        <v>44560</v>
      </c>
      <c r="F1155" s="333"/>
      <c r="G1155" s="221"/>
      <c r="H1155" s="157"/>
      <c r="I1155" s="157"/>
      <c r="J1155" s="157">
        <f>2251*5</f>
        <v>11255</v>
      </c>
      <c r="K1155" s="157">
        <v>2251</v>
      </c>
      <c r="L1155" s="157"/>
      <c r="M1155" s="157"/>
      <c r="N1155" s="157"/>
      <c r="O1155" s="157"/>
      <c r="P1155" s="157"/>
      <c r="Q1155" s="157"/>
      <c r="R1155" s="157"/>
      <c r="S1155" s="157"/>
      <c r="T1155" s="157"/>
      <c r="U1155" s="157"/>
      <c r="V1155" s="158">
        <v>17</v>
      </c>
      <c r="W1155" s="182"/>
      <c r="X1155" s="1">
        <v>40514</v>
      </c>
      <c r="Y1155" s="78">
        <f t="shared" ref="Y1155:Y1218" si="155">CV1155</f>
        <v>103324200</v>
      </c>
      <c r="Z1155" s="78">
        <f t="shared" ref="Z1155:Z1218" si="156">CZ1155</f>
        <v>85935000</v>
      </c>
      <c r="AA1155" s="78">
        <f t="shared" si="154"/>
        <v>0</v>
      </c>
      <c r="AB1155" s="78">
        <f t="shared" ref="AB1155:AB1218" si="157">CX1155</f>
        <v>1800000</v>
      </c>
      <c r="AC1155" s="78"/>
      <c r="AD1155" s="78">
        <v>0</v>
      </c>
      <c r="AE1155" s="80">
        <f t="shared" si="150"/>
        <v>191059200</v>
      </c>
      <c r="AF1155" s="82">
        <v>0</v>
      </c>
      <c r="AG1155" s="69">
        <v>40441</v>
      </c>
      <c r="AH1155" s="84">
        <v>59457</v>
      </c>
      <c r="AI1155" s="69" t="s">
        <v>2009</v>
      </c>
      <c r="AJ1155" s="25" t="s">
        <v>2010</v>
      </c>
      <c r="AK1155" s="88" t="s">
        <v>540</v>
      </c>
      <c r="AL1155" s="185" t="s">
        <v>2182</v>
      </c>
      <c r="AM1155" s="173" t="s">
        <v>1229</v>
      </c>
      <c r="AN1155" s="159"/>
      <c r="AO1155" s="160"/>
      <c r="AP1155" s="161"/>
      <c r="AQ1155" s="160"/>
      <c r="AR1155" s="160"/>
      <c r="AS1155" s="160"/>
      <c r="AT1155" s="160"/>
      <c r="AU1155" s="160"/>
      <c r="AV1155" s="160"/>
      <c r="AW1155" s="160"/>
      <c r="AX1155" s="160"/>
      <c r="AY1155" s="160"/>
      <c r="AZ1155" s="160"/>
      <c r="BA1155" s="160"/>
      <c r="BB1155" s="160"/>
      <c r="BC1155" s="160"/>
      <c r="BD1155" s="160"/>
      <c r="BE1155" s="160"/>
      <c r="BF1155" s="160"/>
      <c r="BG1155" s="160"/>
      <c r="BH1155" s="160"/>
      <c r="BI1155" s="160"/>
      <c r="BJ1155" s="160"/>
      <c r="BK1155" s="160"/>
      <c r="BL1155" s="160">
        <v>1011</v>
      </c>
      <c r="BM1155" s="160">
        <f>1011*25500</f>
        <v>25780500</v>
      </c>
      <c r="BN1155" s="160"/>
      <c r="BO1155" s="160"/>
      <c r="BP1155" s="160"/>
      <c r="BQ1155" s="160"/>
      <c r="BR1155" s="160"/>
      <c r="BS1155" s="160"/>
      <c r="BT1155" s="160"/>
      <c r="BU1155" s="160"/>
      <c r="BV1155" s="160"/>
      <c r="BW1155" s="160"/>
      <c r="BX1155" s="160"/>
      <c r="BY1155" s="160"/>
      <c r="BZ1155" s="160"/>
      <c r="CA1155" s="160"/>
      <c r="CB1155" s="160"/>
      <c r="CC1155" s="160"/>
      <c r="CD1155" s="160"/>
      <c r="CE1155" s="160"/>
      <c r="CF1155" s="160"/>
      <c r="CG1155" s="160"/>
      <c r="CH1155" s="160"/>
      <c r="CI1155" s="160"/>
      <c r="CJ1155" s="160"/>
      <c r="CK1155" s="160"/>
      <c r="CL1155" s="160"/>
      <c r="CM1155" s="160"/>
      <c r="CN1155" s="160"/>
      <c r="CO1155" s="160"/>
      <c r="CP1155" s="162">
        <v>1011</v>
      </c>
      <c r="CQ1155" s="163">
        <f>1011*37000</f>
        <v>37407000</v>
      </c>
      <c r="CR1155" s="162">
        <v>1011</v>
      </c>
      <c r="CS1155" s="163">
        <f>1011*39700</f>
        <v>40136700</v>
      </c>
      <c r="CT1155" s="162"/>
      <c r="CU1155" s="163"/>
      <c r="CV1155" s="164">
        <f t="shared" ref="CV1155:CV1218" si="158">AO1155+AQ1155+AS1155+AU1155+AW1155+AY1155+BA1155+BC1155+BE1155+BG1155+BI1155+BK1155+BM1155+BO1155+BQ1155+BS1155+BU1155+BW1155+BY1155+CA1155+CC1155+CE1155+CG1155+CI1155+CK1155+CM1155+CO1155+CQ1155+CS1155+CU1155</f>
        <v>103324200</v>
      </c>
      <c r="CW1155" s="165">
        <v>2000</v>
      </c>
      <c r="CX1155" s="166">
        <f>2000*900</f>
        <v>1800000</v>
      </c>
      <c r="CY1155" s="167">
        <v>1011</v>
      </c>
      <c r="CZ1155" s="168">
        <f>1011*85000</f>
        <v>85935000</v>
      </c>
      <c r="DA1155" s="169"/>
      <c r="DB1155" s="168"/>
      <c r="DC1155" s="165"/>
      <c r="DD1155" s="166"/>
      <c r="DE1155" s="71"/>
      <c r="DF1155" s="170"/>
      <c r="EO1155" s="353" t="str">
        <f t="shared" si="151"/>
        <v>LA GUAJIRA_MANAURE</v>
      </c>
      <c r="EP1155" s="350"/>
      <c r="EQ1155" s="350"/>
      <c r="ER1155" s="357"/>
      <c r="ES1155" s="350"/>
      <c r="ET1155" s="350"/>
      <c r="EU1155" s="350"/>
    </row>
    <row r="1156" spans="1:151" s="171" customFormat="1" ht="45" x14ac:dyDescent="0.2">
      <c r="A1156" s="242">
        <v>40440</v>
      </c>
      <c r="B1156" s="222" t="s">
        <v>1836</v>
      </c>
      <c r="C1156" s="222" t="s">
        <v>1616</v>
      </c>
      <c r="D1156" s="430" t="s">
        <v>837</v>
      </c>
      <c r="E1156" s="107" t="str">
        <f>VLOOKUP(B1156&amp;C1156,Divipola!$C$2:$F$1138,4,FALSE)</f>
        <v>47030</v>
      </c>
      <c r="F1156" s="333"/>
      <c r="G1156" s="221"/>
      <c r="H1156" s="157"/>
      <c r="I1156" s="157"/>
      <c r="J1156" s="157">
        <v>1305</v>
      </c>
      <c r="K1156" s="157">
        <v>261</v>
      </c>
      <c r="L1156" s="157"/>
      <c r="M1156" s="157">
        <v>200</v>
      </c>
      <c r="N1156" s="157"/>
      <c r="O1156" s="157"/>
      <c r="P1156" s="157"/>
      <c r="Q1156" s="157"/>
      <c r="R1156" s="157"/>
      <c r="S1156" s="157"/>
      <c r="T1156" s="157"/>
      <c r="U1156" s="157"/>
      <c r="V1156" s="158"/>
      <c r="W1156" s="182"/>
      <c r="X1156" s="1"/>
      <c r="Y1156" s="78">
        <f t="shared" si="155"/>
        <v>4150000</v>
      </c>
      <c r="Z1156" s="78">
        <f t="shared" si="156"/>
        <v>25500000</v>
      </c>
      <c r="AA1156" s="78">
        <f t="shared" si="154"/>
        <v>0</v>
      </c>
      <c r="AB1156" s="78">
        <f t="shared" si="157"/>
        <v>1800320</v>
      </c>
      <c r="AC1156" s="78"/>
      <c r="AD1156" s="78">
        <v>0</v>
      </c>
      <c r="AE1156" s="80">
        <f t="shared" si="150"/>
        <v>31450320</v>
      </c>
      <c r="AF1156" s="82">
        <v>0</v>
      </c>
      <c r="AG1156" s="69">
        <v>40444</v>
      </c>
      <c r="AH1156" s="84">
        <v>52364</v>
      </c>
      <c r="AI1156" s="69" t="s">
        <v>2009</v>
      </c>
      <c r="AJ1156" s="25" t="s">
        <v>2010</v>
      </c>
      <c r="AK1156" s="65"/>
      <c r="AL1156" s="185" t="s">
        <v>2182</v>
      </c>
      <c r="AM1156" s="173" t="s">
        <v>1617</v>
      </c>
      <c r="AN1156" s="159"/>
      <c r="AO1156" s="160"/>
      <c r="AP1156" s="161"/>
      <c r="AQ1156" s="160"/>
      <c r="AR1156" s="160"/>
      <c r="AS1156" s="160"/>
      <c r="AT1156" s="160"/>
      <c r="AU1156" s="160"/>
      <c r="AV1156" s="160"/>
      <c r="AW1156" s="160"/>
      <c r="AX1156" s="160"/>
      <c r="AY1156" s="160"/>
      <c r="AZ1156" s="160"/>
      <c r="BA1156" s="160"/>
      <c r="BB1156" s="160"/>
      <c r="BC1156" s="160"/>
      <c r="BD1156" s="160"/>
      <c r="BE1156" s="160"/>
      <c r="BF1156" s="160"/>
      <c r="BG1156" s="160"/>
      <c r="BH1156" s="160"/>
      <c r="BI1156" s="160"/>
      <c r="BJ1156" s="160"/>
      <c r="BK1156" s="160"/>
      <c r="BL1156" s="160"/>
      <c r="BM1156" s="160"/>
      <c r="BN1156" s="160"/>
      <c r="BO1156" s="160"/>
      <c r="BP1156" s="160"/>
      <c r="BQ1156" s="160"/>
      <c r="BR1156" s="160"/>
      <c r="BS1156" s="160"/>
      <c r="BT1156" s="160"/>
      <c r="BU1156" s="160"/>
      <c r="BV1156" s="160"/>
      <c r="BW1156" s="160"/>
      <c r="BX1156" s="160"/>
      <c r="BY1156" s="160"/>
      <c r="BZ1156" s="160">
        <v>5</v>
      </c>
      <c r="CA1156" s="160">
        <f>5*470000</f>
        <v>2350000</v>
      </c>
      <c r="CB1156" s="160"/>
      <c r="CC1156" s="160"/>
      <c r="CD1156" s="160"/>
      <c r="CE1156" s="160"/>
      <c r="CF1156" s="160"/>
      <c r="CG1156" s="160"/>
      <c r="CH1156" s="160"/>
      <c r="CI1156" s="160"/>
      <c r="CJ1156" s="160"/>
      <c r="CK1156" s="160"/>
      <c r="CL1156" s="160"/>
      <c r="CM1156" s="160"/>
      <c r="CN1156" s="160">
        <v>100</v>
      </c>
      <c r="CO1156" s="160">
        <f>100*18000</f>
        <v>1800000</v>
      </c>
      <c r="CP1156" s="162"/>
      <c r="CQ1156" s="163"/>
      <c r="CR1156" s="162"/>
      <c r="CS1156" s="163"/>
      <c r="CT1156" s="162"/>
      <c r="CU1156" s="163"/>
      <c r="CV1156" s="164">
        <f t="shared" si="158"/>
        <v>4150000</v>
      </c>
      <c r="CW1156" s="165">
        <v>2000</v>
      </c>
      <c r="CX1156" s="166">
        <f>2000*900.16</f>
        <v>1800320</v>
      </c>
      <c r="CY1156" s="167">
        <f>100+200</f>
        <v>300</v>
      </c>
      <c r="CZ1156" s="168">
        <f>100*85000+200*85000</f>
        <v>25500000</v>
      </c>
      <c r="DA1156" s="169"/>
      <c r="DB1156" s="168"/>
      <c r="DC1156" s="165"/>
      <c r="DD1156" s="166"/>
      <c r="DE1156" s="71"/>
      <c r="DF1156" s="170"/>
      <c r="EO1156" s="353" t="str">
        <f t="shared" si="151"/>
        <v>MAGDALENA_ALGARROBO</v>
      </c>
      <c r="EP1156" s="350"/>
      <c r="EQ1156" s="350"/>
      <c r="ER1156" s="357"/>
      <c r="ES1156" s="350"/>
      <c r="ET1156" s="350"/>
      <c r="EU1156" s="350"/>
    </row>
    <row r="1157" spans="1:151" s="171" customFormat="1" ht="108" x14ac:dyDescent="0.2">
      <c r="A1157" s="242">
        <v>40440</v>
      </c>
      <c r="B1157" s="222" t="s">
        <v>1836</v>
      </c>
      <c r="C1157" s="222" t="s">
        <v>1610</v>
      </c>
      <c r="D1157" s="430" t="s">
        <v>837</v>
      </c>
      <c r="E1157" s="107" t="str">
        <f>VLOOKUP(B1157&amp;C1157,Divipola!$C$2:$F$1138,4,FALSE)</f>
        <v>47053</v>
      </c>
      <c r="F1157" s="333"/>
      <c r="G1157" s="221"/>
      <c r="H1157" s="157"/>
      <c r="I1157" s="157"/>
      <c r="J1157" s="157">
        <v>12445</v>
      </c>
      <c r="K1157" s="157">
        <v>2489</v>
      </c>
      <c r="L1157" s="157"/>
      <c r="M1157" s="157">
        <v>1981</v>
      </c>
      <c r="N1157" s="157"/>
      <c r="O1157" s="157"/>
      <c r="P1157" s="157"/>
      <c r="Q1157" s="157"/>
      <c r="R1157" s="157"/>
      <c r="S1157" s="157"/>
      <c r="T1157" s="157"/>
      <c r="U1157" s="157"/>
      <c r="V1157" s="158"/>
      <c r="W1157" s="182"/>
      <c r="X1157" s="1"/>
      <c r="Y1157" s="78">
        <f t="shared" si="155"/>
        <v>39439200</v>
      </c>
      <c r="Z1157" s="78">
        <f t="shared" si="156"/>
        <v>338385000</v>
      </c>
      <c r="AA1157" s="78">
        <f t="shared" si="154"/>
        <v>0</v>
      </c>
      <c r="AB1157" s="78">
        <f t="shared" si="157"/>
        <v>4500800</v>
      </c>
      <c r="AC1157" s="78"/>
      <c r="AD1157" s="78">
        <v>0</v>
      </c>
      <c r="AE1157" s="80">
        <f t="shared" si="150"/>
        <v>382325000</v>
      </c>
      <c r="AF1157" s="82">
        <v>0</v>
      </c>
      <c r="AG1157" s="69">
        <v>40441</v>
      </c>
      <c r="AH1157" s="84">
        <v>52364</v>
      </c>
      <c r="AI1157" s="69" t="s">
        <v>2009</v>
      </c>
      <c r="AJ1157" s="25" t="s">
        <v>2010</v>
      </c>
      <c r="AK1157" s="65">
        <v>26471</v>
      </c>
      <c r="AL1157" s="185" t="s">
        <v>2182</v>
      </c>
      <c r="AM1157" s="173" t="s">
        <v>1074</v>
      </c>
      <c r="AN1157" s="159"/>
      <c r="AO1157" s="160"/>
      <c r="AP1157" s="161"/>
      <c r="AQ1157" s="160"/>
      <c r="AR1157" s="160"/>
      <c r="AS1157" s="160"/>
      <c r="AT1157" s="160"/>
      <c r="AU1157" s="160"/>
      <c r="AV1157" s="160"/>
      <c r="AW1157" s="160"/>
      <c r="AX1157" s="160"/>
      <c r="AY1157" s="160"/>
      <c r="AZ1157" s="160"/>
      <c r="BA1157" s="160"/>
      <c r="BB1157" s="160"/>
      <c r="BC1157" s="160"/>
      <c r="BD1157" s="160"/>
      <c r="BE1157" s="160"/>
      <c r="BF1157" s="160"/>
      <c r="BG1157" s="160"/>
      <c r="BH1157" s="160"/>
      <c r="BI1157" s="160"/>
      <c r="BJ1157" s="160"/>
      <c r="BK1157" s="160"/>
      <c r="BL1157" s="160"/>
      <c r="BM1157" s="160"/>
      <c r="BN1157" s="160"/>
      <c r="BO1157" s="160"/>
      <c r="BP1157" s="160"/>
      <c r="BQ1157" s="160"/>
      <c r="BR1157" s="160"/>
      <c r="BS1157" s="160"/>
      <c r="BT1157" s="160"/>
      <c r="BU1157" s="160"/>
      <c r="BV1157" s="160"/>
      <c r="BW1157" s="160"/>
      <c r="BX1157" s="160"/>
      <c r="BY1157" s="160"/>
      <c r="BZ1157" s="160">
        <f>3+5</f>
        <v>8</v>
      </c>
      <c r="CA1157" s="160">
        <f>3*510400+5*450000</f>
        <v>3781200</v>
      </c>
      <c r="CB1157" s="160"/>
      <c r="CC1157" s="160"/>
      <c r="CD1157" s="160"/>
      <c r="CE1157" s="160"/>
      <c r="CF1157" s="160"/>
      <c r="CG1157" s="160"/>
      <c r="CH1157" s="160"/>
      <c r="CI1157" s="160"/>
      <c r="CJ1157" s="160"/>
      <c r="CK1157" s="160"/>
      <c r="CL1157" s="160"/>
      <c r="CM1157" s="160"/>
      <c r="CN1157" s="160">
        <v>1981</v>
      </c>
      <c r="CO1157" s="160">
        <f>1981*18000</f>
        <v>35658000</v>
      </c>
      <c r="CP1157" s="162"/>
      <c r="CQ1157" s="163"/>
      <c r="CR1157" s="162"/>
      <c r="CS1157" s="163"/>
      <c r="CT1157" s="162"/>
      <c r="CU1157" s="163"/>
      <c r="CV1157" s="164">
        <f t="shared" si="158"/>
        <v>39439200</v>
      </c>
      <c r="CW1157" s="165">
        <v>5000</v>
      </c>
      <c r="CX1157" s="166">
        <f>5000*900.16</f>
        <v>4500800</v>
      </c>
      <c r="CY1157" s="167">
        <f>1981+1000+1000</f>
        <v>3981</v>
      </c>
      <c r="CZ1157" s="168">
        <f>1981*85000+1000*85000+1000*85000</f>
        <v>338385000</v>
      </c>
      <c r="DA1157" s="169"/>
      <c r="DB1157" s="168"/>
      <c r="DC1157" s="165"/>
      <c r="DD1157" s="166"/>
      <c r="DE1157" s="71"/>
      <c r="DF1157" s="170"/>
      <c r="EO1157" s="353" t="str">
        <f t="shared" si="151"/>
        <v>MAGDALENA_ARACATACA</v>
      </c>
      <c r="EP1157" s="350"/>
      <c r="EQ1157" s="350"/>
      <c r="ER1157" s="357"/>
      <c r="ES1157" s="350"/>
      <c r="ET1157" s="350"/>
      <c r="EU1157" s="350"/>
    </row>
    <row r="1158" spans="1:151" s="171" customFormat="1" ht="38.25" x14ac:dyDescent="0.2">
      <c r="A1158" s="242">
        <v>40440</v>
      </c>
      <c r="B1158" s="222" t="s">
        <v>1336</v>
      </c>
      <c r="C1158" s="222" t="s">
        <v>1618</v>
      </c>
      <c r="D1158" s="430" t="s">
        <v>837</v>
      </c>
      <c r="E1158" s="107" t="str">
        <f>VLOOKUP(B1158&amp;C1158,Divipola!$C$2:$F$1138,4,FALSE)</f>
        <v>54810</v>
      </c>
      <c r="F1158" s="333"/>
      <c r="G1158" s="221"/>
      <c r="H1158" s="157"/>
      <c r="I1158" s="157"/>
      <c r="J1158" s="157">
        <v>1250</v>
      </c>
      <c r="K1158" s="157">
        <v>250</v>
      </c>
      <c r="L1158" s="157"/>
      <c r="M1158" s="157"/>
      <c r="N1158" s="157"/>
      <c r="O1158" s="157"/>
      <c r="P1158" s="157"/>
      <c r="Q1158" s="157"/>
      <c r="R1158" s="157"/>
      <c r="S1158" s="157"/>
      <c r="T1158" s="157"/>
      <c r="U1158" s="157"/>
      <c r="V1158" s="158"/>
      <c r="W1158" s="182"/>
      <c r="X1158" s="1"/>
      <c r="Y1158" s="78">
        <f t="shared" si="155"/>
        <v>0</v>
      </c>
      <c r="Z1158" s="78">
        <f t="shared" si="156"/>
        <v>0</v>
      </c>
      <c r="AA1158" s="78">
        <f t="shared" si="154"/>
        <v>0</v>
      </c>
      <c r="AB1158" s="78">
        <f t="shared" si="157"/>
        <v>0</v>
      </c>
      <c r="AC1158" s="78"/>
      <c r="AD1158" s="78">
        <v>0</v>
      </c>
      <c r="AE1158" s="80">
        <f t="shared" si="150"/>
        <v>0</v>
      </c>
      <c r="AF1158" s="82">
        <v>0</v>
      </c>
      <c r="AG1158" s="69">
        <v>40444</v>
      </c>
      <c r="AH1158" s="84"/>
      <c r="AI1158" s="69" t="s">
        <v>1984</v>
      </c>
      <c r="AJ1158" s="25" t="s">
        <v>1985</v>
      </c>
      <c r="AK1158" s="65"/>
      <c r="AL1158" s="176" t="s">
        <v>1257</v>
      </c>
      <c r="AM1158" s="173" t="s">
        <v>1619</v>
      </c>
      <c r="AN1158" s="159"/>
      <c r="AO1158" s="160"/>
      <c r="AP1158" s="161"/>
      <c r="AQ1158" s="160"/>
      <c r="AR1158" s="160"/>
      <c r="AS1158" s="160"/>
      <c r="AT1158" s="160"/>
      <c r="AU1158" s="160"/>
      <c r="AV1158" s="160"/>
      <c r="AW1158" s="160"/>
      <c r="AX1158" s="160"/>
      <c r="AY1158" s="160"/>
      <c r="AZ1158" s="160"/>
      <c r="BA1158" s="160"/>
      <c r="BB1158" s="160"/>
      <c r="BC1158" s="160"/>
      <c r="BD1158" s="160"/>
      <c r="BE1158" s="160"/>
      <c r="BF1158" s="160"/>
      <c r="BG1158" s="160"/>
      <c r="BH1158" s="160"/>
      <c r="BI1158" s="160"/>
      <c r="BJ1158" s="160"/>
      <c r="BK1158" s="160"/>
      <c r="BL1158" s="160"/>
      <c r="BM1158" s="160"/>
      <c r="BN1158" s="160"/>
      <c r="BO1158" s="160"/>
      <c r="BP1158" s="160"/>
      <c r="BQ1158" s="160"/>
      <c r="BR1158" s="160"/>
      <c r="BS1158" s="160"/>
      <c r="BT1158" s="160"/>
      <c r="BU1158" s="160"/>
      <c r="BV1158" s="160"/>
      <c r="BW1158" s="160"/>
      <c r="BX1158" s="160"/>
      <c r="BY1158" s="160"/>
      <c r="BZ1158" s="160"/>
      <c r="CA1158" s="160"/>
      <c r="CB1158" s="160"/>
      <c r="CC1158" s="160"/>
      <c r="CD1158" s="160"/>
      <c r="CE1158" s="160"/>
      <c r="CF1158" s="160"/>
      <c r="CG1158" s="160"/>
      <c r="CH1158" s="160"/>
      <c r="CI1158" s="160"/>
      <c r="CJ1158" s="160"/>
      <c r="CK1158" s="160"/>
      <c r="CL1158" s="160"/>
      <c r="CM1158" s="160"/>
      <c r="CN1158" s="160"/>
      <c r="CO1158" s="160"/>
      <c r="CP1158" s="162"/>
      <c r="CQ1158" s="163"/>
      <c r="CR1158" s="162"/>
      <c r="CS1158" s="163"/>
      <c r="CT1158" s="162"/>
      <c r="CU1158" s="163"/>
      <c r="CV1158" s="164">
        <f t="shared" si="158"/>
        <v>0</v>
      </c>
      <c r="CW1158" s="165"/>
      <c r="CX1158" s="166"/>
      <c r="CY1158" s="167"/>
      <c r="CZ1158" s="168"/>
      <c r="DA1158" s="169"/>
      <c r="DB1158" s="168"/>
      <c r="DC1158" s="165"/>
      <c r="DD1158" s="166"/>
      <c r="DE1158" s="71"/>
      <c r="DF1158" s="170"/>
      <c r="EO1158" s="353" t="str">
        <f t="shared" si="151"/>
        <v>NORTE DE SANTANDER_TIBU</v>
      </c>
      <c r="EP1158" s="350"/>
      <c r="EQ1158" s="350"/>
      <c r="ER1158" s="357"/>
      <c r="ES1158" s="350"/>
      <c r="ET1158" s="350"/>
      <c r="EU1158" s="350"/>
    </row>
    <row r="1159" spans="1:151" s="171" customFormat="1" ht="25.5" x14ac:dyDescent="0.2">
      <c r="A1159" s="242">
        <v>40440</v>
      </c>
      <c r="B1159" s="107" t="s">
        <v>2012</v>
      </c>
      <c r="C1159" s="222" t="s">
        <v>2433</v>
      </c>
      <c r="D1159" s="430" t="s">
        <v>1721</v>
      </c>
      <c r="E1159" s="107" t="str">
        <f>VLOOKUP(B1159&amp;C1159,Divipola!$C$2:$F$1138,4,FALSE)</f>
        <v>66001</v>
      </c>
      <c r="F1159" s="333"/>
      <c r="G1159" s="221"/>
      <c r="H1159" s="157"/>
      <c r="I1159" s="157"/>
      <c r="J1159" s="157">
        <v>12</v>
      </c>
      <c r="K1159" s="157">
        <v>2</v>
      </c>
      <c r="L1159" s="157">
        <v>1</v>
      </c>
      <c r="M1159" s="157"/>
      <c r="N1159" s="157"/>
      <c r="O1159" s="157"/>
      <c r="P1159" s="157"/>
      <c r="Q1159" s="157"/>
      <c r="R1159" s="157"/>
      <c r="S1159" s="157"/>
      <c r="T1159" s="157"/>
      <c r="U1159" s="157"/>
      <c r="V1159" s="158"/>
      <c r="W1159" s="182"/>
      <c r="X1159" s="1"/>
      <c r="Y1159" s="78">
        <f t="shared" si="155"/>
        <v>0</v>
      </c>
      <c r="Z1159" s="78">
        <f t="shared" si="156"/>
        <v>0</v>
      </c>
      <c r="AA1159" s="78">
        <f t="shared" si="154"/>
        <v>0</v>
      </c>
      <c r="AB1159" s="78">
        <f t="shared" si="157"/>
        <v>0</v>
      </c>
      <c r="AC1159" s="78"/>
      <c r="AD1159" s="78">
        <v>0</v>
      </c>
      <c r="AE1159" s="80">
        <f t="shared" si="150"/>
        <v>0</v>
      </c>
      <c r="AF1159" s="82">
        <v>0</v>
      </c>
      <c r="AG1159" s="69">
        <v>40444</v>
      </c>
      <c r="AH1159" s="84"/>
      <c r="AI1159" s="69" t="s">
        <v>1984</v>
      </c>
      <c r="AJ1159" s="25" t="s">
        <v>1985</v>
      </c>
      <c r="AK1159" s="65"/>
      <c r="AL1159" s="176" t="s">
        <v>1257</v>
      </c>
      <c r="AM1159" s="173" t="s">
        <v>1615</v>
      </c>
      <c r="AN1159" s="159"/>
      <c r="AO1159" s="160"/>
      <c r="AP1159" s="161"/>
      <c r="AQ1159" s="160"/>
      <c r="AR1159" s="160"/>
      <c r="AS1159" s="160"/>
      <c r="AT1159" s="160"/>
      <c r="AU1159" s="160"/>
      <c r="AV1159" s="160"/>
      <c r="AW1159" s="160"/>
      <c r="AX1159" s="160"/>
      <c r="AY1159" s="160"/>
      <c r="AZ1159" s="160"/>
      <c r="BA1159" s="160"/>
      <c r="BB1159" s="160"/>
      <c r="BC1159" s="160"/>
      <c r="BD1159" s="160"/>
      <c r="BE1159" s="160"/>
      <c r="BF1159" s="160"/>
      <c r="BG1159" s="160"/>
      <c r="BH1159" s="160"/>
      <c r="BI1159" s="160"/>
      <c r="BJ1159" s="160"/>
      <c r="BK1159" s="160"/>
      <c r="BL1159" s="160"/>
      <c r="BM1159" s="160"/>
      <c r="BN1159" s="160"/>
      <c r="BO1159" s="160"/>
      <c r="BP1159" s="160"/>
      <c r="BQ1159" s="160"/>
      <c r="BR1159" s="160"/>
      <c r="BS1159" s="160"/>
      <c r="BT1159" s="160"/>
      <c r="BU1159" s="160"/>
      <c r="BV1159" s="160"/>
      <c r="BW1159" s="160"/>
      <c r="BX1159" s="160"/>
      <c r="BY1159" s="160"/>
      <c r="BZ1159" s="160"/>
      <c r="CA1159" s="160"/>
      <c r="CB1159" s="160"/>
      <c r="CC1159" s="160"/>
      <c r="CD1159" s="160"/>
      <c r="CE1159" s="160"/>
      <c r="CF1159" s="160"/>
      <c r="CG1159" s="160"/>
      <c r="CH1159" s="160"/>
      <c r="CI1159" s="160"/>
      <c r="CJ1159" s="160"/>
      <c r="CK1159" s="160"/>
      <c r="CL1159" s="160"/>
      <c r="CM1159" s="160"/>
      <c r="CN1159" s="160"/>
      <c r="CO1159" s="160"/>
      <c r="CP1159" s="162"/>
      <c r="CQ1159" s="163"/>
      <c r="CR1159" s="162"/>
      <c r="CS1159" s="163"/>
      <c r="CT1159" s="162"/>
      <c r="CU1159" s="163"/>
      <c r="CV1159" s="164">
        <f t="shared" si="158"/>
        <v>0</v>
      </c>
      <c r="CW1159" s="165"/>
      <c r="CX1159" s="166"/>
      <c r="CY1159" s="167"/>
      <c r="CZ1159" s="168"/>
      <c r="DA1159" s="169"/>
      <c r="DB1159" s="168"/>
      <c r="DC1159" s="165"/>
      <c r="DD1159" s="166"/>
      <c r="DE1159" s="71"/>
      <c r="DF1159" s="170">
        <v>1293</v>
      </c>
      <c r="EO1159" s="353" t="str">
        <f t="shared" si="151"/>
        <v>RISARALDA_PEREIRA</v>
      </c>
      <c r="EP1159" s="350"/>
      <c r="EQ1159" s="350"/>
      <c r="ER1159" s="357"/>
      <c r="ES1159" s="350"/>
      <c r="ET1159" s="350"/>
      <c r="EU1159" s="350"/>
    </row>
    <row r="1160" spans="1:151" s="171" customFormat="1" ht="84" x14ac:dyDescent="0.2">
      <c r="A1160" s="242">
        <v>40441</v>
      </c>
      <c r="B1160" s="222" t="s">
        <v>1951</v>
      </c>
      <c r="C1160" s="222" t="s">
        <v>2565</v>
      </c>
      <c r="D1160" s="430" t="s">
        <v>837</v>
      </c>
      <c r="E1160" s="107" t="str">
        <f>VLOOKUP(B1160&amp;C1160,Divipola!$C$2:$F$1138,4,FALSE)</f>
        <v>08685</v>
      </c>
      <c r="F1160" s="333"/>
      <c r="G1160" s="221"/>
      <c r="H1160" s="157"/>
      <c r="I1160" s="157"/>
      <c r="J1160" s="157">
        <v>825</v>
      </c>
      <c r="K1160" s="157">
        <v>236</v>
      </c>
      <c r="L1160" s="157"/>
      <c r="M1160" s="157"/>
      <c r="N1160" s="157"/>
      <c r="O1160" s="157"/>
      <c r="P1160" s="157"/>
      <c r="Q1160" s="157"/>
      <c r="R1160" s="157"/>
      <c r="S1160" s="157"/>
      <c r="T1160" s="157"/>
      <c r="U1160" s="157"/>
      <c r="V1160" s="158"/>
      <c r="W1160" s="182"/>
      <c r="X1160" s="1">
        <v>40451</v>
      </c>
      <c r="Y1160" s="78">
        <f t="shared" si="155"/>
        <v>0</v>
      </c>
      <c r="Z1160" s="78">
        <f t="shared" si="156"/>
        <v>0</v>
      </c>
      <c r="AA1160" s="78">
        <f t="shared" si="154"/>
        <v>0</v>
      </c>
      <c r="AB1160" s="78">
        <f t="shared" si="157"/>
        <v>0</v>
      </c>
      <c r="AC1160" s="78"/>
      <c r="AD1160" s="78">
        <v>40180744</v>
      </c>
      <c r="AE1160" s="80">
        <f t="shared" si="150"/>
        <v>40180744</v>
      </c>
      <c r="AF1160" s="82">
        <v>0</v>
      </c>
      <c r="AG1160" s="69">
        <v>40442</v>
      </c>
      <c r="AH1160" s="84">
        <v>50127</v>
      </c>
      <c r="AI1160" s="69" t="s">
        <v>2009</v>
      </c>
      <c r="AJ1160" s="25" t="s">
        <v>2010</v>
      </c>
      <c r="AK1160" s="65">
        <v>35261</v>
      </c>
      <c r="AL1160" s="186" t="s">
        <v>1831</v>
      </c>
      <c r="AM1160" s="173" t="s">
        <v>2566</v>
      </c>
      <c r="AN1160" s="159"/>
      <c r="AO1160" s="160"/>
      <c r="AP1160" s="161"/>
      <c r="AQ1160" s="160"/>
      <c r="AR1160" s="160"/>
      <c r="AS1160" s="160"/>
      <c r="AT1160" s="160"/>
      <c r="AU1160" s="160"/>
      <c r="AV1160" s="160"/>
      <c r="AW1160" s="160"/>
      <c r="AX1160" s="160"/>
      <c r="AY1160" s="160"/>
      <c r="AZ1160" s="160"/>
      <c r="BA1160" s="160"/>
      <c r="BB1160" s="160"/>
      <c r="BC1160" s="160"/>
      <c r="BD1160" s="160"/>
      <c r="BE1160" s="160"/>
      <c r="BF1160" s="160"/>
      <c r="BG1160" s="160"/>
      <c r="BH1160" s="160"/>
      <c r="BI1160" s="160"/>
      <c r="BJ1160" s="160"/>
      <c r="BK1160" s="160"/>
      <c r="BL1160" s="160"/>
      <c r="BM1160" s="160"/>
      <c r="BN1160" s="160"/>
      <c r="BO1160" s="160"/>
      <c r="BP1160" s="160"/>
      <c r="BQ1160" s="160"/>
      <c r="BR1160" s="160"/>
      <c r="BS1160" s="160"/>
      <c r="BT1160" s="160"/>
      <c r="BU1160" s="160"/>
      <c r="BV1160" s="160"/>
      <c r="BW1160" s="160"/>
      <c r="BX1160" s="160"/>
      <c r="BY1160" s="160"/>
      <c r="BZ1160" s="160"/>
      <c r="CA1160" s="160"/>
      <c r="CB1160" s="160"/>
      <c r="CC1160" s="160"/>
      <c r="CD1160" s="160"/>
      <c r="CE1160" s="160"/>
      <c r="CF1160" s="160"/>
      <c r="CG1160" s="160"/>
      <c r="CH1160" s="160"/>
      <c r="CI1160" s="160"/>
      <c r="CJ1160" s="160"/>
      <c r="CK1160" s="160"/>
      <c r="CL1160" s="160"/>
      <c r="CM1160" s="160"/>
      <c r="CN1160" s="160"/>
      <c r="CO1160" s="160"/>
      <c r="CP1160" s="162"/>
      <c r="CQ1160" s="163"/>
      <c r="CR1160" s="162"/>
      <c r="CS1160" s="163"/>
      <c r="CT1160" s="162"/>
      <c r="CU1160" s="163"/>
      <c r="CV1160" s="164">
        <f t="shared" si="158"/>
        <v>0</v>
      </c>
      <c r="CW1160" s="165"/>
      <c r="CX1160" s="166"/>
      <c r="CY1160" s="167"/>
      <c r="CZ1160" s="168"/>
      <c r="DA1160" s="169"/>
      <c r="DB1160" s="168"/>
      <c r="DC1160" s="165"/>
      <c r="DD1160" s="166"/>
      <c r="DE1160" s="71">
        <v>2</v>
      </c>
      <c r="DF1160" s="170"/>
      <c r="EO1160" s="353" t="str">
        <f t="shared" si="151"/>
        <v>ATLANTICO_SANTO TOMAS</v>
      </c>
      <c r="EP1160" s="350"/>
      <c r="EQ1160" s="350"/>
      <c r="ER1160" s="357"/>
      <c r="ES1160" s="350"/>
      <c r="ET1160" s="350"/>
      <c r="EU1160" s="350"/>
    </row>
    <row r="1161" spans="1:151" s="171" customFormat="1" ht="38.25" x14ac:dyDescent="0.2">
      <c r="A1161" s="242">
        <v>40441</v>
      </c>
      <c r="B1161" s="107" t="s">
        <v>1700</v>
      </c>
      <c r="C1161" s="222" t="s">
        <v>2008</v>
      </c>
      <c r="D1161" s="430" t="s">
        <v>837</v>
      </c>
      <c r="E1161" s="107">
        <f>VLOOKUP(B1161&amp;C1161,Divipola!$C$2:$F$1138,4,FALSE)</f>
        <v>23</v>
      </c>
      <c r="F1161" s="333"/>
      <c r="G1161" s="221"/>
      <c r="H1161" s="157"/>
      <c r="I1161" s="157"/>
      <c r="J1161" s="157"/>
      <c r="K1161" s="157"/>
      <c r="L1161" s="157"/>
      <c r="M1161" s="157"/>
      <c r="N1161" s="157"/>
      <c r="O1161" s="157"/>
      <c r="P1161" s="157"/>
      <c r="Q1161" s="157"/>
      <c r="R1161" s="157"/>
      <c r="S1161" s="157"/>
      <c r="T1161" s="157"/>
      <c r="U1161" s="157"/>
      <c r="V1161" s="158"/>
      <c r="W1161" s="182"/>
      <c r="X1161" s="1">
        <v>40466</v>
      </c>
      <c r="Y1161" s="78">
        <f t="shared" si="155"/>
        <v>47000000</v>
      </c>
      <c r="Z1161" s="78">
        <f t="shared" si="156"/>
        <v>0</v>
      </c>
      <c r="AA1161" s="78">
        <f t="shared" si="154"/>
        <v>0</v>
      </c>
      <c r="AB1161" s="78">
        <f t="shared" si="157"/>
        <v>624130000</v>
      </c>
      <c r="AC1161" s="78"/>
      <c r="AD1161" s="78">
        <v>0</v>
      </c>
      <c r="AE1161" s="80">
        <f t="shared" ref="AE1161:AE1224" si="159">Y1161+Z1161+AA1161+AB1161+AC1161+AD1161</f>
        <v>671130000</v>
      </c>
      <c r="AF1161" s="82">
        <v>0</v>
      </c>
      <c r="AG1161" s="69">
        <v>40441</v>
      </c>
      <c r="AH1161" s="84">
        <v>38575</v>
      </c>
      <c r="AI1161" s="69" t="s">
        <v>2009</v>
      </c>
      <c r="AJ1161" s="25" t="s">
        <v>2010</v>
      </c>
      <c r="AK1161" s="88" t="s">
        <v>1137</v>
      </c>
      <c r="AL1161" s="176" t="s">
        <v>1431</v>
      </c>
      <c r="AM1161" s="173" t="s">
        <v>1677</v>
      </c>
      <c r="AN1161" s="159"/>
      <c r="AO1161" s="160"/>
      <c r="AP1161" s="161"/>
      <c r="AQ1161" s="160"/>
      <c r="AR1161" s="160"/>
      <c r="AS1161" s="160"/>
      <c r="AT1161" s="160"/>
      <c r="AU1161" s="160"/>
      <c r="AV1161" s="160"/>
      <c r="AW1161" s="160"/>
      <c r="AX1161" s="160"/>
      <c r="AY1161" s="160"/>
      <c r="AZ1161" s="160"/>
      <c r="BA1161" s="160"/>
      <c r="BB1161" s="160"/>
      <c r="BC1161" s="160"/>
      <c r="BD1161" s="160"/>
      <c r="BE1161" s="160"/>
      <c r="BF1161" s="160"/>
      <c r="BG1161" s="160"/>
      <c r="BH1161" s="160"/>
      <c r="BI1161" s="160"/>
      <c r="BJ1161" s="160"/>
      <c r="BK1161" s="160"/>
      <c r="BL1161" s="160"/>
      <c r="BM1161" s="160"/>
      <c r="BN1161" s="160"/>
      <c r="BO1161" s="160"/>
      <c r="BP1161" s="160"/>
      <c r="BQ1161" s="160"/>
      <c r="BR1161" s="160"/>
      <c r="BS1161" s="160"/>
      <c r="BT1161" s="160"/>
      <c r="BU1161" s="160"/>
      <c r="BV1161" s="160"/>
      <c r="BW1161" s="160"/>
      <c r="BX1161" s="160"/>
      <c r="BY1161" s="160"/>
      <c r="BZ1161" s="160">
        <v>100</v>
      </c>
      <c r="CA1161" s="160">
        <f>100*470000</f>
        <v>47000000</v>
      </c>
      <c r="CB1161" s="160"/>
      <c r="CC1161" s="160"/>
      <c r="CD1161" s="160"/>
      <c r="CE1161" s="160"/>
      <c r="CF1161" s="160"/>
      <c r="CG1161" s="160"/>
      <c r="CH1161" s="160"/>
      <c r="CI1161" s="160"/>
      <c r="CJ1161" s="160"/>
      <c r="CK1161" s="160"/>
      <c r="CL1161" s="160"/>
      <c r="CM1161" s="160"/>
      <c r="CN1161" s="160"/>
      <c r="CO1161" s="160"/>
      <c r="CP1161" s="162"/>
      <c r="CQ1161" s="163"/>
      <c r="CR1161" s="162"/>
      <c r="CS1161" s="163"/>
      <c r="CT1161" s="162"/>
      <c r="CU1161" s="163"/>
      <c r="CV1161" s="164">
        <f t="shared" si="158"/>
        <v>47000000</v>
      </c>
      <c r="CW1161" s="165">
        <f>50000+210000+200000+200000</f>
        <v>660000</v>
      </c>
      <c r="CX1161" s="166">
        <f>50000*899+210000*986+200000*910.6+200000*950</f>
        <v>624130000</v>
      </c>
      <c r="CY1161" s="167"/>
      <c r="CZ1161" s="168"/>
      <c r="DA1161" s="169"/>
      <c r="DB1161" s="168"/>
      <c r="DC1161" s="165"/>
      <c r="DD1161" s="166"/>
      <c r="DE1161" s="71"/>
      <c r="DF1161" s="170"/>
      <c r="EO1161" s="353" t="str">
        <f t="shared" si="151"/>
        <v>CORDOBA_DEPARTAMENTO</v>
      </c>
      <c r="EP1161" s="350"/>
      <c r="EQ1161" s="350"/>
      <c r="ER1161" s="357"/>
      <c r="ES1161" s="350"/>
      <c r="ET1161" s="350"/>
      <c r="EU1161" s="350"/>
    </row>
    <row r="1162" spans="1:151" s="171" customFormat="1" ht="78.75" x14ac:dyDescent="0.2">
      <c r="A1162" s="242">
        <v>40441</v>
      </c>
      <c r="B1162" s="107" t="s">
        <v>1700</v>
      </c>
      <c r="C1162" s="222" t="s">
        <v>2690</v>
      </c>
      <c r="D1162" s="430" t="s">
        <v>837</v>
      </c>
      <c r="E1162" s="107" t="str">
        <f>VLOOKUP(B1162&amp;C1162,Divipola!$C$2:$F$1138,4,FALSE)</f>
        <v>23417</v>
      </c>
      <c r="F1162" s="333"/>
      <c r="G1162" s="221"/>
      <c r="H1162" s="157"/>
      <c r="I1162" s="157"/>
      <c r="J1162" s="157"/>
      <c r="K1162" s="157"/>
      <c r="L1162" s="157"/>
      <c r="M1162" s="157"/>
      <c r="N1162" s="157"/>
      <c r="O1162" s="157"/>
      <c r="P1162" s="157"/>
      <c r="Q1162" s="157"/>
      <c r="R1162" s="157"/>
      <c r="S1162" s="157"/>
      <c r="T1162" s="157"/>
      <c r="U1162" s="157"/>
      <c r="V1162" s="158"/>
      <c r="W1162" s="182"/>
      <c r="X1162" s="1">
        <v>40459</v>
      </c>
      <c r="Y1162" s="78">
        <f t="shared" si="155"/>
        <v>11527996.800000001</v>
      </c>
      <c r="Z1162" s="78">
        <f t="shared" si="156"/>
        <v>877625000</v>
      </c>
      <c r="AA1162" s="78">
        <f t="shared" si="154"/>
        <v>0</v>
      </c>
      <c r="AB1162" s="78">
        <f t="shared" si="157"/>
        <v>0</v>
      </c>
      <c r="AC1162" s="78">
        <f>2*4408000</f>
        <v>8816000</v>
      </c>
      <c r="AD1162" s="78">
        <v>0</v>
      </c>
      <c r="AE1162" s="80">
        <f t="shared" si="159"/>
        <v>897968996.79999995</v>
      </c>
      <c r="AF1162" s="82">
        <v>0</v>
      </c>
      <c r="AG1162" s="69">
        <v>40441</v>
      </c>
      <c r="AH1162" s="84">
        <v>41794</v>
      </c>
      <c r="AI1162" s="69" t="s">
        <v>2009</v>
      </c>
      <c r="AJ1162" s="25" t="s">
        <v>2010</v>
      </c>
      <c r="AK1162" s="88" t="s">
        <v>1503</v>
      </c>
      <c r="AL1162" s="185" t="s">
        <v>2182</v>
      </c>
      <c r="AM1162" s="173" t="s">
        <v>1504</v>
      </c>
      <c r="AN1162" s="159"/>
      <c r="AO1162" s="160"/>
      <c r="AP1162" s="161"/>
      <c r="AQ1162" s="160"/>
      <c r="AR1162" s="160"/>
      <c r="AS1162" s="160"/>
      <c r="AT1162" s="160"/>
      <c r="AU1162" s="160"/>
      <c r="AV1162" s="160"/>
      <c r="AW1162" s="160"/>
      <c r="AX1162" s="160"/>
      <c r="AY1162" s="160"/>
      <c r="AZ1162" s="160"/>
      <c r="BA1162" s="160"/>
      <c r="BB1162" s="160"/>
      <c r="BC1162" s="160"/>
      <c r="BD1162" s="160"/>
      <c r="BE1162" s="160"/>
      <c r="BF1162" s="160"/>
      <c r="BG1162" s="160"/>
      <c r="BH1162" s="160"/>
      <c r="BI1162" s="160"/>
      <c r="BJ1162" s="160"/>
      <c r="BK1162" s="160"/>
      <c r="BL1162" s="160"/>
      <c r="BM1162" s="160"/>
      <c r="BN1162" s="160"/>
      <c r="BO1162" s="160"/>
      <c r="BP1162" s="160"/>
      <c r="BQ1162" s="160"/>
      <c r="BR1162" s="160"/>
      <c r="BS1162" s="160"/>
      <c r="BT1162" s="160"/>
      <c r="BU1162" s="160"/>
      <c r="BV1162" s="160"/>
      <c r="BW1162" s="160"/>
      <c r="BX1162" s="160"/>
      <c r="BY1162" s="160"/>
      <c r="BZ1162" s="160">
        <f>10+10+3</f>
        <v>23</v>
      </c>
      <c r="CA1162" s="160">
        <f>10*504600+10*496999.68+3*504000</f>
        <v>11527996.800000001</v>
      </c>
      <c r="CB1162" s="160"/>
      <c r="CC1162" s="160"/>
      <c r="CD1162" s="160"/>
      <c r="CE1162" s="160"/>
      <c r="CF1162" s="160"/>
      <c r="CG1162" s="160"/>
      <c r="CH1162" s="160"/>
      <c r="CI1162" s="160"/>
      <c r="CJ1162" s="160"/>
      <c r="CK1162" s="160"/>
      <c r="CL1162" s="160"/>
      <c r="CM1162" s="160"/>
      <c r="CN1162" s="160"/>
      <c r="CO1162" s="160"/>
      <c r="CP1162" s="162"/>
      <c r="CQ1162" s="163"/>
      <c r="CR1162" s="162"/>
      <c r="CS1162" s="163"/>
      <c r="CT1162" s="162"/>
      <c r="CU1162" s="163"/>
      <c r="CV1162" s="164">
        <f t="shared" si="158"/>
        <v>11527996.800000001</v>
      </c>
      <c r="CW1162" s="165"/>
      <c r="CX1162" s="166"/>
      <c r="CY1162" s="167">
        <v>1062</v>
      </c>
      <c r="CZ1162" s="168">
        <f>1000*85000+6325*85000+2000*85000+1000*85000</f>
        <v>877625000</v>
      </c>
      <c r="DA1162" s="169"/>
      <c r="DB1162" s="168"/>
      <c r="DC1162" s="165"/>
      <c r="DD1162" s="166"/>
      <c r="DE1162" s="71"/>
      <c r="DF1162" s="170"/>
      <c r="EO1162" s="353" t="str">
        <f t="shared" si="151"/>
        <v>CORDOBA_LORICA</v>
      </c>
      <c r="EP1162" s="350"/>
      <c r="EQ1162" s="350"/>
      <c r="ER1162" s="357"/>
      <c r="ES1162" s="350"/>
      <c r="ET1162" s="350"/>
      <c r="EU1162" s="350"/>
    </row>
    <row r="1163" spans="1:151" s="171" customFormat="1" ht="25.5" x14ac:dyDescent="0.2">
      <c r="A1163" s="242">
        <v>40441</v>
      </c>
      <c r="B1163" s="222" t="s">
        <v>2791</v>
      </c>
      <c r="C1163" s="222" t="s">
        <v>1099</v>
      </c>
      <c r="D1163" s="427" t="s">
        <v>2307</v>
      </c>
      <c r="E1163" s="107" t="str">
        <f>VLOOKUP(B1163&amp;C1163,Divipola!$C$2:$F$1138,4,FALSE)</f>
        <v>73283</v>
      </c>
      <c r="F1163" s="330"/>
      <c r="G1163" s="221"/>
      <c r="H1163" s="157"/>
      <c r="I1163" s="157"/>
      <c r="J1163" s="157">
        <v>2</v>
      </c>
      <c r="K1163" s="157">
        <v>1</v>
      </c>
      <c r="L1163" s="157"/>
      <c r="M1163" s="157"/>
      <c r="N1163" s="157"/>
      <c r="O1163" s="157"/>
      <c r="P1163" s="157"/>
      <c r="Q1163" s="157"/>
      <c r="R1163" s="157"/>
      <c r="S1163" s="157"/>
      <c r="T1163" s="157"/>
      <c r="U1163" s="157"/>
      <c r="V1163" s="158"/>
      <c r="W1163" s="182"/>
      <c r="X1163" s="1"/>
      <c r="Y1163" s="78">
        <f t="shared" si="155"/>
        <v>0</v>
      </c>
      <c r="Z1163" s="78">
        <f t="shared" si="156"/>
        <v>0</v>
      </c>
      <c r="AA1163" s="78">
        <f t="shared" si="154"/>
        <v>0</v>
      </c>
      <c r="AB1163" s="78">
        <f t="shared" si="157"/>
        <v>0</v>
      </c>
      <c r="AC1163" s="78"/>
      <c r="AD1163" s="78">
        <v>0</v>
      </c>
      <c r="AE1163" s="80">
        <f t="shared" si="159"/>
        <v>0</v>
      </c>
      <c r="AF1163" s="82">
        <v>0</v>
      </c>
      <c r="AG1163" s="69">
        <v>40444</v>
      </c>
      <c r="AH1163" s="84"/>
      <c r="AI1163" s="69" t="s">
        <v>1984</v>
      </c>
      <c r="AJ1163" s="25" t="s">
        <v>1985</v>
      </c>
      <c r="AK1163" s="65"/>
      <c r="AL1163" s="176" t="s">
        <v>1257</v>
      </c>
      <c r="AM1163" s="173" t="s">
        <v>1620</v>
      </c>
      <c r="AN1163" s="159"/>
      <c r="AO1163" s="160"/>
      <c r="AP1163" s="161"/>
      <c r="AQ1163" s="160"/>
      <c r="AR1163" s="160"/>
      <c r="AS1163" s="160"/>
      <c r="AT1163" s="160"/>
      <c r="AU1163" s="160"/>
      <c r="AV1163" s="160"/>
      <c r="AW1163" s="160"/>
      <c r="AX1163" s="160"/>
      <c r="AY1163" s="160"/>
      <c r="AZ1163" s="160"/>
      <c r="BA1163" s="160"/>
      <c r="BB1163" s="160"/>
      <c r="BC1163" s="160"/>
      <c r="BD1163" s="160"/>
      <c r="BE1163" s="160"/>
      <c r="BF1163" s="160"/>
      <c r="BG1163" s="160"/>
      <c r="BH1163" s="160"/>
      <c r="BI1163" s="160"/>
      <c r="BJ1163" s="160"/>
      <c r="BK1163" s="160"/>
      <c r="BL1163" s="160"/>
      <c r="BM1163" s="160"/>
      <c r="BN1163" s="160"/>
      <c r="BO1163" s="160"/>
      <c r="BP1163" s="160"/>
      <c r="BQ1163" s="160"/>
      <c r="BR1163" s="160"/>
      <c r="BS1163" s="160"/>
      <c r="BT1163" s="160"/>
      <c r="BU1163" s="160"/>
      <c r="BV1163" s="160"/>
      <c r="BW1163" s="160"/>
      <c r="BX1163" s="160"/>
      <c r="BY1163" s="160"/>
      <c r="BZ1163" s="160"/>
      <c r="CA1163" s="160"/>
      <c r="CB1163" s="160"/>
      <c r="CC1163" s="160"/>
      <c r="CD1163" s="160"/>
      <c r="CE1163" s="160"/>
      <c r="CF1163" s="160"/>
      <c r="CG1163" s="160"/>
      <c r="CH1163" s="160"/>
      <c r="CI1163" s="160"/>
      <c r="CJ1163" s="160"/>
      <c r="CK1163" s="160"/>
      <c r="CL1163" s="160"/>
      <c r="CM1163" s="160"/>
      <c r="CN1163" s="160"/>
      <c r="CO1163" s="160"/>
      <c r="CP1163" s="162"/>
      <c r="CQ1163" s="163"/>
      <c r="CR1163" s="162"/>
      <c r="CS1163" s="163"/>
      <c r="CT1163" s="162"/>
      <c r="CU1163" s="163"/>
      <c r="CV1163" s="164">
        <f t="shared" si="158"/>
        <v>0</v>
      </c>
      <c r="CW1163" s="165"/>
      <c r="CX1163" s="166"/>
      <c r="CY1163" s="167"/>
      <c r="CZ1163" s="168"/>
      <c r="DA1163" s="169"/>
      <c r="DB1163" s="168"/>
      <c r="DC1163" s="165"/>
      <c r="DD1163" s="166"/>
      <c r="DE1163" s="71"/>
      <c r="DF1163" s="170"/>
      <c r="EO1163" s="353" t="str">
        <f t="shared" si="151"/>
        <v>TOLIMA_FRESNO</v>
      </c>
      <c r="EP1163" s="350"/>
      <c r="EQ1163" s="350"/>
      <c r="ER1163" s="357"/>
      <c r="ES1163" s="350"/>
      <c r="ET1163" s="350"/>
      <c r="EU1163" s="350"/>
    </row>
    <row r="1164" spans="1:151" s="171" customFormat="1" ht="108" x14ac:dyDescent="0.2">
      <c r="A1164" s="242">
        <v>40441</v>
      </c>
      <c r="B1164" s="222" t="s">
        <v>1462</v>
      </c>
      <c r="C1164" s="222" t="s">
        <v>1412</v>
      </c>
      <c r="D1164" s="427" t="s">
        <v>2307</v>
      </c>
      <c r="E1164" s="107" t="str">
        <f>VLOOKUP(B1164&amp;C1164,Divipola!$C$2:$F$1138,4,FALSE)</f>
        <v>76122</v>
      </c>
      <c r="F1164" s="330"/>
      <c r="G1164" s="221"/>
      <c r="H1164" s="157"/>
      <c r="I1164" s="157"/>
      <c r="J1164" s="157">
        <f>44*5</f>
        <v>220</v>
      </c>
      <c r="K1164" s="157">
        <v>44</v>
      </c>
      <c r="L1164" s="157"/>
      <c r="M1164" s="157">
        <v>44</v>
      </c>
      <c r="N1164" s="157"/>
      <c r="O1164" s="157"/>
      <c r="P1164" s="157"/>
      <c r="Q1164" s="157"/>
      <c r="R1164" s="157"/>
      <c r="S1164" s="157"/>
      <c r="T1164" s="157"/>
      <c r="U1164" s="157"/>
      <c r="V1164" s="158"/>
      <c r="W1164" s="182" t="s">
        <v>3021</v>
      </c>
      <c r="X1164" s="1">
        <v>40520</v>
      </c>
      <c r="Y1164" s="78">
        <f t="shared" si="155"/>
        <v>4092000</v>
      </c>
      <c r="Z1164" s="78">
        <f t="shared" si="156"/>
        <v>3740000</v>
      </c>
      <c r="AA1164" s="78">
        <f t="shared" si="154"/>
        <v>0</v>
      </c>
      <c r="AB1164" s="78">
        <f t="shared" si="157"/>
        <v>0</v>
      </c>
      <c r="AC1164" s="78"/>
      <c r="AD1164" s="78">
        <v>0</v>
      </c>
      <c r="AE1164" s="80">
        <f t="shared" si="159"/>
        <v>7832000</v>
      </c>
      <c r="AF1164" s="82">
        <v>0</v>
      </c>
      <c r="AG1164" s="69">
        <v>40455</v>
      </c>
      <c r="AH1164" s="84"/>
      <c r="AI1164" s="69" t="s">
        <v>2009</v>
      </c>
      <c r="AJ1164" s="25" t="s">
        <v>2010</v>
      </c>
      <c r="AK1164" s="65">
        <v>26384</v>
      </c>
      <c r="AL1164" s="176" t="s">
        <v>163</v>
      </c>
      <c r="AM1164" s="173" t="s">
        <v>740</v>
      </c>
      <c r="AN1164" s="159"/>
      <c r="AO1164" s="160"/>
      <c r="AP1164" s="161"/>
      <c r="AQ1164" s="160"/>
      <c r="AR1164" s="160"/>
      <c r="AS1164" s="160"/>
      <c r="AT1164" s="160"/>
      <c r="AU1164" s="160"/>
      <c r="AV1164" s="160"/>
      <c r="AW1164" s="160"/>
      <c r="AX1164" s="160"/>
      <c r="AY1164" s="160"/>
      <c r="AZ1164" s="160">
        <v>44</v>
      </c>
      <c r="BA1164" s="160">
        <f>44*56000</f>
        <v>2464000</v>
      </c>
      <c r="BB1164" s="160"/>
      <c r="BC1164" s="160"/>
      <c r="BD1164" s="160"/>
      <c r="BE1164" s="160"/>
      <c r="BF1164" s="160"/>
      <c r="BG1164" s="160"/>
      <c r="BH1164" s="160"/>
      <c r="BI1164" s="160"/>
      <c r="BJ1164" s="160"/>
      <c r="BK1164" s="160"/>
      <c r="BL1164" s="160"/>
      <c r="BM1164" s="160"/>
      <c r="BN1164" s="160"/>
      <c r="BO1164" s="160"/>
      <c r="BP1164" s="160"/>
      <c r="BQ1164" s="160"/>
      <c r="BR1164" s="160"/>
      <c r="BS1164" s="160"/>
      <c r="BT1164" s="160"/>
      <c r="BU1164" s="160"/>
      <c r="BV1164" s="160"/>
      <c r="BW1164" s="160"/>
      <c r="BX1164" s="160"/>
      <c r="BY1164" s="160"/>
      <c r="BZ1164" s="160"/>
      <c r="CA1164" s="160"/>
      <c r="CB1164" s="160"/>
      <c r="CC1164" s="160"/>
      <c r="CD1164" s="160"/>
      <c r="CE1164" s="160"/>
      <c r="CF1164" s="160"/>
      <c r="CG1164" s="160"/>
      <c r="CH1164" s="160"/>
      <c r="CI1164" s="160"/>
      <c r="CJ1164" s="160"/>
      <c r="CK1164" s="160"/>
      <c r="CL1164" s="160"/>
      <c r="CM1164" s="160"/>
      <c r="CN1164" s="160"/>
      <c r="CO1164" s="160"/>
      <c r="CP1164" s="162">
        <v>44</v>
      </c>
      <c r="CQ1164" s="163">
        <f>44*37000</f>
        <v>1628000</v>
      </c>
      <c r="CR1164" s="162"/>
      <c r="CS1164" s="163"/>
      <c r="CT1164" s="162"/>
      <c r="CU1164" s="163"/>
      <c r="CV1164" s="164">
        <f t="shared" si="158"/>
        <v>4092000</v>
      </c>
      <c r="CW1164" s="165"/>
      <c r="CX1164" s="166"/>
      <c r="CY1164" s="167">
        <v>44</v>
      </c>
      <c r="CZ1164" s="168">
        <f>44*85000</f>
        <v>3740000</v>
      </c>
      <c r="DA1164" s="169"/>
      <c r="DB1164" s="168"/>
      <c r="DC1164" s="165"/>
      <c r="DD1164" s="166"/>
      <c r="DE1164" s="71"/>
      <c r="DF1164" s="170"/>
      <c r="EO1164" s="353" t="str">
        <f t="shared" si="151"/>
        <v>VALLE DEL CAUCA_CAICEDONIA</v>
      </c>
      <c r="EP1164" s="350"/>
      <c r="EQ1164" s="350"/>
      <c r="ER1164" s="357"/>
      <c r="ES1164" s="350"/>
      <c r="ET1164" s="350"/>
      <c r="EU1164" s="350"/>
    </row>
    <row r="1165" spans="1:151" s="171" customFormat="1" ht="38.25" x14ac:dyDescent="0.2">
      <c r="A1165" s="242">
        <v>40442</v>
      </c>
      <c r="B1165" s="222" t="s">
        <v>1951</v>
      </c>
      <c r="C1165" s="222" t="s">
        <v>1989</v>
      </c>
      <c r="D1165" s="427" t="s">
        <v>2307</v>
      </c>
      <c r="E1165" s="107" t="str">
        <f>VLOOKUP(B1165&amp;C1165,Divipola!$C$2:$F$1138,4,FALSE)</f>
        <v>08001</v>
      </c>
      <c r="F1165" s="330"/>
      <c r="G1165" s="221"/>
      <c r="H1165" s="157"/>
      <c r="I1165" s="157"/>
      <c r="J1165" s="157">
        <v>40</v>
      </c>
      <c r="K1165" s="157">
        <v>8</v>
      </c>
      <c r="L1165" s="157">
        <v>8</v>
      </c>
      <c r="M1165" s="157"/>
      <c r="N1165" s="157"/>
      <c r="O1165" s="157"/>
      <c r="P1165" s="157"/>
      <c r="Q1165" s="157"/>
      <c r="R1165" s="157"/>
      <c r="S1165" s="157"/>
      <c r="T1165" s="157"/>
      <c r="U1165" s="157"/>
      <c r="V1165" s="158"/>
      <c r="W1165" s="182"/>
      <c r="X1165" s="1"/>
      <c r="Y1165" s="78">
        <f t="shared" si="155"/>
        <v>0</v>
      </c>
      <c r="Z1165" s="78">
        <f t="shared" si="156"/>
        <v>0</v>
      </c>
      <c r="AA1165" s="78">
        <f t="shared" si="154"/>
        <v>0</v>
      </c>
      <c r="AB1165" s="78">
        <f t="shared" si="157"/>
        <v>0</v>
      </c>
      <c r="AC1165" s="78"/>
      <c r="AD1165" s="78">
        <v>0</v>
      </c>
      <c r="AE1165" s="80">
        <f t="shared" si="159"/>
        <v>0</v>
      </c>
      <c r="AF1165" s="82">
        <v>0</v>
      </c>
      <c r="AG1165" s="69">
        <v>40444</v>
      </c>
      <c r="AH1165" s="84"/>
      <c r="AI1165" s="69" t="s">
        <v>1984</v>
      </c>
      <c r="AJ1165" s="25" t="s">
        <v>1985</v>
      </c>
      <c r="AK1165" s="65"/>
      <c r="AL1165" s="176" t="s">
        <v>1257</v>
      </c>
      <c r="AM1165" s="173" t="s">
        <v>3174</v>
      </c>
      <c r="AN1165" s="159"/>
      <c r="AO1165" s="160"/>
      <c r="AP1165" s="161"/>
      <c r="AQ1165" s="160"/>
      <c r="AR1165" s="160"/>
      <c r="AS1165" s="160"/>
      <c r="AT1165" s="160"/>
      <c r="AU1165" s="160"/>
      <c r="AV1165" s="160"/>
      <c r="AW1165" s="160"/>
      <c r="AX1165" s="160"/>
      <c r="AY1165" s="160"/>
      <c r="AZ1165" s="160"/>
      <c r="BA1165" s="160"/>
      <c r="BB1165" s="160"/>
      <c r="BC1165" s="160"/>
      <c r="BD1165" s="160"/>
      <c r="BE1165" s="160"/>
      <c r="BF1165" s="160"/>
      <c r="BG1165" s="160"/>
      <c r="BH1165" s="160"/>
      <c r="BI1165" s="160"/>
      <c r="BJ1165" s="160"/>
      <c r="BK1165" s="160"/>
      <c r="BL1165" s="160"/>
      <c r="BM1165" s="160"/>
      <c r="BN1165" s="160"/>
      <c r="BO1165" s="160"/>
      <c r="BP1165" s="160"/>
      <c r="BQ1165" s="160"/>
      <c r="BR1165" s="160"/>
      <c r="BS1165" s="160"/>
      <c r="BT1165" s="160"/>
      <c r="BU1165" s="160"/>
      <c r="BV1165" s="160"/>
      <c r="BW1165" s="160"/>
      <c r="BX1165" s="160"/>
      <c r="BY1165" s="160"/>
      <c r="BZ1165" s="160"/>
      <c r="CA1165" s="160"/>
      <c r="CB1165" s="160"/>
      <c r="CC1165" s="160"/>
      <c r="CD1165" s="160"/>
      <c r="CE1165" s="160"/>
      <c r="CF1165" s="160"/>
      <c r="CG1165" s="160"/>
      <c r="CH1165" s="160"/>
      <c r="CI1165" s="160"/>
      <c r="CJ1165" s="160"/>
      <c r="CK1165" s="160"/>
      <c r="CL1165" s="160"/>
      <c r="CM1165" s="160"/>
      <c r="CN1165" s="160"/>
      <c r="CO1165" s="160"/>
      <c r="CP1165" s="162"/>
      <c r="CQ1165" s="163"/>
      <c r="CR1165" s="162"/>
      <c r="CS1165" s="163"/>
      <c r="CT1165" s="162"/>
      <c r="CU1165" s="163"/>
      <c r="CV1165" s="164">
        <f t="shared" si="158"/>
        <v>0</v>
      </c>
      <c r="CW1165" s="165"/>
      <c r="CX1165" s="166"/>
      <c r="CY1165" s="167"/>
      <c r="CZ1165" s="168"/>
      <c r="DA1165" s="169"/>
      <c r="DB1165" s="168"/>
      <c r="DC1165" s="165"/>
      <c r="DD1165" s="166"/>
      <c r="DE1165" s="71"/>
      <c r="DF1165" s="170"/>
      <c r="EO1165" s="353" t="str">
        <f t="shared" si="151"/>
        <v>ATLANTICO_BARRANQUILLA</v>
      </c>
      <c r="EP1165" s="350"/>
      <c r="EQ1165" s="350"/>
      <c r="ER1165" s="357"/>
      <c r="ES1165" s="350"/>
      <c r="ET1165" s="350"/>
      <c r="EU1165" s="350"/>
    </row>
    <row r="1166" spans="1:151" s="171" customFormat="1" ht="51" x14ac:dyDescent="0.2">
      <c r="A1166" s="242">
        <v>40442</v>
      </c>
      <c r="B1166" s="222" t="s">
        <v>2017</v>
      </c>
      <c r="C1166" s="222" t="s">
        <v>1622</v>
      </c>
      <c r="D1166" s="430" t="s">
        <v>837</v>
      </c>
      <c r="E1166" s="107" t="str">
        <f>VLOOKUP(B1166&amp;C1166,Divipola!$C$2:$F$1138,4,FALSE)</f>
        <v>13657</v>
      </c>
      <c r="F1166" s="333"/>
      <c r="G1166" s="221"/>
      <c r="H1166" s="157"/>
      <c r="I1166" s="157"/>
      <c r="J1166" s="157">
        <v>600</v>
      </c>
      <c r="K1166" s="157">
        <v>120</v>
      </c>
      <c r="L1166" s="157"/>
      <c r="M1166" s="157">
        <v>120</v>
      </c>
      <c r="N1166" s="157"/>
      <c r="O1166" s="157"/>
      <c r="P1166" s="157"/>
      <c r="Q1166" s="157"/>
      <c r="R1166" s="157"/>
      <c r="S1166" s="157"/>
      <c r="T1166" s="157"/>
      <c r="U1166" s="157"/>
      <c r="V1166" s="158"/>
      <c r="W1166" s="182"/>
      <c r="X1166" s="1"/>
      <c r="Y1166" s="78">
        <f t="shared" si="155"/>
        <v>0</v>
      </c>
      <c r="Z1166" s="78">
        <f t="shared" si="156"/>
        <v>0</v>
      </c>
      <c r="AA1166" s="78">
        <f t="shared" si="154"/>
        <v>0</v>
      </c>
      <c r="AB1166" s="78">
        <f t="shared" si="157"/>
        <v>0</v>
      </c>
      <c r="AC1166" s="78"/>
      <c r="AD1166" s="78">
        <v>0</v>
      </c>
      <c r="AE1166" s="80">
        <f t="shared" si="159"/>
        <v>0</v>
      </c>
      <c r="AF1166" s="82">
        <v>0</v>
      </c>
      <c r="AG1166" s="69">
        <v>40444</v>
      </c>
      <c r="AH1166" s="84"/>
      <c r="AI1166" s="69" t="s">
        <v>1984</v>
      </c>
      <c r="AJ1166" s="25" t="s">
        <v>1985</v>
      </c>
      <c r="AK1166" s="65"/>
      <c r="AL1166" s="176" t="s">
        <v>1257</v>
      </c>
      <c r="AM1166" s="173" t="s">
        <v>1623</v>
      </c>
      <c r="AN1166" s="159"/>
      <c r="AO1166" s="160"/>
      <c r="AP1166" s="161"/>
      <c r="AQ1166" s="160"/>
      <c r="AR1166" s="160"/>
      <c r="AS1166" s="160"/>
      <c r="AT1166" s="160"/>
      <c r="AU1166" s="160"/>
      <c r="AV1166" s="160"/>
      <c r="AW1166" s="160"/>
      <c r="AX1166" s="160"/>
      <c r="AY1166" s="160"/>
      <c r="AZ1166" s="160"/>
      <c r="BA1166" s="160"/>
      <c r="BB1166" s="160"/>
      <c r="BC1166" s="160"/>
      <c r="BD1166" s="160"/>
      <c r="BE1166" s="160"/>
      <c r="BF1166" s="160"/>
      <c r="BG1166" s="160"/>
      <c r="BH1166" s="160"/>
      <c r="BI1166" s="160"/>
      <c r="BJ1166" s="160"/>
      <c r="BK1166" s="160"/>
      <c r="BL1166" s="160"/>
      <c r="BM1166" s="160"/>
      <c r="BN1166" s="160"/>
      <c r="BO1166" s="160"/>
      <c r="BP1166" s="160"/>
      <c r="BQ1166" s="160"/>
      <c r="BR1166" s="160"/>
      <c r="BS1166" s="160"/>
      <c r="BT1166" s="160"/>
      <c r="BU1166" s="160"/>
      <c r="BV1166" s="160"/>
      <c r="BW1166" s="160"/>
      <c r="BX1166" s="160"/>
      <c r="BY1166" s="160"/>
      <c r="BZ1166" s="160"/>
      <c r="CA1166" s="160"/>
      <c r="CB1166" s="160"/>
      <c r="CC1166" s="160"/>
      <c r="CD1166" s="160"/>
      <c r="CE1166" s="160"/>
      <c r="CF1166" s="160"/>
      <c r="CG1166" s="160"/>
      <c r="CH1166" s="160"/>
      <c r="CI1166" s="160"/>
      <c r="CJ1166" s="160"/>
      <c r="CK1166" s="160"/>
      <c r="CL1166" s="160"/>
      <c r="CM1166" s="160"/>
      <c r="CN1166" s="160"/>
      <c r="CO1166" s="160"/>
      <c r="CP1166" s="162"/>
      <c r="CQ1166" s="163"/>
      <c r="CR1166" s="162"/>
      <c r="CS1166" s="163"/>
      <c r="CT1166" s="162"/>
      <c r="CU1166" s="163"/>
      <c r="CV1166" s="164">
        <f t="shared" si="158"/>
        <v>0</v>
      </c>
      <c r="CW1166" s="165"/>
      <c r="CX1166" s="166"/>
      <c r="CY1166" s="167"/>
      <c r="CZ1166" s="168"/>
      <c r="DA1166" s="169"/>
      <c r="DB1166" s="168"/>
      <c r="DC1166" s="165"/>
      <c r="DD1166" s="166"/>
      <c r="DE1166" s="71"/>
      <c r="DF1166" s="170"/>
      <c r="EO1166" s="353" t="str">
        <f t="shared" si="151"/>
        <v>BOLIVAR_SAN JUAN NEPOMUCENO</v>
      </c>
      <c r="EP1166" s="350"/>
      <c r="EQ1166" s="350"/>
      <c r="ER1166" s="357"/>
      <c r="ES1166" s="350"/>
      <c r="ET1166" s="350"/>
      <c r="EU1166" s="350"/>
    </row>
    <row r="1167" spans="1:151" s="171" customFormat="1" ht="48" x14ac:dyDescent="0.2">
      <c r="A1167" s="242">
        <v>40442</v>
      </c>
      <c r="B1167" s="107" t="s">
        <v>5778</v>
      </c>
      <c r="C1167" s="222" t="s">
        <v>3183</v>
      </c>
      <c r="D1167" s="430" t="s">
        <v>837</v>
      </c>
      <c r="E1167" s="107" t="str">
        <f>VLOOKUP(B1167&amp;C1167,Divipola!$C$2:$F$1138,4,FALSE)</f>
        <v>44279</v>
      </c>
      <c r="F1167" s="333"/>
      <c r="G1167" s="221"/>
      <c r="H1167" s="157"/>
      <c r="I1167" s="157"/>
      <c r="J1167" s="157">
        <f>429*5</f>
        <v>2145</v>
      </c>
      <c r="K1167" s="157">
        <v>429</v>
      </c>
      <c r="L1167" s="157"/>
      <c r="M1167" s="157">
        <v>107</v>
      </c>
      <c r="N1167" s="157"/>
      <c r="O1167" s="157"/>
      <c r="P1167" s="157"/>
      <c r="Q1167" s="157"/>
      <c r="R1167" s="157"/>
      <c r="S1167" s="157"/>
      <c r="T1167" s="157"/>
      <c r="U1167" s="157"/>
      <c r="V1167" s="158"/>
      <c r="W1167" s="182" t="s">
        <v>2066</v>
      </c>
      <c r="X1167" s="1">
        <v>40508</v>
      </c>
      <c r="Y1167" s="78">
        <f t="shared" si="155"/>
        <v>12616600</v>
      </c>
      <c r="Z1167" s="78">
        <f t="shared" si="156"/>
        <v>8330000</v>
      </c>
      <c r="AA1167" s="78">
        <f t="shared" si="154"/>
        <v>0</v>
      </c>
      <c r="AB1167" s="78">
        <f t="shared" si="157"/>
        <v>0</v>
      </c>
      <c r="AC1167" s="78"/>
      <c r="AD1167" s="78">
        <v>0</v>
      </c>
      <c r="AE1167" s="80">
        <f t="shared" si="159"/>
        <v>20946600</v>
      </c>
      <c r="AF1167" s="82">
        <v>0</v>
      </c>
      <c r="AG1167" s="69">
        <v>40476</v>
      </c>
      <c r="AH1167" s="84">
        <v>59457</v>
      </c>
      <c r="AI1167" s="69" t="s">
        <v>2009</v>
      </c>
      <c r="AJ1167" s="25" t="s">
        <v>2010</v>
      </c>
      <c r="AK1167" s="65">
        <v>24642</v>
      </c>
      <c r="AL1167" s="185" t="s">
        <v>2182</v>
      </c>
      <c r="AM1167" s="173" t="s">
        <v>2065</v>
      </c>
      <c r="AN1167" s="159"/>
      <c r="AO1167" s="160"/>
      <c r="AP1167" s="161"/>
      <c r="AQ1167" s="160"/>
      <c r="AR1167" s="160"/>
      <c r="AS1167" s="160"/>
      <c r="AT1167" s="160"/>
      <c r="AU1167" s="160"/>
      <c r="AV1167" s="160"/>
      <c r="AW1167" s="160"/>
      <c r="AX1167" s="160"/>
      <c r="AY1167" s="160"/>
      <c r="AZ1167" s="160"/>
      <c r="BA1167" s="160"/>
      <c r="BB1167" s="160"/>
      <c r="BC1167" s="160"/>
      <c r="BD1167" s="160"/>
      <c r="BE1167" s="160"/>
      <c r="BF1167" s="160"/>
      <c r="BG1167" s="160"/>
      <c r="BH1167" s="160"/>
      <c r="BI1167" s="160"/>
      <c r="BJ1167" s="160"/>
      <c r="BK1167" s="160"/>
      <c r="BL1167" s="160">
        <v>200</v>
      </c>
      <c r="BM1167" s="160">
        <f>200*25500</f>
        <v>5100000</v>
      </c>
      <c r="BN1167" s="160"/>
      <c r="BO1167" s="160"/>
      <c r="BP1167" s="160"/>
      <c r="BQ1167" s="160"/>
      <c r="BR1167" s="160"/>
      <c r="BS1167" s="160"/>
      <c r="BT1167" s="160"/>
      <c r="BU1167" s="160"/>
      <c r="BV1167" s="160"/>
      <c r="BW1167" s="160"/>
      <c r="BX1167" s="160"/>
      <c r="BY1167" s="160"/>
      <c r="BZ1167" s="160"/>
      <c r="CA1167" s="160"/>
      <c r="CB1167" s="160"/>
      <c r="CC1167" s="160"/>
      <c r="CD1167" s="160"/>
      <c r="CE1167" s="160"/>
      <c r="CF1167" s="160"/>
      <c r="CG1167" s="160"/>
      <c r="CH1167" s="160"/>
      <c r="CI1167" s="160"/>
      <c r="CJ1167" s="160"/>
      <c r="CK1167" s="160"/>
      <c r="CL1167" s="160"/>
      <c r="CM1167" s="160"/>
      <c r="CN1167" s="160"/>
      <c r="CO1167" s="160"/>
      <c r="CP1167" s="162">
        <v>98</v>
      </c>
      <c r="CQ1167" s="163">
        <f>98*37000</f>
        <v>3626000</v>
      </c>
      <c r="CR1167" s="162">
        <v>98</v>
      </c>
      <c r="CS1167" s="163">
        <f>98*39700</f>
        <v>3890600</v>
      </c>
      <c r="CT1167" s="162"/>
      <c r="CU1167" s="163"/>
      <c r="CV1167" s="164">
        <f t="shared" si="158"/>
        <v>12616600</v>
      </c>
      <c r="CW1167" s="165"/>
      <c r="CX1167" s="166"/>
      <c r="CY1167" s="167">
        <v>98</v>
      </c>
      <c r="CZ1167" s="168">
        <f>98*85000</f>
        <v>8330000</v>
      </c>
      <c r="DA1167" s="169"/>
      <c r="DB1167" s="168"/>
      <c r="DC1167" s="165"/>
      <c r="DD1167" s="166"/>
      <c r="DE1167" s="71"/>
      <c r="DF1167" s="170"/>
      <c r="EO1167" s="353" t="str">
        <f t="shared" si="151"/>
        <v>LA GUAJIRA_FONSECA</v>
      </c>
      <c r="EP1167" s="350"/>
      <c r="EQ1167" s="350"/>
      <c r="ER1167" s="357"/>
      <c r="ES1167" s="350"/>
      <c r="ET1167" s="350"/>
      <c r="EU1167" s="350"/>
    </row>
    <row r="1168" spans="1:151" s="171" customFormat="1" ht="38.25" x14ac:dyDescent="0.2">
      <c r="A1168" s="242">
        <v>40442</v>
      </c>
      <c r="B1168" s="222" t="s">
        <v>1336</v>
      </c>
      <c r="C1168" s="222" t="s">
        <v>1732</v>
      </c>
      <c r="D1168" s="430" t="s">
        <v>1721</v>
      </c>
      <c r="E1168" s="107" t="str">
        <f>VLOOKUP(B1168&amp;C1168,Divipola!$C$2:$F$1138,4,FALSE)</f>
        <v>54001</v>
      </c>
      <c r="F1168" s="333"/>
      <c r="G1168" s="221">
        <v>1</v>
      </c>
      <c r="H1168" s="157"/>
      <c r="I1168" s="157"/>
      <c r="J1168" s="157">
        <v>5</v>
      </c>
      <c r="K1168" s="157">
        <v>1</v>
      </c>
      <c r="L1168" s="157">
        <v>1</v>
      </c>
      <c r="M1168" s="157"/>
      <c r="N1168" s="157"/>
      <c r="O1168" s="157"/>
      <c r="P1168" s="157"/>
      <c r="Q1168" s="157"/>
      <c r="R1168" s="157"/>
      <c r="S1168" s="157"/>
      <c r="T1168" s="157"/>
      <c r="U1168" s="157"/>
      <c r="V1168" s="158"/>
      <c r="W1168" s="182"/>
      <c r="X1168" s="1"/>
      <c r="Y1168" s="78">
        <f t="shared" si="155"/>
        <v>0</v>
      </c>
      <c r="Z1168" s="78">
        <f t="shared" si="156"/>
        <v>0</v>
      </c>
      <c r="AA1168" s="78">
        <f t="shared" si="154"/>
        <v>0</v>
      </c>
      <c r="AB1168" s="78">
        <f t="shared" si="157"/>
        <v>0</v>
      </c>
      <c r="AC1168" s="78"/>
      <c r="AD1168" s="78">
        <v>0</v>
      </c>
      <c r="AE1168" s="80">
        <f t="shared" si="159"/>
        <v>0</v>
      </c>
      <c r="AF1168" s="82">
        <v>0</v>
      </c>
      <c r="AG1168" s="69">
        <v>40444</v>
      </c>
      <c r="AH1168" s="84"/>
      <c r="AI1168" s="69" t="s">
        <v>1984</v>
      </c>
      <c r="AJ1168" s="25" t="s">
        <v>1985</v>
      </c>
      <c r="AK1168" s="65"/>
      <c r="AL1168" s="176" t="s">
        <v>1257</v>
      </c>
      <c r="AM1168" s="173" t="s">
        <v>1621</v>
      </c>
      <c r="AN1168" s="159"/>
      <c r="AO1168" s="160"/>
      <c r="AP1168" s="161"/>
      <c r="AQ1168" s="160"/>
      <c r="AR1168" s="160"/>
      <c r="AS1168" s="160"/>
      <c r="AT1168" s="160"/>
      <c r="AU1168" s="160"/>
      <c r="AV1168" s="160"/>
      <c r="AW1168" s="160"/>
      <c r="AX1168" s="160"/>
      <c r="AY1168" s="160"/>
      <c r="AZ1168" s="160"/>
      <c r="BA1168" s="160"/>
      <c r="BB1168" s="160"/>
      <c r="BC1168" s="160"/>
      <c r="BD1168" s="160"/>
      <c r="BE1168" s="160"/>
      <c r="BF1168" s="160"/>
      <c r="BG1168" s="160"/>
      <c r="BH1168" s="160"/>
      <c r="BI1168" s="160"/>
      <c r="BJ1168" s="160"/>
      <c r="BK1168" s="160"/>
      <c r="BL1168" s="160"/>
      <c r="BM1168" s="160"/>
      <c r="BN1168" s="160"/>
      <c r="BO1168" s="160"/>
      <c r="BP1168" s="160"/>
      <c r="BQ1168" s="160"/>
      <c r="BR1168" s="160"/>
      <c r="BS1168" s="160"/>
      <c r="BT1168" s="160"/>
      <c r="BU1168" s="160"/>
      <c r="BV1168" s="160"/>
      <c r="BW1168" s="160"/>
      <c r="BX1168" s="160"/>
      <c r="BY1168" s="160"/>
      <c r="BZ1168" s="160"/>
      <c r="CA1168" s="160"/>
      <c r="CB1168" s="160"/>
      <c r="CC1168" s="160"/>
      <c r="CD1168" s="160"/>
      <c r="CE1168" s="160"/>
      <c r="CF1168" s="160"/>
      <c r="CG1168" s="160"/>
      <c r="CH1168" s="160"/>
      <c r="CI1168" s="160"/>
      <c r="CJ1168" s="160"/>
      <c r="CK1168" s="160"/>
      <c r="CL1168" s="160"/>
      <c r="CM1168" s="160"/>
      <c r="CN1168" s="160"/>
      <c r="CO1168" s="160"/>
      <c r="CP1168" s="162"/>
      <c r="CQ1168" s="163"/>
      <c r="CR1168" s="162"/>
      <c r="CS1168" s="163"/>
      <c r="CT1168" s="162"/>
      <c r="CU1168" s="163"/>
      <c r="CV1168" s="164">
        <f t="shared" si="158"/>
        <v>0</v>
      </c>
      <c r="CW1168" s="165"/>
      <c r="CX1168" s="166"/>
      <c r="CY1168" s="167"/>
      <c r="CZ1168" s="168"/>
      <c r="DA1168" s="169"/>
      <c r="DB1168" s="168"/>
      <c r="DC1168" s="165"/>
      <c r="DD1168" s="166"/>
      <c r="DE1168" s="71"/>
      <c r="DF1168" s="170"/>
      <c r="EO1168" s="353" t="str">
        <f t="shared" si="151"/>
        <v>NORTE DE SANTANDER_CUCUTA</v>
      </c>
      <c r="EP1168" s="350"/>
      <c r="EQ1168" s="350"/>
      <c r="ER1168" s="357"/>
      <c r="ES1168" s="350"/>
      <c r="ET1168" s="350"/>
      <c r="EU1168" s="350"/>
    </row>
    <row r="1169" spans="1:151" s="171" customFormat="1" ht="108" x14ac:dyDescent="0.2">
      <c r="A1169" s="242">
        <v>40442</v>
      </c>
      <c r="B1169" s="222" t="s">
        <v>1336</v>
      </c>
      <c r="C1169" s="222" t="s">
        <v>1624</v>
      </c>
      <c r="D1169" s="430" t="s">
        <v>837</v>
      </c>
      <c r="E1169" s="107" t="str">
        <f>VLOOKUP(B1169&amp;C1169,Divipola!$C$2:$F$1138,4,FALSE)</f>
        <v>54261</v>
      </c>
      <c r="F1169" s="333"/>
      <c r="G1169" s="221"/>
      <c r="H1169" s="157"/>
      <c r="I1169" s="157"/>
      <c r="J1169" s="157">
        <f>1983-15-55</f>
        <v>1913</v>
      </c>
      <c r="K1169" s="157">
        <f>547-3-11</f>
        <v>533</v>
      </c>
      <c r="L1169" s="157">
        <v>2</v>
      </c>
      <c r="M1169" s="157">
        <v>85</v>
      </c>
      <c r="N1169" s="157"/>
      <c r="O1169" s="157"/>
      <c r="P1169" s="157"/>
      <c r="Q1169" s="157">
        <v>1</v>
      </c>
      <c r="R1169" s="157">
        <v>1</v>
      </c>
      <c r="S1169" s="157"/>
      <c r="T1169" s="157">
        <v>1</v>
      </c>
      <c r="U1169" s="157"/>
      <c r="V1169" s="158"/>
      <c r="W1169" s="182"/>
      <c r="X1169" s="1">
        <v>40511</v>
      </c>
      <c r="Y1169" s="78">
        <f t="shared" si="155"/>
        <v>0</v>
      </c>
      <c r="Z1169" s="78">
        <f t="shared" si="156"/>
        <v>0</v>
      </c>
      <c r="AA1169" s="78">
        <f>400*21315+500*21460+75*49300+3000*850</f>
        <v>25503500</v>
      </c>
      <c r="AB1169" s="78">
        <f t="shared" si="157"/>
        <v>0</v>
      </c>
      <c r="AC1169" s="78"/>
      <c r="AD1169" s="78">
        <v>0</v>
      </c>
      <c r="AE1169" s="80">
        <f t="shared" si="159"/>
        <v>25503500</v>
      </c>
      <c r="AF1169" s="82">
        <v>0</v>
      </c>
      <c r="AG1169" s="69">
        <v>40444</v>
      </c>
      <c r="AH1169" s="84">
        <v>57402</v>
      </c>
      <c r="AI1169" s="69" t="s">
        <v>2009</v>
      </c>
      <c r="AJ1169" s="25" t="s">
        <v>2010</v>
      </c>
      <c r="AK1169" s="65">
        <v>24569</v>
      </c>
      <c r="AL1169" s="176" t="s">
        <v>2182</v>
      </c>
      <c r="AM1169" s="173" t="s">
        <v>1017</v>
      </c>
      <c r="AN1169" s="159"/>
      <c r="AO1169" s="160"/>
      <c r="AP1169" s="161"/>
      <c r="AQ1169" s="160"/>
      <c r="AR1169" s="160"/>
      <c r="AS1169" s="160"/>
      <c r="AT1169" s="160"/>
      <c r="AU1169" s="160"/>
      <c r="AV1169" s="160"/>
      <c r="AW1169" s="160"/>
      <c r="AX1169" s="160"/>
      <c r="AY1169" s="160"/>
      <c r="AZ1169" s="160"/>
      <c r="BA1169" s="160"/>
      <c r="BB1169" s="160"/>
      <c r="BC1169" s="160"/>
      <c r="BD1169" s="160"/>
      <c r="BE1169" s="160"/>
      <c r="BF1169" s="160"/>
      <c r="BG1169" s="160"/>
      <c r="BH1169" s="160"/>
      <c r="BI1169" s="160"/>
      <c r="BJ1169" s="160"/>
      <c r="BK1169" s="160"/>
      <c r="BL1169" s="160"/>
      <c r="BM1169" s="160"/>
      <c r="BN1169" s="160"/>
      <c r="BO1169" s="160"/>
      <c r="BP1169" s="160"/>
      <c r="BQ1169" s="160"/>
      <c r="BR1169" s="160"/>
      <c r="BS1169" s="160"/>
      <c r="BT1169" s="160"/>
      <c r="BU1169" s="160"/>
      <c r="BV1169" s="160"/>
      <c r="BW1169" s="160"/>
      <c r="BX1169" s="160"/>
      <c r="BY1169" s="160"/>
      <c r="BZ1169" s="160"/>
      <c r="CA1169" s="160"/>
      <c r="CB1169" s="160"/>
      <c r="CC1169" s="160"/>
      <c r="CD1169" s="160"/>
      <c r="CE1169" s="160"/>
      <c r="CF1169" s="160"/>
      <c r="CG1169" s="160"/>
      <c r="CH1169" s="160"/>
      <c r="CI1169" s="160"/>
      <c r="CJ1169" s="160"/>
      <c r="CK1169" s="160"/>
      <c r="CL1169" s="160"/>
      <c r="CM1169" s="160"/>
      <c r="CN1169" s="160"/>
      <c r="CO1169" s="160"/>
      <c r="CP1169" s="162"/>
      <c r="CQ1169" s="163"/>
      <c r="CR1169" s="162"/>
      <c r="CS1169" s="163"/>
      <c r="CT1169" s="162"/>
      <c r="CU1169" s="163"/>
      <c r="CV1169" s="164">
        <f t="shared" si="158"/>
        <v>0</v>
      </c>
      <c r="CW1169" s="165"/>
      <c r="CX1169" s="166"/>
      <c r="CY1169" s="167"/>
      <c r="CZ1169" s="168"/>
      <c r="DA1169" s="169"/>
      <c r="DB1169" s="168"/>
      <c r="DC1169" s="165"/>
      <c r="DD1169" s="166"/>
      <c r="DE1169" s="71"/>
      <c r="DF1169" s="170"/>
      <c r="EO1169" s="353" t="str">
        <f t="shared" si="151"/>
        <v>NORTE DE SANTANDER_EL ZULIA</v>
      </c>
      <c r="EP1169" s="350"/>
      <c r="EQ1169" s="350"/>
      <c r="ER1169" s="357"/>
      <c r="ES1169" s="350"/>
      <c r="ET1169" s="350"/>
      <c r="EU1169" s="350"/>
    </row>
    <row r="1170" spans="1:151" s="171" customFormat="1" ht="25.5" x14ac:dyDescent="0.2">
      <c r="A1170" s="246">
        <v>40443</v>
      </c>
      <c r="B1170" s="280" t="s">
        <v>2401</v>
      </c>
      <c r="C1170" s="280" t="s">
        <v>214</v>
      </c>
      <c r="D1170" s="432" t="s">
        <v>837</v>
      </c>
      <c r="E1170" s="107" t="str">
        <f>VLOOKUP(B1170&amp;C1170,Divipola!$C$2:$F$1138,4,FALSE)</f>
        <v>05756</v>
      </c>
      <c r="F1170" s="337"/>
      <c r="G1170" s="221"/>
      <c r="H1170" s="157"/>
      <c r="I1170" s="157"/>
      <c r="J1170" s="157">
        <v>1000</v>
      </c>
      <c r="K1170" s="157">
        <v>200</v>
      </c>
      <c r="L1170" s="157">
        <v>7</v>
      </c>
      <c r="M1170" s="157">
        <v>124</v>
      </c>
      <c r="N1170" s="157"/>
      <c r="O1170" s="157"/>
      <c r="P1170" s="157"/>
      <c r="Q1170" s="157"/>
      <c r="R1170" s="157"/>
      <c r="S1170" s="157"/>
      <c r="T1170" s="157"/>
      <c r="U1170" s="157"/>
      <c r="V1170" s="158"/>
      <c r="W1170" s="182"/>
      <c r="X1170" s="1"/>
      <c r="Y1170" s="78">
        <f t="shared" si="155"/>
        <v>0</v>
      </c>
      <c r="Z1170" s="78">
        <f t="shared" si="156"/>
        <v>0</v>
      </c>
      <c r="AA1170" s="78">
        <f t="shared" ref="AA1170:AA1196" si="160">DB1170+DD1170</f>
        <v>0</v>
      </c>
      <c r="AB1170" s="78">
        <f t="shared" si="157"/>
        <v>0</v>
      </c>
      <c r="AC1170" s="78"/>
      <c r="AD1170" s="78">
        <v>0</v>
      </c>
      <c r="AE1170" s="80">
        <f t="shared" si="159"/>
        <v>0</v>
      </c>
      <c r="AF1170" s="82">
        <v>0</v>
      </c>
      <c r="AG1170" s="69">
        <v>40444</v>
      </c>
      <c r="AH1170" s="84"/>
      <c r="AI1170" s="69" t="s">
        <v>1984</v>
      </c>
      <c r="AJ1170" s="25" t="s">
        <v>1985</v>
      </c>
      <c r="AK1170" s="65"/>
      <c r="AL1170" s="176" t="s">
        <v>1257</v>
      </c>
      <c r="AM1170" s="173" t="s">
        <v>1688</v>
      </c>
      <c r="AN1170" s="159"/>
      <c r="AO1170" s="160"/>
      <c r="AP1170" s="161"/>
      <c r="AQ1170" s="160"/>
      <c r="AR1170" s="160"/>
      <c r="AS1170" s="160"/>
      <c r="AT1170" s="160"/>
      <c r="AU1170" s="160"/>
      <c r="AV1170" s="160"/>
      <c r="AW1170" s="160"/>
      <c r="AX1170" s="160"/>
      <c r="AY1170" s="160"/>
      <c r="AZ1170" s="160"/>
      <c r="BA1170" s="160"/>
      <c r="BB1170" s="160"/>
      <c r="BC1170" s="160"/>
      <c r="BD1170" s="160"/>
      <c r="BE1170" s="160"/>
      <c r="BF1170" s="160"/>
      <c r="BG1170" s="160"/>
      <c r="BH1170" s="160"/>
      <c r="BI1170" s="160"/>
      <c r="BJ1170" s="160"/>
      <c r="BK1170" s="160"/>
      <c r="BL1170" s="160"/>
      <c r="BM1170" s="160"/>
      <c r="BN1170" s="160"/>
      <c r="BO1170" s="160"/>
      <c r="BP1170" s="160"/>
      <c r="BQ1170" s="160"/>
      <c r="BR1170" s="160"/>
      <c r="BS1170" s="160"/>
      <c r="BT1170" s="160"/>
      <c r="BU1170" s="160"/>
      <c r="BV1170" s="160"/>
      <c r="BW1170" s="160"/>
      <c r="BX1170" s="160"/>
      <c r="BY1170" s="160"/>
      <c r="BZ1170" s="160"/>
      <c r="CA1170" s="160"/>
      <c r="CB1170" s="160"/>
      <c r="CC1170" s="160"/>
      <c r="CD1170" s="160"/>
      <c r="CE1170" s="160"/>
      <c r="CF1170" s="160"/>
      <c r="CG1170" s="160"/>
      <c r="CH1170" s="160"/>
      <c r="CI1170" s="160"/>
      <c r="CJ1170" s="160"/>
      <c r="CK1170" s="160"/>
      <c r="CL1170" s="160"/>
      <c r="CM1170" s="160"/>
      <c r="CN1170" s="160"/>
      <c r="CO1170" s="160"/>
      <c r="CP1170" s="162"/>
      <c r="CQ1170" s="163"/>
      <c r="CR1170" s="162"/>
      <c r="CS1170" s="163"/>
      <c r="CT1170" s="162"/>
      <c r="CU1170" s="163"/>
      <c r="CV1170" s="164">
        <f t="shared" si="158"/>
        <v>0</v>
      </c>
      <c r="CW1170" s="165"/>
      <c r="CX1170" s="166"/>
      <c r="CY1170" s="167"/>
      <c r="CZ1170" s="168"/>
      <c r="DA1170" s="169"/>
      <c r="DB1170" s="168"/>
      <c r="DC1170" s="165"/>
      <c r="DD1170" s="166"/>
      <c r="DE1170" s="71"/>
      <c r="DF1170" s="170"/>
      <c r="EO1170" s="353" t="str">
        <f t="shared" si="151"/>
        <v>ANTIOQUIA_SONSON</v>
      </c>
      <c r="EP1170" s="350"/>
      <c r="EQ1170" s="350"/>
      <c r="ER1170" s="357"/>
      <c r="ES1170" s="350"/>
      <c r="ET1170" s="350"/>
      <c r="EU1170" s="350"/>
    </row>
    <row r="1171" spans="1:151" s="171" customFormat="1" ht="38.25" x14ac:dyDescent="0.2">
      <c r="A1171" s="242">
        <v>40443</v>
      </c>
      <c r="B1171" s="222" t="s">
        <v>1951</v>
      </c>
      <c r="C1171" s="222" t="s">
        <v>1989</v>
      </c>
      <c r="D1171" s="430" t="s">
        <v>904</v>
      </c>
      <c r="E1171" s="107" t="str">
        <f>VLOOKUP(B1171&amp;C1171,Divipola!$C$2:$F$1138,4,FALSE)</f>
        <v>08001</v>
      </c>
      <c r="F1171" s="333"/>
      <c r="G1171" s="221"/>
      <c r="H1171" s="157"/>
      <c r="I1171" s="157"/>
      <c r="J1171" s="157">
        <v>580</v>
      </c>
      <c r="K1171" s="157">
        <v>116</v>
      </c>
      <c r="L1171" s="157">
        <v>2</v>
      </c>
      <c r="M1171" s="157">
        <v>114</v>
      </c>
      <c r="N1171" s="157"/>
      <c r="O1171" s="157"/>
      <c r="P1171" s="157"/>
      <c r="Q1171" s="157"/>
      <c r="R1171" s="157"/>
      <c r="S1171" s="157"/>
      <c r="T1171" s="157"/>
      <c r="U1171" s="157"/>
      <c r="V1171" s="158"/>
      <c r="W1171" s="182"/>
      <c r="X1171" s="1"/>
      <c r="Y1171" s="78">
        <f t="shared" si="155"/>
        <v>0</v>
      </c>
      <c r="Z1171" s="78">
        <f t="shared" si="156"/>
        <v>0</v>
      </c>
      <c r="AA1171" s="78">
        <f t="shared" si="160"/>
        <v>0</v>
      </c>
      <c r="AB1171" s="78">
        <f t="shared" si="157"/>
        <v>0</v>
      </c>
      <c r="AC1171" s="78"/>
      <c r="AD1171" s="78">
        <v>0</v>
      </c>
      <c r="AE1171" s="80">
        <f t="shared" si="159"/>
        <v>0</v>
      </c>
      <c r="AF1171" s="82">
        <v>0</v>
      </c>
      <c r="AG1171" s="69">
        <v>40444</v>
      </c>
      <c r="AH1171" s="84"/>
      <c r="AI1171" s="69" t="s">
        <v>1984</v>
      </c>
      <c r="AJ1171" s="25" t="s">
        <v>1985</v>
      </c>
      <c r="AK1171" s="65"/>
      <c r="AL1171" s="176" t="s">
        <v>1257</v>
      </c>
      <c r="AM1171" s="173" t="s">
        <v>1686</v>
      </c>
      <c r="AN1171" s="159"/>
      <c r="AO1171" s="160"/>
      <c r="AP1171" s="161"/>
      <c r="AQ1171" s="160"/>
      <c r="AR1171" s="160"/>
      <c r="AS1171" s="160"/>
      <c r="AT1171" s="160"/>
      <c r="AU1171" s="160"/>
      <c r="AV1171" s="160"/>
      <c r="AW1171" s="160"/>
      <c r="AX1171" s="160"/>
      <c r="AY1171" s="160"/>
      <c r="AZ1171" s="160"/>
      <c r="BA1171" s="160"/>
      <c r="BB1171" s="160"/>
      <c r="BC1171" s="160"/>
      <c r="BD1171" s="160"/>
      <c r="BE1171" s="160"/>
      <c r="BF1171" s="160"/>
      <c r="BG1171" s="160"/>
      <c r="BH1171" s="160"/>
      <c r="BI1171" s="160"/>
      <c r="BJ1171" s="160"/>
      <c r="BK1171" s="160"/>
      <c r="BL1171" s="160"/>
      <c r="BM1171" s="160"/>
      <c r="BN1171" s="160"/>
      <c r="BO1171" s="160"/>
      <c r="BP1171" s="160"/>
      <c r="BQ1171" s="160"/>
      <c r="BR1171" s="160"/>
      <c r="BS1171" s="160"/>
      <c r="BT1171" s="160"/>
      <c r="BU1171" s="160"/>
      <c r="BV1171" s="160"/>
      <c r="BW1171" s="160"/>
      <c r="BX1171" s="160"/>
      <c r="BY1171" s="160"/>
      <c r="BZ1171" s="160"/>
      <c r="CA1171" s="160"/>
      <c r="CB1171" s="160"/>
      <c r="CC1171" s="160"/>
      <c r="CD1171" s="160"/>
      <c r="CE1171" s="160"/>
      <c r="CF1171" s="160"/>
      <c r="CG1171" s="160"/>
      <c r="CH1171" s="160"/>
      <c r="CI1171" s="160"/>
      <c r="CJ1171" s="160"/>
      <c r="CK1171" s="160"/>
      <c r="CL1171" s="160"/>
      <c r="CM1171" s="160"/>
      <c r="CN1171" s="160"/>
      <c r="CO1171" s="160"/>
      <c r="CP1171" s="162"/>
      <c r="CQ1171" s="163"/>
      <c r="CR1171" s="162"/>
      <c r="CS1171" s="163"/>
      <c r="CT1171" s="162"/>
      <c r="CU1171" s="163"/>
      <c r="CV1171" s="164">
        <f t="shared" si="158"/>
        <v>0</v>
      </c>
      <c r="CW1171" s="165"/>
      <c r="CX1171" s="166"/>
      <c r="CY1171" s="167"/>
      <c r="CZ1171" s="168"/>
      <c r="DA1171" s="169"/>
      <c r="DB1171" s="168"/>
      <c r="DC1171" s="165"/>
      <c r="DD1171" s="166"/>
      <c r="DE1171" s="71"/>
      <c r="DF1171" s="170"/>
      <c r="EO1171" s="353" t="str">
        <f t="shared" si="151"/>
        <v>ATLANTICO_BARRANQUILLA</v>
      </c>
      <c r="EP1171" s="350"/>
      <c r="EQ1171" s="350"/>
      <c r="ER1171" s="357"/>
      <c r="ES1171" s="350"/>
      <c r="ET1171" s="350"/>
      <c r="EU1171" s="350"/>
    </row>
    <row r="1172" spans="1:151" s="171" customFormat="1" ht="25.5" x14ac:dyDescent="0.2">
      <c r="A1172" s="242">
        <v>40443</v>
      </c>
      <c r="B1172" s="222" t="s">
        <v>2017</v>
      </c>
      <c r="C1172" s="222" t="s">
        <v>1842</v>
      </c>
      <c r="D1172" s="430" t="s">
        <v>837</v>
      </c>
      <c r="E1172" s="107" t="str">
        <f>VLOOKUP(B1172&amp;C1172,Divipola!$C$2:$F$1138,4,FALSE)</f>
        <v>13894</v>
      </c>
      <c r="F1172" s="333"/>
      <c r="G1172" s="221"/>
      <c r="H1172" s="157"/>
      <c r="I1172" s="157"/>
      <c r="J1172" s="157">
        <v>5</v>
      </c>
      <c r="K1172" s="157">
        <v>1</v>
      </c>
      <c r="L1172" s="157">
        <v>1</v>
      </c>
      <c r="M1172" s="157"/>
      <c r="N1172" s="157"/>
      <c r="O1172" s="157"/>
      <c r="P1172" s="157"/>
      <c r="Q1172" s="157"/>
      <c r="R1172" s="157"/>
      <c r="S1172" s="157"/>
      <c r="T1172" s="157"/>
      <c r="U1172" s="157"/>
      <c r="V1172" s="158"/>
      <c r="W1172" s="182"/>
      <c r="X1172" s="1"/>
      <c r="Y1172" s="78">
        <f t="shared" si="155"/>
        <v>0</v>
      </c>
      <c r="Z1172" s="78">
        <f t="shared" si="156"/>
        <v>0</v>
      </c>
      <c r="AA1172" s="78">
        <f t="shared" si="160"/>
        <v>0</v>
      </c>
      <c r="AB1172" s="78">
        <f t="shared" si="157"/>
        <v>0</v>
      </c>
      <c r="AC1172" s="78"/>
      <c r="AD1172" s="78">
        <v>0</v>
      </c>
      <c r="AE1172" s="80">
        <f t="shared" si="159"/>
        <v>0</v>
      </c>
      <c r="AF1172" s="82">
        <v>0</v>
      </c>
      <c r="AG1172" s="69">
        <v>40444</v>
      </c>
      <c r="AH1172" s="84"/>
      <c r="AI1172" s="69" t="s">
        <v>1984</v>
      </c>
      <c r="AJ1172" s="25" t="s">
        <v>1985</v>
      </c>
      <c r="AK1172" s="65"/>
      <c r="AL1172" s="176" t="s">
        <v>1257</v>
      </c>
      <c r="AM1172" s="173" t="s">
        <v>903</v>
      </c>
      <c r="AN1172" s="159"/>
      <c r="AO1172" s="160"/>
      <c r="AP1172" s="161"/>
      <c r="AQ1172" s="160"/>
      <c r="AR1172" s="160"/>
      <c r="AS1172" s="160"/>
      <c r="AT1172" s="160"/>
      <c r="AU1172" s="160"/>
      <c r="AV1172" s="160"/>
      <c r="AW1172" s="160"/>
      <c r="AX1172" s="160"/>
      <c r="AY1172" s="160"/>
      <c r="AZ1172" s="160"/>
      <c r="BA1172" s="160"/>
      <c r="BB1172" s="160"/>
      <c r="BC1172" s="160"/>
      <c r="BD1172" s="160"/>
      <c r="BE1172" s="160"/>
      <c r="BF1172" s="160"/>
      <c r="BG1172" s="160"/>
      <c r="BH1172" s="160"/>
      <c r="BI1172" s="160"/>
      <c r="BJ1172" s="160"/>
      <c r="BK1172" s="160"/>
      <c r="BL1172" s="160"/>
      <c r="BM1172" s="160"/>
      <c r="BN1172" s="160"/>
      <c r="BO1172" s="160"/>
      <c r="BP1172" s="160"/>
      <c r="BQ1172" s="160"/>
      <c r="BR1172" s="160"/>
      <c r="BS1172" s="160"/>
      <c r="BT1172" s="160"/>
      <c r="BU1172" s="160"/>
      <c r="BV1172" s="160"/>
      <c r="BW1172" s="160"/>
      <c r="BX1172" s="160"/>
      <c r="BY1172" s="160"/>
      <c r="BZ1172" s="160"/>
      <c r="CA1172" s="160"/>
      <c r="CB1172" s="160"/>
      <c r="CC1172" s="160"/>
      <c r="CD1172" s="160"/>
      <c r="CE1172" s="160"/>
      <c r="CF1172" s="160"/>
      <c r="CG1172" s="160"/>
      <c r="CH1172" s="160"/>
      <c r="CI1172" s="160"/>
      <c r="CJ1172" s="160"/>
      <c r="CK1172" s="160"/>
      <c r="CL1172" s="160"/>
      <c r="CM1172" s="160"/>
      <c r="CN1172" s="160"/>
      <c r="CO1172" s="160"/>
      <c r="CP1172" s="162"/>
      <c r="CQ1172" s="163"/>
      <c r="CR1172" s="162"/>
      <c r="CS1172" s="163"/>
      <c r="CT1172" s="162"/>
      <c r="CU1172" s="163"/>
      <c r="CV1172" s="164">
        <f t="shared" si="158"/>
        <v>0</v>
      </c>
      <c r="CW1172" s="165"/>
      <c r="CX1172" s="166"/>
      <c r="CY1172" s="167"/>
      <c r="CZ1172" s="168"/>
      <c r="DA1172" s="169"/>
      <c r="DB1172" s="168"/>
      <c r="DC1172" s="165"/>
      <c r="DD1172" s="166"/>
      <c r="DE1172" s="71"/>
      <c r="DF1172" s="170"/>
      <c r="EO1172" s="353" t="str">
        <f t="shared" si="151"/>
        <v>BOLIVAR_ZAMBRANO</v>
      </c>
      <c r="EP1172" s="350"/>
      <c r="EQ1172" s="350"/>
      <c r="ER1172" s="357"/>
      <c r="ES1172" s="350"/>
      <c r="ET1172" s="350"/>
      <c r="EU1172" s="350"/>
    </row>
    <row r="1173" spans="1:151" s="171" customFormat="1" ht="72" x14ac:dyDescent="0.2">
      <c r="A1173" s="242">
        <v>40443</v>
      </c>
      <c r="B1173" s="222" t="s">
        <v>289</v>
      </c>
      <c r="C1173" s="222" t="s">
        <v>644</v>
      </c>
      <c r="D1173" s="430" t="s">
        <v>837</v>
      </c>
      <c r="E1173" s="107" t="str">
        <f>VLOOKUP(B1173&amp;C1173,Divipola!$C$2:$F$1138,4,FALSE)</f>
        <v>17380</v>
      </c>
      <c r="F1173" s="333"/>
      <c r="G1173" s="221"/>
      <c r="H1173" s="157"/>
      <c r="I1173" s="157"/>
      <c r="J1173" s="157">
        <f>1134*5</f>
        <v>5670</v>
      </c>
      <c r="K1173" s="157">
        <v>1134</v>
      </c>
      <c r="L1173" s="157">
        <v>4</v>
      </c>
      <c r="M1173" s="157">
        <v>617</v>
      </c>
      <c r="N1173" s="157"/>
      <c r="O1173" s="157"/>
      <c r="P1173" s="157"/>
      <c r="Q1173" s="157"/>
      <c r="R1173" s="157"/>
      <c r="S1173" s="157"/>
      <c r="T1173" s="157"/>
      <c r="U1173" s="157"/>
      <c r="V1173" s="158"/>
      <c r="W1173" s="182"/>
      <c r="X1173" s="1"/>
      <c r="Y1173" s="78">
        <f t="shared" si="155"/>
        <v>0</v>
      </c>
      <c r="Z1173" s="78">
        <f t="shared" si="156"/>
        <v>0</v>
      </c>
      <c r="AA1173" s="78">
        <f t="shared" si="160"/>
        <v>0</v>
      </c>
      <c r="AB1173" s="78">
        <f t="shared" si="157"/>
        <v>0</v>
      </c>
      <c r="AC1173" s="78"/>
      <c r="AD1173" s="78">
        <v>0</v>
      </c>
      <c r="AE1173" s="80">
        <f t="shared" si="159"/>
        <v>0</v>
      </c>
      <c r="AF1173" s="82">
        <v>0</v>
      </c>
      <c r="AG1173" s="69">
        <v>40444</v>
      </c>
      <c r="AH1173" s="84"/>
      <c r="AI1173" s="69" t="s">
        <v>2009</v>
      </c>
      <c r="AJ1173" s="25" t="s">
        <v>2010</v>
      </c>
      <c r="AK1173" s="65"/>
      <c r="AL1173" s="184" t="s">
        <v>3833</v>
      </c>
      <c r="AM1173" s="173" t="s">
        <v>342</v>
      </c>
      <c r="AN1173" s="159"/>
      <c r="AO1173" s="160"/>
      <c r="AP1173" s="161"/>
      <c r="AQ1173" s="160"/>
      <c r="AR1173" s="160"/>
      <c r="AS1173" s="160"/>
      <c r="AT1173" s="160"/>
      <c r="AU1173" s="160"/>
      <c r="AV1173" s="160"/>
      <c r="AW1173" s="160"/>
      <c r="AX1173" s="160"/>
      <c r="AY1173" s="160"/>
      <c r="AZ1173" s="160"/>
      <c r="BA1173" s="160"/>
      <c r="BB1173" s="160"/>
      <c r="BC1173" s="160"/>
      <c r="BD1173" s="160"/>
      <c r="BE1173" s="160"/>
      <c r="BF1173" s="160"/>
      <c r="BG1173" s="160"/>
      <c r="BH1173" s="160"/>
      <c r="BI1173" s="160"/>
      <c r="BJ1173" s="160"/>
      <c r="BK1173" s="160"/>
      <c r="BL1173" s="160"/>
      <c r="BM1173" s="160"/>
      <c r="BN1173" s="160"/>
      <c r="BO1173" s="160"/>
      <c r="BP1173" s="160"/>
      <c r="BQ1173" s="160"/>
      <c r="BR1173" s="160"/>
      <c r="BS1173" s="160"/>
      <c r="BT1173" s="160"/>
      <c r="BU1173" s="160"/>
      <c r="BV1173" s="160"/>
      <c r="BW1173" s="160"/>
      <c r="BX1173" s="160"/>
      <c r="BY1173" s="160"/>
      <c r="BZ1173" s="160"/>
      <c r="CA1173" s="160"/>
      <c r="CB1173" s="160"/>
      <c r="CC1173" s="160"/>
      <c r="CD1173" s="160"/>
      <c r="CE1173" s="160"/>
      <c r="CF1173" s="160"/>
      <c r="CG1173" s="160"/>
      <c r="CH1173" s="160"/>
      <c r="CI1173" s="160"/>
      <c r="CJ1173" s="160"/>
      <c r="CK1173" s="160"/>
      <c r="CL1173" s="160"/>
      <c r="CM1173" s="160"/>
      <c r="CN1173" s="160"/>
      <c r="CO1173" s="160"/>
      <c r="CP1173" s="162"/>
      <c r="CQ1173" s="163"/>
      <c r="CR1173" s="162"/>
      <c r="CS1173" s="163"/>
      <c r="CT1173" s="162"/>
      <c r="CU1173" s="163"/>
      <c r="CV1173" s="164">
        <f t="shared" si="158"/>
        <v>0</v>
      </c>
      <c r="CW1173" s="165"/>
      <c r="CX1173" s="166"/>
      <c r="CY1173" s="167"/>
      <c r="CZ1173" s="168"/>
      <c r="DA1173" s="169"/>
      <c r="DB1173" s="168"/>
      <c r="DC1173" s="165"/>
      <c r="DD1173" s="166"/>
      <c r="DE1173" s="71"/>
      <c r="DF1173" s="170"/>
      <c r="EO1173" s="353" t="str">
        <f t="shared" si="151"/>
        <v>CALDAS_LA DORADA</v>
      </c>
      <c r="EP1173" s="350"/>
      <c r="EQ1173" s="350"/>
      <c r="ER1173" s="357"/>
      <c r="ES1173" s="350"/>
      <c r="ET1173" s="350"/>
      <c r="EU1173" s="350"/>
    </row>
    <row r="1174" spans="1:151" s="171" customFormat="1" ht="25.5" x14ac:dyDescent="0.2">
      <c r="A1174" s="242">
        <v>40443</v>
      </c>
      <c r="B1174" s="222" t="s">
        <v>289</v>
      </c>
      <c r="C1174" s="222" t="s">
        <v>4237</v>
      </c>
      <c r="D1174" s="430" t="s">
        <v>837</v>
      </c>
      <c r="E1174" s="107" t="str">
        <f>VLOOKUP(B1174&amp;C1174,Divipola!$C$2:$F$1138,4,FALSE)</f>
        <v>17867</v>
      </c>
      <c r="F1174" s="333"/>
      <c r="G1174" s="221"/>
      <c r="H1174" s="157"/>
      <c r="I1174" s="157"/>
      <c r="J1174" s="157">
        <f>253*5</f>
        <v>1265</v>
      </c>
      <c r="K1174" s="157">
        <f>289-28-8</f>
        <v>253</v>
      </c>
      <c r="L1174" s="157"/>
      <c r="M1174" s="157">
        <v>21</v>
      </c>
      <c r="N1174" s="157"/>
      <c r="O1174" s="157"/>
      <c r="P1174" s="157"/>
      <c r="Q1174" s="157"/>
      <c r="R1174" s="157"/>
      <c r="S1174" s="157"/>
      <c r="T1174" s="157"/>
      <c r="U1174" s="157"/>
      <c r="V1174" s="158"/>
      <c r="W1174" s="182"/>
      <c r="X1174" s="1"/>
      <c r="Y1174" s="78">
        <f t="shared" si="155"/>
        <v>0</v>
      </c>
      <c r="Z1174" s="78">
        <f t="shared" si="156"/>
        <v>0</v>
      </c>
      <c r="AA1174" s="78">
        <f t="shared" si="160"/>
        <v>0</v>
      </c>
      <c r="AB1174" s="78">
        <f t="shared" si="157"/>
        <v>0</v>
      </c>
      <c r="AC1174" s="78"/>
      <c r="AD1174" s="78">
        <v>0</v>
      </c>
      <c r="AE1174" s="80">
        <f t="shared" si="159"/>
        <v>0</v>
      </c>
      <c r="AF1174" s="82">
        <v>0</v>
      </c>
      <c r="AG1174" s="69">
        <v>40444</v>
      </c>
      <c r="AH1174" s="84"/>
      <c r="AI1174" s="69" t="s">
        <v>2009</v>
      </c>
      <c r="AJ1174" s="25" t="s">
        <v>2010</v>
      </c>
      <c r="AK1174" s="65"/>
      <c r="AL1174" s="184" t="s">
        <v>3833</v>
      </c>
      <c r="AM1174" s="173" t="s">
        <v>1687</v>
      </c>
      <c r="AN1174" s="159"/>
      <c r="AO1174" s="160"/>
      <c r="AP1174" s="161"/>
      <c r="AQ1174" s="160"/>
      <c r="AR1174" s="160"/>
      <c r="AS1174" s="160"/>
      <c r="AT1174" s="160"/>
      <c r="AU1174" s="160"/>
      <c r="AV1174" s="160"/>
      <c r="AW1174" s="160"/>
      <c r="AX1174" s="160"/>
      <c r="AY1174" s="160"/>
      <c r="AZ1174" s="160"/>
      <c r="BA1174" s="160"/>
      <c r="BB1174" s="160"/>
      <c r="BC1174" s="160"/>
      <c r="BD1174" s="160"/>
      <c r="BE1174" s="160"/>
      <c r="BF1174" s="160"/>
      <c r="BG1174" s="160"/>
      <c r="BH1174" s="160"/>
      <c r="BI1174" s="160"/>
      <c r="BJ1174" s="160"/>
      <c r="BK1174" s="160"/>
      <c r="BL1174" s="160"/>
      <c r="BM1174" s="160"/>
      <c r="BN1174" s="160"/>
      <c r="BO1174" s="160"/>
      <c r="BP1174" s="160"/>
      <c r="BQ1174" s="160"/>
      <c r="BR1174" s="160"/>
      <c r="BS1174" s="160"/>
      <c r="BT1174" s="160"/>
      <c r="BU1174" s="160"/>
      <c r="BV1174" s="160"/>
      <c r="BW1174" s="160"/>
      <c r="BX1174" s="160"/>
      <c r="BY1174" s="160"/>
      <c r="BZ1174" s="160"/>
      <c r="CA1174" s="160"/>
      <c r="CB1174" s="160"/>
      <c r="CC1174" s="160"/>
      <c r="CD1174" s="160"/>
      <c r="CE1174" s="160"/>
      <c r="CF1174" s="160"/>
      <c r="CG1174" s="160"/>
      <c r="CH1174" s="160"/>
      <c r="CI1174" s="160"/>
      <c r="CJ1174" s="160"/>
      <c r="CK1174" s="160"/>
      <c r="CL1174" s="160"/>
      <c r="CM1174" s="160"/>
      <c r="CN1174" s="160"/>
      <c r="CO1174" s="160"/>
      <c r="CP1174" s="162"/>
      <c r="CQ1174" s="163"/>
      <c r="CR1174" s="162"/>
      <c r="CS1174" s="163"/>
      <c r="CT1174" s="162"/>
      <c r="CU1174" s="163"/>
      <c r="CV1174" s="164">
        <f t="shared" si="158"/>
        <v>0</v>
      </c>
      <c r="CW1174" s="165"/>
      <c r="CX1174" s="166"/>
      <c r="CY1174" s="167"/>
      <c r="CZ1174" s="168"/>
      <c r="DA1174" s="169"/>
      <c r="DB1174" s="168"/>
      <c r="DC1174" s="165"/>
      <c r="DD1174" s="166"/>
      <c r="DE1174" s="71"/>
      <c r="DF1174" s="170"/>
      <c r="EO1174" s="353" t="str">
        <f t="shared" si="151"/>
        <v>CALDAS_VICTORIA</v>
      </c>
      <c r="EP1174" s="350"/>
      <c r="EQ1174" s="350"/>
      <c r="ER1174" s="357"/>
      <c r="ES1174" s="350"/>
      <c r="ET1174" s="350"/>
      <c r="EU1174" s="350"/>
    </row>
    <row r="1175" spans="1:151" s="171" customFormat="1" ht="45" x14ac:dyDescent="0.2">
      <c r="A1175" s="242">
        <v>40443</v>
      </c>
      <c r="B1175" s="107" t="s">
        <v>5778</v>
      </c>
      <c r="C1175" s="222" t="s">
        <v>874</v>
      </c>
      <c r="D1175" s="430" t="s">
        <v>837</v>
      </c>
      <c r="E1175" s="107" t="str">
        <f>VLOOKUP(B1175&amp;C1175,Divipola!$C$2:$F$1138,4,FALSE)</f>
        <v>44430</v>
      </c>
      <c r="F1175" s="333"/>
      <c r="G1175" s="227"/>
      <c r="H1175" s="183"/>
      <c r="I1175" s="183"/>
      <c r="J1175" s="183">
        <f>4878*5</f>
        <v>24390</v>
      </c>
      <c r="K1175" s="183">
        <f>5508-26-395-209</f>
        <v>4878</v>
      </c>
      <c r="L1175" s="183"/>
      <c r="M1175" s="183"/>
      <c r="N1175" s="183"/>
      <c r="O1175" s="183"/>
      <c r="P1175" s="183"/>
      <c r="Q1175" s="183"/>
      <c r="R1175" s="183"/>
      <c r="S1175" s="183"/>
      <c r="T1175" s="183"/>
      <c r="U1175" s="183"/>
      <c r="V1175" s="191">
        <v>133</v>
      </c>
      <c r="W1175" s="182"/>
      <c r="X1175" s="1">
        <v>40508</v>
      </c>
      <c r="Y1175" s="78">
        <f t="shared" si="155"/>
        <v>124173000</v>
      </c>
      <c r="Z1175" s="78">
        <f t="shared" si="156"/>
        <v>103275000</v>
      </c>
      <c r="AA1175" s="78">
        <f t="shared" si="160"/>
        <v>0</v>
      </c>
      <c r="AB1175" s="78">
        <f t="shared" si="157"/>
        <v>0</v>
      </c>
      <c r="AC1175" s="78"/>
      <c r="AD1175" s="78">
        <v>0</v>
      </c>
      <c r="AE1175" s="80">
        <f t="shared" si="159"/>
        <v>227448000</v>
      </c>
      <c r="AF1175" s="82">
        <v>0</v>
      </c>
      <c r="AG1175" s="69">
        <v>40449</v>
      </c>
      <c r="AH1175" s="84">
        <v>59457</v>
      </c>
      <c r="AI1175" s="69" t="s">
        <v>2009</v>
      </c>
      <c r="AJ1175" s="25" t="s">
        <v>2010</v>
      </c>
      <c r="AK1175" s="65">
        <v>25041</v>
      </c>
      <c r="AL1175" s="185" t="s">
        <v>2182</v>
      </c>
      <c r="AM1175" s="173" t="s">
        <v>1268</v>
      </c>
      <c r="AN1175" s="159"/>
      <c r="AO1175" s="160"/>
      <c r="AP1175" s="161"/>
      <c r="AQ1175" s="160"/>
      <c r="AR1175" s="160"/>
      <c r="AS1175" s="160"/>
      <c r="AT1175" s="160"/>
      <c r="AU1175" s="160"/>
      <c r="AV1175" s="160"/>
      <c r="AW1175" s="160"/>
      <c r="AX1175" s="160"/>
      <c r="AY1175" s="160"/>
      <c r="AZ1175" s="160"/>
      <c r="BA1175" s="160"/>
      <c r="BB1175" s="160"/>
      <c r="BC1175" s="160"/>
      <c r="BD1175" s="160"/>
      <c r="BE1175" s="160"/>
      <c r="BF1175" s="160"/>
      <c r="BG1175" s="160"/>
      <c r="BH1175" s="160"/>
      <c r="BI1175" s="160"/>
      <c r="BJ1175" s="160"/>
      <c r="BK1175" s="160"/>
      <c r="BL1175" s="160">
        <v>1215</v>
      </c>
      <c r="BM1175" s="160">
        <f>1215*25500</f>
        <v>30982500</v>
      </c>
      <c r="BN1175" s="160"/>
      <c r="BO1175" s="160"/>
      <c r="BP1175" s="160"/>
      <c r="BQ1175" s="160"/>
      <c r="BR1175" s="160"/>
      <c r="BS1175" s="160"/>
      <c r="BT1175" s="160"/>
      <c r="BU1175" s="160"/>
      <c r="BV1175" s="160"/>
      <c r="BW1175" s="160"/>
      <c r="BX1175" s="160"/>
      <c r="BY1175" s="160"/>
      <c r="BZ1175" s="160"/>
      <c r="CA1175" s="160"/>
      <c r="CB1175" s="160"/>
      <c r="CC1175" s="160"/>
      <c r="CD1175" s="160"/>
      <c r="CE1175" s="160"/>
      <c r="CF1175" s="160"/>
      <c r="CG1175" s="160"/>
      <c r="CH1175" s="160"/>
      <c r="CI1175" s="160"/>
      <c r="CJ1175" s="160"/>
      <c r="CK1175" s="160"/>
      <c r="CL1175" s="160"/>
      <c r="CM1175" s="160"/>
      <c r="CN1175" s="160"/>
      <c r="CO1175" s="160"/>
      <c r="CP1175" s="192">
        <v>1215</v>
      </c>
      <c r="CQ1175" s="193">
        <f>1215*37000</f>
        <v>44955000</v>
      </c>
      <c r="CR1175" s="192">
        <v>1215</v>
      </c>
      <c r="CS1175" s="193">
        <f>1215*39700</f>
        <v>48235500</v>
      </c>
      <c r="CT1175" s="192"/>
      <c r="CU1175" s="193"/>
      <c r="CV1175" s="164">
        <f t="shared" si="158"/>
        <v>124173000</v>
      </c>
      <c r="CW1175" s="194"/>
      <c r="CX1175" s="195"/>
      <c r="CY1175" s="196">
        <v>1215</v>
      </c>
      <c r="CZ1175" s="197">
        <f>1215*85000</f>
        <v>103275000</v>
      </c>
      <c r="DA1175" s="198"/>
      <c r="DB1175" s="197"/>
      <c r="DC1175" s="194"/>
      <c r="DD1175" s="195"/>
      <c r="DE1175" s="71"/>
      <c r="DF1175" s="178"/>
      <c r="EO1175" s="353" t="str">
        <f t="shared" si="151"/>
        <v>LA GUAJIRA_MAICAO</v>
      </c>
      <c r="EP1175" s="350"/>
      <c r="EQ1175" s="350"/>
      <c r="ER1175" s="357"/>
      <c r="ES1175" s="350"/>
      <c r="ET1175" s="350"/>
      <c r="EU1175" s="350"/>
    </row>
    <row r="1176" spans="1:151" s="171" customFormat="1" ht="25.5" x14ac:dyDescent="0.2">
      <c r="A1176" s="242">
        <v>40444</v>
      </c>
      <c r="B1176" s="107" t="s">
        <v>1700</v>
      </c>
      <c r="C1176" s="222" t="s">
        <v>1672</v>
      </c>
      <c r="D1176" s="430" t="s">
        <v>837</v>
      </c>
      <c r="E1176" s="107" t="str">
        <f>VLOOKUP(B1176&amp;C1176,Divipola!$C$2:$F$1138,4,FALSE)</f>
        <v>23500</v>
      </c>
      <c r="F1176" s="333"/>
      <c r="G1176" s="221"/>
      <c r="H1176" s="157"/>
      <c r="I1176" s="157"/>
      <c r="J1176" s="157">
        <v>18420</v>
      </c>
      <c r="K1176" s="157">
        <v>3684</v>
      </c>
      <c r="L1176" s="157"/>
      <c r="M1176" s="157">
        <v>8</v>
      </c>
      <c r="N1176" s="157"/>
      <c r="O1176" s="157"/>
      <c r="P1176" s="157"/>
      <c r="Q1176" s="157"/>
      <c r="R1176" s="157"/>
      <c r="S1176" s="157"/>
      <c r="T1176" s="157"/>
      <c r="U1176" s="157"/>
      <c r="V1176" s="158"/>
      <c r="W1176" s="182"/>
      <c r="X1176" s="1">
        <v>40504</v>
      </c>
      <c r="Y1176" s="78">
        <f t="shared" si="155"/>
        <v>1983616</v>
      </c>
      <c r="Z1176" s="78">
        <f t="shared" si="156"/>
        <v>2040000</v>
      </c>
      <c r="AA1176" s="78">
        <f t="shared" si="160"/>
        <v>0</v>
      </c>
      <c r="AB1176" s="78">
        <f t="shared" si="157"/>
        <v>0</v>
      </c>
      <c r="AC1176" s="78"/>
      <c r="AD1176" s="78">
        <v>0</v>
      </c>
      <c r="AE1176" s="80">
        <f t="shared" si="159"/>
        <v>4023616</v>
      </c>
      <c r="AF1176" s="82">
        <v>0</v>
      </c>
      <c r="AG1176" s="69">
        <v>40504</v>
      </c>
      <c r="AH1176" s="84">
        <v>40466</v>
      </c>
      <c r="AI1176" s="69" t="s">
        <v>2009</v>
      </c>
      <c r="AJ1176" s="25" t="s">
        <v>2010</v>
      </c>
      <c r="AK1176" s="65">
        <v>23555</v>
      </c>
      <c r="AL1176" s="176" t="s">
        <v>1431</v>
      </c>
      <c r="AM1176" s="173" t="s">
        <v>1901</v>
      </c>
      <c r="AN1176" s="159"/>
      <c r="AO1176" s="160"/>
      <c r="AP1176" s="161"/>
      <c r="AQ1176" s="160"/>
      <c r="AR1176" s="160"/>
      <c r="AS1176" s="160"/>
      <c r="AT1176" s="160"/>
      <c r="AU1176" s="160"/>
      <c r="AV1176" s="160"/>
      <c r="AW1176" s="160"/>
      <c r="AX1176" s="160"/>
      <c r="AY1176" s="160"/>
      <c r="AZ1176" s="160">
        <v>25</v>
      </c>
      <c r="BA1176" s="160">
        <f>25*56000</f>
        <v>1400000</v>
      </c>
      <c r="BB1176" s="160"/>
      <c r="BC1176" s="160"/>
      <c r="BD1176" s="160"/>
      <c r="BE1176" s="160"/>
      <c r="BF1176" s="160"/>
      <c r="BG1176" s="160"/>
      <c r="BH1176" s="160"/>
      <c r="BI1176" s="160"/>
      <c r="BJ1176" s="160"/>
      <c r="BK1176" s="160"/>
      <c r="BL1176" s="160"/>
      <c r="BM1176" s="160"/>
      <c r="BN1176" s="160"/>
      <c r="BO1176" s="160"/>
      <c r="BP1176" s="160"/>
      <c r="BQ1176" s="160"/>
      <c r="BR1176" s="160"/>
      <c r="BS1176" s="160"/>
      <c r="BT1176" s="160"/>
      <c r="BU1176" s="160"/>
      <c r="BV1176" s="160"/>
      <c r="BW1176" s="160"/>
      <c r="BX1176" s="160"/>
      <c r="BY1176" s="160"/>
      <c r="BZ1176" s="160"/>
      <c r="CA1176" s="160"/>
      <c r="CB1176" s="160"/>
      <c r="CC1176" s="160"/>
      <c r="CD1176" s="160"/>
      <c r="CE1176" s="160"/>
      <c r="CF1176" s="160"/>
      <c r="CG1176" s="160"/>
      <c r="CH1176" s="160"/>
      <c r="CI1176" s="160"/>
      <c r="CJ1176" s="160"/>
      <c r="CK1176" s="160"/>
      <c r="CL1176" s="160"/>
      <c r="CM1176" s="160"/>
      <c r="CN1176" s="160"/>
      <c r="CO1176" s="160"/>
      <c r="CP1176" s="162">
        <v>8</v>
      </c>
      <c r="CQ1176" s="163">
        <f>8*36952</f>
        <v>295616</v>
      </c>
      <c r="CR1176" s="162">
        <v>8</v>
      </c>
      <c r="CS1176" s="163">
        <f>8*36000</f>
        <v>288000</v>
      </c>
      <c r="CT1176" s="162"/>
      <c r="CU1176" s="163"/>
      <c r="CV1176" s="164">
        <f t="shared" si="158"/>
        <v>1983616</v>
      </c>
      <c r="CW1176" s="165"/>
      <c r="CX1176" s="166"/>
      <c r="CY1176" s="167">
        <f>8+8+8</f>
        <v>24</v>
      </c>
      <c r="CZ1176" s="168">
        <f>8*85000+8*85000+8*85000</f>
        <v>2040000</v>
      </c>
      <c r="DA1176" s="169"/>
      <c r="DB1176" s="168"/>
      <c r="DC1176" s="165"/>
      <c r="DD1176" s="166"/>
      <c r="DE1176" s="71"/>
      <c r="DF1176" s="170"/>
      <c r="EO1176" s="353" t="str">
        <f t="shared" ref="EO1176:EO1237" si="161">B1176&amp;"_"&amp;C1176</f>
        <v>CORDOBA_MOÑITOS</v>
      </c>
      <c r="EP1176" s="350"/>
      <c r="EQ1176" s="350"/>
      <c r="ER1176" s="357"/>
      <c r="ES1176" s="350"/>
      <c r="ET1176" s="350"/>
      <c r="EU1176" s="350"/>
    </row>
    <row r="1177" spans="1:151" s="171" customFormat="1" ht="45" x14ac:dyDescent="0.2">
      <c r="A1177" s="242">
        <v>40444</v>
      </c>
      <c r="B1177" s="107" t="s">
        <v>5778</v>
      </c>
      <c r="C1177" s="222" t="s">
        <v>1953</v>
      </c>
      <c r="D1177" s="430" t="s">
        <v>837</v>
      </c>
      <c r="E1177" s="107" t="str">
        <f>VLOOKUP(B1177&amp;C1177,Divipola!$C$2:$F$1138,4,FALSE)</f>
        <v>44874</v>
      </c>
      <c r="F1177" s="333"/>
      <c r="G1177" s="221"/>
      <c r="H1177" s="157"/>
      <c r="I1177" s="157"/>
      <c r="J1177" s="157"/>
      <c r="K1177" s="157"/>
      <c r="L1177" s="157"/>
      <c r="M1177" s="157"/>
      <c r="N1177" s="157"/>
      <c r="O1177" s="157"/>
      <c r="P1177" s="157"/>
      <c r="Q1177" s="157"/>
      <c r="R1177" s="157"/>
      <c r="S1177" s="157"/>
      <c r="T1177" s="157"/>
      <c r="U1177" s="157"/>
      <c r="V1177" s="158">
        <v>73</v>
      </c>
      <c r="W1177" s="182" t="s">
        <v>2294</v>
      </c>
      <c r="X1177" s="1">
        <v>40508</v>
      </c>
      <c r="Y1177" s="78">
        <f t="shared" si="155"/>
        <v>19009200</v>
      </c>
      <c r="Z1177" s="78">
        <f t="shared" si="156"/>
        <v>15810000</v>
      </c>
      <c r="AA1177" s="78">
        <f t="shared" si="160"/>
        <v>0</v>
      </c>
      <c r="AB1177" s="78">
        <f t="shared" si="157"/>
        <v>0</v>
      </c>
      <c r="AC1177" s="78"/>
      <c r="AD1177" s="78">
        <v>0</v>
      </c>
      <c r="AE1177" s="80">
        <f t="shared" si="159"/>
        <v>34819200</v>
      </c>
      <c r="AF1177" s="82">
        <v>0</v>
      </c>
      <c r="AG1177" s="69">
        <v>40478</v>
      </c>
      <c r="AH1177" s="84">
        <v>59457</v>
      </c>
      <c r="AI1177" s="69" t="s">
        <v>2009</v>
      </c>
      <c r="AJ1177" s="25" t="s">
        <v>2010</v>
      </c>
      <c r="AK1177" s="65">
        <v>24642</v>
      </c>
      <c r="AL1177" s="185" t="s">
        <v>2182</v>
      </c>
      <c r="AM1177" s="173" t="s">
        <v>1527</v>
      </c>
      <c r="AN1177" s="159"/>
      <c r="AO1177" s="160"/>
      <c r="AP1177" s="161"/>
      <c r="AQ1177" s="160"/>
      <c r="AR1177" s="160"/>
      <c r="AS1177" s="160"/>
      <c r="AT1177" s="160"/>
      <c r="AU1177" s="160"/>
      <c r="AV1177" s="160"/>
      <c r="AW1177" s="160"/>
      <c r="AX1177" s="160"/>
      <c r="AY1177" s="160"/>
      <c r="AZ1177" s="160"/>
      <c r="BA1177" s="160"/>
      <c r="BB1177" s="160"/>
      <c r="BC1177" s="160"/>
      <c r="BD1177" s="160"/>
      <c r="BE1177" s="160"/>
      <c r="BF1177" s="160"/>
      <c r="BG1177" s="160"/>
      <c r="BH1177" s="160"/>
      <c r="BI1177" s="160"/>
      <c r="BJ1177" s="160"/>
      <c r="BK1177" s="160"/>
      <c r="BL1177" s="160">
        <v>186</v>
      </c>
      <c r="BM1177" s="160">
        <f>186*25500</f>
        <v>4743000</v>
      </c>
      <c r="BN1177" s="160"/>
      <c r="BO1177" s="160"/>
      <c r="BP1177" s="160"/>
      <c r="BQ1177" s="160"/>
      <c r="BR1177" s="160"/>
      <c r="BS1177" s="160"/>
      <c r="BT1177" s="160"/>
      <c r="BU1177" s="160"/>
      <c r="BV1177" s="160"/>
      <c r="BW1177" s="160"/>
      <c r="BX1177" s="160"/>
      <c r="BY1177" s="160"/>
      <c r="BZ1177" s="160"/>
      <c r="CA1177" s="160"/>
      <c r="CB1177" s="160"/>
      <c r="CC1177" s="160"/>
      <c r="CD1177" s="160"/>
      <c r="CE1177" s="160"/>
      <c r="CF1177" s="160"/>
      <c r="CG1177" s="160"/>
      <c r="CH1177" s="160"/>
      <c r="CI1177" s="160"/>
      <c r="CJ1177" s="160"/>
      <c r="CK1177" s="160"/>
      <c r="CL1177" s="160"/>
      <c r="CM1177" s="160"/>
      <c r="CN1177" s="160"/>
      <c r="CO1177" s="160"/>
      <c r="CP1177" s="162">
        <v>186</v>
      </c>
      <c r="CQ1177" s="163">
        <f>186*37000</f>
        <v>6882000</v>
      </c>
      <c r="CR1177" s="162">
        <v>186</v>
      </c>
      <c r="CS1177" s="163">
        <f>186*39700</f>
        <v>7384200</v>
      </c>
      <c r="CT1177" s="162"/>
      <c r="CU1177" s="163"/>
      <c r="CV1177" s="164">
        <f t="shared" si="158"/>
        <v>19009200</v>
      </c>
      <c r="CW1177" s="165"/>
      <c r="CX1177" s="166"/>
      <c r="CY1177" s="167">
        <v>186</v>
      </c>
      <c r="CZ1177" s="168">
        <f>186*85000</f>
        <v>15810000</v>
      </c>
      <c r="DA1177" s="169"/>
      <c r="DB1177" s="168"/>
      <c r="DC1177" s="165"/>
      <c r="DD1177" s="166"/>
      <c r="DE1177" s="71"/>
      <c r="DF1177" s="170"/>
      <c r="EO1177" s="353" t="str">
        <f t="shared" si="161"/>
        <v>LA GUAJIRA_VILLANUEVA</v>
      </c>
      <c r="EP1177" s="350"/>
      <c r="EQ1177" s="350"/>
      <c r="ER1177" s="357"/>
      <c r="ES1177" s="350"/>
      <c r="ET1177" s="350"/>
      <c r="EU1177" s="350"/>
    </row>
    <row r="1178" spans="1:151" s="171" customFormat="1" ht="38.25" x14ac:dyDescent="0.2">
      <c r="A1178" s="242">
        <v>40444</v>
      </c>
      <c r="B1178" s="222" t="s">
        <v>1336</v>
      </c>
      <c r="C1178" s="222" t="s">
        <v>1732</v>
      </c>
      <c r="D1178" s="430" t="s">
        <v>837</v>
      </c>
      <c r="E1178" s="107" t="str">
        <f>VLOOKUP(B1178&amp;C1178,Divipola!$C$2:$F$1138,4,FALSE)</f>
        <v>54001</v>
      </c>
      <c r="F1178" s="333"/>
      <c r="G1178" s="221">
        <v>1</v>
      </c>
      <c r="H1178" s="157"/>
      <c r="I1178" s="157"/>
      <c r="J1178" s="157">
        <v>130</v>
      </c>
      <c r="K1178" s="157">
        <v>26</v>
      </c>
      <c r="L1178" s="157"/>
      <c r="M1178" s="157">
        <v>26</v>
      </c>
      <c r="N1178" s="157"/>
      <c r="O1178" s="157"/>
      <c r="P1178" s="157"/>
      <c r="Q1178" s="157"/>
      <c r="R1178" s="157"/>
      <c r="S1178" s="157"/>
      <c r="T1178" s="157"/>
      <c r="U1178" s="157"/>
      <c r="V1178" s="158"/>
      <c r="W1178" s="182"/>
      <c r="X1178" s="1"/>
      <c r="Y1178" s="78">
        <f t="shared" si="155"/>
        <v>0</v>
      </c>
      <c r="Z1178" s="78">
        <f t="shared" si="156"/>
        <v>0</v>
      </c>
      <c r="AA1178" s="78">
        <f t="shared" si="160"/>
        <v>0</v>
      </c>
      <c r="AB1178" s="78">
        <f t="shared" si="157"/>
        <v>0</v>
      </c>
      <c r="AC1178" s="78"/>
      <c r="AD1178" s="78">
        <v>0</v>
      </c>
      <c r="AE1178" s="80">
        <f t="shared" si="159"/>
        <v>0</v>
      </c>
      <c r="AF1178" s="82">
        <v>0</v>
      </c>
      <c r="AG1178" s="69">
        <v>40448</v>
      </c>
      <c r="AH1178" s="84"/>
      <c r="AI1178" s="69" t="s">
        <v>1984</v>
      </c>
      <c r="AJ1178" s="25" t="s">
        <v>1985</v>
      </c>
      <c r="AK1178" s="65"/>
      <c r="AL1178" s="176" t="s">
        <v>1257</v>
      </c>
      <c r="AM1178" s="173" t="s">
        <v>1689</v>
      </c>
      <c r="AN1178" s="159"/>
      <c r="AO1178" s="160"/>
      <c r="AP1178" s="161"/>
      <c r="AQ1178" s="160"/>
      <c r="AR1178" s="160"/>
      <c r="AS1178" s="160"/>
      <c r="AT1178" s="160"/>
      <c r="AU1178" s="160"/>
      <c r="AV1178" s="160"/>
      <c r="AW1178" s="160"/>
      <c r="AX1178" s="160"/>
      <c r="AY1178" s="160"/>
      <c r="AZ1178" s="160"/>
      <c r="BA1178" s="160"/>
      <c r="BB1178" s="160"/>
      <c r="BC1178" s="160"/>
      <c r="BD1178" s="160"/>
      <c r="BE1178" s="160"/>
      <c r="BF1178" s="160"/>
      <c r="BG1178" s="160"/>
      <c r="BH1178" s="160"/>
      <c r="BI1178" s="160"/>
      <c r="BJ1178" s="160"/>
      <c r="BK1178" s="160"/>
      <c r="BL1178" s="160"/>
      <c r="BM1178" s="160"/>
      <c r="BN1178" s="160"/>
      <c r="BO1178" s="160"/>
      <c r="BP1178" s="160"/>
      <c r="BQ1178" s="160"/>
      <c r="BR1178" s="160"/>
      <c r="BS1178" s="160"/>
      <c r="BT1178" s="160"/>
      <c r="BU1178" s="160"/>
      <c r="BV1178" s="160"/>
      <c r="BW1178" s="160"/>
      <c r="BX1178" s="160"/>
      <c r="BY1178" s="160"/>
      <c r="BZ1178" s="160"/>
      <c r="CA1178" s="160"/>
      <c r="CB1178" s="160"/>
      <c r="CC1178" s="160"/>
      <c r="CD1178" s="160"/>
      <c r="CE1178" s="160"/>
      <c r="CF1178" s="160"/>
      <c r="CG1178" s="160"/>
      <c r="CH1178" s="160"/>
      <c r="CI1178" s="160"/>
      <c r="CJ1178" s="160"/>
      <c r="CK1178" s="160"/>
      <c r="CL1178" s="160"/>
      <c r="CM1178" s="160"/>
      <c r="CN1178" s="160"/>
      <c r="CO1178" s="160"/>
      <c r="CP1178" s="162"/>
      <c r="CQ1178" s="163"/>
      <c r="CR1178" s="162"/>
      <c r="CS1178" s="163"/>
      <c r="CT1178" s="162"/>
      <c r="CU1178" s="163"/>
      <c r="CV1178" s="164">
        <f t="shared" si="158"/>
        <v>0</v>
      </c>
      <c r="CW1178" s="165"/>
      <c r="CX1178" s="166"/>
      <c r="CY1178" s="167"/>
      <c r="CZ1178" s="168"/>
      <c r="DA1178" s="169"/>
      <c r="DB1178" s="168"/>
      <c r="DC1178" s="165"/>
      <c r="DD1178" s="166"/>
      <c r="DE1178" s="71"/>
      <c r="DF1178" s="170"/>
      <c r="EO1178" s="353" t="str">
        <f t="shared" si="161"/>
        <v>NORTE DE SANTANDER_CUCUTA</v>
      </c>
      <c r="EP1178" s="350"/>
      <c r="EQ1178" s="350"/>
      <c r="ER1178" s="357"/>
      <c r="ES1178" s="350"/>
      <c r="ET1178" s="350"/>
      <c r="EU1178" s="350"/>
    </row>
    <row r="1179" spans="1:151" s="171" customFormat="1" ht="63.75" x14ac:dyDescent="0.2">
      <c r="A1179" s="242">
        <v>40444</v>
      </c>
      <c r="B1179" s="222" t="s">
        <v>1336</v>
      </c>
      <c r="C1179" s="222" t="s">
        <v>483</v>
      </c>
      <c r="D1179" s="430" t="s">
        <v>2331</v>
      </c>
      <c r="E1179" s="107" t="str">
        <f>VLOOKUP(B1179&amp;C1179,Divipola!$C$2:$F$1138,4,FALSE)</f>
        <v>54553</v>
      </c>
      <c r="F1179" s="333"/>
      <c r="G1179" s="221"/>
      <c r="H1179" s="157"/>
      <c r="I1179" s="157"/>
      <c r="J1179" s="157">
        <v>75</v>
      </c>
      <c r="K1179" s="157">
        <v>15</v>
      </c>
      <c r="L1179" s="157"/>
      <c r="M1179" s="157"/>
      <c r="N1179" s="157"/>
      <c r="O1179" s="157"/>
      <c r="P1179" s="157"/>
      <c r="Q1179" s="157"/>
      <c r="R1179" s="157"/>
      <c r="S1179" s="157"/>
      <c r="T1179" s="157"/>
      <c r="U1179" s="157"/>
      <c r="V1179" s="158"/>
      <c r="W1179" s="182"/>
      <c r="X1179" s="1"/>
      <c r="Y1179" s="78">
        <f t="shared" si="155"/>
        <v>0</v>
      </c>
      <c r="Z1179" s="78">
        <f t="shared" si="156"/>
        <v>0</v>
      </c>
      <c r="AA1179" s="78">
        <f t="shared" si="160"/>
        <v>0</v>
      </c>
      <c r="AB1179" s="78">
        <f t="shared" si="157"/>
        <v>0</v>
      </c>
      <c r="AC1179" s="78"/>
      <c r="AD1179" s="78">
        <v>0</v>
      </c>
      <c r="AE1179" s="80">
        <f t="shared" si="159"/>
        <v>0</v>
      </c>
      <c r="AF1179" s="82">
        <v>0</v>
      </c>
      <c r="AG1179" s="69">
        <v>40448</v>
      </c>
      <c r="AH1179" s="84"/>
      <c r="AI1179" s="69" t="s">
        <v>1984</v>
      </c>
      <c r="AJ1179" s="25" t="s">
        <v>1985</v>
      </c>
      <c r="AK1179" s="65"/>
      <c r="AL1179" s="176" t="s">
        <v>1257</v>
      </c>
      <c r="AM1179" s="173" t="s">
        <v>1692</v>
      </c>
      <c r="AN1179" s="159"/>
      <c r="AO1179" s="160"/>
      <c r="AP1179" s="161"/>
      <c r="AQ1179" s="160"/>
      <c r="AR1179" s="160"/>
      <c r="AS1179" s="160"/>
      <c r="AT1179" s="160"/>
      <c r="AU1179" s="160"/>
      <c r="AV1179" s="160"/>
      <c r="AW1179" s="160"/>
      <c r="AX1179" s="160"/>
      <c r="AY1179" s="160"/>
      <c r="AZ1179" s="160"/>
      <c r="BA1179" s="160"/>
      <c r="BB1179" s="160"/>
      <c r="BC1179" s="160"/>
      <c r="BD1179" s="160"/>
      <c r="BE1179" s="160"/>
      <c r="BF1179" s="160"/>
      <c r="BG1179" s="160"/>
      <c r="BH1179" s="160"/>
      <c r="BI1179" s="160"/>
      <c r="BJ1179" s="160"/>
      <c r="BK1179" s="160"/>
      <c r="BL1179" s="160"/>
      <c r="BM1179" s="160"/>
      <c r="BN1179" s="160"/>
      <c r="BO1179" s="160"/>
      <c r="BP1179" s="160"/>
      <c r="BQ1179" s="160"/>
      <c r="BR1179" s="160"/>
      <c r="BS1179" s="160"/>
      <c r="BT1179" s="160"/>
      <c r="BU1179" s="160"/>
      <c r="BV1179" s="160"/>
      <c r="BW1179" s="160"/>
      <c r="BX1179" s="160"/>
      <c r="BY1179" s="160"/>
      <c r="BZ1179" s="160"/>
      <c r="CA1179" s="160"/>
      <c r="CB1179" s="160"/>
      <c r="CC1179" s="160"/>
      <c r="CD1179" s="160"/>
      <c r="CE1179" s="160"/>
      <c r="CF1179" s="160"/>
      <c r="CG1179" s="160"/>
      <c r="CH1179" s="160"/>
      <c r="CI1179" s="160"/>
      <c r="CJ1179" s="160"/>
      <c r="CK1179" s="160"/>
      <c r="CL1179" s="160"/>
      <c r="CM1179" s="160"/>
      <c r="CN1179" s="160"/>
      <c r="CO1179" s="160"/>
      <c r="CP1179" s="162"/>
      <c r="CQ1179" s="163"/>
      <c r="CR1179" s="162"/>
      <c r="CS1179" s="163"/>
      <c r="CT1179" s="162"/>
      <c r="CU1179" s="163"/>
      <c r="CV1179" s="164">
        <f t="shared" si="158"/>
        <v>0</v>
      </c>
      <c r="CW1179" s="165"/>
      <c r="CX1179" s="166"/>
      <c r="CY1179" s="167"/>
      <c r="CZ1179" s="168"/>
      <c r="DA1179" s="169"/>
      <c r="DB1179" s="168"/>
      <c r="DC1179" s="165"/>
      <c r="DD1179" s="166"/>
      <c r="DE1179" s="71"/>
      <c r="DF1179" s="170"/>
      <c r="EO1179" s="353" t="str">
        <f t="shared" si="161"/>
        <v>NORTE DE SANTANDER_PUERTO SANTANDER</v>
      </c>
      <c r="EP1179" s="350"/>
      <c r="EQ1179" s="350"/>
      <c r="ER1179" s="357"/>
      <c r="ES1179" s="350"/>
      <c r="ET1179" s="350"/>
      <c r="EU1179" s="350"/>
    </row>
    <row r="1180" spans="1:151" s="171" customFormat="1" ht="36" x14ac:dyDescent="0.2">
      <c r="A1180" s="242">
        <v>40444</v>
      </c>
      <c r="B1180" s="222" t="s">
        <v>2014</v>
      </c>
      <c r="C1180" s="222" t="s">
        <v>2015</v>
      </c>
      <c r="D1180" s="430" t="s">
        <v>837</v>
      </c>
      <c r="E1180" s="107" t="str">
        <f>VLOOKUP(B1180&amp;C1180,Divipola!$C$2:$F$1138,4,FALSE)</f>
        <v>63001</v>
      </c>
      <c r="F1180" s="333"/>
      <c r="G1180" s="221"/>
      <c r="H1180" s="157"/>
      <c r="I1180" s="157"/>
      <c r="J1180" s="157"/>
      <c r="K1180" s="157"/>
      <c r="L1180" s="157"/>
      <c r="M1180" s="157"/>
      <c r="N1180" s="157"/>
      <c r="O1180" s="157"/>
      <c r="P1180" s="157"/>
      <c r="Q1180" s="157"/>
      <c r="R1180" s="157"/>
      <c r="S1180" s="157"/>
      <c r="T1180" s="157">
        <v>1</v>
      </c>
      <c r="U1180" s="157">
        <v>2</v>
      </c>
      <c r="V1180" s="158"/>
      <c r="W1180" s="182"/>
      <c r="X1180" s="1"/>
      <c r="Y1180" s="78">
        <f t="shared" si="155"/>
        <v>0</v>
      </c>
      <c r="Z1180" s="78">
        <f t="shared" si="156"/>
        <v>0</v>
      </c>
      <c r="AA1180" s="78">
        <f t="shared" si="160"/>
        <v>0</v>
      </c>
      <c r="AB1180" s="78">
        <f t="shared" si="157"/>
        <v>0</v>
      </c>
      <c r="AC1180" s="78"/>
      <c r="AD1180" s="78">
        <v>0</v>
      </c>
      <c r="AE1180" s="80">
        <f t="shared" si="159"/>
        <v>0</v>
      </c>
      <c r="AF1180" s="82">
        <v>0</v>
      </c>
      <c r="AG1180" s="69">
        <v>40448</v>
      </c>
      <c r="AH1180" s="84"/>
      <c r="AI1180" s="69" t="s">
        <v>1984</v>
      </c>
      <c r="AJ1180" s="25" t="s">
        <v>1985</v>
      </c>
      <c r="AK1180" s="65"/>
      <c r="AL1180" s="176" t="s">
        <v>1257</v>
      </c>
      <c r="AM1180" s="173" t="s">
        <v>1691</v>
      </c>
      <c r="AN1180" s="159"/>
      <c r="AO1180" s="160"/>
      <c r="AP1180" s="161"/>
      <c r="AQ1180" s="160"/>
      <c r="AR1180" s="160"/>
      <c r="AS1180" s="160"/>
      <c r="AT1180" s="160"/>
      <c r="AU1180" s="160"/>
      <c r="AV1180" s="160"/>
      <c r="AW1180" s="160"/>
      <c r="AX1180" s="160"/>
      <c r="AY1180" s="160"/>
      <c r="AZ1180" s="160"/>
      <c r="BA1180" s="160"/>
      <c r="BB1180" s="160"/>
      <c r="BC1180" s="160"/>
      <c r="BD1180" s="160"/>
      <c r="BE1180" s="160"/>
      <c r="BF1180" s="160"/>
      <c r="BG1180" s="160"/>
      <c r="BH1180" s="160"/>
      <c r="BI1180" s="160"/>
      <c r="BJ1180" s="160"/>
      <c r="BK1180" s="160"/>
      <c r="BL1180" s="160"/>
      <c r="BM1180" s="160"/>
      <c r="BN1180" s="160"/>
      <c r="BO1180" s="160"/>
      <c r="BP1180" s="160"/>
      <c r="BQ1180" s="160"/>
      <c r="BR1180" s="160"/>
      <c r="BS1180" s="160"/>
      <c r="BT1180" s="160"/>
      <c r="BU1180" s="160"/>
      <c r="BV1180" s="160"/>
      <c r="BW1180" s="160"/>
      <c r="BX1180" s="160"/>
      <c r="BY1180" s="160"/>
      <c r="BZ1180" s="160"/>
      <c r="CA1180" s="160"/>
      <c r="CB1180" s="160"/>
      <c r="CC1180" s="160"/>
      <c r="CD1180" s="160"/>
      <c r="CE1180" s="160"/>
      <c r="CF1180" s="160"/>
      <c r="CG1180" s="160"/>
      <c r="CH1180" s="160"/>
      <c r="CI1180" s="160"/>
      <c r="CJ1180" s="160"/>
      <c r="CK1180" s="160"/>
      <c r="CL1180" s="160"/>
      <c r="CM1180" s="160"/>
      <c r="CN1180" s="160"/>
      <c r="CO1180" s="160"/>
      <c r="CP1180" s="162"/>
      <c r="CQ1180" s="163"/>
      <c r="CR1180" s="162"/>
      <c r="CS1180" s="163"/>
      <c r="CT1180" s="162"/>
      <c r="CU1180" s="163"/>
      <c r="CV1180" s="164">
        <f t="shared" si="158"/>
        <v>0</v>
      </c>
      <c r="CW1180" s="165"/>
      <c r="CX1180" s="166"/>
      <c r="CY1180" s="167"/>
      <c r="CZ1180" s="168"/>
      <c r="DA1180" s="169"/>
      <c r="DB1180" s="168"/>
      <c r="DC1180" s="165"/>
      <c r="DD1180" s="166"/>
      <c r="DE1180" s="71"/>
      <c r="DF1180" s="170"/>
      <c r="EO1180" s="353" t="str">
        <f t="shared" si="161"/>
        <v>QUINDIO_ARMENIA</v>
      </c>
      <c r="EP1180" s="350"/>
      <c r="EQ1180" s="350"/>
      <c r="ER1180" s="357"/>
      <c r="ES1180" s="350"/>
      <c r="ET1180" s="350"/>
      <c r="EU1180" s="350"/>
    </row>
    <row r="1181" spans="1:151" s="171" customFormat="1" ht="25.5" x14ac:dyDescent="0.2">
      <c r="A1181" s="242">
        <v>40444</v>
      </c>
      <c r="B1181" s="222" t="s">
        <v>2791</v>
      </c>
      <c r="C1181" s="222" t="s">
        <v>2751</v>
      </c>
      <c r="D1181" s="430" t="s">
        <v>2352</v>
      </c>
      <c r="E1181" s="107" t="str">
        <f>VLOOKUP(B1181&amp;C1181,Divipola!$C$2:$F$1138,4,FALSE)</f>
        <v>73449</v>
      </c>
      <c r="F1181" s="333"/>
      <c r="G1181" s="221"/>
      <c r="H1181" s="157">
        <v>3</v>
      </c>
      <c r="I1181" s="157"/>
      <c r="J1181" s="157"/>
      <c r="K1181" s="157"/>
      <c r="L1181" s="157"/>
      <c r="M1181" s="157"/>
      <c r="N1181" s="157">
        <v>1</v>
      </c>
      <c r="O1181" s="157"/>
      <c r="P1181" s="157"/>
      <c r="Q1181" s="157"/>
      <c r="R1181" s="157"/>
      <c r="S1181" s="157"/>
      <c r="T1181" s="157"/>
      <c r="U1181" s="157"/>
      <c r="V1181" s="158"/>
      <c r="W1181" s="182"/>
      <c r="X1181" s="1"/>
      <c r="Y1181" s="78">
        <f t="shared" si="155"/>
        <v>0</v>
      </c>
      <c r="Z1181" s="78">
        <f t="shared" si="156"/>
        <v>0</v>
      </c>
      <c r="AA1181" s="78">
        <f t="shared" si="160"/>
        <v>0</v>
      </c>
      <c r="AB1181" s="78">
        <f t="shared" si="157"/>
        <v>0</v>
      </c>
      <c r="AC1181" s="78"/>
      <c r="AD1181" s="78">
        <v>0</v>
      </c>
      <c r="AE1181" s="80">
        <f t="shared" si="159"/>
        <v>0</v>
      </c>
      <c r="AF1181" s="82">
        <v>0</v>
      </c>
      <c r="AG1181" s="69">
        <v>40448</v>
      </c>
      <c r="AH1181" s="84"/>
      <c r="AI1181" s="69" t="s">
        <v>1984</v>
      </c>
      <c r="AJ1181" s="25" t="s">
        <v>1985</v>
      </c>
      <c r="AK1181" s="65"/>
      <c r="AL1181" s="176" t="s">
        <v>1257</v>
      </c>
      <c r="AM1181" s="173" t="s">
        <v>1690</v>
      </c>
      <c r="AN1181" s="159"/>
      <c r="AO1181" s="160"/>
      <c r="AP1181" s="161"/>
      <c r="AQ1181" s="160"/>
      <c r="AR1181" s="160"/>
      <c r="AS1181" s="160"/>
      <c r="AT1181" s="160"/>
      <c r="AU1181" s="160"/>
      <c r="AV1181" s="160"/>
      <c r="AW1181" s="160"/>
      <c r="AX1181" s="160"/>
      <c r="AY1181" s="160"/>
      <c r="AZ1181" s="160"/>
      <c r="BA1181" s="160"/>
      <c r="BB1181" s="160"/>
      <c r="BC1181" s="160"/>
      <c r="BD1181" s="160"/>
      <c r="BE1181" s="160"/>
      <c r="BF1181" s="160"/>
      <c r="BG1181" s="160"/>
      <c r="BH1181" s="160"/>
      <c r="BI1181" s="160"/>
      <c r="BJ1181" s="160"/>
      <c r="BK1181" s="160"/>
      <c r="BL1181" s="160"/>
      <c r="BM1181" s="160"/>
      <c r="BN1181" s="160"/>
      <c r="BO1181" s="160"/>
      <c r="BP1181" s="160"/>
      <c r="BQ1181" s="160"/>
      <c r="BR1181" s="160"/>
      <c r="BS1181" s="160"/>
      <c r="BT1181" s="160"/>
      <c r="BU1181" s="160"/>
      <c r="BV1181" s="160"/>
      <c r="BW1181" s="160"/>
      <c r="BX1181" s="160"/>
      <c r="BY1181" s="160"/>
      <c r="BZ1181" s="160"/>
      <c r="CA1181" s="160"/>
      <c r="CB1181" s="160"/>
      <c r="CC1181" s="160"/>
      <c r="CD1181" s="160"/>
      <c r="CE1181" s="160"/>
      <c r="CF1181" s="160"/>
      <c r="CG1181" s="160"/>
      <c r="CH1181" s="160"/>
      <c r="CI1181" s="160"/>
      <c r="CJ1181" s="160"/>
      <c r="CK1181" s="160"/>
      <c r="CL1181" s="160"/>
      <c r="CM1181" s="160"/>
      <c r="CN1181" s="160"/>
      <c r="CO1181" s="160"/>
      <c r="CP1181" s="162"/>
      <c r="CQ1181" s="163"/>
      <c r="CR1181" s="162"/>
      <c r="CS1181" s="163"/>
      <c r="CT1181" s="162"/>
      <c r="CU1181" s="163"/>
      <c r="CV1181" s="164">
        <f t="shared" si="158"/>
        <v>0</v>
      </c>
      <c r="CW1181" s="165"/>
      <c r="CX1181" s="166"/>
      <c r="CY1181" s="167"/>
      <c r="CZ1181" s="168"/>
      <c r="DA1181" s="169"/>
      <c r="DB1181" s="168"/>
      <c r="DC1181" s="165"/>
      <c r="DD1181" s="166"/>
      <c r="DE1181" s="71"/>
      <c r="DF1181" s="170"/>
      <c r="EO1181" s="353" t="str">
        <f t="shared" si="161"/>
        <v>TOLIMA_MELGAR</v>
      </c>
      <c r="EP1181" s="350"/>
      <c r="EQ1181" s="350"/>
      <c r="ER1181" s="357"/>
      <c r="ES1181" s="350"/>
      <c r="ET1181" s="350"/>
      <c r="EU1181" s="350"/>
    </row>
    <row r="1182" spans="1:151" s="171" customFormat="1" ht="96" x14ac:dyDescent="0.2">
      <c r="A1182" s="246">
        <v>40445</v>
      </c>
      <c r="B1182" s="280" t="s">
        <v>2401</v>
      </c>
      <c r="C1182" s="280" t="s">
        <v>2210</v>
      </c>
      <c r="D1182" s="432" t="s">
        <v>837</v>
      </c>
      <c r="E1182" s="107" t="str">
        <f>VLOOKUP(B1182&amp;C1182,Divipola!$C$2:$F$1138,4,FALSE)</f>
        <v>05172</v>
      </c>
      <c r="F1182" s="337"/>
      <c r="G1182" s="221"/>
      <c r="H1182" s="157"/>
      <c r="I1182" s="157"/>
      <c r="J1182" s="157">
        <f>1795-385</f>
        <v>1410</v>
      </c>
      <c r="K1182" s="157">
        <f>426-77</f>
        <v>349</v>
      </c>
      <c r="L1182" s="157">
        <v>9</v>
      </c>
      <c r="M1182" s="157">
        <f>131-77</f>
        <v>54</v>
      </c>
      <c r="N1182" s="157"/>
      <c r="O1182" s="157"/>
      <c r="P1182" s="157"/>
      <c r="Q1182" s="157"/>
      <c r="R1182" s="157"/>
      <c r="S1182" s="157"/>
      <c r="T1182" s="157"/>
      <c r="U1182" s="157"/>
      <c r="V1182" s="158"/>
      <c r="W1182" s="182"/>
      <c r="X1182" s="1">
        <v>40535</v>
      </c>
      <c r="Y1182" s="78">
        <f t="shared" si="155"/>
        <v>0</v>
      </c>
      <c r="Z1182" s="78">
        <f t="shared" si="156"/>
        <v>0</v>
      </c>
      <c r="AA1182" s="78">
        <f t="shared" si="160"/>
        <v>0</v>
      </c>
      <c r="AB1182" s="78">
        <f t="shared" si="157"/>
        <v>0</v>
      </c>
      <c r="AC1182" s="78"/>
      <c r="AD1182" s="78">
        <v>37000000</v>
      </c>
      <c r="AE1182" s="80">
        <f t="shared" si="159"/>
        <v>37000000</v>
      </c>
      <c r="AF1182" s="82">
        <v>0</v>
      </c>
      <c r="AG1182" s="69">
        <v>40515</v>
      </c>
      <c r="AH1182" s="84">
        <v>69308</v>
      </c>
      <c r="AI1182" s="69" t="s">
        <v>2009</v>
      </c>
      <c r="AJ1182" s="25" t="s">
        <v>2010</v>
      </c>
      <c r="AK1182" s="65">
        <v>521</v>
      </c>
      <c r="AL1182" s="176"/>
      <c r="AM1182" s="173" t="s">
        <v>3840</v>
      </c>
      <c r="AN1182" s="159"/>
      <c r="AO1182" s="160"/>
      <c r="AP1182" s="161"/>
      <c r="AQ1182" s="160"/>
      <c r="AR1182" s="160"/>
      <c r="AS1182" s="160"/>
      <c r="AT1182" s="160"/>
      <c r="AU1182" s="160"/>
      <c r="AV1182" s="160"/>
      <c r="AW1182" s="160"/>
      <c r="AX1182" s="160"/>
      <c r="AY1182" s="160"/>
      <c r="AZ1182" s="160"/>
      <c r="BA1182" s="160"/>
      <c r="BB1182" s="160"/>
      <c r="BC1182" s="160"/>
      <c r="BD1182" s="160"/>
      <c r="BE1182" s="160"/>
      <c r="BF1182" s="160"/>
      <c r="BG1182" s="160"/>
      <c r="BH1182" s="160"/>
      <c r="BI1182" s="160"/>
      <c r="BJ1182" s="160"/>
      <c r="BK1182" s="160"/>
      <c r="BL1182" s="160"/>
      <c r="BM1182" s="160"/>
      <c r="BN1182" s="160"/>
      <c r="BO1182" s="160"/>
      <c r="BP1182" s="160"/>
      <c r="BQ1182" s="160"/>
      <c r="BR1182" s="160"/>
      <c r="BS1182" s="160"/>
      <c r="BT1182" s="160"/>
      <c r="BU1182" s="160"/>
      <c r="BV1182" s="160"/>
      <c r="BW1182" s="160"/>
      <c r="BX1182" s="160"/>
      <c r="BY1182" s="160"/>
      <c r="BZ1182" s="160"/>
      <c r="CA1182" s="160"/>
      <c r="CB1182" s="160"/>
      <c r="CC1182" s="160"/>
      <c r="CD1182" s="160"/>
      <c r="CE1182" s="160"/>
      <c r="CF1182" s="160"/>
      <c r="CG1182" s="160"/>
      <c r="CH1182" s="160"/>
      <c r="CI1182" s="160"/>
      <c r="CJ1182" s="160"/>
      <c r="CK1182" s="160"/>
      <c r="CL1182" s="160"/>
      <c r="CM1182" s="160"/>
      <c r="CN1182" s="160"/>
      <c r="CO1182" s="160"/>
      <c r="CP1182" s="162"/>
      <c r="CQ1182" s="163"/>
      <c r="CR1182" s="162"/>
      <c r="CS1182" s="163"/>
      <c r="CT1182" s="162"/>
      <c r="CU1182" s="163"/>
      <c r="CV1182" s="164">
        <f t="shared" si="158"/>
        <v>0</v>
      </c>
      <c r="CW1182" s="165"/>
      <c r="CX1182" s="166"/>
      <c r="CY1182" s="167"/>
      <c r="CZ1182" s="168"/>
      <c r="DA1182" s="169"/>
      <c r="DB1182" s="168"/>
      <c r="DC1182" s="165"/>
      <c r="DD1182" s="166"/>
      <c r="DE1182" s="71">
        <v>2</v>
      </c>
      <c r="DF1182" s="170"/>
      <c r="EO1182" s="353" t="str">
        <f t="shared" si="161"/>
        <v>ANTIOQUIA_CHIGORODO</v>
      </c>
      <c r="EP1182" s="350"/>
      <c r="EQ1182" s="350"/>
      <c r="ER1182" s="357"/>
      <c r="ES1182" s="350"/>
      <c r="ET1182" s="350"/>
      <c r="EU1182" s="350"/>
    </row>
    <row r="1183" spans="1:151" s="171" customFormat="1" ht="48" x14ac:dyDescent="0.2">
      <c r="A1183" s="246">
        <v>40445</v>
      </c>
      <c r="B1183" s="280" t="s">
        <v>2401</v>
      </c>
      <c r="C1183" s="280" t="s">
        <v>1582</v>
      </c>
      <c r="D1183" s="432" t="s">
        <v>837</v>
      </c>
      <c r="E1183" s="107" t="str">
        <f>VLOOKUP(B1183&amp;C1183,Divipola!$C$2:$F$1138,4,FALSE)</f>
        <v>05895</v>
      </c>
      <c r="F1183" s="337"/>
      <c r="G1183" s="221"/>
      <c r="H1183" s="157"/>
      <c r="I1183" s="157"/>
      <c r="J1183" s="157">
        <v>500</v>
      </c>
      <c r="K1183" s="157">
        <v>200</v>
      </c>
      <c r="L1183" s="157"/>
      <c r="M1183" s="157"/>
      <c r="N1183" s="157"/>
      <c r="O1183" s="157"/>
      <c r="P1183" s="157"/>
      <c r="Q1183" s="157"/>
      <c r="R1183" s="157"/>
      <c r="S1183" s="157"/>
      <c r="T1183" s="157"/>
      <c r="U1183" s="157"/>
      <c r="V1183" s="158"/>
      <c r="W1183" s="182"/>
      <c r="X1183" s="1">
        <v>40508</v>
      </c>
      <c r="Y1183" s="78">
        <f t="shared" si="155"/>
        <v>24759000</v>
      </c>
      <c r="Z1183" s="78">
        <f t="shared" si="156"/>
        <v>17000000</v>
      </c>
      <c r="AA1183" s="78">
        <f t="shared" si="160"/>
        <v>13680000</v>
      </c>
      <c r="AB1183" s="78">
        <f t="shared" si="157"/>
        <v>0</v>
      </c>
      <c r="AC1183" s="78"/>
      <c r="AD1183" s="78">
        <v>0</v>
      </c>
      <c r="AE1183" s="80">
        <f t="shared" si="159"/>
        <v>55439000</v>
      </c>
      <c r="AF1183" s="82">
        <v>0</v>
      </c>
      <c r="AG1183" s="69">
        <v>40448</v>
      </c>
      <c r="AH1183" s="84">
        <v>58109</v>
      </c>
      <c r="AI1183" s="69" t="s">
        <v>2009</v>
      </c>
      <c r="AJ1183" s="25" t="s">
        <v>2010</v>
      </c>
      <c r="AK1183" s="65">
        <v>24950</v>
      </c>
      <c r="AL1183" s="185" t="s">
        <v>2182</v>
      </c>
      <c r="AM1183" s="173" t="s">
        <v>1794</v>
      </c>
      <c r="AN1183" s="159"/>
      <c r="AO1183" s="160"/>
      <c r="AP1183" s="161"/>
      <c r="AQ1183" s="160"/>
      <c r="AR1183" s="160"/>
      <c r="AS1183" s="160"/>
      <c r="AT1183" s="160"/>
      <c r="AU1183" s="160"/>
      <c r="AV1183" s="160"/>
      <c r="AW1183" s="160"/>
      <c r="AX1183" s="160"/>
      <c r="AY1183" s="160"/>
      <c r="AZ1183" s="160"/>
      <c r="BA1183" s="160"/>
      <c r="BB1183" s="160"/>
      <c r="BC1183" s="160"/>
      <c r="BD1183" s="160"/>
      <c r="BE1183" s="160"/>
      <c r="BF1183" s="160"/>
      <c r="BG1183" s="160"/>
      <c r="BH1183" s="160"/>
      <c r="BI1183" s="160"/>
      <c r="BJ1183" s="160"/>
      <c r="BK1183" s="160"/>
      <c r="BL1183" s="160">
        <v>200</v>
      </c>
      <c r="BM1183" s="160">
        <f>200*25500</f>
        <v>5100000</v>
      </c>
      <c r="BN1183" s="160"/>
      <c r="BO1183" s="160"/>
      <c r="BP1183" s="160"/>
      <c r="BQ1183" s="160"/>
      <c r="BR1183" s="160"/>
      <c r="BS1183" s="160"/>
      <c r="BT1183" s="160"/>
      <c r="BU1183" s="160"/>
      <c r="BV1183" s="160"/>
      <c r="BW1183" s="160"/>
      <c r="BX1183" s="160"/>
      <c r="BY1183" s="160"/>
      <c r="BZ1183" s="160"/>
      <c r="CA1183" s="160"/>
      <c r="CB1183" s="160"/>
      <c r="CC1183" s="160"/>
      <c r="CD1183" s="160"/>
      <c r="CE1183" s="160"/>
      <c r="CF1183" s="160"/>
      <c r="CG1183" s="160"/>
      <c r="CH1183" s="160"/>
      <c r="CI1183" s="160"/>
      <c r="CJ1183" s="160">
        <v>200</v>
      </c>
      <c r="CK1183" s="160">
        <f>200*22000</f>
        <v>4400000</v>
      </c>
      <c r="CL1183" s="160"/>
      <c r="CM1183" s="160"/>
      <c r="CN1183" s="160"/>
      <c r="CO1183" s="160"/>
      <c r="CP1183" s="162">
        <v>200</v>
      </c>
      <c r="CQ1183" s="163">
        <f>200*36595</f>
        <v>7319000</v>
      </c>
      <c r="CR1183" s="162">
        <v>200</v>
      </c>
      <c r="CS1183" s="163">
        <f>200*39700</f>
        <v>7940000</v>
      </c>
      <c r="CT1183" s="162"/>
      <c r="CU1183" s="163"/>
      <c r="CV1183" s="164">
        <f t="shared" si="158"/>
        <v>24759000</v>
      </c>
      <c r="CW1183" s="165"/>
      <c r="CX1183" s="166"/>
      <c r="CY1183" s="167">
        <v>200</v>
      </c>
      <c r="CZ1183" s="168">
        <f>200*85000</f>
        <v>17000000</v>
      </c>
      <c r="DA1183" s="169"/>
      <c r="DB1183" s="168"/>
      <c r="DC1183" s="165">
        <v>600</v>
      </c>
      <c r="DD1183" s="166">
        <f>600*22800</f>
        <v>13680000</v>
      </c>
      <c r="DE1183" s="71"/>
      <c r="DF1183" s="170"/>
      <c r="EO1183" s="353" t="str">
        <f t="shared" si="161"/>
        <v>ANTIOQUIA_ZARAGOZA</v>
      </c>
      <c r="EP1183" s="350"/>
      <c r="EQ1183" s="350"/>
      <c r="ER1183" s="357"/>
      <c r="ES1183" s="350"/>
      <c r="ET1183" s="350"/>
      <c r="EU1183" s="350"/>
    </row>
    <row r="1184" spans="1:151" s="171" customFormat="1" ht="25.5" x14ac:dyDescent="0.2">
      <c r="A1184" s="242">
        <v>40446</v>
      </c>
      <c r="B1184" s="222" t="s">
        <v>1719</v>
      </c>
      <c r="C1184" s="107" t="s">
        <v>1720</v>
      </c>
      <c r="D1184" s="430" t="s">
        <v>2209</v>
      </c>
      <c r="E1184" s="107" t="str">
        <f>VLOOKUP(B1184&amp;C1184,Divipola!$C$2:$F$1138,4,FALSE)</f>
        <v>19001</v>
      </c>
      <c r="F1184" s="333"/>
      <c r="G1184" s="221"/>
      <c r="H1184" s="157"/>
      <c r="I1184" s="157"/>
      <c r="J1184" s="157">
        <v>200</v>
      </c>
      <c r="K1184" s="157">
        <v>40</v>
      </c>
      <c r="L1184" s="157"/>
      <c r="M1184" s="157">
        <v>40</v>
      </c>
      <c r="N1184" s="157"/>
      <c r="O1184" s="157"/>
      <c r="P1184" s="157"/>
      <c r="Q1184" s="157"/>
      <c r="R1184" s="157"/>
      <c r="S1184" s="157"/>
      <c r="T1184" s="157"/>
      <c r="U1184" s="157"/>
      <c r="V1184" s="158"/>
      <c r="W1184" s="182"/>
      <c r="X1184" s="1"/>
      <c r="Y1184" s="78">
        <f t="shared" si="155"/>
        <v>0</v>
      </c>
      <c r="Z1184" s="78">
        <f t="shared" si="156"/>
        <v>0</v>
      </c>
      <c r="AA1184" s="78">
        <f t="shared" si="160"/>
        <v>0</v>
      </c>
      <c r="AB1184" s="78">
        <f t="shared" si="157"/>
        <v>0</v>
      </c>
      <c r="AC1184" s="78"/>
      <c r="AD1184" s="78">
        <v>0</v>
      </c>
      <c r="AE1184" s="80">
        <f t="shared" si="159"/>
        <v>0</v>
      </c>
      <c r="AF1184" s="82">
        <v>0</v>
      </c>
      <c r="AG1184" s="69">
        <v>40448</v>
      </c>
      <c r="AH1184" s="84"/>
      <c r="AI1184" s="69" t="s">
        <v>1984</v>
      </c>
      <c r="AJ1184" s="25" t="s">
        <v>1985</v>
      </c>
      <c r="AK1184" s="65"/>
      <c r="AL1184" s="176" t="s">
        <v>1257</v>
      </c>
      <c r="AM1184" s="173" t="s">
        <v>1693</v>
      </c>
      <c r="AN1184" s="159"/>
      <c r="AO1184" s="160"/>
      <c r="AP1184" s="161"/>
      <c r="AQ1184" s="160"/>
      <c r="AR1184" s="160"/>
      <c r="AS1184" s="160"/>
      <c r="AT1184" s="160"/>
      <c r="AU1184" s="160"/>
      <c r="AV1184" s="160"/>
      <c r="AW1184" s="160"/>
      <c r="AX1184" s="160"/>
      <c r="AY1184" s="160"/>
      <c r="AZ1184" s="160"/>
      <c r="BA1184" s="160"/>
      <c r="BB1184" s="160"/>
      <c r="BC1184" s="160"/>
      <c r="BD1184" s="160"/>
      <c r="BE1184" s="160"/>
      <c r="BF1184" s="160"/>
      <c r="BG1184" s="160"/>
      <c r="BH1184" s="160"/>
      <c r="BI1184" s="160"/>
      <c r="BJ1184" s="160"/>
      <c r="BK1184" s="160"/>
      <c r="BL1184" s="160"/>
      <c r="BM1184" s="160"/>
      <c r="BN1184" s="160"/>
      <c r="BO1184" s="160"/>
      <c r="BP1184" s="160"/>
      <c r="BQ1184" s="160"/>
      <c r="BR1184" s="160"/>
      <c r="BS1184" s="160"/>
      <c r="BT1184" s="160"/>
      <c r="BU1184" s="160"/>
      <c r="BV1184" s="160"/>
      <c r="BW1184" s="160"/>
      <c r="BX1184" s="160"/>
      <c r="BY1184" s="160"/>
      <c r="BZ1184" s="160"/>
      <c r="CA1184" s="160"/>
      <c r="CB1184" s="160"/>
      <c r="CC1184" s="160"/>
      <c r="CD1184" s="160"/>
      <c r="CE1184" s="160"/>
      <c r="CF1184" s="160"/>
      <c r="CG1184" s="160"/>
      <c r="CH1184" s="160"/>
      <c r="CI1184" s="160"/>
      <c r="CJ1184" s="160"/>
      <c r="CK1184" s="160"/>
      <c r="CL1184" s="160"/>
      <c r="CM1184" s="160"/>
      <c r="CN1184" s="160"/>
      <c r="CO1184" s="160"/>
      <c r="CP1184" s="162"/>
      <c r="CQ1184" s="163"/>
      <c r="CR1184" s="162"/>
      <c r="CS1184" s="163"/>
      <c r="CT1184" s="162"/>
      <c r="CU1184" s="163"/>
      <c r="CV1184" s="164">
        <f t="shared" si="158"/>
        <v>0</v>
      </c>
      <c r="CW1184" s="165"/>
      <c r="CX1184" s="166"/>
      <c r="CY1184" s="167"/>
      <c r="CZ1184" s="168"/>
      <c r="DA1184" s="169"/>
      <c r="DB1184" s="168"/>
      <c r="DC1184" s="165"/>
      <c r="DD1184" s="166"/>
      <c r="DE1184" s="71"/>
      <c r="DF1184" s="170"/>
      <c r="EO1184" s="353" t="str">
        <f t="shared" si="161"/>
        <v>CAUCA_POPAYAN</v>
      </c>
      <c r="EP1184" s="350"/>
      <c r="EQ1184" s="350"/>
      <c r="ER1184" s="357"/>
      <c r="ES1184" s="350"/>
      <c r="ET1184" s="350"/>
      <c r="EU1184" s="350"/>
    </row>
    <row r="1185" spans="1:151" s="171" customFormat="1" ht="33.75" x14ac:dyDescent="0.2">
      <c r="A1185" s="242">
        <v>40446</v>
      </c>
      <c r="B1185" s="222" t="s">
        <v>2013</v>
      </c>
      <c r="C1185" s="222" t="s">
        <v>2013</v>
      </c>
      <c r="D1185" s="430" t="s">
        <v>837</v>
      </c>
      <c r="E1185" s="107" t="str">
        <f>VLOOKUP(B1185&amp;C1185,Divipola!$C$2:$F$1138,4,FALSE)</f>
        <v>00000</v>
      </c>
      <c r="F1185" s="333"/>
      <c r="G1185" s="221"/>
      <c r="H1185" s="157"/>
      <c r="I1185" s="157"/>
      <c r="J1185" s="157"/>
      <c r="K1185" s="157"/>
      <c r="L1185" s="157"/>
      <c r="M1185" s="157"/>
      <c r="N1185" s="157"/>
      <c r="O1185" s="157"/>
      <c r="P1185" s="157"/>
      <c r="Q1185" s="157"/>
      <c r="R1185" s="157"/>
      <c r="S1185" s="157"/>
      <c r="T1185" s="157"/>
      <c r="U1185" s="157"/>
      <c r="V1185" s="158"/>
      <c r="W1185" s="182"/>
      <c r="X1185" s="1">
        <v>40508</v>
      </c>
      <c r="Y1185" s="78">
        <f t="shared" si="155"/>
        <v>0</v>
      </c>
      <c r="Z1185" s="78">
        <f t="shared" si="156"/>
        <v>0</v>
      </c>
      <c r="AA1185" s="78">
        <f t="shared" si="160"/>
        <v>0</v>
      </c>
      <c r="AB1185" s="78">
        <f t="shared" si="157"/>
        <v>270454000</v>
      </c>
      <c r="AC1185" s="78"/>
      <c r="AD1185" s="78">
        <v>0</v>
      </c>
      <c r="AE1185" s="80">
        <f t="shared" si="159"/>
        <v>270454000</v>
      </c>
      <c r="AF1185" s="82">
        <v>0</v>
      </c>
      <c r="AG1185" s="69">
        <v>40421</v>
      </c>
      <c r="AH1185" s="84">
        <v>44572</v>
      </c>
      <c r="AI1185" s="69" t="s">
        <v>2009</v>
      </c>
      <c r="AJ1185" s="25" t="s">
        <v>2010</v>
      </c>
      <c r="AK1185" s="88" t="s">
        <v>3806</v>
      </c>
      <c r="AL1185" s="176" t="s">
        <v>1431</v>
      </c>
      <c r="AM1185" s="173" t="s">
        <v>3020</v>
      </c>
      <c r="AN1185" s="159"/>
      <c r="AO1185" s="160"/>
      <c r="AP1185" s="161"/>
      <c r="AQ1185" s="160"/>
      <c r="AR1185" s="160"/>
      <c r="AS1185" s="160"/>
      <c r="AT1185" s="160"/>
      <c r="AU1185" s="160"/>
      <c r="AV1185" s="160"/>
      <c r="AW1185" s="160"/>
      <c r="AX1185" s="160"/>
      <c r="AY1185" s="160"/>
      <c r="AZ1185" s="160"/>
      <c r="BA1185" s="160"/>
      <c r="BB1185" s="160"/>
      <c r="BC1185" s="160"/>
      <c r="BD1185" s="160"/>
      <c r="BE1185" s="160"/>
      <c r="BF1185" s="160"/>
      <c r="BG1185" s="160"/>
      <c r="BH1185" s="160"/>
      <c r="BI1185" s="160"/>
      <c r="BJ1185" s="160"/>
      <c r="BK1185" s="160"/>
      <c r="BL1185" s="160"/>
      <c r="BM1185" s="160"/>
      <c r="BN1185" s="160"/>
      <c r="BO1185" s="160"/>
      <c r="BP1185" s="160"/>
      <c r="BQ1185" s="160"/>
      <c r="BR1185" s="160"/>
      <c r="BS1185" s="160"/>
      <c r="BT1185" s="160"/>
      <c r="BU1185" s="160"/>
      <c r="BV1185" s="160"/>
      <c r="BW1185" s="160"/>
      <c r="BX1185" s="160"/>
      <c r="BY1185" s="160"/>
      <c r="BZ1185" s="160"/>
      <c r="CA1185" s="160"/>
      <c r="CB1185" s="160"/>
      <c r="CC1185" s="160"/>
      <c r="CD1185" s="160"/>
      <c r="CE1185" s="160"/>
      <c r="CF1185" s="160"/>
      <c r="CG1185" s="160"/>
      <c r="CH1185" s="160"/>
      <c r="CI1185" s="160"/>
      <c r="CJ1185" s="160"/>
      <c r="CK1185" s="160"/>
      <c r="CL1185" s="160"/>
      <c r="CM1185" s="160"/>
      <c r="CN1185" s="160"/>
      <c r="CO1185" s="160"/>
      <c r="CP1185" s="162"/>
      <c r="CQ1185" s="163"/>
      <c r="CR1185" s="162"/>
      <c r="CS1185" s="163"/>
      <c r="CT1185" s="162"/>
      <c r="CU1185" s="163"/>
      <c r="CV1185" s="164">
        <f t="shared" si="158"/>
        <v>0</v>
      </c>
      <c r="CW1185" s="165">
        <f>50000+50000+100000+100000</f>
        <v>300000</v>
      </c>
      <c r="CX1185" s="166">
        <f>50000*899+50000*900.16+100000*904.8+100000*900.16</f>
        <v>270454000</v>
      </c>
      <c r="CY1185" s="167"/>
      <c r="CZ1185" s="168"/>
      <c r="DA1185" s="169"/>
      <c r="DB1185" s="168"/>
      <c r="DC1185" s="165"/>
      <c r="DD1185" s="166"/>
      <c r="DE1185" s="71"/>
      <c r="DF1185" s="170"/>
      <c r="EO1185" s="353" t="str">
        <f t="shared" si="161"/>
        <v>NACION_NACION</v>
      </c>
      <c r="EP1185" s="350"/>
      <c r="EQ1185" s="350"/>
      <c r="ER1185" s="357"/>
      <c r="ES1185" s="350"/>
      <c r="ET1185" s="350"/>
      <c r="EU1185" s="350"/>
    </row>
    <row r="1186" spans="1:151" s="171" customFormat="1" ht="25.5" x14ac:dyDescent="0.2">
      <c r="A1186" s="242">
        <v>40446</v>
      </c>
      <c r="B1186" s="107" t="s">
        <v>2012</v>
      </c>
      <c r="C1186" s="222" t="s">
        <v>2761</v>
      </c>
      <c r="D1186" s="427" t="s">
        <v>2307</v>
      </c>
      <c r="E1186" s="107" t="str">
        <f>VLOOKUP(B1186&amp;C1186,Divipola!$C$2:$F$1138,4,FALSE)</f>
        <v>66045</v>
      </c>
      <c r="F1186" s="330"/>
      <c r="G1186" s="221"/>
      <c r="H1186" s="157"/>
      <c r="I1186" s="157"/>
      <c r="J1186" s="157">
        <v>20</v>
      </c>
      <c r="K1186" s="157">
        <v>4</v>
      </c>
      <c r="L1186" s="157">
        <v>4</v>
      </c>
      <c r="M1186" s="157"/>
      <c r="N1186" s="157"/>
      <c r="O1186" s="157"/>
      <c r="P1186" s="157"/>
      <c r="Q1186" s="157"/>
      <c r="R1186" s="157"/>
      <c r="S1186" s="157"/>
      <c r="T1186" s="157"/>
      <c r="U1186" s="157"/>
      <c r="V1186" s="158"/>
      <c r="W1186" s="182"/>
      <c r="X1186" s="1"/>
      <c r="Y1186" s="78">
        <f t="shared" si="155"/>
        <v>0</v>
      </c>
      <c r="Z1186" s="78">
        <f t="shared" si="156"/>
        <v>0</v>
      </c>
      <c r="AA1186" s="78">
        <f t="shared" si="160"/>
        <v>0</v>
      </c>
      <c r="AB1186" s="78">
        <f t="shared" si="157"/>
        <v>0</v>
      </c>
      <c r="AC1186" s="78"/>
      <c r="AD1186" s="78">
        <v>0</v>
      </c>
      <c r="AE1186" s="80">
        <f t="shared" si="159"/>
        <v>0</v>
      </c>
      <c r="AF1186" s="82">
        <v>0</v>
      </c>
      <c r="AG1186" s="69">
        <v>40455</v>
      </c>
      <c r="AH1186" s="84"/>
      <c r="AI1186" s="69" t="s">
        <v>1984</v>
      </c>
      <c r="AJ1186" s="25" t="s">
        <v>1985</v>
      </c>
      <c r="AK1186" s="65"/>
      <c r="AL1186" s="176" t="s">
        <v>1257</v>
      </c>
      <c r="AM1186" s="173" t="s">
        <v>2595</v>
      </c>
      <c r="AN1186" s="159"/>
      <c r="AO1186" s="160"/>
      <c r="AP1186" s="161"/>
      <c r="AQ1186" s="160"/>
      <c r="AR1186" s="160"/>
      <c r="AS1186" s="160"/>
      <c r="AT1186" s="160"/>
      <c r="AU1186" s="160"/>
      <c r="AV1186" s="160"/>
      <c r="AW1186" s="160"/>
      <c r="AX1186" s="160"/>
      <c r="AY1186" s="160"/>
      <c r="AZ1186" s="160"/>
      <c r="BA1186" s="160"/>
      <c r="BB1186" s="160"/>
      <c r="BC1186" s="160"/>
      <c r="BD1186" s="160"/>
      <c r="BE1186" s="160"/>
      <c r="BF1186" s="160"/>
      <c r="BG1186" s="160"/>
      <c r="BH1186" s="160"/>
      <c r="BI1186" s="160"/>
      <c r="BJ1186" s="160"/>
      <c r="BK1186" s="160"/>
      <c r="BL1186" s="160"/>
      <c r="BM1186" s="160"/>
      <c r="BN1186" s="160"/>
      <c r="BO1186" s="160"/>
      <c r="BP1186" s="160"/>
      <c r="BQ1186" s="160"/>
      <c r="BR1186" s="160"/>
      <c r="BS1186" s="160"/>
      <c r="BT1186" s="160"/>
      <c r="BU1186" s="160"/>
      <c r="BV1186" s="160"/>
      <c r="BW1186" s="160"/>
      <c r="BX1186" s="160"/>
      <c r="BY1186" s="160"/>
      <c r="BZ1186" s="160"/>
      <c r="CA1186" s="160"/>
      <c r="CB1186" s="160"/>
      <c r="CC1186" s="160"/>
      <c r="CD1186" s="160"/>
      <c r="CE1186" s="160"/>
      <c r="CF1186" s="160"/>
      <c r="CG1186" s="160"/>
      <c r="CH1186" s="160"/>
      <c r="CI1186" s="160"/>
      <c r="CJ1186" s="160"/>
      <c r="CK1186" s="160"/>
      <c r="CL1186" s="160"/>
      <c r="CM1186" s="160"/>
      <c r="CN1186" s="160"/>
      <c r="CO1186" s="160"/>
      <c r="CP1186" s="162"/>
      <c r="CQ1186" s="163"/>
      <c r="CR1186" s="162"/>
      <c r="CS1186" s="163"/>
      <c r="CT1186" s="162"/>
      <c r="CU1186" s="163"/>
      <c r="CV1186" s="164">
        <f t="shared" si="158"/>
        <v>0</v>
      </c>
      <c r="CW1186" s="165"/>
      <c r="CX1186" s="166"/>
      <c r="CY1186" s="167"/>
      <c r="CZ1186" s="168"/>
      <c r="DA1186" s="169"/>
      <c r="DB1186" s="168"/>
      <c r="DC1186" s="165"/>
      <c r="DD1186" s="166"/>
      <c r="DE1186" s="71"/>
      <c r="DF1186" s="170"/>
      <c r="EO1186" s="353" t="str">
        <f t="shared" si="161"/>
        <v>RISARALDA_APIA</v>
      </c>
      <c r="EP1186" s="350"/>
      <c r="EQ1186" s="350"/>
      <c r="ER1186" s="357"/>
      <c r="ES1186" s="350"/>
      <c r="ET1186" s="350"/>
      <c r="EU1186" s="350"/>
    </row>
    <row r="1187" spans="1:151" s="171" customFormat="1" ht="38.25" x14ac:dyDescent="0.2">
      <c r="A1187" s="242">
        <v>40446</v>
      </c>
      <c r="B1187" s="222" t="s">
        <v>2427</v>
      </c>
      <c r="C1187" s="222" t="s">
        <v>628</v>
      </c>
      <c r="D1187" s="427" t="s">
        <v>2307</v>
      </c>
      <c r="E1187" s="107" t="str">
        <f>VLOOKUP(B1187&amp;C1187,Divipola!$C$2:$F$1138,4,FALSE)</f>
        <v>68001</v>
      </c>
      <c r="F1187" s="330"/>
      <c r="G1187" s="275"/>
      <c r="H1187" s="157"/>
      <c r="I1187" s="157"/>
      <c r="J1187" s="157">
        <v>20</v>
      </c>
      <c r="K1187" s="157">
        <v>5</v>
      </c>
      <c r="L1187" s="157"/>
      <c r="M1187" s="157">
        <v>5</v>
      </c>
      <c r="N1187" s="157"/>
      <c r="O1187" s="157"/>
      <c r="P1187" s="157"/>
      <c r="Q1187" s="157"/>
      <c r="R1187" s="157"/>
      <c r="S1187" s="157"/>
      <c r="T1187" s="157"/>
      <c r="U1187" s="157"/>
      <c r="V1187" s="158"/>
      <c r="W1187" s="182"/>
      <c r="X1187" s="1"/>
      <c r="Y1187" s="78">
        <f t="shared" si="155"/>
        <v>0</v>
      </c>
      <c r="Z1187" s="78">
        <f t="shared" si="156"/>
        <v>0</v>
      </c>
      <c r="AA1187" s="78">
        <f t="shared" si="160"/>
        <v>0</v>
      </c>
      <c r="AB1187" s="78">
        <f t="shared" si="157"/>
        <v>0</v>
      </c>
      <c r="AC1187" s="78"/>
      <c r="AD1187" s="78">
        <v>0</v>
      </c>
      <c r="AE1187" s="80">
        <f t="shared" si="159"/>
        <v>0</v>
      </c>
      <c r="AF1187" s="82">
        <v>0</v>
      </c>
      <c r="AG1187" s="69">
        <v>40448</v>
      </c>
      <c r="AH1187" s="84"/>
      <c r="AI1187" s="69" t="s">
        <v>2009</v>
      </c>
      <c r="AJ1187" s="25" t="s">
        <v>2010</v>
      </c>
      <c r="AK1187" s="65"/>
      <c r="AL1187" s="184" t="s">
        <v>2663</v>
      </c>
      <c r="AM1187" s="173" t="s">
        <v>1694</v>
      </c>
      <c r="AN1187" s="159"/>
      <c r="AO1187" s="160"/>
      <c r="AP1187" s="161"/>
      <c r="AQ1187" s="160"/>
      <c r="AR1187" s="160"/>
      <c r="AS1187" s="160"/>
      <c r="AT1187" s="160"/>
      <c r="AU1187" s="160"/>
      <c r="AV1187" s="160"/>
      <c r="AW1187" s="160"/>
      <c r="AX1187" s="160"/>
      <c r="AY1187" s="160"/>
      <c r="AZ1187" s="160"/>
      <c r="BA1187" s="160"/>
      <c r="BB1187" s="160"/>
      <c r="BC1187" s="160"/>
      <c r="BD1187" s="160"/>
      <c r="BE1187" s="160"/>
      <c r="BF1187" s="160"/>
      <c r="BG1187" s="160"/>
      <c r="BH1187" s="160"/>
      <c r="BI1187" s="160"/>
      <c r="BJ1187" s="160"/>
      <c r="BK1187" s="160"/>
      <c r="BL1187" s="160"/>
      <c r="BM1187" s="160"/>
      <c r="BN1187" s="160"/>
      <c r="BO1187" s="160"/>
      <c r="BP1187" s="160"/>
      <c r="BQ1187" s="160"/>
      <c r="BR1187" s="160"/>
      <c r="BS1187" s="160"/>
      <c r="BT1187" s="160"/>
      <c r="BU1187" s="160"/>
      <c r="BV1187" s="160"/>
      <c r="BW1187" s="160"/>
      <c r="BX1187" s="160"/>
      <c r="BY1187" s="160"/>
      <c r="BZ1187" s="160"/>
      <c r="CA1187" s="160"/>
      <c r="CB1187" s="160"/>
      <c r="CC1187" s="160"/>
      <c r="CD1187" s="160"/>
      <c r="CE1187" s="160"/>
      <c r="CF1187" s="160"/>
      <c r="CG1187" s="160"/>
      <c r="CH1187" s="160"/>
      <c r="CI1187" s="160"/>
      <c r="CJ1187" s="160"/>
      <c r="CK1187" s="160"/>
      <c r="CL1187" s="160"/>
      <c r="CM1187" s="160"/>
      <c r="CN1187" s="160"/>
      <c r="CO1187" s="160"/>
      <c r="CP1187" s="162"/>
      <c r="CQ1187" s="163"/>
      <c r="CR1187" s="162"/>
      <c r="CS1187" s="163"/>
      <c r="CT1187" s="162"/>
      <c r="CU1187" s="163"/>
      <c r="CV1187" s="164">
        <f t="shared" si="158"/>
        <v>0</v>
      </c>
      <c r="CW1187" s="165"/>
      <c r="CX1187" s="166"/>
      <c r="CY1187" s="167"/>
      <c r="CZ1187" s="168"/>
      <c r="DA1187" s="169"/>
      <c r="DB1187" s="168"/>
      <c r="DC1187" s="165"/>
      <c r="DD1187" s="166"/>
      <c r="DE1187" s="71"/>
      <c r="DF1187" s="170"/>
      <c r="EO1187" s="353" t="str">
        <f t="shared" si="161"/>
        <v>SANTANDER_BUCARAMANGA</v>
      </c>
      <c r="EP1187" s="350"/>
      <c r="EQ1187" s="350"/>
      <c r="ER1187" s="357"/>
      <c r="ES1187" s="350"/>
      <c r="ET1187" s="350"/>
      <c r="EU1187" s="350"/>
    </row>
    <row r="1188" spans="1:151" s="171" customFormat="1" ht="38.25" x14ac:dyDescent="0.2">
      <c r="A1188" s="246">
        <v>40447</v>
      </c>
      <c r="B1188" s="280" t="s">
        <v>2401</v>
      </c>
      <c r="C1188" s="280" t="s">
        <v>1922</v>
      </c>
      <c r="D1188" s="432" t="s">
        <v>837</v>
      </c>
      <c r="E1188" s="107" t="str">
        <f>VLOOKUP(B1188&amp;C1188,Divipola!$C$2:$F$1138,4,FALSE)</f>
        <v>05209</v>
      </c>
      <c r="F1188" s="337"/>
      <c r="G1188" s="221"/>
      <c r="H1188" s="157"/>
      <c r="I1188" s="157"/>
      <c r="J1188" s="157">
        <v>50</v>
      </c>
      <c r="K1188" s="157">
        <v>10</v>
      </c>
      <c r="L1188" s="157"/>
      <c r="M1188" s="157">
        <v>10</v>
      </c>
      <c r="N1188" s="157"/>
      <c r="O1188" s="157"/>
      <c r="P1188" s="157"/>
      <c r="Q1188" s="157"/>
      <c r="R1188" s="157"/>
      <c r="S1188" s="157"/>
      <c r="T1188" s="157"/>
      <c r="U1188" s="157"/>
      <c r="V1188" s="158"/>
      <c r="W1188" s="182"/>
      <c r="X1188" s="1"/>
      <c r="Y1188" s="78">
        <f t="shared" si="155"/>
        <v>0</v>
      </c>
      <c r="Z1188" s="78">
        <f t="shared" si="156"/>
        <v>0</v>
      </c>
      <c r="AA1188" s="78">
        <f t="shared" si="160"/>
        <v>0</v>
      </c>
      <c r="AB1188" s="78">
        <f t="shared" si="157"/>
        <v>0</v>
      </c>
      <c r="AC1188" s="78"/>
      <c r="AD1188" s="78">
        <v>0</v>
      </c>
      <c r="AE1188" s="80">
        <f t="shared" si="159"/>
        <v>0</v>
      </c>
      <c r="AF1188" s="82">
        <v>0</v>
      </c>
      <c r="AG1188" s="69">
        <v>40448</v>
      </c>
      <c r="AH1188" s="84"/>
      <c r="AI1188" s="69" t="s">
        <v>2009</v>
      </c>
      <c r="AJ1188" s="25" t="s">
        <v>2010</v>
      </c>
      <c r="AK1188" s="65"/>
      <c r="AL1188" s="184" t="s">
        <v>2519</v>
      </c>
      <c r="AM1188" s="173" t="s">
        <v>2552</v>
      </c>
      <c r="AN1188" s="159"/>
      <c r="AO1188" s="160"/>
      <c r="AP1188" s="161"/>
      <c r="AQ1188" s="160"/>
      <c r="AR1188" s="160"/>
      <c r="AS1188" s="160"/>
      <c r="AT1188" s="160"/>
      <c r="AU1188" s="160"/>
      <c r="AV1188" s="160"/>
      <c r="AW1188" s="160"/>
      <c r="AX1188" s="160"/>
      <c r="AY1188" s="160"/>
      <c r="AZ1188" s="160"/>
      <c r="BA1188" s="160"/>
      <c r="BB1188" s="160"/>
      <c r="BC1188" s="160"/>
      <c r="BD1188" s="160"/>
      <c r="BE1188" s="160"/>
      <c r="BF1188" s="160"/>
      <c r="BG1188" s="160"/>
      <c r="BH1188" s="160"/>
      <c r="BI1188" s="160"/>
      <c r="BJ1188" s="160"/>
      <c r="BK1188" s="160"/>
      <c r="BL1188" s="160"/>
      <c r="BM1188" s="160"/>
      <c r="BN1188" s="160"/>
      <c r="BO1188" s="160"/>
      <c r="BP1188" s="160"/>
      <c r="BQ1188" s="160"/>
      <c r="BR1188" s="160"/>
      <c r="BS1188" s="160"/>
      <c r="BT1188" s="160"/>
      <c r="BU1188" s="160"/>
      <c r="BV1188" s="160"/>
      <c r="BW1188" s="160"/>
      <c r="BX1188" s="160"/>
      <c r="BY1188" s="160"/>
      <c r="BZ1188" s="160"/>
      <c r="CA1188" s="160"/>
      <c r="CB1188" s="160"/>
      <c r="CC1188" s="160"/>
      <c r="CD1188" s="160"/>
      <c r="CE1188" s="160"/>
      <c r="CF1188" s="160"/>
      <c r="CG1188" s="160"/>
      <c r="CH1188" s="160"/>
      <c r="CI1188" s="160"/>
      <c r="CJ1188" s="160"/>
      <c r="CK1188" s="160"/>
      <c r="CL1188" s="160"/>
      <c r="CM1188" s="160"/>
      <c r="CN1188" s="160"/>
      <c r="CO1188" s="160"/>
      <c r="CP1188" s="162"/>
      <c r="CQ1188" s="163"/>
      <c r="CR1188" s="162"/>
      <c r="CS1188" s="163"/>
      <c r="CT1188" s="162"/>
      <c r="CU1188" s="163"/>
      <c r="CV1188" s="164">
        <f t="shared" si="158"/>
        <v>0</v>
      </c>
      <c r="CW1188" s="165"/>
      <c r="CX1188" s="166"/>
      <c r="CY1188" s="167"/>
      <c r="CZ1188" s="168"/>
      <c r="DA1188" s="169"/>
      <c r="DB1188" s="168"/>
      <c r="DC1188" s="165"/>
      <c r="DD1188" s="166"/>
      <c r="DE1188" s="71"/>
      <c r="DF1188" s="170"/>
      <c r="EO1188" s="353" t="str">
        <f t="shared" si="161"/>
        <v>ANTIOQUIA_CONCORDIA</v>
      </c>
      <c r="EP1188" s="350"/>
      <c r="EQ1188" s="350"/>
      <c r="ER1188" s="357"/>
      <c r="ES1188" s="350"/>
      <c r="ET1188" s="350"/>
      <c r="EU1188" s="350"/>
    </row>
    <row r="1189" spans="1:151" s="171" customFormat="1" ht="25.5" x14ac:dyDescent="0.2">
      <c r="A1189" s="246">
        <v>40447</v>
      </c>
      <c r="B1189" s="280" t="s">
        <v>2401</v>
      </c>
      <c r="C1189" s="280" t="s">
        <v>2356</v>
      </c>
      <c r="D1189" s="432" t="s">
        <v>837</v>
      </c>
      <c r="E1189" s="107" t="str">
        <f>VLOOKUP(B1189&amp;C1189,Divipola!$C$2:$F$1138,4,FALSE)</f>
        <v>05368</v>
      </c>
      <c r="F1189" s="337"/>
      <c r="G1189" s="221"/>
      <c r="H1189" s="157"/>
      <c r="I1189" s="157"/>
      <c r="J1189" s="157">
        <v>129</v>
      </c>
      <c r="K1189" s="157">
        <v>39</v>
      </c>
      <c r="L1189" s="157">
        <v>11</v>
      </c>
      <c r="M1189" s="157">
        <v>26</v>
      </c>
      <c r="N1189" s="157">
        <v>1</v>
      </c>
      <c r="O1189" s="157"/>
      <c r="P1189" s="157"/>
      <c r="Q1189" s="157"/>
      <c r="R1189" s="157"/>
      <c r="S1189" s="157"/>
      <c r="T1189" s="157"/>
      <c r="U1189" s="157"/>
      <c r="V1189" s="158"/>
      <c r="W1189" s="182"/>
      <c r="X1189" s="1"/>
      <c r="Y1189" s="78">
        <f t="shared" si="155"/>
        <v>0</v>
      </c>
      <c r="Z1189" s="78">
        <f t="shared" si="156"/>
        <v>0</v>
      </c>
      <c r="AA1189" s="78">
        <f t="shared" si="160"/>
        <v>0</v>
      </c>
      <c r="AB1189" s="78">
        <f t="shared" si="157"/>
        <v>0</v>
      </c>
      <c r="AC1189" s="78"/>
      <c r="AD1189" s="78">
        <v>0</v>
      </c>
      <c r="AE1189" s="80">
        <f t="shared" si="159"/>
        <v>0</v>
      </c>
      <c r="AF1189" s="82">
        <v>0</v>
      </c>
      <c r="AG1189" s="69">
        <v>40448</v>
      </c>
      <c r="AH1189" s="84"/>
      <c r="AI1189" s="69" t="s">
        <v>1984</v>
      </c>
      <c r="AJ1189" s="25" t="s">
        <v>1985</v>
      </c>
      <c r="AK1189" s="65"/>
      <c r="AL1189" s="176" t="s">
        <v>1257</v>
      </c>
      <c r="AM1189" s="173" t="s">
        <v>2556</v>
      </c>
      <c r="AN1189" s="159"/>
      <c r="AO1189" s="160"/>
      <c r="AP1189" s="161"/>
      <c r="AQ1189" s="160"/>
      <c r="AR1189" s="160"/>
      <c r="AS1189" s="160"/>
      <c r="AT1189" s="160"/>
      <c r="AU1189" s="160"/>
      <c r="AV1189" s="160"/>
      <c r="AW1189" s="160"/>
      <c r="AX1189" s="160"/>
      <c r="AY1189" s="160"/>
      <c r="AZ1189" s="160"/>
      <c r="BA1189" s="160"/>
      <c r="BB1189" s="160"/>
      <c r="BC1189" s="160"/>
      <c r="BD1189" s="160"/>
      <c r="BE1189" s="160"/>
      <c r="BF1189" s="160"/>
      <c r="BG1189" s="160"/>
      <c r="BH1189" s="160"/>
      <c r="BI1189" s="160"/>
      <c r="BJ1189" s="160"/>
      <c r="BK1189" s="160"/>
      <c r="BL1189" s="160"/>
      <c r="BM1189" s="160"/>
      <c r="BN1189" s="160"/>
      <c r="BO1189" s="160"/>
      <c r="BP1189" s="160"/>
      <c r="BQ1189" s="160"/>
      <c r="BR1189" s="160"/>
      <c r="BS1189" s="160"/>
      <c r="BT1189" s="160"/>
      <c r="BU1189" s="160"/>
      <c r="BV1189" s="160"/>
      <c r="BW1189" s="160"/>
      <c r="BX1189" s="160"/>
      <c r="BY1189" s="160"/>
      <c r="BZ1189" s="160"/>
      <c r="CA1189" s="160"/>
      <c r="CB1189" s="160"/>
      <c r="CC1189" s="160"/>
      <c r="CD1189" s="160"/>
      <c r="CE1189" s="160"/>
      <c r="CF1189" s="160"/>
      <c r="CG1189" s="160"/>
      <c r="CH1189" s="160"/>
      <c r="CI1189" s="160"/>
      <c r="CJ1189" s="160"/>
      <c r="CK1189" s="160"/>
      <c r="CL1189" s="160"/>
      <c r="CM1189" s="160"/>
      <c r="CN1189" s="160"/>
      <c r="CO1189" s="160"/>
      <c r="CP1189" s="162"/>
      <c r="CQ1189" s="163"/>
      <c r="CR1189" s="162"/>
      <c r="CS1189" s="163"/>
      <c r="CT1189" s="162"/>
      <c r="CU1189" s="163"/>
      <c r="CV1189" s="164">
        <f t="shared" si="158"/>
        <v>0</v>
      </c>
      <c r="CW1189" s="165"/>
      <c r="CX1189" s="166"/>
      <c r="CY1189" s="167"/>
      <c r="CZ1189" s="168"/>
      <c r="DA1189" s="169"/>
      <c r="DB1189" s="168"/>
      <c r="DC1189" s="165"/>
      <c r="DD1189" s="166"/>
      <c r="DE1189" s="71"/>
      <c r="DF1189" s="170"/>
      <c r="EO1189" s="353" t="str">
        <f t="shared" si="161"/>
        <v>ANTIOQUIA_JERICO</v>
      </c>
      <c r="EP1189" s="350"/>
      <c r="EQ1189" s="350"/>
      <c r="ER1189" s="357"/>
      <c r="ES1189" s="350"/>
      <c r="ET1189" s="350"/>
      <c r="EU1189" s="350"/>
    </row>
    <row r="1190" spans="1:151" s="171" customFormat="1" ht="25.5" x14ac:dyDescent="0.2">
      <c r="A1190" s="246">
        <v>40447</v>
      </c>
      <c r="B1190" s="280" t="s">
        <v>2401</v>
      </c>
      <c r="C1190" s="280" t="s">
        <v>113</v>
      </c>
      <c r="D1190" s="432" t="s">
        <v>837</v>
      </c>
      <c r="E1190" s="107" t="str">
        <f>VLOOKUP(B1190&amp;C1190,Divipola!$C$2:$F$1138,4,FALSE)</f>
        <v>05400</v>
      </c>
      <c r="F1190" s="337"/>
      <c r="G1190" s="221"/>
      <c r="H1190" s="157"/>
      <c r="I1190" s="157"/>
      <c r="J1190" s="157">
        <v>1500</v>
      </c>
      <c r="K1190" s="157">
        <v>300</v>
      </c>
      <c r="L1190" s="157"/>
      <c r="M1190" s="157">
        <f>300-41</f>
        <v>259</v>
      </c>
      <c r="N1190" s="157"/>
      <c r="O1190" s="157"/>
      <c r="P1190" s="157"/>
      <c r="Q1190" s="157"/>
      <c r="R1190" s="157"/>
      <c r="S1190" s="157"/>
      <c r="T1190" s="157"/>
      <c r="U1190" s="157"/>
      <c r="V1190" s="158"/>
      <c r="W1190" s="182" t="s">
        <v>2558</v>
      </c>
      <c r="X1190" s="1"/>
      <c r="Y1190" s="78">
        <f t="shared" si="155"/>
        <v>0</v>
      </c>
      <c r="Z1190" s="78">
        <f t="shared" si="156"/>
        <v>0</v>
      </c>
      <c r="AA1190" s="78">
        <f t="shared" si="160"/>
        <v>0</v>
      </c>
      <c r="AB1190" s="78">
        <f t="shared" si="157"/>
        <v>0</v>
      </c>
      <c r="AC1190" s="78"/>
      <c r="AD1190" s="78">
        <v>0</v>
      </c>
      <c r="AE1190" s="80">
        <f t="shared" si="159"/>
        <v>0</v>
      </c>
      <c r="AF1190" s="82">
        <v>0</v>
      </c>
      <c r="AG1190" s="69">
        <v>40448</v>
      </c>
      <c r="AH1190" s="84"/>
      <c r="AI1190" s="69" t="s">
        <v>1984</v>
      </c>
      <c r="AJ1190" s="25" t="s">
        <v>1985</v>
      </c>
      <c r="AK1190" s="65"/>
      <c r="AL1190" s="176" t="s">
        <v>1257</v>
      </c>
      <c r="AM1190" s="173" t="s">
        <v>2557</v>
      </c>
      <c r="AN1190" s="159"/>
      <c r="AO1190" s="160"/>
      <c r="AP1190" s="161"/>
      <c r="AQ1190" s="160"/>
      <c r="AR1190" s="160"/>
      <c r="AS1190" s="160"/>
      <c r="AT1190" s="160"/>
      <c r="AU1190" s="160"/>
      <c r="AV1190" s="160"/>
      <c r="AW1190" s="160"/>
      <c r="AX1190" s="160"/>
      <c r="AY1190" s="160"/>
      <c r="AZ1190" s="160"/>
      <c r="BA1190" s="160"/>
      <c r="BB1190" s="160"/>
      <c r="BC1190" s="160"/>
      <c r="BD1190" s="160"/>
      <c r="BE1190" s="160"/>
      <c r="BF1190" s="160"/>
      <c r="BG1190" s="160"/>
      <c r="BH1190" s="160"/>
      <c r="BI1190" s="160"/>
      <c r="BJ1190" s="160"/>
      <c r="BK1190" s="160"/>
      <c r="BL1190" s="160"/>
      <c r="BM1190" s="160"/>
      <c r="BN1190" s="160"/>
      <c r="BO1190" s="160"/>
      <c r="BP1190" s="160"/>
      <c r="BQ1190" s="160"/>
      <c r="BR1190" s="160"/>
      <c r="BS1190" s="160"/>
      <c r="BT1190" s="160"/>
      <c r="BU1190" s="160"/>
      <c r="BV1190" s="160"/>
      <c r="BW1190" s="160"/>
      <c r="BX1190" s="160"/>
      <c r="BY1190" s="160"/>
      <c r="BZ1190" s="160"/>
      <c r="CA1190" s="160"/>
      <c r="CB1190" s="160"/>
      <c r="CC1190" s="160"/>
      <c r="CD1190" s="160"/>
      <c r="CE1190" s="160"/>
      <c r="CF1190" s="160"/>
      <c r="CG1190" s="160"/>
      <c r="CH1190" s="160"/>
      <c r="CI1190" s="160"/>
      <c r="CJ1190" s="160"/>
      <c r="CK1190" s="160"/>
      <c r="CL1190" s="160"/>
      <c r="CM1190" s="160"/>
      <c r="CN1190" s="160"/>
      <c r="CO1190" s="160"/>
      <c r="CP1190" s="162"/>
      <c r="CQ1190" s="163"/>
      <c r="CR1190" s="162"/>
      <c r="CS1190" s="163"/>
      <c r="CT1190" s="162"/>
      <c r="CU1190" s="163"/>
      <c r="CV1190" s="164">
        <f t="shared" si="158"/>
        <v>0</v>
      </c>
      <c r="CW1190" s="165"/>
      <c r="CX1190" s="166"/>
      <c r="CY1190" s="167"/>
      <c r="CZ1190" s="168"/>
      <c r="DA1190" s="169"/>
      <c r="DB1190" s="168"/>
      <c r="DC1190" s="165"/>
      <c r="DD1190" s="166"/>
      <c r="DE1190" s="71"/>
      <c r="DF1190" s="170"/>
      <c r="EO1190" s="353" t="str">
        <f t="shared" si="161"/>
        <v>ANTIOQUIA_LA UNION</v>
      </c>
      <c r="EP1190" s="350"/>
      <c r="EQ1190" s="350"/>
      <c r="ER1190" s="357"/>
      <c r="ES1190" s="350"/>
      <c r="ET1190" s="350"/>
      <c r="EU1190" s="350"/>
    </row>
    <row r="1191" spans="1:151" s="171" customFormat="1" ht="25.5" x14ac:dyDescent="0.2">
      <c r="A1191" s="246">
        <v>40447</v>
      </c>
      <c r="B1191" s="280" t="s">
        <v>2401</v>
      </c>
      <c r="C1191" s="280" t="s">
        <v>2549</v>
      </c>
      <c r="D1191" s="431" t="s">
        <v>2307</v>
      </c>
      <c r="E1191" s="107" t="str">
        <f>VLOOKUP(B1191&amp;C1191,Divipola!$C$2:$F$1138,4,FALSE)</f>
        <v>05425</v>
      </c>
      <c r="F1191" s="334"/>
      <c r="G1191" s="221"/>
      <c r="H1191" s="157"/>
      <c r="I1191" s="157"/>
      <c r="J1191" s="157">
        <v>15</v>
      </c>
      <c r="K1191" s="157">
        <v>3</v>
      </c>
      <c r="L1191" s="157"/>
      <c r="M1191" s="157">
        <v>3</v>
      </c>
      <c r="N1191" s="157"/>
      <c r="O1191" s="157"/>
      <c r="P1191" s="157"/>
      <c r="Q1191" s="157"/>
      <c r="R1191" s="157"/>
      <c r="S1191" s="157"/>
      <c r="T1191" s="157"/>
      <c r="U1191" s="157"/>
      <c r="V1191" s="158"/>
      <c r="W1191" s="182"/>
      <c r="X1191" s="1"/>
      <c r="Y1191" s="78">
        <f t="shared" si="155"/>
        <v>0</v>
      </c>
      <c r="Z1191" s="78">
        <f t="shared" si="156"/>
        <v>0</v>
      </c>
      <c r="AA1191" s="78">
        <f t="shared" si="160"/>
        <v>0</v>
      </c>
      <c r="AB1191" s="78">
        <f t="shared" si="157"/>
        <v>0</v>
      </c>
      <c r="AC1191" s="78"/>
      <c r="AD1191" s="78">
        <v>0</v>
      </c>
      <c r="AE1191" s="80">
        <f t="shared" si="159"/>
        <v>0</v>
      </c>
      <c r="AF1191" s="82">
        <v>0</v>
      </c>
      <c r="AG1191" s="69">
        <v>40448</v>
      </c>
      <c r="AH1191" s="84"/>
      <c r="AI1191" s="69" t="s">
        <v>1984</v>
      </c>
      <c r="AJ1191" s="25" t="s">
        <v>1985</v>
      </c>
      <c r="AK1191" s="65"/>
      <c r="AL1191" s="176" t="s">
        <v>1257</v>
      </c>
      <c r="AM1191" s="173" t="s">
        <v>2550</v>
      </c>
      <c r="AN1191" s="159"/>
      <c r="AO1191" s="160"/>
      <c r="AP1191" s="161"/>
      <c r="AQ1191" s="160"/>
      <c r="AR1191" s="160"/>
      <c r="AS1191" s="160"/>
      <c r="AT1191" s="160"/>
      <c r="AU1191" s="160"/>
      <c r="AV1191" s="160"/>
      <c r="AW1191" s="160"/>
      <c r="AX1191" s="160"/>
      <c r="AY1191" s="160"/>
      <c r="AZ1191" s="160"/>
      <c r="BA1191" s="160"/>
      <c r="BB1191" s="160"/>
      <c r="BC1191" s="160"/>
      <c r="BD1191" s="160"/>
      <c r="BE1191" s="160"/>
      <c r="BF1191" s="160"/>
      <c r="BG1191" s="160"/>
      <c r="BH1191" s="160"/>
      <c r="BI1191" s="160"/>
      <c r="BJ1191" s="160"/>
      <c r="BK1191" s="160"/>
      <c r="BL1191" s="160"/>
      <c r="BM1191" s="160"/>
      <c r="BN1191" s="160"/>
      <c r="BO1191" s="160"/>
      <c r="BP1191" s="160"/>
      <c r="BQ1191" s="160"/>
      <c r="BR1191" s="160"/>
      <c r="BS1191" s="160"/>
      <c r="BT1191" s="160"/>
      <c r="BU1191" s="160"/>
      <c r="BV1191" s="160"/>
      <c r="BW1191" s="160"/>
      <c r="BX1191" s="160"/>
      <c r="BY1191" s="160"/>
      <c r="BZ1191" s="160"/>
      <c r="CA1191" s="160"/>
      <c r="CB1191" s="160"/>
      <c r="CC1191" s="160"/>
      <c r="CD1191" s="160"/>
      <c r="CE1191" s="160"/>
      <c r="CF1191" s="160"/>
      <c r="CG1191" s="160"/>
      <c r="CH1191" s="160"/>
      <c r="CI1191" s="160"/>
      <c r="CJ1191" s="160"/>
      <c r="CK1191" s="160"/>
      <c r="CL1191" s="160"/>
      <c r="CM1191" s="160"/>
      <c r="CN1191" s="160"/>
      <c r="CO1191" s="160"/>
      <c r="CP1191" s="162"/>
      <c r="CQ1191" s="163"/>
      <c r="CR1191" s="162"/>
      <c r="CS1191" s="163"/>
      <c r="CT1191" s="162"/>
      <c r="CU1191" s="163"/>
      <c r="CV1191" s="164">
        <f t="shared" si="158"/>
        <v>0</v>
      </c>
      <c r="CW1191" s="165"/>
      <c r="CX1191" s="166"/>
      <c r="CY1191" s="167"/>
      <c r="CZ1191" s="168"/>
      <c r="DA1191" s="169"/>
      <c r="DB1191" s="168"/>
      <c r="DC1191" s="165"/>
      <c r="DD1191" s="166"/>
      <c r="DE1191" s="71"/>
      <c r="DF1191" s="170"/>
      <c r="EO1191" s="353" t="str">
        <f t="shared" si="161"/>
        <v>ANTIOQUIA_MACEO</v>
      </c>
      <c r="EP1191" s="350"/>
      <c r="EQ1191" s="350"/>
      <c r="ER1191" s="357"/>
      <c r="ES1191" s="350"/>
      <c r="ET1191" s="350"/>
      <c r="EU1191" s="350"/>
    </row>
    <row r="1192" spans="1:151" s="171" customFormat="1" ht="38.25" x14ac:dyDescent="0.2">
      <c r="A1192" s="246">
        <v>40447</v>
      </c>
      <c r="B1192" s="280" t="s">
        <v>2401</v>
      </c>
      <c r="C1192" s="280" t="s">
        <v>2554</v>
      </c>
      <c r="D1192" s="432" t="s">
        <v>2209</v>
      </c>
      <c r="E1192" s="107" t="str">
        <f>VLOOKUP(B1192&amp;C1192,Divipola!$C$2:$F$1138,4,FALSE)</f>
        <v>05674</v>
      </c>
      <c r="F1192" s="337"/>
      <c r="G1192" s="221"/>
      <c r="H1192" s="157"/>
      <c r="I1192" s="157"/>
      <c r="J1192" s="157"/>
      <c r="K1192" s="157"/>
      <c r="L1192" s="157"/>
      <c r="M1192" s="157"/>
      <c r="N1192" s="157"/>
      <c r="O1192" s="157"/>
      <c r="P1192" s="157"/>
      <c r="Q1192" s="157"/>
      <c r="R1192" s="157"/>
      <c r="S1192" s="157"/>
      <c r="T1192" s="157"/>
      <c r="U1192" s="157">
        <v>1</v>
      </c>
      <c r="V1192" s="158"/>
      <c r="W1192" s="182"/>
      <c r="X1192" s="1"/>
      <c r="Y1192" s="78">
        <f t="shared" si="155"/>
        <v>0</v>
      </c>
      <c r="Z1192" s="78">
        <f t="shared" si="156"/>
        <v>0</v>
      </c>
      <c r="AA1192" s="78">
        <f t="shared" si="160"/>
        <v>0</v>
      </c>
      <c r="AB1192" s="78">
        <f t="shared" si="157"/>
        <v>0</v>
      </c>
      <c r="AC1192" s="78"/>
      <c r="AD1192" s="78">
        <v>0</v>
      </c>
      <c r="AE1192" s="80">
        <f t="shared" si="159"/>
        <v>0</v>
      </c>
      <c r="AF1192" s="82">
        <v>0</v>
      </c>
      <c r="AG1192" s="69">
        <v>40448</v>
      </c>
      <c r="AH1192" s="84"/>
      <c r="AI1192" s="69" t="s">
        <v>1984</v>
      </c>
      <c r="AJ1192" s="25" t="s">
        <v>1985</v>
      </c>
      <c r="AK1192" s="65"/>
      <c r="AL1192" s="176" t="s">
        <v>1257</v>
      </c>
      <c r="AM1192" s="173" t="s">
        <v>2555</v>
      </c>
      <c r="AN1192" s="159"/>
      <c r="AO1192" s="160"/>
      <c r="AP1192" s="161"/>
      <c r="AQ1192" s="160"/>
      <c r="AR1192" s="160"/>
      <c r="AS1192" s="160"/>
      <c r="AT1192" s="160"/>
      <c r="AU1192" s="160"/>
      <c r="AV1192" s="160"/>
      <c r="AW1192" s="160"/>
      <c r="AX1192" s="160"/>
      <c r="AY1192" s="160"/>
      <c r="AZ1192" s="160"/>
      <c r="BA1192" s="160"/>
      <c r="BB1192" s="160"/>
      <c r="BC1192" s="160"/>
      <c r="BD1192" s="160"/>
      <c r="BE1192" s="160"/>
      <c r="BF1192" s="160"/>
      <c r="BG1192" s="160"/>
      <c r="BH1192" s="160"/>
      <c r="BI1192" s="160"/>
      <c r="BJ1192" s="160"/>
      <c r="BK1192" s="160"/>
      <c r="BL1192" s="160"/>
      <c r="BM1192" s="160"/>
      <c r="BN1192" s="160"/>
      <c r="BO1192" s="160"/>
      <c r="BP1192" s="160"/>
      <c r="BQ1192" s="160"/>
      <c r="BR1192" s="160"/>
      <c r="BS1192" s="160"/>
      <c r="BT1192" s="160"/>
      <c r="BU1192" s="160"/>
      <c r="BV1192" s="160"/>
      <c r="BW1192" s="160"/>
      <c r="BX1192" s="160"/>
      <c r="BY1192" s="160"/>
      <c r="BZ1192" s="160"/>
      <c r="CA1192" s="160"/>
      <c r="CB1192" s="160"/>
      <c r="CC1192" s="160"/>
      <c r="CD1192" s="160"/>
      <c r="CE1192" s="160"/>
      <c r="CF1192" s="160"/>
      <c r="CG1192" s="160"/>
      <c r="CH1192" s="160"/>
      <c r="CI1192" s="160"/>
      <c r="CJ1192" s="160"/>
      <c r="CK1192" s="160"/>
      <c r="CL1192" s="160"/>
      <c r="CM1192" s="160"/>
      <c r="CN1192" s="160"/>
      <c r="CO1192" s="160"/>
      <c r="CP1192" s="162"/>
      <c r="CQ1192" s="163"/>
      <c r="CR1192" s="162"/>
      <c r="CS1192" s="163"/>
      <c r="CT1192" s="162"/>
      <c r="CU1192" s="163"/>
      <c r="CV1192" s="164">
        <f t="shared" si="158"/>
        <v>0</v>
      </c>
      <c r="CW1192" s="165"/>
      <c r="CX1192" s="166"/>
      <c r="CY1192" s="167"/>
      <c r="CZ1192" s="168"/>
      <c r="DA1192" s="169"/>
      <c r="DB1192" s="168"/>
      <c r="DC1192" s="165"/>
      <c r="DD1192" s="166"/>
      <c r="DE1192" s="71"/>
      <c r="DF1192" s="170"/>
      <c r="EO1192" s="353" t="str">
        <f t="shared" si="161"/>
        <v>ANTIOQUIA_SAN VICENTE</v>
      </c>
      <c r="EP1192" s="350"/>
      <c r="EQ1192" s="350"/>
      <c r="ER1192" s="357"/>
      <c r="ES1192" s="350"/>
      <c r="ET1192" s="350"/>
      <c r="EU1192" s="350"/>
    </row>
    <row r="1193" spans="1:151" s="171" customFormat="1" ht="38.25" x14ac:dyDescent="0.2">
      <c r="A1193" s="246">
        <v>40447</v>
      </c>
      <c r="B1193" s="280" t="s">
        <v>2401</v>
      </c>
      <c r="C1193" s="280" t="s">
        <v>1536</v>
      </c>
      <c r="D1193" s="431" t="s">
        <v>2307</v>
      </c>
      <c r="E1193" s="107" t="str">
        <f>VLOOKUP(B1193&amp;C1193,Divipola!$C$2:$F$1138,4,FALSE)</f>
        <v>05679</v>
      </c>
      <c r="F1193" s="334"/>
      <c r="G1193" s="221"/>
      <c r="H1193" s="157"/>
      <c r="I1193" s="157"/>
      <c r="J1193" s="157">
        <v>3</v>
      </c>
      <c r="K1193" s="157">
        <v>1</v>
      </c>
      <c r="L1193" s="157"/>
      <c r="M1193" s="157">
        <v>1</v>
      </c>
      <c r="N1193" s="157"/>
      <c r="O1193" s="157"/>
      <c r="P1193" s="157"/>
      <c r="Q1193" s="157"/>
      <c r="R1193" s="157"/>
      <c r="S1193" s="157"/>
      <c r="T1193" s="157"/>
      <c r="U1193" s="157"/>
      <c r="V1193" s="158"/>
      <c r="W1193" s="182"/>
      <c r="X1193" s="1"/>
      <c r="Y1193" s="78">
        <f t="shared" si="155"/>
        <v>0</v>
      </c>
      <c r="Z1193" s="78">
        <f t="shared" si="156"/>
        <v>0</v>
      </c>
      <c r="AA1193" s="78">
        <f t="shared" si="160"/>
        <v>0</v>
      </c>
      <c r="AB1193" s="78">
        <f t="shared" si="157"/>
        <v>0</v>
      </c>
      <c r="AC1193" s="78"/>
      <c r="AD1193" s="78">
        <v>0</v>
      </c>
      <c r="AE1193" s="80">
        <f t="shared" si="159"/>
        <v>0</v>
      </c>
      <c r="AF1193" s="82">
        <v>0</v>
      </c>
      <c r="AG1193" s="69">
        <v>40448</v>
      </c>
      <c r="AH1193" s="84"/>
      <c r="AI1193" s="69" t="s">
        <v>1984</v>
      </c>
      <c r="AJ1193" s="25" t="s">
        <v>1985</v>
      </c>
      <c r="AK1193" s="65"/>
      <c r="AL1193" s="176" t="s">
        <v>1257</v>
      </c>
      <c r="AM1193" s="173" t="s">
        <v>2553</v>
      </c>
      <c r="AN1193" s="159"/>
      <c r="AO1193" s="160"/>
      <c r="AP1193" s="161"/>
      <c r="AQ1193" s="160"/>
      <c r="AR1193" s="160"/>
      <c r="AS1193" s="160"/>
      <c r="AT1193" s="160"/>
      <c r="AU1193" s="160"/>
      <c r="AV1193" s="160"/>
      <c r="AW1193" s="160"/>
      <c r="AX1193" s="160"/>
      <c r="AY1193" s="160"/>
      <c r="AZ1193" s="160"/>
      <c r="BA1193" s="160"/>
      <c r="BB1193" s="160"/>
      <c r="BC1193" s="160"/>
      <c r="BD1193" s="160"/>
      <c r="BE1193" s="160"/>
      <c r="BF1193" s="160"/>
      <c r="BG1193" s="160"/>
      <c r="BH1193" s="160"/>
      <c r="BI1193" s="160"/>
      <c r="BJ1193" s="160"/>
      <c r="BK1193" s="160"/>
      <c r="BL1193" s="160"/>
      <c r="BM1193" s="160"/>
      <c r="BN1193" s="160"/>
      <c r="BO1193" s="160"/>
      <c r="BP1193" s="160"/>
      <c r="BQ1193" s="160"/>
      <c r="BR1193" s="160"/>
      <c r="BS1193" s="160"/>
      <c r="BT1193" s="160"/>
      <c r="BU1193" s="160"/>
      <c r="BV1193" s="160"/>
      <c r="BW1193" s="160"/>
      <c r="BX1193" s="160"/>
      <c r="BY1193" s="160"/>
      <c r="BZ1193" s="160"/>
      <c r="CA1193" s="160"/>
      <c r="CB1193" s="160"/>
      <c r="CC1193" s="160"/>
      <c r="CD1193" s="160"/>
      <c r="CE1193" s="160"/>
      <c r="CF1193" s="160"/>
      <c r="CG1193" s="160"/>
      <c r="CH1193" s="160"/>
      <c r="CI1193" s="160"/>
      <c r="CJ1193" s="160"/>
      <c r="CK1193" s="160"/>
      <c r="CL1193" s="160"/>
      <c r="CM1193" s="160"/>
      <c r="CN1193" s="160"/>
      <c r="CO1193" s="160"/>
      <c r="CP1193" s="162"/>
      <c r="CQ1193" s="163"/>
      <c r="CR1193" s="162"/>
      <c r="CS1193" s="163"/>
      <c r="CT1193" s="162"/>
      <c r="CU1193" s="163"/>
      <c r="CV1193" s="164">
        <f t="shared" si="158"/>
        <v>0</v>
      </c>
      <c r="CW1193" s="165"/>
      <c r="CX1193" s="166"/>
      <c r="CY1193" s="167"/>
      <c r="CZ1193" s="168"/>
      <c r="DA1193" s="169"/>
      <c r="DB1193" s="168"/>
      <c r="DC1193" s="165"/>
      <c r="DD1193" s="166"/>
      <c r="DE1193" s="71"/>
      <c r="DF1193" s="170"/>
      <c r="EO1193" s="353" t="str">
        <f t="shared" si="161"/>
        <v>ANTIOQUIA_SANTA BARBARA</v>
      </c>
      <c r="EP1193" s="350"/>
      <c r="EQ1193" s="350"/>
      <c r="ER1193" s="357"/>
      <c r="ES1193" s="350"/>
      <c r="ET1193" s="350"/>
      <c r="EU1193" s="350"/>
    </row>
    <row r="1194" spans="1:151" s="171" customFormat="1" ht="25.5" x14ac:dyDescent="0.2">
      <c r="A1194" s="246">
        <v>40447</v>
      </c>
      <c r="B1194" s="280" t="s">
        <v>2401</v>
      </c>
      <c r="C1194" s="280" t="s">
        <v>1201</v>
      </c>
      <c r="D1194" s="432" t="s">
        <v>837</v>
      </c>
      <c r="E1194" s="107" t="str">
        <f>VLOOKUP(B1194&amp;C1194,Divipola!$C$2:$F$1138,4,FALSE)</f>
        <v>05858</v>
      </c>
      <c r="F1194" s="337"/>
      <c r="G1194" s="221"/>
      <c r="H1194" s="157"/>
      <c r="I1194" s="157"/>
      <c r="J1194" s="157">
        <v>200</v>
      </c>
      <c r="K1194" s="157">
        <v>40</v>
      </c>
      <c r="L1194" s="157"/>
      <c r="M1194" s="157">
        <v>40</v>
      </c>
      <c r="N1194" s="157"/>
      <c r="O1194" s="157"/>
      <c r="P1194" s="157"/>
      <c r="Q1194" s="157"/>
      <c r="R1194" s="157"/>
      <c r="S1194" s="157"/>
      <c r="T1194" s="157"/>
      <c r="U1194" s="157"/>
      <c r="V1194" s="158"/>
      <c r="W1194" s="182"/>
      <c r="X1194" s="1"/>
      <c r="Y1194" s="78">
        <f t="shared" si="155"/>
        <v>0</v>
      </c>
      <c r="Z1194" s="78">
        <f t="shared" si="156"/>
        <v>0</v>
      </c>
      <c r="AA1194" s="78">
        <f t="shared" si="160"/>
        <v>0</v>
      </c>
      <c r="AB1194" s="78">
        <f t="shared" si="157"/>
        <v>0</v>
      </c>
      <c r="AC1194" s="78"/>
      <c r="AD1194" s="78">
        <v>0</v>
      </c>
      <c r="AE1194" s="80">
        <f t="shared" si="159"/>
        <v>0</v>
      </c>
      <c r="AF1194" s="82">
        <v>0</v>
      </c>
      <c r="AG1194" s="69">
        <v>40448</v>
      </c>
      <c r="AH1194" s="84"/>
      <c r="AI1194" s="69" t="s">
        <v>1984</v>
      </c>
      <c r="AJ1194" s="25" t="s">
        <v>1985</v>
      </c>
      <c r="AK1194" s="65"/>
      <c r="AL1194" s="176" t="s">
        <v>1257</v>
      </c>
      <c r="AM1194" s="173" t="s">
        <v>2551</v>
      </c>
      <c r="AN1194" s="159"/>
      <c r="AO1194" s="160"/>
      <c r="AP1194" s="161"/>
      <c r="AQ1194" s="160"/>
      <c r="AR1194" s="160"/>
      <c r="AS1194" s="160"/>
      <c r="AT1194" s="160"/>
      <c r="AU1194" s="160"/>
      <c r="AV1194" s="160"/>
      <c r="AW1194" s="160"/>
      <c r="AX1194" s="160"/>
      <c r="AY1194" s="160"/>
      <c r="AZ1194" s="160"/>
      <c r="BA1194" s="160"/>
      <c r="BB1194" s="160"/>
      <c r="BC1194" s="160"/>
      <c r="BD1194" s="160"/>
      <c r="BE1194" s="160"/>
      <c r="BF1194" s="160"/>
      <c r="BG1194" s="160"/>
      <c r="BH1194" s="160"/>
      <c r="BI1194" s="160"/>
      <c r="BJ1194" s="160"/>
      <c r="BK1194" s="160"/>
      <c r="BL1194" s="160"/>
      <c r="BM1194" s="160"/>
      <c r="BN1194" s="160"/>
      <c r="BO1194" s="160"/>
      <c r="BP1194" s="160"/>
      <c r="BQ1194" s="160"/>
      <c r="BR1194" s="160"/>
      <c r="BS1194" s="160"/>
      <c r="BT1194" s="160"/>
      <c r="BU1194" s="160"/>
      <c r="BV1194" s="160"/>
      <c r="BW1194" s="160"/>
      <c r="BX1194" s="160"/>
      <c r="BY1194" s="160"/>
      <c r="BZ1194" s="160"/>
      <c r="CA1194" s="160"/>
      <c r="CB1194" s="160"/>
      <c r="CC1194" s="160"/>
      <c r="CD1194" s="160"/>
      <c r="CE1194" s="160"/>
      <c r="CF1194" s="160"/>
      <c r="CG1194" s="160"/>
      <c r="CH1194" s="160"/>
      <c r="CI1194" s="160"/>
      <c r="CJ1194" s="160"/>
      <c r="CK1194" s="160"/>
      <c r="CL1194" s="160"/>
      <c r="CM1194" s="160"/>
      <c r="CN1194" s="160"/>
      <c r="CO1194" s="160"/>
      <c r="CP1194" s="162"/>
      <c r="CQ1194" s="163"/>
      <c r="CR1194" s="162"/>
      <c r="CS1194" s="163"/>
      <c r="CT1194" s="162"/>
      <c r="CU1194" s="163"/>
      <c r="CV1194" s="164">
        <f t="shared" si="158"/>
        <v>0</v>
      </c>
      <c r="CW1194" s="165"/>
      <c r="CX1194" s="166"/>
      <c r="CY1194" s="167"/>
      <c r="CZ1194" s="168"/>
      <c r="DA1194" s="169"/>
      <c r="DB1194" s="168"/>
      <c r="DC1194" s="165"/>
      <c r="DD1194" s="166"/>
      <c r="DE1194" s="71"/>
      <c r="DF1194" s="170"/>
      <c r="EO1194" s="353" t="str">
        <f t="shared" si="161"/>
        <v>ANTIOQUIA_VEGACHI</v>
      </c>
      <c r="EP1194" s="350"/>
      <c r="EQ1194" s="350"/>
      <c r="ER1194" s="357"/>
      <c r="ES1194" s="350"/>
      <c r="ET1194" s="350"/>
      <c r="EU1194" s="350"/>
    </row>
    <row r="1195" spans="1:151" s="171" customFormat="1" ht="48" x14ac:dyDescent="0.2">
      <c r="A1195" s="242">
        <v>40447</v>
      </c>
      <c r="B1195" s="222" t="s">
        <v>1951</v>
      </c>
      <c r="C1195" s="222" t="s">
        <v>1989</v>
      </c>
      <c r="D1195" s="427" t="s">
        <v>2307</v>
      </c>
      <c r="E1195" s="107" t="str">
        <f>VLOOKUP(B1195&amp;C1195,Divipola!$C$2:$F$1138,4,FALSE)</f>
        <v>08001</v>
      </c>
      <c r="F1195" s="330"/>
      <c r="G1195" s="221"/>
      <c r="H1195" s="157"/>
      <c r="I1195" s="157"/>
      <c r="J1195" s="157">
        <f>116*5</f>
        <v>580</v>
      </c>
      <c r="K1195" s="157">
        <f>84+32</f>
        <v>116</v>
      </c>
      <c r="L1195" s="157">
        <f>72+12</f>
        <v>84</v>
      </c>
      <c r="M1195" s="157">
        <v>32</v>
      </c>
      <c r="N1195" s="183"/>
      <c r="O1195" s="157"/>
      <c r="P1195" s="157"/>
      <c r="Q1195" s="157"/>
      <c r="R1195" s="157"/>
      <c r="S1195" s="157"/>
      <c r="T1195" s="157"/>
      <c r="U1195" s="157"/>
      <c r="V1195" s="158"/>
      <c r="W1195" s="182"/>
      <c r="X1195" s="1"/>
      <c r="Y1195" s="78">
        <f t="shared" si="155"/>
        <v>0</v>
      </c>
      <c r="Z1195" s="78">
        <f t="shared" si="156"/>
        <v>0</v>
      </c>
      <c r="AA1195" s="78">
        <f t="shared" si="160"/>
        <v>0</v>
      </c>
      <c r="AB1195" s="78">
        <f t="shared" si="157"/>
        <v>0</v>
      </c>
      <c r="AC1195" s="78"/>
      <c r="AD1195" s="78">
        <v>0</v>
      </c>
      <c r="AE1195" s="80">
        <f t="shared" si="159"/>
        <v>0</v>
      </c>
      <c r="AF1195" s="82">
        <v>0</v>
      </c>
      <c r="AG1195" s="69">
        <v>40448</v>
      </c>
      <c r="AH1195" s="84"/>
      <c r="AI1195" s="69" t="s">
        <v>1984</v>
      </c>
      <c r="AJ1195" s="25" t="s">
        <v>1985</v>
      </c>
      <c r="AK1195" s="65"/>
      <c r="AL1195" s="176" t="s">
        <v>1257</v>
      </c>
      <c r="AM1195" s="173" t="s">
        <v>3175</v>
      </c>
      <c r="AN1195" s="159"/>
      <c r="AO1195" s="160"/>
      <c r="AP1195" s="161"/>
      <c r="AQ1195" s="160"/>
      <c r="AR1195" s="160"/>
      <c r="AS1195" s="160"/>
      <c r="AT1195" s="160"/>
      <c r="AU1195" s="160"/>
      <c r="AV1195" s="160"/>
      <c r="AW1195" s="160"/>
      <c r="AX1195" s="160"/>
      <c r="AY1195" s="160"/>
      <c r="AZ1195" s="160"/>
      <c r="BA1195" s="160"/>
      <c r="BB1195" s="160"/>
      <c r="BC1195" s="160"/>
      <c r="BD1195" s="160"/>
      <c r="BE1195" s="160"/>
      <c r="BF1195" s="160"/>
      <c r="BG1195" s="160"/>
      <c r="BH1195" s="160"/>
      <c r="BI1195" s="160"/>
      <c r="BJ1195" s="160"/>
      <c r="BK1195" s="160"/>
      <c r="BL1195" s="160"/>
      <c r="BM1195" s="160"/>
      <c r="BN1195" s="160"/>
      <c r="BO1195" s="160"/>
      <c r="BP1195" s="160"/>
      <c r="BQ1195" s="160"/>
      <c r="BR1195" s="160"/>
      <c r="BS1195" s="160"/>
      <c r="BT1195" s="160"/>
      <c r="BU1195" s="160"/>
      <c r="BV1195" s="160"/>
      <c r="BW1195" s="160"/>
      <c r="BX1195" s="160"/>
      <c r="BY1195" s="160"/>
      <c r="BZ1195" s="160"/>
      <c r="CA1195" s="160"/>
      <c r="CB1195" s="160"/>
      <c r="CC1195" s="160"/>
      <c r="CD1195" s="160"/>
      <c r="CE1195" s="160"/>
      <c r="CF1195" s="160"/>
      <c r="CG1195" s="160"/>
      <c r="CH1195" s="160"/>
      <c r="CI1195" s="160"/>
      <c r="CJ1195" s="160"/>
      <c r="CK1195" s="160"/>
      <c r="CL1195" s="160"/>
      <c r="CM1195" s="160"/>
      <c r="CN1195" s="160"/>
      <c r="CO1195" s="160"/>
      <c r="CP1195" s="162"/>
      <c r="CQ1195" s="163"/>
      <c r="CR1195" s="162"/>
      <c r="CS1195" s="163"/>
      <c r="CT1195" s="162"/>
      <c r="CU1195" s="163"/>
      <c r="CV1195" s="164">
        <f t="shared" si="158"/>
        <v>0</v>
      </c>
      <c r="CW1195" s="165"/>
      <c r="CX1195" s="166"/>
      <c r="CY1195" s="167"/>
      <c r="CZ1195" s="168"/>
      <c r="DA1195" s="169"/>
      <c r="DB1195" s="168"/>
      <c r="DC1195" s="165"/>
      <c r="DD1195" s="166"/>
      <c r="DE1195" s="71"/>
      <c r="DF1195" s="170"/>
      <c r="EO1195" s="353" t="str">
        <f t="shared" si="161"/>
        <v>ATLANTICO_BARRANQUILLA</v>
      </c>
      <c r="EP1195" s="350"/>
      <c r="EQ1195" s="350"/>
      <c r="ER1195" s="357"/>
      <c r="ES1195" s="350"/>
      <c r="ET1195" s="350"/>
      <c r="EU1195" s="350"/>
    </row>
    <row r="1196" spans="1:151" s="171" customFormat="1" ht="25.5" x14ac:dyDescent="0.2">
      <c r="A1196" s="242">
        <v>40447</v>
      </c>
      <c r="B1196" s="222" t="s">
        <v>3112</v>
      </c>
      <c r="C1196" s="222" t="s">
        <v>600</v>
      </c>
      <c r="D1196" s="430" t="s">
        <v>2209</v>
      </c>
      <c r="E1196" s="107" t="str">
        <f>VLOOKUP(B1196&amp;C1196,Divipola!$C$2:$F$1138,4,FALSE)</f>
        <v>18029</v>
      </c>
      <c r="F1196" s="333"/>
      <c r="G1196" s="221"/>
      <c r="H1196" s="157"/>
      <c r="I1196" s="157"/>
      <c r="J1196" s="157">
        <f>62*5</f>
        <v>310</v>
      </c>
      <c r="K1196" s="157">
        <v>62</v>
      </c>
      <c r="L1196" s="157"/>
      <c r="M1196" s="157">
        <v>27</v>
      </c>
      <c r="N1196" s="157"/>
      <c r="O1196" s="157"/>
      <c r="P1196" s="157"/>
      <c r="Q1196" s="157"/>
      <c r="R1196" s="157"/>
      <c r="S1196" s="157"/>
      <c r="T1196" s="157"/>
      <c r="U1196" s="157"/>
      <c r="V1196" s="158"/>
      <c r="W1196" s="182"/>
      <c r="X1196" s="1"/>
      <c r="Y1196" s="78">
        <f t="shared" si="155"/>
        <v>0</v>
      </c>
      <c r="Z1196" s="78">
        <f t="shared" si="156"/>
        <v>0</v>
      </c>
      <c r="AA1196" s="78">
        <f t="shared" si="160"/>
        <v>13224000</v>
      </c>
      <c r="AB1196" s="78">
        <f t="shared" si="157"/>
        <v>0</v>
      </c>
      <c r="AC1196" s="78"/>
      <c r="AD1196" s="78">
        <v>0</v>
      </c>
      <c r="AE1196" s="80">
        <f t="shared" si="159"/>
        <v>13224000</v>
      </c>
      <c r="AF1196" s="82">
        <v>0</v>
      </c>
      <c r="AG1196" s="69">
        <v>40494</v>
      </c>
      <c r="AH1196" s="84"/>
      <c r="AI1196" s="69" t="s">
        <v>2009</v>
      </c>
      <c r="AJ1196" s="25" t="s">
        <v>2010</v>
      </c>
      <c r="AK1196" s="65"/>
      <c r="AL1196" s="176" t="s">
        <v>1831</v>
      </c>
      <c r="AM1196" s="173"/>
      <c r="AN1196" s="159"/>
      <c r="AO1196" s="160"/>
      <c r="AP1196" s="161"/>
      <c r="AQ1196" s="160"/>
      <c r="AR1196" s="160"/>
      <c r="AS1196" s="160"/>
      <c r="AT1196" s="160"/>
      <c r="AU1196" s="160"/>
      <c r="AV1196" s="160"/>
      <c r="AW1196" s="160"/>
      <c r="AX1196" s="160"/>
      <c r="AY1196" s="160"/>
      <c r="AZ1196" s="160"/>
      <c r="BA1196" s="160"/>
      <c r="BB1196" s="160"/>
      <c r="BC1196" s="160"/>
      <c r="BD1196" s="160"/>
      <c r="BE1196" s="160"/>
      <c r="BF1196" s="160"/>
      <c r="BG1196" s="160"/>
      <c r="BH1196" s="160"/>
      <c r="BI1196" s="160"/>
      <c r="BJ1196" s="160"/>
      <c r="BK1196" s="160"/>
      <c r="BL1196" s="160"/>
      <c r="BM1196" s="160"/>
      <c r="BN1196" s="160"/>
      <c r="BO1196" s="160"/>
      <c r="BP1196" s="160"/>
      <c r="BQ1196" s="160"/>
      <c r="BR1196" s="160"/>
      <c r="BS1196" s="160"/>
      <c r="BT1196" s="160"/>
      <c r="BU1196" s="160"/>
      <c r="BV1196" s="160"/>
      <c r="BW1196" s="160"/>
      <c r="BX1196" s="160"/>
      <c r="BY1196" s="160"/>
      <c r="BZ1196" s="160"/>
      <c r="CA1196" s="160"/>
      <c r="CB1196" s="160"/>
      <c r="CC1196" s="160"/>
      <c r="CD1196" s="160"/>
      <c r="CE1196" s="160"/>
      <c r="CF1196" s="160"/>
      <c r="CG1196" s="160"/>
      <c r="CH1196" s="160"/>
      <c r="CI1196" s="160"/>
      <c r="CJ1196" s="160"/>
      <c r="CK1196" s="160"/>
      <c r="CL1196" s="160"/>
      <c r="CM1196" s="160"/>
      <c r="CN1196" s="160"/>
      <c r="CO1196" s="160"/>
      <c r="CP1196" s="162"/>
      <c r="CQ1196" s="163"/>
      <c r="CR1196" s="162"/>
      <c r="CS1196" s="163"/>
      <c r="CT1196" s="162"/>
      <c r="CU1196" s="163"/>
      <c r="CV1196" s="164">
        <f t="shared" si="158"/>
        <v>0</v>
      </c>
      <c r="CW1196" s="165"/>
      <c r="CX1196" s="166"/>
      <c r="CY1196" s="167"/>
      <c r="CZ1196" s="168"/>
      <c r="DA1196" s="169">
        <v>150</v>
      </c>
      <c r="DB1196" s="168">
        <f>150*23432</f>
        <v>3514800</v>
      </c>
      <c r="DC1196" s="165">
        <v>540</v>
      </c>
      <c r="DD1196" s="166">
        <f>540*17980</f>
        <v>9709200</v>
      </c>
      <c r="DE1196" s="71"/>
      <c r="DF1196" s="170"/>
      <c r="EO1196" s="353" t="str">
        <f t="shared" si="161"/>
        <v>CAQUETA_ALBANIA</v>
      </c>
      <c r="EP1196" s="350"/>
      <c r="EQ1196" s="350"/>
      <c r="ER1196" s="357"/>
      <c r="ES1196" s="350"/>
      <c r="ET1196" s="350"/>
      <c r="EU1196" s="350"/>
    </row>
    <row r="1197" spans="1:151" s="171" customFormat="1" ht="60" x14ac:dyDescent="0.2">
      <c r="A1197" s="242">
        <v>40447</v>
      </c>
      <c r="B1197" s="222" t="s">
        <v>3112</v>
      </c>
      <c r="C1197" s="222" t="s">
        <v>1602</v>
      </c>
      <c r="D1197" s="430" t="s">
        <v>2209</v>
      </c>
      <c r="E1197" s="107" t="str">
        <f>VLOOKUP(B1197&amp;C1197,Divipola!$C$2:$F$1138,4,FALSE)</f>
        <v>18785</v>
      </c>
      <c r="F1197" s="333"/>
      <c r="G1197" s="221"/>
      <c r="H1197" s="157">
        <v>1</v>
      </c>
      <c r="I1197" s="157"/>
      <c r="J1197" s="157">
        <f>121*5</f>
        <v>605</v>
      </c>
      <c r="K1197" s="157">
        <f>146-25</f>
        <v>121</v>
      </c>
      <c r="L1197" s="157"/>
      <c r="M1197" s="157">
        <v>83</v>
      </c>
      <c r="N1197" s="157"/>
      <c r="O1197" s="157"/>
      <c r="P1197" s="157"/>
      <c r="Q1197" s="157"/>
      <c r="R1197" s="157"/>
      <c r="S1197" s="157"/>
      <c r="T1197" s="157">
        <v>2</v>
      </c>
      <c r="U1197" s="157"/>
      <c r="V1197" s="158"/>
      <c r="W1197" s="182"/>
      <c r="X1197" s="1">
        <v>40508</v>
      </c>
      <c r="Y1197" s="78">
        <f t="shared" si="155"/>
        <v>3920000</v>
      </c>
      <c r="Z1197" s="78">
        <f t="shared" si="156"/>
        <v>0</v>
      </c>
      <c r="AA1197" s="78">
        <f>620*18096+2500*104.4+6*110571.2+570*22500</f>
        <v>24968947.199999999</v>
      </c>
      <c r="AB1197" s="78">
        <f t="shared" si="157"/>
        <v>0</v>
      </c>
      <c r="AC1197" s="78"/>
      <c r="AD1197" s="78">
        <v>0</v>
      </c>
      <c r="AE1197" s="80">
        <f t="shared" si="159"/>
        <v>28888947.199999999</v>
      </c>
      <c r="AF1197" s="82">
        <v>0</v>
      </c>
      <c r="AG1197" s="69">
        <v>40441</v>
      </c>
      <c r="AH1197" s="84">
        <v>52825</v>
      </c>
      <c r="AI1197" s="69" t="s">
        <v>2009</v>
      </c>
      <c r="AJ1197" s="25" t="s">
        <v>2010</v>
      </c>
      <c r="AK1197" s="88" t="s">
        <v>1018</v>
      </c>
      <c r="AL1197" s="185" t="s">
        <v>2182</v>
      </c>
      <c r="AM1197" s="173" t="s">
        <v>1019</v>
      </c>
      <c r="AN1197" s="159"/>
      <c r="AO1197" s="160"/>
      <c r="AP1197" s="161"/>
      <c r="AQ1197" s="160"/>
      <c r="AR1197" s="160"/>
      <c r="AS1197" s="160"/>
      <c r="AT1197" s="160"/>
      <c r="AU1197" s="160"/>
      <c r="AV1197" s="160"/>
      <c r="AW1197" s="160"/>
      <c r="AX1197" s="160"/>
      <c r="AY1197" s="160"/>
      <c r="AZ1197" s="160">
        <v>70</v>
      </c>
      <c r="BA1197" s="160">
        <f>70*56000</f>
        <v>3920000</v>
      </c>
      <c r="BB1197" s="160"/>
      <c r="BC1197" s="160"/>
      <c r="BD1197" s="160"/>
      <c r="BE1197" s="160"/>
      <c r="BF1197" s="160"/>
      <c r="BG1197" s="160"/>
      <c r="BH1197" s="160"/>
      <c r="BI1197" s="160"/>
      <c r="BJ1197" s="160"/>
      <c r="BK1197" s="160"/>
      <c r="BL1197" s="160"/>
      <c r="BM1197" s="160"/>
      <c r="BN1197" s="160"/>
      <c r="BO1197" s="160"/>
      <c r="BP1197" s="160"/>
      <c r="BQ1197" s="160"/>
      <c r="BR1197" s="160"/>
      <c r="BS1197" s="160"/>
      <c r="BT1197" s="160"/>
      <c r="BU1197" s="160"/>
      <c r="BV1197" s="160"/>
      <c r="BW1197" s="160"/>
      <c r="BX1197" s="160"/>
      <c r="BY1197" s="160"/>
      <c r="BZ1197" s="160"/>
      <c r="CA1197" s="160"/>
      <c r="CB1197" s="160"/>
      <c r="CC1197" s="160"/>
      <c r="CD1197" s="160"/>
      <c r="CE1197" s="160"/>
      <c r="CF1197" s="160"/>
      <c r="CG1197" s="160"/>
      <c r="CH1197" s="160"/>
      <c r="CI1197" s="160"/>
      <c r="CJ1197" s="160"/>
      <c r="CK1197" s="160"/>
      <c r="CL1197" s="160"/>
      <c r="CM1197" s="160"/>
      <c r="CN1197" s="160"/>
      <c r="CO1197" s="160"/>
      <c r="CP1197" s="162"/>
      <c r="CQ1197" s="163"/>
      <c r="CR1197" s="162"/>
      <c r="CS1197" s="163"/>
      <c r="CT1197" s="162"/>
      <c r="CU1197" s="163"/>
      <c r="CV1197" s="164">
        <f t="shared" si="158"/>
        <v>3920000</v>
      </c>
      <c r="CW1197" s="165"/>
      <c r="CX1197" s="166"/>
      <c r="CY1197" s="167"/>
      <c r="CZ1197" s="168"/>
      <c r="DA1197" s="169"/>
      <c r="DB1197" s="168"/>
      <c r="DC1197" s="165">
        <v>570</v>
      </c>
      <c r="DD1197" s="166">
        <f>570*17980</f>
        <v>10248600</v>
      </c>
      <c r="DE1197" s="71"/>
      <c r="DF1197" s="170"/>
      <c r="EO1197" s="353" t="str">
        <f t="shared" si="161"/>
        <v>CAQUETA_SOLITA</v>
      </c>
      <c r="EP1197" s="350"/>
      <c r="EQ1197" s="350"/>
      <c r="ER1197" s="357"/>
      <c r="ES1197" s="350"/>
      <c r="ET1197" s="350"/>
      <c r="EU1197" s="350"/>
    </row>
    <row r="1198" spans="1:151" s="171" customFormat="1" ht="63.75" x14ac:dyDescent="0.2">
      <c r="A1198" s="242">
        <v>40447</v>
      </c>
      <c r="B1198" s="107" t="s">
        <v>5778</v>
      </c>
      <c r="C1198" s="222" t="s">
        <v>2063</v>
      </c>
      <c r="D1198" s="430" t="s">
        <v>837</v>
      </c>
      <c r="E1198" s="107" t="str">
        <f>VLOOKUP(B1198&amp;C1198,Divipola!$C$2:$F$1138,4,FALSE)</f>
        <v>44650</v>
      </c>
      <c r="F1198" s="333"/>
      <c r="G1198" s="221"/>
      <c r="H1198" s="157"/>
      <c r="I1198" s="157"/>
      <c r="J1198" s="157">
        <f>43*5</f>
        <v>215</v>
      </c>
      <c r="K1198" s="157">
        <v>43</v>
      </c>
      <c r="L1198" s="157"/>
      <c r="M1198" s="157"/>
      <c r="N1198" s="157"/>
      <c r="O1198" s="157"/>
      <c r="P1198" s="157"/>
      <c r="Q1198" s="157"/>
      <c r="R1198" s="157"/>
      <c r="S1198" s="157"/>
      <c r="T1198" s="157"/>
      <c r="U1198" s="157"/>
      <c r="V1198" s="158"/>
      <c r="W1198" s="182"/>
      <c r="X1198" s="1">
        <v>40508</v>
      </c>
      <c r="Y1198" s="78">
        <f t="shared" si="155"/>
        <v>5746500</v>
      </c>
      <c r="Z1198" s="78">
        <f t="shared" si="156"/>
        <v>3825000</v>
      </c>
      <c r="AA1198" s="78">
        <f t="shared" ref="AA1198:AA1229" si="162">DB1198+DD1198</f>
        <v>0</v>
      </c>
      <c r="AB1198" s="78">
        <f t="shared" si="157"/>
        <v>0</v>
      </c>
      <c r="AC1198" s="78"/>
      <c r="AD1198" s="78">
        <v>0</v>
      </c>
      <c r="AE1198" s="80">
        <f t="shared" si="159"/>
        <v>9571500</v>
      </c>
      <c r="AF1198" s="82">
        <v>0</v>
      </c>
      <c r="AG1198" s="69">
        <v>40484</v>
      </c>
      <c r="AH1198" s="84">
        <v>59457</v>
      </c>
      <c r="AI1198" s="69" t="s">
        <v>2009</v>
      </c>
      <c r="AJ1198" s="25" t="s">
        <v>2010</v>
      </c>
      <c r="AK1198" s="109">
        <v>24642</v>
      </c>
      <c r="AL1198" s="185" t="s">
        <v>2182</v>
      </c>
      <c r="AM1198" s="173" t="s">
        <v>2064</v>
      </c>
      <c r="AN1198" s="159"/>
      <c r="AO1198" s="160"/>
      <c r="AP1198" s="161"/>
      <c r="AQ1198" s="160"/>
      <c r="AR1198" s="160"/>
      <c r="AS1198" s="160"/>
      <c r="AT1198" s="160"/>
      <c r="AU1198" s="160"/>
      <c r="AV1198" s="160"/>
      <c r="AW1198" s="160"/>
      <c r="AX1198" s="160"/>
      <c r="AY1198" s="160"/>
      <c r="AZ1198" s="160"/>
      <c r="BA1198" s="160"/>
      <c r="BB1198" s="160"/>
      <c r="BC1198" s="160"/>
      <c r="BD1198" s="160"/>
      <c r="BE1198" s="160"/>
      <c r="BF1198" s="160"/>
      <c r="BG1198" s="160"/>
      <c r="BH1198" s="160"/>
      <c r="BI1198" s="160"/>
      <c r="BJ1198" s="160"/>
      <c r="BK1198" s="160"/>
      <c r="BL1198" s="160">
        <v>90</v>
      </c>
      <c r="BM1198" s="160">
        <f>90*25500</f>
        <v>2295000</v>
      </c>
      <c r="BN1198" s="160"/>
      <c r="BO1198" s="160"/>
      <c r="BP1198" s="160"/>
      <c r="BQ1198" s="160"/>
      <c r="BR1198" s="160"/>
      <c r="BS1198" s="160"/>
      <c r="BT1198" s="160"/>
      <c r="BU1198" s="160"/>
      <c r="BV1198" s="160"/>
      <c r="BW1198" s="160"/>
      <c r="BX1198" s="160"/>
      <c r="BY1198" s="160"/>
      <c r="BZ1198" s="160"/>
      <c r="CA1198" s="160"/>
      <c r="CB1198" s="160"/>
      <c r="CC1198" s="160"/>
      <c r="CD1198" s="160"/>
      <c r="CE1198" s="160"/>
      <c r="CF1198" s="160"/>
      <c r="CG1198" s="160"/>
      <c r="CH1198" s="160"/>
      <c r="CI1198" s="160"/>
      <c r="CJ1198" s="160"/>
      <c r="CK1198" s="160"/>
      <c r="CL1198" s="160"/>
      <c r="CM1198" s="160"/>
      <c r="CN1198" s="160"/>
      <c r="CO1198" s="160"/>
      <c r="CP1198" s="162">
        <v>45</v>
      </c>
      <c r="CQ1198" s="163">
        <f>45*37000</f>
        <v>1665000</v>
      </c>
      <c r="CR1198" s="162">
        <v>45</v>
      </c>
      <c r="CS1198" s="163">
        <f>45*39700</f>
        <v>1786500</v>
      </c>
      <c r="CT1198" s="162"/>
      <c r="CU1198" s="163"/>
      <c r="CV1198" s="164">
        <f t="shared" si="158"/>
        <v>5746500</v>
      </c>
      <c r="CW1198" s="165"/>
      <c r="CX1198" s="166"/>
      <c r="CY1198" s="167">
        <v>45</v>
      </c>
      <c r="CZ1198" s="168">
        <f>45*85000</f>
        <v>3825000</v>
      </c>
      <c r="DA1198" s="169"/>
      <c r="DB1198" s="168"/>
      <c r="DC1198" s="165"/>
      <c r="DD1198" s="166"/>
      <c r="DE1198" s="71"/>
      <c r="DF1198" s="170"/>
      <c r="EO1198" s="353" t="str">
        <f t="shared" si="161"/>
        <v>LA GUAJIRA_SAN JUAN DEL CESAR</v>
      </c>
      <c r="EP1198" s="350"/>
      <c r="EQ1198" s="350"/>
      <c r="ER1198" s="357"/>
      <c r="ES1198" s="350"/>
      <c r="ET1198" s="350"/>
      <c r="EU1198" s="350"/>
    </row>
    <row r="1199" spans="1:151" s="171" customFormat="1" ht="84" x14ac:dyDescent="0.2">
      <c r="A1199" s="242">
        <v>40447</v>
      </c>
      <c r="B1199" s="222" t="s">
        <v>1836</v>
      </c>
      <c r="C1199" s="222" t="s">
        <v>1814</v>
      </c>
      <c r="D1199" s="430" t="s">
        <v>837</v>
      </c>
      <c r="E1199" s="107" t="str">
        <f>VLOOKUP(B1199&amp;C1199,Divipola!$C$2:$F$1138,4,FALSE)</f>
        <v>47001</v>
      </c>
      <c r="F1199" s="333"/>
      <c r="G1199" s="221"/>
      <c r="H1199" s="157"/>
      <c r="I1199" s="157"/>
      <c r="J1199" s="157"/>
      <c r="K1199" s="157"/>
      <c r="L1199" s="157"/>
      <c r="M1199" s="157"/>
      <c r="N1199" s="157"/>
      <c r="O1199" s="157"/>
      <c r="P1199" s="157"/>
      <c r="Q1199" s="157"/>
      <c r="R1199" s="157"/>
      <c r="S1199" s="157"/>
      <c r="T1199" s="157"/>
      <c r="U1199" s="157"/>
      <c r="V1199" s="158"/>
      <c r="W1199" s="182"/>
      <c r="X1199" s="1"/>
      <c r="Y1199" s="78">
        <f t="shared" si="155"/>
        <v>0</v>
      </c>
      <c r="Z1199" s="78">
        <f t="shared" si="156"/>
        <v>0</v>
      </c>
      <c r="AA1199" s="78">
        <f t="shared" si="162"/>
        <v>0</v>
      </c>
      <c r="AB1199" s="78">
        <f t="shared" si="157"/>
        <v>0</v>
      </c>
      <c r="AC1199" s="78"/>
      <c r="AD1199" s="78">
        <v>0</v>
      </c>
      <c r="AE1199" s="80">
        <f t="shared" si="159"/>
        <v>0</v>
      </c>
      <c r="AF1199" s="82">
        <v>0</v>
      </c>
      <c r="AG1199" s="69">
        <v>40448</v>
      </c>
      <c r="AH1199" s="84"/>
      <c r="AI1199" s="69" t="s">
        <v>1984</v>
      </c>
      <c r="AJ1199" s="25" t="s">
        <v>1985</v>
      </c>
      <c r="AK1199" s="65"/>
      <c r="AL1199" s="176" t="s">
        <v>1257</v>
      </c>
      <c r="AM1199" s="173" t="s">
        <v>2561</v>
      </c>
      <c r="AN1199" s="159"/>
      <c r="AO1199" s="160"/>
      <c r="AP1199" s="161"/>
      <c r="AQ1199" s="160"/>
      <c r="AR1199" s="160"/>
      <c r="AS1199" s="160"/>
      <c r="AT1199" s="160"/>
      <c r="AU1199" s="160"/>
      <c r="AV1199" s="160"/>
      <c r="AW1199" s="160"/>
      <c r="AX1199" s="160"/>
      <c r="AY1199" s="160"/>
      <c r="AZ1199" s="160"/>
      <c r="BA1199" s="160"/>
      <c r="BB1199" s="160"/>
      <c r="BC1199" s="160"/>
      <c r="BD1199" s="160"/>
      <c r="BE1199" s="160"/>
      <c r="BF1199" s="160"/>
      <c r="BG1199" s="160"/>
      <c r="BH1199" s="160"/>
      <c r="BI1199" s="160"/>
      <c r="BJ1199" s="160"/>
      <c r="BK1199" s="160"/>
      <c r="BL1199" s="160"/>
      <c r="BM1199" s="160"/>
      <c r="BN1199" s="160"/>
      <c r="BO1199" s="160"/>
      <c r="BP1199" s="160"/>
      <c r="BQ1199" s="160"/>
      <c r="BR1199" s="160"/>
      <c r="BS1199" s="160"/>
      <c r="BT1199" s="160"/>
      <c r="BU1199" s="160"/>
      <c r="BV1199" s="160"/>
      <c r="BW1199" s="160"/>
      <c r="BX1199" s="160"/>
      <c r="BY1199" s="160"/>
      <c r="BZ1199" s="160"/>
      <c r="CA1199" s="160"/>
      <c r="CB1199" s="160"/>
      <c r="CC1199" s="160"/>
      <c r="CD1199" s="160"/>
      <c r="CE1199" s="160"/>
      <c r="CF1199" s="160"/>
      <c r="CG1199" s="160"/>
      <c r="CH1199" s="160"/>
      <c r="CI1199" s="160"/>
      <c r="CJ1199" s="160"/>
      <c r="CK1199" s="160"/>
      <c r="CL1199" s="160"/>
      <c r="CM1199" s="160"/>
      <c r="CN1199" s="160"/>
      <c r="CO1199" s="160"/>
      <c r="CP1199" s="162"/>
      <c r="CQ1199" s="163"/>
      <c r="CR1199" s="162"/>
      <c r="CS1199" s="163"/>
      <c r="CT1199" s="162"/>
      <c r="CU1199" s="163"/>
      <c r="CV1199" s="164">
        <f t="shared" si="158"/>
        <v>0</v>
      </c>
      <c r="CW1199" s="165"/>
      <c r="CX1199" s="166"/>
      <c r="CY1199" s="167"/>
      <c r="CZ1199" s="168"/>
      <c r="DA1199" s="169"/>
      <c r="DB1199" s="168"/>
      <c r="DC1199" s="165"/>
      <c r="DD1199" s="166"/>
      <c r="DE1199" s="71"/>
      <c r="DF1199" s="170"/>
      <c r="EO1199" s="353" t="str">
        <f t="shared" si="161"/>
        <v>MAGDALENA_SANTA MARTA</v>
      </c>
      <c r="EP1199" s="350"/>
      <c r="EQ1199" s="350"/>
      <c r="ER1199" s="357"/>
      <c r="ES1199" s="350"/>
      <c r="ET1199" s="350"/>
      <c r="EU1199" s="350"/>
    </row>
    <row r="1200" spans="1:151" s="171" customFormat="1" ht="51" x14ac:dyDescent="0.2">
      <c r="A1200" s="242">
        <v>40447</v>
      </c>
      <c r="B1200" s="222" t="s">
        <v>1336</v>
      </c>
      <c r="C1200" s="222" t="s">
        <v>1360</v>
      </c>
      <c r="D1200" s="427" t="s">
        <v>2307</v>
      </c>
      <c r="E1200" s="107" t="str">
        <f>VLOOKUP(B1200&amp;C1200,Divipola!$C$2:$F$1138,4,FALSE)</f>
        <v>54099</v>
      </c>
      <c r="F1200" s="330"/>
      <c r="G1200" s="221"/>
      <c r="H1200" s="157"/>
      <c r="I1200" s="157"/>
      <c r="J1200" s="157">
        <f>680-16</f>
        <v>664</v>
      </c>
      <c r="K1200" s="157">
        <v>180</v>
      </c>
      <c r="L1200" s="157">
        <v>10</v>
      </c>
      <c r="M1200" s="157">
        <v>110</v>
      </c>
      <c r="N1200" s="157"/>
      <c r="O1200" s="157"/>
      <c r="P1200" s="157"/>
      <c r="Q1200" s="157"/>
      <c r="R1200" s="157"/>
      <c r="S1200" s="157"/>
      <c r="T1200" s="157">
        <v>4</v>
      </c>
      <c r="U1200" s="157"/>
      <c r="V1200" s="158"/>
      <c r="W1200" s="182"/>
      <c r="X1200" s="1"/>
      <c r="Y1200" s="78">
        <f t="shared" si="155"/>
        <v>0</v>
      </c>
      <c r="Z1200" s="78">
        <f t="shared" si="156"/>
        <v>0</v>
      </c>
      <c r="AA1200" s="78">
        <f t="shared" si="162"/>
        <v>0</v>
      </c>
      <c r="AB1200" s="78">
        <f t="shared" si="157"/>
        <v>0</v>
      </c>
      <c r="AC1200" s="78"/>
      <c r="AD1200" s="78">
        <v>0</v>
      </c>
      <c r="AE1200" s="80">
        <f t="shared" si="159"/>
        <v>0</v>
      </c>
      <c r="AF1200" s="82">
        <v>0</v>
      </c>
      <c r="AG1200" s="69">
        <v>40448</v>
      </c>
      <c r="AH1200" s="84"/>
      <c r="AI1200" s="69" t="s">
        <v>1984</v>
      </c>
      <c r="AJ1200" s="25" t="s">
        <v>1985</v>
      </c>
      <c r="AK1200" s="65"/>
      <c r="AL1200" s="176" t="s">
        <v>1257</v>
      </c>
      <c r="AM1200" s="173" t="s">
        <v>2548</v>
      </c>
      <c r="AN1200" s="159"/>
      <c r="AO1200" s="160"/>
      <c r="AP1200" s="161"/>
      <c r="AQ1200" s="160"/>
      <c r="AR1200" s="160"/>
      <c r="AS1200" s="160"/>
      <c r="AT1200" s="160"/>
      <c r="AU1200" s="160"/>
      <c r="AV1200" s="160"/>
      <c r="AW1200" s="160"/>
      <c r="AX1200" s="160"/>
      <c r="AY1200" s="160"/>
      <c r="AZ1200" s="160"/>
      <c r="BA1200" s="160"/>
      <c r="BB1200" s="160"/>
      <c r="BC1200" s="160"/>
      <c r="BD1200" s="160"/>
      <c r="BE1200" s="160"/>
      <c r="BF1200" s="160"/>
      <c r="BG1200" s="160"/>
      <c r="BH1200" s="160"/>
      <c r="BI1200" s="160"/>
      <c r="BJ1200" s="160"/>
      <c r="BK1200" s="160"/>
      <c r="BL1200" s="160"/>
      <c r="BM1200" s="160"/>
      <c r="BN1200" s="160"/>
      <c r="BO1200" s="160"/>
      <c r="BP1200" s="160"/>
      <c r="BQ1200" s="160"/>
      <c r="BR1200" s="160"/>
      <c r="BS1200" s="160"/>
      <c r="BT1200" s="160"/>
      <c r="BU1200" s="160"/>
      <c r="BV1200" s="160"/>
      <c r="BW1200" s="160"/>
      <c r="BX1200" s="160"/>
      <c r="BY1200" s="160"/>
      <c r="BZ1200" s="160"/>
      <c r="CA1200" s="160"/>
      <c r="CB1200" s="160"/>
      <c r="CC1200" s="160"/>
      <c r="CD1200" s="160"/>
      <c r="CE1200" s="160"/>
      <c r="CF1200" s="160"/>
      <c r="CG1200" s="160"/>
      <c r="CH1200" s="160"/>
      <c r="CI1200" s="160"/>
      <c r="CJ1200" s="160"/>
      <c r="CK1200" s="160"/>
      <c r="CL1200" s="160"/>
      <c r="CM1200" s="160"/>
      <c r="CN1200" s="160"/>
      <c r="CO1200" s="160"/>
      <c r="CP1200" s="162"/>
      <c r="CQ1200" s="163"/>
      <c r="CR1200" s="162"/>
      <c r="CS1200" s="163"/>
      <c r="CT1200" s="162"/>
      <c r="CU1200" s="163"/>
      <c r="CV1200" s="164">
        <f t="shared" si="158"/>
        <v>0</v>
      </c>
      <c r="CW1200" s="165"/>
      <c r="CX1200" s="166"/>
      <c r="CY1200" s="167"/>
      <c r="CZ1200" s="168"/>
      <c r="DA1200" s="169"/>
      <c r="DB1200" s="168"/>
      <c r="DC1200" s="165"/>
      <c r="DD1200" s="166"/>
      <c r="DE1200" s="71"/>
      <c r="DF1200" s="170"/>
      <c r="EO1200" s="353" t="str">
        <f t="shared" si="161"/>
        <v>NORTE DE SANTANDER_BOCHALEMA</v>
      </c>
      <c r="EP1200" s="350"/>
      <c r="EQ1200" s="350"/>
      <c r="ER1200" s="357"/>
      <c r="ES1200" s="350"/>
      <c r="ET1200" s="350"/>
      <c r="EU1200" s="350"/>
    </row>
    <row r="1201" spans="1:151" s="171" customFormat="1" ht="84" x14ac:dyDescent="0.2">
      <c r="A1201" s="242">
        <v>40447</v>
      </c>
      <c r="B1201" s="222" t="s">
        <v>1336</v>
      </c>
      <c r="C1201" s="222" t="s">
        <v>1350</v>
      </c>
      <c r="D1201" s="430" t="s">
        <v>837</v>
      </c>
      <c r="E1201" s="107" t="str">
        <f>VLOOKUP(B1201&amp;C1201,Divipola!$C$2:$F$1138,4,FALSE)</f>
        <v>54223</v>
      </c>
      <c r="F1201" s="333"/>
      <c r="G1201" s="221"/>
      <c r="H1201" s="157"/>
      <c r="I1201" s="157"/>
      <c r="J1201" s="157">
        <v>130</v>
      </c>
      <c r="K1201" s="157">
        <v>26</v>
      </c>
      <c r="L1201" s="157">
        <v>4</v>
      </c>
      <c r="M1201" s="157">
        <v>22</v>
      </c>
      <c r="N1201" s="157"/>
      <c r="O1201" s="157"/>
      <c r="P1201" s="157"/>
      <c r="Q1201" s="157"/>
      <c r="R1201" s="157"/>
      <c r="S1201" s="157"/>
      <c r="T1201" s="157"/>
      <c r="U1201" s="157"/>
      <c r="V1201" s="158"/>
      <c r="W1201" s="182"/>
      <c r="X1201" s="1">
        <v>40509</v>
      </c>
      <c r="Y1201" s="78">
        <f t="shared" si="155"/>
        <v>0</v>
      </c>
      <c r="Z1201" s="78">
        <f t="shared" si="156"/>
        <v>0</v>
      </c>
      <c r="AA1201" s="78">
        <f t="shared" si="162"/>
        <v>0</v>
      </c>
      <c r="AB1201" s="78">
        <f t="shared" si="157"/>
        <v>0</v>
      </c>
      <c r="AC1201" s="78">
        <f>600*17980+10000*994.12+600*21460+140*51968</f>
        <v>40880720</v>
      </c>
      <c r="AD1201" s="78">
        <v>0</v>
      </c>
      <c r="AE1201" s="80">
        <f t="shared" si="159"/>
        <v>40880720</v>
      </c>
      <c r="AF1201" s="82">
        <v>0</v>
      </c>
      <c r="AG1201" s="69">
        <v>40448</v>
      </c>
      <c r="AH1201" s="84">
        <v>59205</v>
      </c>
      <c r="AI1201" s="69" t="s">
        <v>2009</v>
      </c>
      <c r="AJ1201" s="25" t="s">
        <v>2010</v>
      </c>
      <c r="AK1201" s="65">
        <v>24573</v>
      </c>
      <c r="AL1201" s="176" t="s">
        <v>1185</v>
      </c>
      <c r="AM1201" s="173" t="s">
        <v>2930</v>
      </c>
      <c r="AN1201" s="159"/>
      <c r="AO1201" s="160"/>
      <c r="AP1201" s="161"/>
      <c r="AQ1201" s="160"/>
      <c r="AR1201" s="160"/>
      <c r="AS1201" s="160"/>
      <c r="AT1201" s="160"/>
      <c r="AU1201" s="160"/>
      <c r="AV1201" s="160"/>
      <c r="AW1201" s="160"/>
      <c r="AX1201" s="160"/>
      <c r="AY1201" s="160"/>
      <c r="AZ1201" s="160"/>
      <c r="BA1201" s="160"/>
      <c r="BB1201" s="160"/>
      <c r="BC1201" s="160"/>
      <c r="BD1201" s="160"/>
      <c r="BE1201" s="160"/>
      <c r="BF1201" s="160"/>
      <c r="BG1201" s="160"/>
      <c r="BH1201" s="160"/>
      <c r="BI1201" s="160"/>
      <c r="BJ1201" s="160"/>
      <c r="BK1201" s="160"/>
      <c r="BL1201" s="160"/>
      <c r="BM1201" s="160"/>
      <c r="BN1201" s="160"/>
      <c r="BO1201" s="160"/>
      <c r="BP1201" s="160"/>
      <c r="BQ1201" s="160"/>
      <c r="BR1201" s="160"/>
      <c r="BS1201" s="160"/>
      <c r="BT1201" s="160"/>
      <c r="BU1201" s="160"/>
      <c r="BV1201" s="160"/>
      <c r="BW1201" s="160"/>
      <c r="BX1201" s="160"/>
      <c r="BY1201" s="160"/>
      <c r="BZ1201" s="160"/>
      <c r="CA1201" s="160"/>
      <c r="CB1201" s="160"/>
      <c r="CC1201" s="160"/>
      <c r="CD1201" s="160"/>
      <c r="CE1201" s="160"/>
      <c r="CF1201" s="160"/>
      <c r="CG1201" s="160"/>
      <c r="CH1201" s="160"/>
      <c r="CI1201" s="160"/>
      <c r="CJ1201" s="160"/>
      <c r="CK1201" s="160"/>
      <c r="CL1201" s="160"/>
      <c r="CM1201" s="160"/>
      <c r="CN1201" s="160"/>
      <c r="CO1201" s="160"/>
      <c r="CP1201" s="162"/>
      <c r="CQ1201" s="163"/>
      <c r="CR1201" s="162"/>
      <c r="CS1201" s="163"/>
      <c r="CT1201" s="162"/>
      <c r="CU1201" s="163"/>
      <c r="CV1201" s="164">
        <f t="shared" si="158"/>
        <v>0</v>
      </c>
      <c r="CW1201" s="165"/>
      <c r="CX1201" s="166"/>
      <c r="CY1201" s="167"/>
      <c r="CZ1201" s="168"/>
      <c r="DA1201" s="169"/>
      <c r="DB1201" s="168"/>
      <c r="DC1201" s="165"/>
      <c r="DD1201" s="166"/>
      <c r="DE1201" s="71"/>
      <c r="DF1201" s="170"/>
      <c r="EO1201" s="353" t="str">
        <f t="shared" si="161"/>
        <v>NORTE DE SANTANDER_CUCUTILLA</v>
      </c>
      <c r="EP1201" s="350"/>
      <c r="EQ1201" s="350"/>
      <c r="ER1201" s="357"/>
      <c r="ES1201" s="350"/>
      <c r="ET1201" s="350"/>
      <c r="EU1201" s="350"/>
    </row>
    <row r="1202" spans="1:151" s="171" customFormat="1" ht="38.25" x14ac:dyDescent="0.2">
      <c r="A1202" s="242">
        <v>40447</v>
      </c>
      <c r="B1202" s="222" t="s">
        <v>1336</v>
      </c>
      <c r="C1202" s="222" t="s">
        <v>1624</v>
      </c>
      <c r="D1202" s="430" t="s">
        <v>837</v>
      </c>
      <c r="E1202" s="107" t="str">
        <f>VLOOKUP(B1202&amp;C1202,Divipola!$C$2:$F$1138,4,FALSE)</f>
        <v>54261</v>
      </c>
      <c r="F1202" s="333"/>
      <c r="G1202" s="221"/>
      <c r="H1202" s="157"/>
      <c r="I1202" s="157"/>
      <c r="J1202" s="157">
        <v>15</v>
      </c>
      <c r="K1202" s="157">
        <v>3</v>
      </c>
      <c r="L1202" s="157">
        <v>3</v>
      </c>
      <c r="M1202" s="157"/>
      <c r="N1202" s="157"/>
      <c r="O1202" s="157"/>
      <c r="P1202" s="157"/>
      <c r="Q1202" s="157"/>
      <c r="R1202" s="157"/>
      <c r="S1202" s="157"/>
      <c r="T1202" s="157"/>
      <c r="U1202" s="157"/>
      <c r="V1202" s="158"/>
      <c r="W1202" s="182"/>
      <c r="X1202" s="1"/>
      <c r="Y1202" s="78">
        <f t="shared" si="155"/>
        <v>0</v>
      </c>
      <c r="Z1202" s="78">
        <f t="shared" si="156"/>
        <v>0</v>
      </c>
      <c r="AA1202" s="78">
        <f t="shared" si="162"/>
        <v>0</v>
      </c>
      <c r="AB1202" s="78">
        <f t="shared" si="157"/>
        <v>0</v>
      </c>
      <c r="AC1202" s="78"/>
      <c r="AD1202" s="78">
        <v>0</v>
      </c>
      <c r="AE1202" s="80">
        <f t="shared" si="159"/>
        <v>0</v>
      </c>
      <c r="AF1202" s="82">
        <v>0</v>
      </c>
      <c r="AG1202" s="69">
        <v>40448</v>
      </c>
      <c r="AH1202" s="84"/>
      <c r="AI1202" s="69" t="s">
        <v>1984</v>
      </c>
      <c r="AJ1202" s="25" t="s">
        <v>1985</v>
      </c>
      <c r="AK1202" s="65"/>
      <c r="AL1202" s="176" t="s">
        <v>1257</v>
      </c>
      <c r="AM1202" s="173" t="s">
        <v>1697</v>
      </c>
      <c r="AN1202" s="159"/>
      <c r="AO1202" s="160"/>
      <c r="AP1202" s="161"/>
      <c r="AQ1202" s="160"/>
      <c r="AR1202" s="160"/>
      <c r="AS1202" s="160"/>
      <c r="AT1202" s="160"/>
      <c r="AU1202" s="160"/>
      <c r="AV1202" s="160"/>
      <c r="AW1202" s="160"/>
      <c r="AX1202" s="160"/>
      <c r="AY1202" s="160"/>
      <c r="AZ1202" s="160"/>
      <c r="BA1202" s="160"/>
      <c r="BB1202" s="160"/>
      <c r="BC1202" s="160"/>
      <c r="BD1202" s="160"/>
      <c r="BE1202" s="160"/>
      <c r="BF1202" s="160"/>
      <c r="BG1202" s="160"/>
      <c r="BH1202" s="160"/>
      <c r="BI1202" s="160"/>
      <c r="BJ1202" s="160"/>
      <c r="BK1202" s="160"/>
      <c r="BL1202" s="160"/>
      <c r="BM1202" s="160"/>
      <c r="BN1202" s="160"/>
      <c r="BO1202" s="160"/>
      <c r="BP1202" s="160"/>
      <c r="BQ1202" s="160"/>
      <c r="BR1202" s="160"/>
      <c r="BS1202" s="160"/>
      <c r="BT1202" s="160"/>
      <c r="BU1202" s="160"/>
      <c r="BV1202" s="160"/>
      <c r="BW1202" s="160"/>
      <c r="BX1202" s="160"/>
      <c r="BY1202" s="160"/>
      <c r="BZ1202" s="160"/>
      <c r="CA1202" s="160"/>
      <c r="CB1202" s="160"/>
      <c r="CC1202" s="160"/>
      <c r="CD1202" s="160"/>
      <c r="CE1202" s="160"/>
      <c r="CF1202" s="160"/>
      <c r="CG1202" s="160"/>
      <c r="CH1202" s="160"/>
      <c r="CI1202" s="160"/>
      <c r="CJ1202" s="160"/>
      <c r="CK1202" s="160"/>
      <c r="CL1202" s="160"/>
      <c r="CM1202" s="160"/>
      <c r="CN1202" s="160"/>
      <c r="CO1202" s="160"/>
      <c r="CP1202" s="162"/>
      <c r="CQ1202" s="163"/>
      <c r="CR1202" s="162"/>
      <c r="CS1202" s="163"/>
      <c r="CT1202" s="162"/>
      <c r="CU1202" s="163"/>
      <c r="CV1202" s="164">
        <f t="shared" si="158"/>
        <v>0</v>
      </c>
      <c r="CW1202" s="165"/>
      <c r="CX1202" s="166"/>
      <c r="CY1202" s="167"/>
      <c r="CZ1202" s="168"/>
      <c r="DA1202" s="169"/>
      <c r="DB1202" s="168"/>
      <c r="DC1202" s="165"/>
      <c r="DD1202" s="166"/>
      <c r="DE1202" s="71"/>
      <c r="DF1202" s="170"/>
      <c r="EO1202" s="353" t="str">
        <f t="shared" si="161"/>
        <v>NORTE DE SANTANDER_EL ZULIA</v>
      </c>
      <c r="EP1202" s="350"/>
      <c r="EQ1202" s="350"/>
      <c r="ER1202" s="357"/>
      <c r="ES1202" s="350"/>
      <c r="ET1202" s="350"/>
      <c r="EU1202" s="350"/>
    </row>
    <row r="1203" spans="1:151" s="171" customFormat="1" ht="51" x14ac:dyDescent="0.2">
      <c r="A1203" s="242">
        <v>40447</v>
      </c>
      <c r="B1203" s="222" t="s">
        <v>1336</v>
      </c>
      <c r="C1203" s="222" t="s">
        <v>2744</v>
      </c>
      <c r="D1203" s="430" t="s">
        <v>2209</v>
      </c>
      <c r="E1203" s="107" t="str">
        <f>VLOOKUP(B1203&amp;C1203,Divipola!$C$2:$F$1138,4,FALSE)</f>
        <v>54673</v>
      </c>
      <c r="F1203" s="333"/>
      <c r="G1203" s="221"/>
      <c r="H1203" s="157"/>
      <c r="I1203" s="157"/>
      <c r="J1203" s="157">
        <v>344</v>
      </c>
      <c r="K1203" s="157">
        <v>100</v>
      </c>
      <c r="L1203" s="157"/>
      <c r="M1203" s="157">
        <v>65</v>
      </c>
      <c r="N1203" s="157"/>
      <c r="O1203" s="157"/>
      <c r="P1203" s="157"/>
      <c r="Q1203" s="157">
        <v>1</v>
      </c>
      <c r="R1203" s="157">
        <v>1</v>
      </c>
      <c r="S1203" s="157"/>
      <c r="T1203" s="157"/>
      <c r="U1203" s="157"/>
      <c r="V1203" s="158"/>
      <c r="W1203" s="182" t="s">
        <v>1696</v>
      </c>
      <c r="X1203" s="1"/>
      <c r="Y1203" s="78">
        <f t="shared" si="155"/>
        <v>0</v>
      </c>
      <c r="Z1203" s="78">
        <f t="shared" si="156"/>
        <v>0</v>
      </c>
      <c r="AA1203" s="78">
        <f t="shared" si="162"/>
        <v>0</v>
      </c>
      <c r="AB1203" s="78">
        <f t="shared" si="157"/>
        <v>0</v>
      </c>
      <c r="AC1203" s="78"/>
      <c r="AD1203" s="78">
        <v>0</v>
      </c>
      <c r="AE1203" s="80">
        <f t="shared" si="159"/>
        <v>0</v>
      </c>
      <c r="AF1203" s="82">
        <v>0</v>
      </c>
      <c r="AG1203" s="69">
        <v>40448</v>
      </c>
      <c r="AH1203" s="84"/>
      <c r="AI1203" s="69" t="s">
        <v>1984</v>
      </c>
      <c r="AJ1203" s="25" t="s">
        <v>1985</v>
      </c>
      <c r="AK1203" s="65"/>
      <c r="AL1203" s="176" t="s">
        <v>1257</v>
      </c>
      <c r="AM1203" s="173" t="s">
        <v>1695</v>
      </c>
      <c r="AN1203" s="159"/>
      <c r="AO1203" s="160"/>
      <c r="AP1203" s="161"/>
      <c r="AQ1203" s="160"/>
      <c r="AR1203" s="160"/>
      <c r="AS1203" s="160"/>
      <c r="AT1203" s="160"/>
      <c r="AU1203" s="160"/>
      <c r="AV1203" s="160"/>
      <c r="AW1203" s="160"/>
      <c r="AX1203" s="160"/>
      <c r="AY1203" s="160"/>
      <c r="AZ1203" s="160"/>
      <c r="BA1203" s="160"/>
      <c r="BB1203" s="160"/>
      <c r="BC1203" s="160"/>
      <c r="BD1203" s="160"/>
      <c r="BE1203" s="160"/>
      <c r="BF1203" s="160"/>
      <c r="BG1203" s="160"/>
      <c r="BH1203" s="160"/>
      <c r="BI1203" s="160"/>
      <c r="BJ1203" s="160"/>
      <c r="BK1203" s="160"/>
      <c r="BL1203" s="160"/>
      <c r="BM1203" s="160"/>
      <c r="BN1203" s="160"/>
      <c r="BO1203" s="160"/>
      <c r="BP1203" s="160"/>
      <c r="BQ1203" s="160"/>
      <c r="BR1203" s="160"/>
      <c r="BS1203" s="160"/>
      <c r="BT1203" s="160"/>
      <c r="BU1203" s="160"/>
      <c r="BV1203" s="160"/>
      <c r="BW1203" s="160"/>
      <c r="BX1203" s="160"/>
      <c r="BY1203" s="160"/>
      <c r="BZ1203" s="160"/>
      <c r="CA1203" s="160"/>
      <c r="CB1203" s="160"/>
      <c r="CC1203" s="160"/>
      <c r="CD1203" s="160"/>
      <c r="CE1203" s="160"/>
      <c r="CF1203" s="160"/>
      <c r="CG1203" s="160"/>
      <c r="CH1203" s="160"/>
      <c r="CI1203" s="160"/>
      <c r="CJ1203" s="160"/>
      <c r="CK1203" s="160"/>
      <c r="CL1203" s="160"/>
      <c r="CM1203" s="160"/>
      <c r="CN1203" s="160"/>
      <c r="CO1203" s="160"/>
      <c r="CP1203" s="162"/>
      <c r="CQ1203" s="163"/>
      <c r="CR1203" s="162"/>
      <c r="CS1203" s="163"/>
      <c r="CT1203" s="162"/>
      <c r="CU1203" s="163"/>
      <c r="CV1203" s="164">
        <f t="shared" si="158"/>
        <v>0</v>
      </c>
      <c r="CW1203" s="165"/>
      <c r="CX1203" s="166"/>
      <c r="CY1203" s="167"/>
      <c r="CZ1203" s="168"/>
      <c r="DA1203" s="169"/>
      <c r="DB1203" s="168"/>
      <c r="DC1203" s="165"/>
      <c r="DD1203" s="166"/>
      <c r="DE1203" s="71"/>
      <c r="DF1203" s="170"/>
      <c r="EO1203" s="353" t="str">
        <f t="shared" si="161"/>
        <v>NORTE DE SANTANDER_SAN CAYETANO</v>
      </c>
      <c r="EP1203" s="350"/>
      <c r="EQ1203" s="350"/>
      <c r="ER1203" s="357"/>
      <c r="ES1203" s="350"/>
      <c r="ET1203" s="350"/>
      <c r="EU1203" s="350"/>
    </row>
    <row r="1204" spans="1:151" s="171" customFormat="1" ht="96" x14ac:dyDescent="0.2">
      <c r="A1204" s="246">
        <v>40448</v>
      </c>
      <c r="B1204" s="280" t="s">
        <v>2401</v>
      </c>
      <c r="C1204" s="280" t="s">
        <v>2562</v>
      </c>
      <c r="D1204" s="431" t="s">
        <v>2307</v>
      </c>
      <c r="E1204" s="107" t="str">
        <f>VLOOKUP(B1204&amp;C1204,Divipola!$C$2:$F$1138,4,FALSE)</f>
        <v>05306</v>
      </c>
      <c r="F1204" s="334"/>
      <c r="G1204" s="221">
        <v>9</v>
      </c>
      <c r="H1204" s="157"/>
      <c r="I1204" s="157">
        <v>1</v>
      </c>
      <c r="J1204" s="157">
        <v>99</v>
      </c>
      <c r="K1204" s="157">
        <v>25</v>
      </c>
      <c r="L1204" s="157">
        <v>14</v>
      </c>
      <c r="M1204" s="157">
        <v>10</v>
      </c>
      <c r="N1204" s="157">
        <v>1</v>
      </c>
      <c r="O1204" s="157"/>
      <c r="P1204" s="157"/>
      <c r="Q1204" s="157"/>
      <c r="R1204" s="157"/>
      <c r="S1204" s="157"/>
      <c r="T1204" s="157"/>
      <c r="U1204" s="157"/>
      <c r="V1204" s="158"/>
      <c r="W1204" s="182"/>
      <c r="X1204" s="1">
        <v>40452</v>
      </c>
      <c r="Y1204" s="78">
        <f t="shared" si="155"/>
        <v>0</v>
      </c>
      <c r="Z1204" s="78">
        <f t="shared" si="156"/>
        <v>0</v>
      </c>
      <c r="AA1204" s="78">
        <f t="shared" si="162"/>
        <v>0</v>
      </c>
      <c r="AB1204" s="78">
        <f t="shared" si="157"/>
        <v>0</v>
      </c>
      <c r="AC1204" s="78">
        <f>200*24800</f>
        <v>4960000</v>
      </c>
      <c r="AD1204" s="78">
        <v>20000000</v>
      </c>
      <c r="AE1204" s="80">
        <f t="shared" si="159"/>
        <v>24960000</v>
      </c>
      <c r="AF1204" s="82">
        <v>0</v>
      </c>
      <c r="AG1204" s="69">
        <v>40449</v>
      </c>
      <c r="AH1204" s="84">
        <v>53574</v>
      </c>
      <c r="AI1204" s="69" t="s">
        <v>2009</v>
      </c>
      <c r="AJ1204" s="25" t="s">
        <v>2010</v>
      </c>
      <c r="AK1204" s="88" t="s">
        <v>2163</v>
      </c>
      <c r="AL1204" s="176" t="s">
        <v>1831</v>
      </c>
      <c r="AM1204" s="173" t="s">
        <v>2164</v>
      </c>
      <c r="AN1204" s="159"/>
      <c r="AO1204" s="160"/>
      <c r="AP1204" s="161"/>
      <c r="AQ1204" s="160"/>
      <c r="AR1204" s="160"/>
      <c r="AS1204" s="160"/>
      <c r="AT1204" s="160"/>
      <c r="AU1204" s="160"/>
      <c r="AV1204" s="160"/>
      <c r="AW1204" s="160"/>
      <c r="AX1204" s="160"/>
      <c r="AY1204" s="160"/>
      <c r="AZ1204" s="160"/>
      <c r="BA1204" s="160"/>
      <c r="BB1204" s="160"/>
      <c r="BC1204" s="160"/>
      <c r="BD1204" s="160"/>
      <c r="BE1204" s="160"/>
      <c r="BF1204" s="160"/>
      <c r="BG1204" s="160"/>
      <c r="BH1204" s="160"/>
      <c r="BI1204" s="160"/>
      <c r="BJ1204" s="160"/>
      <c r="BK1204" s="160"/>
      <c r="BL1204" s="160"/>
      <c r="BM1204" s="160"/>
      <c r="BN1204" s="160"/>
      <c r="BO1204" s="160"/>
      <c r="BP1204" s="160"/>
      <c r="BQ1204" s="160"/>
      <c r="BR1204" s="160"/>
      <c r="BS1204" s="160"/>
      <c r="BT1204" s="160"/>
      <c r="BU1204" s="160"/>
      <c r="BV1204" s="160"/>
      <c r="BW1204" s="160"/>
      <c r="BX1204" s="160"/>
      <c r="BY1204" s="160"/>
      <c r="BZ1204" s="160"/>
      <c r="CA1204" s="160"/>
      <c r="CB1204" s="160"/>
      <c r="CC1204" s="160"/>
      <c r="CD1204" s="160"/>
      <c r="CE1204" s="160"/>
      <c r="CF1204" s="160"/>
      <c r="CG1204" s="160"/>
      <c r="CH1204" s="160"/>
      <c r="CI1204" s="160"/>
      <c r="CJ1204" s="160"/>
      <c r="CK1204" s="160"/>
      <c r="CL1204" s="160"/>
      <c r="CM1204" s="160"/>
      <c r="CN1204" s="160"/>
      <c r="CO1204" s="160"/>
      <c r="CP1204" s="162"/>
      <c r="CQ1204" s="163"/>
      <c r="CR1204" s="162"/>
      <c r="CS1204" s="163"/>
      <c r="CT1204" s="162"/>
      <c r="CU1204" s="163"/>
      <c r="CV1204" s="164">
        <f t="shared" si="158"/>
        <v>0</v>
      </c>
      <c r="CW1204" s="165"/>
      <c r="CX1204" s="166"/>
      <c r="CY1204" s="167"/>
      <c r="CZ1204" s="168"/>
      <c r="DA1204" s="169"/>
      <c r="DB1204" s="168"/>
      <c r="DC1204" s="165"/>
      <c r="DD1204" s="166"/>
      <c r="DE1204" s="71"/>
      <c r="DF1204" s="170">
        <v>1304</v>
      </c>
      <c r="EO1204" s="353" t="str">
        <f t="shared" si="161"/>
        <v>ANTIOQUIA_GIRALDO</v>
      </c>
      <c r="EP1204" s="350"/>
      <c r="EQ1204" s="350"/>
      <c r="ER1204" s="357"/>
      <c r="ES1204" s="350"/>
      <c r="ET1204" s="350"/>
      <c r="EU1204" s="350"/>
    </row>
    <row r="1205" spans="1:151" s="171" customFormat="1" ht="25.5" x14ac:dyDescent="0.2">
      <c r="A1205" s="242">
        <v>40448</v>
      </c>
      <c r="B1205" s="222" t="s">
        <v>289</v>
      </c>
      <c r="C1205" s="222" t="s">
        <v>2559</v>
      </c>
      <c r="D1205" s="427" t="s">
        <v>2307</v>
      </c>
      <c r="E1205" s="107" t="str">
        <f>VLOOKUP(B1205&amp;C1205,Divipola!$C$2:$F$1138,4,FALSE)</f>
        <v>17042</v>
      </c>
      <c r="F1205" s="330"/>
      <c r="G1205" s="221">
        <v>4</v>
      </c>
      <c r="H1205" s="157"/>
      <c r="I1205" s="157"/>
      <c r="J1205" s="157">
        <f>272*5</f>
        <v>1360</v>
      </c>
      <c r="K1205" s="157">
        <f>322-50</f>
        <v>272</v>
      </c>
      <c r="L1205" s="157">
        <v>1</v>
      </c>
      <c r="M1205" s="157">
        <v>135</v>
      </c>
      <c r="N1205" s="157"/>
      <c r="O1205" s="157"/>
      <c r="P1205" s="157"/>
      <c r="Q1205" s="157"/>
      <c r="R1205" s="157"/>
      <c r="S1205" s="157"/>
      <c r="T1205" s="157"/>
      <c r="U1205" s="157"/>
      <c r="V1205" s="158"/>
      <c r="W1205" s="182"/>
      <c r="X1205" s="1"/>
      <c r="Y1205" s="78">
        <f t="shared" si="155"/>
        <v>0</v>
      </c>
      <c r="Z1205" s="78">
        <f t="shared" si="156"/>
        <v>0</v>
      </c>
      <c r="AA1205" s="78">
        <f t="shared" si="162"/>
        <v>0</v>
      </c>
      <c r="AB1205" s="78">
        <f t="shared" si="157"/>
        <v>0</v>
      </c>
      <c r="AC1205" s="78"/>
      <c r="AD1205" s="78">
        <v>0</v>
      </c>
      <c r="AE1205" s="80">
        <f t="shared" si="159"/>
        <v>0</v>
      </c>
      <c r="AF1205" s="82">
        <v>0</v>
      </c>
      <c r="AG1205" s="69">
        <v>40449</v>
      </c>
      <c r="AH1205" s="84"/>
      <c r="AI1205" s="69" t="s">
        <v>2009</v>
      </c>
      <c r="AJ1205" s="25" t="s">
        <v>2010</v>
      </c>
      <c r="AK1205" s="65"/>
      <c r="AL1205" s="184" t="s">
        <v>3833</v>
      </c>
      <c r="AM1205" s="173" t="s">
        <v>2560</v>
      </c>
      <c r="AN1205" s="159"/>
      <c r="AO1205" s="160"/>
      <c r="AP1205" s="161"/>
      <c r="AQ1205" s="160"/>
      <c r="AR1205" s="160"/>
      <c r="AS1205" s="160"/>
      <c r="AT1205" s="160"/>
      <c r="AU1205" s="160"/>
      <c r="AV1205" s="160"/>
      <c r="AW1205" s="160"/>
      <c r="AX1205" s="160"/>
      <c r="AY1205" s="160"/>
      <c r="AZ1205" s="160"/>
      <c r="BA1205" s="160"/>
      <c r="BB1205" s="160"/>
      <c r="BC1205" s="160"/>
      <c r="BD1205" s="160"/>
      <c r="BE1205" s="160"/>
      <c r="BF1205" s="160"/>
      <c r="BG1205" s="160"/>
      <c r="BH1205" s="160"/>
      <c r="BI1205" s="160"/>
      <c r="BJ1205" s="160"/>
      <c r="BK1205" s="160"/>
      <c r="BL1205" s="160"/>
      <c r="BM1205" s="160"/>
      <c r="BN1205" s="160"/>
      <c r="BO1205" s="160"/>
      <c r="BP1205" s="160"/>
      <c r="BQ1205" s="160"/>
      <c r="BR1205" s="160"/>
      <c r="BS1205" s="160"/>
      <c r="BT1205" s="160"/>
      <c r="BU1205" s="160"/>
      <c r="BV1205" s="160"/>
      <c r="BW1205" s="160"/>
      <c r="BX1205" s="160"/>
      <c r="BY1205" s="160"/>
      <c r="BZ1205" s="160"/>
      <c r="CA1205" s="160"/>
      <c r="CB1205" s="160"/>
      <c r="CC1205" s="160"/>
      <c r="CD1205" s="160"/>
      <c r="CE1205" s="160"/>
      <c r="CF1205" s="160"/>
      <c r="CG1205" s="160"/>
      <c r="CH1205" s="160"/>
      <c r="CI1205" s="160"/>
      <c r="CJ1205" s="160"/>
      <c r="CK1205" s="160"/>
      <c r="CL1205" s="160"/>
      <c r="CM1205" s="160"/>
      <c r="CN1205" s="160"/>
      <c r="CO1205" s="160"/>
      <c r="CP1205" s="162"/>
      <c r="CQ1205" s="163"/>
      <c r="CR1205" s="162"/>
      <c r="CS1205" s="163"/>
      <c r="CT1205" s="162"/>
      <c r="CU1205" s="163"/>
      <c r="CV1205" s="164">
        <f t="shared" si="158"/>
        <v>0</v>
      </c>
      <c r="CW1205" s="165"/>
      <c r="CX1205" s="166"/>
      <c r="CY1205" s="167"/>
      <c r="CZ1205" s="168"/>
      <c r="DA1205" s="169"/>
      <c r="DB1205" s="168"/>
      <c r="DC1205" s="165"/>
      <c r="DD1205" s="166"/>
      <c r="DE1205" s="71"/>
      <c r="DF1205" s="170"/>
      <c r="EO1205" s="353" t="str">
        <f t="shared" si="161"/>
        <v>CALDAS_ANSERMA</v>
      </c>
      <c r="EP1205" s="350"/>
      <c r="EQ1205" s="350"/>
      <c r="ER1205" s="357"/>
      <c r="ES1205" s="350"/>
      <c r="ET1205" s="350"/>
      <c r="EU1205" s="350"/>
    </row>
    <row r="1206" spans="1:151" s="171" customFormat="1" ht="45" x14ac:dyDescent="0.2">
      <c r="A1206" s="242">
        <v>40448</v>
      </c>
      <c r="B1206" s="236" t="s">
        <v>2242</v>
      </c>
      <c r="C1206" s="236" t="s">
        <v>193</v>
      </c>
      <c r="D1206" s="433" t="s">
        <v>837</v>
      </c>
      <c r="E1206" s="107" t="str">
        <f>VLOOKUP(B1206&amp;C1206,Divipola!$C$2:$F$1138,4,FALSE)</f>
        <v>20250</v>
      </c>
      <c r="F1206" s="335"/>
      <c r="G1206" s="221"/>
      <c r="H1206" s="157"/>
      <c r="I1206" s="157"/>
      <c r="J1206" s="157">
        <f>236*5</f>
        <v>1180</v>
      </c>
      <c r="K1206" s="157">
        <v>236</v>
      </c>
      <c r="L1206" s="157"/>
      <c r="M1206" s="157">
        <v>236</v>
      </c>
      <c r="N1206" s="157"/>
      <c r="O1206" s="157"/>
      <c r="P1206" s="157"/>
      <c r="Q1206" s="157"/>
      <c r="R1206" s="157"/>
      <c r="S1206" s="157"/>
      <c r="T1206" s="157"/>
      <c r="U1206" s="157"/>
      <c r="V1206" s="158"/>
      <c r="W1206" s="182"/>
      <c r="X1206" s="1">
        <v>40452</v>
      </c>
      <c r="Y1206" s="78">
        <f t="shared" si="155"/>
        <v>33788000</v>
      </c>
      <c r="Z1206" s="78">
        <f t="shared" si="156"/>
        <v>31960000</v>
      </c>
      <c r="AA1206" s="78">
        <f t="shared" si="162"/>
        <v>0</v>
      </c>
      <c r="AB1206" s="78">
        <f t="shared" si="157"/>
        <v>0</v>
      </c>
      <c r="AC1206" s="78"/>
      <c r="AD1206" s="78">
        <v>0</v>
      </c>
      <c r="AE1206" s="80">
        <f t="shared" si="159"/>
        <v>65748000</v>
      </c>
      <c r="AF1206" s="82">
        <v>0</v>
      </c>
      <c r="AG1206" s="69">
        <v>40422</v>
      </c>
      <c r="AH1206" s="94" t="s">
        <v>533</v>
      </c>
      <c r="AI1206" s="69" t="s">
        <v>2009</v>
      </c>
      <c r="AJ1206" s="25" t="s">
        <v>2010</v>
      </c>
      <c r="AK1206" s="88" t="s">
        <v>534</v>
      </c>
      <c r="AL1206" s="176" t="s">
        <v>2074</v>
      </c>
      <c r="AM1206" s="173" t="s">
        <v>2073</v>
      </c>
      <c r="AN1206" s="159"/>
      <c r="AO1206" s="160"/>
      <c r="AP1206" s="161"/>
      <c r="AQ1206" s="160"/>
      <c r="AR1206" s="160"/>
      <c r="AS1206" s="160"/>
      <c r="AT1206" s="160"/>
      <c r="AU1206" s="160"/>
      <c r="AV1206" s="160"/>
      <c r="AW1206" s="160"/>
      <c r="AX1206" s="160"/>
      <c r="AY1206" s="160"/>
      <c r="AZ1206" s="160"/>
      <c r="BA1206" s="160"/>
      <c r="BB1206" s="160"/>
      <c r="BC1206" s="160"/>
      <c r="BD1206" s="160"/>
      <c r="BE1206" s="160"/>
      <c r="BF1206" s="160"/>
      <c r="BG1206" s="160"/>
      <c r="BH1206" s="160"/>
      <c r="BI1206" s="160"/>
      <c r="BJ1206" s="160"/>
      <c r="BK1206" s="160"/>
      <c r="BL1206" s="160"/>
      <c r="BM1206" s="160"/>
      <c r="BN1206" s="160"/>
      <c r="BO1206" s="160"/>
      <c r="BP1206" s="160"/>
      <c r="BQ1206" s="160"/>
      <c r="BR1206" s="160"/>
      <c r="BS1206" s="160"/>
      <c r="BT1206" s="160"/>
      <c r="BU1206" s="160"/>
      <c r="BV1206" s="160"/>
      <c r="BW1206" s="160"/>
      <c r="BX1206" s="160"/>
      <c r="BY1206" s="160"/>
      <c r="BZ1206" s="160"/>
      <c r="CA1206" s="160"/>
      <c r="CB1206" s="160"/>
      <c r="CC1206" s="160"/>
      <c r="CD1206" s="160"/>
      <c r="CE1206" s="160"/>
      <c r="CF1206" s="160"/>
      <c r="CG1206" s="160"/>
      <c r="CH1206" s="160"/>
      <c r="CI1206" s="160"/>
      <c r="CJ1206" s="160"/>
      <c r="CK1206" s="160"/>
      <c r="CL1206" s="160"/>
      <c r="CM1206" s="160"/>
      <c r="CN1206" s="160">
        <f>140+500</f>
        <v>640</v>
      </c>
      <c r="CO1206" s="160">
        <f>140*18000+500*18000</f>
        <v>11520000</v>
      </c>
      <c r="CP1206" s="162">
        <v>236</v>
      </c>
      <c r="CQ1206" s="163">
        <f>236*37000</f>
        <v>8732000</v>
      </c>
      <c r="CR1206" s="162">
        <f>140+236</f>
        <v>376</v>
      </c>
      <c r="CS1206" s="163">
        <f>140*36000+236*36000</f>
        <v>13536000</v>
      </c>
      <c r="CT1206" s="162"/>
      <c r="CU1206" s="163"/>
      <c r="CV1206" s="164">
        <f t="shared" si="158"/>
        <v>33788000</v>
      </c>
      <c r="CW1206" s="165"/>
      <c r="CX1206" s="166"/>
      <c r="CY1206" s="167">
        <f>140+236</f>
        <v>376</v>
      </c>
      <c r="CZ1206" s="168">
        <f>140*85000+236*85000</f>
        <v>31960000</v>
      </c>
      <c r="DA1206" s="169"/>
      <c r="DB1206" s="168"/>
      <c r="DC1206" s="165"/>
      <c r="DD1206" s="166"/>
      <c r="DE1206" s="71"/>
      <c r="DF1206" s="170"/>
      <c r="EO1206" s="353" t="str">
        <f t="shared" si="161"/>
        <v>CESAR_EL PASO</v>
      </c>
      <c r="EP1206" s="350"/>
      <c r="EQ1206" s="350"/>
      <c r="ER1206" s="357"/>
      <c r="ES1206" s="350"/>
      <c r="ET1206" s="350"/>
      <c r="EU1206" s="350"/>
    </row>
    <row r="1207" spans="1:151" s="171" customFormat="1" ht="25.5" x14ac:dyDescent="0.2">
      <c r="A1207" s="242">
        <v>40448</v>
      </c>
      <c r="B1207" s="222" t="s">
        <v>2014</v>
      </c>
      <c r="C1207" s="222" t="s">
        <v>2015</v>
      </c>
      <c r="D1207" s="430" t="s">
        <v>1721</v>
      </c>
      <c r="E1207" s="107" t="str">
        <f>VLOOKUP(B1207&amp;C1207,Divipola!$C$2:$F$1138,4,FALSE)</f>
        <v>63001</v>
      </c>
      <c r="F1207" s="333"/>
      <c r="G1207" s="221"/>
      <c r="H1207" s="157"/>
      <c r="I1207" s="157"/>
      <c r="J1207" s="157">
        <v>5</v>
      </c>
      <c r="K1207" s="157">
        <v>1</v>
      </c>
      <c r="L1207" s="157">
        <v>1</v>
      </c>
      <c r="M1207" s="157"/>
      <c r="N1207" s="157"/>
      <c r="O1207" s="157"/>
      <c r="P1207" s="157"/>
      <c r="Q1207" s="157"/>
      <c r="R1207" s="157"/>
      <c r="S1207" s="157"/>
      <c r="T1207" s="157"/>
      <c r="U1207" s="157"/>
      <c r="V1207" s="158"/>
      <c r="W1207" s="182"/>
      <c r="X1207" s="1"/>
      <c r="Y1207" s="78">
        <f t="shared" si="155"/>
        <v>0</v>
      </c>
      <c r="Z1207" s="78">
        <f t="shared" si="156"/>
        <v>0</v>
      </c>
      <c r="AA1207" s="78">
        <f t="shared" si="162"/>
        <v>0</v>
      </c>
      <c r="AB1207" s="78">
        <f t="shared" si="157"/>
        <v>0</v>
      </c>
      <c r="AC1207" s="78"/>
      <c r="AD1207" s="78">
        <v>0</v>
      </c>
      <c r="AE1207" s="80">
        <f t="shared" si="159"/>
        <v>0</v>
      </c>
      <c r="AF1207" s="82">
        <v>0</v>
      </c>
      <c r="AG1207" s="69">
        <v>40451</v>
      </c>
      <c r="AH1207" s="84"/>
      <c r="AI1207" s="69" t="s">
        <v>1984</v>
      </c>
      <c r="AJ1207" s="25" t="s">
        <v>1985</v>
      </c>
      <c r="AK1207" s="65"/>
      <c r="AL1207" s="176" t="s">
        <v>1257</v>
      </c>
      <c r="AM1207" s="173" t="s">
        <v>2567</v>
      </c>
      <c r="AN1207" s="159"/>
      <c r="AO1207" s="160"/>
      <c r="AP1207" s="161"/>
      <c r="AQ1207" s="160"/>
      <c r="AR1207" s="160"/>
      <c r="AS1207" s="160"/>
      <c r="AT1207" s="160"/>
      <c r="AU1207" s="160"/>
      <c r="AV1207" s="160"/>
      <c r="AW1207" s="160"/>
      <c r="AX1207" s="160"/>
      <c r="AY1207" s="160"/>
      <c r="AZ1207" s="160"/>
      <c r="BA1207" s="160"/>
      <c r="BB1207" s="160"/>
      <c r="BC1207" s="160"/>
      <c r="BD1207" s="160"/>
      <c r="BE1207" s="160"/>
      <c r="BF1207" s="160"/>
      <c r="BG1207" s="160"/>
      <c r="BH1207" s="160"/>
      <c r="BI1207" s="160"/>
      <c r="BJ1207" s="160"/>
      <c r="BK1207" s="160"/>
      <c r="BL1207" s="160"/>
      <c r="BM1207" s="160"/>
      <c r="BN1207" s="160"/>
      <c r="BO1207" s="160"/>
      <c r="BP1207" s="160"/>
      <c r="BQ1207" s="160"/>
      <c r="BR1207" s="160"/>
      <c r="BS1207" s="160"/>
      <c r="BT1207" s="160"/>
      <c r="BU1207" s="160"/>
      <c r="BV1207" s="160"/>
      <c r="BW1207" s="160"/>
      <c r="BX1207" s="160"/>
      <c r="BY1207" s="160"/>
      <c r="BZ1207" s="160"/>
      <c r="CA1207" s="160"/>
      <c r="CB1207" s="160"/>
      <c r="CC1207" s="160"/>
      <c r="CD1207" s="160"/>
      <c r="CE1207" s="160"/>
      <c r="CF1207" s="160"/>
      <c r="CG1207" s="160"/>
      <c r="CH1207" s="160"/>
      <c r="CI1207" s="160"/>
      <c r="CJ1207" s="160"/>
      <c r="CK1207" s="160"/>
      <c r="CL1207" s="160"/>
      <c r="CM1207" s="160"/>
      <c r="CN1207" s="160"/>
      <c r="CO1207" s="160"/>
      <c r="CP1207" s="162"/>
      <c r="CQ1207" s="163"/>
      <c r="CR1207" s="162"/>
      <c r="CS1207" s="163"/>
      <c r="CT1207" s="162"/>
      <c r="CU1207" s="163"/>
      <c r="CV1207" s="164">
        <f t="shared" si="158"/>
        <v>0</v>
      </c>
      <c r="CW1207" s="165"/>
      <c r="CX1207" s="166"/>
      <c r="CY1207" s="167"/>
      <c r="CZ1207" s="168"/>
      <c r="DA1207" s="169"/>
      <c r="DB1207" s="168"/>
      <c r="DC1207" s="165"/>
      <c r="DD1207" s="166"/>
      <c r="DE1207" s="71"/>
      <c r="DF1207" s="170"/>
      <c r="EO1207" s="353" t="str">
        <f t="shared" si="161"/>
        <v>QUINDIO_ARMENIA</v>
      </c>
      <c r="EP1207" s="350"/>
      <c r="EQ1207" s="350"/>
      <c r="ER1207" s="357"/>
      <c r="ES1207" s="350"/>
      <c r="ET1207" s="350"/>
      <c r="EU1207" s="350"/>
    </row>
    <row r="1208" spans="1:151" s="171" customFormat="1" ht="38.25" x14ac:dyDescent="0.2">
      <c r="A1208" s="242">
        <v>40448</v>
      </c>
      <c r="B1208" s="222" t="s">
        <v>2427</v>
      </c>
      <c r="C1208" s="222" t="s">
        <v>628</v>
      </c>
      <c r="D1208" s="427" t="s">
        <v>2307</v>
      </c>
      <c r="E1208" s="107" t="str">
        <f>VLOOKUP(B1208&amp;C1208,Divipola!$C$2:$F$1138,4,FALSE)</f>
        <v>68001</v>
      </c>
      <c r="F1208" s="330"/>
      <c r="G1208" s="275"/>
      <c r="H1208" s="157"/>
      <c r="I1208" s="157"/>
      <c r="J1208" s="157">
        <f>33*5</f>
        <v>165</v>
      </c>
      <c r="K1208" s="157">
        <v>33</v>
      </c>
      <c r="L1208" s="157"/>
      <c r="M1208" s="157">
        <v>33</v>
      </c>
      <c r="N1208" s="157"/>
      <c r="O1208" s="157"/>
      <c r="P1208" s="157"/>
      <c r="Q1208" s="157"/>
      <c r="R1208" s="157"/>
      <c r="S1208" s="157"/>
      <c r="T1208" s="157"/>
      <c r="U1208" s="157"/>
      <c r="V1208" s="158"/>
      <c r="W1208" s="182"/>
      <c r="X1208" s="1"/>
      <c r="Y1208" s="78">
        <f t="shared" si="155"/>
        <v>0</v>
      </c>
      <c r="Z1208" s="78">
        <f t="shared" si="156"/>
        <v>0</v>
      </c>
      <c r="AA1208" s="78">
        <f t="shared" si="162"/>
        <v>0</v>
      </c>
      <c r="AB1208" s="78">
        <f t="shared" si="157"/>
        <v>0</v>
      </c>
      <c r="AC1208" s="78"/>
      <c r="AD1208" s="78">
        <v>0</v>
      </c>
      <c r="AE1208" s="80">
        <f t="shared" si="159"/>
        <v>0</v>
      </c>
      <c r="AF1208" s="82">
        <v>0</v>
      </c>
      <c r="AG1208" s="69">
        <v>40451</v>
      </c>
      <c r="AH1208" s="84"/>
      <c r="AI1208" s="69" t="s">
        <v>2009</v>
      </c>
      <c r="AJ1208" s="25" t="s">
        <v>2010</v>
      </c>
      <c r="AK1208" s="65"/>
      <c r="AL1208" s="184" t="s">
        <v>2663</v>
      </c>
      <c r="AM1208" s="173" t="s">
        <v>2572</v>
      </c>
      <c r="AN1208" s="159"/>
      <c r="AO1208" s="160"/>
      <c r="AP1208" s="161"/>
      <c r="AQ1208" s="160"/>
      <c r="AR1208" s="160"/>
      <c r="AS1208" s="160"/>
      <c r="AT1208" s="160"/>
      <c r="AU1208" s="160"/>
      <c r="AV1208" s="160"/>
      <c r="AW1208" s="160"/>
      <c r="AX1208" s="160"/>
      <c r="AY1208" s="160"/>
      <c r="AZ1208" s="160"/>
      <c r="BA1208" s="160"/>
      <c r="BB1208" s="160"/>
      <c r="BC1208" s="160"/>
      <c r="BD1208" s="160"/>
      <c r="BE1208" s="160"/>
      <c r="BF1208" s="160"/>
      <c r="BG1208" s="160"/>
      <c r="BH1208" s="160"/>
      <c r="BI1208" s="160"/>
      <c r="BJ1208" s="160"/>
      <c r="BK1208" s="160"/>
      <c r="BL1208" s="160"/>
      <c r="BM1208" s="160"/>
      <c r="BN1208" s="160"/>
      <c r="BO1208" s="160"/>
      <c r="BP1208" s="160"/>
      <c r="BQ1208" s="160"/>
      <c r="BR1208" s="160"/>
      <c r="BS1208" s="160"/>
      <c r="BT1208" s="160"/>
      <c r="BU1208" s="160"/>
      <c r="BV1208" s="160"/>
      <c r="BW1208" s="160"/>
      <c r="BX1208" s="160"/>
      <c r="BY1208" s="160"/>
      <c r="BZ1208" s="160"/>
      <c r="CA1208" s="160"/>
      <c r="CB1208" s="160"/>
      <c r="CC1208" s="160"/>
      <c r="CD1208" s="160"/>
      <c r="CE1208" s="160"/>
      <c r="CF1208" s="160"/>
      <c r="CG1208" s="160"/>
      <c r="CH1208" s="160"/>
      <c r="CI1208" s="160"/>
      <c r="CJ1208" s="160"/>
      <c r="CK1208" s="160"/>
      <c r="CL1208" s="160"/>
      <c r="CM1208" s="160"/>
      <c r="CN1208" s="160"/>
      <c r="CO1208" s="160"/>
      <c r="CP1208" s="162"/>
      <c r="CQ1208" s="163"/>
      <c r="CR1208" s="162"/>
      <c r="CS1208" s="163"/>
      <c r="CT1208" s="162"/>
      <c r="CU1208" s="163"/>
      <c r="CV1208" s="164">
        <f t="shared" si="158"/>
        <v>0</v>
      </c>
      <c r="CW1208" s="165"/>
      <c r="CX1208" s="166"/>
      <c r="CY1208" s="167"/>
      <c r="CZ1208" s="168"/>
      <c r="DA1208" s="169"/>
      <c r="DB1208" s="168"/>
      <c r="DC1208" s="165"/>
      <c r="DD1208" s="166"/>
      <c r="DE1208" s="71"/>
      <c r="DF1208" s="170"/>
      <c r="EO1208" s="353" t="str">
        <f t="shared" si="161"/>
        <v>SANTANDER_BUCARAMANGA</v>
      </c>
      <c r="EP1208" s="350"/>
      <c r="EQ1208" s="350"/>
      <c r="ER1208" s="357"/>
      <c r="ES1208" s="350"/>
      <c r="ET1208" s="350"/>
      <c r="EU1208" s="350"/>
    </row>
    <row r="1209" spans="1:151" s="171" customFormat="1" ht="25.5" x14ac:dyDescent="0.2">
      <c r="A1209" s="246">
        <v>40449</v>
      </c>
      <c r="B1209" s="280" t="s">
        <v>2401</v>
      </c>
      <c r="C1209" s="280" t="s">
        <v>1590</v>
      </c>
      <c r="D1209" s="432" t="s">
        <v>837</v>
      </c>
      <c r="E1209" s="107" t="str">
        <f>VLOOKUP(B1209&amp;C1209,Divipola!$C$2:$F$1138,4,FALSE)</f>
        <v>05154</v>
      </c>
      <c r="F1209" s="337"/>
      <c r="G1209" s="221"/>
      <c r="H1209" s="157"/>
      <c r="I1209" s="157"/>
      <c r="J1209" s="157"/>
      <c r="K1209" s="157"/>
      <c r="L1209" s="157"/>
      <c r="M1209" s="157"/>
      <c r="N1209" s="157"/>
      <c r="O1209" s="157"/>
      <c r="P1209" s="157"/>
      <c r="Q1209" s="157"/>
      <c r="R1209" s="157"/>
      <c r="S1209" s="157"/>
      <c r="T1209" s="157"/>
      <c r="U1209" s="157"/>
      <c r="V1209" s="158"/>
      <c r="W1209" s="182"/>
      <c r="X1209" s="1"/>
      <c r="Y1209" s="78">
        <f t="shared" si="155"/>
        <v>0</v>
      </c>
      <c r="Z1209" s="78">
        <f t="shared" si="156"/>
        <v>0</v>
      </c>
      <c r="AA1209" s="78">
        <f t="shared" si="162"/>
        <v>0</v>
      </c>
      <c r="AB1209" s="78">
        <f t="shared" si="157"/>
        <v>0</v>
      </c>
      <c r="AC1209" s="78"/>
      <c r="AD1209" s="78">
        <v>0</v>
      </c>
      <c r="AE1209" s="80">
        <f t="shared" si="159"/>
        <v>0</v>
      </c>
      <c r="AF1209" s="82">
        <v>0</v>
      </c>
      <c r="AG1209" s="69">
        <v>40451</v>
      </c>
      <c r="AH1209" s="84"/>
      <c r="AI1209" s="69" t="s">
        <v>1984</v>
      </c>
      <c r="AJ1209" s="25" t="s">
        <v>1985</v>
      </c>
      <c r="AK1209" s="65"/>
      <c r="AL1209" s="176" t="s">
        <v>1257</v>
      </c>
      <c r="AM1209" s="173" t="s">
        <v>2568</v>
      </c>
      <c r="AN1209" s="159"/>
      <c r="AO1209" s="160"/>
      <c r="AP1209" s="161"/>
      <c r="AQ1209" s="160"/>
      <c r="AR1209" s="160"/>
      <c r="AS1209" s="160"/>
      <c r="AT1209" s="160"/>
      <c r="AU1209" s="160"/>
      <c r="AV1209" s="160"/>
      <c r="AW1209" s="160"/>
      <c r="AX1209" s="160"/>
      <c r="AY1209" s="160"/>
      <c r="AZ1209" s="160"/>
      <c r="BA1209" s="160"/>
      <c r="BB1209" s="160"/>
      <c r="BC1209" s="160"/>
      <c r="BD1209" s="160"/>
      <c r="BE1209" s="160"/>
      <c r="BF1209" s="160"/>
      <c r="BG1209" s="160"/>
      <c r="BH1209" s="160"/>
      <c r="BI1209" s="160"/>
      <c r="BJ1209" s="160"/>
      <c r="BK1209" s="160"/>
      <c r="BL1209" s="160"/>
      <c r="BM1209" s="160"/>
      <c r="BN1209" s="160"/>
      <c r="BO1209" s="160"/>
      <c r="BP1209" s="160"/>
      <c r="BQ1209" s="160"/>
      <c r="BR1209" s="160"/>
      <c r="BS1209" s="160"/>
      <c r="BT1209" s="160"/>
      <c r="BU1209" s="160"/>
      <c r="BV1209" s="160"/>
      <c r="BW1209" s="160"/>
      <c r="BX1209" s="160"/>
      <c r="BY1209" s="160"/>
      <c r="BZ1209" s="160"/>
      <c r="CA1209" s="160"/>
      <c r="CB1209" s="160"/>
      <c r="CC1209" s="160"/>
      <c r="CD1209" s="160"/>
      <c r="CE1209" s="160"/>
      <c r="CF1209" s="160"/>
      <c r="CG1209" s="160"/>
      <c r="CH1209" s="160"/>
      <c r="CI1209" s="160"/>
      <c r="CJ1209" s="160"/>
      <c r="CK1209" s="160"/>
      <c r="CL1209" s="160"/>
      <c r="CM1209" s="160"/>
      <c r="CN1209" s="160"/>
      <c r="CO1209" s="160"/>
      <c r="CP1209" s="162"/>
      <c r="CQ1209" s="163"/>
      <c r="CR1209" s="162"/>
      <c r="CS1209" s="163"/>
      <c r="CT1209" s="162"/>
      <c r="CU1209" s="163"/>
      <c r="CV1209" s="164">
        <f t="shared" si="158"/>
        <v>0</v>
      </c>
      <c r="CW1209" s="165"/>
      <c r="CX1209" s="166"/>
      <c r="CY1209" s="167"/>
      <c r="CZ1209" s="168"/>
      <c r="DA1209" s="169"/>
      <c r="DB1209" s="168"/>
      <c r="DC1209" s="165"/>
      <c r="DD1209" s="166"/>
      <c r="DE1209" s="71"/>
      <c r="DF1209" s="170"/>
      <c r="EO1209" s="353" t="str">
        <f t="shared" si="161"/>
        <v>ANTIOQUIA_CAUCASIA</v>
      </c>
      <c r="EP1209" s="350"/>
      <c r="EQ1209" s="350"/>
      <c r="ER1209" s="357"/>
      <c r="ES1209" s="350"/>
      <c r="ET1209" s="350"/>
      <c r="EU1209" s="350"/>
    </row>
    <row r="1210" spans="1:151" s="171" customFormat="1" ht="25.5" x14ac:dyDescent="0.2">
      <c r="A1210" s="242">
        <v>40449</v>
      </c>
      <c r="B1210" s="222" t="s">
        <v>828</v>
      </c>
      <c r="C1210" s="222" t="s">
        <v>2569</v>
      </c>
      <c r="D1210" s="427" t="s">
        <v>2307</v>
      </c>
      <c r="E1210" s="107" t="str">
        <f>VLOOKUP(B1210&amp;C1210,Divipola!$C$2:$F$1138,4,FALSE)</f>
        <v>15332</v>
      </c>
      <c r="F1210" s="330"/>
      <c r="G1210" s="221"/>
      <c r="H1210" s="157"/>
      <c r="I1210" s="157"/>
      <c r="J1210" s="157"/>
      <c r="K1210" s="157"/>
      <c r="L1210" s="157"/>
      <c r="M1210" s="157"/>
      <c r="N1210" s="157">
        <v>1</v>
      </c>
      <c r="O1210" s="157"/>
      <c r="P1210" s="157"/>
      <c r="Q1210" s="157"/>
      <c r="R1210" s="157"/>
      <c r="S1210" s="157"/>
      <c r="T1210" s="157"/>
      <c r="U1210" s="157"/>
      <c r="V1210" s="158"/>
      <c r="W1210" s="182"/>
      <c r="X1210" s="1"/>
      <c r="Y1210" s="78">
        <f t="shared" si="155"/>
        <v>0</v>
      </c>
      <c r="Z1210" s="78">
        <f t="shared" si="156"/>
        <v>0</v>
      </c>
      <c r="AA1210" s="78">
        <f t="shared" si="162"/>
        <v>0</v>
      </c>
      <c r="AB1210" s="78">
        <f t="shared" si="157"/>
        <v>0</v>
      </c>
      <c r="AC1210" s="78"/>
      <c r="AD1210" s="78">
        <v>0</v>
      </c>
      <c r="AE1210" s="80">
        <f t="shared" si="159"/>
        <v>0</v>
      </c>
      <c r="AF1210" s="82">
        <v>0</v>
      </c>
      <c r="AG1210" s="69">
        <v>40451</v>
      </c>
      <c r="AH1210" s="84"/>
      <c r="AI1210" s="69" t="s">
        <v>1984</v>
      </c>
      <c r="AJ1210" s="25" t="s">
        <v>1985</v>
      </c>
      <c r="AK1210" s="65"/>
      <c r="AL1210" s="176" t="s">
        <v>1257</v>
      </c>
      <c r="AM1210" s="173" t="s">
        <v>2570</v>
      </c>
      <c r="AN1210" s="159"/>
      <c r="AO1210" s="160"/>
      <c r="AP1210" s="161"/>
      <c r="AQ1210" s="160"/>
      <c r="AR1210" s="160"/>
      <c r="AS1210" s="160"/>
      <c r="AT1210" s="160"/>
      <c r="AU1210" s="160"/>
      <c r="AV1210" s="160"/>
      <c r="AW1210" s="160"/>
      <c r="AX1210" s="160"/>
      <c r="AY1210" s="160"/>
      <c r="AZ1210" s="160"/>
      <c r="BA1210" s="160"/>
      <c r="BB1210" s="160"/>
      <c r="BC1210" s="160"/>
      <c r="BD1210" s="160"/>
      <c r="BE1210" s="160"/>
      <c r="BF1210" s="160"/>
      <c r="BG1210" s="160"/>
      <c r="BH1210" s="160"/>
      <c r="BI1210" s="160"/>
      <c r="BJ1210" s="160"/>
      <c r="BK1210" s="160"/>
      <c r="BL1210" s="160"/>
      <c r="BM1210" s="160"/>
      <c r="BN1210" s="160"/>
      <c r="BO1210" s="160"/>
      <c r="BP1210" s="160"/>
      <c r="BQ1210" s="160"/>
      <c r="BR1210" s="160"/>
      <c r="BS1210" s="160"/>
      <c r="BT1210" s="160"/>
      <c r="BU1210" s="160"/>
      <c r="BV1210" s="160"/>
      <c r="BW1210" s="160"/>
      <c r="BX1210" s="160"/>
      <c r="BY1210" s="160"/>
      <c r="BZ1210" s="160"/>
      <c r="CA1210" s="160"/>
      <c r="CB1210" s="160"/>
      <c r="CC1210" s="160"/>
      <c r="CD1210" s="160"/>
      <c r="CE1210" s="160"/>
      <c r="CF1210" s="160"/>
      <c r="CG1210" s="160"/>
      <c r="CH1210" s="160"/>
      <c r="CI1210" s="160"/>
      <c r="CJ1210" s="160"/>
      <c r="CK1210" s="160"/>
      <c r="CL1210" s="160"/>
      <c r="CM1210" s="160"/>
      <c r="CN1210" s="160"/>
      <c r="CO1210" s="160"/>
      <c r="CP1210" s="162"/>
      <c r="CQ1210" s="163"/>
      <c r="CR1210" s="162"/>
      <c r="CS1210" s="163"/>
      <c r="CT1210" s="162"/>
      <c r="CU1210" s="163"/>
      <c r="CV1210" s="164">
        <f t="shared" si="158"/>
        <v>0</v>
      </c>
      <c r="CW1210" s="165"/>
      <c r="CX1210" s="166"/>
      <c r="CY1210" s="167"/>
      <c r="CZ1210" s="168"/>
      <c r="DA1210" s="169"/>
      <c r="DB1210" s="168"/>
      <c r="DC1210" s="165"/>
      <c r="DD1210" s="166"/>
      <c r="DE1210" s="71"/>
      <c r="DF1210" s="170"/>
      <c r="EO1210" s="353" t="str">
        <f t="shared" si="161"/>
        <v>BOYACA_GUICAN</v>
      </c>
      <c r="EP1210" s="350"/>
      <c r="EQ1210" s="350"/>
      <c r="ER1210" s="357"/>
      <c r="ES1210" s="350"/>
      <c r="ET1210" s="350"/>
      <c r="EU1210" s="350"/>
    </row>
    <row r="1211" spans="1:151" s="171" customFormat="1" ht="60" x14ac:dyDescent="0.2">
      <c r="A1211" s="242">
        <v>40449</v>
      </c>
      <c r="B1211" s="222" t="s">
        <v>2321</v>
      </c>
      <c r="C1211" s="222" t="s">
        <v>2322</v>
      </c>
      <c r="D1211" s="430" t="s">
        <v>2209</v>
      </c>
      <c r="E1211" s="107" t="str">
        <f>VLOOKUP(B1211&amp;C1211,Divipola!$C$2:$F$1138,4,FALSE)</f>
        <v>95001</v>
      </c>
      <c r="F1211" s="333"/>
      <c r="G1211" s="221"/>
      <c r="H1211" s="157"/>
      <c r="I1211" s="157"/>
      <c r="J1211" s="157">
        <v>35</v>
      </c>
      <c r="K1211" s="157">
        <v>7</v>
      </c>
      <c r="L1211" s="157"/>
      <c r="M1211" s="157">
        <v>4</v>
      </c>
      <c r="N1211" s="157">
        <v>1</v>
      </c>
      <c r="O1211" s="157"/>
      <c r="P1211" s="157"/>
      <c r="Q1211" s="157"/>
      <c r="R1211" s="157"/>
      <c r="S1211" s="157"/>
      <c r="T1211" s="157"/>
      <c r="U1211" s="157">
        <v>1</v>
      </c>
      <c r="V1211" s="158"/>
      <c r="W1211" s="182"/>
      <c r="X1211" s="1">
        <v>40533</v>
      </c>
      <c r="Y1211" s="78">
        <f t="shared" si="155"/>
        <v>0</v>
      </c>
      <c r="Z1211" s="78">
        <f t="shared" si="156"/>
        <v>0</v>
      </c>
      <c r="AA1211" s="78">
        <f t="shared" si="162"/>
        <v>0</v>
      </c>
      <c r="AB1211" s="78">
        <f t="shared" si="157"/>
        <v>0</v>
      </c>
      <c r="AC1211" s="78"/>
      <c r="AD1211" s="78">
        <v>193698217.93000001</v>
      </c>
      <c r="AE1211" s="80">
        <f t="shared" si="159"/>
        <v>193698217.93000001</v>
      </c>
      <c r="AF1211" s="82">
        <v>0</v>
      </c>
      <c r="AG1211" s="69">
        <v>40451</v>
      </c>
      <c r="AH1211" s="84">
        <v>71910</v>
      </c>
      <c r="AI1211" s="69" t="s">
        <v>2009</v>
      </c>
      <c r="AJ1211" s="25" t="s">
        <v>2010</v>
      </c>
      <c r="AK1211" s="65">
        <v>516</v>
      </c>
      <c r="AL1211" s="176" t="s">
        <v>3808</v>
      </c>
      <c r="AM1211" s="200" t="s">
        <v>3809</v>
      </c>
      <c r="AN1211" s="159"/>
      <c r="AO1211" s="160"/>
      <c r="AP1211" s="161"/>
      <c r="AQ1211" s="160"/>
      <c r="AR1211" s="160"/>
      <c r="AS1211" s="160"/>
      <c r="AT1211" s="160"/>
      <c r="AU1211" s="160"/>
      <c r="AV1211" s="160"/>
      <c r="AW1211" s="160"/>
      <c r="AX1211" s="160"/>
      <c r="AY1211" s="160"/>
      <c r="AZ1211" s="160"/>
      <c r="BA1211" s="160"/>
      <c r="BB1211" s="160"/>
      <c r="BC1211" s="160"/>
      <c r="BD1211" s="160"/>
      <c r="BE1211" s="160"/>
      <c r="BF1211" s="160"/>
      <c r="BG1211" s="160"/>
      <c r="BH1211" s="160"/>
      <c r="BI1211" s="160"/>
      <c r="BJ1211" s="160"/>
      <c r="BK1211" s="160"/>
      <c r="BL1211" s="160"/>
      <c r="BM1211" s="160"/>
      <c r="BN1211" s="160"/>
      <c r="BO1211" s="160"/>
      <c r="BP1211" s="160"/>
      <c r="BQ1211" s="160"/>
      <c r="BR1211" s="160"/>
      <c r="BS1211" s="160"/>
      <c r="BT1211" s="160"/>
      <c r="BU1211" s="160"/>
      <c r="BV1211" s="160"/>
      <c r="BW1211" s="160"/>
      <c r="BX1211" s="160"/>
      <c r="BY1211" s="160"/>
      <c r="BZ1211" s="160"/>
      <c r="CA1211" s="160"/>
      <c r="CB1211" s="160"/>
      <c r="CC1211" s="160"/>
      <c r="CD1211" s="160"/>
      <c r="CE1211" s="160"/>
      <c r="CF1211" s="160"/>
      <c r="CG1211" s="160"/>
      <c r="CH1211" s="160"/>
      <c r="CI1211" s="160"/>
      <c r="CJ1211" s="160"/>
      <c r="CK1211" s="160"/>
      <c r="CL1211" s="160"/>
      <c r="CM1211" s="160"/>
      <c r="CN1211" s="160"/>
      <c r="CO1211" s="160"/>
      <c r="CP1211" s="162"/>
      <c r="CQ1211" s="163"/>
      <c r="CR1211" s="162"/>
      <c r="CS1211" s="163"/>
      <c r="CT1211" s="162"/>
      <c r="CU1211" s="163"/>
      <c r="CV1211" s="164">
        <f t="shared" si="158"/>
        <v>0</v>
      </c>
      <c r="CW1211" s="165"/>
      <c r="CX1211" s="166"/>
      <c r="CY1211" s="167"/>
      <c r="CZ1211" s="168"/>
      <c r="DA1211" s="169"/>
      <c r="DB1211" s="168"/>
      <c r="DC1211" s="165"/>
      <c r="DD1211" s="166"/>
      <c r="DE1211" s="71">
        <v>4</v>
      </c>
      <c r="DF1211" s="170"/>
      <c r="EO1211" s="353" t="str">
        <f t="shared" si="161"/>
        <v>GUAVIARE_SAN JOSE DEL GUAVIARE</v>
      </c>
      <c r="EP1211" s="350"/>
      <c r="EQ1211" s="350"/>
      <c r="ER1211" s="357"/>
      <c r="ES1211" s="350"/>
      <c r="ET1211" s="350"/>
      <c r="EU1211" s="350"/>
    </row>
    <row r="1212" spans="1:151" s="171" customFormat="1" ht="84" x14ac:dyDescent="0.2">
      <c r="A1212" s="242">
        <v>40449</v>
      </c>
      <c r="B1212" s="107" t="s">
        <v>5778</v>
      </c>
      <c r="C1212" s="222" t="s">
        <v>1953</v>
      </c>
      <c r="D1212" s="427" t="s">
        <v>2307</v>
      </c>
      <c r="E1212" s="107" t="str">
        <f>VLOOKUP(B1212&amp;C1212,Divipola!$C$2:$F$1138,4,FALSE)</f>
        <v>44874</v>
      </c>
      <c r="F1212" s="330"/>
      <c r="G1212" s="221"/>
      <c r="H1212" s="157"/>
      <c r="I1212" s="157"/>
      <c r="J1212" s="157"/>
      <c r="K1212" s="157"/>
      <c r="L1212" s="157"/>
      <c r="M1212" s="157"/>
      <c r="N1212" s="157">
        <v>6</v>
      </c>
      <c r="O1212" s="157"/>
      <c r="P1212" s="157"/>
      <c r="Q1212" s="157"/>
      <c r="R1212" s="157"/>
      <c r="S1212" s="157"/>
      <c r="T1212" s="157"/>
      <c r="U1212" s="157"/>
      <c r="V1212" s="158"/>
      <c r="W1212" s="182" t="s">
        <v>2180</v>
      </c>
      <c r="X1212" s="1"/>
      <c r="Y1212" s="78">
        <f t="shared" si="155"/>
        <v>0</v>
      </c>
      <c r="Z1212" s="78">
        <f t="shared" si="156"/>
        <v>0</v>
      </c>
      <c r="AA1212" s="78">
        <f t="shared" si="162"/>
        <v>0</v>
      </c>
      <c r="AB1212" s="78">
        <f t="shared" si="157"/>
        <v>0</v>
      </c>
      <c r="AC1212" s="78"/>
      <c r="AD1212" s="78">
        <v>0</v>
      </c>
      <c r="AE1212" s="80">
        <f t="shared" si="159"/>
        <v>0</v>
      </c>
      <c r="AF1212" s="82">
        <v>0</v>
      </c>
      <c r="AG1212" s="69">
        <v>40464</v>
      </c>
      <c r="AH1212" s="84">
        <v>55685</v>
      </c>
      <c r="AI1212" s="69" t="s">
        <v>1984</v>
      </c>
      <c r="AJ1212" s="25" t="s">
        <v>1985</v>
      </c>
      <c r="AK1212" s="65"/>
      <c r="AL1212" s="176" t="s">
        <v>1257</v>
      </c>
      <c r="AM1212" s="173" t="s">
        <v>2293</v>
      </c>
      <c r="AN1212" s="159"/>
      <c r="AO1212" s="160"/>
      <c r="AP1212" s="161"/>
      <c r="AQ1212" s="160"/>
      <c r="AR1212" s="160"/>
      <c r="AS1212" s="160"/>
      <c r="AT1212" s="160"/>
      <c r="AU1212" s="160"/>
      <c r="AV1212" s="160"/>
      <c r="AW1212" s="160"/>
      <c r="AX1212" s="160"/>
      <c r="AY1212" s="160"/>
      <c r="AZ1212" s="160"/>
      <c r="BA1212" s="160"/>
      <c r="BB1212" s="160"/>
      <c r="BC1212" s="160"/>
      <c r="BD1212" s="160"/>
      <c r="BE1212" s="160"/>
      <c r="BF1212" s="160"/>
      <c r="BG1212" s="160"/>
      <c r="BH1212" s="160"/>
      <c r="BI1212" s="160"/>
      <c r="BJ1212" s="160"/>
      <c r="BK1212" s="160"/>
      <c r="BL1212" s="160"/>
      <c r="BM1212" s="160"/>
      <c r="BN1212" s="160"/>
      <c r="BO1212" s="160"/>
      <c r="BP1212" s="160"/>
      <c r="BQ1212" s="160"/>
      <c r="BR1212" s="160"/>
      <c r="BS1212" s="160"/>
      <c r="BT1212" s="160"/>
      <c r="BU1212" s="160"/>
      <c r="BV1212" s="160"/>
      <c r="BW1212" s="160"/>
      <c r="BX1212" s="160"/>
      <c r="BY1212" s="160"/>
      <c r="BZ1212" s="160"/>
      <c r="CA1212" s="160"/>
      <c r="CB1212" s="160"/>
      <c r="CC1212" s="160"/>
      <c r="CD1212" s="160"/>
      <c r="CE1212" s="160"/>
      <c r="CF1212" s="160"/>
      <c r="CG1212" s="160"/>
      <c r="CH1212" s="160"/>
      <c r="CI1212" s="160"/>
      <c r="CJ1212" s="160"/>
      <c r="CK1212" s="160"/>
      <c r="CL1212" s="160"/>
      <c r="CM1212" s="160"/>
      <c r="CN1212" s="160"/>
      <c r="CO1212" s="160"/>
      <c r="CP1212" s="162"/>
      <c r="CQ1212" s="163"/>
      <c r="CR1212" s="162"/>
      <c r="CS1212" s="163"/>
      <c r="CT1212" s="162"/>
      <c r="CU1212" s="163"/>
      <c r="CV1212" s="164">
        <f t="shared" si="158"/>
        <v>0</v>
      </c>
      <c r="CW1212" s="165"/>
      <c r="CX1212" s="166"/>
      <c r="CY1212" s="167"/>
      <c r="CZ1212" s="168"/>
      <c r="DA1212" s="169"/>
      <c r="DB1212" s="168"/>
      <c r="DC1212" s="165"/>
      <c r="DD1212" s="166"/>
      <c r="DE1212" s="71"/>
      <c r="DF1212" s="170"/>
      <c r="EO1212" s="353" t="str">
        <f t="shared" si="161"/>
        <v>LA GUAJIRA_VILLANUEVA</v>
      </c>
      <c r="EP1212" s="350"/>
      <c r="EQ1212" s="350"/>
      <c r="ER1212" s="357"/>
      <c r="ES1212" s="350"/>
      <c r="ET1212" s="350"/>
      <c r="EU1212" s="350"/>
    </row>
    <row r="1213" spans="1:151" s="171" customFormat="1" ht="90" x14ac:dyDescent="0.2">
      <c r="A1213" s="242">
        <v>40449</v>
      </c>
      <c r="B1213" s="222" t="s">
        <v>1836</v>
      </c>
      <c r="C1213" s="222" t="s">
        <v>996</v>
      </c>
      <c r="D1213" s="430" t="s">
        <v>837</v>
      </c>
      <c r="E1213" s="107" t="str">
        <f>VLOOKUP(B1213&amp;C1213,Divipola!$C$2:$F$1138,4,FALSE)</f>
        <v>47555</v>
      </c>
      <c r="F1213" s="333"/>
      <c r="G1213" s="221"/>
      <c r="H1213" s="157"/>
      <c r="I1213" s="157"/>
      <c r="J1213" s="157">
        <f>35*5</f>
        <v>175</v>
      </c>
      <c r="K1213" s="157">
        <v>35</v>
      </c>
      <c r="L1213" s="157"/>
      <c r="M1213" s="157">
        <v>35</v>
      </c>
      <c r="N1213" s="157"/>
      <c r="O1213" s="157"/>
      <c r="P1213" s="157"/>
      <c r="Q1213" s="157"/>
      <c r="R1213" s="157"/>
      <c r="S1213" s="157"/>
      <c r="T1213" s="157"/>
      <c r="U1213" s="157"/>
      <c r="V1213" s="158"/>
      <c r="W1213" s="182"/>
      <c r="X1213" s="1"/>
      <c r="Y1213" s="78">
        <f t="shared" si="155"/>
        <v>0</v>
      </c>
      <c r="Z1213" s="78">
        <f t="shared" si="156"/>
        <v>0</v>
      </c>
      <c r="AA1213" s="78">
        <f t="shared" si="162"/>
        <v>0</v>
      </c>
      <c r="AB1213" s="78">
        <f t="shared" si="157"/>
        <v>0</v>
      </c>
      <c r="AC1213" s="78"/>
      <c r="AD1213" s="78">
        <v>0</v>
      </c>
      <c r="AE1213" s="80">
        <f t="shared" si="159"/>
        <v>0</v>
      </c>
      <c r="AF1213" s="82">
        <v>0</v>
      </c>
      <c r="AG1213" s="69">
        <v>40451</v>
      </c>
      <c r="AH1213" s="84"/>
      <c r="AI1213" s="69" t="s">
        <v>2009</v>
      </c>
      <c r="AJ1213" s="25" t="s">
        <v>2010</v>
      </c>
      <c r="AK1213" s="65"/>
      <c r="AL1213" s="214" t="s">
        <v>744</v>
      </c>
      <c r="AM1213" s="173" t="s">
        <v>2571</v>
      </c>
      <c r="AN1213" s="159"/>
      <c r="AO1213" s="160"/>
      <c r="AP1213" s="161"/>
      <c r="AQ1213" s="160"/>
      <c r="AR1213" s="160"/>
      <c r="AS1213" s="160"/>
      <c r="AT1213" s="160"/>
      <c r="AU1213" s="160"/>
      <c r="AV1213" s="160"/>
      <c r="AW1213" s="160"/>
      <c r="AX1213" s="160"/>
      <c r="AY1213" s="160"/>
      <c r="AZ1213" s="160"/>
      <c r="BA1213" s="160"/>
      <c r="BB1213" s="160"/>
      <c r="BC1213" s="160"/>
      <c r="BD1213" s="160"/>
      <c r="BE1213" s="160"/>
      <c r="BF1213" s="160"/>
      <c r="BG1213" s="160"/>
      <c r="BH1213" s="160"/>
      <c r="BI1213" s="160"/>
      <c r="BJ1213" s="160"/>
      <c r="BK1213" s="160"/>
      <c r="BL1213" s="160"/>
      <c r="BM1213" s="160"/>
      <c r="BN1213" s="160"/>
      <c r="BO1213" s="160"/>
      <c r="BP1213" s="160"/>
      <c r="BQ1213" s="160"/>
      <c r="BR1213" s="160"/>
      <c r="BS1213" s="160"/>
      <c r="BT1213" s="160"/>
      <c r="BU1213" s="160"/>
      <c r="BV1213" s="160"/>
      <c r="BW1213" s="160"/>
      <c r="BX1213" s="160"/>
      <c r="BY1213" s="160"/>
      <c r="BZ1213" s="160"/>
      <c r="CA1213" s="160"/>
      <c r="CB1213" s="160"/>
      <c r="CC1213" s="160"/>
      <c r="CD1213" s="160"/>
      <c r="CE1213" s="160"/>
      <c r="CF1213" s="160"/>
      <c r="CG1213" s="160"/>
      <c r="CH1213" s="160"/>
      <c r="CI1213" s="160"/>
      <c r="CJ1213" s="160"/>
      <c r="CK1213" s="160"/>
      <c r="CL1213" s="160"/>
      <c r="CM1213" s="160"/>
      <c r="CN1213" s="160"/>
      <c r="CO1213" s="160"/>
      <c r="CP1213" s="162"/>
      <c r="CQ1213" s="163"/>
      <c r="CR1213" s="162"/>
      <c r="CS1213" s="163"/>
      <c r="CT1213" s="162"/>
      <c r="CU1213" s="163"/>
      <c r="CV1213" s="164">
        <f t="shared" si="158"/>
        <v>0</v>
      </c>
      <c r="CW1213" s="165"/>
      <c r="CX1213" s="166"/>
      <c r="CY1213" s="167"/>
      <c r="CZ1213" s="168"/>
      <c r="DA1213" s="169"/>
      <c r="DB1213" s="168"/>
      <c r="DC1213" s="165"/>
      <c r="DD1213" s="166"/>
      <c r="DE1213" s="71"/>
      <c r="DF1213" s="170"/>
      <c r="EO1213" s="353" t="str">
        <f t="shared" si="161"/>
        <v>MAGDALENA_PLATO</v>
      </c>
      <c r="EP1213" s="350"/>
      <c r="EQ1213" s="350"/>
      <c r="ER1213" s="357"/>
      <c r="ES1213" s="350"/>
      <c r="ET1213" s="350"/>
      <c r="EU1213" s="350"/>
    </row>
    <row r="1214" spans="1:151" s="171" customFormat="1" ht="25.5" x14ac:dyDescent="0.2">
      <c r="A1214" s="246">
        <v>40450</v>
      </c>
      <c r="B1214" s="280" t="s">
        <v>2401</v>
      </c>
      <c r="C1214" s="280" t="s">
        <v>856</v>
      </c>
      <c r="D1214" s="431" t="s">
        <v>2307</v>
      </c>
      <c r="E1214" s="107" t="str">
        <f>VLOOKUP(B1214&amp;C1214,Divipola!$C$2:$F$1138,4,FALSE)</f>
        <v>05088</v>
      </c>
      <c r="F1214" s="334"/>
      <c r="G1214" s="221"/>
      <c r="H1214" s="157"/>
      <c r="I1214" s="157"/>
      <c r="J1214" s="157">
        <v>10</v>
      </c>
      <c r="K1214" s="157">
        <v>2</v>
      </c>
      <c r="L1214" s="157">
        <v>2</v>
      </c>
      <c r="M1214" s="157"/>
      <c r="N1214" s="157"/>
      <c r="O1214" s="157"/>
      <c r="P1214" s="157"/>
      <c r="Q1214" s="157"/>
      <c r="R1214" s="157"/>
      <c r="S1214" s="157"/>
      <c r="T1214" s="157"/>
      <c r="U1214" s="157"/>
      <c r="V1214" s="158"/>
      <c r="W1214" s="182" t="s">
        <v>2574</v>
      </c>
      <c r="X1214" s="1"/>
      <c r="Y1214" s="78">
        <f t="shared" si="155"/>
        <v>0</v>
      </c>
      <c r="Z1214" s="78">
        <f t="shared" si="156"/>
        <v>0</v>
      </c>
      <c r="AA1214" s="78">
        <f t="shared" si="162"/>
        <v>0</v>
      </c>
      <c r="AB1214" s="78">
        <f t="shared" si="157"/>
        <v>0</v>
      </c>
      <c r="AC1214" s="78"/>
      <c r="AD1214" s="78">
        <v>0</v>
      </c>
      <c r="AE1214" s="80">
        <f t="shared" si="159"/>
        <v>0</v>
      </c>
      <c r="AF1214" s="82">
        <v>0</v>
      </c>
      <c r="AG1214" s="69">
        <v>40451</v>
      </c>
      <c r="AH1214" s="84"/>
      <c r="AI1214" s="69" t="s">
        <v>1984</v>
      </c>
      <c r="AJ1214" s="25" t="s">
        <v>1985</v>
      </c>
      <c r="AK1214" s="65"/>
      <c r="AL1214" s="176" t="s">
        <v>1257</v>
      </c>
      <c r="AM1214" s="173" t="s">
        <v>2573</v>
      </c>
      <c r="AN1214" s="159"/>
      <c r="AO1214" s="160"/>
      <c r="AP1214" s="161"/>
      <c r="AQ1214" s="160"/>
      <c r="AR1214" s="160"/>
      <c r="AS1214" s="160"/>
      <c r="AT1214" s="160"/>
      <c r="AU1214" s="160"/>
      <c r="AV1214" s="160"/>
      <c r="AW1214" s="160"/>
      <c r="AX1214" s="160"/>
      <c r="AY1214" s="160"/>
      <c r="AZ1214" s="160"/>
      <c r="BA1214" s="160"/>
      <c r="BB1214" s="160"/>
      <c r="BC1214" s="160"/>
      <c r="BD1214" s="160"/>
      <c r="BE1214" s="160"/>
      <c r="BF1214" s="160"/>
      <c r="BG1214" s="160"/>
      <c r="BH1214" s="160"/>
      <c r="BI1214" s="160"/>
      <c r="BJ1214" s="160"/>
      <c r="BK1214" s="160"/>
      <c r="BL1214" s="160"/>
      <c r="BM1214" s="160"/>
      <c r="BN1214" s="160"/>
      <c r="BO1214" s="160"/>
      <c r="BP1214" s="160"/>
      <c r="BQ1214" s="160"/>
      <c r="BR1214" s="160"/>
      <c r="BS1214" s="160"/>
      <c r="BT1214" s="160"/>
      <c r="BU1214" s="160"/>
      <c r="BV1214" s="160"/>
      <c r="BW1214" s="160"/>
      <c r="BX1214" s="160"/>
      <c r="BY1214" s="160"/>
      <c r="BZ1214" s="160"/>
      <c r="CA1214" s="160"/>
      <c r="CB1214" s="160"/>
      <c r="CC1214" s="160"/>
      <c r="CD1214" s="160"/>
      <c r="CE1214" s="160"/>
      <c r="CF1214" s="160"/>
      <c r="CG1214" s="160"/>
      <c r="CH1214" s="160"/>
      <c r="CI1214" s="160"/>
      <c r="CJ1214" s="160"/>
      <c r="CK1214" s="160"/>
      <c r="CL1214" s="160"/>
      <c r="CM1214" s="160"/>
      <c r="CN1214" s="160"/>
      <c r="CO1214" s="160"/>
      <c r="CP1214" s="162"/>
      <c r="CQ1214" s="163"/>
      <c r="CR1214" s="162"/>
      <c r="CS1214" s="163"/>
      <c r="CT1214" s="162"/>
      <c r="CU1214" s="163"/>
      <c r="CV1214" s="164">
        <f t="shared" si="158"/>
        <v>0</v>
      </c>
      <c r="CW1214" s="165"/>
      <c r="CX1214" s="166"/>
      <c r="CY1214" s="167"/>
      <c r="CZ1214" s="168"/>
      <c r="DA1214" s="169"/>
      <c r="DB1214" s="168"/>
      <c r="DC1214" s="165"/>
      <c r="DD1214" s="166"/>
      <c r="DE1214" s="71"/>
      <c r="DF1214" s="170"/>
      <c r="EO1214" s="353" t="str">
        <f t="shared" si="161"/>
        <v>ANTIOQUIA_BELLO</v>
      </c>
      <c r="EP1214" s="350"/>
      <c r="EQ1214" s="350"/>
      <c r="ER1214" s="357"/>
      <c r="ES1214" s="350"/>
      <c r="ET1214" s="350"/>
      <c r="EU1214" s="350"/>
    </row>
    <row r="1215" spans="1:151" s="171" customFormat="1" ht="60" x14ac:dyDescent="0.2">
      <c r="A1215" s="242">
        <v>40450</v>
      </c>
      <c r="B1215" s="222" t="s">
        <v>2425</v>
      </c>
      <c r="C1215" s="222" t="s">
        <v>1312</v>
      </c>
      <c r="D1215" s="430" t="s">
        <v>2209</v>
      </c>
      <c r="E1215" s="107" t="str">
        <f>VLOOKUP(B1215&amp;C1215,Divipola!$C$2:$F$1138,4,FALSE)</f>
        <v>27580</v>
      </c>
      <c r="F1215" s="333"/>
      <c r="G1215" s="221"/>
      <c r="H1215" s="157"/>
      <c r="I1215" s="157"/>
      <c r="J1215" s="157">
        <v>225</v>
      </c>
      <c r="K1215" s="157">
        <v>45</v>
      </c>
      <c r="L1215" s="157"/>
      <c r="M1215" s="157"/>
      <c r="N1215" s="157"/>
      <c r="O1215" s="157"/>
      <c r="P1215" s="157"/>
      <c r="Q1215" s="157"/>
      <c r="R1215" s="157"/>
      <c r="S1215" s="157"/>
      <c r="T1215" s="157"/>
      <c r="U1215" s="157"/>
      <c r="V1215" s="158"/>
      <c r="W1215" s="182"/>
      <c r="X1215" s="1"/>
      <c r="Y1215" s="78">
        <f t="shared" si="155"/>
        <v>0</v>
      </c>
      <c r="Z1215" s="78">
        <f t="shared" si="156"/>
        <v>0</v>
      </c>
      <c r="AA1215" s="78">
        <f t="shared" si="162"/>
        <v>0</v>
      </c>
      <c r="AB1215" s="78">
        <f t="shared" si="157"/>
        <v>0</v>
      </c>
      <c r="AC1215" s="78"/>
      <c r="AD1215" s="78">
        <v>0</v>
      </c>
      <c r="AE1215" s="80">
        <f t="shared" si="159"/>
        <v>0</v>
      </c>
      <c r="AF1215" s="82">
        <v>0</v>
      </c>
      <c r="AG1215" s="69">
        <v>40484</v>
      </c>
      <c r="AH1215" s="84"/>
      <c r="AI1215" s="69" t="s">
        <v>1984</v>
      </c>
      <c r="AJ1215" s="25" t="s">
        <v>1985</v>
      </c>
      <c r="AK1215" s="109"/>
      <c r="AL1215" s="176" t="s">
        <v>1257</v>
      </c>
      <c r="AM1215" s="173" t="s">
        <v>2090</v>
      </c>
      <c r="AN1215" s="159"/>
      <c r="AO1215" s="160"/>
      <c r="AP1215" s="161"/>
      <c r="AQ1215" s="160"/>
      <c r="AR1215" s="160"/>
      <c r="AS1215" s="160"/>
      <c r="AT1215" s="160"/>
      <c r="AU1215" s="160"/>
      <c r="AV1215" s="160"/>
      <c r="AW1215" s="160"/>
      <c r="AX1215" s="160"/>
      <c r="AY1215" s="160"/>
      <c r="AZ1215" s="160"/>
      <c r="BA1215" s="160"/>
      <c r="BB1215" s="160"/>
      <c r="BC1215" s="160"/>
      <c r="BD1215" s="160"/>
      <c r="BE1215" s="160"/>
      <c r="BF1215" s="160"/>
      <c r="BG1215" s="160"/>
      <c r="BH1215" s="160"/>
      <c r="BI1215" s="160"/>
      <c r="BJ1215" s="160"/>
      <c r="BK1215" s="160"/>
      <c r="BL1215" s="160"/>
      <c r="BM1215" s="160"/>
      <c r="BN1215" s="160"/>
      <c r="BO1215" s="160"/>
      <c r="BP1215" s="160"/>
      <c r="BQ1215" s="160"/>
      <c r="BR1215" s="160"/>
      <c r="BS1215" s="160"/>
      <c r="BT1215" s="160"/>
      <c r="BU1215" s="160"/>
      <c r="BV1215" s="160"/>
      <c r="BW1215" s="160"/>
      <c r="BX1215" s="160"/>
      <c r="BY1215" s="160"/>
      <c r="BZ1215" s="160"/>
      <c r="CA1215" s="160"/>
      <c r="CB1215" s="160"/>
      <c r="CC1215" s="160"/>
      <c r="CD1215" s="160"/>
      <c r="CE1215" s="160"/>
      <c r="CF1215" s="160"/>
      <c r="CG1215" s="160"/>
      <c r="CH1215" s="160"/>
      <c r="CI1215" s="160"/>
      <c r="CJ1215" s="160"/>
      <c r="CK1215" s="160"/>
      <c r="CL1215" s="160"/>
      <c r="CM1215" s="160"/>
      <c r="CN1215" s="160"/>
      <c r="CO1215" s="160"/>
      <c r="CP1215" s="162"/>
      <c r="CQ1215" s="163"/>
      <c r="CR1215" s="162"/>
      <c r="CS1215" s="163"/>
      <c r="CT1215" s="162"/>
      <c r="CU1215" s="163"/>
      <c r="CV1215" s="164">
        <f t="shared" si="158"/>
        <v>0</v>
      </c>
      <c r="CW1215" s="165"/>
      <c r="CX1215" s="166"/>
      <c r="CY1215" s="167"/>
      <c r="CZ1215" s="168"/>
      <c r="DA1215" s="169"/>
      <c r="DB1215" s="168"/>
      <c r="DC1215" s="165"/>
      <c r="DD1215" s="166"/>
      <c r="DE1215" s="71"/>
      <c r="DF1215" s="170"/>
      <c r="EO1215" s="353" t="str">
        <f t="shared" si="161"/>
        <v>CHOCO_RIO IRO</v>
      </c>
      <c r="EP1215" s="350"/>
      <c r="EQ1215" s="350"/>
      <c r="ER1215" s="357"/>
      <c r="ES1215" s="350"/>
      <c r="ET1215" s="350"/>
      <c r="EU1215" s="350"/>
    </row>
    <row r="1216" spans="1:151" s="171" customFormat="1" ht="38.25" x14ac:dyDescent="0.2">
      <c r="A1216" s="242">
        <v>40450</v>
      </c>
      <c r="B1216" s="222" t="s">
        <v>2007</v>
      </c>
      <c r="C1216" s="222" t="s">
        <v>262</v>
      </c>
      <c r="D1216" s="430" t="s">
        <v>837</v>
      </c>
      <c r="E1216" s="107" t="str">
        <f>VLOOKUP(B1216&amp;C1216,Divipola!$C$2:$F$1138,4,FALSE)</f>
        <v>25148</v>
      </c>
      <c r="F1216" s="333"/>
      <c r="G1216" s="221"/>
      <c r="H1216" s="157"/>
      <c r="I1216" s="157"/>
      <c r="J1216" s="157">
        <v>102</v>
      </c>
      <c r="K1216" s="157">
        <v>20</v>
      </c>
      <c r="L1216" s="157"/>
      <c r="M1216" s="157">
        <v>20</v>
      </c>
      <c r="N1216" s="157"/>
      <c r="O1216" s="157"/>
      <c r="P1216" s="157"/>
      <c r="Q1216" s="157"/>
      <c r="R1216" s="157"/>
      <c r="S1216" s="157"/>
      <c r="T1216" s="157"/>
      <c r="U1216" s="157"/>
      <c r="V1216" s="158"/>
      <c r="W1216" s="182"/>
      <c r="X1216" s="1"/>
      <c r="Y1216" s="78">
        <f t="shared" si="155"/>
        <v>0</v>
      </c>
      <c r="Z1216" s="78">
        <f t="shared" si="156"/>
        <v>0</v>
      </c>
      <c r="AA1216" s="78">
        <f t="shared" si="162"/>
        <v>0</v>
      </c>
      <c r="AB1216" s="78">
        <f t="shared" si="157"/>
        <v>0</v>
      </c>
      <c r="AC1216" s="78"/>
      <c r="AD1216" s="78">
        <v>0</v>
      </c>
      <c r="AE1216" s="80">
        <f t="shared" si="159"/>
        <v>0</v>
      </c>
      <c r="AF1216" s="82">
        <v>0</v>
      </c>
      <c r="AG1216" s="69">
        <v>40455</v>
      </c>
      <c r="AH1216" s="84"/>
      <c r="AI1216" s="69" t="s">
        <v>1984</v>
      </c>
      <c r="AJ1216" s="25" t="s">
        <v>1985</v>
      </c>
      <c r="AK1216" s="65"/>
      <c r="AL1216" s="176" t="s">
        <v>1257</v>
      </c>
      <c r="AM1216" s="173" t="s">
        <v>1755</v>
      </c>
      <c r="AN1216" s="159"/>
      <c r="AO1216" s="160"/>
      <c r="AP1216" s="161"/>
      <c r="AQ1216" s="160"/>
      <c r="AR1216" s="160"/>
      <c r="AS1216" s="160"/>
      <c r="AT1216" s="160"/>
      <c r="AU1216" s="160"/>
      <c r="AV1216" s="160"/>
      <c r="AW1216" s="160"/>
      <c r="AX1216" s="160"/>
      <c r="AY1216" s="160"/>
      <c r="AZ1216" s="160"/>
      <c r="BA1216" s="160"/>
      <c r="BB1216" s="160"/>
      <c r="BC1216" s="160"/>
      <c r="BD1216" s="160"/>
      <c r="BE1216" s="160"/>
      <c r="BF1216" s="160"/>
      <c r="BG1216" s="160"/>
      <c r="BH1216" s="160"/>
      <c r="BI1216" s="160"/>
      <c r="BJ1216" s="160"/>
      <c r="BK1216" s="160"/>
      <c r="BL1216" s="160"/>
      <c r="BM1216" s="160"/>
      <c r="BN1216" s="160"/>
      <c r="BO1216" s="160"/>
      <c r="BP1216" s="160"/>
      <c r="BQ1216" s="160"/>
      <c r="BR1216" s="160"/>
      <c r="BS1216" s="160"/>
      <c r="BT1216" s="160"/>
      <c r="BU1216" s="160"/>
      <c r="BV1216" s="160"/>
      <c r="BW1216" s="160"/>
      <c r="BX1216" s="160"/>
      <c r="BY1216" s="160"/>
      <c r="BZ1216" s="160"/>
      <c r="CA1216" s="160"/>
      <c r="CB1216" s="160"/>
      <c r="CC1216" s="160"/>
      <c r="CD1216" s="160"/>
      <c r="CE1216" s="160"/>
      <c r="CF1216" s="160"/>
      <c r="CG1216" s="160"/>
      <c r="CH1216" s="160"/>
      <c r="CI1216" s="160"/>
      <c r="CJ1216" s="160"/>
      <c r="CK1216" s="160"/>
      <c r="CL1216" s="160"/>
      <c r="CM1216" s="160"/>
      <c r="CN1216" s="160"/>
      <c r="CO1216" s="160"/>
      <c r="CP1216" s="162"/>
      <c r="CQ1216" s="163"/>
      <c r="CR1216" s="162"/>
      <c r="CS1216" s="163"/>
      <c r="CT1216" s="162"/>
      <c r="CU1216" s="163"/>
      <c r="CV1216" s="164">
        <f t="shared" si="158"/>
        <v>0</v>
      </c>
      <c r="CW1216" s="165"/>
      <c r="CX1216" s="166"/>
      <c r="CY1216" s="167"/>
      <c r="CZ1216" s="168"/>
      <c r="DA1216" s="169"/>
      <c r="DB1216" s="168"/>
      <c r="DC1216" s="165"/>
      <c r="DD1216" s="166"/>
      <c r="DE1216" s="71"/>
      <c r="DF1216" s="170"/>
      <c r="EO1216" s="353" t="str">
        <f t="shared" si="161"/>
        <v>CUNDINAMARCA_CAPARRAPI</v>
      </c>
      <c r="EP1216" s="350"/>
      <c r="EQ1216" s="350"/>
      <c r="ER1216" s="357"/>
      <c r="ES1216" s="350"/>
      <c r="ET1216" s="350"/>
      <c r="EU1216" s="350"/>
    </row>
    <row r="1217" spans="1:151" s="171" customFormat="1" ht="25.5" x14ac:dyDescent="0.2">
      <c r="A1217" s="242">
        <v>40450</v>
      </c>
      <c r="B1217" s="222" t="s">
        <v>1333</v>
      </c>
      <c r="C1217" s="222" t="s">
        <v>1433</v>
      </c>
      <c r="D1217" s="430" t="s">
        <v>2209</v>
      </c>
      <c r="E1217" s="107" t="str">
        <f>VLOOKUP(B1217&amp;C1217,Divipola!$C$2:$F$1138,4,FALSE)</f>
        <v>41359</v>
      </c>
      <c r="F1217" s="333"/>
      <c r="G1217" s="221"/>
      <c r="H1217" s="157"/>
      <c r="I1217" s="157"/>
      <c r="J1217" s="157">
        <v>5</v>
      </c>
      <c r="K1217" s="157">
        <v>1</v>
      </c>
      <c r="L1217" s="157"/>
      <c r="M1217" s="157"/>
      <c r="N1217" s="157"/>
      <c r="O1217" s="157"/>
      <c r="P1217" s="157"/>
      <c r="Q1217" s="157"/>
      <c r="R1217" s="157"/>
      <c r="S1217" s="157"/>
      <c r="T1217" s="157">
        <v>1</v>
      </c>
      <c r="U1217" s="157"/>
      <c r="V1217" s="158"/>
      <c r="W1217" s="182"/>
      <c r="X1217" s="1"/>
      <c r="Y1217" s="78">
        <f t="shared" si="155"/>
        <v>0</v>
      </c>
      <c r="Z1217" s="78">
        <f t="shared" si="156"/>
        <v>0</v>
      </c>
      <c r="AA1217" s="78">
        <f t="shared" si="162"/>
        <v>0</v>
      </c>
      <c r="AB1217" s="78">
        <f t="shared" si="157"/>
        <v>0</v>
      </c>
      <c r="AC1217" s="78"/>
      <c r="AD1217" s="78">
        <v>0</v>
      </c>
      <c r="AE1217" s="80">
        <f t="shared" si="159"/>
        <v>0</v>
      </c>
      <c r="AF1217" s="82">
        <v>0</v>
      </c>
      <c r="AG1217" s="69">
        <v>40451</v>
      </c>
      <c r="AH1217" s="84"/>
      <c r="AI1217" s="69" t="s">
        <v>1984</v>
      </c>
      <c r="AJ1217" s="25" t="s">
        <v>1985</v>
      </c>
      <c r="AK1217" s="65"/>
      <c r="AL1217" s="176" t="s">
        <v>1257</v>
      </c>
      <c r="AM1217" s="173" t="s">
        <v>2576</v>
      </c>
      <c r="AN1217" s="159"/>
      <c r="AO1217" s="160"/>
      <c r="AP1217" s="161"/>
      <c r="AQ1217" s="160"/>
      <c r="AR1217" s="160"/>
      <c r="AS1217" s="160"/>
      <c r="AT1217" s="160"/>
      <c r="AU1217" s="160"/>
      <c r="AV1217" s="160"/>
      <c r="AW1217" s="160"/>
      <c r="AX1217" s="160"/>
      <c r="AY1217" s="160"/>
      <c r="AZ1217" s="160"/>
      <c r="BA1217" s="160"/>
      <c r="BB1217" s="160"/>
      <c r="BC1217" s="160"/>
      <c r="BD1217" s="160"/>
      <c r="BE1217" s="160"/>
      <c r="BF1217" s="160"/>
      <c r="BG1217" s="160"/>
      <c r="BH1217" s="160"/>
      <c r="BI1217" s="160"/>
      <c r="BJ1217" s="160"/>
      <c r="BK1217" s="160"/>
      <c r="BL1217" s="160"/>
      <c r="BM1217" s="160"/>
      <c r="BN1217" s="160"/>
      <c r="BO1217" s="160"/>
      <c r="BP1217" s="160"/>
      <c r="BQ1217" s="160"/>
      <c r="BR1217" s="160"/>
      <c r="BS1217" s="160"/>
      <c r="BT1217" s="160"/>
      <c r="BU1217" s="160"/>
      <c r="BV1217" s="160"/>
      <c r="BW1217" s="160"/>
      <c r="BX1217" s="160"/>
      <c r="BY1217" s="160"/>
      <c r="BZ1217" s="160"/>
      <c r="CA1217" s="160"/>
      <c r="CB1217" s="160"/>
      <c r="CC1217" s="160"/>
      <c r="CD1217" s="160"/>
      <c r="CE1217" s="160"/>
      <c r="CF1217" s="160"/>
      <c r="CG1217" s="160"/>
      <c r="CH1217" s="160"/>
      <c r="CI1217" s="160"/>
      <c r="CJ1217" s="160"/>
      <c r="CK1217" s="160"/>
      <c r="CL1217" s="160"/>
      <c r="CM1217" s="160"/>
      <c r="CN1217" s="160"/>
      <c r="CO1217" s="160"/>
      <c r="CP1217" s="162"/>
      <c r="CQ1217" s="163"/>
      <c r="CR1217" s="162"/>
      <c r="CS1217" s="163"/>
      <c r="CT1217" s="162"/>
      <c r="CU1217" s="163"/>
      <c r="CV1217" s="164">
        <f t="shared" si="158"/>
        <v>0</v>
      </c>
      <c r="CW1217" s="165"/>
      <c r="CX1217" s="166"/>
      <c r="CY1217" s="167"/>
      <c r="CZ1217" s="168"/>
      <c r="DA1217" s="169"/>
      <c r="DB1217" s="168"/>
      <c r="DC1217" s="165"/>
      <c r="DD1217" s="166"/>
      <c r="DE1217" s="71"/>
      <c r="DF1217" s="170"/>
      <c r="EO1217" s="353" t="str">
        <f t="shared" si="161"/>
        <v>HUILA_ISNOS</v>
      </c>
      <c r="EP1217" s="350"/>
      <c r="EQ1217" s="350"/>
      <c r="ER1217" s="357"/>
      <c r="ES1217" s="350"/>
      <c r="ET1217" s="350"/>
      <c r="EU1217" s="350"/>
    </row>
    <row r="1218" spans="1:151" s="171" customFormat="1" ht="38.25" x14ac:dyDescent="0.2">
      <c r="A1218" s="242">
        <v>40450</v>
      </c>
      <c r="B1218" s="222" t="s">
        <v>1333</v>
      </c>
      <c r="C1218" s="222" t="s">
        <v>2575</v>
      </c>
      <c r="D1218" s="430" t="s">
        <v>1721</v>
      </c>
      <c r="E1218" s="107" t="str">
        <f>VLOOKUP(B1218&amp;C1218,Divipola!$C$2:$F$1138,4,FALSE)</f>
        <v>41378</v>
      </c>
      <c r="F1218" s="333"/>
      <c r="G1218" s="221"/>
      <c r="H1218" s="157"/>
      <c r="I1218" s="157"/>
      <c r="J1218" s="157">
        <v>5</v>
      </c>
      <c r="K1218" s="157">
        <v>1</v>
      </c>
      <c r="L1218" s="157"/>
      <c r="M1218" s="157">
        <v>1</v>
      </c>
      <c r="N1218" s="157"/>
      <c r="O1218" s="157"/>
      <c r="P1218" s="157"/>
      <c r="Q1218" s="157"/>
      <c r="R1218" s="157"/>
      <c r="S1218" s="157"/>
      <c r="T1218" s="157"/>
      <c r="U1218" s="157"/>
      <c r="V1218" s="158"/>
      <c r="W1218" s="182"/>
      <c r="X1218" s="1"/>
      <c r="Y1218" s="78">
        <f t="shared" si="155"/>
        <v>0</v>
      </c>
      <c r="Z1218" s="78">
        <f t="shared" si="156"/>
        <v>0</v>
      </c>
      <c r="AA1218" s="78">
        <f t="shared" si="162"/>
        <v>0</v>
      </c>
      <c r="AB1218" s="78">
        <f t="shared" si="157"/>
        <v>0</v>
      </c>
      <c r="AC1218" s="78"/>
      <c r="AD1218" s="78">
        <v>0</v>
      </c>
      <c r="AE1218" s="80">
        <f t="shared" si="159"/>
        <v>0</v>
      </c>
      <c r="AF1218" s="82">
        <v>0</v>
      </c>
      <c r="AG1218" s="69">
        <v>40451</v>
      </c>
      <c r="AH1218" s="84"/>
      <c r="AI1218" s="69" t="s">
        <v>1984</v>
      </c>
      <c r="AJ1218" s="25" t="s">
        <v>1985</v>
      </c>
      <c r="AK1218" s="65"/>
      <c r="AL1218" s="176" t="s">
        <v>1257</v>
      </c>
      <c r="AM1218" s="173" t="s">
        <v>1268</v>
      </c>
      <c r="AN1218" s="159"/>
      <c r="AO1218" s="160"/>
      <c r="AP1218" s="161"/>
      <c r="AQ1218" s="160"/>
      <c r="AR1218" s="160"/>
      <c r="AS1218" s="160"/>
      <c r="AT1218" s="160"/>
      <c r="AU1218" s="160"/>
      <c r="AV1218" s="160"/>
      <c r="AW1218" s="160"/>
      <c r="AX1218" s="160"/>
      <c r="AY1218" s="160"/>
      <c r="AZ1218" s="160"/>
      <c r="BA1218" s="160"/>
      <c r="BB1218" s="160"/>
      <c r="BC1218" s="160"/>
      <c r="BD1218" s="160"/>
      <c r="BE1218" s="160"/>
      <c r="BF1218" s="160"/>
      <c r="BG1218" s="160"/>
      <c r="BH1218" s="160"/>
      <c r="BI1218" s="160"/>
      <c r="BJ1218" s="160"/>
      <c r="BK1218" s="160"/>
      <c r="BL1218" s="160"/>
      <c r="BM1218" s="160"/>
      <c r="BN1218" s="160"/>
      <c r="BO1218" s="160"/>
      <c r="BP1218" s="160"/>
      <c r="BQ1218" s="160"/>
      <c r="BR1218" s="160"/>
      <c r="BS1218" s="160"/>
      <c r="BT1218" s="160"/>
      <c r="BU1218" s="160"/>
      <c r="BV1218" s="160"/>
      <c r="BW1218" s="160"/>
      <c r="BX1218" s="160"/>
      <c r="BY1218" s="160"/>
      <c r="BZ1218" s="160"/>
      <c r="CA1218" s="160"/>
      <c r="CB1218" s="160"/>
      <c r="CC1218" s="160"/>
      <c r="CD1218" s="160"/>
      <c r="CE1218" s="160"/>
      <c r="CF1218" s="160"/>
      <c r="CG1218" s="160"/>
      <c r="CH1218" s="160"/>
      <c r="CI1218" s="160"/>
      <c r="CJ1218" s="160"/>
      <c r="CK1218" s="160"/>
      <c r="CL1218" s="160"/>
      <c r="CM1218" s="160"/>
      <c r="CN1218" s="160"/>
      <c r="CO1218" s="160"/>
      <c r="CP1218" s="162"/>
      <c r="CQ1218" s="163"/>
      <c r="CR1218" s="162"/>
      <c r="CS1218" s="163"/>
      <c r="CT1218" s="162"/>
      <c r="CU1218" s="163"/>
      <c r="CV1218" s="164">
        <f t="shared" si="158"/>
        <v>0</v>
      </c>
      <c r="CW1218" s="165"/>
      <c r="CX1218" s="166"/>
      <c r="CY1218" s="167"/>
      <c r="CZ1218" s="168"/>
      <c r="DA1218" s="169"/>
      <c r="DB1218" s="168"/>
      <c r="DC1218" s="165"/>
      <c r="DD1218" s="166"/>
      <c r="DE1218" s="71"/>
      <c r="DF1218" s="170"/>
      <c r="EO1218" s="353" t="str">
        <f t="shared" si="161"/>
        <v>HUILA_LA ARGENTINA</v>
      </c>
      <c r="EP1218" s="350"/>
      <c r="EQ1218" s="350"/>
      <c r="ER1218" s="357"/>
      <c r="ES1218" s="350"/>
      <c r="ET1218" s="350"/>
      <c r="EU1218" s="350"/>
    </row>
    <row r="1219" spans="1:151" s="171" customFormat="1" ht="25.5" x14ac:dyDescent="0.2">
      <c r="A1219" s="242">
        <v>40450</v>
      </c>
      <c r="B1219" s="222" t="s">
        <v>1333</v>
      </c>
      <c r="C1219" s="222" t="s">
        <v>2585</v>
      </c>
      <c r="D1219" s="430" t="s">
        <v>2209</v>
      </c>
      <c r="E1219" s="107" t="str">
        <f>VLOOKUP(B1219&amp;C1219,Divipola!$C$2:$F$1138,4,FALSE)</f>
        <v>41770</v>
      </c>
      <c r="F1219" s="333"/>
      <c r="G1219" s="221"/>
      <c r="H1219" s="157"/>
      <c r="I1219" s="157"/>
      <c r="J1219" s="157">
        <v>105</v>
      </c>
      <c r="K1219" s="157">
        <v>21</v>
      </c>
      <c r="L1219" s="157"/>
      <c r="M1219" s="157">
        <v>21</v>
      </c>
      <c r="N1219" s="157"/>
      <c r="O1219" s="157"/>
      <c r="P1219" s="157">
        <v>5</v>
      </c>
      <c r="Q1219" s="157">
        <v>4</v>
      </c>
      <c r="R1219" s="157">
        <v>38</v>
      </c>
      <c r="S1219" s="157"/>
      <c r="T1219" s="157">
        <v>2</v>
      </c>
      <c r="U1219" s="157"/>
      <c r="V1219" s="158"/>
      <c r="W1219" s="182" t="s">
        <v>2587</v>
      </c>
      <c r="X1219" s="1"/>
      <c r="Y1219" s="78">
        <f t="shared" ref="Y1219:Y1282" si="163">CV1219</f>
        <v>0</v>
      </c>
      <c r="Z1219" s="78">
        <f t="shared" ref="Z1219:Z1282" si="164">CZ1219</f>
        <v>0</v>
      </c>
      <c r="AA1219" s="78">
        <f t="shared" si="162"/>
        <v>0</v>
      </c>
      <c r="AB1219" s="78">
        <f t="shared" ref="AB1219:AB1282" si="165">CX1219</f>
        <v>0</v>
      </c>
      <c r="AC1219" s="78"/>
      <c r="AD1219" s="78">
        <v>0</v>
      </c>
      <c r="AE1219" s="80">
        <f t="shared" si="159"/>
        <v>0</v>
      </c>
      <c r="AF1219" s="82">
        <v>0</v>
      </c>
      <c r="AG1219" s="69">
        <v>40455</v>
      </c>
      <c r="AH1219" s="84"/>
      <c r="AI1219" s="69" t="s">
        <v>1984</v>
      </c>
      <c r="AJ1219" s="25" t="s">
        <v>1985</v>
      </c>
      <c r="AK1219" s="65"/>
      <c r="AL1219" s="176" t="s">
        <v>1257</v>
      </c>
      <c r="AM1219" s="173" t="s">
        <v>2586</v>
      </c>
      <c r="AN1219" s="159"/>
      <c r="AO1219" s="160"/>
      <c r="AP1219" s="161"/>
      <c r="AQ1219" s="160"/>
      <c r="AR1219" s="160"/>
      <c r="AS1219" s="160"/>
      <c r="AT1219" s="160"/>
      <c r="AU1219" s="160"/>
      <c r="AV1219" s="160"/>
      <c r="AW1219" s="160"/>
      <c r="AX1219" s="160"/>
      <c r="AY1219" s="160"/>
      <c r="AZ1219" s="160"/>
      <c r="BA1219" s="160"/>
      <c r="BB1219" s="160"/>
      <c r="BC1219" s="160"/>
      <c r="BD1219" s="160"/>
      <c r="BE1219" s="160"/>
      <c r="BF1219" s="160"/>
      <c r="BG1219" s="160"/>
      <c r="BH1219" s="160"/>
      <c r="BI1219" s="160"/>
      <c r="BJ1219" s="160"/>
      <c r="BK1219" s="160"/>
      <c r="BL1219" s="160"/>
      <c r="BM1219" s="160"/>
      <c r="BN1219" s="160"/>
      <c r="BO1219" s="160"/>
      <c r="BP1219" s="160"/>
      <c r="BQ1219" s="160"/>
      <c r="BR1219" s="160"/>
      <c r="BS1219" s="160"/>
      <c r="BT1219" s="160"/>
      <c r="BU1219" s="160"/>
      <c r="BV1219" s="160"/>
      <c r="BW1219" s="160"/>
      <c r="BX1219" s="160"/>
      <c r="BY1219" s="160"/>
      <c r="BZ1219" s="160"/>
      <c r="CA1219" s="160"/>
      <c r="CB1219" s="160"/>
      <c r="CC1219" s="160"/>
      <c r="CD1219" s="160"/>
      <c r="CE1219" s="160"/>
      <c r="CF1219" s="160"/>
      <c r="CG1219" s="160"/>
      <c r="CH1219" s="160"/>
      <c r="CI1219" s="160"/>
      <c r="CJ1219" s="160"/>
      <c r="CK1219" s="160"/>
      <c r="CL1219" s="160"/>
      <c r="CM1219" s="160"/>
      <c r="CN1219" s="160"/>
      <c r="CO1219" s="160"/>
      <c r="CP1219" s="162"/>
      <c r="CQ1219" s="163"/>
      <c r="CR1219" s="162"/>
      <c r="CS1219" s="163"/>
      <c r="CT1219" s="162"/>
      <c r="CU1219" s="163"/>
      <c r="CV1219" s="164">
        <f t="shared" ref="CV1219:CV1282" si="166">AO1219+AQ1219+AS1219+AU1219+AW1219+AY1219+BA1219+BC1219+BE1219+BG1219+BI1219+BK1219+BM1219+BO1219+BQ1219+BS1219+BU1219+BW1219+BY1219+CA1219+CC1219+CE1219+CG1219+CI1219+CK1219+CM1219+CO1219+CQ1219+CS1219+CU1219</f>
        <v>0</v>
      </c>
      <c r="CW1219" s="165"/>
      <c r="CX1219" s="166"/>
      <c r="CY1219" s="167"/>
      <c r="CZ1219" s="168"/>
      <c r="DA1219" s="169"/>
      <c r="DB1219" s="168"/>
      <c r="DC1219" s="165"/>
      <c r="DD1219" s="166"/>
      <c r="DE1219" s="71"/>
      <c r="DF1219" s="170"/>
      <c r="EO1219" s="353" t="str">
        <f t="shared" si="161"/>
        <v>HUILA_SUAZA</v>
      </c>
      <c r="EP1219" s="350"/>
      <c r="EQ1219" s="350"/>
      <c r="ER1219" s="357"/>
      <c r="ES1219" s="350"/>
      <c r="ET1219" s="350"/>
      <c r="EU1219" s="350"/>
    </row>
    <row r="1220" spans="1:151" s="171" customFormat="1" ht="25.5" x14ac:dyDescent="0.2">
      <c r="A1220" s="242">
        <v>40450</v>
      </c>
      <c r="B1220" s="222" t="s">
        <v>1333</v>
      </c>
      <c r="C1220" s="222" t="s">
        <v>2588</v>
      </c>
      <c r="D1220" s="430" t="s">
        <v>1721</v>
      </c>
      <c r="E1220" s="107" t="str">
        <f>VLOOKUP(B1220&amp;C1220,Divipola!$C$2:$F$1138,4,FALSE)</f>
        <v>41797</v>
      </c>
      <c r="F1220" s="333"/>
      <c r="G1220" s="221"/>
      <c r="H1220" s="157"/>
      <c r="I1220" s="157"/>
      <c r="J1220" s="157">
        <v>6</v>
      </c>
      <c r="K1220" s="157">
        <v>1</v>
      </c>
      <c r="L1220" s="157">
        <v>1</v>
      </c>
      <c r="M1220" s="157"/>
      <c r="N1220" s="157"/>
      <c r="O1220" s="157"/>
      <c r="P1220" s="157"/>
      <c r="Q1220" s="157"/>
      <c r="R1220" s="157"/>
      <c r="S1220" s="157"/>
      <c r="T1220" s="157"/>
      <c r="U1220" s="157"/>
      <c r="V1220" s="158"/>
      <c r="W1220" s="182"/>
      <c r="X1220" s="1"/>
      <c r="Y1220" s="78">
        <f t="shared" si="163"/>
        <v>0</v>
      </c>
      <c r="Z1220" s="78">
        <f t="shared" si="164"/>
        <v>0</v>
      </c>
      <c r="AA1220" s="78">
        <f t="shared" si="162"/>
        <v>0</v>
      </c>
      <c r="AB1220" s="78">
        <f t="shared" si="165"/>
        <v>0</v>
      </c>
      <c r="AC1220" s="78"/>
      <c r="AD1220" s="78">
        <v>0</v>
      </c>
      <c r="AE1220" s="80">
        <f t="shared" si="159"/>
        <v>0</v>
      </c>
      <c r="AF1220" s="82">
        <v>0</v>
      </c>
      <c r="AG1220" s="69">
        <v>40455</v>
      </c>
      <c r="AH1220" s="84"/>
      <c r="AI1220" s="69" t="s">
        <v>1984</v>
      </c>
      <c r="AJ1220" s="25" t="s">
        <v>1985</v>
      </c>
      <c r="AK1220" s="65"/>
      <c r="AL1220" s="176" t="s">
        <v>1257</v>
      </c>
      <c r="AM1220" s="173" t="s">
        <v>2589</v>
      </c>
      <c r="AN1220" s="159"/>
      <c r="AO1220" s="160"/>
      <c r="AP1220" s="161"/>
      <c r="AQ1220" s="160"/>
      <c r="AR1220" s="160"/>
      <c r="AS1220" s="160"/>
      <c r="AT1220" s="160"/>
      <c r="AU1220" s="160"/>
      <c r="AV1220" s="160"/>
      <c r="AW1220" s="160"/>
      <c r="AX1220" s="160"/>
      <c r="AY1220" s="160"/>
      <c r="AZ1220" s="160"/>
      <c r="BA1220" s="160"/>
      <c r="BB1220" s="160"/>
      <c r="BC1220" s="160"/>
      <c r="BD1220" s="160"/>
      <c r="BE1220" s="160"/>
      <c r="BF1220" s="160"/>
      <c r="BG1220" s="160"/>
      <c r="BH1220" s="160"/>
      <c r="BI1220" s="160"/>
      <c r="BJ1220" s="160"/>
      <c r="BK1220" s="160"/>
      <c r="BL1220" s="160"/>
      <c r="BM1220" s="160"/>
      <c r="BN1220" s="160"/>
      <c r="BO1220" s="160"/>
      <c r="BP1220" s="160"/>
      <c r="BQ1220" s="160"/>
      <c r="BR1220" s="160"/>
      <c r="BS1220" s="160"/>
      <c r="BT1220" s="160"/>
      <c r="BU1220" s="160"/>
      <c r="BV1220" s="160"/>
      <c r="BW1220" s="160"/>
      <c r="BX1220" s="160"/>
      <c r="BY1220" s="160"/>
      <c r="BZ1220" s="160"/>
      <c r="CA1220" s="160"/>
      <c r="CB1220" s="160"/>
      <c r="CC1220" s="160"/>
      <c r="CD1220" s="160"/>
      <c r="CE1220" s="160"/>
      <c r="CF1220" s="160"/>
      <c r="CG1220" s="160"/>
      <c r="CH1220" s="160"/>
      <c r="CI1220" s="160"/>
      <c r="CJ1220" s="160"/>
      <c r="CK1220" s="160"/>
      <c r="CL1220" s="160"/>
      <c r="CM1220" s="160"/>
      <c r="CN1220" s="160"/>
      <c r="CO1220" s="160"/>
      <c r="CP1220" s="162"/>
      <c r="CQ1220" s="163"/>
      <c r="CR1220" s="162"/>
      <c r="CS1220" s="163"/>
      <c r="CT1220" s="162"/>
      <c r="CU1220" s="163"/>
      <c r="CV1220" s="164">
        <f t="shared" si="166"/>
        <v>0</v>
      </c>
      <c r="CW1220" s="165"/>
      <c r="CX1220" s="166"/>
      <c r="CY1220" s="167"/>
      <c r="CZ1220" s="168"/>
      <c r="DA1220" s="169"/>
      <c r="DB1220" s="168"/>
      <c r="DC1220" s="165"/>
      <c r="DD1220" s="166"/>
      <c r="DE1220" s="71"/>
      <c r="DF1220" s="170"/>
      <c r="EO1220" s="353" t="str">
        <f t="shared" si="161"/>
        <v>HUILA_TESALIA</v>
      </c>
      <c r="EP1220" s="350"/>
      <c r="EQ1220" s="350"/>
      <c r="ER1220" s="357"/>
      <c r="ES1220" s="350"/>
      <c r="ET1220" s="350"/>
      <c r="EU1220" s="350"/>
    </row>
    <row r="1221" spans="1:151" s="171" customFormat="1" ht="38.25" x14ac:dyDescent="0.2">
      <c r="A1221" s="242">
        <v>40450</v>
      </c>
      <c r="B1221" s="222" t="s">
        <v>1336</v>
      </c>
      <c r="C1221" s="222" t="s">
        <v>1618</v>
      </c>
      <c r="D1221" s="427" t="s">
        <v>2307</v>
      </c>
      <c r="E1221" s="107" t="str">
        <f>VLOOKUP(B1221&amp;C1221,Divipola!$C$2:$F$1138,4,FALSE)</f>
        <v>54810</v>
      </c>
      <c r="F1221" s="330"/>
      <c r="G1221" s="221"/>
      <c r="H1221" s="157"/>
      <c r="I1221" s="157"/>
      <c r="J1221" s="157"/>
      <c r="K1221" s="157"/>
      <c r="L1221" s="157"/>
      <c r="M1221" s="157"/>
      <c r="N1221" s="157"/>
      <c r="O1221" s="157"/>
      <c r="P1221" s="157"/>
      <c r="Q1221" s="157"/>
      <c r="R1221" s="157"/>
      <c r="S1221" s="157"/>
      <c r="T1221" s="157"/>
      <c r="U1221" s="157"/>
      <c r="V1221" s="158"/>
      <c r="W1221" s="182"/>
      <c r="X1221" s="1"/>
      <c r="Y1221" s="78">
        <f t="shared" si="163"/>
        <v>0</v>
      </c>
      <c r="Z1221" s="78">
        <f t="shared" si="164"/>
        <v>0</v>
      </c>
      <c r="AA1221" s="78">
        <f t="shared" si="162"/>
        <v>0</v>
      </c>
      <c r="AB1221" s="78">
        <f t="shared" si="165"/>
        <v>0</v>
      </c>
      <c r="AC1221" s="78"/>
      <c r="AD1221" s="78">
        <v>0</v>
      </c>
      <c r="AE1221" s="80">
        <f t="shared" si="159"/>
        <v>0</v>
      </c>
      <c r="AF1221" s="82">
        <v>0</v>
      </c>
      <c r="AG1221" s="69">
        <v>40451</v>
      </c>
      <c r="AH1221" s="84"/>
      <c r="AI1221" s="69" t="s">
        <v>1984</v>
      </c>
      <c r="AJ1221" s="25" t="s">
        <v>1985</v>
      </c>
      <c r="AK1221" s="65"/>
      <c r="AL1221" s="176" t="s">
        <v>1257</v>
      </c>
      <c r="AM1221" s="173" t="s">
        <v>2578</v>
      </c>
      <c r="AN1221" s="159"/>
      <c r="AO1221" s="160"/>
      <c r="AP1221" s="161"/>
      <c r="AQ1221" s="160"/>
      <c r="AR1221" s="160"/>
      <c r="AS1221" s="160"/>
      <c r="AT1221" s="160"/>
      <c r="AU1221" s="160"/>
      <c r="AV1221" s="160"/>
      <c r="AW1221" s="160"/>
      <c r="AX1221" s="160"/>
      <c r="AY1221" s="160"/>
      <c r="AZ1221" s="160"/>
      <c r="BA1221" s="160"/>
      <c r="BB1221" s="160"/>
      <c r="BC1221" s="160"/>
      <c r="BD1221" s="160"/>
      <c r="BE1221" s="160"/>
      <c r="BF1221" s="160"/>
      <c r="BG1221" s="160"/>
      <c r="BH1221" s="160"/>
      <c r="BI1221" s="160"/>
      <c r="BJ1221" s="160"/>
      <c r="BK1221" s="160"/>
      <c r="BL1221" s="160"/>
      <c r="BM1221" s="160"/>
      <c r="BN1221" s="160"/>
      <c r="BO1221" s="160"/>
      <c r="BP1221" s="160"/>
      <c r="BQ1221" s="160"/>
      <c r="BR1221" s="160"/>
      <c r="BS1221" s="160"/>
      <c r="BT1221" s="160"/>
      <c r="BU1221" s="160"/>
      <c r="BV1221" s="160"/>
      <c r="BW1221" s="160"/>
      <c r="BX1221" s="160"/>
      <c r="BY1221" s="160"/>
      <c r="BZ1221" s="160"/>
      <c r="CA1221" s="160"/>
      <c r="CB1221" s="160"/>
      <c r="CC1221" s="160"/>
      <c r="CD1221" s="160"/>
      <c r="CE1221" s="160"/>
      <c r="CF1221" s="160"/>
      <c r="CG1221" s="160"/>
      <c r="CH1221" s="160"/>
      <c r="CI1221" s="160"/>
      <c r="CJ1221" s="160"/>
      <c r="CK1221" s="160"/>
      <c r="CL1221" s="160"/>
      <c r="CM1221" s="160"/>
      <c r="CN1221" s="160"/>
      <c r="CO1221" s="160"/>
      <c r="CP1221" s="162"/>
      <c r="CQ1221" s="163"/>
      <c r="CR1221" s="162"/>
      <c r="CS1221" s="163"/>
      <c r="CT1221" s="162"/>
      <c r="CU1221" s="163"/>
      <c r="CV1221" s="164">
        <f t="shared" si="166"/>
        <v>0</v>
      </c>
      <c r="CW1221" s="165"/>
      <c r="CX1221" s="166"/>
      <c r="CY1221" s="167"/>
      <c r="CZ1221" s="168"/>
      <c r="DA1221" s="169"/>
      <c r="DB1221" s="168"/>
      <c r="DC1221" s="165"/>
      <c r="DD1221" s="166"/>
      <c r="DE1221" s="71"/>
      <c r="DF1221" s="170"/>
      <c r="EO1221" s="353" t="str">
        <f t="shared" si="161"/>
        <v>NORTE DE SANTANDER_TIBU</v>
      </c>
      <c r="EP1221" s="350"/>
      <c r="EQ1221" s="350"/>
      <c r="ER1221" s="357"/>
      <c r="ES1221" s="350"/>
      <c r="ET1221" s="350"/>
      <c r="EU1221" s="350"/>
    </row>
    <row r="1222" spans="1:151" s="171" customFormat="1" ht="38.25" x14ac:dyDescent="0.2">
      <c r="A1222" s="242">
        <v>40450</v>
      </c>
      <c r="B1222" s="222" t="s">
        <v>2427</v>
      </c>
      <c r="C1222" s="222" t="s">
        <v>2480</v>
      </c>
      <c r="D1222" s="430" t="s">
        <v>837</v>
      </c>
      <c r="E1222" s="107" t="str">
        <f>VLOOKUP(B1222&amp;C1222,Divipola!$C$2:$F$1138,4,FALSE)</f>
        <v>68575</v>
      </c>
      <c r="F1222" s="333"/>
      <c r="G1222" s="275"/>
      <c r="H1222" s="157"/>
      <c r="I1222" s="157"/>
      <c r="J1222" s="157">
        <f>508*5</f>
        <v>2540</v>
      </c>
      <c r="K1222" s="157">
        <f>800-250-13-29</f>
        <v>508</v>
      </c>
      <c r="L1222" s="157">
        <v>1</v>
      </c>
      <c r="M1222" s="157">
        <f>53-28</f>
        <v>25</v>
      </c>
      <c r="N1222" s="157">
        <v>4</v>
      </c>
      <c r="O1222" s="157">
        <v>2</v>
      </c>
      <c r="P1222" s="157"/>
      <c r="Q1222" s="157"/>
      <c r="R1222" s="157"/>
      <c r="S1222" s="157"/>
      <c r="T1222" s="157">
        <v>2</v>
      </c>
      <c r="U1222" s="157"/>
      <c r="V1222" s="158">
        <v>10000</v>
      </c>
      <c r="W1222" s="205" t="s">
        <v>2180</v>
      </c>
      <c r="X1222" s="1"/>
      <c r="Y1222" s="78">
        <f t="shared" si="163"/>
        <v>39810000</v>
      </c>
      <c r="Z1222" s="78">
        <f t="shared" si="164"/>
        <v>25500000</v>
      </c>
      <c r="AA1222" s="78">
        <f t="shared" si="162"/>
        <v>0</v>
      </c>
      <c r="AB1222" s="78">
        <f t="shared" si="165"/>
        <v>0</v>
      </c>
      <c r="AC1222" s="78"/>
      <c r="AD1222" s="78">
        <v>0</v>
      </c>
      <c r="AE1222" s="80">
        <f t="shared" si="159"/>
        <v>65310000</v>
      </c>
      <c r="AF1222" s="82">
        <v>0</v>
      </c>
      <c r="AG1222" s="69">
        <v>40451</v>
      </c>
      <c r="AH1222" s="84"/>
      <c r="AI1222" s="69" t="s">
        <v>2009</v>
      </c>
      <c r="AJ1222" s="25" t="s">
        <v>2010</v>
      </c>
      <c r="AK1222" s="65"/>
      <c r="AL1222" s="176" t="s">
        <v>2663</v>
      </c>
      <c r="AM1222" s="173" t="s">
        <v>2577</v>
      </c>
      <c r="AN1222" s="159"/>
      <c r="AO1222" s="160"/>
      <c r="AP1222" s="161"/>
      <c r="AQ1222" s="160"/>
      <c r="AR1222" s="160"/>
      <c r="AS1222" s="160"/>
      <c r="AT1222" s="160"/>
      <c r="AU1222" s="160"/>
      <c r="AV1222" s="160"/>
      <c r="AW1222" s="160"/>
      <c r="AX1222" s="160"/>
      <c r="AY1222" s="160"/>
      <c r="AZ1222" s="160"/>
      <c r="BA1222" s="160"/>
      <c r="BB1222" s="160">
        <v>300</v>
      </c>
      <c r="BC1222" s="160">
        <f>300*56000</f>
        <v>16800000</v>
      </c>
      <c r="BD1222" s="160"/>
      <c r="BE1222" s="160"/>
      <c r="BF1222" s="160"/>
      <c r="BG1222" s="160"/>
      <c r="BH1222" s="160"/>
      <c r="BI1222" s="160"/>
      <c r="BJ1222" s="160"/>
      <c r="BK1222" s="160"/>
      <c r="BL1222" s="160"/>
      <c r="BM1222" s="160"/>
      <c r="BN1222" s="160"/>
      <c r="BO1222" s="160"/>
      <c r="BP1222" s="160"/>
      <c r="BQ1222" s="160"/>
      <c r="BR1222" s="160"/>
      <c r="BS1222" s="160"/>
      <c r="BT1222" s="160"/>
      <c r="BU1222" s="160"/>
      <c r="BV1222" s="160"/>
      <c r="BW1222" s="160"/>
      <c r="BX1222" s="160"/>
      <c r="BY1222" s="160"/>
      <c r="BZ1222" s="160"/>
      <c r="CA1222" s="160"/>
      <c r="CB1222" s="160"/>
      <c r="CC1222" s="160"/>
      <c r="CD1222" s="160"/>
      <c r="CE1222" s="160"/>
      <c r="CF1222" s="160"/>
      <c r="CG1222" s="160"/>
      <c r="CH1222" s="160"/>
      <c r="CI1222" s="160"/>
      <c r="CJ1222" s="160"/>
      <c r="CK1222" s="160"/>
      <c r="CL1222" s="160"/>
      <c r="CM1222" s="160"/>
      <c r="CN1222" s="160"/>
      <c r="CO1222" s="160"/>
      <c r="CP1222" s="162">
        <v>300</v>
      </c>
      <c r="CQ1222" s="163">
        <f>300*37000</f>
        <v>11100000</v>
      </c>
      <c r="CR1222" s="162">
        <v>300</v>
      </c>
      <c r="CS1222" s="163">
        <f>300*39700</f>
        <v>11910000</v>
      </c>
      <c r="CT1222" s="162"/>
      <c r="CU1222" s="163"/>
      <c r="CV1222" s="164">
        <f t="shared" si="166"/>
        <v>39810000</v>
      </c>
      <c r="CW1222" s="165"/>
      <c r="CX1222" s="166"/>
      <c r="CY1222" s="167">
        <v>300</v>
      </c>
      <c r="CZ1222" s="168">
        <f>300*85000</f>
        <v>25500000</v>
      </c>
      <c r="DA1222" s="169"/>
      <c r="DB1222" s="168"/>
      <c r="DC1222" s="165"/>
      <c r="DD1222" s="166"/>
      <c r="DE1222" s="71"/>
      <c r="DF1222" s="170"/>
      <c r="EO1222" s="353" t="str">
        <f t="shared" si="161"/>
        <v>SANTANDER_PUERTO WILCHES</v>
      </c>
      <c r="EP1222" s="350"/>
      <c r="EQ1222" s="350"/>
      <c r="ER1222" s="357"/>
      <c r="ES1222" s="350"/>
      <c r="ET1222" s="350"/>
      <c r="EU1222" s="350"/>
    </row>
    <row r="1223" spans="1:151" s="171" customFormat="1" ht="51" x14ac:dyDescent="0.2">
      <c r="A1223" s="242">
        <v>40450</v>
      </c>
      <c r="B1223" s="222" t="s">
        <v>1462</v>
      </c>
      <c r="C1223" s="222" t="s">
        <v>2579</v>
      </c>
      <c r="D1223" s="430" t="s">
        <v>837</v>
      </c>
      <c r="E1223" s="107" t="str">
        <f>VLOOKUP(B1223&amp;C1223,Divipola!$C$2:$F$1138,4,FALSE)</f>
        <v>76622</v>
      </c>
      <c r="F1223" s="333"/>
      <c r="G1223" s="221"/>
      <c r="H1223" s="157"/>
      <c r="I1223" s="157"/>
      <c r="J1223" s="157">
        <v>350</v>
      </c>
      <c r="K1223" s="157">
        <v>110</v>
      </c>
      <c r="L1223" s="157"/>
      <c r="M1223" s="157">
        <v>110</v>
      </c>
      <c r="N1223" s="157"/>
      <c r="O1223" s="157"/>
      <c r="P1223" s="157"/>
      <c r="Q1223" s="157"/>
      <c r="R1223" s="157"/>
      <c r="S1223" s="157"/>
      <c r="T1223" s="157"/>
      <c r="U1223" s="157"/>
      <c r="V1223" s="158"/>
      <c r="W1223" s="182"/>
      <c r="X1223" s="1">
        <v>40476</v>
      </c>
      <c r="Y1223" s="78">
        <f t="shared" si="163"/>
        <v>23099370</v>
      </c>
      <c r="Z1223" s="78">
        <f t="shared" si="164"/>
        <v>8499846</v>
      </c>
      <c r="AA1223" s="78">
        <f t="shared" si="162"/>
        <v>0</v>
      </c>
      <c r="AB1223" s="78">
        <f t="shared" si="165"/>
        <v>0</v>
      </c>
      <c r="AC1223" s="78"/>
      <c r="AD1223" s="78">
        <v>0</v>
      </c>
      <c r="AE1223" s="80">
        <f t="shared" si="159"/>
        <v>31599216</v>
      </c>
      <c r="AF1223" s="82">
        <v>0</v>
      </c>
      <c r="AG1223" s="69">
        <v>40451</v>
      </c>
      <c r="AH1223" s="84">
        <v>53132</v>
      </c>
      <c r="AI1223" s="69" t="s">
        <v>2009</v>
      </c>
      <c r="AJ1223" s="25" t="s">
        <v>2010</v>
      </c>
      <c r="AK1223" s="65">
        <v>22606</v>
      </c>
      <c r="AL1223" s="185" t="s">
        <v>2182</v>
      </c>
      <c r="AM1223" s="173" t="s">
        <v>2580</v>
      </c>
      <c r="AN1223" s="159"/>
      <c r="AO1223" s="160"/>
      <c r="AP1223" s="161"/>
      <c r="AQ1223" s="160"/>
      <c r="AR1223" s="160"/>
      <c r="AS1223" s="160"/>
      <c r="AT1223" s="160"/>
      <c r="AU1223" s="160"/>
      <c r="AV1223" s="160">
        <v>300</v>
      </c>
      <c r="AW1223" s="160">
        <f>300*20998.32</f>
        <v>6299496</v>
      </c>
      <c r="AX1223" s="160"/>
      <c r="AY1223" s="160"/>
      <c r="AZ1223" s="160">
        <v>300</v>
      </c>
      <c r="BA1223" s="160">
        <f>300*55999.58</f>
        <v>16799874</v>
      </c>
      <c r="BB1223" s="160"/>
      <c r="BC1223" s="160"/>
      <c r="BD1223" s="160"/>
      <c r="BE1223" s="160"/>
      <c r="BF1223" s="160"/>
      <c r="BG1223" s="160"/>
      <c r="BH1223" s="160"/>
      <c r="BI1223" s="160"/>
      <c r="BJ1223" s="160"/>
      <c r="BK1223" s="160"/>
      <c r="BL1223" s="160"/>
      <c r="BM1223" s="160"/>
      <c r="BN1223" s="160"/>
      <c r="BO1223" s="160"/>
      <c r="BP1223" s="160"/>
      <c r="BQ1223" s="160"/>
      <c r="BR1223" s="160"/>
      <c r="BS1223" s="160"/>
      <c r="BT1223" s="160"/>
      <c r="BU1223" s="160"/>
      <c r="BV1223" s="160"/>
      <c r="BW1223" s="160"/>
      <c r="BX1223" s="160"/>
      <c r="BY1223" s="160"/>
      <c r="BZ1223" s="160"/>
      <c r="CA1223" s="160"/>
      <c r="CB1223" s="160"/>
      <c r="CC1223" s="160"/>
      <c r="CD1223" s="160"/>
      <c r="CE1223" s="160"/>
      <c r="CF1223" s="160"/>
      <c r="CG1223" s="160"/>
      <c r="CH1223" s="160"/>
      <c r="CI1223" s="160"/>
      <c r="CJ1223" s="160"/>
      <c r="CK1223" s="160"/>
      <c r="CL1223" s="160"/>
      <c r="CM1223" s="160"/>
      <c r="CN1223" s="160"/>
      <c r="CO1223" s="160"/>
      <c r="CP1223" s="162"/>
      <c r="CQ1223" s="163"/>
      <c r="CR1223" s="162"/>
      <c r="CS1223" s="163"/>
      <c r="CT1223" s="162"/>
      <c r="CU1223" s="163"/>
      <c r="CV1223" s="164">
        <f t="shared" si="166"/>
        <v>23099370</v>
      </c>
      <c r="CW1223" s="165"/>
      <c r="CX1223" s="166"/>
      <c r="CY1223" s="167">
        <v>100</v>
      </c>
      <c r="CZ1223" s="168">
        <f>100*84998.46</f>
        <v>8499846</v>
      </c>
      <c r="DA1223" s="169"/>
      <c r="DB1223" s="168"/>
      <c r="DC1223" s="165"/>
      <c r="DD1223" s="166"/>
      <c r="DE1223" s="71"/>
      <c r="DF1223" s="170"/>
      <c r="EO1223" s="353" t="str">
        <f t="shared" si="161"/>
        <v>VALLE DEL CAUCA_ROLDANILLO</v>
      </c>
      <c r="EP1223" s="350"/>
      <c r="EQ1223" s="350"/>
      <c r="ER1223" s="357"/>
      <c r="ES1223" s="350"/>
      <c r="ET1223" s="350"/>
      <c r="EU1223" s="350"/>
    </row>
    <row r="1224" spans="1:151" s="171" customFormat="1" ht="38.25" x14ac:dyDescent="0.2">
      <c r="A1224" s="242">
        <v>40451</v>
      </c>
      <c r="B1224" s="222" t="s">
        <v>1836</v>
      </c>
      <c r="C1224" s="222" t="s">
        <v>2584</v>
      </c>
      <c r="D1224" s="430" t="s">
        <v>837</v>
      </c>
      <c r="E1224" s="107" t="str">
        <f>VLOOKUP(B1224&amp;C1224,Divipola!$C$2:$F$1138,4,FALSE)</f>
        <v>47675</v>
      </c>
      <c r="F1224" s="333"/>
      <c r="G1224" s="221"/>
      <c r="H1224" s="157"/>
      <c r="I1224" s="157"/>
      <c r="J1224" s="421">
        <f>1559*3.7</f>
        <v>5768.3</v>
      </c>
      <c r="K1224" s="157">
        <v>1559</v>
      </c>
      <c r="L1224" s="157"/>
      <c r="M1224" s="157">
        <v>570</v>
      </c>
      <c r="N1224" s="157"/>
      <c r="O1224" s="157"/>
      <c r="P1224" s="157"/>
      <c r="Q1224" s="157"/>
      <c r="R1224" s="157"/>
      <c r="S1224" s="157"/>
      <c r="T1224" s="157"/>
      <c r="U1224" s="157"/>
      <c r="V1224" s="158"/>
      <c r="W1224" s="182"/>
      <c r="X1224" s="1"/>
      <c r="Y1224" s="78">
        <f t="shared" si="163"/>
        <v>15821200</v>
      </c>
      <c r="Z1224" s="78">
        <f t="shared" si="164"/>
        <v>99450000</v>
      </c>
      <c r="AA1224" s="78">
        <f t="shared" si="162"/>
        <v>0</v>
      </c>
      <c r="AB1224" s="78">
        <f t="shared" si="165"/>
        <v>2700480</v>
      </c>
      <c r="AC1224" s="78"/>
      <c r="AD1224" s="78">
        <v>0</v>
      </c>
      <c r="AE1224" s="80">
        <f t="shared" si="159"/>
        <v>117971680</v>
      </c>
      <c r="AF1224" s="82">
        <v>0</v>
      </c>
      <c r="AG1224" s="69">
        <v>40454</v>
      </c>
      <c r="AH1224" s="84">
        <v>52364</v>
      </c>
      <c r="AI1224" s="69" t="s">
        <v>2009</v>
      </c>
      <c r="AJ1224" s="25" t="s">
        <v>2010</v>
      </c>
      <c r="AK1224" s="65"/>
      <c r="AL1224" s="176" t="s">
        <v>1431</v>
      </c>
      <c r="AM1224" s="173"/>
      <c r="AN1224" s="159"/>
      <c r="AO1224" s="160"/>
      <c r="AP1224" s="161"/>
      <c r="AQ1224" s="160"/>
      <c r="AR1224" s="160"/>
      <c r="AS1224" s="160"/>
      <c r="AT1224" s="160"/>
      <c r="AU1224" s="160"/>
      <c r="AV1224" s="160"/>
      <c r="AW1224" s="160"/>
      <c r="AX1224" s="160"/>
      <c r="AY1224" s="160"/>
      <c r="AZ1224" s="160"/>
      <c r="BA1224" s="160"/>
      <c r="BB1224" s="160"/>
      <c r="BC1224" s="160"/>
      <c r="BD1224" s="160"/>
      <c r="BE1224" s="160"/>
      <c r="BF1224" s="160"/>
      <c r="BG1224" s="160"/>
      <c r="BH1224" s="160"/>
      <c r="BI1224" s="160"/>
      <c r="BJ1224" s="160"/>
      <c r="BK1224" s="160"/>
      <c r="BL1224" s="160">
        <v>100</v>
      </c>
      <c r="BM1224" s="160">
        <f>100*25500</f>
        <v>2550000</v>
      </c>
      <c r="BN1224" s="160"/>
      <c r="BO1224" s="160"/>
      <c r="BP1224" s="160"/>
      <c r="BQ1224" s="160"/>
      <c r="BR1224" s="160"/>
      <c r="BS1224" s="160"/>
      <c r="BT1224" s="160"/>
      <c r="BU1224" s="160"/>
      <c r="BV1224" s="160"/>
      <c r="BW1224" s="160"/>
      <c r="BX1224" s="160"/>
      <c r="BY1224" s="160"/>
      <c r="BZ1224" s="160">
        <f>3+2</f>
        <v>5</v>
      </c>
      <c r="CA1224" s="160">
        <f>3*510400+2*470000</f>
        <v>2471200</v>
      </c>
      <c r="CB1224" s="160"/>
      <c r="CC1224" s="160"/>
      <c r="CD1224" s="160"/>
      <c r="CE1224" s="160"/>
      <c r="CF1224" s="160"/>
      <c r="CG1224" s="160"/>
      <c r="CH1224" s="160"/>
      <c r="CI1224" s="160"/>
      <c r="CJ1224" s="160"/>
      <c r="CK1224" s="160"/>
      <c r="CL1224" s="160"/>
      <c r="CM1224" s="160"/>
      <c r="CN1224" s="160">
        <f>300+300</f>
        <v>600</v>
      </c>
      <c r="CO1224" s="160">
        <f>300*18000+300*18000</f>
        <v>10800000</v>
      </c>
      <c r="CP1224" s="162"/>
      <c r="CQ1224" s="163"/>
      <c r="CR1224" s="162"/>
      <c r="CS1224" s="163"/>
      <c r="CT1224" s="162"/>
      <c r="CU1224" s="163"/>
      <c r="CV1224" s="164">
        <f t="shared" si="166"/>
        <v>15821200</v>
      </c>
      <c r="CW1224" s="165">
        <v>3000</v>
      </c>
      <c r="CX1224" s="166">
        <f>3000*900.16</f>
        <v>2700480</v>
      </c>
      <c r="CY1224" s="167">
        <f>300+300+570</f>
        <v>1170</v>
      </c>
      <c r="CZ1224" s="168">
        <f>300*85000+300*85000+570*85000</f>
        <v>99450000</v>
      </c>
      <c r="DA1224" s="169"/>
      <c r="DB1224" s="168"/>
      <c r="DC1224" s="165"/>
      <c r="DD1224" s="166"/>
      <c r="DE1224" s="71"/>
      <c r="DF1224" s="170">
        <v>1311</v>
      </c>
      <c r="EO1224" s="353" t="str">
        <f t="shared" si="161"/>
        <v>MAGDALENA_SALAMINA</v>
      </c>
      <c r="EP1224" s="350"/>
      <c r="EQ1224" s="350"/>
      <c r="ER1224" s="357"/>
      <c r="ES1224" s="350"/>
      <c r="ET1224" s="350"/>
      <c r="EU1224" s="350"/>
    </row>
    <row r="1225" spans="1:151" s="171" customFormat="1" ht="72" x14ac:dyDescent="0.2">
      <c r="A1225" s="242">
        <v>40451</v>
      </c>
      <c r="B1225" s="222" t="s">
        <v>2014</v>
      </c>
      <c r="C1225" s="222" t="s">
        <v>1033</v>
      </c>
      <c r="D1225" s="430" t="s">
        <v>837</v>
      </c>
      <c r="E1225" s="107" t="str">
        <f>VLOOKUP(B1225&amp;C1225,Divipola!$C$2:$F$1138,4,FALSE)</f>
        <v>63130</v>
      </c>
      <c r="F1225" s="333"/>
      <c r="G1225" s="221"/>
      <c r="H1225" s="157"/>
      <c r="I1225" s="157"/>
      <c r="J1225" s="157">
        <v>25</v>
      </c>
      <c r="K1225" s="157">
        <v>5</v>
      </c>
      <c r="L1225" s="157"/>
      <c r="M1225" s="157">
        <v>5</v>
      </c>
      <c r="N1225" s="157"/>
      <c r="O1225" s="157"/>
      <c r="P1225" s="157"/>
      <c r="Q1225" s="157"/>
      <c r="R1225" s="157"/>
      <c r="S1225" s="157"/>
      <c r="T1225" s="157"/>
      <c r="U1225" s="157"/>
      <c r="V1225" s="158"/>
      <c r="W1225" s="182"/>
      <c r="X1225" s="1"/>
      <c r="Y1225" s="78">
        <f t="shared" si="163"/>
        <v>0</v>
      </c>
      <c r="Z1225" s="78">
        <f t="shared" si="164"/>
        <v>0</v>
      </c>
      <c r="AA1225" s="78">
        <f t="shared" si="162"/>
        <v>0</v>
      </c>
      <c r="AB1225" s="78">
        <f t="shared" si="165"/>
        <v>0</v>
      </c>
      <c r="AC1225" s="78"/>
      <c r="AD1225" s="78">
        <v>0</v>
      </c>
      <c r="AE1225" s="80">
        <f t="shared" ref="AE1225:AE1288" si="167">Y1225+Z1225+AA1225+AB1225+AC1225+AD1225</f>
        <v>0</v>
      </c>
      <c r="AF1225" s="82">
        <v>0</v>
      </c>
      <c r="AG1225" s="69">
        <v>40455</v>
      </c>
      <c r="AH1225" s="84"/>
      <c r="AI1225" s="69" t="s">
        <v>1984</v>
      </c>
      <c r="AJ1225" s="25" t="s">
        <v>1985</v>
      </c>
      <c r="AK1225" s="65"/>
      <c r="AL1225" s="176" t="s">
        <v>1257</v>
      </c>
      <c r="AM1225" s="173" t="s">
        <v>2600</v>
      </c>
      <c r="AN1225" s="159"/>
      <c r="AO1225" s="160"/>
      <c r="AP1225" s="161"/>
      <c r="AQ1225" s="160"/>
      <c r="AR1225" s="160"/>
      <c r="AS1225" s="160"/>
      <c r="AT1225" s="160"/>
      <c r="AU1225" s="160"/>
      <c r="AV1225" s="160"/>
      <c r="AW1225" s="160"/>
      <c r="AX1225" s="160"/>
      <c r="AY1225" s="160"/>
      <c r="AZ1225" s="160"/>
      <c r="BA1225" s="160"/>
      <c r="BB1225" s="160"/>
      <c r="BC1225" s="160"/>
      <c r="BD1225" s="160"/>
      <c r="BE1225" s="160"/>
      <c r="BF1225" s="160"/>
      <c r="BG1225" s="160"/>
      <c r="BH1225" s="160"/>
      <c r="BI1225" s="160"/>
      <c r="BJ1225" s="160"/>
      <c r="BK1225" s="160"/>
      <c r="BL1225" s="160"/>
      <c r="BM1225" s="160"/>
      <c r="BN1225" s="160"/>
      <c r="BO1225" s="160"/>
      <c r="BP1225" s="160"/>
      <c r="BQ1225" s="160"/>
      <c r="BR1225" s="160"/>
      <c r="BS1225" s="160"/>
      <c r="BT1225" s="160"/>
      <c r="BU1225" s="160"/>
      <c r="BV1225" s="160"/>
      <c r="BW1225" s="160"/>
      <c r="BX1225" s="160"/>
      <c r="BY1225" s="160"/>
      <c r="BZ1225" s="160"/>
      <c r="CA1225" s="160"/>
      <c r="CB1225" s="160"/>
      <c r="CC1225" s="160"/>
      <c r="CD1225" s="160"/>
      <c r="CE1225" s="160"/>
      <c r="CF1225" s="160"/>
      <c r="CG1225" s="160"/>
      <c r="CH1225" s="160"/>
      <c r="CI1225" s="160"/>
      <c r="CJ1225" s="160"/>
      <c r="CK1225" s="160"/>
      <c r="CL1225" s="160"/>
      <c r="CM1225" s="160"/>
      <c r="CN1225" s="160"/>
      <c r="CO1225" s="160"/>
      <c r="CP1225" s="162"/>
      <c r="CQ1225" s="163"/>
      <c r="CR1225" s="162"/>
      <c r="CS1225" s="163"/>
      <c r="CT1225" s="162"/>
      <c r="CU1225" s="163"/>
      <c r="CV1225" s="164">
        <f t="shared" si="166"/>
        <v>0</v>
      </c>
      <c r="CW1225" s="165"/>
      <c r="CX1225" s="166"/>
      <c r="CY1225" s="167"/>
      <c r="CZ1225" s="168"/>
      <c r="DA1225" s="169"/>
      <c r="DB1225" s="168"/>
      <c r="DC1225" s="165"/>
      <c r="DD1225" s="166"/>
      <c r="DE1225" s="71"/>
      <c r="DF1225" s="170"/>
      <c r="EO1225" s="353" t="str">
        <f t="shared" si="161"/>
        <v>QUINDIO_CALARCA</v>
      </c>
      <c r="EP1225" s="350"/>
      <c r="EQ1225" s="350"/>
      <c r="ER1225" s="357"/>
      <c r="ES1225" s="350"/>
      <c r="ET1225" s="350"/>
      <c r="EU1225" s="350"/>
    </row>
    <row r="1226" spans="1:151" s="171" customFormat="1" ht="72" x14ac:dyDescent="0.2">
      <c r="A1226" s="242">
        <v>40451</v>
      </c>
      <c r="B1226" s="222" t="s">
        <v>2791</v>
      </c>
      <c r="C1226" s="222" t="s">
        <v>1997</v>
      </c>
      <c r="D1226" s="430" t="s">
        <v>1713</v>
      </c>
      <c r="E1226" s="107" t="str">
        <f>VLOOKUP(B1226&amp;C1226,Divipola!$C$2:$F$1138,4,FALSE)</f>
        <v>73616</v>
      </c>
      <c r="F1226" s="333"/>
      <c r="G1226" s="221"/>
      <c r="H1226" s="157"/>
      <c r="I1226" s="157"/>
      <c r="J1226" s="157">
        <v>20</v>
      </c>
      <c r="K1226" s="157">
        <v>4</v>
      </c>
      <c r="L1226" s="157"/>
      <c r="M1226" s="157">
        <v>4</v>
      </c>
      <c r="N1226" s="157"/>
      <c r="O1226" s="157"/>
      <c r="P1226" s="157"/>
      <c r="Q1226" s="157"/>
      <c r="R1226" s="157"/>
      <c r="S1226" s="157"/>
      <c r="T1226" s="157"/>
      <c r="U1226" s="157"/>
      <c r="V1226" s="158"/>
      <c r="W1226" s="182"/>
      <c r="X1226" s="1"/>
      <c r="Y1226" s="78">
        <f t="shared" si="163"/>
        <v>0</v>
      </c>
      <c r="Z1226" s="78">
        <f t="shared" si="164"/>
        <v>0</v>
      </c>
      <c r="AA1226" s="78">
        <f t="shared" si="162"/>
        <v>0</v>
      </c>
      <c r="AB1226" s="78">
        <f t="shared" si="165"/>
        <v>0</v>
      </c>
      <c r="AC1226" s="78"/>
      <c r="AD1226" s="78">
        <v>0</v>
      </c>
      <c r="AE1226" s="80">
        <f t="shared" si="167"/>
        <v>0</v>
      </c>
      <c r="AF1226" s="82">
        <v>0</v>
      </c>
      <c r="AG1226" s="69">
        <v>40455</v>
      </c>
      <c r="AH1226" s="84"/>
      <c r="AI1226" s="69" t="s">
        <v>1984</v>
      </c>
      <c r="AJ1226" s="25" t="s">
        <v>1985</v>
      </c>
      <c r="AK1226" s="65"/>
      <c r="AL1226" s="176" t="s">
        <v>1257</v>
      </c>
      <c r="AM1226" s="173" t="s">
        <v>2596</v>
      </c>
      <c r="AN1226" s="159"/>
      <c r="AO1226" s="160"/>
      <c r="AP1226" s="161"/>
      <c r="AQ1226" s="160"/>
      <c r="AR1226" s="160"/>
      <c r="AS1226" s="160"/>
      <c r="AT1226" s="160"/>
      <c r="AU1226" s="160"/>
      <c r="AV1226" s="160"/>
      <c r="AW1226" s="160"/>
      <c r="AX1226" s="160"/>
      <c r="AY1226" s="160"/>
      <c r="AZ1226" s="160"/>
      <c r="BA1226" s="160"/>
      <c r="BB1226" s="160"/>
      <c r="BC1226" s="160"/>
      <c r="BD1226" s="160"/>
      <c r="BE1226" s="160"/>
      <c r="BF1226" s="160"/>
      <c r="BG1226" s="160"/>
      <c r="BH1226" s="160"/>
      <c r="BI1226" s="160"/>
      <c r="BJ1226" s="160"/>
      <c r="BK1226" s="160"/>
      <c r="BL1226" s="160"/>
      <c r="BM1226" s="160"/>
      <c r="BN1226" s="160"/>
      <c r="BO1226" s="160"/>
      <c r="BP1226" s="160"/>
      <c r="BQ1226" s="160"/>
      <c r="BR1226" s="160"/>
      <c r="BS1226" s="160"/>
      <c r="BT1226" s="160"/>
      <c r="BU1226" s="160"/>
      <c r="BV1226" s="160"/>
      <c r="BW1226" s="160"/>
      <c r="BX1226" s="160"/>
      <c r="BY1226" s="160"/>
      <c r="BZ1226" s="160"/>
      <c r="CA1226" s="160"/>
      <c r="CB1226" s="160"/>
      <c r="CC1226" s="160"/>
      <c r="CD1226" s="160"/>
      <c r="CE1226" s="160"/>
      <c r="CF1226" s="160"/>
      <c r="CG1226" s="160"/>
      <c r="CH1226" s="160"/>
      <c r="CI1226" s="160"/>
      <c r="CJ1226" s="160"/>
      <c r="CK1226" s="160"/>
      <c r="CL1226" s="160"/>
      <c r="CM1226" s="160"/>
      <c r="CN1226" s="160"/>
      <c r="CO1226" s="160"/>
      <c r="CP1226" s="162"/>
      <c r="CQ1226" s="163"/>
      <c r="CR1226" s="162"/>
      <c r="CS1226" s="163"/>
      <c r="CT1226" s="162"/>
      <c r="CU1226" s="163"/>
      <c r="CV1226" s="164">
        <f t="shared" si="166"/>
        <v>0</v>
      </c>
      <c r="CW1226" s="165"/>
      <c r="CX1226" s="166"/>
      <c r="CY1226" s="167"/>
      <c r="CZ1226" s="168"/>
      <c r="DA1226" s="169"/>
      <c r="DB1226" s="168"/>
      <c r="DC1226" s="165"/>
      <c r="DD1226" s="166"/>
      <c r="DE1226" s="71"/>
      <c r="DF1226" s="170"/>
      <c r="EO1226" s="353" t="str">
        <f t="shared" si="161"/>
        <v>TOLIMA_RIOBLANCO</v>
      </c>
      <c r="EP1226" s="350"/>
      <c r="EQ1226" s="350"/>
      <c r="ER1226" s="357"/>
      <c r="ES1226" s="350"/>
      <c r="ET1226" s="350"/>
      <c r="EU1226" s="350"/>
    </row>
    <row r="1227" spans="1:151" s="171" customFormat="1" ht="38.25" x14ac:dyDescent="0.2">
      <c r="A1227" s="242">
        <v>40452</v>
      </c>
      <c r="B1227" s="222" t="s">
        <v>1951</v>
      </c>
      <c r="C1227" s="222" t="s">
        <v>1989</v>
      </c>
      <c r="D1227" s="427" t="s">
        <v>2307</v>
      </c>
      <c r="E1227" s="107" t="str">
        <f>VLOOKUP(B1227&amp;C1227,Divipola!$C$2:$F$1138,4,FALSE)</f>
        <v>08001</v>
      </c>
      <c r="F1227" s="330"/>
      <c r="G1227" s="221"/>
      <c r="H1227" s="157"/>
      <c r="I1227" s="157"/>
      <c r="J1227" s="157">
        <f>2119*5</f>
        <v>10595</v>
      </c>
      <c r="K1227" s="157">
        <f>2109+10</f>
        <v>2119</v>
      </c>
      <c r="L1227" s="157">
        <v>10</v>
      </c>
      <c r="M1227" s="157">
        <v>2109</v>
      </c>
      <c r="N1227" s="157"/>
      <c r="O1227" s="157"/>
      <c r="P1227" s="157"/>
      <c r="Q1227" s="157"/>
      <c r="R1227" s="157"/>
      <c r="S1227" s="157"/>
      <c r="T1227" s="157"/>
      <c r="U1227" s="157"/>
      <c r="V1227" s="158"/>
      <c r="W1227" s="182"/>
      <c r="X1227" s="1"/>
      <c r="Y1227" s="78">
        <f t="shared" si="163"/>
        <v>0</v>
      </c>
      <c r="Z1227" s="78">
        <f t="shared" si="164"/>
        <v>0</v>
      </c>
      <c r="AA1227" s="78">
        <f t="shared" si="162"/>
        <v>0</v>
      </c>
      <c r="AB1227" s="78">
        <f t="shared" si="165"/>
        <v>0</v>
      </c>
      <c r="AC1227" s="78"/>
      <c r="AD1227" s="78">
        <v>0</v>
      </c>
      <c r="AE1227" s="80">
        <f t="shared" si="167"/>
        <v>0</v>
      </c>
      <c r="AF1227" s="82">
        <v>0</v>
      </c>
      <c r="AG1227" s="69">
        <v>40455</v>
      </c>
      <c r="AH1227" s="84"/>
      <c r="AI1227" s="69" t="s">
        <v>1984</v>
      </c>
      <c r="AJ1227" s="25" t="s">
        <v>1985</v>
      </c>
      <c r="AK1227" s="65"/>
      <c r="AL1227" s="176" t="s">
        <v>1257</v>
      </c>
      <c r="AM1227" s="173" t="s">
        <v>2602</v>
      </c>
      <c r="AN1227" s="159"/>
      <c r="AO1227" s="160"/>
      <c r="AP1227" s="161"/>
      <c r="AQ1227" s="160"/>
      <c r="AR1227" s="160"/>
      <c r="AS1227" s="160"/>
      <c r="AT1227" s="160"/>
      <c r="AU1227" s="160"/>
      <c r="AV1227" s="160"/>
      <c r="AW1227" s="160"/>
      <c r="AX1227" s="160"/>
      <c r="AY1227" s="160"/>
      <c r="AZ1227" s="160"/>
      <c r="BA1227" s="160"/>
      <c r="BB1227" s="160"/>
      <c r="BC1227" s="160"/>
      <c r="BD1227" s="160"/>
      <c r="BE1227" s="160"/>
      <c r="BF1227" s="160"/>
      <c r="BG1227" s="160"/>
      <c r="BH1227" s="160"/>
      <c r="BI1227" s="160"/>
      <c r="BJ1227" s="160"/>
      <c r="BK1227" s="160"/>
      <c r="BL1227" s="160"/>
      <c r="BM1227" s="160"/>
      <c r="BN1227" s="160"/>
      <c r="BO1227" s="160"/>
      <c r="BP1227" s="160"/>
      <c r="BQ1227" s="160"/>
      <c r="BR1227" s="160"/>
      <c r="BS1227" s="160"/>
      <c r="BT1227" s="160"/>
      <c r="BU1227" s="160"/>
      <c r="BV1227" s="160"/>
      <c r="BW1227" s="160"/>
      <c r="BX1227" s="160"/>
      <c r="BY1227" s="160"/>
      <c r="BZ1227" s="160"/>
      <c r="CA1227" s="160"/>
      <c r="CB1227" s="160"/>
      <c r="CC1227" s="160"/>
      <c r="CD1227" s="160"/>
      <c r="CE1227" s="160"/>
      <c r="CF1227" s="160"/>
      <c r="CG1227" s="160"/>
      <c r="CH1227" s="160"/>
      <c r="CI1227" s="160"/>
      <c r="CJ1227" s="160"/>
      <c r="CK1227" s="160"/>
      <c r="CL1227" s="160"/>
      <c r="CM1227" s="160"/>
      <c r="CN1227" s="160"/>
      <c r="CO1227" s="160"/>
      <c r="CP1227" s="162"/>
      <c r="CQ1227" s="163"/>
      <c r="CR1227" s="162"/>
      <c r="CS1227" s="163"/>
      <c r="CT1227" s="162"/>
      <c r="CU1227" s="163"/>
      <c r="CV1227" s="164">
        <f t="shared" si="166"/>
        <v>0</v>
      </c>
      <c r="CW1227" s="165"/>
      <c r="CX1227" s="166"/>
      <c r="CY1227" s="167"/>
      <c r="CZ1227" s="168"/>
      <c r="DA1227" s="169"/>
      <c r="DB1227" s="168"/>
      <c r="DC1227" s="165"/>
      <c r="DD1227" s="166"/>
      <c r="DE1227" s="71"/>
      <c r="DF1227" s="170"/>
      <c r="EO1227" s="353" t="str">
        <f t="shared" si="161"/>
        <v>ATLANTICO_BARRANQUILLA</v>
      </c>
      <c r="EP1227" s="350"/>
      <c r="EQ1227" s="350"/>
      <c r="ER1227" s="357"/>
      <c r="ES1227" s="350"/>
      <c r="ET1227" s="350"/>
      <c r="EU1227" s="350"/>
    </row>
    <row r="1228" spans="1:151" s="171" customFormat="1" ht="38.25" x14ac:dyDescent="0.2">
      <c r="A1228" s="242">
        <v>40452</v>
      </c>
      <c r="B1228" s="222" t="s">
        <v>1951</v>
      </c>
      <c r="C1228" s="222" t="s">
        <v>2008</v>
      </c>
      <c r="D1228" s="430" t="s">
        <v>837</v>
      </c>
      <c r="E1228" s="107">
        <f>VLOOKUP(B1228&amp;C1228,Divipola!$C$2:$F$1138,4,FALSE)</f>
        <v>8</v>
      </c>
      <c r="F1228" s="333"/>
      <c r="G1228" s="221"/>
      <c r="H1228" s="157"/>
      <c r="I1228" s="157"/>
      <c r="J1228" s="157"/>
      <c r="K1228" s="157"/>
      <c r="L1228" s="157"/>
      <c r="M1228" s="157"/>
      <c r="N1228" s="157"/>
      <c r="O1228" s="157"/>
      <c r="P1228" s="157"/>
      <c r="Q1228" s="157"/>
      <c r="R1228" s="157"/>
      <c r="S1228" s="157"/>
      <c r="T1228" s="157"/>
      <c r="U1228" s="157"/>
      <c r="V1228" s="158"/>
      <c r="W1228" s="182"/>
      <c r="X1228" s="1">
        <v>40509</v>
      </c>
      <c r="Y1228" s="78">
        <f t="shared" si="163"/>
        <v>0</v>
      </c>
      <c r="Z1228" s="78">
        <f t="shared" si="164"/>
        <v>0</v>
      </c>
      <c r="AA1228" s="78">
        <f t="shared" si="162"/>
        <v>0</v>
      </c>
      <c r="AB1228" s="78">
        <f t="shared" si="165"/>
        <v>90016000</v>
      </c>
      <c r="AC1228" s="78"/>
      <c r="AD1228" s="78">
        <v>0</v>
      </c>
      <c r="AE1228" s="80">
        <f t="shared" si="167"/>
        <v>90016000</v>
      </c>
      <c r="AF1228" s="82">
        <v>0</v>
      </c>
      <c r="AG1228" s="69">
        <v>40454</v>
      </c>
      <c r="AH1228" s="84">
        <v>59556</v>
      </c>
      <c r="AI1228" s="69" t="s">
        <v>2009</v>
      </c>
      <c r="AJ1228" s="25" t="s">
        <v>2010</v>
      </c>
      <c r="AK1228" s="65">
        <v>24573</v>
      </c>
      <c r="AL1228" s="176" t="s">
        <v>1431</v>
      </c>
      <c r="AM1228" s="173" t="s">
        <v>3132</v>
      </c>
      <c r="AN1228" s="159"/>
      <c r="AO1228" s="160"/>
      <c r="AP1228" s="161"/>
      <c r="AQ1228" s="160"/>
      <c r="AR1228" s="160"/>
      <c r="AS1228" s="160"/>
      <c r="AT1228" s="160"/>
      <c r="AU1228" s="160"/>
      <c r="AV1228" s="160"/>
      <c r="AW1228" s="160"/>
      <c r="AX1228" s="160"/>
      <c r="AY1228" s="160"/>
      <c r="AZ1228" s="160"/>
      <c r="BA1228" s="160"/>
      <c r="BB1228" s="160"/>
      <c r="BC1228" s="160"/>
      <c r="BD1228" s="160"/>
      <c r="BE1228" s="160"/>
      <c r="BF1228" s="160"/>
      <c r="BG1228" s="160"/>
      <c r="BH1228" s="160"/>
      <c r="BI1228" s="160"/>
      <c r="BJ1228" s="160"/>
      <c r="BK1228" s="160"/>
      <c r="BL1228" s="160"/>
      <c r="BM1228" s="160"/>
      <c r="BN1228" s="160"/>
      <c r="BO1228" s="160"/>
      <c r="BP1228" s="160"/>
      <c r="BQ1228" s="160"/>
      <c r="BR1228" s="160"/>
      <c r="BS1228" s="160"/>
      <c r="BT1228" s="160"/>
      <c r="BU1228" s="160"/>
      <c r="BV1228" s="160"/>
      <c r="BW1228" s="160"/>
      <c r="BX1228" s="160"/>
      <c r="BY1228" s="160"/>
      <c r="BZ1228" s="160"/>
      <c r="CA1228" s="160"/>
      <c r="CB1228" s="160"/>
      <c r="CC1228" s="160"/>
      <c r="CD1228" s="160"/>
      <c r="CE1228" s="160"/>
      <c r="CF1228" s="160"/>
      <c r="CG1228" s="160"/>
      <c r="CH1228" s="160"/>
      <c r="CI1228" s="160"/>
      <c r="CJ1228" s="160"/>
      <c r="CK1228" s="160"/>
      <c r="CL1228" s="160"/>
      <c r="CM1228" s="160"/>
      <c r="CN1228" s="160"/>
      <c r="CO1228" s="160"/>
      <c r="CP1228" s="162"/>
      <c r="CQ1228" s="163"/>
      <c r="CR1228" s="162"/>
      <c r="CS1228" s="163"/>
      <c r="CT1228" s="162"/>
      <c r="CU1228" s="163"/>
      <c r="CV1228" s="164">
        <f t="shared" si="166"/>
        <v>0</v>
      </c>
      <c r="CW1228" s="165">
        <v>100000</v>
      </c>
      <c r="CX1228" s="166">
        <f>100000*900.16</f>
        <v>90016000</v>
      </c>
      <c r="CY1228" s="167"/>
      <c r="CZ1228" s="168"/>
      <c r="DA1228" s="169"/>
      <c r="DB1228" s="168"/>
      <c r="DC1228" s="165"/>
      <c r="DD1228" s="166"/>
      <c r="DE1228" s="71"/>
      <c r="DF1228" s="170">
        <v>1327</v>
      </c>
      <c r="EO1228" s="353" t="str">
        <f t="shared" si="161"/>
        <v>ATLANTICO_DEPARTAMENTO</v>
      </c>
      <c r="EP1228" s="350"/>
      <c r="EQ1228" s="350"/>
      <c r="ER1228" s="357"/>
      <c r="ES1228" s="350"/>
      <c r="ET1228" s="350"/>
      <c r="EU1228" s="350"/>
    </row>
    <row r="1229" spans="1:151" s="171" customFormat="1" ht="45" x14ac:dyDescent="0.2">
      <c r="A1229" s="242">
        <v>40452</v>
      </c>
      <c r="B1229" s="222" t="s">
        <v>1719</v>
      </c>
      <c r="C1229" s="222" t="s">
        <v>2601</v>
      </c>
      <c r="D1229" s="430" t="s">
        <v>2209</v>
      </c>
      <c r="E1229" s="107" t="str">
        <f>VLOOKUP(B1229&amp;C1229,Divipola!$C$2:$F$1138,4,FALSE)</f>
        <v>19513</v>
      </c>
      <c r="F1229" s="333"/>
      <c r="G1229" s="221"/>
      <c r="H1229" s="157"/>
      <c r="I1229" s="157"/>
      <c r="J1229" s="157">
        <v>535</v>
      </c>
      <c r="K1229" s="157">
        <v>107</v>
      </c>
      <c r="L1229" s="157"/>
      <c r="M1229" s="183">
        <v>107</v>
      </c>
      <c r="N1229" s="157"/>
      <c r="O1229" s="157"/>
      <c r="P1229" s="157"/>
      <c r="Q1229" s="157">
        <v>1</v>
      </c>
      <c r="R1229" s="157"/>
      <c r="S1229" s="157"/>
      <c r="T1229" s="157">
        <v>3</v>
      </c>
      <c r="U1229" s="157"/>
      <c r="V1229" s="158">
        <v>295</v>
      </c>
      <c r="W1229" s="182" t="s">
        <v>1757</v>
      </c>
      <c r="X1229" s="1">
        <v>40514</v>
      </c>
      <c r="Y1229" s="78">
        <f t="shared" si="163"/>
        <v>7845926.2200000007</v>
      </c>
      <c r="Z1229" s="78">
        <f t="shared" si="164"/>
        <v>9094835.2200000007</v>
      </c>
      <c r="AA1229" s="78">
        <f t="shared" si="162"/>
        <v>14999860</v>
      </c>
      <c r="AB1229" s="78">
        <f t="shared" si="165"/>
        <v>0</v>
      </c>
      <c r="AC1229" s="78"/>
      <c r="AD1229" s="78">
        <v>0</v>
      </c>
      <c r="AE1229" s="80">
        <f t="shared" si="167"/>
        <v>31940621.440000001</v>
      </c>
      <c r="AF1229" s="82">
        <v>0</v>
      </c>
      <c r="AG1229" s="69">
        <v>40455</v>
      </c>
      <c r="AH1229" s="84">
        <v>57277</v>
      </c>
      <c r="AI1229" s="69" t="s">
        <v>2009</v>
      </c>
      <c r="AJ1229" s="25" t="s">
        <v>2010</v>
      </c>
      <c r="AK1229" s="65">
        <v>25682</v>
      </c>
      <c r="AL1229" s="176" t="s">
        <v>2182</v>
      </c>
      <c r="AM1229" s="173" t="s">
        <v>283</v>
      </c>
      <c r="AN1229" s="159"/>
      <c r="AO1229" s="160"/>
      <c r="AP1229" s="161"/>
      <c r="AQ1229" s="160"/>
      <c r="AR1229" s="160"/>
      <c r="AS1229" s="160"/>
      <c r="AT1229" s="160"/>
      <c r="AU1229" s="160"/>
      <c r="AV1229" s="160"/>
      <c r="AW1229" s="160"/>
      <c r="AX1229" s="160"/>
      <c r="AY1229" s="160"/>
      <c r="AZ1229" s="160"/>
      <c r="BA1229" s="160"/>
      <c r="BB1229" s="160"/>
      <c r="BC1229" s="160"/>
      <c r="BD1229" s="160"/>
      <c r="BE1229" s="160"/>
      <c r="BF1229" s="160"/>
      <c r="BG1229" s="160"/>
      <c r="BH1229" s="160"/>
      <c r="BI1229" s="160"/>
      <c r="BJ1229" s="160"/>
      <c r="BK1229" s="160"/>
      <c r="BL1229" s="160"/>
      <c r="BM1229" s="160"/>
      <c r="BN1229" s="160"/>
      <c r="BO1229" s="160"/>
      <c r="BP1229" s="160"/>
      <c r="BQ1229" s="160"/>
      <c r="BR1229" s="160"/>
      <c r="BS1229" s="160"/>
      <c r="BT1229" s="160"/>
      <c r="BU1229" s="160"/>
      <c r="BV1229" s="160"/>
      <c r="BW1229" s="160"/>
      <c r="BX1229" s="160"/>
      <c r="BY1229" s="160"/>
      <c r="BZ1229" s="160"/>
      <c r="CA1229" s="160"/>
      <c r="CB1229" s="160"/>
      <c r="CC1229" s="160"/>
      <c r="CD1229" s="160"/>
      <c r="CE1229" s="160"/>
      <c r="CF1229" s="160"/>
      <c r="CG1229" s="160"/>
      <c r="CH1229" s="160"/>
      <c r="CI1229" s="160"/>
      <c r="CJ1229" s="160"/>
      <c r="CK1229" s="160"/>
      <c r="CL1229" s="160"/>
      <c r="CM1229" s="160"/>
      <c r="CN1229" s="160"/>
      <c r="CO1229" s="160"/>
      <c r="CP1229" s="162">
        <v>107</v>
      </c>
      <c r="CQ1229" s="163">
        <f>107*37999.86</f>
        <v>4065985.02</v>
      </c>
      <c r="CR1229" s="162">
        <v>105</v>
      </c>
      <c r="CS1229" s="163">
        <f>105*35999.44</f>
        <v>3779941.2</v>
      </c>
      <c r="CT1229" s="162"/>
      <c r="CU1229" s="163"/>
      <c r="CV1229" s="164">
        <f t="shared" si="166"/>
        <v>7845926.2200000007</v>
      </c>
      <c r="CW1229" s="165"/>
      <c r="CX1229" s="166"/>
      <c r="CY1229" s="167">
        <v>107</v>
      </c>
      <c r="CZ1229" s="168">
        <f>107*84998.46</f>
        <v>9094835.2200000007</v>
      </c>
      <c r="DA1229" s="169">
        <v>250</v>
      </c>
      <c r="DB1229" s="168">
        <f>250*19999.56</f>
        <v>4999890</v>
      </c>
      <c r="DC1229" s="165">
        <v>500</v>
      </c>
      <c r="DD1229" s="166">
        <f>500*18999.98+2000*249.99</f>
        <v>9999970</v>
      </c>
      <c r="DE1229" s="71"/>
      <c r="DF1229" s="170"/>
      <c r="EO1229" s="353" t="str">
        <f t="shared" si="161"/>
        <v>CAUCA_PADILLA</v>
      </c>
      <c r="EP1229" s="350"/>
      <c r="EQ1229" s="350"/>
      <c r="ER1229" s="357"/>
      <c r="ES1229" s="350"/>
      <c r="ET1229" s="350"/>
      <c r="EU1229" s="350"/>
    </row>
    <row r="1230" spans="1:151" s="171" customFormat="1" ht="45" x14ac:dyDescent="0.2">
      <c r="A1230" s="242">
        <v>40452</v>
      </c>
      <c r="B1230" s="222" t="s">
        <v>2242</v>
      </c>
      <c r="C1230" s="222" t="s">
        <v>1790</v>
      </c>
      <c r="D1230" s="430" t="s">
        <v>837</v>
      </c>
      <c r="E1230" s="107" t="str">
        <f>VLOOKUP(B1230&amp;C1230,Divipola!$C$2:$F$1138,4,FALSE)</f>
        <v>20228</v>
      </c>
      <c r="F1230" s="333"/>
      <c r="G1230" s="221"/>
      <c r="H1230" s="157"/>
      <c r="I1230" s="157"/>
      <c r="J1230" s="157">
        <v>420</v>
      </c>
      <c r="K1230" s="157">
        <v>84</v>
      </c>
      <c r="L1230" s="157"/>
      <c r="M1230" s="157">
        <v>84</v>
      </c>
      <c r="N1230" s="157"/>
      <c r="O1230" s="157"/>
      <c r="P1230" s="157"/>
      <c r="Q1230" s="157"/>
      <c r="R1230" s="157"/>
      <c r="S1230" s="157"/>
      <c r="T1230" s="157"/>
      <c r="U1230" s="157"/>
      <c r="V1230" s="158"/>
      <c r="W1230" s="182"/>
      <c r="X1230" s="1">
        <v>40514</v>
      </c>
      <c r="Y1230" s="78">
        <f t="shared" si="163"/>
        <v>9810000</v>
      </c>
      <c r="Z1230" s="78">
        <f t="shared" si="164"/>
        <v>7650000</v>
      </c>
      <c r="AA1230" s="78">
        <f t="shared" ref="AA1230:AA1261" si="168">DB1230+DD1230</f>
        <v>0</v>
      </c>
      <c r="AB1230" s="78">
        <f t="shared" si="165"/>
        <v>0</v>
      </c>
      <c r="AC1230" s="78"/>
      <c r="AD1230" s="78">
        <v>0</v>
      </c>
      <c r="AE1230" s="80">
        <f t="shared" si="167"/>
        <v>17460000</v>
      </c>
      <c r="AF1230" s="82">
        <v>0</v>
      </c>
      <c r="AG1230" s="69">
        <v>40455</v>
      </c>
      <c r="AH1230" s="84">
        <v>58953</v>
      </c>
      <c r="AI1230" s="69" t="s">
        <v>2009</v>
      </c>
      <c r="AJ1230" s="25" t="s">
        <v>2010</v>
      </c>
      <c r="AK1230" s="65">
        <v>25690</v>
      </c>
      <c r="AL1230" s="185" t="s">
        <v>2182</v>
      </c>
      <c r="AM1230" s="173" t="s">
        <v>1231</v>
      </c>
      <c r="AN1230" s="159"/>
      <c r="AO1230" s="160"/>
      <c r="AP1230" s="161"/>
      <c r="AQ1230" s="160"/>
      <c r="AR1230" s="160"/>
      <c r="AS1230" s="160"/>
      <c r="AT1230" s="160"/>
      <c r="AU1230" s="160"/>
      <c r="AV1230" s="160"/>
      <c r="AW1230" s="160"/>
      <c r="AX1230" s="160"/>
      <c r="AY1230" s="160"/>
      <c r="AZ1230" s="160"/>
      <c r="BA1230" s="160"/>
      <c r="BB1230" s="160"/>
      <c r="BC1230" s="160"/>
      <c r="BD1230" s="160"/>
      <c r="BE1230" s="160"/>
      <c r="BF1230" s="160"/>
      <c r="BG1230" s="160"/>
      <c r="BH1230" s="160"/>
      <c r="BI1230" s="160"/>
      <c r="BJ1230" s="160"/>
      <c r="BK1230" s="160"/>
      <c r="BL1230" s="160"/>
      <c r="BM1230" s="160"/>
      <c r="BN1230" s="160"/>
      <c r="BO1230" s="160"/>
      <c r="BP1230" s="160"/>
      <c r="BQ1230" s="160"/>
      <c r="BR1230" s="160"/>
      <c r="BS1230" s="160"/>
      <c r="BT1230" s="160"/>
      <c r="BU1230" s="160"/>
      <c r="BV1230" s="160"/>
      <c r="BW1230" s="160"/>
      <c r="BX1230" s="160"/>
      <c r="BY1230" s="160"/>
      <c r="BZ1230" s="160"/>
      <c r="CA1230" s="160"/>
      <c r="CB1230" s="160"/>
      <c r="CC1230" s="160"/>
      <c r="CD1230" s="160"/>
      <c r="CE1230" s="160"/>
      <c r="CF1230" s="160"/>
      <c r="CG1230" s="160"/>
      <c r="CH1230" s="160"/>
      <c r="CI1230" s="160"/>
      <c r="CJ1230" s="160"/>
      <c r="CK1230" s="160"/>
      <c r="CL1230" s="160"/>
      <c r="CM1230" s="160"/>
      <c r="CN1230" s="160">
        <v>180</v>
      </c>
      <c r="CO1230" s="160">
        <f>+CN1230*18000</f>
        <v>3240000</v>
      </c>
      <c r="CP1230" s="162">
        <v>90</v>
      </c>
      <c r="CQ1230" s="163">
        <f>90*37000</f>
        <v>3330000</v>
      </c>
      <c r="CR1230" s="162">
        <v>90</v>
      </c>
      <c r="CS1230" s="163">
        <f>90*36000</f>
        <v>3240000</v>
      </c>
      <c r="CT1230" s="162"/>
      <c r="CU1230" s="163"/>
      <c r="CV1230" s="164">
        <f t="shared" si="166"/>
        <v>9810000</v>
      </c>
      <c r="CW1230" s="165"/>
      <c r="CX1230" s="166"/>
      <c r="CY1230" s="167">
        <v>90</v>
      </c>
      <c r="CZ1230" s="168">
        <f>+CY1230*85000</f>
        <v>7650000</v>
      </c>
      <c r="DA1230" s="169"/>
      <c r="DB1230" s="168"/>
      <c r="DC1230" s="165"/>
      <c r="DD1230" s="166"/>
      <c r="DE1230" s="71"/>
      <c r="DF1230" s="170"/>
      <c r="EO1230" s="353" t="str">
        <f t="shared" si="161"/>
        <v>CESAR_CURUMANI</v>
      </c>
      <c r="EP1230" s="350"/>
      <c r="EQ1230" s="350"/>
      <c r="ER1230" s="357"/>
      <c r="ES1230" s="350"/>
      <c r="ET1230" s="350"/>
      <c r="EU1230" s="350"/>
    </row>
    <row r="1231" spans="1:151" s="171" customFormat="1" ht="38.25" x14ac:dyDescent="0.2">
      <c r="A1231" s="242">
        <v>40452</v>
      </c>
      <c r="B1231" s="222" t="s">
        <v>2242</v>
      </c>
      <c r="C1231" s="222" t="s">
        <v>2008</v>
      </c>
      <c r="D1231" s="430" t="s">
        <v>837</v>
      </c>
      <c r="E1231" s="107">
        <f>VLOOKUP(B1231&amp;C1231,Divipola!$C$2:$F$1138,4,FALSE)</f>
        <v>20</v>
      </c>
      <c r="F1231" s="333"/>
      <c r="G1231" s="221"/>
      <c r="H1231" s="157"/>
      <c r="I1231" s="157"/>
      <c r="J1231" s="157"/>
      <c r="K1231" s="157"/>
      <c r="L1231" s="157"/>
      <c r="M1231" s="157"/>
      <c r="N1231" s="157"/>
      <c r="O1231" s="157"/>
      <c r="P1231" s="157"/>
      <c r="Q1231" s="157"/>
      <c r="R1231" s="157"/>
      <c r="S1231" s="157"/>
      <c r="T1231" s="157"/>
      <c r="U1231" s="157"/>
      <c r="V1231" s="158"/>
      <c r="W1231" s="182"/>
      <c r="X1231" s="1">
        <v>40477</v>
      </c>
      <c r="Y1231" s="78">
        <f t="shared" si="163"/>
        <v>0</v>
      </c>
      <c r="Z1231" s="78">
        <f t="shared" si="164"/>
        <v>0</v>
      </c>
      <c r="AA1231" s="78">
        <f t="shared" si="168"/>
        <v>0</v>
      </c>
      <c r="AB1231" s="78">
        <f t="shared" si="165"/>
        <v>180032000</v>
      </c>
      <c r="AC1231" s="78"/>
      <c r="AD1231" s="78">
        <v>0</v>
      </c>
      <c r="AE1231" s="80">
        <f t="shared" si="167"/>
        <v>180032000</v>
      </c>
      <c r="AF1231" s="82">
        <v>0</v>
      </c>
      <c r="AG1231" s="69">
        <v>40452</v>
      </c>
      <c r="AH1231" s="84">
        <v>56724</v>
      </c>
      <c r="AI1231" s="69" t="s">
        <v>2009</v>
      </c>
      <c r="AJ1231" s="25" t="s">
        <v>2010</v>
      </c>
      <c r="AK1231" s="65">
        <v>22823</v>
      </c>
      <c r="AL1231" s="176" t="s">
        <v>1511</v>
      </c>
      <c r="AM1231" s="173" t="s">
        <v>2287</v>
      </c>
      <c r="AN1231" s="159"/>
      <c r="AO1231" s="160"/>
      <c r="AP1231" s="161"/>
      <c r="AQ1231" s="160"/>
      <c r="AR1231" s="160"/>
      <c r="AS1231" s="160"/>
      <c r="AT1231" s="160"/>
      <c r="AU1231" s="160"/>
      <c r="AV1231" s="160"/>
      <c r="AW1231" s="160"/>
      <c r="AX1231" s="160"/>
      <c r="AY1231" s="160"/>
      <c r="AZ1231" s="160"/>
      <c r="BA1231" s="160"/>
      <c r="BB1231" s="160"/>
      <c r="BC1231" s="160"/>
      <c r="BD1231" s="160"/>
      <c r="BE1231" s="160"/>
      <c r="BF1231" s="160"/>
      <c r="BG1231" s="160"/>
      <c r="BH1231" s="160"/>
      <c r="BI1231" s="160"/>
      <c r="BJ1231" s="160"/>
      <c r="BK1231" s="160"/>
      <c r="BL1231" s="160"/>
      <c r="BM1231" s="160"/>
      <c r="BN1231" s="160"/>
      <c r="BO1231" s="160"/>
      <c r="BP1231" s="160"/>
      <c r="BQ1231" s="160"/>
      <c r="BR1231" s="160"/>
      <c r="BS1231" s="160"/>
      <c r="BT1231" s="160"/>
      <c r="BU1231" s="160"/>
      <c r="BV1231" s="160"/>
      <c r="BW1231" s="160"/>
      <c r="BX1231" s="160"/>
      <c r="BY1231" s="160"/>
      <c r="BZ1231" s="160"/>
      <c r="CA1231" s="160"/>
      <c r="CB1231" s="160"/>
      <c r="CC1231" s="160"/>
      <c r="CD1231" s="160"/>
      <c r="CE1231" s="160"/>
      <c r="CF1231" s="160"/>
      <c r="CG1231" s="160"/>
      <c r="CH1231" s="160"/>
      <c r="CI1231" s="160"/>
      <c r="CJ1231" s="160"/>
      <c r="CK1231" s="160"/>
      <c r="CL1231" s="160"/>
      <c r="CM1231" s="160"/>
      <c r="CN1231" s="160"/>
      <c r="CO1231" s="160"/>
      <c r="CP1231" s="162"/>
      <c r="CQ1231" s="163"/>
      <c r="CR1231" s="162"/>
      <c r="CS1231" s="163"/>
      <c r="CT1231" s="162"/>
      <c r="CU1231" s="163"/>
      <c r="CV1231" s="164">
        <f t="shared" si="166"/>
        <v>0</v>
      </c>
      <c r="CW1231" s="165">
        <f>100000+100000</f>
        <v>200000</v>
      </c>
      <c r="CX1231" s="166">
        <f>100000*900.16+100000*900.16</f>
        <v>180032000</v>
      </c>
      <c r="CY1231" s="167"/>
      <c r="CZ1231" s="168">
        <f>+CY1231*85000</f>
        <v>0</v>
      </c>
      <c r="DA1231" s="169"/>
      <c r="DB1231" s="168"/>
      <c r="DC1231" s="165"/>
      <c r="DD1231" s="166"/>
      <c r="DE1231" s="71"/>
      <c r="DF1231" s="170"/>
      <c r="EO1231" s="353" t="str">
        <f t="shared" si="161"/>
        <v>CESAR_DEPARTAMENTO</v>
      </c>
      <c r="EP1231" s="350"/>
      <c r="EQ1231" s="350"/>
      <c r="ER1231" s="357"/>
      <c r="ES1231" s="350"/>
      <c r="ET1231" s="350"/>
      <c r="EU1231" s="350"/>
    </row>
    <row r="1232" spans="1:151" s="171" customFormat="1" ht="36" x14ac:dyDescent="0.2">
      <c r="A1232" s="242">
        <v>40452</v>
      </c>
      <c r="B1232" s="222" t="s">
        <v>2242</v>
      </c>
      <c r="C1232" s="222" t="s">
        <v>176</v>
      </c>
      <c r="D1232" s="427" t="s">
        <v>2307</v>
      </c>
      <c r="E1232" s="107" t="str">
        <f>VLOOKUP(B1232&amp;C1232,Divipola!$C$2:$F$1138,4,FALSE)</f>
        <v>20310</v>
      </c>
      <c r="F1232" s="330"/>
      <c r="G1232" s="221"/>
      <c r="H1232" s="157"/>
      <c r="I1232" s="157"/>
      <c r="J1232" s="157"/>
      <c r="K1232" s="157"/>
      <c r="L1232" s="157"/>
      <c r="M1232" s="157"/>
      <c r="N1232" s="157">
        <v>1</v>
      </c>
      <c r="O1232" s="157"/>
      <c r="P1232" s="157"/>
      <c r="Q1232" s="157"/>
      <c r="R1232" s="157"/>
      <c r="S1232" s="157"/>
      <c r="T1232" s="157"/>
      <c r="U1232" s="157"/>
      <c r="V1232" s="158"/>
      <c r="W1232" s="182"/>
      <c r="X1232" s="1"/>
      <c r="Y1232" s="78">
        <f t="shared" si="163"/>
        <v>0</v>
      </c>
      <c r="Z1232" s="78">
        <f t="shared" si="164"/>
        <v>0</v>
      </c>
      <c r="AA1232" s="78">
        <f t="shared" si="168"/>
        <v>0</v>
      </c>
      <c r="AB1232" s="78">
        <f t="shared" si="165"/>
        <v>0</v>
      </c>
      <c r="AC1232" s="78"/>
      <c r="AD1232" s="78">
        <v>0</v>
      </c>
      <c r="AE1232" s="80">
        <f t="shared" si="167"/>
        <v>0</v>
      </c>
      <c r="AF1232" s="82">
        <v>0</v>
      </c>
      <c r="AG1232" s="69">
        <v>40455</v>
      </c>
      <c r="AH1232" s="84"/>
      <c r="AI1232" s="69" t="s">
        <v>1984</v>
      </c>
      <c r="AJ1232" s="25" t="s">
        <v>1985</v>
      </c>
      <c r="AK1232" s="65"/>
      <c r="AL1232" s="176" t="s">
        <v>1257</v>
      </c>
      <c r="AM1232" s="173" t="s">
        <v>2591</v>
      </c>
      <c r="AN1232" s="159"/>
      <c r="AO1232" s="160"/>
      <c r="AP1232" s="161"/>
      <c r="AQ1232" s="160"/>
      <c r="AR1232" s="160"/>
      <c r="AS1232" s="160"/>
      <c r="AT1232" s="160"/>
      <c r="AU1232" s="160"/>
      <c r="AV1232" s="160"/>
      <c r="AW1232" s="160"/>
      <c r="AX1232" s="160"/>
      <c r="AY1232" s="160"/>
      <c r="AZ1232" s="160"/>
      <c r="BA1232" s="160"/>
      <c r="BB1232" s="160"/>
      <c r="BC1232" s="160"/>
      <c r="BD1232" s="160"/>
      <c r="BE1232" s="160"/>
      <c r="BF1232" s="160"/>
      <c r="BG1232" s="160"/>
      <c r="BH1232" s="160"/>
      <c r="BI1232" s="160"/>
      <c r="BJ1232" s="160"/>
      <c r="BK1232" s="160"/>
      <c r="BL1232" s="160"/>
      <c r="BM1232" s="160"/>
      <c r="BN1232" s="160"/>
      <c r="BO1232" s="160"/>
      <c r="BP1232" s="160"/>
      <c r="BQ1232" s="160"/>
      <c r="BR1232" s="160"/>
      <c r="BS1232" s="160"/>
      <c r="BT1232" s="160"/>
      <c r="BU1232" s="160"/>
      <c r="BV1232" s="160"/>
      <c r="BW1232" s="160"/>
      <c r="BX1232" s="160"/>
      <c r="BY1232" s="160"/>
      <c r="BZ1232" s="160"/>
      <c r="CA1232" s="160"/>
      <c r="CB1232" s="160"/>
      <c r="CC1232" s="160"/>
      <c r="CD1232" s="160"/>
      <c r="CE1232" s="160"/>
      <c r="CF1232" s="160"/>
      <c r="CG1232" s="160"/>
      <c r="CH1232" s="160"/>
      <c r="CI1232" s="160"/>
      <c r="CJ1232" s="160"/>
      <c r="CK1232" s="160"/>
      <c r="CL1232" s="160"/>
      <c r="CM1232" s="160"/>
      <c r="CN1232" s="160"/>
      <c r="CO1232" s="160"/>
      <c r="CP1232" s="162"/>
      <c r="CQ1232" s="163"/>
      <c r="CR1232" s="162"/>
      <c r="CS1232" s="163"/>
      <c r="CT1232" s="162"/>
      <c r="CU1232" s="163"/>
      <c r="CV1232" s="164">
        <f t="shared" si="166"/>
        <v>0</v>
      </c>
      <c r="CW1232" s="165"/>
      <c r="CX1232" s="166"/>
      <c r="CY1232" s="167"/>
      <c r="CZ1232" s="168"/>
      <c r="DA1232" s="169"/>
      <c r="DB1232" s="168"/>
      <c r="DC1232" s="165"/>
      <c r="DD1232" s="166"/>
      <c r="DE1232" s="71"/>
      <c r="DF1232" s="170"/>
      <c r="EO1232" s="353" t="str">
        <f t="shared" si="161"/>
        <v>CESAR_GONZALEZ</v>
      </c>
      <c r="EP1232" s="350"/>
      <c r="EQ1232" s="350"/>
      <c r="ER1232" s="357"/>
      <c r="ES1232" s="350"/>
      <c r="ET1232" s="350"/>
      <c r="EU1232" s="350"/>
    </row>
    <row r="1233" spans="1:151" s="171" customFormat="1" ht="38.25" x14ac:dyDescent="0.2">
      <c r="A1233" s="242">
        <v>40452</v>
      </c>
      <c r="B1233" s="222" t="s">
        <v>2242</v>
      </c>
      <c r="C1233" s="222" t="s">
        <v>1212</v>
      </c>
      <c r="D1233" s="430" t="s">
        <v>837</v>
      </c>
      <c r="E1233" s="107" t="str">
        <f>VLOOKUP(B1233&amp;C1233,Divipola!$C$2:$F$1138,4,FALSE)</f>
        <v>20787</v>
      </c>
      <c r="F1233" s="333"/>
      <c r="G1233" s="221"/>
      <c r="H1233" s="157"/>
      <c r="I1233" s="157"/>
      <c r="J1233" s="157"/>
      <c r="K1233" s="157"/>
      <c r="L1233" s="157"/>
      <c r="M1233" s="157"/>
      <c r="N1233" s="157"/>
      <c r="O1233" s="157"/>
      <c r="P1233" s="157"/>
      <c r="Q1233" s="157"/>
      <c r="R1233" s="157"/>
      <c r="S1233" s="157"/>
      <c r="T1233" s="157"/>
      <c r="U1233" s="157"/>
      <c r="V1233" s="158"/>
      <c r="W1233" s="182"/>
      <c r="X1233" s="1"/>
      <c r="Y1233" s="78">
        <f t="shared" si="163"/>
        <v>0</v>
      </c>
      <c r="Z1233" s="78">
        <f t="shared" si="164"/>
        <v>0</v>
      </c>
      <c r="AA1233" s="78">
        <f t="shared" si="168"/>
        <v>0</v>
      </c>
      <c r="AB1233" s="78">
        <f t="shared" si="165"/>
        <v>0</v>
      </c>
      <c r="AC1233" s="78"/>
      <c r="AD1233" s="78">
        <v>0</v>
      </c>
      <c r="AE1233" s="80">
        <f t="shared" si="167"/>
        <v>0</v>
      </c>
      <c r="AF1233" s="82">
        <v>0</v>
      </c>
      <c r="AG1233" s="69">
        <v>40455</v>
      </c>
      <c r="AH1233" s="84"/>
      <c r="AI1233" s="69" t="s">
        <v>1984</v>
      </c>
      <c r="AJ1233" s="25" t="s">
        <v>1985</v>
      </c>
      <c r="AK1233" s="65"/>
      <c r="AL1233" s="176" t="s">
        <v>1257</v>
      </c>
      <c r="AM1233" s="173" t="s">
        <v>2590</v>
      </c>
      <c r="AN1233" s="159"/>
      <c r="AO1233" s="160"/>
      <c r="AP1233" s="161"/>
      <c r="AQ1233" s="160"/>
      <c r="AR1233" s="160"/>
      <c r="AS1233" s="160"/>
      <c r="AT1233" s="160"/>
      <c r="AU1233" s="160"/>
      <c r="AV1233" s="160"/>
      <c r="AW1233" s="160"/>
      <c r="AX1233" s="160"/>
      <c r="AY1233" s="160"/>
      <c r="AZ1233" s="160"/>
      <c r="BA1233" s="160"/>
      <c r="BB1233" s="160"/>
      <c r="BC1233" s="160"/>
      <c r="BD1233" s="160"/>
      <c r="BE1233" s="160"/>
      <c r="BF1233" s="160"/>
      <c r="BG1233" s="160"/>
      <c r="BH1233" s="160"/>
      <c r="BI1233" s="160"/>
      <c r="BJ1233" s="160"/>
      <c r="BK1233" s="160"/>
      <c r="BL1233" s="160"/>
      <c r="BM1233" s="160"/>
      <c r="BN1233" s="160"/>
      <c r="BO1233" s="160"/>
      <c r="BP1233" s="160"/>
      <c r="BQ1233" s="160"/>
      <c r="BR1233" s="160"/>
      <c r="BS1233" s="160"/>
      <c r="BT1233" s="160"/>
      <c r="BU1233" s="160"/>
      <c r="BV1233" s="160"/>
      <c r="BW1233" s="160"/>
      <c r="BX1233" s="160"/>
      <c r="BY1233" s="160"/>
      <c r="BZ1233" s="160"/>
      <c r="CA1233" s="160"/>
      <c r="CB1233" s="160"/>
      <c r="CC1233" s="160"/>
      <c r="CD1233" s="160"/>
      <c r="CE1233" s="160"/>
      <c r="CF1233" s="160"/>
      <c r="CG1233" s="160"/>
      <c r="CH1233" s="160"/>
      <c r="CI1233" s="160"/>
      <c r="CJ1233" s="160"/>
      <c r="CK1233" s="160"/>
      <c r="CL1233" s="160"/>
      <c r="CM1233" s="160"/>
      <c r="CN1233" s="160"/>
      <c r="CO1233" s="160"/>
      <c r="CP1233" s="162"/>
      <c r="CQ1233" s="163"/>
      <c r="CR1233" s="162"/>
      <c r="CS1233" s="163"/>
      <c r="CT1233" s="162"/>
      <c r="CU1233" s="163"/>
      <c r="CV1233" s="164">
        <f t="shared" si="166"/>
        <v>0</v>
      </c>
      <c r="CW1233" s="165"/>
      <c r="CX1233" s="166"/>
      <c r="CY1233" s="167"/>
      <c r="CZ1233" s="168"/>
      <c r="DA1233" s="169"/>
      <c r="DB1233" s="168"/>
      <c r="DC1233" s="165"/>
      <c r="DD1233" s="166"/>
      <c r="DE1233" s="71"/>
      <c r="DF1233" s="170"/>
      <c r="EO1233" s="353" t="str">
        <f t="shared" si="161"/>
        <v>CESAR_TAMALAMEQUE</v>
      </c>
      <c r="EP1233" s="350"/>
      <c r="EQ1233" s="350"/>
      <c r="ER1233" s="357"/>
      <c r="ES1233" s="350"/>
      <c r="ET1233" s="350"/>
      <c r="EU1233" s="350"/>
    </row>
    <row r="1234" spans="1:151" s="171" customFormat="1" ht="38.25" x14ac:dyDescent="0.2">
      <c r="A1234" s="242">
        <v>40452</v>
      </c>
      <c r="B1234" s="222" t="s">
        <v>2007</v>
      </c>
      <c r="C1234" s="222" t="s">
        <v>220</v>
      </c>
      <c r="D1234" s="430" t="s">
        <v>248</v>
      </c>
      <c r="E1234" s="107" t="str">
        <f>VLOOKUP(B1234&amp;C1234,Divipola!$C$2:$F$1138,4,FALSE)</f>
        <v>25377</v>
      </c>
      <c r="F1234" s="333"/>
      <c r="G1234" s="221"/>
      <c r="H1234" s="157"/>
      <c r="I1234" s="157"/>
      <c r="J1234" s="157">
        <v>70</v>
      </c>
      <c r="K1234" s="157">
        <f>27-13</f>
        <v>14</v>
      </c>
      <c r="L1234" s="157"/>
      <c r="M1234" s="157">
        <v>14</v>
      </c>
      <c r="N1234" s="157"/>
      <c r="O1234" s="157"/>
      <c r="P1234" s="157"/>
      <c r="Q1234" s="157"/>
      <c r="R1234" s="157"/>
      <c r="S1234" s="157"/>
      <c r="T1234" s="157"/>
      <c r="U1234" s="157"/>
      <c r="V1234" s="158"/>
      <c r="W1234" s="182"/>
      <c r="X1234" s="1"/>
      <c r="Y1234" s="78">
        <f t="shared" si="163"/>
        <v>0</v>
      </c>
      <c r="Z1234" s="78">
        <f t="shared" si="164"/>
        <v>0</v>
      </c>
      <c r="AA1234" s="78">
        <f t="shared" si="168"/>
        <v>0</v>
      </c>
      <c r="AB1234" s="78">
        <f t="shared" si="165"/>
        <v>0</v>
      </c>
      <c r="AC1234" s="78"/>
      <c r="AD1234" s="78">
        <v>0</v>
      </c>
      <c r="AE1234" s="80">
        <f t="shared" si="167"/>
        <v>0</v>
      </c>
      <c r="AF1234" s="82">
        <v>0</v>
      </c>
      <c r="AG1234" s="69">
        <v>40455</v>
      </c>
      <c r="AH1234" s="84"/>
      <c r="AI1234" s="69" t="s">
        <v>1984</v>
      </c>
      <c r="AJ1234" s="25" t="s">
        <v>1985</v>
      </c>
      <c r="AK1234" s="65"/>
      <c r="AL1234" s="176" t="s">
        <v>1257</v>
      </c>
      <c r="AM1234" s="173" t="s">
        <v>2599</v>
      </c>
      <c r="AN1234" s="159"/>
      <c r="AO1234" s="160"/>
      <c r="AP1234" s="161"/>
      <c r="AQ1234" s="160"/>
      <c r="AR1234" s="160"/>
      <c r="AS1234" s="160"/>
      <c r="AT1234" s="160"/>
      <c r="AU1234" s="160"/>
      <c r="AV1234" s="160"/>
      <c r="AW1234" s="160"/>
      <c r="AX1234" s="160"/>
      <c r="AY1234" s="160"/>
      <c r="AZ1234" s="160"/>
      <c r="BA1234" s="160"/>
      <c r="BB1234" s="160"/>
      <c r="BC1234" s="160"/>
      <c r="BD1234" s="160"/>
      <c r="BE1234" s="160"/>
      <c r="BF1234" s="160"/>
      <c r="BG1234" s="160"/>
      <c r="BH1234" s="160"/>
      <c r="BI1234" s="160"/>
      <c r="BJ1234" s="160"/>
      <c r="BK1234" s="160"/>
      <c r="BL1234" s="160"/>
      <c r="BM1234" s="160"/>
      <c r="BN1234" s="160"/>
      <c r="BO1234" s="160"/>
      <c r="BP1234" s="160"/>
      <c r="BQ1234" s="160"/>
      <c r="BR1234" s="160"/>
      <c r="BS1234" s="160"/>
      <c r="BT1234" s="160"/>
      <c r="BU1234" s="160"/>
      <c r="BV1234" s="160"/>
      <c r="BW1234" s="160"/>
      <c r="BX1234" s="160"/>
      <c r="BY1234" s="160"/>
      <c r="BZ1234" s="160"/>
      <c r="CA1234" s="160"/>
      <c r="CB1234" s="160"/>
      <c r="CC1234" s="160"/>
      <c r="CD1234" s="160"/>
      <c r="CE1234" s="160"/>
      <c r="CF1234" s="160"/>
      <c r="CG1234" s="160"/>
      <c r="CH1234" s="160"/>
      <c r="CI1234" s="160"/>
      <c r="CJ1234" s="160"/>
      <c r="CK1234" s="160"/>
      <c r="CL1234" s="160"/>
      <c r="CM1234" s="160"/>
      <c r="CN1234" s="160"/>
      <c r="CO1234" s="160"/>
      <c r="CP1234" s="162"/>
      <c r="CQ1234" s="163"/>
      <c r="CR1234" s="162"/>
      <c r="CS1234" s="163"/>
      <c r="CT1234" s="162"/>
      <c r="CU1234" s="163"/>
      <c r="CV1234" s="164">
        <f t="shared" si="166"/>
        <v>0</v>
      </c>
      <c r="CW1234" s="165"/>
      <c r="CX1234" s="166"/>
      <c r="CY1234" s="167"/>
      <c r="CZ1234" s="168"/>
      <c r="DA1234" s="169"/>
      <c r="DB1234" s="168"/>
      <c r="DC1234" s="165"/>
      <c r="DD1234" s="166"/>
      <c r="DE1234" s="71"/>
      <c r="DF1234" s="170"/>
      <c r="EO1234" s="353" t="str">
        <f t="shared" si="161"/>
        <v>CUNDINAMARCA_LA CALERA</v>
      </c>
      <c r="EP1234" s="350"/>
      <c r="EQ1234" s="350"/>
      <c r="ER1234" s="357"/>
      <c r="ES1234" s="350"/>
      <c r="ET1234" s="350"/>
      <c r="EU1234" s="350"/>
    </row>
    <row r="1235" spans="1:151" s="171" customFormat="1" ht="38.25" x14ac:dyDescent="0.2">
      <c r="A1235" s="242">
        <v>40452</v>
      </c>
      <c r="B1235" s="222" t="s">
        <v>2007</v>
      </c>
      <c r="C1235" s="222" t="s">
        <v>2608</v>
      </c>
      <c r="D1235" s="430" t="s">
        <v>837</v>
      </c>
      <c r="E1235" s="107" t="str">
        <f>VLOOKUP(B1235&amp;C1235,Divipola!$C$2:$F$1138,4,FALSE)</f>
        <v>25817</v>
      </c>
      <c r="F1235" s="333"/>
      <c r="G1235" s="221"/>
      <c r="H1235" s="157"/>
      <c r="I1235" s="157"/>
      <c r="J1235" s="157">
        <v>5</v>
      </c>
      <c r="K1235" s="157">
        <v>1</v>
      </c>
      <c r="L1235" s="157"/>
      <c r="M1235" s="157">
        <v>1</v>
      </c>
      <c r="N1235" s="157"/>
      <c r="O1235" s="157"/>
      <c r="P1235" s="157"/>
      <c r="Q1235" s="157"/>
      <c r="R1235" s="157"/>
      <c r="S1235" s="157"/>
      <c r="T1235" s="157"/>
      <c r="U1235" s="157"/>
      <c r="V1235" s="158"/>
      <c r="W1235" s="182"/>
      <c r="X1235" s="1"/>
      <c r="Y1235" s="78">
        <f t="shared" si="163"/>
        <v>0</v>
      </c>
      <c r="Z1235" s="78">
        <f t="shared" si="164"/>
        <v>0</v>
      </c>
      <c r="AA1235" s="78">
        <f t="shared" si="168"/>
        <v>0</v>
      </c>
      <c r="AB1235" s="78">
        <f t="shared" si="165"/>
        <v>0</v>
      </c>
      <c r="AC1235" s="78"/>
      <c r="AD1235" s="78">
        <v>0</v>
      </c>
      <c r="AE1235" s="80">
        <f t="shared" si="167"/>
        <v>0</v>
      </c>
      <c r="AF1235" s="82">
        <v>0</v>
      </c>
      <c r="AG1235" s="69">
        <v>40455</v>
      </c>
      <c r="AH1235" s="84"/>
      <c r="AI1235" s="69" t="s">
        <v>1984</v>
      </c>
      <c r="AJ1235" s="25" t="s">
        <v>1985</v>
      </c>
      <c r="AK1235" s="65"/>
      <c r="AL1235" s="176" t="s">
        <v>1257</v>
      </c>
      <c r="AM1235" s="173" t="s">
        <v>2609</v>
      </c>
      <c r="AN1235" s="159"/>
      <c r="AO1235" s="160"/>
      <c r="AP1235" s="161"/>
      <c r="AQ1235" s="160"/>
      <c r="AR1235" s="160"/>
      <c r="AS1235" s="160"/>
      <c r="AT1235" s="160"/>
      <c r="AU1235" s="160"/>
      <c r="AV1235" s="160"/>
      <c r="AW1235" s="160"/>
      <c r="AX1235" s="160"/>
      <c r="AY1235" s="160"/>
      <c r="AZ1235" s="160"/>
      <c r="BA1235" s="160"/>
      <c r="BB1235" s="160"/>
      <c r="BC1235" s="160"/>
      <c r="BD1235" s="160"/>
      <c r="BE1235" s="160"/>
      <c r="BF1235" s="160"/>
      <c r="BG1235" s="160"/>
      <c r="BH1235" s="160"/>
      <c r="BI1235" s="160"/>
      <c r="BJ1235" s="160"/>
      <c r="BK1235" s="160"/>
      <c r="BL1235" s="160"/>
      <c r="BM1235" s="160"/>
      <c r="BN1235" s="160"/>
      <c r="BO1235" s="160"/>
      <c r="BP1235" s="160"/>
      <c r="BQ1235" s="160"/>
      <c r="BR1235" s="160"/>
      <c r="BS1235" s="160"/>
      <c r="BT1235" s="160"/>
      <c r="BU1235" s="160"/>
      <c r="BV1235" s="160"/>
      <c r="BW1235" s="160"/>
      <c r="BX1235" s="160"/>
      <c r="BY1235" s="160"/>
      <c r="BZ1235" s="160"/>
      <c r="CA1235" s="160"/>
      <c r="CB1235" s="160"/>
      <c r="CC1235" s="160"/>
      <c r="CD1235" s="160"/>
      <c r="CE1235" s="160"/>
      <c r="CF1235" s="160"/>
      <c r="CG1235" s="160"/>
      <c r="CH1235" s="160"/>
      <c r="CI1235" s="160"/>
      <c r="CJ1235" s="160"/>
      <c r="CK1235" s="160"/>
      <c r="CL1235" s="160"/>
      <c r="CM1235" s="160"/>
      <c r="CN1235" s="160"/>
      <c r="CO1235" s="160"/>
      <c r="CP1235" s="162"/>
      <c r="CQ1235" s="163"/>
      <c r="CR1235" s="162"/>
      <c r="CS1235" s="163"/>
      <c r="CT1235" s="162"/>
      <c r="CU1235" s="163"/>
      <c r="CV1235" s="164">
        <f t="shared" si="166"/>
        <v>0</v>
      </c>
      <c r="CW1235" s="165"/>
      <c r="CX1235" s="166"/>
      <c r="CY1235" s="167"/>
      <c r="CZ1235" s="168"/>
      <c r="DA1235" s="169"/>
      <c r="DB1235" s="168"/>
      <c r="DC1235" s="165"/>
      <c r="DD1235" s="166"/>
      <c r="DE1235" s="71"/>
      <c r="DF1235" s="170"/>
      <c r="EO1235" s="353" t="str">
        <f t="shared" si="161"/>
        <v>CUNDINAMARCA_TOCANCIPA</v>
      </c>
      <c r="EP1235" s="350"/>
      <c r="EQ1235" s="350"/>
      <c r="ER1235" s="357"/>
      <c r="ES1235" s="350"/>
      <c r="ET1235" s="350"/>
      <c r="EU1235" s="350"/>
    </row>
    <row r="1236" spans="1:151" s="171" customFormat="1" ht="25.5" x14ac:dyDescent="0.2">
      <c r="A1236" s="242">
        <v>40452</v>
      </c>
      <c r="B1236" s="222" t="s">
        <v>2013</v>
      </c>
      <c r="C1236" s="222" t="s">
        <v>2013</v>
      </c>
      <c r="D1236" s="430" t="s">
        <v>837</v>
      </c>
      <c r="E1236" s="107" t="str">
        <f>VLOOKUP(B1236&amp;C1236,Divipola!$C$2:$F$1138,4,FALSE)</f>
        <v>00000</v>
      </c>
      <c r="F1236" s="333"/>
      <c r="G1236" s="221"/>
      <c r="H1236" s="157"/>
      <c r="I1236" s="157"/>
      <c r="J1236" s="157"/>
      <c r="K1236" s="157"/>
      <c r="L1236" s="157"/>
      <c r="M1236" s="157"/>
      <c r="N1236" s="157"/>
      <c r="O1236" s="157"/>
      <c r="P1236" s="157"/>
      <c r="Q1236" s="157"/>
      <c r="R1236" s="157"/>
      <c r="S1236" s="157"/>
      <c r="T1236" s="157"/>
      <c r="U1236" s="157"/>
      <c r="V1236" s="158"/>
      <c r="W1236" s="182"/>
      <c r="X1236" s="1"/>
      <c r="Y1236" s="78">
        <f t="shared" si="163"/>
        <v>0</v>
      </c>
      <c r="Z1236" s="78">
        <f t="shared" si="164"/>
        <v>0</v>
      </c>
      <c r="AA1236" s="78">
        <f t="shared" si="168"/>
        <v>0</v>
      </c>
      <c r="AB1236" s="78">
        <f t="shared" si="165"/>
        <v>0</v>
      </c>
      <c r="AC1236" s="78">
        <f>500*24800</f>
        <v>12400000</v>
      </c>
      <c r="AD1236" s="78">
        <v>0</v>
      </c>
      <c r="AE1236" s="80">
        <f t="shared" si="167"/>
        <v>12400000</v>
      </c>
      <c r="AF1236" s="82">
        <v>0</v>
      </c>
      <c r="AG1236" s="69">
        <v>40454</v>
      </c>
      <c r="AH1236" s="84">
        <v>51970</v>
      </c>
      <c r="AI1236" s="69" t="s">
        <v>2009</v>
      </c>
      <c r="AJ1236" s="25" t="s">
        <v>2010</v>
      </c>
      <c r="AK1236" s="65">
        <v>23530</v>
      </c>
      <c r="AL1236" s="176" t="s">
        <v>1431</v>
      </c>
      <c r="AM1236" s="177" t="s">
        <v>2162</v>
      </c>
      <c r="AN1236" s="159"/>
      <c r="AO1236" s="160"/>
      <c r="AP1236" s="161"/>
      <c r="AQ1236" s="160"/>
      <c r="AR1236" s="160"/>
      <c r="AS1236" s="160"/>
      <c r="AT1236" s="160"/>
      <c r="AU1236" s="160"/>
      <c r="AV1236" s="160"/>
      <c r="AW1236" s="160"/>
      <c r="AX1236" s="160"/>
      <c r="AY1236" s="160"/>
      <c r="AZ1236" s="160"/>
      <c r="BA1236" s="160"/>
      <c r="BB1236" s="160"/>
      <c r="BC1236" s="160"/>
      <c r="BD1236" s="160"/>
      <c r="BE1236" s="160"/>
      <c r="BF1236" s="160"/>
      <c r="BG1236" s="160"/>
      <c r="BH1236" s="160"/>
      <c r="BI1236" s="160"/>
      <c r="BJ1236" s="160"/>
      <c r="BK1236" s="160"/>
      <c r="BL1236" s="160"/>
      <c r="BM1236" s="160"/>
      <c r="BN1236" s="160"/>
      <c r="BO1236" s="160"/>
      <c r="BP1236" s="160"/>
      <c r="BQ1236" s="160"/>
      <c r="BR1236" s="160"/>
      <c r="BS1236" s="160"/>
      <c r="BT1236" s="160"/>
      <c r="BU1236" s="160"/>
      <c r="BV1236" s="160"/>
      <c r="BW1236" s="160"/>
      <c r="BX1236" s="160"/>
      <c r="BY1236" s="160"/>
      <c r="BZ1236" s="160"/>
      <c r="CA1236" s="160"/>
      <c r="CB1236" s="160"/>
      <c r="CC1236" s="160"/>
      <c r="CD1236" s="160"/>
      <c r="CE1236" s="160"/>
      <c r="CF1236" s="160"/>
      <c r="CG1236" s="160"/>
      <c r="CH1236" s="160"/>
      <c r="CI1236" s="160"/>
      <c r="CJ1236" s="160"/>
      <c r="CK1236" s="160"/>
      <c r="CL1236" s="160"/>
      <c r="CM1236" s="160"/>
      <c r="CN1236" s="160"/>
      <c r="CO1236" s="160"/>
      <c r="CP1236" s="162"/>
      <c r="CQ1236" s="163"/>
      <c r="CR1236" s="162"/>
      <c r="CS1236" s="163"/>
      <c r="CT1236" s="162"/>
      <c r="CU1236" s="163"/>
      <c r="CV1236" s="164">
        <f t="shared" si="166"/>
        <v>0</v>
      </c>
      <c r="CW1236" s="165"/>
      <c r="CX1236" s="166"/>
      <c r="CY1236" s="167"/>
      <c r="CZ1236" s="168"/>
      <c r="DA1236" s="169"/>
      <c r="DB1236" s="168"/>
      <c r="DC1236" s="165"/>
      <c r="DD1236" s="166"/>
      <c r="DE1236" s="71"/>
      <c r="DF1236" s="170"/>
      <c r="EO1236" s="353" t="str">
        <f t="shared" si="161"/>
        <v>NACION_NACION</v>
      </c>
      <c r="EP1236" s="350"/>
      <c r="EQ1236" s="350"/>
      <c r="ER1236" s="357"/>
      <c r="ES1236" s="350"/>
      <c r="ET1236" s="350"/>
      <c r="EU1236" s="350"/>
    </row>
    <row r="1237" spans="1:151" s="171" customFormat="1" ht="38.25" x14ac:dyDescent="0.2">
      <c r="A1237" s="242">
        <v>40452</v>
      </c>
      <c r="B1237" s="222" t="s">
        <v>1336</v>
      </c>
      <c r="C1237" s="222" t="s">
        <v>1732</v>
      </c>
      <c r="D1237" s="430" t="s">
        <v>1721</v>
      </c>
      <c r="E1237" s="107" t="str">
        <f>VLOOKUP(B1237&amp;C1237,Divipola!$C$2:$F$1138,4,FALSE)</f>
        <v>54001</v>
      </c>
      <c r="F1237" s="333"/>
      <c r="G1237" s="221"/>
      <c r="H1237" s="157"/>
      <c r="I1237" s="157"/>
      <c r="J1237" s="157">
        <v>10</v>
      </c>
      <c r="K1237" s="157">
        <v>2</v>
      </c>
      <c r="L1237" s="157"/>
      <c r="M1237" s="157">
        <v>2</v>
      </c>
      <c r="N1237" s="157"/>
      <c r="O1237" s="157"/>
      <c r="P1237" s="157"/>
      <c r="Q1237" s="157"/>
      <c r="R1237" s="157"/>
      <c r="S1237" s="157"/>
      <c r="T1237" s="157"/>
      <c r="U1237" s="157"/>
      <c r="V1237" s="158"/>
      <c r="W1237" s="182"/>
      <c r="X1237" s="1"/>
      <c r="Y1237" s="78">
        <f t="shared" si="163"/>
        <v>0</v>
      </c>
      <c r="Z1237" s="78">
        <f t="shared" si="164"/>
        <v>0</v>
      </c>
      <c r="AA1237" s="78">
        <f t="shared" si="168"/>
        <v>0</v>
      </c>
      <c r="AB1237" s="78">
        <f t="shared" si="165"/>
        <v>0</v>
      </c>
      <c r="AC1237" s="78"/>
      <c r="AD1237" s="78">
        <v>0</v>
      </c>
      <c r="AE1237" s="80">
        <f t="shared" si="167"/>
        <v>0</v>
      </c>
      <c r="AF1237" s="82">
        <v>0</v>
      </c>
      <c r="AG1237" s="69">
        <v>40455</v>
      </c>
      <c r="AH1237" s="84"/>
      <c r="AI1237" s="69" t="s">
        <v>1984</v>
      </c>
      <c r="AJ1237" s="25" t="s">
        <v>1985</v>
      </c>
      <c r="AK1237" s="65"/>
      <c r="AL1237" s="176" t="s">
        <v>1257</v>
      </c>
      <c r="AM1237" s="173" t="s">
        <v>2597</v>
      </c>
      <c r="AN1237" s="159"/>
      <c r="AO1237" s="160"/>
      <c r="AP1237" s="161"/>
      <c r="AQ1237" s="160"/>
      <c r="AR1237" s="160"/>
      <c r="AS1237" s="160"/>
      <c r="AT1237" s="160"/>
      <c r="AU1237" s="160"/>
      <c r="AV1237" s="160"/>
      <c r="AW1237" s="160"/>
      <c r="AX1237" s="160"/>
      <c r="AY1237" s="160"/>
      <c r="AZ1237" s="160"/>
      <c r="BA1237" s="160"/>
      <c r="BB1237" s="160"/>
      <c r="BC1237" s="160"/>
      <c r="BD1237" s="160"/>
      <c r="BE1237" s="160"/>
      <c r="BF1237" s="160"/>
      <c r="BG1237" s="160"/>
      <c r="BH1237" s="160"/>
      <c r="BI1237" s="160"/>
      <c r="BJ1237" s="160"/>
      <c r="BK1237" s="160"/>
      <c r="BL1237" s="160"/>
      <c r="BM1237" s="160"/>
      <c r="BN1237" s="160"/>
      <c r="BO1237" s="160"/>
      <c r="BP1237" s="160"/>
      <c r="BQ1237" s="160"/>
      <c r="BR1237" s="160"/>
      <c r="BS1237" s="160"/>
      <c r="BT1237" s="160"/>
      <c r="BU1237" s="160"/>
      <c r="BV1237" s="160"/>
      <c r="BW1237" s="160"/>
      <c r="BX1237" s="160"/>
      <c r="BY1237" s="160"/>
      <c r="BZ1237" s="160"/>
      <c r="CA1237" s="160"/>
      <c r="CB1237" s="160"/>
      <c r="CC1237" s="160"/>
      <c r="CD1237" s="160"/>
      <c r="CE1237" s="160"/>
      <c r="CF1237" s="160"/>
      <c r="CG1237" s="160"/>
      <c r="CH1237" s="160"/>
      <c r="CI1237" s="160"/>
      <c r="CJ1237" s="160"/>
      <c r="CK1237" s="160"/>
      <c r="CL1237" s="160"/>
      <c r="CM1237" s="160"/>
      <c r="CN1237" s="160"/>
      <c r="CO1237" s="160"/>
      <c r="CP1237" s="162"/>
      <c r="CQ1237" s="163"/>
      <c r="CR1237" s="162"/>
      <c r="CS1237" s="163"/>
      <c r="CT1237" s="162"/>
      <c r="CU1237" s="163"/>
      <c r="CV1237" s="164">
        <f t="shared" si="166"/>
        <v>0</v>
      </c>
      <c r="CW1237" s="165"/>
      <c r="CX1237" s="166"/>
      <c r="CY1237" s="167"/>
      <c r="CZ1237" s="168"/>
      <c r="DA1237" s="169"/>
      <c r="DB1237" s="168"/>
      <c r="DC1237" s="165"/>
      <c r="DD1237" s="166"/>
      <c r="DE1237" s="71"/>
      <c r="DF1237" s="170"/>
      <c r="EO1237" s="353" t="str">
        <f t="shared" si="161"/>
        <v>NORTE DE SANTANDER_CUCUTA</v>
      </c>
      <c r="EP1237" s="350"/>
      <c r="EQ1237" s="350"/>
      <c r="ER1237" s="357"/>
      <c r="ES1237" s="350"/>
      <c r="ET1237" s="350"/>
      <c r="EU1237" s="350"/>
    </row>
    <row r="1238" spans="1:151" s="171" customFormat="1" ht="38.25" x14ac:dyDescent="0.2">
      <c r="A1238" s="242">
        <v>40452</v>
      </c>
      <c r="B1238" s="222" t="s">
        <v>1336</v>
      </c>
      <c r="C1238" s="222" t="s">
        <v>1423</v>
      </c>
      <c r="D1238" s="427" t="s">
        <v>2307</v>
      </c>
      <c r="E1238" s="107" t="str">
        <f>VLOOKUP(B1238&amp;C1238,Divipola!$C$2:$F$1138,4,FALSE)</f>
        <v>54347</v>
      </c>
      <c r="F1238" s="330"/>
      <c r="G1238" s="221"/>
      <c r="H1238" s="157"/>
      <c r="I1238" s="157"/>
      <c r="J1238" s="157">
        <v>20</v>
      </c>
      <c r="K1238" s="157">
        <v>4</v>
      </c>
      <c r="L1238" s="157"/>
      <c r="M1238" s="157">
        <v>4</v>
      </c>
      <c r="N1238" s="157"/>
      <c r="O1238" s="157"/>
      <c r="P1238" s="157"/>
      <c r="Q1238" s="157">
        <v>1</v>
      </c>
      <c r="R1238" s="157">
        <v>1</v>
      </c>
      <c r="S1238" s="157"/>
      <c r="T1238" s="157"/>
      <c r="U1238" s="157"/>
      <c r="V1238" s="158"/>
      <c r="W1238" s="182"/>
      <c r="X1238" s="1"/>
      <c r="Y1238" s="78">
        <f t="shared" si="163"/>
        <v>0</v>
      </c>
      <c r="Z1238" s="78">
        <f t="shared" si="164"/>
        <v>0</v>
      </c>
      <c r="AA1238" s="78">
        <f t="shared" si="168"/>
        <v>0</v>
      </c>
      <c r="AB1238" s="78">
        <f t="shared" si="165"/>
        <v>0</v>
      </c>
      <c r="AC1238" s="78"/>
      <c r="AD1238" s="78">
        <v>0</v>
      </c>
      <c r="AE1238" s="80">
        <f t="shared" si="167"/>
        <v>0</v>
      </c>
      <c r="AF1238" s="82">
        <v>0</v>
      </c>
      <c r="AG1238" s="69">
        <v>40455</v>
      </c>
      <c r="AH1238" s="84"/>
      <c r="AI1238" s="69" t="s">
        <v>1984</v>
      </c>
      <c r="AJ1238" s="25" t="s">
        <v>1985</v>
      </c>
      <c r="AK1238" s="65"/>
      <c r="AL1238" s="176" t="s">
        <v>1257</v>
      </c>
      <c r="AM1238" s="173" t="s">
        <v>2598</v>
      </c>
      <c r="AN1238" s="159"/>
      <c r="AO1238" s="160"/>
      <c r="AP1238" s="161"/>
      <c r="AQ1238" s="160"/>
      <c r="AR1238" s="160"/>
      <c r="AS1238" s="160"/>
      <c r="AT1238" s="160"/>
      <c r="AU1238" s="160"/>
      <c r="AV1238" s="160"/>
      <c r="AW1238" s="160"/>
      <c r="AX1238" s="160"/>
      <c r="AY1238" s="160"/>
      <c r="AZ1238" s="160"/>
      <c r="BA1238" s="160"/>
      <c r="BB1238" s="160"/>
      <c r="BC1238" s="160"/>
      <c r="BD1238" s="160"/>
      <c r="BE1238" s="160"/>
      <c r="BF1238" s="160"/>
      <c r="BG1238" s="160"/>
      <c r="BH1238" s="160"/>
      <c r="BI1238" s="160"/>
      <c r="BJ1238" s="160"/>
      <c r="BK1238" s="160"/>
      <c r="BL1238" s="160"/>
      <c r="BM1238" s="160"/>
      <c r="BN1238" s="160"/>
      <c r="BO1238" s="160"/>
      <c r="BP1238" s="160"/>
      <c r="BQ1238" s="160"/>
      <c r="BR1238" s="160"/>
      <c r="BS1238" s="160"/>
      <c r="BT1238" s="160"/>
      <c r="BU1238" s="160"/>
      <c r="BV1238" s="160"/>
      <c r="BW1238" s="160"/>
      <c r="BX1238" s="160"/>
      <c r="BY1238" s="160"/>
      <c r="BZ1238" s="160"/>
      <c r="CA1238" s="160"/>
      <c r="CB1238" s="160"/>
      <c r="CC1238" s="160"/>
      <c r="CD1238" s="160"/>
      <c r="CE1238" s="160"/>
      <c r="CF1238" s="160"/>
      <c r="CG1238" s="160"/>
      <c r="CH1238" s="160"/>
      <c r="CI1238" s="160"/>
      <c r="CJ1238" s="160"/>
      <c r="CK1238" s="160"/>
      <c r="CL1238" s="160"/>
      <c r="CM1238" s="160"/>
      <c r="CN1238" s="160"/>
      <c r="CO1238" s="160"/>
      <c r="CP1238" s="162"/>
      <c r="CQ1238" s="163"/>
      <c r="CR1238" s="162"/>
      <c r="CS1238" s="163"/>
      <c r="CT1238" s="162"/>
      <c r="CU1238" s="163"/>
      <c r="CV1238" s="164">
        <f t="shared" si="166"/>
        <v>0</v>
      </c>
      <c r="CW1238" s="165"/>
      <c r="CX1238" s="166"/>
      <c r="CY1238" s="167"/>
      <c r="CZ1238" s="168"/>
      <c r="DA1238" s="169"/>
      <c r="DB1238" s="168"/>
      <c r="DC1238" s="165"/>
      <c r="DD1238" s="166"/>
      <c r="DE1238" s="71"/>
      <c r="DF1238" s="170"/>
      <c r="EO1238" s="353" t="str">
        <f t="shared" ref="EO1238:EO1301" si="169">B1238&amp;"_"&amp;C1238</f>
        <v>NORTE DE SANTANDER_HERRAN</v>
      </c>
      <c r="EP1238" s="350"/>
      <c r="EQ1238" s="350"/>
      <c r="ER1238" s="357"/>
      <c r="ES1238" s="350"/>
      <c r="ET1238" s="350"/>
      <c r="EU1238" s="350"/>
    </row>
    <row r="1239" spans="1:151" s="171" customFormat="1" ht="25.5" x14ac:dyDescent="0.2">
      <c r="A1239" s="242">
        <v>40452</v>
      </c>
      <c r="B1239" s="222" t="s">
        <v>2427</v>
      </c>
      <c r="C1239" s="222" t="s">
        <v>600</v>
      </c>
      <c r="D1239" s="430" t="s">
        <v>2307</v>
      </c>
      <c r="E1239" s="107" t="str">
        <f>VLOOKUP(B1239&amp;C1239,Divipola!$C$2:$F$1138,4,FALSE)</f>
        <v>68020</v>
      </c>
      <c r="F1239" s="333"/>
      <c r="G1239" s="275"/>
      <c r="H1239" s="157"/>
      <c r="I1239" s="157"/>
      <c r="J1239" s="157">
        <v>510</v>
      </c>
      <c r="K1239" s="157">
        <v>162</v>
      </c>
      <c r="L1239" s="157">
        <v>40</v>
      </c>
      <c r="M1239" s="157">
        <v>10</v>
      </c>
      <c r="N1239" s="157">
        <v>3</v>
      </c>
      <c r="O1239" s="157"/>
      <c r="P1239" s="157"/>
      <c r="Q1239" s="157"/>
      <c r="R1239" s="157"/>
      <c r="S1239" s="157"/>
      <c r="T1239" s="157"/>
      <c r="U1239" s="157"/>
      <c r="V1239" s="158">
        <v>170</v>
      </c>
      <c r="W1239" s="182"/>
      <c r="X1239" s="1"/>
      <c r="Y1239" s="78">
        <f t="shared" si="163"/>
        <v>0</v>
      </c>
      <c r="Z1239" s="78">
        <f t="shared" si="164"/>
        <v>0</v>
      </c>
      <c r="AA1239" s="78">
        <f t="shared" si="168"/>
        <v>0</v>
      </c>
      <c r="AB1239" s="78">
        <f t="shared" si="165"/>
        <v>0</v>
      </c>
      <c r="AC1239" s="78"/>
      <c r="AD1239" s="78">
        <v>0</v>
      </c>
      <c r="AE1239" s="80">
        <f t="shared" si="167"/>
        <v>0</v>
      </c>
      <c r="AF1239" s="82">
        <v>0</v>
      </c>
      <c r="AG1239" s="69">
        <v>40465</v>
      </c>
      <c r="AH1239" s="84"/>
      <c r="AI1239" s="69" t="s">
        <v>2009</v>
      </c>
      <c r="AJ1239" s="25" t="s">
        <v>2010</v>
      </c>
      <c r="AK1239" s="65"/>
      <c r="AL1239" s="184" t="s">
        <v>2663</v>
      </c>
      <c r="AM1239" s="173" t="s">
        <v>1799</v>
      </c>
      <c r="AN1239" s="159"/>
      <c r="AO1239" s="160"/>
      <c r="AP1239" s="161"/>
      <c r="AQ1239" s="160"/>
      <c r="AR1239" s="160"/>
      <c r="AS1239" s="160"/>
      <c r="AT1239" s="160"/>
      <c r="AU1239" s="160"/>
      <c r="AV1239" s="160"/>
      <c r="AW1239" s="160"/>
      <c r="AX1239" s="160"/>
      <c r="AY1239" s="160"/>
      <c r="AZ1239" s="160"/>
      <c r="BA1239" s="160"/>
      <c r="BB1239" s="160"/>
      <c r="BC1239" s="160"/>
      <c r="BD1239" s="160"/>
      <c r="BE1239" s="160"/>
      <c r="BF1239" s="160"/>
      <c r="BG1239" s="160"/>
      <c r="BH1239" s="160"/>
      <c r="BI1239" s="160"/>
      <c r="BJ1239" s="160"/>
      <c r="BK1239" s="160"/>
      <c r="BL1239" s="160"/>
      <c r="BM1239" s="160"/>
      <c r="BN1239" s="160"/>
      <c r="BO1239" s="160"/>
      <c r="BP1239" s="160"/>
      <c r="BQ1239" s="160"/>
      <c r="BR1239" s="160"/>
      <c r="BS1239" s="160"/>
      <c r="BT1239" s="160"/>
      <c r="BU1239" s="160"/>
      <c r="BV1239" s="160"/>
      <c r="BW1239" s="160"/>
      <c r="BX1239" s="160"/>
      <c r="BY1239" s="160"/>
      <c r="BZ1239" s="160"/>
      <c r="CA1239" s="160"/>
      <c r="CB1239" s="160"/>
      <c r="CC1239" s="160"/>
      <c r="CD1239" s="160"/>
      <c r="CE1239" s="160"/>
      <c r="CF1239" s="160"/>
      <c r="CG1239" s="160"/>
      <c r="CH1239" s="160"/>
      <c r="CI1239" s="160"/>
      <c r="CJ1239" s="160"/>
      <c r="CK1239" s="160"/>
      <c r="CL1239" s="160"/>
      <c r="CM1239" s="160"/>
      <c r="CN1239" s="160"/>
      <c r="CO1239" s="160"/>
      <c r="CP1239" s="162"/>
      <c r="CQ1239" s="163"/>
      <c r="CR1239" s="162"/>
      <c r="CS1239" s="163"/>
      <c r="CT1239" s="162"/>
      <c r="CU1239" s="163"/>
      <c r="CV1239" s="164">
        <f t="shared" si="166"/>
        <v>0</v>
      </c>
      <c r="CW1239" s="165"/>
      <c r="CX1239" s="166"/>
      <c r="CY1239" s="167"/>
      <c r="CZ1239" s="168"/>
      <c r="DA1239" s="169"/>
      <c r="DB1239" s="168"/>
      <c r="DC1239" s="165"/>
      <c r="DD1239" s="166"/>
      <c r="DE1239" s="71"/>
      <c r="DF1239" s="170"/>
      <c r="EO1239" s="353" t="str">
        <f t="shared" si="169"/>
        <v>SANTANDER_ALBANIA</v>
      </c>
      <c r="EP1239" s="350"/>
      <c r="EQ1239" s="350"/>
      <c r="ER1239" s="357"/>
      <c r="ES1239" s="350"/>
      <c r="ET1239" s="350"/>
      <c r="EU1239" s="350"/>
    </row>
    <row r="1240" spans="1:151" s="171" customFormat="1" ht="38.25" x14ac:dyDescent="0.2">
      <c r="A1240" s="242">
        <v>40452</v>
      </c>
      <c r="B1240" s="222" t="s">
        <v>2427</v>
      </c>
      <c r="C1240" s="222" t="s">
        <v>988</v>
      </c>
      <c r="D1240" s="430" t="s">
        <v>2307</v>
      </c>
      <c r="E1240" s="107" t="str">
        <f>VLOOKUP(B1240&amp;C1240,Divipola!$C$2:$F$1138,4,FALSE)</f>
        <v>68051</v>
      </c>
      <c r="F1240" s="333"/>
      <c r="G1240" s="275"/>
      <c r="H1240" s="157"/>
      <c r="I1240" s="157"/>
      <c r="J1240" s="157">
        <f>25*5</f>
        <v>125</v>
      </c>
      <c r="K1240" s="157">
        <v>25</v>
      </c>
      <c r="L1240" s="157">
        <v>4</v>
      </c>
      <c r="M1240" s="157"/>
      <c r="N1240" s="157">
        <v>4</v>
      </c>
      <c r="O1240" s="157"/>
      <c r="P1240" s="157"/>
      <c r="Q1240" s="157"/>
      <c r="R1240" s="157"/>
      <c r="S1240" s="157"/>
      <c r="T1240" s="157"/>
      <c r="U1240" s="157">
        <v>1</v>
      </c>
      <c r="V1240" s="158">
        <v>200</v>
      </c>
      <c r="W1240" s="205" t="s">
        <v>2180</v>
      </c>
      <c r="X1240" s="1"/>
      <c r="Y1240" s="78">
        <f t="shared" si="163"/>
        <v>0</v>
      </c>
      <c r="Z1240" s="78">
        <f t="shared" si="164"/>
        <v>0</v>
      </c>
      <c r="AA1240" s="78">
        <f t="shared" si="168"/>
        <v>0</v>
      </c>
      <c r="AB1240" s="78">
        <f t="shared" si="165"/>
        <v>0</v>
      </c>
      <c r="AC1240" s="78"/>
      <c r="AD1240" s="78">
        <v>0</v>
      </c>
      <c r="AE1240" s="80">
        <f t="shared" si="167"/>
        <v>0</v>
      </c>
      <c r="AF1240" s="82">
        <v>0</v>
      </c>
      <c r="AG1240" s="69"/>
      <c r="AH1240" s="84"/>
      <c r="AI1240" s="69" t="s">
        <v>2009</v>
      </c>
      <c r="AJ1240" s="25" t="s">
        <v>2010</v>
      </c>
      <c r="AK1240" s="65"/>
      <c r="AL1240" s="184" t="s">
        <v>2663</v>
      </c>
      <c r="AM1240" s="173" t="s">
        <v>283</v>
      </c>
      <c r="AN1240" s="159"/>
      <c r="AO1240" s="160"/>
      <c r="AP1240" s="161"/>
      <c r="AQ1240" s="160"/>
      <c r="AR1240" s="160"/>
      <c r="AS1240" s="160"/>
      <c r="AT1240" s="160"/>
      <c r="AU1240" s="160"/>
      <c r="AV1240" s="160"/>
      <c r="AW1240" s="160"/>
      <c r="AX1240" s="160"/>
      <c r="AY1240" s="160"/>
      <c r="AZ1240" s="160"/>
      <c r="BA1240" s="160"/>
      <c r="BB1240" s="160"/>
      <c r="BC1240" s="160"/>
      <c r="BD1240" s="160"/>
      <c r="BE1240" s="160"/>
      <c r="BF1240" s="160"/>
      <c r="BG1240" s="160"/>
      <c r="BH1240" s="160"/>
      <c r="BI1240" s="160"/>
      <c r="BJ1240" s="160"/>
      <c r="BK1240" s="160"/>
      <c r="BL1240" s="160"/>
      <c r="BM1240" s="160"/>
      <c r="BN1240" s="160"/>
      <c r="BO1240" s="160"/>
      <c r="BP1240" s="160"/>
      <c r="BQ1240" s="160"/>
      <c r="BR1240" s="160"/>
      <c r="BS1240" s="160"/>
      <c r="BT1240" s="160"/>
      <c r="BU1240" s="160"/>
      <c r="BV1240" s="160"/>
      <c r="BW1240" s="160"/>
      <c r="BX1240" s="160"/>
      <c r="BY1240" s="160"/>
      <c r="BZ1240" s="160"/>
      <c r="CA1240" s="160"/>
      <c r="CB1240" s="160"/>
      <c r="CC1240" s="160"/>
      <c r="CD1240" s="160"/>
      <c r="CE1240" s="160"/>
      <c r="CF1240" s="160"/>
      <c r="CG1240" s="160"/>
      <c r="CH1240" s="160"/>
      <c r="CI1240" s="160"/>
      <c r="CJ1240" s="160"/>
      <c r="CK1240" s="160"/>
      <c r="CL1240" s="160"/>
      <c r="CM1240" s="160"/>
      <c r="CN1240" s="160"/>
      <c r="CO1240" s="160"/>
      <c r="CP1240" s="162"/>
      <c r="CQ1240" s="163"/>
      <c r="CR1240" s="162"/>
      <c r="CS1240" s="163"/>
      <c r="CT1240" s="162"/>
      <c r="CU1240" s="163"/>
      <c r="CV1240" s="164">
        <f t="shared" si="166"/>
        <v>0</v>
      </c>
      <c r="CW1240" s="165"/>
      <c r="CX1240" s="166"/>
      <c r="CY1240" s="167"/>
      <c r="CZ1240" s="168"/>
      <c r="DA1240" s="169"/>
      <c r="DB1240" s="168"/>
      <c r="DC1240" s="165"/>
      <c r="DD1240" s="166"/>
      <c r="DE1240" s="71"/>
      <c r="DF1240" s="170"/>
      <c r="EO1240" s="353" t="str">
        <f t="shared" si="169"/>
        <v>SANTANDER_ARATOCA</v>
      </c>
      <c r="EP1240" s="350"/>
      <c r="EQ1240" s="350"/>
      <c r="ER1240" s="357"/>
      <c r="ES1240" s="350"/>
      <c r="ET1240" s="350"/>
      <c r="EU1240" s="350"/>
    </row>
    <row r="1241" spans="1:151" s="171" customFormat="1" ht="38.25" x14ac:dyDescent="0.2">
      <c r="A1241" s="242">
        <v>40452</v>
      </c>
      <c r="B1241" s="222" t="s">
        <v>2427</v>
      </c>
      <c r="C1241" s="222" t="s">
        <v>1795</v>
      </c>
      <c r="D1241" s="430" t="s">
        <v>2307</v>
      </c>
      <c r="E1241" s="107" t="str">
        <f>VLOOKUP(B1241&amp;C1241,Divipola!$C$2:$F$1138,4,FALSE)</f>
        <v>68077</v>
      </c>
      <c r="F1241" s="333"/>
      <c r="G1241" s="275"/>
      <c r="H1241" s="157"/>
      <c r="I1241" s="157"/>
      <c r="J1241" s="157">
        <v>384</v>
      </c>
      <c r="K1241" s="157">
        <v>96</v>
      </c>
      <c r="L1241" s="157">
        <v>10</v>
      </c>
      <c r="M1241" s="157">
        <v>8</v>
      </c>
      <c r="N1241" s="157">
        <v>6</v>
      </c>
      <c r="O1241" s="157"/>
      <c r="P1241" s="157"/>
      <c r="Q1241" s="157">
        <v>1</v>
      </c>
      <c r="R1241" s="157"/>
      <c r="S1241" s="157"/>
      <c r="T1241" s="157"/>
      <c r="U1241" s="157"/>
      <c r="V1241" s="158">
        <v>300</v>
      </c>
      <c r="W1241" s="182"/>
      <c r="X1241" s="1"/>
      <c r="Y1241" s="78">
        <f t="shared" si="163"/>
        <v>0</v>
      </c>
      <c r="Z1241" s="78">
        <f t="shared" si="164"/>
        <v>0</v>
      </c>
      <c r="AA1241" s="78">
        <f t="shared" si="168"/>
        <v>0</v>
      </c>
      <c r="AB1241" s="78">
        <f t="shared" si="165"/>
        <v>0</v>
      </c>
      <c r="AC1241" s="78"/>
      <c r="AD1241" s="78">
        <v>0</v>
      </c>
      <c r="AE1241" s="80">
        <f t="shared" si="167"/>
        <v>0</v>
      </c>
      <c r="AF1241" s="82">
        <v>0</v>
      </c>
      <c r="AG1241" s="69"/>
      <c r="AH1241" s="84"/>
      <c r="AI1241" s="69" t="s">
        <v>2009</v>
      </c>
      <c r="AJ1241" s="25" t="s">
        <v>2010</v>
      </c>
      <c r="AK1241" s="65"/>
      <c r="AL1241" s="184" t="s">
        <v>2663</v>
      </c>
      <c r="AM1241" s="173" t="s">
        <v>283</v>
      </c>
      <c r="AN1241" s="159"/>
      <c r="AO1241" s="160"/>
      <c r="AP1241" s="161"/>
      <c r="AQ1241" s="160"/>
      <c r="AR1241" s="160"/>
      <c r="AS1241" s="160"/>
      <c r="AT1241" s="160"/>
      <c r="AU1241" s="160"/>
      <c r="AV1241" s="160"/>
      <c r="AW1241" s="160"/>
      <c r="AX1241" s="160"/>
      <c r="AY1241" s="160"/>
      <c r="AZ1241" s="160"/>
      <c r="BA1241" s="160"/>
      <c r="BB1241" s="160"/>
      <c r="BC1241" s="160"/>
      <c r="BD1241" s="160"/>
      <c r="BE1241" s="160"/>
      <c r="BF1241" s="160"/>
      <c r="BG1241" s="160"/>
      <c r="BH1241" s="160"/>
      <c r="BI1241" s="160"/>
      <c r="BJ1241" s="160"/>
      <c r="BK1241" s="160"/>
      <c r="BL1241" s="160"/>
      <c r="BM1241" s="160"/>
      <c r="BN1241" s="160"/>
      <c r="BO1241" s="160"/>
      <c r="BP1241" s="160"/>
      <c r="BQ1241" s="160"/>
      <c r="BR1241" s="160"/>
      <c r="BS1241" s="160"/>
      <c r="BT1241" s="160"/>
      <c r="BU1241" s="160"/>
      <c r="BV1241" s="160"/>
      <c r="BW1241" s="160"/>
      <c r="BX1241" s="160"/>
      <c r="BY1241" s="160"/>
      <c r="BZ1241" s="160"/>
      <c r="CA1241" s="160"/>
      <c r="CB1241" s="160"/>
      <c r="CC1241" s="160"/>
      <c r="CD1241" s="160"/>
      <c r="CE1241" s="160"/>
      <c r="CF1241" s="160"/>
      <c r="CG1241" s="160"/>
      <c r="CH1241" s="160"/>
      <c r="CI1241" s="160"/>
      <c r="CJ1241" s="160"/>
      <c r="CK1241" s="160"/>
      <c r="CL1241" s="160"/>
      <c r="CM1241" s="160"/>
      <c r="CN1241" s="160"/>
      <c r="CO1241" s="160"/>
      <c r="CP1241" s="162"/>
      <c r="CQ1241" s="163"/>
      <c r="CR1241" s="162"/>
      <c r="CS1241" s="163"/>
      <c r="CT1241" s="162"/>
      <c r="CU1241" s="163"/>
      <c r="CV1241" s="164">
        <f t="shared" si="166"/>
        <v>0</v>
      </c>
      <c r="CW1241" s="165"/>
      <c r="CX1241" s="166"/>
      <c r="CY1241" s="167"/>
      <c r="CZ1241" s="168"/>
      <c r="DA1241" s="169"/>
      <c r="DB1241" s="168"/>
      <c r="DC1241" s="165"/>
      <c r="DD1241" s="166"/>
      <c r="DE1241" s="71"/>
      <c r="DF1241" s="170"/>
      <c r="EO1241" s="353" t="str">
        <f t="shared" si="169"/>
        <v>SANTANDER_BARBOSA</v>
      </c>
      <c r="EP1241" s="350"/>
      <c r="EQ1241" s="350"/>
      <c r="ER1241" s="357"/>
      <c r="ES1241" s="350"/>
      <c r="ET1241" s="350"/>
      <c r="EU1241" s="350"/>
    </row>
    <row r="1242" spans="1:151" s="171" customFormat="1" ht="72" x14ac:dyDescent="0.2">
      <c r="A1242" s="242">
        <v>40452</v>
      </c>
      <c r="B1242" s="222" t="s">
        <v>2427</v>
      </c>
      <c r="C1242" s="222" t="s">
        <v>1796</v>
      </c>
      <c r="D1242" s="430" t="s">
        <v>2307</v>
      </c>
      <c r="E1242" s="107" t="str">
        <f>VLOOKUP(B1242&amp;C1242,Divipola!$C$2:$F$1138,4,FALSE)</f>
        <v>68160</v>
      </c>
      <c r="F1242" s="333"/>
      <c r="G1242" s="275"/>
      <c r="H1242" s="157"/>
      <c r="I1242" s="157"/>
      <c r="J1242" s="157">
        <v>444</v>
      </c>
      <c r="K1242" s="157">
        <v>110</v>
      </c>
      <c r="L1242" s="157"/>
      <c r="M1242" s="157">
        <v>5</v>
      </c>
      <c r="N1242" s="157">
        <v>1</v>
      </c>
      <c r="O1242" s="157"/>
      <c r="P1242" s="157"/>
      <c r="Q1242" s="157"/>
      <c r="R1242" s="157"/>
      <c r="S1242" s="157"/>
      <c r="T1242" s="157"/>
      <c r="U1242" s="157"/>
      <c r="V1242" s="158">
        <v>230</v>
      </c>
      <c r="W1242" s="205" t="s">
        <v>2180</v>
      </c>
      <c r="X1242" s="1"/>
      <c r="Y1242" s="78">
        <f t="shared" si="163"/>
        <v>0</v>
      </c>
      <c r="Z1242" s="78">
        <f t="shared" si="164"/>
        <v>0</v>
      </c>
      <c r="AA1242" s="78">
        <f t="shared" si="168"/>
        <v>0</v>
      </c>
      <c r="AB1242" s="78">
        <f t="shared" si="165"/>
        <v>0</v>
      </c>
      <c r="AC1242" s="78"/>
      <c r="AD1242" s="78">
        <v>0</v>
      </c>
      <c r="AE1242" s="80">
        <f t="shared" si="167"/>
        <v>0</v>
      </c>
      <c r="AF1242" s="82">
        <v>0</v>
      </c>
      <c r="AG1242" s="69"/>
      <c r="AH1242" s="84"/>
      <c r="AI1242" s="69" t="s">
        <v>2009</v>
      </c>
      <c r="AJ1242" s="25" t="s">
        <v>2010</v>
      </c>
      <c r="AK1242" s="65"/>
      <c r="AL1242" s="184" t="s">
        <v>2663</v>
      </c>
      <c r="AM1242" s="173" t="s">
        <v>80</v>
      </c>
      <c r="AN1242" s="159"/>
      <c r="AO1242" s="160"/>
      <c r="AP1242" s="161"/>
      <c r="AQ1242" s="160"/>
      <c r="AR1242" s="160"/>
      <c r="AS1242" s="160"/>
      <c r="AT1242" s="160"/>
      <c r="AU1242" s="160"/>
      <c r="AV1242" s="160"/>
      <c r="AW1242" s="160"/>
      <c r="AX1242" s="160"/>
      <c r="AY1242" s="160"/>
      <c r="AZ1242" s="160"/>
      <c r="BA1242" s="160"/>
      <c r="BB1242" s="160"/>
      <c r="BC1242" s="160"/>
      <c r="BD1242" s="160"/>
      <c r="BE1242" s="160"/>
      <c r="BF1242" s="160"/>
      <c r="BG1242" s="160"/>
      <c r="BH1242" s="160"/>
      <c r="BI1242" s="160"/>
      <c r="BJ1242" s="160"/>
      <c r="BK1242" s="160"/>
      <c r="BL1242" s="160"/>
      <c r="BM1242" s="160"/>
      <c r="BN1242" s="160"/>
      <c r="BO1242" s="160"/>
      <c r="BP1242" s="160"/>
      <c r="BQ1242" s="160"/>
      <c r="BR1242" s="160"/>
      <c r="BS1242" s="160"/>
      <c r="BT1242" s="160"/>
      <c r="BU1242" s="160"/>
      <c r="BV1242" s="160"/>
      <c r="BW1242" s="160"/>
      <c r="BX1242" s="160"/>
      <c r="BY1242" s="160"/>
      <c r="BZ1242" s="160"/>
      <c r="CA1242" s="160"/>
      <c r="CB1242" s="160"/>
      <c r="CC1242" s="160"/>
      <c r="CD1242" s="160"/>
      <c r="CE1242" s="160"/>
      <c r="CF1242" s="160"/>
      <c r="CG1242" s="160"/>
      <c r="CH1242" s="160"/>
      <c r="CI1242" s="160"/>
      <c r="CJ1242" s="160"/>
      <c r="CK1242" s="160"/>
      <c r="CL1242" s="160"/>
      <c r="CM1242" s="160"/>
      <c r="CN1242" s="160"/>
      <c r="CO1242" s="160"/>
      <c r="CP1242" s="162"/>
      <c r="CQ1242" s="163"/>
      <c r="CR1242" s="162"/>
      <c r="CS1242" s="163"/>
      <c r="CT1242" s="162"/>
      <c r="CU1242" s="163"/>
      <c r="CV1242" s="164">
        <f t="shared" si="166"/>
        <v>0</v>
      </c>
      <c r="CW1242" s="165"/>
      <c r="CX1242" s="166"/>
      <c r="CY1242" s="167"/>
      <c r="CZ1242" s="168"/>
      <c r="DA1242" s="169"/>
      <c r="DB1242" s="168"/>
      <c r="DC1242" s="165"/>
      <c r="DD1242" s="166"/>
      <c r="DE1242" s="71"/>
      <c r="DF1242" s="170"/>
      <c r="EO1242" s="353" t="str">
        <f t="shared" si="169"/>
        <v>SANTANDER_CEPITA</v>
      </c>
      <c r="EP1242" s="350"/>
      <c r="EQ1242" s="350"/>
      <c r="ER1242" s="357"/>
      <c r="ES1242" s="350"/>
      <c r="ET1242" s="350"/>
      <c r="EU1242" s="350"/>
    </row>
    <row r="1243" spans="1:151" s="171" customFormat="1" ht="38.25" x14ac:dyDescent="0.2">
      <c r="A1243" s="242">
        <v>40452</v>
      </c>
      <c r="B1243" s="222" t="s">
        <v>2427</v>
      </c>
      <c r="C1243" s="222" t="s">
        <v>1797</v>
      </c>
      <c r="D1243" s="430" t="s">
        <v>2307</v>
      </c>
      <c r="E1243" s="107" t="str">
        <f>VLOOKUP(B1243&amp;C1243,Divipola!$C$2:$F$1138,4,FALSE)</f>
        <v>68207</v>
      </c>
      <c r="F1243" s="333"/>
      <c r="G1243" s="275"/>
      <c r="H1243" s="157"/>
      <c r="I1243" s="157"/>
      <c r="J1243" s="157">
        <v>903</v>
      </c>
      <c r="K1243" s="157">
        <v>315</v>
      </c>
      <c r="L1243" s="157">
        <v>10</v>
      </c>
      <c r="M1243" s="157">
        <v>212</v>
      </c>
      <c r="N1243" s="157">
        <v>2</v>
      </c>
      <c r="O1243" s="157"/>
      <c r="P1243" s="157"/>
      <c r="Q1243" s="157"/>
      <c r="R1243" s="157"/>
      <c r="S1243" s="157"/>
      <c r="T1243" s="157"/>
      <c r="U1243" s="157"/>
      <c r="V1243" s="158">
        <v>200</v>
      </c>
      <c r="W1243" s="205" t="s">
        <v>2180</v>
      </c>
      <c r="X1243" s="1"/>
      <c r="Y1243" s="78">
        <f t="shared" si="163"/>
        <v>0</v>
      </c>
      <c r="Z1243" s="78">
        <f t="shared" si="164"/>
        <v>0</v>
      </c>
      <c r="AA1243" s="78">
        <f t="shared" si="168"/>
        <v>0</v>
      </c>
      <c r="AB1243" s="78">
        <f t="shared" si="165"/>
        <v>0</v>
      </c>
      <c r="AC1243" s="78"/>
      <c r="AD1243" s="78">
        <v>0</v>
      </c>
      <c r="AE1243" s="80">
        <f t="shared" si="167"/>
        <v>0</v>
      </c>
      <c r="AF1243" s="82">
        <v>0</v>
      </c>
      <c r="AG1243" s="69"/>
      <c r="AH1243" s="84"/>
      <c r="AI1243" s="69" t="s">
        <v>2009</v>
      </c>
      <c r="AJ1243" s="25" t="s">
        <v>2010</v>
      </c>
      <c r="AK1243" s="65"/>
      <c r="AL1243" s="184" t="s">
        <v>2663</v>
      </c>
      <c r="AM1243" s="173" t="s">
        <v>3061</v>
      </c>
      <c r="AN1243" s="159"/>
      <c r="AO1243" s="160"/>
      <c r="AP1243" s="161"/>
      <c r="AQ1243" s="160"/>
      <c r="AR1243" s="160"/>
      <c r="AS1243" s="160"/>
      <c r="AT1243" s="160"/>
      <c r="AU1243" s="160"/>
      <c r="AV1243" s="160"/>
      <c r="AW1243" s="160"/>
      <c r="AX1243" s="160"/>
      <c r="AY1243" s="160"/>
      <c r="AZ1243" s="160"/>
      <c r="BA1243" s="160"/>
      <c r="BB1243" s="160"/>
      <c r="BC1243" s="160"/>
      <c r="BD1243" s="160"/>
      <c r="BE1243" s="160"/>
      <c r="BF1243" s="160"/>
      <c r="BG1243" s="160"/>
      <c r="BH1243" s="160"/>
      <c r="BI1243" s="160"/>
      <c r="BJ1243" s="160"/>
      <c r="BK1243" s="160"/>
      <c r="BL1243" s="160"/>
      <c r="BM1243" s="160"/>
      <c r="BN1243" s="160"/>
      <c r="BO1243" s="160"/>
      <c r="BP1243" s="160"/>
      <c r="BQ1243" s="160"/>
      <c r="BR1243" s="160"/>
      <c r="BS1243" s="160"/>
      <c r="BT1243" s="160"/>
      <c r="BU1243" s="160"/>
      <c r="BV1243" s="160"/>
      <c r="BW1243" s="160"/>
      <c r="BX1243" s="160"/>
      <c r="BY1243" s="160"/>
      <c r="BZ1243" s="160"/>
      <c r="CA1243" s="160"/>
      <c r="CB1243" s="160"/>
      <c r="CC1243" s="160"/>
      <c r="CD1243" s="160"/>
      <c r="CE1243" s="160"/>
      <c r="CF1243" s="160"/>
      <c r="CG1243" s="160"/>
      <c r="CH1243" s="160"/>
      <c r="CI1243" s="160"/>
      <c r="CJ1243" s="160"/>
      <c r="CK1243" s="160"/>
      <c r="CL1243" s="160"/>
      <c r="CM1243" s="160"/>
      <c r="CN1243" s="160"/>
      <c r="CO1243" s="160"/>
      <c r="CP1243" s="162"/>
      <c r="CQ1243" s="163"/>
      <c r="CR1243" s="162"/>
      <c r="CS1243" s="163"/>
      <c r="CT1243" s="162"/>
      <c r="CU1243" s="163"/>
      <c r="CV1243" s="164">
        <f t="shared" si="166"/>
        <v>0</v>
      </c>
      <c r="CW1243" s="165"/>
      <c r="CX1243" s="166"/>
      <c r="CY1243" s="167"/>
      <c r="CZ1243" s="168"/>
      <c r="DA1243" s="169"/>
      <c r="DB1243" s="168"/>
      <c r="DC1243" s="165"/>
      <c r="DD1243" s="166"/>
      <c r="DE1243" s="71"/>
      <c r="DF1243" s="170"/>
      <c r="EO1243" s="353" t="str">
        <f t="shared" si="169"/>
        <v>SANTANDER_CONCEPCION</v>
      </c>
      <c r="EP1243" s="350"/>
      <c r="EQ1243" s="350"/>
      <c r="ER1243" s="357"/>
      <c r="ES1243" s="350"/>
      <c r="ET1243" s="350"/>
      <c r="EU1243" s="350"/>
    </row>
    <row r="1244" spans="1:151" s="171" customFormat="1" ht="38.25" x14ac:dyDescent="0.2">
      <c r="A1244" s="242">
        <v>40452</v>
      </c>
      <c r="B1244" s="222" t="s">
        <v>2427</v>
      </c>
      <c r="C1244" s="222" t="s">
        <v>1798</v>
      </c>
      <c r="D1244" s="430" t="s">
        <v>837</v>
      </c>
      <c r="E1244" s="107" t="str">
        <f>VLOOKUP(B1244&amp;C1244,Divipola!$C$2:$F$1138,4,FALSE)</f>
        <v>68217</v>
      </c>
      <c r="F1244" s="333"/>
      <c r="G1244" s="275"/>
      <c r="H1244" s="157"/>
      <c r="I1244" s="157"/>
      <c r="J1244" s="157">
        <f>80*5</f>
        <v>400</v>
      </c>
      <c r="K1244" s="157">
        <v>80</v>
      </c>
      <c r="L1244" s="157"/>
      <c r="M1244" s="157">
        <v>15</v>
      </c>
      <c r="N1244" s="157">
        <v>3</v>
      </c>
      <c r="O1244" s="157"/>
      <c r="P1244" s="157"/>
      <c r="Q1244" s="157"/>
      <c r="R1244" s="157"/>
      <c r="S1244" s="157"/>
      <c r="T1244" s="157">
        <v>3</v>
      </c>
      <c r="U1244" s="157"/>
      <c r="V1244" s="158">
        <v>300</v>
      </c>
      <c r="W1244" s="205" t="s">
        <v>2180</v>
      </c>
      <c r="X1244" s="1"/>
      <c r="Y1244" s="78">
        <f t="shared" si="163"/>
        <v>0</v>
      </c>
      <c r="Z1244" s="78">
        <f t="shared" si="164"/>
        <v>0</v>
      </c>
      <c r="AA1244" s="78">
        <f t="shared" si="168"/>
        <v>0</v>
      </c>
      <c r="AB1244" s="78">
        <f t="shared" si="165"/>
        <v>0</v>
      </c>
      <c r="AC1244" s="78"/>
      <c r="AD1244" s="78">
        <v>0</v>
      </c>
      <c r="AE1244" s="80">
        <f t="shared" si="167"/>
        <v>0</v>
      </c>
      <c r="AF1244" s="82">
        <v>0</v>
      </c>
      <c r="AG1244" s="69"/>
      <c r="AH1244" s="84"/>
      <c r="AI1244" s="69" t="s">
        <v>2009</v>
      </c>
      <c r="AJ1244" s="25" t="s">
        <v>2010</v>
      </c>
      <c r="AK1244" s="65"/>
      <c r="AL1244" s="184" t="s">
        <v>2663</v>
      </c>
      <c r="AM1244" s="173" t="s">
        <v>283</v>
      </c>
      <c r="AN1244" s="159"/>
      <c r="AO1244" s="160"/>
      <c r="AP1244" s="161"/>
      <c r="AQ1244" s="160"/>
      <c r="AR1244" s="160"/>
      <c r="AS1244" s="160"/>
      <c r="AT1244" s="160"/>
      <c r="AU1244" s="160"/>
      <c r="AV1244" s="160"/>
      <c r="AW1244" s="160"/>
      <c r="AX1244" s="160"/>
      <c r="AY1244" s="160"/>
      <c r="AZ1244" s="160"/>
      <c r="BA1244" s="160"/>
      <c r="BB1244" s="160"/>
      <c r="BC1244" s="160"/>
      <c r="BD1244" s="160"/>
      <c r="BE1244" s="160"/>
      <c r="BF1244" s="160"/>
      <c r="BG1244" s="160"/>
      <c r="BH1244" s="160"/>
      <c r="BI1244" s="160"/>
      <c r="BJ1244" s="160"/>
      <c r="BK1244" s="160"/>
      <c r="BL1244" s="160"/>
      <c r="BM1244" s="160"/>
      <c r="BN1244" s="160"/>
      <c r="BO1244" s="160"/>
      <c r="BP1244" s="160"/>
      <c r="BQ1244" s="160"/>
      <c r="BR1244" s="160"/>
      <c r="BS1244" s="160"/>
      <c r="BT1244" s="160"/>
      <c r="BU1244" s="160"/>
      <c r="BV1244" s="160"/>
      <c r="BW1244" s="160"/>
      <c r="BX1244" s="160"/>
      <c r="BY1244" s="160"/>
      <c r="BZ1244" s="160"/>
      <c r="CA1244" s="160"/>
      <c r="CB1244" s="160"/>
      <c r="CC1244" s="160"/>
      <c r="CD1244" s="160"/>
      <c r="CE1244" s="160"/>
      <c r="CF1244" s="160"/>
      <c r="CG1244" s="160"/>
      <c r="CH1244" s="160"/>
      <c r="CI1244" s="160"/>
      <c r="CJ1244" s="160"/>
      <c r="CK1244" s="160"/>
      <c r="CL1244" s="160"/>
      <c r="CM1244" s="160"/>
      <c r="CN1244" s="160"/>
      <c r="CO1244" s="160"/>
      <c r="CP1244" s="162"/>
      <c r="CQ1244" s="163"/>
      <c r="CR1244" s="162"/>
      <c r="CS1244" s="163"/>
      <c r="CT1244" s="162"/>
      <c r="CU1244" s="163"/>
      <c r="CV1244" s="164">
        <f t="shared" si="166"/>
        <v>0</v>
      </c>
      <c r="CW1244" s="165"/>
      <c r="CX1244" s="166"/>
      <c r="CY1244" s="167"/>
      <c r="CZ1244" s="168"/>
      <c r="DA1244" s="169"/>
      <c r="DB1244" s="168"/>
      <c r="DC1244" s="165"/>
      <c r="DD1244" s="166"/>
      <c r="DE1244" s="71"/>
      <c r="DF1244" s="170"/>
      <c r="EO1244" s="353" t="str">
        <f t="shared" si="169"/>
        <v>SANTANDER_COROMORO</v>
      </c>
      <c r="EP1244" s="350"/>
      <c r="EQ1244" s="350"/>
      <c r="ER1244" s="357"/>
      <c r="ES1244" s="350"/>
      <c r="ET1244" s="350"/>
      <c r="EU1244" s="350"/>
    </row>
    <row r="1245" spans="1:151" s="171" customFormat="1" ht="63.75" x14ac:dyDescent="0.2">
      <c r="A1245" s="242">
        <v>40452</v>
      </c>
      <c r="B1245" s="222" t="s">
        <v>2427</v>
      </c>
      <c r="C1245" s="222" t="s">
        <v>1366</v>
      </c>
      <c r="D1245" s="430" t="s">
        <v>837</v>
      </c>
      <c r="E1245" s="107" t="str">
        <f>VLOOKUP(B1245&amp;C1245,Divipola!$C$2:$F$1138,4,FALSE)</f>
        <v>68235</v>
      </c>
      <c r="F1245" s="333"/>
      <c r="G1245" s="275"/>
      <c r="H1245" s="157"/>
      <c r="I1245" s="157"/>
      <c r="J1245" s="157">
        <f>1544-125</f>
        <v>1419</v>
      </c>
      <c r="K1245" s="157">
        <f>460-25</f>
        <v>435</v>
      </c>
      <c r="L1245" s="157"/>
      <c r="M1245" s="157">
        <v>12</v>
      </c>
      <c r="N1245" s="157"/>
      <c r="O1245" s="157"/>
      <c r="P1245" s="157"/>
      <c r="Q1245" s="157"/>
      <c r="R1245" s="157"/>
      <c r="S1245" s="157"/>
      <c r="T1245" s="157"/>
      <c r="U1245" s="157"/>
      <c r="V1245" s="158">
        <v>250</v>
      </c>
      <c r="W1245" s="205" t="s">
        <v>2180</v>
      </c>
      <c r="X1245" s="1"/>
      <c r="Y1245" s="78">
        <f t="shared" si="163"/>
        <v>0</v>
      </c>
      <c r="Z1245" s="78">
        <f t="shared" si="164"/>
        <v>0</v>
      </c>
      <c r="AA1245" s="78">
        <f t="shared" si="168"/>
        <v>0</v>
      </c>
      <c r="AB1245" s="78">
        <f t="shared" si="165"/>
        <v>0</v>
      </c>
      <c r="AC1245" s="78"/>
      <c r="AD1245" s="78">
        <v>0</v>
      </c>
      <c r="AE1245" s="80">
        <f t="shared" si="167"/>
        <v>0</v>
      </c>
      <c r="AF1245" s="82">
        <v>0</v>
      </c>
      <c r="AG1245" s="69"/>
      <c r="AH1245" s="84"/>
      <c r="AI1245" s="69" t="s">
        <v>2009</v>
      </c>
      <c r="AJ1245" s="25" t="s">
        <v>2010</v>
      </c>
      <c r="AK1245" s="65"/>
      <c r="AL1245" s="184" t="s">
        <v>2663</v>
      </c>
      <c r="AM1245" s="173" t="s">
        <v>283</v>
      </c>
      <c r="AN1245" s="159"/>
      <c r="AO1245" s="160"/>
      <c r="AP1245" s="161"/>
      <c r="AQ1245" s="160"/>
      <c r="AR1245" s="160"/>
      <c r="AS1245" s="160"/>
      <c r="AT1245" s="160"/>
      <c r="AU1245" s="160"/>
      <c r="AV1245" s="160"/>
      <c r="AW1245" s="160"/>
      <c r="AX1245" s="160"/>
      <c r="AY1245" s="160"/>
      <c r="AZ1245" s="160"/>
      <c r="BA1245" s="160"/>
      <c r="BB1245" s="160"/>
      <c r="BC1245" s="160"/>
      <c r="BD1245" s="160"/>
      <c r="BE1245" s="160"/>
      <c r="BF1245" s="160"/>
      <c r="BG1245" s="160"/>
      <c r="BH1245" s="160"/>
      <c r="BI1245" s="160"/>
      <c r="BJ1245" s="160"/>
      <c r="BK1245" s="160"/>
      <c r="BL1245" s="160"/>
      <c r="BM1245" s="160"/>
      <c r="BN1245" s="160"/>
      <c r="BO1245" s="160"/>
      <c r="BP1245" s="160"/>
      <c r="BQ1245" s="160"/>
      <c r="BR1245" s="160"/>
      <c r="BS1245" s="160"/>
      <c r="BT1245" s="160"/>
      <c r="BU1245" s="160"/>
      <c r="BV1245" s="160"/>
      <c r="BW1245" s="160"/>
      <c r="BX1245" s="160"/>
      <c r="BY1245" s="160"/>
      <c r="BZ1245" s="160"/>
      <c r="CA1245" s="160"/>
      <c r="CB1245" s="160"/>
      <c r="CC1245" s="160"/>
      <c r="CD1245" s="160"/>
      <c r="CE1245" s="160"/>
      <c r="CF1245" s="160"/>
      <c r="CG1245" s="160"/>
      <c r="CH1245" s="160"/>
      <c r="CI1245" s="160"/>
      <c r="CJ1245" s="160"/>
      <c r="CK1245" s="160"/>
      <c r="CL1245" s="160"/>
      <c r="CM1245" s="160"/>
      <c r="CN1245" s="160"/>
      <c r="CO1245" s="160"/>
      <c r="CP1245" s="162"/>
      <c r="CQ1245" s="163"/>
      <c r="CR1245" s="162"/>
      <c r="CS1245" s="163"/>
      <c r="CT1245" s="162"/>
      <c r="CU1245" s="163"/>
      <c r="CV1245" s="164">
        <f t="shared" si="166"/>
        <v>0</v>
      </c>
      <c r="CW1245" s="165"/>
      <c r="CX1245" s="166"/>
      <c r="CY1245" s="167"/>
      <c r="CZ1245" s="168"/>
      <c r="DA1245" s="169"/>
      <c r="DB1245" s="168"/>
      <c r="DC1245" s="165"/>
      <c r="DD1245" s="166"/>
      <c r="DE1245" s="71"/>
      <c r="DF1245" s="170"/>
      <c r="EO1245" s="353" t="str">
        <f t="shared" si="169"/>
        <v>SANTANDER_EL CARMEN DE CHUCURI</v>
      </c>
      <c r="EP1245" s="350"/>
      <c r="EQ1245" s="350"/>
      <c r="ER1245" s="357"/>
      <c r="ES1245" s="350"/>
      <c r="ET1245" s="350"/>
      <c r="EU1245" s="350"/>
    </row>
    <row r="1246" spans="1:151" s="171" customFormat="1" ht="51" x14ac:dyDescent="0.2">
      <c r="A1246" s="242">
        <v>40452</v>
      </c>
      <c r="B1246" s="222" t="s">
        <v>2427</v>
      </c>
      <c r="C1246" s="222" t="s">
        <v>4549</v>
      </c>
      <c r="D1246" s="430" t="s">
        <v>837</v>
      </c>
      <c r="E1246" s="107" t="str">
        <f>VLOOKUP(B1246&amp;C1246,Divipola!$C$2:$F$1138,4,FALSE)</f>
        <v>68245</v>
      </c>
      <c r="F1246" s="333"/>
      <c r="G1246" s="275"/>
      <c r="H1246" s="157"/>
      <c r="I1246" s="157"/>
      <c r="J1246" s="157">
        <v>50</v>
      </c>
      <c r="K1246" s="157">
        <v>10</v>
      </c>
      <c r="L1246" s="157">
        <v>10</v>
      </c>
      <c r="M1246" s="157"/>
      <c r="N1246" s="157">
        <v>3</v>
      </c>
      <c r="O1246" s="157"/>
      <c r="P1246" s="157"/>
      <c r="Q1246" s="157"/>
      <c r="R1246" s="157"/>
      <c r="S1246" s="157"/>
      <c r="T1246" s="157"/>
      <c r="U1246" s="157"/>
      <c r="V1246" s="158">
        <v>350</v>
      </c>
      <c r="W1246" s="182"/>
      <c r="X1246" s="1"/>
      <c r="Y1246" s="78">
        <f t="shared" si="163"/>
        <v>0</v>
      </c>
      <c r="Z1246" s="78">
        <f t="shared" si="164"/>
        <v>0</v>
      </c>
      <c r="AA1246" s="78">
        <f t="shared" si="168"/>
        <v>0</v>
      </c>
      <c r="AB1246" s="78">
        <f t="shared" si="165"/>
        <v>0</v>
      </c>
      <c r="AC1246" s="78"/>
      <c r="AD1246" s="78">
        <v>0</v>
      </c>
      <c r="AE1246" s="80">
        <f t="shared" si="167"/>
        <v>0</v>
      </c>
      <c r="AF1246" s="82">
        <v>0</v>
      </c>
      <c r="AG1246" s="69"/>
      <c r="AH1246" s="84"/>
      <c r="AI1246" s="69" t="s">
        <v>2009</v>
      </c>
      <c r="AJ1246" s="25" t="s">
        <v>2010</v>
      </c>
      <c r="AK1246" s="65"/>
      <c r="AL1246" s="184" t="s">
        <v>2663</v>
      </c>
      <c r="AM1246" s="173" t="s">
        <v>283</v>
      </c>
      <c r="AN1246" s="159"/>
      <c r="AO1246" s="160"/>
      <c r="AP1246" s="161"/>
      <c r="AQ1246" s="160"/>
      <c r="AR1246" s="160"/>
      <c r="AS1246" s="160"/>
      <c r="AT1246" s="160"/>
      <c r="AU1246" s="160"/>
      <c r="AV1246" s="160"/>
      <c r="AW1246" s="160"/>
      <c r="AX1246" s="160"/>
      <c r="AY1246" s="160"/>
      <c r="AZ1246" s="160"/>
      <c r="BA1246" s="160"/>
      <c r="BB1246" s="160"/>
      <c r="BC1246" s="160"/>
      <c r="BD1246" s="160"/>
      <c r="BE1246" s="160"/>
      <c r="BF1246" s="160"/>
      <c r="BG1246" s="160"/>
      <c r="BH1246" s="160"/>
      <c r="BI1246" s="160"/>
      <c r="BJ1246" s="160"/>
      <c r="BK1246" s="160"/>
      <c r="BL1246" s="160"/>
      <c r="BM1246" s="160"/>
      <c r="BN1246" s="160"/>
      <c r="BO1246" s="160"/>
      <c r="BP1246" s="160"/>
      <c r="BQ1246" s="160"/>
      <c r="BR1246" s="160"/>
      <c r="BS1246" s="160"/>
      <c r="BT1246" s="160"/>
      <c r="BU1246" s="160"/>
      <c r="BV1246" s="160"/>
      <c r="BW1246" s="160"/>
      <c r="BX1246" s="160"/>
      <c r="BY1246" s="160"/>
      <c r="BZ1246" s="160"/>
      <c r="CA1246" s="160"/>
      <c r="CB1246" s="160"/>
      <c r="CC1246" s="160"/>
      <c r="CD1246" s="160"/>
      <c r="CE1246" s="160"/>
      <c r="CF1246" s="160"/>
      <c r="CG1246" s="160"/>
      <c r="CH1246" s="160"/>
      <c r="CI1246" s="160"/>
      <c r="CJ1246" s="160"/>
      <c r="CK1246" s="160"/>
      <c r="CL1246" s="160"/>
      <c r="CM1246" s="160"/>
      <c r="CN1246" s="160"/>
      <c r="CO1246" s="160"/>
      <c r="CP1246" s="162"/>
      <c r="CQ1246" s="163"/>
      <c r="CR1246" s="162"/>
      <c r="CS1246" s="163"/>
      <c r="CT1246" s="162"/>
      <c r="CU1246" s="163"/>
      <c r="CV1246" s="164">
        <f t="shared" si="166"/>
        <v>0</v>
      </c>
      <c r="CW1246" s="165"/>
      <c r="CX1246" s="166"/>
      <c r="CY1246" s="167"/>
      <c r="CZ1246" s="168"/>
      <c r="DA1246" s="169"/>
      <c r="DB1246" s="168"/>
      <c r="DC1246" s="165"/>
      <c r="DD1246" s="166"/>
      <c r="DE1246" s="71"/>
      <c r="DF1246" s="170"/>
      <c r="EO1246" s="353" t="str">
        <f t="shared" si="169"/>
        <v>SANTANDER_EL GUACAMAYO</v>
      </c>
      <c r="EP1246" s="350"/>
      <c r="EQ1246" s="350"/>
      <c r="ER1246" s="357"/>
      <c r="ES1246" s="350"/>
      <c r="ET1246" s="350"/>
      <c r="EU1246" s="350"/>
    </row>
    <row r="1247" spans="1:151" s="171" customFormat="1" ht="25.5" x14ac:dyDescent="0.2">
      <c r="A1247" s="242">
        <v>40452</v>
      </c>
      <c r="B1247" s="222" t="s">
        <v>2427</v>
      </c>
      <c r="C1247" s="222" t="s">
        <v>1890</v>
      </c>
      <c r="D1247" s="430" t="s">
        <v>2307</v>
      </c>
      <c r="E1247" s="107" t="str">
        <f>VLOOKUP(B1247&amp;C1247,Divipola!$C$2:$F$1138,4,FALSE)</f>
        <v>68296</v>
      </c>
      <c r="F1247" s="333"/>
      <c r="G1247" s="275"/>
      <c r="H1247" s="157"/>
      <c r="I1247" s="157"/>
      <c r="J1247" s="157">
        <f>89*5</f>
        <v>445</v>
      </c>
      <c r="K1247" s="157">
        <v>89</v>
      </c>
      <c r="L1247" s="157"/>
      <c r="M1247" s="157">
        <v>61</v>
      </c>
      <c r="N1247" s="157"/>
      <c r="O1247" s="157"/>
      <c r="P1247" s="157"/>
      <c r="Q1247" s="157"/>
      <c r="R1247" s="157"/>
      <c r="S1247" s="157"/>
      <c r="T1247" s="157">
        <v>4</v>
      </c>
      <c r="U1247" s="157"/>
      <c r="V1247" s="158">
        <v>220</v>
      </c>
      <c r="W1247" s="205" t="s">
        <v>2180</v>
      </c>
      <c r="X1247" s="1"/>
      <c r="Y1247" s="78">
        <f t="shared" si="163"/>
        <v>0</v>
      </c>
      <c r="Z1247" s="78">
        <f t="shared" si="164"/>
        <v>0</v>
      </c>
      <c r="AA1247" s="78">
        <f t="shared" si="168"/>
        <v>0</v>
      </c>
      <c r="AB1247" s="78">
        <f t="shared" si="165"/>
        <v>0</v>
      </c>
      <c r="AC1247" s="78"/>
      <c r="AD1247" s="78">
        <v>0</v>
      </c>
      <c r="AE1247" s="80">
        <f t="shared" si="167"/>
        <v>0</v>
      </c>
      <c r="AF1247" s="82">
        <v>0</v>
      </c>
      <c r="AG1247" s="69"/>
      <c r="AH1247" s="84"/>
      <c r="AI1247" s="69" t="s">
        <v>2009</v>
      </c>
      <c r="AJ1247" s="25" t="s">
        <v>2010</v>
      </c>
      <c r="AK1247" s="65"/>
      <c r="AL1247" s="184" t="s">
        <v>2663</v>
      </c>
      <c r="AM1247" s="173" t="s">
        <v>283</v>
      </c>
      <c r="AN1247" s="159"/>
      <c r="AO1247" s="160"/>
      <c r="AP1247" s="161"/>
      <c r="AQ1247" s="160"/>
      <c r="AR1247" s="160"/>
      <c r="AS1247" s="160"/>
      <c r="AT1247" s="160"/>
      <c r="AU1247" s="160"/>
      <c r="AV1247" s="160"/>
      <c r="AW1247" s="160"/>
      <c r="AX1247" s="160"/>
      <c r="AY1247" s="160"/>
      <c r="AZ1247" s="160"/>
      <c r="BA1247" s="160"/>
      <c r="BB1247" s="160"/>
      <c r="BC1247" s="160"/>
      <c r="BD1247" s="160"/>
      <c r="BE1247" s="160"/>
      <c r="BF1247" s="160"/>
      <c r="BG1247" s="160"/>
      <c r="BH1247" s="160"/>
      <c r="BI1247" s="160"/>
      <c r="BJ1247" s="160"/>
      <c r="BK1247" s="160"/>
      <c r="BL1247" s="160"/>
      <c r="BM1247" s="160"/>
      <c r="BN1247" s="160"/>
      <c r="BO1247" s="160"/>
      <c r="BP1247" s="160"/>
      <c r="BQ1247" s="160"/>
      <c r="BR1247" s="160"/>
      <c r="BS1247" s="160"/>
      <c r="BT1247" s="160"/>
      <c r="BU1247" s="160"/>
      <c r="BV1247" s="160"/>
      <c r="BW1247" s="160"/>
      <c r="BX1247" s="160"/>
      <c r="BY1247" s="160"/>
      <c r="BZ1247" s="160"/>
      <c r="CA1247" s="160"/>
      <c r="CB1247" s="160"/>
      <c r="CC1247" s="160"/>
      <c r="CD1247" s="160"/>
      <c r="CE1247" s="160"/>
      <c r="CF1247" s="160"/>
      <c r="CG1247" s="160"/>
      <c r="CH1247" s="160"/>
      <c r="CI1247" s="160"/>
      <c r="CJ1247" s="160"/>
      <c r="CK1247" s="160"/>
      <c r="CL1247" s="160"/>
      <c r="CM1247" s="160"/>
      <c r="CN1247" s="160"/>
      <c r="CO1247" s="160"/>
      <c r="CP1247" s="162"/>
      <c r="CQ1247" s="163"/>
      <c r="CR1247" s="162"/>
      <c r="CS1247" s="163"/>
      <c r="CT1247" s="162"/>
      <c r="CU1247" s="163"/>
      <c r="CV1247" s="164">
        <f t="shared" si="166"/>
        <v>0</v>
      </c>
      <c r="CW1247" s="165"/>
      <c r="CX1247" s="166"/>
      <c r="CY1247" s="167"/>
      <c r="CZ1247" s="168"/>
      <c r="DA1247" s="169"/>
      <c r="DB1247" s="168"/>
      <c r="DC1247" s="165"/>
      <c r="DD1247" s="166"/>
      <c r="DE1247" s="71"/>
      <c r="DF1247" s="170"/>
      <c r="EO1247" s="353" t="str">
        <f t="shared" si="169"/>
        <v>SANTANDER_GALAN</v>
      </c>
      <c r="EP1247" s="350"/>
      <c r="EQ1247" s="350"/>
      <c r="ER1247" s="357"/>
      <c r="ES1247" s="350"/>
      <c r="ET1247" s="350"/>
      <c r="EU1247" s="350"/>
    </row>
    <row r="1248" spans="1:151" s="171" customFormat="1" ht="25.5" x14ac:dyDescent="0.2">
      <c r="A1248" s="242">
        <v>40452</v>
      </c>
      <c r="B1248" s="222" t="s">
        <v>2427</v>
      </c>
      <c r="C1248" s="222" t="s">
        <v>2652</v>
      </c>
      <c r="D1248" s="430" t="s">
        <v>2307</v>
      </c>
      <c r="E1248" s="107" t="str">
        <f>VLOOKUP(B1248&amp;C1248,Divipola!$C$2:$F$1138,4,FALSE)</f>
        <v>68318</v>
      </c>
      <c r="F1248" s="333"/>
      <c r="G1248" s="275"/>
      <c r="H1248" s="157"/>
      <c r="I1248" s="157"/>
      <c r="J1248" s="157">
        <f>918*5</f>
        <v>4590</v>
      </c>
      <c r="K1248" s="157">
        <v>918</v>
      </c>
      <c r="L1248" s="157"/>
      <c r="M1248" s="157">
        <v>15</v>
      </c>
      <c r="N1248" s="157">
        <v>2</v>
      </c>
      <c r="O1248" s="157"/>
      <c r="P1248" s="157"/>
      <c r="Q1248" s="157"/>
      <c r="R1248" s="157"/>
      <c r="S1248" s="157"/>
      <c r="T1248" s="157"/>
      <c r="U1248" s="157"/>
      <c r="V1248" s="158">
        <v>235</v>
      </c>
      <c r="W1248" s="205" t="s">
        <v>2180</v>
      </c>
      <c r="X1248" s="1"/>
      <c r="Y1248" s="78">
        <f t="shared" si="163"/>
        <v>0</v>
      </c>
      <c r="Z1248" s="78">
        <f t="shared" si="164"/>
        <v>0</v>
      </c>
      <c r="AA1248" s="78">
        <f t="shared" si="168"/>
        <v>0</v>
      </c>
      <c r="AB1248" s="78">
        <f t="shared" si="165"/>
        <v>0</v>
      </c>
      <c r="AC1248" s="78"/>
      <c r="AD1248" s="78">
        <v>0</v>
      </c>
      <c r="AE1248" s="80">
        <f t="shared" si="167"/>
        <v>0</v>
      </c>
      <c r="AF1248" s="82">
        <v>0</v>
      </c>
      <c r="AG1248" s="69"/>
      <c r="AH1248" s="84"/>
      <c r="AI1248" s="69" t="s">
        <v>2009</v>
      </c>
      <c r="AJ1248" s="25" t="s">
        <v>2010</v>
      </c>
      <c r="AK1248" s="65"/>
      <c r="AL1248" s="184" t="s">
        <v>2663</v>
      </c>
      <c r="AM1248" s="173" t="s">
        <v>283</v>
      </c>
      <c r="AN1248" s="159"/>
      <c r="AO1248" s="160"/>
      <c r="AP1248" s="161"/>
      <c r="AQ1248" s="160"/>
      <c r="AR1248" s="160"/>
      <c r="AS1248" s="160"/>
      <c r="AT1248" s="160"/>
      <c r="AU1248" s="160"/>
      <c r="AV1248" s="160"/>
      <c r="AW1248" s="160"/>
      <c r="AX1248" s="160"/>
      <c r="AY1248" s="160"/>
      <c r="AZ1248" s="160"/>
      <c r="BA1248" s="160"/>
      <c r="BB1248" s="160"/>
      <c r="BC1248" s="160"/>
      <c r="BD1248" s="160"/>
      <c r="BE1248" s="160"/>
      <c r="BF1248" s="160"/>
      <c r="BG1248" s="160"/>
      <c r="BH1248" s="160"/>
      <c r="BI1248" s="160"/>
      <c r="BJ1248" s="160"/>
      <c r="BK1248" s="160"/>
      <c r="BL1248" s="160"/>
      <c r="BM1248" s="160"/>
      <c r="BN1248" s="160"/>
      <c r="BO1248" s="160"/>
      <c r="BP1248" s="160"/>
      <c r="BQ1248" s="160"/>
      <c r="BR1248" s="160"/>
      <c r="BS1248" s="160"/>
      <c r="BT1248" s="160"/>
      <c r="BU1248" s="160"/>
      <c r="BV1248" s="160"/>
      <c r="BW1248" s="160"/>
      <c r="BX1248" s="160"/>
      <c r="BY1248" s="160"/>
      <c r="BZ1248" s="160"/>
      <c r="CA1248" s="160"/>
      <c r="CB1248" s="160"/>
      <c r="CC1248" s="160"/>
      <c r="CD1248" s="160"/>
      <c r="CE1248" s="160"/>
      <c r="CF1248" s="160"/>
      <c r="CG1248" s="160"/>
      <c r="CH1248" s="160"/>
      <c r="CI1248" s="160"/>
      <c r="CJ1248" s="160"/>
      <c r="CK1248" s="160"/>
      <c r="CL1248" s="160"/>
      <c r="CM1248" s="160"/>
      <c r="CN1248" s="160"/>
      <c r="CO1248" s="160"/>
      <c r="CP1248" s="162"/>
      <c r="CQ1248" s="163"/>
      <c r="CR1248" s="162"/>
      <c r="CS1248" s="163"/>
      <c r="CT1248" s="162"/>
      <c r="CU1248" s="163"/>
      <c r="CV1248" s="164">
        <f t="shared" si="166"/>
        <v>0</v>
      </c>
      <c r="CW1248" s="165"/>
      <c r="CX1248" s="166"/>
      <c r="CY1248" s="167"/>
      <c r="CZ1248" s="168"/>
      <c r="DA1248" s="169"/>
      <c r="DB1248" s="168"/>
      <c r="DC1248" s="165"/>
      <c r="DD1248" s="166"/>
      <c r="DE1248" s="71"/>
      <c r="DF1248" s="170"/>
      <c r="EO1248" s="353" t="str">
        <f t="shared" si="169"/>
        <v>SANTANDER_GUACA</v>
      </c>
      <c r="EP1248" s="350"/>
      <c r="EQ1248" s="350"/>
      <c r="ER1248" s="357"/>
      <c r="ES1248" s="350"/>
      <c r="ET1248" s="350"/>
      <c r="EU1248" s="350"/>
    </row>
    <row r="1249" spans="1:151" s="171" customFormat="1" ht="38.25" x14ac:dyDescent="0.2">
      <c r="A1249" s="242">
        <v>40452</v>
      </c>
      <c r="B1249" s="222" t="s">
        <v>2427</v>
      </c>
      <c r="C1249" s="222" t="s">
        <v>2653</v>
      </c>
      <c r="D1249" s="430" t="s">
        <v>2307</v>
      </c>
      <c r="E1249" s="107" t="str">
        <f>VLOOKUP(B1249&amp;C1249,Divipola!$C$2:$F$1138,4,FALSE)</f>
        <v>68322</v>
      </c>
      <c r="F1249" s="333"/>
      <c r="G1249" s="275"/>
      <c r="H1249" s="157"/>
      <c r="I1249" s="157"/>
      <c r="J1249" s="157">
        <v>150</v>
      </c>
      <c r="K1249" s="157">
        <v>30</v>
      </c>
      <c r="L1249" s="157">
        <v>2</v>
      </c>
      <c r="M1249" s="157">
        <v>20</v>
      </c>
      <c r="N1249" s="157">
        <v>2</v>
      </c>
      <c r="O1249" s="157"/>
      <c r="P1249" s="157"/>
      <c r="Q1249" s="157"/>
      <c r="R1249" s="157"/>
      <c r="S1249" s="157"/>
      <c r="T1249" s="157"/>
      <c r="U1249" s="157"/>
      <c r="V1249" s="158">
        <v>125</v>
      </c>
      <c r="W1249" s="182"/>
      <c r="X1249" s="1"/>
      <c r="Y1249" s="78">
        <f t="shared" si="163"/>
        <v>0</v>
      </c>
      <c r="Z1249" s="78">
        <f t="shared" si="164"/>
        <v>0</v>
      </c>
      <c r="AA1249" s="78">
        <f t="shared" si="168"/>
        <v>0</v>
      </c>
      <c r="AB1249" s="78">
        <f t="shared" si="165"/>
        <v>0</v>
      </c>
      <c r="AC1249" s="78"/>
      <c r="AD1249" s="78">
        <v>0</v>
      </c>
      <c r="AE1249" s="80">
        <f t="shared" si="167"/>
        <v>0</v>
      </c>
      <c r="AF1249" s="82">
        <v>0</v>
      </c>
      <c r="AG1249" s="69"/>
      <c r="AH1249" s="84"/>
      <c r="AI1249" s="69" t="s">
        <v>2009</v>
      </c>
      <c r="AJ1249" s="25" t="s">
        <v>2010</v>
      </c>
      <c r="AK1249" s="65"/>
      <c r="AL1249" s="184" t="s">
        <v>2663</v>
      </c>
      <c r="AM1249" s="173" t="s">
        <v>283</v>
      </c>
      <c r="AN1249" s="159"/>
      <c r="AO1249" s="160"/>
      <c r="AP1249" s="161"/>
      <c r="AQ1249" s="160"/>
      <c r="AR1249" s="160"/>
      <c r="AS1249" s="160"/>
      <c r="AT1249" s="160"/>
      <c r="AU1249" s="160"/>
      <c r="AV1249" s="160"/>
      <c r="AW1249" s="160"/>
      <c r="AX1249" s="160"/>
      <c r="AY1249" s="160"/>
      <c r="AZ1249" s="160"/>
      <c r="BA1249" s="160"/>
      <c r="BB1249" s="160"/>
      <c r="BC1249" s="160"/>
      <c r="BD1249" s="160"/>
      <c r="BE1249" s="160"/>
      <c r="BF1249" s="160"/>
      <c r="BG1249" s="160"/>
      <c r="BH1249" s="160"/>
      <c r="BI1249" s="160"/>
      <c r="BJ1249" s="160"/>
      <c r="BK1249" s="160"/>
      <c r="BL1249" s="160"/>
      <c r="BM1249" s="160"/>
      <c r="BN1249" s="160"/>
      <c r="BO1249" s="160"/>
      <c r="BP1249" s="160"/>
      <c r="BQ1249" s="160"/>
      <c r="BR1249" s="160"/>
      <c r="BS1249" s="160"/>
      <c r="BT1249" s="160"/>
      <c r="BU1249" s="160"/>
      <c r="BV1249" s="160"/>
      <c r="BW1249" s="160"/>
      <c r="BX1249" s="160"/>
      <c r="BY1249" s="160"/>
      <c r="BZ1249" s="160"/>
      <c r="CA1249" s="160"/>
      <c r="CB1249" s="160"/>
      <c r="CC1249" s="160"/>
      <c r="CD1249" s="160"/>
      <c r="CE1249" s="160"/>
      <c r="CF1249" s="160"/>
      <c r="CG1249" s="160"/>
      <c r="CH1249" s="160"/>
      <c r="CI1249" s="160"/>
      <c r="CJ1249" s="160"/>
      <c r="CK1249" s="160"/>
      <c r="CL1249" s="160"/>
      <c r="CM1249" s="160"/>
      <c r="CN1249" s="160"/>
      <c r="CO1249" s="160"/>
      <c r="CP1249" s="162"/>
      <c r="CQ1249" s="163"/>
      <c r="CR1249" s="162"/>
      <c r="CS1249" s="163"/>
      <c r="CT1249" s="162"/>
      <c r="CU1249" s="163"/>
      <c r="CV1249" s="164">
        <f t="shared" si="166"/>
        <v>0</v>
      </c>
      <c r="CW1249" s="165"/>
      <c r="CX1249" s="166"/>
      <c r="CY1249" s="167"/>
      <c r="CZ1249" s="168"/>
      <c r="DA1249" s="169"/>
      <c r="DB1249" s="168"/>
      <c r="DC1249" s="165"/>
      <c r="DD1249" s="166"/>
      <c r="DE1249" s="71"/>
      <c r="DF1249" s="170"/>
      <c r="EO1249" s="353" t="str">
        <f t="shared" si="169"/>
        <v>SANTANDER_GUAPOTA</v>
      </c>
      <c r="EP1249" s="350"/>
      <c r="EQ1249" s="350"/>
      <c r="ER1249" s="357"/>
      <c r="ES1249" s="350"/>
      <c r="ET1249" s="350"/>
      <c r="EU1249" s="350"/>
    </row>
    <row r="1250" spans="1:151" s="171" customFormat="1" ht="25.5" x14ac:dyDescent="0.2">
      <c r="A1250" s="242">
        <v>40452</v>
      </c>
      <c r="B1250" s="222" t="s">
        <v>2427</v>
      </c>
      <c r="C1250" s="222" t="s">
        <v>4556</v>
      </c>
      <c r="D1250" s="430" t="s">
        <v>2307</v>
      </c>
      <c r="E1250" s="107" t="str">
        <f>VLOOKUP(B1250&amp;C1250,Divipola!$C$2:$F$1138,4,FALSE)</f>
        <v>68344</v>
      </c>
      <c r="F1250" s="333"/>
      <c r="G1250" s="275"/>
      <c r="H1250" s="157"/>
      <c r="I1250" s="157"/>
      <c r="J1250" s="157">
        <f>114*5</f>
        <v>570</v>
      </c>
      <c r="K1250" s="157">
        <v>114</v>
      </c>
      <c r="L1250" s="157">
        <v>85</v>
      </c>
      <c r="M1250" s="157">
        <v>26</v>
      </c>
      <c r="N1250" s="157">
        <v>5</v>
      </c>
      <c r="O1250" s="157"/>
      <c r="P1250" s="157"/>
      <c r="Q1250" s="157"/>
      <c r="R1250" s="157"/>
      <c r="S1250" s="157"/>
      <c r="T1250" s="157"/>
      <c r="U1250" s="157"/>
      <c r="V1250" s="158">
        <v>100</v>
      </c>
      <c r="W1250" s="205" t="s">
        <v>2180</v>
      </c>
      <c r="X1250" s="1"/>
      <c r="Y1250" s="78">
        <f t="shared" si="163"/>
        <v>0</v>
      </c>
      <c r="Z1250" s="78">
        <f t="shared" si="164"/>
        <v>0</v>
      </c>
      <c r="AA1250" s="78">
        <f t="shared" si="168"/>
        <v>0</v>
      </c>
      <c r="AB1250" s="78">
        <f t="shared" si="165"/>
        <v>0</v>
      </c>
      <c r="AC1250" s="78"/>
      <c r="AD1250" s="78">
        <v>0</v>
      </c>
      <c r="AE1250" s="80">
        <f t="shared" si="167"/>
        <v>0</v>
      </c>
      <c r="AF1250" s="82">
        <v>0</v>
      </c>
      <c r="AG1250" s="69"/>
      <c r="AH1250" s="84"/>
      <c r="AI1250" s="69" t="s">
        <v>2009</v>
      </c>
      <c r="AJ1250" s="25" t="s">
        <v>2010</v>
      </c>
      <c r="AK1250" s="65"/>
      <c r="AL1250" s="184" t="s">
        <v>2663</v>
      </c>
      <c r="AM1250" s="173" t="s">
        <v>283</v>
      </c>
      <c r="AN1250" s="159"/>
      <c r="AO1250" s="160"/>
      <c r="AP1250" s="161"/>
      <c r="AQ1250" s="160"/>
      <c r="AR1250" s="160"/>
      <c r="AS1250" s="160"/>
      <c r="AT1250" s="160"/>
      <c r="AU1250" s="160"/>
      <c r="AV1250" s="160"/>
      <c r="AW1250" s="160"/>
      <c r="AX1250" s="160"/>
      <c r="AY1250" s="160"/>
      <c r="AZ1250" s="160"/>
      <c r="BA1250" s="160"/>
      <c r="BB1250" s="160"/>
      <c r="BC1250" s="160"/>
      <c r="BD1250" s="160"/>
      <c r="BE1250" s="160"/>
      <c r="BF1250" s="160"/>
      <c r="BG1250" s="160"/>
      <c r="BH1250" s="160"/>
      <c r="BI1250" s="160"/>
      <c r="BJ1250" s="160"/>
      <c r="BK1250" s="160"/>
      <c r="BL1250" s="160"/>
      <c r="BM1250" s="160"/>
      <c r="BN1250" s="160"/>
      <c r="BO1250" s="160"/>
      <c r="BP1250" s="160"/>
      <c r="BQ1250" s="160"/>
      <c r="BR1250" s="160"/>
      <c r="BS1250" s="160"/>
      <c r="BT1250" s="160"/>
      <c r="BU1250" s="160"/>
      <c r="BV1250" s="160"/>
      <c r="BW1250" s="160"/>
      <c r="BX1250" s="160"/>
      <c r="BY1250" s="160"/>
      <c r="BZ1250" s="160"/>
      <c r="CA1250" s="160"/>
      <c r="CB1250" s="160"/>
      <c r="CC1250" s="160"/>
      <c r="CD1250" s="160"/>
      <c r="CE1250" s="160"/>
      <c r="CF1250" s="160"/>
      <c r="CG1250" s="160"/>
      <c r="CH1250" s="160"/>
      <c r="CI1250" s="160"/>
      <c r="CJ1250" s="160"/>
      <c r="CK1250" s="160"/>
      <c r="CL1250" s="160"/>
      <c r="CM1250" s="160"/>
      <c r="CN1250" s="160"/>
      <c r="CO1250" s="160"/>
      <c r="CP1250" s="162"/>
      <c r="CQ1250" s="163"/>
      <c r="CR1250" s="162"/>
      <c r="CS1250" s="163"/>
      <c r="CT1250" s="162"/>
      <c r="CU1250" s="163"/>
      <c r="CV1250" s="164">
        <f t="shared" si="166"/>
        <v>0</v>
      </c>
      <c r="CW1250" s="165"/>
      <c r="CX1250" s="166"/>
      <c r="CY1250" s="167"/>
      <c r="CZ1250" s="168"/>
      <c r="DA1250" s="169"/>
      <c r="DB1250" s="168"/>
      <c r="DC1250" s="165"/>
      <c r="DD1250" s="166"/>
      <c r="DE1250" s="71"/>
      <c r="DF1250" s="170"/>
      <c r="EO1250" s="353" t="str">
        <f t="shared" si="169"/>
        <v>SANTANDER_HATO</v>
      </c>
      <c r="EP1250" s="350"/>
      <c r="EQ1250" s="350"/>
      <c r="ER1250" s="357"/>
      <c r="ES1250" s="350"/>
      <c r="ET1250" s="350"/>
      <c r="EU1250" s="350"/>
    </row>
    <row r="1251" spans="1:151" s="171" customFormat="1" ht="38.25" x14ac:dyDescent="0.2">
      <c r="A1251" s="242">
        <v>40452</v>
      </c>
      <c r="B1251" s="222" t="s">
        <v>2427</v>
      </c>
      <c r="C1251" s="222" t="s">
        <v>2654</v>
      </c>
      <c r="D1251" s="430" t="s">
        <v>2307</v>
      </c>
      <c r="E1251" s="107" t="str">
        <f>VLOOKUP(B1251&amp;C1251,Divipola!$C$2:$F$1138,4,FALSE)</f>
        <v>68425</v>
      </c>
      <c r="F1251" s="333"/>
      <c r="G1251" s="275">
        <v>1</v>
      </c>
      <c r="H1251" s="157"/>
      <c r="I1251" s="157"/>
      <c r="J1251" s="157">
        <v>598</v>
      </c>
      <c r="K1251" s="157">
        <v>292</v>
      </c>
      <c r="L1251" s="157"/>
      <c r="M1251" s="157">
        <v>30</v>
      </c>
      <c r="N1251" s="157">
        <v>3</v>
      </c>
      <c r="O1251" s="157"/>
      <c r="P1251" s="157"/>
      <c r="Q1251" s="157"/>
      <c r="R1251" s="157"/>
      <c r="S1251" s="157"/>
      <c r="T1251" s="157"/>
      <c r="U1251" s="157"/>
      <c r="V1251" s="158">
        <v>289</v>
      </c>
      <c r="W1251" s="182"/>
      <c r="X1251" s="1"/>
      <c r="Y1251" s="78">
        <f t="shared" si="163"/>
        <v>0</v>
      </c>
      <c r="Z1251" s="78">
        <f t="shared" si="164"/>
        <v>0</v>
      </c>
      <c r="AA1251" s="78">
        <f t="shared" si="168"/>
        <v>0</v>
      </c>
      <c r="AB1251" s="78">
        <f t="shared" si="165"/>
        <v>0</v>
      </c>
      <c r="AC1251" s="78"/>
      <c r="AD1251" s="78">
        <v>0</v>
      </c>
      <c r="AE1251" s="80">
        <f t="shared" si="167"/>
        <v>0</v>
      </c>
      <c r="AF1251" s="82">
        <v>0</v>
      </c>
      <c r="AG1251" s="69"/>
      <c r="AH1251" s="84"/>
      <c r="AI1251" s="69" t="s">
        <v>2009</v>
      </c>
      <c r="AJ1251" s="25" t="s">
        <v>2010</v>
      </c>
      <c r="AK1251" s="65"/>
      <c r="AL1251" s="184" t="s">
        <v>2663</v>
      </c>
      <c r="AM1251" s="173" t="s">
        <v>283</v>
      </c>
      <c r="AN1251" s="159"/>
      <c r="AO1251" s="160"/>
      <c r="AP1251" s="161"/>
      <c r="AQ1251" s="160"/>
      <c r="AR1251" s="160"/>
      <c r="AS1251" s="160"/>
      <c r="AT1251" s="160"/>
      <c r="AU1251" s="160"/>
      <c r="AV1251" s="160"/>
      <c r="AW1251" s="160"/>
      <c r="AX1251" s="160"/>
      <c r="AY1251" s="160"/>
      <c r="AZ1251" s="160"/>
      <c r="BA1251" s="160"/>
      <c r="BB1251" s="160"/>
      <c r="BC1251" s="160"/>
      <c r="BD1251" s="160"/>
      <c r="BE1251" s="160"/>
      <c r="BF1251" s="160"/>
      <c r="BG1251" s="160"/>
      <c r="BH1251" s="160"/>
      <c r="BI1251" s="160"/>
      <c r="BJ1251" s="160"/>
      <c r="BK1251" s="160"/>
      <c r="BL1251" s="160"/>
      <c r="BM1251" s="160"/>
      <c r="BN1251" s="160"/>
      <c r="BO1251" s="160"/>
      <c r="BP1251" s="160"/>
      <c r="BQ1251" s="160"/>
      <c r="BR1251" s="160"/>
      <c r="BS1251" s="160"/>
      <c r="BT1251" s="160"/>
      <c r="BU1251" s="160"/>
      <c r="BV1251" s="160"/>
      <c r="BW1251" s="160"/>
      <c r="BX1251" s="160"/>
      <c r="BY1251" s="160"/>
      <c r="BZ1251" s="160"/>
      <c r="CA1251" s="160"/>
      <c r="CB1251" s="160"/>
      <c r="CC1251" s="160"/>
      <c r="CD1251" s="160"/>
      <c r="CE1251" s="160"/>
      <c r="CF1251" s="160"/>
      <c r="CG1251" s="160"/>
      <c r="CH1251" s="160"/>
      <c r="CI1251" s="160"/>
      <c r="CJ1251" s="160"/>
      <c r="CK1251" s="160"/>
      <c r="CL1251" s="160"/>
      <c r="CM1251" s="160"/>
      <c r="CN1251" s="160"/>
      <c r="CO1251" s="160"/>
      <c r="CP1251" s="162"/>
      <c r="CQ1251" s="163"/>
      <c r="CR1251" s="162"/>
      <c r="CS1251" s="163"/>
      <c r="CT1251" s="162"/>
      <c r="CU1251" s="163"/>
      <c r="CV1251" s="164">
        <f t="shared" si="166"/>
        <v>0</v>
      </c>
      <c r="CW1251" s="165"/>
      <c r="CX1251" s="166"/>
      <c r="CY1251" s="167"/>
      <c r="CZ1251" s="168"/>
      <c r="DA1251" s="169"/>
      <c r="DB1251" s="168"/>
      <c r="DC1251" s="165"/>
      <c r="DD1251" s="166"/>
      <c r="DE1251" s="71"/>
      <c r="DF1251" s="170"/>
      <c r="EO1251" s="353" t="str">
        <f t="shared" si="169"/>
        <v>SANTANDER_MACARAVITA</v>
      </c>
      <c r="EP1251" s="350"/>
      <c r="EQ1251" s="350"/>
      <c r="ER1251" s="357"/>
      <c r="ES1251" s="350"/>
      <c r="ET1251" s="350"/>
      <c r="EU1251" s="350"/>
    </row>
    <row r="1252" spans="1:151" s="171" customFormat="1" ht="25.5" x14ac:dyDescent="0.2">
      <c r="A1252" s="242">
        <v>40452</v>
      </c>
      <c r="B1252" s="222" t="s">
        <v>2427</v>
      </c>
      <c r="C1252" s="222" t="s">
        <v>4562</v>
      </c>
      <c r="D1252" s="430" t="s">
        <v>2307</v>
      </c>
      <c r="E1252" s="107" t="str">
        <f>VLOOKUP(B1252&amp;C1252,Divipola!$C$2:$F$1138,4,FALSE)</f>
        <v>68522</v>
      </c>
      <c r="F1252" s="333"/>
      <c r="G1252" s="275"/>
      <c r="H1252" s="157"/>
      <c r="I1252" s="157"/>
      <c r="J1252" s="157">
        <f>25*5</f>
        <v>125</v>
      </c>
      <c r="K1252" s="157">
        <v>25</v>
      </c>
      <c r="L1252" s="157"/>
      <c r="M1252" s="157"/>
      <c r="N1252" s="157">
        <v>4</v>
      </c>
      <c r="O1252" s="157"/>
      <c r="P1252" s="157"/>
      <c r="Q1252" s="157"/>
      <c r="R1252" s="157"/>
      <c r="S1252" s="157"/>
      <c r="T1252" s="157"/>
      <c r="U1252" s="157"/>
      <c r="V1252" s="158">
        <v>60</v>
      </c>
      <c r="W1252" s="205" t="s">
        <v>2180</v>
      </c>
      <c r="X1252" s="1"/>
      <c r="Y1252" s="78">
        <f t="shared" si="163"/>
        <v>0</v>
      </c>
      <c r="Z1252" s="78">
        <f t="shared" si="164"/>
        <v>0</v>
      </c>
      <c r="AA1252" s="78">
        <f t="shared" si="168"/>
        <v>0</v>
      </c>
      <c r="AB1252" s="78">
        <f t="shared" si="165"/>
        <v>0</v>
      </c>
      <c r="AC1252" s="78"/>
      <c r="AD1252" s="78">
        <v>0</v>
      </c>
      <c r="AE1252" s="80">
        <f t="shared" si="167"/>
        <v>0</v>
      </c>
      <c r="AF1252" s="82">
        <v>0</v>
      </c>
      <c r="AG1252" s="69"/>
      <c r="AH1252" s="84"/>
      <c r="AI1252" s="69" t="s">
        <v>2009</v>
      </c>
      <c r="AJ1252" s="25" t="s">
        <v>2010</v>
      </c>
      <c r="AK1252" s="65"/>
      <c r="AL1252" s="184" t="s">
        <v>2663</v>
      </c>
      <c r="AM1252" s="173" t="s">
        <v>283</v>
      </c>
      <c r="AN1252" s="159"/>
      <c r="AO1252" s="160"/>
      <c r="AP1252" s="161"/>
      <c r="AQ1252" s="160"/>
      <c r="AR1252" s="160"/>
      <c r="AS1252" s="160"/>
      <c r="AT1252" s="160"/>
      <c r="AU1252" s="160"/>
      <c r="AV1252" s="160"/>
      <c r="AW1252" s="160"/>
      <c r="AX1252" s="160"/>
      <c r="AY1252" s="160"/>
      <c r="AZ1252" s="160"/>
      <c r="BA1252" s="160"/>
      <c r="BB1252" s="160"/>
      <c r="BC1252" s="160"/>
      <c r="BD1252" s="160"/>
      <c r="BE1252" s="160"/>
      <c r="BF1252" s="160"/>
      <c r="BG1252" s="160"/>
      <c r="BH1252" s="160"/>
      <c r="BI1252" s="160"/>
      <c r="BJ1252" s="160"/>
      <c r="BK1252" s="160"/>
      <c r="BL1252" s="160"/>
      <c r="BM1252" s="160"/>
      <c r="BN1252" s="160"/>
      <c r="BO1252" s="160"/>
      <c r="BP1252" s="160"/>
      <c r="BQ1252" s="160"/>
      <c r="BR1252" s="160"/>
      <c r="BS1252" s="160"/>
      <c r="BT1252" s="160"/>
      <c r="BU1252" s="160"/>
      <c r="BV1252" s="160"/>
      <c r="BW1252" s="160"/>
      <c r="BX1252" s="160"/>
      <c r="BY1252" s="160"/>
      <c r="BZ1252" s="160"/>
      <c r="CA1252" s="160"/>
      <c r="CB1252" s="160"/>
      <c r="CC1252" s="160"/>
      <c r="CD1252" s="160"/>
      <c r="CE1252" s="160"/>
      <c r="CF1252" s="160"/>
      <c r="CG1252" s="160"/>
      <c r="CH1252" s="160"/>
      <c r="CI1252" s="160"/>
      <c r="CJ1252" s="160"/>
      <c r="CK1252" s="160"/>
      <c r="CL1252" s="160"/>
      <c r="CM1252" s="160"/>
      <c r="CN1252" s="160"/>
      <c r="CO1252" s="160"/>
      <c r="CP1252" s="162"/>
      <c r="CQ1252" s="163"/>
      <c r="CR1252" s="162"/>
      <c r="CS1252" s="163"/>
      <c r="CT1252" s="162"/>
      <c r="CU1252" s="163"/>
      <c r="CV1252" s="164">
        <f t="shared" si="166"/>
        <v>0</v>
      </c>
      <c r="CW1252" s="165"/>
      <c r="CX1252" s="166"/>
      <c r="CY1252" s="167"/>
      <c r="CZ1252" s="168"/>
      <c r="DA1252" s="169"/>
      <c r="DB1252" s="168"/>
      <c r="DC1252" s="165"/>
      <c r="DD1252" s="166"/>
      <c r="DE1252" s="71"/>
      <c r="DF1252" s="170"/>
      <c r="EO1252" s="353" t="str">
        <f t="shared" si="169"/>
        <v>SANTANDER_PALMAR</v>
      </c>
      <c r="EP1252" s="350"/>
      <c r="EQ1252" s="350"/>
      <c r="ER1252" s="357"/>
      <c r="ES1252" s="350"/>
      <c r="ET1252" s="350"/>
      <c r="EU1252" s="350"/>
    </row>
    <row r="1253" spans="1:151" s="171" customFormat="1" ht="38.25" x14ac:dyDescent="0.2">
      <c r="A1253" s="242">
        <v>40452</v>
      </c>
      <c r="B1253" s="222" t="s">
        <v>2427</v>
      </c>
      <c r="C1253" s="222" t="s">
        <v>1822</v>
      </c>
      <c r="D1253" s="430" t="s">
        <v>837</v>
      </c>
      <c r="E1253" s="107" t="str">
        <f>VLOOKUP(B1253&amp;C1253,Divipola!$C$2:$F$1138,4,FALSE)</f>
        <v>68573</v>
      </c>
      <c r="F1253" s="333"/>
      <c r="G1253" s="275"/>
      <c r="H1253" s="157"/>
      <c r="I1253" s="157"/>
      <c r="J1253" s="157">
        <f>568*5</f>
        <v>2840</v>
      </c>
      <c r="K1253" s="157">
        <v>568</v>
      </c>
      <c r="L1253" s="157">
        <v>67</v>
      </c>
      <c r="M1253" s="157">
        <v>50</v>
      </c>
      <c r="N1253" s="157">
        <v>3</v>
      </c>
      <c r="O1253" s="157">
        <v>2</v>
      </c>
      <c r="P1253" s="157"/>
      <c r="Q1253" s="157"/>
      <c r="R1253" s="157"/>
      <c r="S1253" s="157"/>
      <c r="T1253" s="157"/>
      <c r="U1253" s="157"/>
      <c r="V1253" s="158">
        <v>485</v>
      </c>
      <c r="W1253" s="205" t="s">
        <v>2180</v>
      </c>
      <c r="X1253" s="1"/>
      <c r="Y1253" s="78">
        <f t="shared" si="163"/>
        <v>0</v>
      </c>
      <c r="Z1253" s="78">
        <f t="shared" si="164"/>
        <v>0</v>
      </c>
      <c r="AA1253" s="78">
        <f t="shared" si="168"/>
        <v>0</v>
      </c>
      <c r="AB1253" s="78">
        <f t="shared" si="165"/>
        <v>0</v>
      </c>
      <c r="AC1253" s="78"/>
      <c r="AD1253" s="78">
        <v>0</v>
      </c>
      <c r="AE1253" s="80">
        <f t="shared" si="167"/>
        <v>0</v>
      </c>
      <c r="AF1253" s="82">
        <v>0</v>
      </c>
      <c r="AG1253" s="69"/>
      <c r="AH1253" s="84"/>
      <c r="AI1253" s="69" t="s">
        <v>2009</v>
      </c>
      <c r="AJ1253" s="25" t="s">
        <v>2010</v>
      </c>
      <c r="AK1253" s="65"/>
      <c r="AL1253" s="184" t="s">
        <v>2663</v>
      </c>
      <c r="AM1253" s="173" t="s">
        <v>283</v>
      </c>
      <c r="AN1253" s="159"/>
      <c r="AO1253" s="160"/>
      <c r="AP1253" s="161"/>
      <c r="AQ1253" s="160"/>
      <c r="AR1253" s="160"/>
      <c r="AS1253" s="160"/>
      <c r="AT1253" s="160"/>
      <c r="AU1253" s="160"/>
      <c r="AV1253" s="160"/>
      <c r="AW1253" s="160"/>
      <c r="AX1253" s="160"/>
      <c r="AY1253" s="160"/>
      <c r="AZ1253" s="160"/>
      <c r="BA1253" s="160"/>
      <c r="BB1253" s="160"/>
      <c r="BC1253" s="160"/>
      <c r="BD1253" s="160"/>
      <c r="BE1253" s="160"/>
      <c r="BF1253" s="160"/>
      <c r="BG1253" s="160"/>
      <c r="BH1253" s="160"/>
      <c r="BI1253" s="160"/>
      <c r="BJ1253" s="160"/>
      <c r="BK1253" s="160"/>
      <c r="BL1253" s="160"/>
      <c r="BM1253" s="160"/>
      <c r="BN1253" s="160"/>
      <c r="BO1253" s="160"/>
      <c r="BP1253" s="160"/>
      <c r="BQ1253" s="160"/>
      <c r="BR1253" s="160"/>
      <c r="BS1253" s="160"/>
      <c r="BT1253" s="160"/>
      <c r="BU1253" s="160"/>
      <c r="BV1253" s="160"/>
      <c r="BW1253" s="160"/>
      <c r="BX1253" s="160"/>
      <c r="BY1253" s="160"/>
      <c r="BZ1253" s="160"/>
      <c r="CA1253" s="160"/>
      <c r="CB1253" s="160"/>
      <c r="CC1253" s="160"/>
      <c r="CD1253" s="160"/>
      <c r="CE1253" s="160"/>
      <c r="CF1253" s="160"/>
      <c r="CG1253" s="160"/>
      <c r="CH1253" s="160"/>
      <c r="CI1253" s="160"/>
      <c r="CJ1253" s="160"/>
      <c r="CK1253" s="160"/>
      <c r="CL1253" s="160"/>
      <c r="CM1253" s="160"/>
      <c r="CN1253" s="160"/>
      <c r="CO1253" s="160"/>
      <c r="CP1253" s="162"/>
      <c r="CQ1253" s="163"/>
      <c r="CR1253" s="162"/>
      <c r="CS1253" s="163"/>
      <c r="CT1253" s="162"/>
      <c r="CU1253" s="163"/>
      <c r="CV1253" s="164">
        <f t="shared" si="166"/>
        <v>0</v>
      </c>
      <c r="CW1253" s="165"/>
      <c r="CX1253" s="166"/>
      <c r="CY1253" s="167"/>
      <c r="CZ1253" s="168"/>
      <c r="DA1253" s="169"/>
      <c r="DB1253" s="168"/>
      <c r="DC1253" s="165"/>
      <c r="DD1253" s="166"/>
      <c r="DE1253" s="71"/>
      <c r="DF1253" s="170"/>
      <c r="EO1253" s="353" t="str">
        <f t="shared" si="169"/>
        <v>SANTANDER_PUERTO PARRA</v>
      </c>
      <c r="EP1253" s="350"/>
      <c r="EQ1253" s="350"/>
      <c r="ER1253" s="357"/>
      <c r="ES1253" s="350"/>
      <c r="ET1253" s="350"/>
      <c r="EU1253" s="350"/>
    </row>
    <row r="1254" spans="1:151" s="171" customFormat="1" ht="38.25" x14ac:dyDescent="0.2">
      <c r="A1254" s="242">
        <v>40452</v>
      </c>
      <c r="B1254" s="222" t="s">
        <v>2427</v>
      </c>
      <c r="C1254" s="222" t="s">
        <v>2655</v>
      </c>
      <c r="D1254" s="430" t="s">
        <v>837</v>
      </c>
      <c r="E1254" s="107" t="str">
        <f>VLOOKUP(B1254&amp;C1254,Divipola!$C$2:$F$1138,4,FALSE)</f>
        <v>68615</v>
      </c>
      <c r="F1254" s="333"/>
      <c r="G1254" s="275"/>
      <c r="H1254" s="157"/>
      <c r="I1254" s="157"/>
      <c r="J1254" s="157">
        <f>80*5</f>
        <v>400</v>
      </c>
      <c r="K1254" s="157">
        <v>80</v>
      </c>
      <c r="L1254" s="157">
        <v>10</v>
      </c>
      <c r="M1254" s="157"/>
      <c r="N1254" s="157">
        <v>3</v>
      </c>
      <c r="O1254" s="157">
        <v>2</v>
      </c>
      <c r="P1254" s="157"/>
      <c r="Q1254" s="157"/>
      <c r="R1254" s="157"/>
      <c r="S1254" s="157"/>
      <c r="T1254" s="157">
        <v>2</v>
      </c>
      <c r="U1254" s="157"/>
      <c r="V1254" s="158">
        <v>14557</v>
      </c>
      <c r="W1254" s="205" t="s">
        <v>2180</v>
      </c>
      <c r="X1254" s="1"/>
      <c r="Y1254" s="78">
        <f t="shared" si="163"/>
        <v>0</v>
      </c>
      <c r="Z1254" s="78">
        <f t="shared" si="164"/>
        <v>0</v>
      </c>
      <c r="AA1254" s="78">
        <f t="shared" si="168"/>
        <v>0</v>
      </c>
      <c r="AB1254" s="78">
        <f t="shared" si="165"/>
        <v>0</v>
      </c>
      <c r="AC1254" s="78"/>
      <c r="AD1254" s="78">
        <v>0</v>
      </c>
      <c r="AE1254" s="80">
        <f t="shared" si="167"/>
        <v>0</v>
      </c>
      <c r="AF1254" s="82">
        <v>0</v>
      </c>
      <c r="AG1254" s="69"/>
      <c r="AH1254" s="84"/>
      <c r="AI1254" s="69" t="s">
        <v>2009</v>
      </c>
      <c r="AJ1254" s="25" t="s">
        <v>2010</v>
      </c>
      <c r="AK1254" s="65"/>
      <c r="AL1254" s="184" t="s">
        <v>2663</v>
      </c>
      <c r="AM1254" s="173" t="s">
        <v>283</v>
      </c>
      <c r="AN1254" s="159"/>
      <c r="AO1254" s="160"/>
      <c r="AP1254" s="161"/>
      <c r="AQ1254" s="160"/>
      <c r="AR1254" s="160"/>
      <c r="AS1254" s="160"/>
      <c r="AT1254" s="160"/>
      <c r="AU1254" s="160"/>
      <c r="AV1254" s="160"/>
      <c r="AW1254" s="160"/>
      <c r="AX1254" s="160"/>
      <c r="AY1254" s="160"/>
      <c r="AZ1254" s="160"/>
      <c r="BA1254" s="160"/>
      <c r="BB1254" s="160"/>
      <c r="BC1254" s="160"/>
      <c r="BD1254" s="160"/>
      <c r="BE1254" s="160"/>
      <c r="BF1254" s="160"/>
      <c r="BG1254" s="160"/>
      <c r="BH1254" s="160"/>
      <c r="BI1254" s="160"/>
      <c r="BJ1254" s="160"/>
      <c r="BK1254" s="160"/>
      <c r="BL1254" s="160"/>
      <c r="BM1254" s="160"/>
      <c r="BN1254" s="160"/>
      <c r="BO1254" s="160"/>
      <c r="BP1254" s="160"/>
      <c r="BQ1254" s="160"/>
      <c r="BR1254" s="160"/>
      <c r="BS1254" s="160"/>
      <c r="BT1254" s="160"/>
      <c r="BU1254" s="160"/>
      <c r="BV1254" s="160"/>
      <c r="BW1254" s="160"/>
      <c r="BX1254" s="160"/>
      <c r="BY1254" s="160"/>
      <c r="BZ1254" s="160"/>
      <c r="CA1254" s="160"/>
      <c r="CB1254" s="160"/>
      <c r="CC1254" s="160"/>
      <c r="CD1254" s="160"/>
      <c r="CE1254" s="160"/>
      <c r="CF1254" s="160"/>
      <c r="CG1254" s="160"/>
      <c r="CH1254" s="160"/>
      <c r="CI1254" s="160"/>
      <c r="CJ1254" s="160"/>
      <c r="CK1254" s="160"/>
      <c r="CL1254" s="160"/>
      <c r="CM1254" s="160"/>
      <c r="CN1254" s="160"/>
      <c r="CO1254" s="160"/>
      <c r="CP1254" s="162"/>
      <c r="CQ1254" s="163"/>
      <c r="CR1254" s="162"/>
      <c r="CS1254" s="163"/>
      <c r="CT1254" s="162"/>
      <c r="CU1254" s="163"/>
      <c r="CV1254" s="164">
        <f t="shared" si="166"/>
        <v>0</v>
      </c>
      <c r="CW1254" s="165"/>
      <c r="CX1254" s="166"/>
      <c r="CY1254" s="167"/>
      <c r="CZ1254" s="168"/>
      <c r="DA1254" s="169"/>
      <c r="DB1254" s="168"/>
      <c r="DC1254" s="165"/>
      <c r="DD1254" s="166"/>
      <c r="DE1254" s="71"/>
      <c r="DF1254" s="170"/>
      <c r="EO1254" s="353" t="str">
        <f t="shared" si="169"/>
        <v>SANTANDER_RIONEGRO</v>
      </c>
      <c r="EP1254" s="350"/>
      <c r="EQ1254" s="350"/>
      <c r="ER1254" s="357"/>
      <c r="ES1254" s="350"/>
      <c r="ET1254" s="350"/>
      <c r="EU1254" s="350"/>
    </row>
    <row r="1255" spans="1:151" s="171" customFormat="1" ht="51" x14ac:dyDescent="0.2">
      <c r="A1255" s="242">
        <v>40452</v>
      </c>
      <c r="B1255" s="222" t="s">
        <v>2427</v>
      </c>
      <c r="C1255" s="222" t="s">
        <v>947</v>
      </c>
      <c r="D1255" s="430" t="s">
        <v>837</v>
      </c>
      <c r="E1255" s="107" t="str">
        <f>VLOOKUP(B1255&amp;C1255,Divipola!$C$2:$F$1138,4,FALSE)</f>
        <v>68655</v>
      </c>
      <c r="F1255" s="333"/>
      <c r="G1255" s="275">
        <v>1</v>
      </c>
      <c r="H1255" s="157"/>
      <c r="I1255" s="157"/>
      <c r="J1255" s="157">
        <f>315*5</f>
        <v>1575</v>
      </c>
      <c r="K1255" s="157">
        <v>315</v>
      </c>
      <c r="L1255" s="157">
        <v>86</v>
      </c>
      <c r="M1255" s="157">
        <v>200</v>
      </c>
      <c r="N1255" s="157"/>
      <c r="O1255" s="157"/>
      <c r="P1255" s="157"/>
      <c r="Q1255" s="157"/>
      <c r="R1255" s="157"/>
      <c r="S1255" s="157"/>
      <c r="T1255" s="157">
        <v>2</v>
      </c>
      <c r="U1255" s="157"/>
      <c r="V1255" s="158">
        <v>1000</v>
      </c>
      <c r="W1255" s="205" t="s">
        <v>2180</v>
      </c>
      <c r="X1255" s="1"/>
      <c r="Y1255" s="78">
        <f t="shared" si="163"/>
        <v>0</v>
      </c>
      <c r="Z1255" s="78">
        <f t="shared" si="164"/>
        <v>0</v>
      </c>
      <c r="AA1255" s="78">
        <f t="shared" si="168"/>
        <v>0</v>
      </c>
      <c r="AB1255" s="78">
        <f t="shared" si="165"/>
        <v>0</v>
      </c>
      <c r="AC1255" s="78"/>
      <c r="AD1255" s="78">
        <v>0</v>
      </c>
      <c r="AE1255" s="80">
        <f t="shared" si="167"/>
        <v>0</v>
      </c>
      <c r="AF1255" s="82">
        <v>0</v>
      </c>
      <c r="AG1255" s="69"/>
      <c r="AH1255" s="84"/>
      <c r="AI1255" s="69" t="s">
        <v>2009</v>
      </c>
      <c r="AJ1255" s="25" t="s">
        <v>2010</v>
      </c>
      <c r="AK1255" s="65"/>
      <c r="AL1255" s="184" t="s">
        <v>2663</v>
      </c>
      <c r="AM1255" s="173" t="s">
        <v>283</v>
      </c>
      <c r="AN1255" s="159"/>
      <c r="AO1255" s="160"/>
      <c r="AP1255" s="161"/>
      <c r="AQ1255" s="160"/>
      <c r="AR1255" s="160"/>
      <c r="AS1255" s="160"/>
      <c r="AT1255" s="160"/>
      <c r="AU1255" s="160"/>
      <c r="AV1255" s="160"/>
      <c r="AW1255" s="160"/>
      <c r="AX1255" s="160"/>
      <c r="AY1255" s="160"/>
      <c r="AZ1255" s="160"/>
      <c r="BA1255" s="160"/>
      <c r="BB1255" s="160"/>
      <c r="BC1255" s="160"/>
      <c r="BD1255" s="160"/>
      <c r="BE1255" s="160"/>
      <c r="BF1255" s="160"/>
      <c r="BG1255" s="160"/>
      <c r="BH1255" s="160"/>
      <c r="BI1255" s="160"/>
      <c r="BJ1255" s="160"/>
      <c r="BK1255" s="160"/>
      <c r="BL1255" s="160"/>
      <c r="BM1255" s="160"/>
      <c r="BN1255" s="160"/>
      <c r="BO1255" s="160"/>
      <c r="BP1255" s="160"/>
      <c r="BQ1255" s="160"/>
      <c r="BR1255" s="160"/>
      <c r="BS1255" s="160"/>
      <c r="BT1255" s="160"/>
      <c r="BU1255" s="160"/>
      <c r="BV1255" s="160"/>
      <c r="BW1255" s="160"/>
      <c r="BX1255" s="160"/>
      <c r="BY1255" s="160"/>
      <c r="BZ1255" s="160"/>
      <c r="CA1255" s="160"/>
      <c r="CB1255" s="160"/>
      <c r="CC1255" s="160"/>
      <c r="CD1255" s="160"/>
      <c r="CE1255" s="160"/>
      <c r="CF1255" s="160"/>
      <c r="CG1255" s="160"/>
      <c r="CH1255" s="160"/>
      <c r="CI1255" s="160"/>
      <c r="CJ1255" s="160"/>
      <c r="CK1255" s="160"/>
      <c r="CL1255" s="160"/>
      <c r="CM1255" s="160"/>
      <c r="CN1255" s="160"/>
      <c r="CO1255" s="160"/>
      <c r="CP1255" s="162"/>
      <c r="CQ1255" s="163"/>
      <c r="CR1255" s="162"/>
      <c r="CS1255" s="163"/>
      <c r="CT1255" s="162"/>
      <c r="CU1255" s="163"/>
      <c r="CV1255" s="164">
        <f t="shared" si="166"/>
        <v>0</v>
      </c>
      <c r="CW1255" s="165"/>
      <c r="CX1255" s="166"/>
      <c r="CY1255" s="167"/>
      <c r="CZ1255" s="168"/>
      <c r="DA1255" s="169"/>
      <c r="DB1255" s="168"/>
      <c r="DC1255" s="165"/>
      <c r="DD1255" s="166"/>
      <c r="DE1255" s="71"/>
      <c r="DF1255" s="170"/>
      <c r="EO1255" s="353" t="str">
        <f t="shared" si="169"/>
        <v>SANTANDER_SABANA DE TORRES</v>
      </c>
      <c r="EP1255" s="350"/>
      <c r="EQ1255" s="350"/>
      <c r="ER1255" s="357"/>
      <c r="ES1255" s="350"/>
      <c r="ET1255" s="350"/>
      <c r="EU1255" s="350"/>
    </row>
    <row r="1256" spans="1:151" s="171" customFormat="1" ht="38.25" x14ac:dyDescent="0.2">
      <c r="A1256" s="242">
        <v>40452</v>
      </c>
      <c r="B1256" s="222" t="s">
        <v>2427</v>
      </c>
      <c r="C1256" s="222" t="s">
        <v>2656</v>
      </c>
      <c r="D1256" s="430" t="s">
        <v>837</v>
      </c>
      <c r="E1256" s="107" t="str">
        <f>VLOOKUP(B1256&amp;C1256,Divipola!$C$2:$F$1138,4,FALSE)</f>
        <v>68673</v>
      </c>
      <c r="F1256" s="333"/>
      <c r="G1256" s="275"/>
      <c r="H1256" s="157"/>
      <c r="I1256" s="157"/>
      <c r="J1256" s="157">
        <f>50*5</f>
        <v>250</v>
      </c>
      <c r="K1256" s="157">
        <v>50</v>
      </c>
      <c r="L1256" s="157"/>
      <c r="M1256" s="157">
        <v>4</v>
      </c>
      <c r="N1256" s="157">
        <v>1</v>
      </c>
      <c r="O1256" s="157"/>
      <c r="P1256" s="157"/>
      <c r="Q1256" s="157">
        <v>1</v>
      </c>
      <c r="R1256" s="157"/>
      <c r="S1256" s="157"/>
      <c r="T1256" s="157"/>
      <c r="U1256" s="157"/>
      <c r="V1256" s="158">
        <v>80</v>
      </c>
      <c r="W1256" s="205" t="s">
        <v>2180</v>
      </c>
      <c r="X1256" s="1"/>
      <c r="Y1256" s="78">
        <f t="shared" si="163"/>
        <v>0</v>
      </c>
      <c r="Z1256" s="78">
        <f t="shared" si="164"/>
        <v>0</v>
      </c>
      <c r="AA1256" s="78">
        <f t="shared" si="168"/>
        <v>0</v>
      </c>
      <c r="AB1256" s="78">
        <f t="shared" si="165"/>
        <v>0</v>
      </c>
      <c r="AC1256" s="78"/>
      <c r="AD1256" s="78">
        <v>0</v>
      </c>
      <c r="AE1256" s="80">
        <f t="shared" si="167"/>
        <v>0</v>
      </c>
      <c r="AF1256" s="82">
        <v>0</v>
      </c>
      <c r="AG1256" s="69"/>
      <c r="AH1256" s="84"/>
      <c r="AI1256" s="69" t="s">
        <v>2009</v>
      </c>
      <c r="AJ1256" s="25" t="s">
        <v>2010</v>
      </c>
      <c r="AK1256" s="65"/>
      <c r="AL1256" s="184" t="s">
        <v>2663</v>
      </c>
      <c r="AM1256" s="173" t="s">
        <v>283</v>
      </c>
      <c r="AN1256" s="159"/>
      <c r="AO1256" s="160"/>
      <c r="AP1256" s="161"/>
      <c r="AQ1256" s="160"/>
      <c r="AR1256" s="160"/>
      <c r="AS1256" s="160"/>
      <c r="AT1256" s="160"/>
      <c r="AU1256" s="160"/>
      <c r="AV1256" s="160"/>
      <c r="AW1256" s="160"/>
      <c r="AX1256" s="160"/>
      <c r="AY1256" s="160"/>
      <c r="AZ1256" s="160"/>
      <c r="BA1256" s="160"/>
      <c r="BB1256" s="160"/>
      <c r="BC1256" s="160"/>
      <c r="BD1256" s="160"/>
      <c r="BE1256" s="160"/>
      <c r="BF1256" s="160"/>
      <c r="BG1256" s="160"/>
      <c r="BH1256" s="160"/>
      <c r="BI1256" s="160"/>
      <c r="BJ1256" s="160"/>
      <c r="BK1256" s="160"/>
      <c r="BL1256" s="160"/>
      <c r="BM1256" s="160"/>
      <c r="BN1256" s="160"/>
      <c r="BO1256" s="160"/>
      <c r="BP1256" s="160"/>
      <c r="BQ1256" s="160"/>
      <c r="BR1256" s="160"/>
      <c r="BS1256" s="160"/>
      <c r="BT1256" s="160"/>
      <c r="BU1256" s="160"/>
      <c r="BV1256" s="160"/>
      <c r="BW1256" s="160"/>
      <c r="BX1256" s="160"/>
      <c r="BY1256" s="160"/>
      <c r="BZ1256" s="160"/>
      <c r="CA1256" s="160"/>
      <c r="CB1256" s="160"/>
      <c r="CC1256" s="160"/>
      <c r="CD1256" s="160"/>
      <c r="CE1256" s="160"/>
      <c r="CF1256" s="160"/>
      <c r="CG1256" s="160"/>
      <c r="CH1256" s="160"/>
      <c r="CI1256" s="160"/>
      <c r="CJ1256" s="160"/>
      <c r="CK1256" s="160"/>
      <c r="CL1256" s="160"/>
      <c r="CM1256" s="160"/>
      <c r="CN1256" s="160"/>
      <c r="CO1256" s="160"/>
      <c r="CP1256" s="162"/>
      <c r="CQ1256" s="163"/>
      <c r="CR1256" s="162"/>
      <c r="CS1256" s="163"/>
      <c r="CT1256" s="162"/>
      <c r="CU1256" s="163"/>
      <c r="CV1256" s="164">
        <f t="shared" si="166"/>
        <v>0</v>
      </c>
      <c r="CW1256" s="165"/>
      <c r="CX1256" s="166"/>
      <c r="CY1256" s="167"/>
      <c r="CZ1256" s="168"/>
      <c r="DA1256" s="169"/>
      <c r="DB1256" s="168"/>
      <c r="DC1256" s="165"/>
      <c r="DD1256" s="166"/>
      <c r="DE1256" s="71"/>
      <c r="DF1256" s="170"/>
      <c r="EO1256" s="353" t="str">
        <f t="shared" si="169"/>
        <v>SANTANDER_SAN BENITO</v>
      </c>
      <c r="EP1256" s="350"/>
      <c r="EQ1256" s="350"/>
      <c r="ER1256" s="357"/>
      <c r="ES1256" s="350"/>
      <c r="ET1256" s="350"/>
      <c r="EU1256" s="350"/>
    </row>
    <row r="1257" spans="1:151" s="171" customFormat="1" ht="51" x14ac:dyDescent="0.2">
      <c r="A1257" s="242">
        <v>40452</v>
      </c>
      <c r="B1257" s="222" t="s">
        <v>2427</v>
      </c>
      <c r="C1257" s="222" t="s">
        <v>2657</v>
      </c>
      <c r="D1257" s="430" t="s">
        <v>837</v>
      </c>
      <c r="E1257" s="107" t="str">
        <f>VLOOKUP(B1257&amp;C1257,Divipola!$C$2:$F$1138,4,FALSE)</f>
        <v>68720</v>
      </c>
      <c r="F1257" s="333"/>
      <c r="G1257" s="275"/>
      <c r="H1257" s="157"/>
      <c r="I1257" s="157"/>
      <c r="J1257" s="157">
        <v>300</v>
      </c>
      <c r="K1257" s="157">
        <v>60</v>
      </c>
      <c r="L1257" s="157">
        <v>20</v>
      </c>
      <c r="M1257" s="157">
        <v>30</v>
      </c>
      <c r="N1257" s="157">
        <v>2</v>
      </c>
      <c r="O1257" s="157"/>
      <c r="P1257" s="157"/>
      <c r="Q1257" s="157"/>
      <c r="R1257" s="157"/>
      <c r="S1257" s="157"/>
      <c r="T1257" s="157"/>
      <c r="U1257" s="157"/>
      <c r="V1257" s="158">
        <v>150</v>
      </c>
      <c r="W1257" s="205" t="s">
        <v>2180</v>
      </c>
      <c r="X1257" s="1"/>
      <c r="Y1257" s="78">
        <f t="shared" si="163"/>
        <v>0</v>
      </c>
      <c r="Z1257" s="78">
        <f t="shared" si="164"/>
        <v>0</v>
      </c>
      <c r="AA1257" s="78">
        <f t="shared" si="168"/>
        <v>0</v>
      </c>
      <c r="AB1257" s="78">
        <f t="shared" si="165"/>
        <v>0</v>
      </c>
      <c r="AC1257" s="78"/>
      <c r="AD1257" s="78">
        <v>0</v>
      </c>
      <c r="AE1257" s="80">
        <f t="shared" si="167"/>
        <v>0</v>
      </c>
      <c r="AF1257" s="82">
        <v>0</v>
      </c>
      <c r="AG1257" s="69"/>
      <c r="AH1257" s="84"/>
      <c r="AI1257" s="69" t="s">
        <v>2009</v>
      </c>
      <c r="AJ1257" s="25" t="s">
        <v>2010</v>
      </c>
      <c r="AK1257" s="65"/>
      <c r="AL1257" s="184" t="s">
        <v>2663</v>
      </c>
      <c r="AM1257" s="173" t="s">
        <v>283</v>
      </c>
      <c r="AN1257" s="159"/>
      <c r="AO1257" s="160"/>
      <c r="AP1257" s="161"/>
      <c r="AQ1257" s="160"/>
      <c r="AR1257" s="160"/>
      <c r="AS1257" s="160"/>
      <c r="AT1257" s="160"/>
      <c r="AU1257" s="160"/>
      <c r="AV1257" s="160"/>
      <c r="AW1257" s="160"/>
      <c r="AX1257" s="160"/>
      <c r="AY1257" s="160"/>
      <c r="AZ1257" s="160"/>
      <c r="BA1257" s="160"/>
      <c r="BB1257" s="160"/>
      <c r="BC1257" s="160"/>
      <c r="BD1257" s="160"/>
      <c r="BE1257" s="160"/>
      <c r="BF1257" s="160"/>
      <c r="BG1257" s="160"/>
      <c r="BH1257" s="160"/>
      <c r="BI1257" s="160"/>
      <c r="BJ1257" s="160"/>
      <c r="BK1257" s="160"/>
      <c r="BL1257" s="160"/>
      <c r="BM1257" s="160"/>
      <c r="BN1257" s="160"/>
      <c r="BO1257" s="160"/>
      <c r="BP1257" s="160"/>
      <c r="BQ1257" s="160"/>
      <c r="BR1257" s="160"/>
      <c r="BS1257" s="160"/>
      <c r="BT1257" s="160"/>
      <c r="BU1257" s="160"/>
      <c r="BV1257" s="160"/>
      <c r="BW1257" s="160"/>
      <c r="BX1257" s="160"/>
      <c r="BY1257" s="160"/>
      <c r="BZ1257" s="160"/>
      <c r="CA1257" s="160"/>
      <c r="CB1257" s="160"/>
      <c r="CC1257" s="160"/>
      <c r="CD1257" s="160"/>
      <c r="CE1257" s="160"/>
      <c r="CF1257" s="160"/>
      <c r="CG1257" s="160"/>
      <c r="CH1257" s="160"/>
      <c r="CI1257" s="160"/>
      <c r="CJ1257" s="160"/>
      <c r="CK1257" s="160"/>
      <c r="CL1257" s="160"/>
      <c r="CM1257" s="160"/>
      <c r="CN1257" s="160"/>
      <c r="CO1257" s="160"/>
      <c r="CP1257" s="162"/>
      <c r="CQ1257" s="163"/>
      <c r="CR1257" s="162"/>
      <c r="CS1257" s="163"/>
      <c r="CT1257" s="162"/>
      <c r="CU1257" s="163"/>
      <c r="CV1257" s="164">
        <f t="shared" si="166"/>
        <v>0</v>
      </c>
      <c r="CW1257" s="165"/>
      <c r="CX1257" s="166"/>
      <c r="CY1257" s="167"/>
      <c r="CZ1257" s="168"/>
      <c r="DA1257" s="169"/>
      <c r="DB1257" s="168"/>
      <c r="DC1257" s="165"/>
      <c r="DD1257" s="166"/>
      <c r="DE1257" s="71"/>
      <c r="DF1257" s="170"/>
      <c r="EO1257" s="353" t="str">
        <f t="shared" si="169"/>
        <v>SANTANDER_SANTA HELENA DEL OPON</v>
      </c>
      <c r="EP1257" s="350"/>
      <c r="EQ1257" s="350"/>
      <c r="ER1257" s="357"/>
      <c r="ES1257" s="350"/>
      <c r="ET1257" s="350"/>
      <c r="EU1257" s="350"/>
    </row>
    <row r="1258" spans="1:151" s="171" customFormat="1" ht="25.5" x14ac:dyDescent="0.2">
      <c r="A1258" s="242">
        <v>40452</v>
      </c>
      <c r="B1258" s="222" t="s">
        <v>2427</v>
      </c>
      <c r="C1258" s="222" t="s">
        <v>2658</v>
      </c>
      <c r="D1258" s="430" t="s">
        <v>837</v>
      </c>
      <c r="E1258" s="107" t="str">
        <f>VLOOKUP(B1258&amp;C1258,Divipola!$C$2:$F$1138,4,FALSE)</f>
        <v>68780</v>
      </c>
      <c r="F1258" s="333"/>
      <c r="G1258" s="275"/>
      <c r="H1258" s="157"/>
      <c r="I1258" s="157"/>
      <c r="J1258" s="157">
        <v>2138</v>
      </c>
      <c r="K1258" s="157">
        <f>295+295</f>
        <v>590</v>
      </c>
      <c r="L1258" s="157">
        <v>20</v>
      </c>
      <c r="M1258" s="157">
        <v>20</v>
      </c>
      <c r="N1258" s="157"/>
      <c r="O1258" s="157"/>
      <c r="P1258" s="157"/>
      <c r="Q1258" s="157">
        <v>7</v>
      </c>
      <c r="R1258" s="157"/>
      <c r="S1258" s="157"/>
      <c r="T1258" s="157"/>
      <c r="U1258" s="157"/>
      <c r="V1258" s="158">
        <v>140</v>
      </c>
      <c r="W1258" s="205" t="s">
        <v>2180</v>
      </c>
      <c r="X1258" s="1"/>
      <c r="Y1258" s="78">
        <f t="shared" si="163"/>
        <v>0</v>
      </c>
      <c r="Z1258" s="78">
        <f t="shared" si="164"/>
        <v>0</v>
      </c>
      <c r="AA1258" s="78">
        <f t="shared" si="168"/>
        <v>0</v>
      </c>
      <c r="AB1258" s="78">
        <f t="shared" si="165"/>
        <v>0</v>
      </c>
      <c r="AC1258" s="78"/>
      <c r="AD1258" s="78">
        <v>0</v>
      </c>
      <c r="AE1258" s="80">
        <f t="shared" si="167"/>
        <v>0</v>
      </c>
      <c r="AF1258" s="82">
        <v>0</v>
      </c>
      <c r="AG1258" s="69"/>
      <c r="AH1258" s="84"/>
      <c r="AI1258" s="69" t="s">
        <v>2009</v>
      </c>
      <c r="AJ1258" s="25" t="s">
        <v>2010</v>
      </c>
      <c r="AK1258" s="65"/>
      <c r="AL1258" s="184" t="s">
        <v>2663</v>
      </c>
      <c r="AM1258" s="173" t="s">
        <v>283</v>
      </c>
      <c r="AN1258" s="159"/>
      <c r="AO1258" s="160"/>
      <c r="AP1258" s="161"/>
      <c r="AQ1258" s="160"/>
      <c r="AR1258" s="160"/>
      <c r="AS1258" s="160"/>
      <c r="AT1258" s="160"/>
      <c r="AU1258" s="160"/>
      <c r="AV1258" s="160"/>
      <c r="AW1258" s="160"/>
      <c r="AX1258" s="160"/>
      <c r="AY1258" s="160"/>
      <c r="AZ1258" s="160"/>
      <c r="BA1258" s="160"/>
      <c r="BB1258" s="160"/>
      <c r="BC1258" s="160"/>
      <c r="BD1258" s="160"/>
      <c r="BE1258" s="160"/>
      <c r="BF1258" s="160"/>
      <c r="BG1258" s="160"/>
      <c r="BH1258" s="160"/>
      <c r="BI1258" s="160"/>
      <c r="BJ1258" s="160"/>
      <c r="BK1258" s="160"/>
      <c r="BL1258" s="160"/>
      <c r="BM1258" s="160"/>
      <c r="BN1258" s="160"/>
      <c r="BO1258" s="160"/>
      <c r="BP1258" s="160"/>
      <c r="BQ1258" s="160"/>
      <c r="BR1258" s="160"/>
      <c r="BS1258" s="160"/>
      <c r="BT1258" s="160"/>
      <c r="BU1258" s="160"/>
      <c r="BV1258" s="160"/>
      <c r="BW1258" s="160"/>
      <c r="BX1258" s="160"/>
      <c r="BY1258" s="160"/>
      <c r="BZ1258" s="160"/>
      <c r="CA1258" s="160"/>
      <c r="CB1258" s="160"/>
      <c r="CC1258" s="160"/>
      <c r="CD1258" s="160"/>
      <c r="CE1258" s="160"/>
      <c r="CF1258" s="160"/>
      <c r="CG1258" s="160"/>
      <c r="CH1258" s="160"/>
      <c r="CI1258" s="160"/>
      <c r="CJ1258" s="160"/>
      <c r="CK1258" s="160"/>
      <c r="CL1258" s="160"/>
      <c r="CM1258" s="160"/>
      <c r="CN1258" s="160"/>
      <c r="CO1258" s="160"/>
      <c r="CP1258" s="162"/>
      <c r="CQ1258" s="163"/>
      <c r="CR1258" s="162"/>
      <c r="CS1258" s="163"/>
      <c r="CT1258" s="162"/>
      <c r="CU1258" s="163"/>
      <c r="CV1258" s="164">
        <f t="shared" si="166"/>
        <v>0</v>
      </c>
      <c r="CW1258" s="165"/>
      <c r="CX1258" s="166"/>
      <c r="CY1258" s="167"/>
      <c r="CZ1258" s="168"/>
      <c r="DA1258" s="169"/>
      <c r="DB1258" s="168"/>
      <c r="DC1258" s="165"/>
      <c r="DD1258" s="166"/>
      <c r="DE1258" s="71"/>
      <c r="DF1258" s="170"/>
      <c r="EO1258" s="353" t="str">
        <f t="shared" si="169"/>
        <v>SANTANDER_SURATA</v>
      </c>
      <c r="EP1258" s="350"/>
      <c r="EQ1258" s="350"/>
      <c r="ER1258" s="357"/>
      <c r="ES1258" s="350"/>
      <c r="ET1258" s="350"/>
      <c r="EU1258" s="350"/>
    </row>
    <row r="1259" spans="1:151" s="171" customFormat="1" ht="51" x14ac:dyDescent="0.2">
      <c r="A1259" s="242">
        <v>40452</v>
      </c>
      <c r="B1259" s="222" t="s">
        <v>2427</v>
      </c>
      <c r="C1259" s="222" t="s">
        <v>2659</v>
      </c>
      <c r="D1259" s="430" t="s">
        <v>837</v>
      </c>
      <c r="E1259" s="107" t="str">
        <f>VLOOKUP(B1259&amp;C1259,Divipola!$C$2:$F$1138,4,FALSE)</f>
        <v>68855</v>
      </c>
      <c r="F1259" s="333"/>
      <c r="G1259" s="275"/>
      <c r="H1259" s="157"/>
      <c r="I1259" s="157"/>
      <c r="J1259" s="157">
        <v>300</v>
      </c>
      <c r="K1259" s="157">
        <v>60</v>
      </c>
      <c r="L1259" s="157"/>
      <c r="M1259" s="157">
        <v>20</v>
      </c>
      <c r="N1259" s="157">
        <v>2</v>
      </c>
      <c r="O1259" s="157"/>
      <c r="P1259" s="157"/>
      <c r="Q1259" s="157">
        <v>2</v>
      </c>
      <c r="R1259" s="157"/>
      <c r="S1259" s="157"/>
      <c r="T1259" s="157"/>
      <c r="U1259" s="157"/>
      <c r="V1259" s="158">
        <v>100</v>
      </c>
      <c r="W1259" s="182"/>
      <c r="X1259" s="1"/>
      <c r="Y1259" s="78">
        <f t="shared" si="163"/>
        <v>0</v>
      </c>
      <c r="Z1259" s="78">
        <f t="shared" si="164"/>
        <v>0</v>
      </c>
      <c r="AA1259" s="78">
        <f t="shared" si="168"/>
        <v>0</v>
      </c>
      <c r="AB1259" s="78">
        <f t="shared" si="165"/>
        <v>0</v>
      </c>
      <c r="AC1259" s="78"/>
      <c r="AD1259" s="78">
        <v>0</v>
      </c>
      <c r="AE1259" s="80">
        <f t="shared" si="167"/>
        <v>0</v>
      </c>
      <c r="AF1259" s="82">
        <v>0</v>
      </c>
      <c r="AG1259" s="69"/>
      <c r="AH1259" s="84"/>
      <c r="AI1259" s="69" t="s">
        <v>2009</v>
      </c>
      <c r="AJ1259" s="25" t="s">
        <v>2010</v>
      </c>
      <c r="AK1259" s="65"/>
      <c r="AL1259" s="184" t="s">
        <v>2663</v>
      </c>
      <c r="AM1259" s="173" t="s">
        <v>283</v>
      </c>
      <c r="AN1259" s="159"/>
      <c r="AO1259" s="160"/>
      <c r="AP1259" s="161"/>
      <c r="AQ1259" s="160"/>
      <c r="AR1259" s="160"/>
      <c r="AS1259" s="160"/>
      <c r="AT1259" s="160"/>
      <c r="AU1259" s="160"/>
      <c r="AV1259" s="160"/>
      <c r="AW1259" s="160"/>
      <c r="AX1259" s="160"/>
      <c r="AY1259" s="160"/>
      <c r="AZ1259" s="160"/>
      <c r="BA1259" s="160"/>
      <c r="BB1259" s="160"/>
      <c r="BC1259" s="160"/>
      <c r="BD1259" s="160"/>
      <c r="BE1259" s="160"/>
      <c r="BF1259" s="160"/>
      <c r="BG1259" s="160"/>
      <c r="BH1259" s="160"/>
      <c r="BI1259" s="160"/>
      <c r="BJ1259" s="160"/>
      <c r="BK1259" s="160"/>
      <c r="BL1259" s="160"/>
      <c r="BM1259" s="160"/>
      <c r="BN1259" s="160"/>
      <c r="BO1259" s="160"/>
      <c r="BP1259" s="160"/>
      <c r="BQ1259" s="160"/>
      <c r="BR1259" s="160"/>
      <c r="BS1259" s="160"/>
      <c r="BT1259" s="160"/>
      <c r="BU1259" s="160"/>
      <c r="BV1259" s="160"/>
      <c r="BW1259" s="160"/>
      <c r="BX1259" s="160"/>
      <c r="BY1259" s="160"/>
      <c r="BZ1259" s="160"/>
      <c r="CA1259" s="160"/>
      <c r="CB1259" s="160"/>
      <c r="CC1259" s="160"/>
      <c r="CD1259" s="160"/>
      <c r="CE1259" s="160"/>
      <c r="CF1259" s="160"/>
      <c r="CG1259" s="160"/>
      <c r="CH1259" s="160"/>
      <c r="CI1259" s="160"/>
      <c r="CJ1259" s="160"/>
      <c r="CK1259" s="160"/>
      <c r="CL1259" s="160"/>
      <c r="CM1259" s="160"/>
      <c r="CN1259" s="160"/>
      <c r="CO1259" s="160"/>
      <c r="CP1259" s="162"/>
      <c r="CQ1259" s="163"/>
      <c r="CR1259" s="162"/>
      <c r="CS1259" s="163"/>
      <c r="CT1259" s="162"/>
      <c r="CU1259" s="163"/>
      <c r="CV1259" s="164">
        <f t="shared" si="166"/>
        <v>0</v>
      </c>
      <c r="CW1259" s="165"/>
      <c r="CX1259" s="166"/>
      <c r="CY1259" s="167"/>
      <c r="CZ1259" s="168"/>
      <c r="DA1259" s="169"/>
      <c r="DB1259" s="168"/>
      <c r="DC1259" s="165"/>
      <c r="DD1259" s="166"/>
      <c r="DE1259" s="71"/>
      <c r="DF1259" s="170"/>
      <c r="EO1259" s="353" t="str">
        <f t="shared" si="169"/>
        <v>SANTANDER_VALLE DE SAN JOSE</v>
      </c>
      <c r="EP1259" s="350"/>
      <c r="EQ1259" s="350"/>
      <c r="ER1259" s="357"/>
      <c r="ES1259" s="350"/>
      <c r="ET1259" s="350"/>
      <c r="EU1259" s="350"/>
    </row>
    <row r="1260" spans="1:151" s="171" customFormat="1" ht="38.25" x14ac:dyDescent="0.2">
      <c r="A1260" s="242">
        <v>40452</v>
      </c>
      <c r="B1260" s="222" t="s">
        <v>2372</v>
      </c>
      <c r="C1260" s="222" t="s">
        <v>2008</v>
      </c>
      <c r="D1260" s="430" t="s">
        <v>837</v>
      </c>
      <c r="E1260" s="107">
        <f>VLOOKUP(B1260&amp;C1260,Divipola!$C$2:$F$1138,4,FALSE)</f>
        <v>70</v>
      </c>
      <c r="F1260" s="333"/>
      <c r="G1260" s="221"/>
      <c r="H1260" s="157"/>
      <c r="I1260" s="157"/>
      <c r="J1260" s="157"/>
      <c r="K1260" s="157"/>
      <c r="L1260" s="157"/>
      <c r="M1260" s="157"/>
      <c r="N1260" s="157"/>
      <c r="O1260" s="157"/>
      <c r="P1260" s="157"/>
      <c r="Q1260" s="157"/>
      <c r="R1260" s="157"/>
      <c r="S1260" s="157"/>
      <c r="T1260" s="157"/>
      <c r="U1260" s="157"/>
      <c r="V1260" s="158"/>
      <c r="W1260" s="182"/>
      <c r="X1260" s="1">
        <v>40505</v>
      </c>
      <c r="Y1260" s="78">
        <f t="shared" si="163"/>
        <v>0</v>
      </c>
      <c r="Z1260" s="78">
        <f t="shared" si="164"/>
        <v>0</v>
      </c>
      <c r="AA1260" s="78">
        <f t="shared" si="168"/>
        <v>0</v>
      </c>
      <c r="AB1260" s="78">
        <f t="shared" si="165"/>
        <v>415106000</v>
      </c>
      <c r="AC1260" s="78"/>
      <c r="AD1260" s="78">
        <v>0</v>
      </c>
      <c r="AE1260" s="80">
        <f t="shared" si="167"/>
        <v>415106000</v>
      </c>
      <c r="AF1260" s="82">
        <v>0</v>
      </c>
      <c r="AG1260" s="69">
        <v>40452</v>
      </c>
      <c r="AH1260" s="84">
        <v>52104</v>
      </c>
      <c r="AI1260" s="69" t="s">
        <v>2009</v>
      </c>
      <c r="AJ1260" s="25" t="s">
        <v>2010</v>
      </c>
      <c r="AK1260" s="88">
        <v>26770</v>
      </c>
      <c r="AL1260" s="176" t="s">
        <v>1431</v>
      </c>
      <c r="AM1260" s="173" t="s">
        <v>2292</v>
      </c>
      <c r="AN1260" s="159"/>
      <c r="AO1260" s="160"/>
      <c r="AP1260" s="161"/>
      <c r="AQ1260" s="160"/>
      <c r="AR1260" s="160"/>
      <c r="AS1260" s="160"/>
      <c r="AT1260" s="160"/>
      <c r="AU1260" s="160"/>
      <c r="AV1260" s="160"/>
      <c r="AW1260" s="160"/>
      <c r="AX1260" s="160"/>
      <c r="AY1260" s="160"/>
      <c r="AZ1260" s="160"/>
      <c r="BA1260" s="160"/>
      <c r="BB1260" s="160"/>
      <c r="BC1260" s="160"/>
      <c r="BD1260" s="160"/>
      <c r="BE1260" s="160"/>
      <c r="BF1260" s="160"/>
      <c r="BG1260" s="160"/>
      <c r="BH1260" s="160"/>
      <c r="BI1260" s="160"/>
      <c r="BJ1260" s="160"/>
      <c r="BK1260" s="160"/>
      <c r="BL1260" s="160"/>
      <c r="BM1260" s="160"/>
      <c r="BN1260" s="160"/>
      <c r="BO1260" s="160"/>
      <c r="BP1260" s="160"/>
      <c r="BQ1260" s="160"/>
      <c r="BR1260" s="160"/>
      <c r="BS1260" s="160"/>
      <c r="BT1260" s="160"/>
      <c r="BU1260" s="160"/>
      <c r="BV1260" s="160"/>
      <c r="BW1260" s="160"/>
      <c r="BX1260" s="160"/>
      <c r="BY1260" s="160"/>
      <c r="BZ1260" s="160"/>
      <c r="CA1260" s="160"/>
      <c r="CB1260" s="160"/>
      <c r="CC1260" s="160"/>
      <c r="CD1260" s="160"/>
      <c r="CE1260" s="160"/>
      <c r="CF1260" s="160"/>
      <c r="CG1260" s="160"/>
      <c r="CH1260" s="160"/>
      <c r="CI1260" s="160"/>
      <c r="CJ1260" s="160"/>
      <c r="CK1260" s="160"/>
      <c r="CL1260" s="160"/>
      <c r="CM1260" s="160"/>
      <c r="CN1260" s="160"/>
      <c r="CO1260" s="160"/>
      <c r="CP1260" s="162"/>
      <c r="CQ1260" s="163"/>
      <c r="CR1260" s="162"/>
      <c r="CS1260" s="163"/>
      <c r="CT1260" s="162"/>
      <c r="CU1260" s="163"/>
      <c r="CV1260" s="164">
        <f t="shared" si="166"/>
        <v>0</v>
      </c>
      <c r="CW1260" s="165">
        <f>100000+100000+150000+100000</f>
        <v>450000</v>
      </c>
      <c r="CX1260" s="166">
        <f>100000*900.16+100000*986+150000*910.6+100000*899</f>
        <v>415106000</v>
      </c>
      <c r="CY1260" s="167"/>
      <c r="CZ1260" s="168"/>
      <c r="DA1260" s="169"/>
      <c r="DB1260" s="168"/>
      <c r="DC1260" s="165"/>
      <c r="DD1260" s="166"/>
      <c r="DE1260" s="71"/>
      <c r="DF1260" s="170"/>
      <c r="EO1260" s="353" t="str">
        <f t="shared" si="169"/>
        <v>SUCRE_DEPARTAMENTO</v>
      </c>
      <c r="EP1260" s="350"/>
      <c r="EQ1260" s="350"/>
      <c r="ER1260" s="357"/>
      <c r="ES1260" s="350"/>
      <c r="ET1260" s="350"/>
      <c r="EU1260" s="350"/>
    </row>
    <row r="1261" spans="1:151" s="171" customFormat="1" ht="51" x14ac:dyDescent="0.2">
      <c r="A1261" s="242">
        <v>40452</v>
      </c>
      <c r="B1261" s="222" t="s">
        <v>1462</v>
      </c>
      <c r="C1261" s="222" t="s">
        <v>2736</v>
      </c>
      <c r="D1261" s="430" t="s">
        <v>837</v>
      </c>
      <c r="E1261" s="107" t="str">
        <f>VLOOKUP(B1261&amp;C1261,Divipola!$C$2:$F$1138,4,FALSE)</f>
        <v>76606</v>
      </c>
      <c r="F1261" s="333"/>
      <c r="G1261" s="221"/>
      <c r="H1261" s="157"/>
      <c r="I1261" s="157"/>
      <c r="J1261" s="157">
        <f>127*5</f>
        <v>635</v>
      </c>
      <c r="K1261" s="157">
        <v>127</v>
      </c>
      <c r="L1261" s="157"/>
      <c r="M1261" s="183">
        <f>147-31</f>
        <v>116</v>
      </c>
      <c r="N1261" s="157"/>
      <c r="O1261" s="157"/>
      <c r="P1261" s="157"/>
      <c r="Q1261" s="157"/>
      <c r="R1261" s="157"/>
      <c r="S1261" s="157"/>
      <c r="T1261" s="157"/>
      <c r="U1261" s="157"/>
      <c r="V1261" s="158"/>
      <c r="W1261" s="182"/>
      <c r="X1261" s="1">
        <v>40520</v>
      </c>
      <c r="Y1261" s="78">
        <f t="shared" si="163"/>
        <v>11811000</v>
      </c>
      <c r="Z1261" s="78">
        <f t="shared" si="164"/>
        <v>10795000</v>
      </c>
      <c r="AA1261" s="78">
        <f t="shared" si="168"/>
        <v>0</v>
      </c>
      <c r="AB1261" s="78">
        <f t="shared" si="165"/>
        <v>0</v>
      </c>
      <c r="AC1261" s="78"/>
      <c r="AD1261" s="78">
        <v>0</v>
      </c>
      <c r="AE1261" s="80">
        <f t="shared" si="167"/>
        <v>22606000</v>
      </c>
      <c r="AF1261" s="82">
        <v>0</v>
      </c>
      <c r="AG1261" s="69">
        <v>40483</v>
      </c>
      <c r="AH1261" s="84"/>
      <c r="AI1261" s="69" t="s">
        <v>2009</v>
      </c>
      <c r="AJ1261" s="25" t="s">
        <v>2010</v>
      </c>
      <c r="AK1261" s="65">
        <v>26384</v>
      </c>
      <c r="AL1261" s="176" t="s">
        <v>1831</v>
      </c>
      <c r="AM1261" s="173" t="s">
        <v>283</v>
      </c>
      <c r="AN1261" s="159"/>
      <c r="AO1261" s="160"/>
      <c r="AP1261" s="161"/>
      <c r="AQ1261" s="160"/>
      <c r="AR1261" s="160"/>
      <c r="AS1261" s="160"/>
      <c r="AT1261" s="160"/>
      <c r="AU1261" s="160"/>
      <c r="AV1261" s="160"/>
      <c r="AW1261" s="160"/>
      <c r="AX1261" s="160"/>
      <c r="AY1261" s="160"/>
      <c r="AZ1261" s="160">
        <v>127</v>
      </c>
      <c r="BA1261" s="160">
        <f>127*56000</f>
        <v>7112000</v>
      </c>
      <c r="BB1261" s="160"/>
      <c r="BC1261" s="160"/>
      <c r="BD1261" s="160"/>
      <c r="BE1261" s="160"/>
      <c r="BF1261" s="160"/>
      <c r="BG1261" s="160"/>
      <c r="BH1261" s="160"/>
      <c r="BI1261" s="160"/>
      <c r="BJ1261" s="160"/>
      <c r="BK1261" s="160"/>
      <c r="BL1261" s="160"/>
      <c r="BM1261" s="160"/>
      <c r="BN1261" s="160"/>
      <c r="BO1261" s="160"/>
      <c r="BP1261" s="160"/>
      <c r="BQ1261" s="160"/>
      <c r="BR1261" s="160"/>
      <c r="BS1261" s="160"/>
      <c r="BT1261" s="160"/>
      <c r="BU1261" s="160"/>
      <c r="BV1261" s="160"/>
      <c r="BW1261" s="160"/>
      <c r="BX1261" s="160"/>
      <c r="BY1261" s="160"/>
      <c r="BZ1261" s="160"/>
      <c r="CA1261" s="160"/>
      <c r="CB1261" s="160"/>
      <c r="CC1261" s="160"/>
      <c r="CD1261" s="160"/>
      <c r="CE1261" s="160"/>
      <c r="CF1261" s="160"/>
      <c r="CG1261" s="160"/>
      <c r="CH1261" s="160"/>
      <c r="CI1261" s="160"/>
      <c r="CJ1261" s="160"/>
      <c r="CK1261" s="160"/>
      <c r="CL1261" s="160"/>
      <c r="CM1261" s="160"/>
      <c r="CN1261" s="160"/>
      <c r="CO1261" s="160"/>
      <c r="CP1261" s="162">
        <v>127</v>
      </c>
      <c r="CQ1261" s="163">
        <f>127*37000</f>
        <v>4699000</v>
      </c>
      <c r="CR1261" s="162"/>
      <c r="CS1261" s="163"/>
      <c r="CT1261" s="162"/>
      <c r="CU1261" s="163"/>
      <c r="CV1261" s="164">
        <f t="shared" si="166"/>
        <v>11811000</v>
      </c>
      <c r="CW1261" s="165"/>
      <c r="CX1261" s="166"/>
      <c r="CY1261" s="167">
        <v>127</v>
      </c>
      <c r="CZ1261" s="168">
        <f>127*85000</f>
        <v>10795000</v>
      </c>
      <c r="DA1261" s="169"/>
      <c r="DB1261" s="168"/>
      <c r="DC1261" s="165"/>
      <c r="DD1261" s="166"/>
      <c r="DE1261" s="71"/>
      <c r="DF1261" s="170"/>
      <c r="EO1261" s="353" t="str">
        <f t="shared" si="169"/>
        <v>VALLE DEL CAUCA_RESTREPO</v>
      </c>
      <c r="EP1261" s="350"/>
      <c r="EQ1261" s="350"/>
      <c r="ER1261" s="357"/>
      <c r="ES1261" s="350"/>
      <c r="ET1261" s="350"/>
      <c r="EU1261" s="350"/>
    </row>
    <row r="1262" spans="1:151" s="171" customFormat="1" ht="38.25" x14ac:dyDescent="0.2">
      <c r="A1262" s="242">
        <v>40452.736111111109</v>
      </c>
      <c r="B1262" s="107" t="s">
        <v>6305</v>
      </c>
      <c r="C1262" s="107" t="s">
        <v>6305</v>
      </c>
      <c r="D1262" s="430" t="s">
        <v>248</v>
      </c>
      <c r="E1262" s="107" t="str">
        <f>VLOOKUP(B1262&amp;C1262,Divipola!$C$2:$F$1138,4,FALSE)</f>
        <v>11001</v>
      </c>
      <c r="F1262" s="333"/>
      <c r="G1262" s="221"/>
      <c r="H1262" s="157"/>
      <c r="I1262" s="157"/>
      <c r="J1262" s="157"/>
      <c r="K1262" s="414"/>
      <c r="L1262" s="157"/>
      <c r="M1262" s="157"/>
      <c r="N1262" s="157"/>
      <c r="O1262" s="157"/>
      <c r="P1262" s="157"/>
      <c r="Q1262" s="157"/>
      <c r="R1262" s="157"/>
      <c r="S1262" s="157"/>
      <c r="T1262" s="157"/>
      <c r="U1262" s="157"/>
      <c r="V1262" s="158"/>
      <c r="W1262" s="182"/>
      <c r="X1262" s="1"/>
      <c r="Y1262" s="78">
        <f t="shared" si="163"/>
        <v>0</v>
      </c>
      <c r="Z1262" s="78">
        <f t="shared" si="164"/>
        <v>0</v>
      </c>
      <c r="AA1262" s="78">
        <f t="shared" ref="AA1262:AA1293" si="170">DB1262+DD1262</f>
        <v>0</v>
      </c>
      <c r="AB1262" s="78">
        <f t="shared" si="165"/>
        <v>0</v>
      </c>
      <c r="AC1262" s="78"/>
      <c r="AD1262" s="78">
        <v>0</v>
      </c>
      <c r="AE1262" s="80">
        <f t="shared" si="167"/>
        <v>0</v>
      </c>
      <c r="AF1262" s="82">
        <v>0</v>
      </c>
      <c r="AG1262" s="306">
        <v>40624</v>
      </c>
      <c r="AH1262" s="307"/>
      <c r="AI1262" s="306" t="s">
        <v>1984</v>
      </c>
      <c r="AJ1262" s="308" t="s">
        <v>1985</v>
      </c>
      <c r="AK1262" s="309"/>
      <c r="AL1262" s="310" t="s">
        <v>1257</v>
      </c>
      <c r="AM1262" s="419" t="s">
        <v>3755</v>
      </c>
      <c r="AN1262" s="159"/>
      <c r="AO1262" s="160"/>
      <c r="AP1262" s="161"/>
      <c r="AQ1262" s="160"/>
      <c r="AR1262" s="160"/>
      <c r="AS1262" s="160"/>
      <c r="AT1262" s="160"/>
      <c r="AU1262" s="160"/>
      <c r="AV1262" s="160"/>
      <c r="AW1262" s="160"/>
      <c r="AX1262" s="160"/>
      <c r="AY1262" s="160"/>
      <c r="AZ1262" s="160"/>
      <c r="BA1262" s="160"/>
      <c r="BB1262" s="160"/>
      <c r="BC1262" s="160"/>
      <c r="BD1262" s="160"/>
      <c r="BE1262" s="160"/>
      <c r="BF1262" s="160"/>
      <c r="BG1262" s="160"/>
      <c r="BH1262" s="160"/>
      <c r="BI1262" s="160"/>
      <c r="BJ1262" s="160"/>
      <c r="BK1262" s="160"/>
      <c r="BL1262" s="160"/>
      <c r="BM1262" s="160"/>
      <c r="BN1262" s="160"/>
      <c r="BO1262" s="160"/>
      <c r="BP1262" s="160"/>
      <c r="BQ1262" s="160"/>
      <c r="BR1262" s="160"/>
      <c r="BS1262" s="160"/>
      <c r="BT1262" s="160"/>
      <c r="BU1262" s="160"/>
      <c r="BV1262" s="160"/>
      <c r="BW1262" s="160"/>
      <c r="BX1262" s="160"/>
      <c r="BY1262" s="160"/>
      <c r="BZ1262" s="160"/>
      <c r="CA1262" s="160"/>
      <c r="CB1262" s="160"/>
      <c r="CC1262" s="160"/>
      <c r="CD1262" s="160"/>
      <c r="CE1262" s="160"/>
      <c r="CF1262" s="160"/>
      <c r="CG1262" s="160"/>
      <c r="CH1262" s="160"/>
      <c r="CI1262" s="160"/>
      <c r="CJ1262" s="160"/>
      <c r="CK1262" s="160"/>
      <c r="CL1262" s="160"/>
      <c r="CM1262" s="160"/>
      <c r="CN1262" s="160"/>
      <c r="CO1262" s="160"/>
      <c r="CP1262" s="162"/>
      <c r="CQ1262" s="163"/>
      <c r="CR1262" s="162"/>
      <c r="CS1262" s="163"/>
      <c r="CT1262" s="162"/>
      <c r="CU1262" s="163"/>
      <c r="CV1262" s="164">
        <f t="shared" si="166"/>
        <v>0</v>
      </c>
      <c r="CW1262" s="165"/>
      <c r="CX1262" s="166"/>
      <c r="CY1262" s="167"/>
      <c r="CZ1262" s="168"/>
      <c r="DA1262" s="169"/>
      <c r="DB1262" s="168"/>
      <c r="DC1262" s="165"/>
      <c r="DD1262" s="166"/>
      <c r="DE1262" s="71"/>
      <c r="DF1262" s="170"/>
      <c r="EO1262" s="353" t="str">
        <f t="shared" si="169"/>
        <v>BOGOTA, D.C._BOGOTA, D.C.</v>
      </c>
      <c r="EP1262" s="350"/>
      <c r="EQ1262" s="350"/>
      <c r="ER1262" s="357"/>
      <c r="ES1262" s="350"/>
      <c r="ET1262" s="350"/>
      <c r="EU1262" s="350"/>
    </row>
    <row r="1263" spans="1:151" s="171" customFormat="1" ht="120" x14ac:dyDescent="0.2">
      <c r="A1263" s="242">
        <v>40453</v>
      </c>
      <c r="B1263" s="222" t="s">
        <v>1836</v>
      </c>
      <c r="C1263" s="222" t="s">
        <v>1814</v>
      </c>
      <c r="D1263" s="430" t="s">
        <v>837</v>
      </c>
      <c r="E1263" s="107" t="str">
        <f>VLOOKUP(B1263&amp;C1263,Divipola!$C$2:$F$1138,4,FALSE)</f>
        <v>47001</v>
      </c>
      <c r="F1263" s="333"/>
      <c r="G1263" s="221"/>
      <c r="H1263" s="157"/>
      <c r="I1263" s="157"/>
      <c r="J1263" s="157">
        <v>2000</v>
      </c>
      <c r="K1263" s="157">
        <v>400</v>
      </c>
      <c r="L1263" s="157"/>
      <c r="M1263" s="157">
        <v>400</v>
      </c>
      <c r="N1263" s="157"/>
      <c r="O1263" s="157"/>
      <c r="P1263" s="157"/>
      <c r="Q1263" s="157"/>
      <c r="R1263" s="157"/>
      <c r="S1263" s="157"/>
      <c r="T1263" s="157"/>
      <c r="U1263" s="157"/>
      <c r="V1263" s="158"/>
      <c r="W1263" s="182"/>
      <c r="X1263" s="1"/>
      <c r="Y1263" s="78">
        <f t="shared" si="163"/>
        <v>0</v>
      </c>
      <c r="Z1263" s="78">
        <f t="shared" si="164"/>
        <v>0</v>
      </c>
      <c r="AA1263" s="78">
        <f t="shared" si="170"/>
        <v>0</v>
      </c>
      <c r="AB1263" s="78">
        <f t="shared" si="165"/>
        <v>35960000</v>
      </c>
      <c r="AC1263" s="78">
        <f>5568000+26540800</f>
        <v>32108800</v>
      </c>
      <c r="AD1263" s="78">
        <v>0</v>
      </c>
      <c r="AE1263" s="80">
        <f t="shared" si="167"/>
        <v>68068800</v>
      </c>
      <c r="AF1263" s="82">
        <v>0</v>
      </c>
      <c r="AG1263" s="69">
        <v>40454</v>
      </c>
      <c r="AH1263" s="84">
        <v>51729</v>
      </c>
      <c r="AI1263" s="69" t="s">
        <v>2009</v>
      </c>
      <c r="AJ1263" s="25" t="s">
        <v>2010</v>
      </c>
      <c r="AK1263" s="65">
        <v>22145</v>
      </c>
      <c r="AL1263" s="176" t="s">
        <v>1431</v>
      </c>
      <c r="AM1263" s="173" t="s">
        <v>1518</v>
      </c>
      <c r="AN1263" s="159"/>
      <c r="AO1263" s="160"/>
      <c r="AP1263" s="161"/>
      <c r="AQ1263" s="160"/>
      <c r="AR1263" s="160"/>
      <c r="AS1263" s="160"/>
      <c r="AT1263" s="160"/>
      <c r="AU1263" s="160"/>
      <c r="AV1263" s="160"/>
      <c r="AW1263" s="160"/>
      <c r="AX1263" s="160"/>
      <c r="AY1263" s="160"/>
      <c r="AZ1263" s="160"/>
      <c r="BA1263" s="160"/>
      <c r="BB1263" s="160"/>
      <c r="BC1263" s="160"/>
      <c r="BD1263" s="160"/>
      <c r="BE1263" s="160"/>
      <c r="BF1263" s="160"/>
      <c r="BG1263" s="160"/>
      <c r="BH1263" s="160"/>
      <c r="BI1263" s="160"/>
      <c r="BJ1263" s="160"/>
      <c r="BK1263" s="160"/>
      <c r="BL1263" s="160"/>
      <c r="BM1263" s="160"/>
      <c r="BN1263" s="160"/>
      <c r="BO1263" s="160"/>
      <c r="BP1263" s="160"/>
      <c r="BQ1263" s="160"/>
      <c r="BR1263" s="160"/>
      <c r="BS1263" s="160"/>
      <c r="BT1263" s="160"/>
      <c r="BU1263" s="160"/>
      <c r="BV1263" s="160"/>
      <c r="BW1263" s="160"/>
      <c r="BX1263" s="160"/>
      <c r="BY1263" s="160"/>
      <c r="BZ1263" s="160"/>
      <c r="CA1263" s="160"/>
      <c r="CB1263" s="160"/>
      <c r="CC1263" s="160"/>
      <c r="CD1263" s="160"/>
      <c r="CE1263" s="160"/>
      <c r="CF1263" s="160"/>
      <c r="CG1263" s="160"/>
      <c r="CH1263" s="160"/>
      <c r="CI1263" s="160"/>
      <c r="CJ1263" s="160"/>
      <c r="CK1263" s="160"/>
      <c r="CL1263" s="160"/>
      <c r="CM1263" s="160"/>
      <c r="CN1263" s="160"/>
      <c r="CO1263" s="160"/>
      <c r="CP1263" s="162"/>
      <c r="CQ1263" s="163"/>
      <c r="CR1263" s="162"/>
      <c r="CS1263" s="163"/>
      <c r="CT1263" s="162"/>
      <c r="CU1263" s="163"/>
      <c r="CV1263" s="164">
        <f t="shared" si="166"/>
        <v>0</v>
      </c>
      <c r="CW1263" s="165">
        <v>40000</v>
      </c>
      <c r="CX1263" s="166">
        <f>40000*899</f>
        <v>35960000</v>
      </c>
      <c r="CY1263" s="167"/>
      <c r="CZ1263" s="168"/>
      <c r="DA1263" s="169"/>
      <c r="DB1263" s="168"/>
      <c r="DC1263" s="165"/>
      <c r="DD1263" s="166"/>
      <c r="DE1263" s="71"/>
      <c r="DF1263" s="170"/>
      <c r="EO1263" s="353" t="str">
        <f t="shared" si="169"/>
        <v>MAGDALENA_SANTA MARTA</v>
      </c>
      <c r="EP1263" s="350"/>
      <c r="EQ1263" s="350"/>
      <c r="ER1263" s="357"/>
      <c r="ES1263" s="350"/>
      <c r="ET1263" s="350"/>
      <c r="EU1263" s="350"/>
    </row>
    <row r="1264" spans="1:151" s="171" customFormat="1" ht="25.5" x14ac:dyDescent="0.2">
      <c r="A1264" s="246">
        <v>40454</v>
      </c>
      <c r="B1264" s="280" t="s">
        <v>2401</v>
      </c>
      <c r="C1264" s="280" t="s">
        <v>3123</v>
      </c>
      <c r="D1264" s="432" t="s">
        <v>2209</v>
      </c>
      <c r="E1264" s="107" t="str">
        <f>VLOOKUP(B1264&amp;C1264,Divipola!$C$2:$F$1138,4,FALSE)</f>
        <v>05819</v>
      </c>
      <c r="F1264" s="337"/>
      <c r="G1264" s="221"/>
      <c r="H1264" s="157"/>
      <c r="I1264" s="157"/>
      <c r="J1264" s="157">
        <v>100</v>
      </c>
      <c r="K1264" s="157">
        <v>32</v>
      </c>
      <c r="L1264" s="157"/>
      <c r="M1264" s="157">
        <v>32</v>
      </c>
      <c r="N1264" s="157"/>
      <c r="O1264" s="157"/>
      <c r="P1264" s="157"/>
      <c r="Q1264" s="157"/>
      <c r="R1264" s="157"/>
      <c r="S1264" s="157"/>
      <c r="T1264" s="157"/>
      <c r="U1264" s="157"/>
      <c r="V1264" s="158"/>
      <c r="W1264" s="182"/>
      <c r="X1264" s="1"/>
      <c r="Y1264" s="78">
        <f t="shared" si="163"/>
        <v>0</v>
      </c>
      <c r="Z1264" s="78">
        <f t="shared" si="164"/>
        <v>0</v>
      </c>
      <c r="AA1264" s="78">
        <f t="shared" si="170"/>
        <v>0</v>
      </c>
      <c r="AB1264" s="78">
        <f t="shared" si="165"/>
        <v>0</v>
      </c>
      <c r="AC1264" s="78"/>
      <c r="AD1264" s="78">
        <v>0</v>
      </c>
      <c r="AE1264" s="80">
        <f t="shared" si="167"/>
        <v>0</v>
      </c>
      <c r="AF1264" s="82">
        <v>0</v>
      </c>
      <c r="AG1264" s="69">
        <v>40455</v>
      </c>
      <c r="AH1264" s="84"/>
      <c r="AI1264" s="69" t="s">
        <v>1984</v>
      </c>
      <c r="AJ1264" s="25" t="s">
        <v>1985</v>
      </c>
      <c r="AK1264" s="65"/>
      <c r="AL1264" s="69" t="s">
        <v>1257</v>
      </c>
      <c r="AM1264" s="173" t="s">
        <v>2606</v>
      </c>
      <c r="AN1264" s="159"/>
      <c r="AO1264" s="160"/>
      <c r="AP1264" s="161"/>
      <c r="AQ1264" s="160"/>
      <c r="AR1264" s="160"/>
      <c r="AS1264" s="160"/>
      <c r="AT1264" s="160"/>
      <c r="AU1264" s="160"/>
      <c r="AV1264" s="160"/>
      <c r="AW1264" s="160"/>
      <c r="AX1264" s="160"/>
      <c r="AY1264" s="160"/>
      <c r="AZ1264" s="160"/>
      <c r="BA1264" s="160"/>
      <c r="BB1264" s="160"/>
      <c r="BC1264" s="160"/>
      <c r="BD1264" s="160"/>
      <c r="BE1264" s="160"/>
      <c r="BF1264" s="160"/>
      <c r="BG1264" s="160"/>
      <c r="BH1264" s="160"/>
      <c r="BI1264" s="160"/>
      <c r="BJ1264" s="160"/>
      <c r="BK1264" s="160"/>
      <c r="BL1264" s="160"/>
      <c r="BM1264" s="160"/>
      <c r="BN1264" s="160"/>
      <c r="BO1264" s="160"/>
      <c r="BP1264" s="160"/>
      <c r="BQ1264" s="160"/>
      <c r="BR1264" s="160"/>
      <c r="BS1264" s="160"/>
      <c r="BT1264" s="160"/>
      <c r="BU1264" s="160"/>
      <c r="BV1264" s="160"/>
      <c r="BW1264" s="160"/>
      <c r="BX1264" s="160"/>
      <c r="BY1264" s="160"/>
      <c r="BZ1264" s="160"/>
      <c r="CA1264" s="160"/>
      <c r="CB1264" s="160"/>
      <c r="CC1264" s="160"/>
      <c r="CD1264" s="160"/>
      <c r="CE1264" s="160"/>
      <c r="CF1264" s="160"/>
      <c r="CG1264" s="160"/>
      <c r="CH1264" s="160"/>
      <c r="CI1264" s="160"/>
      <c r="CJ1264" s="160"/>
      <c r="CK1264" s="160"/>
      <c r="CL1264" s="160"/>
      <c r="CM1264" s="160"/>
      <c r="CN1264" s="160"/>
      <c r="CO1264" s="160"/>
      <c r="CP1264" s="162"/>
      <c r="CQ1264" s="163"/>
      <c r="CR1264" s="162"/>
      <c r="CS1264" s="163"/>
      <c r="CT1264" s="162"/>
      <c r="CU1264" s="163"/>
      <c r="CV1264" s="164">
        <f t="shared" si="166"/>
        <v>0</v>
      </c>
      <c r="CW1264" s="165"/>
      <c r="CX1264" s="166"/>
      <c r="CY1264" s="167"/>
      <c r="CZ1264" s="168"/>
      <c r="DA1264" s="169"/>
      <c r="DB1264" s="168"/>
      <c r="DC1264" s="165"/>
      <c r="DD1264" s="166"/>
      <c r="DE1264" s="71"/>
      <c r="DF1264" s="170"/>
      <c r="EO1264" s="353" t="str">
        <f t="shared" si="169"/>
        <v>ANTIOQUIA_TOLEDO</v>
      </c>
      <c r="EP1264" s="350"/>
      <c r="EQ1264" s="350"/>
      <c r="ER1264" s="357"/>
      <c r="ES1264" s="350"/>
      <c r="ET1264" s="350"/>
      <c r="EU1264" s="350"/>
    </row>
    <row r="1265" spans="1:151" s="171" customFormat="1" ht="25.5" x14ac:dyDescent="0.2">
      <c r="A1265" s="242">
        <v>40454</v>
      </c>
      <c r="B1265" s="222" t="s">
        <v>2017</v>
      </c>
      <c r="C1265" s="222" t="s">
        <v>1953</v>
      </c>
      <c r="D1265" s="430" t="s">
        <v>837</v>
      </c>
      <c r="E1265" s="107" t="str">
        <f>VLOOKUP(B1265&amp;C1265,Divipola!$C$2:$F$1138,4,FALSE)</f>
        <v>13873</v>
      </c>
      <c r="F1265" s="333"/>
      <c r="G1265" s="221"/>
      <c r="H1265" s="157"/>
      <c r="I1265" s="157"/>
      <c r="J1265" s="157">
        <f>478*5</f>
        <v>2390</v>
      </c>
      <c r="K1265" s="157">
        <v>478</v>
      </c>
      <c r="L1265" s="157"/>
      <c r="M1265" s="157">
        <v>100</v>
      </c>
      <c r="N1265" s="157"/>
      <c r="O1265" s="157"/>
      <c r="P1265" s="157"/>
      <c r="Q1265" s="157"/>
      <c r="R1265" s="157"/>
      <c r="S1265" s="157"/>
      <c r="T1265" s="157"/>
      <c r="U1265" s="157"/>
      <c r="V1265" s="158"/>
      <c r="W1265" s="182"/>
      <c r="X1265" s="1"/>
      <c r="Y1265" s="78">
        <f t="shared" si="163"/>
        <v>0</v>
      </c>
      <c r="Z1265" s="78">
        <f t="shared" si="164"/>
        <v>0</v>
      </c>
      <c r="AA1265" s="78">
        <f t="shared" si="170"/>
        <v>0</v>
      </c>
      <c r="AB1265" s="78">
        <f t="shared" si="165"/>
        <v>0</v>
      </c>
      <c r="AC1265" s="78"/>
      <c r="AD1265" s="78">
        <v>0</v>
      </c>
      <c r="AE1265" s="80">
        <f t="shared" si="167"/>
        <v>0</v>
      </c>
      <c r="AF1265" s="82">
        <v>0</v>
      </c>
      <c r="AG1265" s="69">
        <v>40454</v>
      </c>
      <c r="AH1265" s="84"/>
      <c r="AI1265" s="69" t="s">
        <v>1984</v>
      </c>
      <c r="AJ1265" s="25" t="s">
        <v>1985</v>
      </c>
      <c r="AK1265" s="65"/>
      <c r="AL1265" s="176" t="s">
        <v>1257</v>
      </c>
      <c r="AM1265" s="173" t="s">
        <v>2626</v>
      </c>
      <c r="AN1265" s="159"/>
      <c r="AO1265" s="160"/>
      <c r="AP1265" s="161"/>
      <c r="AQ1265" s="160"/>
      <c r="AR1265" s="160"/>
      <c r="AS1265" s="160"/>
      <c r="AT1265" s="160"/>
      <c r="AU1265" s="160"/>
      <c r="AV1265" s="160"/>
      <c r="AW1265" s="160"/>
      <c r="AX1265" s="160"/>
      <c r="AY1265" s="160"/>
      <c r="AZ1265" s="160"/>
      <c r="BA1265" s="160"/>
      <c r="BB1265" s="160"/>
      <c r="BC1265" s="160"/>
      <c r="BD1265" s="160"/>
      <c r="BE1265" s="160"/>
      <c r="BF1265" s="160"/>
      <c r="BG1265" s="160"/>
      <c r="BH1265" s="160"/>
      <c r="BI1265" s="160"/>
      <c r="BJ1265" s="160"/>
      <c r="BK1265" s="160"/>
      <c r="BL1265" s="160"/>
      <c r="BM1265" s="160"/>
      <c r="BN1265" s="160"/>
      <c r="BO1265" s="160"/>
      <c r="BP1265" s="160"/>
      <c r="BQ1265" s="160"/>
      <c r="BR1265" s="160"/>
      <c r="BS1265" s="160"/>
      <c r="BT1265" s="160"/>
      <c r="BU1265" s="160"/>
      <c r="BV1265" s="160"/>
      <c r="BW1265" s="160"/>
      <c r="BX1265" s="160"/>
      <c r="BY1265" s="160"/>
      <c r="BZ1265" s="160"/>
      <c r="CA1265" s="160"/>
      <c r="CB1265" s="160"/>
      <c r="CC1265" s="160"/>
      <c r="CD1265" s="160"/>
      <c r="CE1265" s="160"/>
      <c r="CF1265" s="160"/>
      <c r="CG1265" s="160"/>
      <c r="CH1265" s="160"/>
      <c r="CI1265" s="160"/>
      <c r="CJ1265" s="160"/>
      <c r="CK1265" s="160"/>
      <c r="CL1265" s="160"/>
      <c r="CM1265" s="160"/>
      <c r="CN1265" s="160"/>
      <c r="CO1265" s="160"/>
      <c r="CP1265" s="162"/>
      <c r="CQ1265" s="163"/>
      <c r="CR1265" s="162"/>
      <c r="CS1265" s="163"/>
      <c r="CT1265" s="162"/>
      <c r="CU1265" s="163"/>
      <c r="CV1265" s="164">
        <f t="shared" si="166"/>
        <v>0</v>
      </c>
      <c r="CW1265" s="165"/>
      <c r="CX1265" s="166"/>
      <c r="CY1265" s="167"/>
      <c r="CZ1265" s="168"/>
      <c r="DA1265" s="169"/>
      <c r="DB1265" s="168"/>
      <c r="DC1265" s="165"/>
      <c r="DD1265" s="166"/>
      <c r="DE1265" s="71"/>
      <c r="DF1265" s="170"/>
      <c r="EO1265" s="353" t="str">
        <f t="shared" si="169"/>
        <v>BOLIVAR_VILLANUEVA</v>
      </c>
      <c r="EP1265" s="350"/>
      <c r="EQ1265" s="350"/>
      <c r="ER1265" s="357"/>
      <c r="ES1265" s="350"/>
      <c r="ET1265" s="350"/>
      <c r="EU1265" s="350"/>
    </row>
    <row r="1266" spans="1:151" s="171" customFormat="1" ht="96" x14ac:dyDescent="0.2">
      <c r="A1266" s="242">
        <v>40454</v>
      </c>
      <c r="B1266" s="222" t="s">
        <v>2425</v>
      </c>
      <c r="C1266" s="222" t="s">
        <v>2603</v>
      </c>
      <c r="D1266" s="430" t="s">
        <v>837</v>
      </c>
      <c r="E1266" s="107" t="str">
        <f>VLOOKUP(B1266&amp;C1266,Divipola!$C$2:$F$1138,4,FALSE)</f>
        <v>27372</v>
      </c>
      <c r="F1266" s="333"/>
      <c r="G1266" s="221"/>
      <c r="H1266" s="157"/>
      <c r="I1266" s="157"/>
      <c r="J1266" s="157">
        <v>1000</v>
      </c>
      <c r="K1266" s="157">
        <v>200</v>
      </c>
      <c r="L1266" s="157"/>
      <c r="M1266" s="157"/>
      <c r="N1266" s="157"/>
      <c r="O1266" s="157"/>
      <c r="P1266" s="157"/>
      <c r="Q1266" s="157"/>
      <c r="R1266" s="157"/>
      <c r="S1266" s="157"/>
      <c r="T1266" s="157"/>
      <c r="U1266" s="157"/>
      <c r="V1266" s="158">
        <v>515</v>
      </c>
      <c r="W1266" s="182" t="s">
        <v>2089</v>
      </c>
      <c r="X1266" s="1">
        <v>40533</v>
      </c>
      <c r="Y1266" s="78">
        <f t="shared" si="163"/>
        <v>0</v>
      </c>
      <c r="Z1266" s="78">
        <f t="shared" si="164"/>
        <v>29748761.000000004</v>
      </c>
      <c r="AA1266" s="78">
        <f t="shared" si="170"/>
        <v>0</v>
      </c>
      <c r="AB1266" s="78">
        <f t="shared" si="165"/>
        <v>0</v>
      </c>
      <c r="AC1266" s="78"/>
      <c r="AD1266" s="78">
        <v>0</v>
      </c>
      <c r="AE1266" s="80">
        <f t="shared" si="167"/>
        <v>29748761.000000004</v>
      </c>
      <c r="AF1266" s="82">
        <v>0</v>
      </c>
      <c r="AG1266" s="69">
        <v>40455</v>
      </c>
      <c r="AH1266" s="84">
        <v>62735</v>
      </c>
      <c r="AI1266" s="69" t="s">
        <v>2009</v>
      </c>
      <c r="AJ1266" s="25" t="s">
        <v>2010</v>
      </c>
      <c r="AK1266" s="65">
        <v>27398</v>
      </c>
      <c r="AL1266" s="176" t="s">
        <v>1831</v>
      </c>
      <c r="AM1266" s="173" t="s">
        <v>9</v>
      </c>
      <c r="AN1266" s="159"/>
      <c r="AO1266" s="160"/>
      <c r="AP1266" s="161"/>
      <c r="AQ1266" s="160"/>
      <c r="AR1266" s="160"/>
      <c r="AS1266" s="160"/>
      <c r="AT1266" s="160"/>
      <c r="AU1266" s="160"/>
      <c r="AV1266" s="160"/>
      <c r="AW1266" s="160"/>
      <c r="AX1266" s="160"/>
      <c r="AY1266" s="160"/>
      <c r="AZ1266" s="160"/>
      <c r="BA1266" s="160"/>
      <c r="BB1266" s="160"/>
      <c r="BC1266" s="160"/>
      <c r="BD1266" s="160"/>
      <c r="BE1266" s="160"/>
      <c r="BF1266" s="160"/>
      <c r="BG1266" s="160"/>
      <c r="BH1266" s="160"/>
      <c r="BI1266" s="160"/>
      <c r="BJ1266" s="160"/>
      <c r="BK1266" s="160"/>
      <c r="BL1266" s="160"/>
      <c r="BM1266" s="160"/>
      <c r="BN1266" s="160"/>
      <c r="BO1266" s="160"/>
      <c r="BP1266" s="160"/>
      <c r="BQ1266" s="160"/>
      <c r="BR1266" s="160"/>
      <c r="BS1266" s="160"/>
      <c r="BT1266" s="160"/>
      <c r="BU1266" s="160"/>
      <c r="BV1266" s="160"/>
      <c r="BW1266" s="160"/>
      <c r="BX1266" s="160"/>
      <c r="BY1266" s="160"/>
      <c r="BZ1266" s="160"/>
      <c r="CA1266" s="160"/>
      <c r="CB1266" s="160"/>
      <c r="CC1266" s="160"/>
      <c r="CD1266" s="160"/>
      <c r="CE1266" s="160"/>
      <c r="CF1266" s="160"/>
      <c r="CG1266" s="160"/>
      <c r="CH1266" s="160"/>
      <c r="CI1266" s="160"/>
      <c r="CJ1266" s="160"/>
      <c r="CK1266" s="160"/>
      <c r="CL1266" s="160"/>
      <c r="CM1266" s="160"/>
      <c r="CN1266" s="160"/>
      <c r="CO1266" s="160"/>
      <c r="CP1266" s="162"/>
      <c r="CQ1266" s="163"/>
      <c r="CR1266" s="162"/>
      <c r="CS1266" s="163"/>
      <c r="CT1266" s="162"/>
      <c r="CU1266" s="163"/>
      <c r="CV1266" s="164">
        <f t="shared" si="166"/>
        <v>0</v>
      </c>
      <c r="CW1266" s="165"/>
      <c r="CX1266" s="166"/>
      <c r="CY1266" s="167">
        <v>350</v>
      </c>
      <c r="CZ1266" s="168">
        <f>350*84996.46</f>
        <v>29748761.000000004</v>
      </c>
      <c r="DA1266" s="169"/>
      <c r="DB1266" s="168"/>
      <c r="DC1266" s="165"/>
      <c r="DD1266" s="166"/>
      <c r="DE1266" s="71"/>
      <c r="DF1266" s="170"/>
      <c r="EO1266" s="353" t="str">
        <f t="shared" si="169"/>
        <v>CHOCO_JURADO</v>
      </c>
      <c r="EP1266" s="350"/>
      <c r="EQ1266" s="350"/>
      <c r="ER1266" s="357"/>
      <c r="ES1266" s="350"/>
      <c r="ET1266" s="350"/>
      <c r="EU1266" s="350"/>
    </row>
    <row r="1267" spans="1:151" s="171" customFormat="1" ht="51" x14ac:dyDescent="0.2">
      <c r="A1267" s="242">
        <v>40454</v>
      </c>
      <c r="B1267" s="222" t="s">
        <v>1336</v>
      </c>
      <c r="C1267" s="222" t="s">
        <v>645</v>
      </c>
      <c r="D1267" s="427" t="s">
        <v>2307</v>
      </c>
      <c r="E1267" s="107" t="str">
        <f>VLOOKUP(B1267&amp;C1267,Divipola!$C$2:$F$1138,4,FALSE)</f>
        <v>54109</v>
      </c>
      <c r="F1267" s="330"/>
      <c r="G1267" s="221">
        <v>3</v>
      </c>
      <c r="H1267" s="157"/>
      <c r="I1267" s="157"/>
      <c r="J1267" s="157">
        <v>10</v>
      </c>
      <c r="K1267" s="157">
        <v>2</v>
      </c>
      <c r="L1267" s="157">
        <v>2</v>
      </c>
      <c r="M1267" s="157"/>
      <c r="N1267" s="157"/>
      <c r="O1267" s="157"/>
      <c r="P1267" s="157"/>
      <c r="Q1267" s="157">
        <v>1</v>
      </c>
      <c r="R1267" s="157">
        <v>1</v>
      </c>
      <c r="S1267" s="157"/>
      <c r="T1267" s="157"/>
      <c r="U1267" s="157"/>
      <c r="V1267" s="158"/>
      <c r="W1267" s="182"/>
      <c r="X1267" s="1"/>
      <c r="Y1267" s="78">
        <f t="shared" si="163"/>
        <v>0</v>
      </c>
      <c r="Z1267" s="78">
        <f t="shared" si="164"/>
        <v>0</v>
      </c>
      <c r="AA1267" s="78">
        <f t="shared" si="170"/>
        <v>0</v>
      </c>
      <c r="AB1267" s="78">
        <f t="shared" si="165"/>
        <v>0</v>
      </c>
      <c r="AC1267" s="78"/>
      <c r="AD1267" s="78">
        <v>0</v>
      </c>
      <c r="AE1267" s="80">
        <f t="shared" si="167"/>
        <v>0</v>
      </c>
      <c r="AF1267" s="82">
        <v>0</v>
      </c>
      <c r="AG1267" s="69">
        <v>40455</v>
      </c>
      <c r="AH1267" s="84"/>
      <c r="AI1267" s="69" t="s">
        <v>1984</v>
      </c>
      <c r="AJ1267" s="25" t="s">
        <v>1985</v>
      </c>
      <c r="AK1267" s="65"/>
      <c r="AL1267" s="176" t="s">
        <v>1257</v>
      </c>
      <c r="AM1267" s="173" t="s">
        <v>2607</v>
      </c>
      <c r="AN1267" s="159"/>
      <c r="AO1267" s="160"/>
      <c r="AP1267" s="161"/>
      <c r="AQ1267" s="160"/>
      <c r="AR1267" s="160"/>
      <c r="AS1267" s="160"/>
      <c r="AT1267" s="160"/>
      <c r="AU1267" s="160"/>
      <c r="AV1267" s="160"/>
      <c r="AW1267" s="160"/>
      <c r="AX1267" s="160"/>
      <c r="AY1267" s="160"/>
      <c r="AZ1267" s="160"/>
      <c r="BA1267" s="160"/>
      <c r="BB1267" s="160"/>
      <c r="BC1267" s="160"/>
      <c r="BD1267" s="160"/>
      <c r="BE1267" s="160"/>
      <c r="BF1267" s="160"/>
      <c r="BG1267" s="160"/>
      <c r="BH1267" s="160"/>
      <c r="BI1267" s="160"/>
      <c r="BJ1267" s="160"/>
      <c r="BK1267" s="160"/>
      <c r="BL1267" s="160"/>
      <c r="BM1267" s="160"/>
      <c r="BN1267" s="160"/>
      <c r="BO1267" s="160"/>
      <c r="BP1267" s="160"/>
      <c r="BQ1267" s="160"/>
      <c r="BR1267" s="160"/>
      <c r="BS1267" s="160"/>
      <c r="BT1267" s="160"/>
      <c r="BU1267" s="160"/>
      <c r="BV1267" s="160"/>
      <c r="BW1267" s="160"/>
      <c r="BX1267" s="160"/>
      <c r="BY1267" s="160"/>
      <c r="BZ1267" s="160"/>
      <c r="CA1267" s="160"/>
      <c r="CB1267" s="160"/>
      <c r="CC1267" s="160"/>
      <c r="CD1267" s="160"/>
      <c r="CE1267" s="160"/>
      <c r="CF1267" s="160"/>
      <c r="CG1267" s="160"/>
      <c r="CH1267" s="160"/>
      <c r="CI1267" s="160"/>
      <c r="CJ1267" s="160"/>
      <c r="CK1267" s="160"/>
      <c r="CL1267" s="160"/>
      <c r="CM1267" s="160"/>
      <c r="CN1267" s="160"/>
      <c r="CO1267" s="160"/>
      <c r="CP1267" s="162"/>
      <c r="CQ1267" s="163"/>
      <c r="CR1267" s="162"/>
      <c r="CS1267" s="163"/>
      <c r="CT1267" s="162"/>
      <c r="CU1267" s="163"/>
      <c r="CV1267" s="164">
        <f t="shared" si="166"/>
        <v>0</v>
      </c>
      <c r="CW1267" s="165"/>
      <c r="CX1267" s="166"/>
      <c r="CY1267" s="167"/>
      <c r="CZ1267" s="168"/>
      <c r="DA1267" s="169"/>
      <c r="DB1267" s="168"/>
      <c r="DC1267" s="165"/>
      <c r="DD1267" s="166"/>
      <c r="DE1267" s="71"/>
      <c r="DF1267" s="170"/>
      <c r="EO1267" s="353" t="str">
        <f t="shared" si="169"/>
        <v>NORTE DE SANTANDER_BUCARASICA</v>
      </c>
      <c r="EP1267" s="350"/>
      <c r="EQ1267" s="350"/>
      <c r="ER1267" s="357"/>
      <c r="ES1267" s="350"/>
      <c r="ET1267" s="350"/>
      <c r="EU1267" s="350"/>
    </row>
    <row r="1268" spans="1:151" s="171" customFormat="1" ht="36" x14ac:dyDescent="0.2">
      <c r="A1268" s="242">
        <v>40454</v>
      </c>
      <c r="B1268" s="222" t="s">
        <v>2791</v>
      </c>
      <c r="C1268" s="222" t="s">
        <v>1945</v>
      </c>
      <c r="D1268" s="427" t="s">
        <v>2307</v>
      </c>
      <c r="E1268" s="107" t="str">
        <f>VLOOKUP(B1268&amp;C1268,Divipola!$C$2:$F$1138,4,FALSE)</f>
        <v>73001</v>
      </c>
      <c r="F1268" s="330"/>
      <c r="G1268" s="221"/>
      <c r="H1268" s="157"/>
      <c r="I1268" s="157"/>
      <c r="J1268" s="157">
        <v>20</v>
      </c>
      <c r="K1268" s="157">
        <v>4</v>
      </c>
      <c r="L1268" s="157">
        <v>1</v>
      </c>
      <c r="M1268" s="157">
        <v>3</v>
      </c>
      <c r="N1268" s="157"/>
      <c r="O1268" s="157"/>
      <c r="P1268" s="157"/>
      <c r="Q1268" s="157"/>
      <c r="R1268" s="157"/>
      <c r="S1268" s="157"/>
      <c r="T1268" s="157"/>
      <c r="U1268" s="157"/>
      <c r="V1268" s="158"/>
      <c r="W1268" s="182"/>
      <c r="X1268" s="1"/>
      <c r="Y1268" s="78">
        <f t="shared" si="163"/>
        <v>0</v>
      </c>
      <c r="Z1268" s="78">
        <f t="shared" si="164"/>
        <v>0</v>
      </c>
      <c r="AA1268" s="78">
        <f t="shared" si="170"/>
        <v>0</v>
      </c>
      <c r="AB1268" s="78">
        <f t="shared" si="165"/>
        <v>0</v>
      </c>
      <c r="AC1268" s="78"/>
      <c r="AD1268" s="78">
        <v>0</v>
      </c>
      <c r="AE1268" s="80">
        <f t="shared" si="167"/>
        <v>0</v>
      </c>
      <c r="AF1268" s="82">
        <v>0</v>
      </c>
      <c r="AG1268" s="242">
        <v>40455</v>
      </c>
      <c r="AH1268" s="84"/>
      <c r="AI1268" s="69" t="s">
        <v>1984</v>
      </c>
      <c r="AJ1268" s="25" t="s">
        <v>1985</v>
      </c>
      <c r="AK1268" s="65"/>
      <c r="AL1268" s="176" t="s">
        <v>1257</v>
      </c>
      <c r="AM1268" s="173" t="s">
        <v>3015</v>
      </c>
      <c r="AN1268" s="159"/>
      <c r="AO1268" s="160"/>
      <c r="AP1268" s="161"/>
      <c r="AQ1268" s="160"/>
      <c r="AR1268" s="160"/>
      <c r="AS1268" s="160"/>
      <c r="AT1268" s="160"/>
      <c r="AU1268" s="160"/>
      <c r="AV1268" s="160"/>
      <c r="AW1268" s="160"/>
      <c r="AX1268" s="160"/>
      <c r="AY1268" s="160"/>
      <c r="AZ1268" s="160"/>
      <c r="BA1268" s="160"/>
      <c r="BB1268" s="160"/>
      <c r="BC1268" s="160"/>
      <c r="BD1268" s="160"/>
      <c r="BE1268" s="160"/>
      <c r="BF1268" s="160"/>
      <c r="BG1268" s="160"/>
      <c r="BH1268" s="160"/>
      <c r="BI1268" s="160"/>
      <c r="BJ1268" s="160"/>
      <c r="BK1268" s="160"/>
      <c r="BL1268" s="160"/>
      <c r="BM1268" s="160"/>
      <c r="BN1268" s="160"/>
      <c r="BO1268" s="160"/>
      <c r="BP1268" s="160"/>
      <c r="BQ1268" s="160"/>
      <c r="BR1268" s="160"/>
      <c r="BS1268" s="160"/>
      <c r="BT1268" s="160"/>
      <c r="BU1268" s="160"/>
      <c r="BV1268" s="160"/>
      <c r="BW1268" s="160"/>
      <c r="BX1268" s="160"/>
      <c r="BY1268" s="160"/>
      <c r="BZ1268" s="160"/>
      <c r="CA1268" s="160"/>
      <c r="CB1268" s="160"/>
      <c r="CC1268" s="160"/>
      <c r="CD1268" s="160"/>
      <c r="CE1268" s="160"/>
      <c r="CF1268" s="160"/>
      <c r="CG1268" s="160"/>
      <c r="CH1268" s="160"/>
      <c r="CI1268" s="160"/>
      <c r="CJ1268" s="160"/>
      <c r="CK1268" s="160"/>
      <c r="CL1268" s="160"/>
      <c r="CM1268" s="160"/>
      <c r="CN1268" s="160"/>
      <c r="CO1268" s="160"/>
      <c r="CP1268" s="162"/>
      <c r="CQ1268" s="163"/>
      <c r="CR1268" s="162"/>
      <c r="CS1268" s="163"/>
      <c r="CT1268" s="162"/>
      <c r="CU1268" s="163"/>
      <c r="CV1268" s="164">
        <f t="shared" si="166"/>
        <v>0</v>
      </c>
      <c r="CW1268" s="165"/>
      <c r="CX1268" s="166"/>
      <c r="CY1268" s="167"/>
      <c r="CZ1268" s="168"/>
      <c r="DA1268" s="169"/>
      <c r="DB1268" s="168"/>
      <c r="DC1268" s="165"/>
      <c r="DD1268" s="166"/>
      <c r="DE1268" s="71"/>
      <c r="DF1268" s="170">
        <v>1324</v>
      </c>
      <c r="EO1268" s="353" t="str">
        <f t="shared" si="169"/>
        <v>TOLIMA_IBAGUE</v>
      </c>
      <c r="EP1268" s="350"/>
      <c r="EQ1268" s="350"/>
      <c r="ER1268" s="357"/>
      <c r="ES1268" s="350"/>
      <c r="ET1268" s="350"/>
      <c r="EU1268" s="350"/>
    </row>
    <row r="1269" spans="1:151" s="171" customFormat="1" ht="25.5" x14ac:dyDescent="0.2">
      <c r="A1269" s="246">
        <v>40455</v>
      </c>
      <c r="B1269" s="280" t="s">
        <v>2401</v>
      </c>
      <c r="C1269" s="280" t="s">
        <v>2747</v>
      </c>
      <c r="D1269" s="431" t="s">
        <v>2307</v>
      </c>
      <c r="E1269" s="107" t="str">
        <f>VLOOKUP(B1269&amp;C1269,Divipola!$C$2:$F$1138,4,FALSE)</f>
        <v>05001</v>
      </c>
      <c r="F1269" s="334"/>
      <c r="G1269" s="221"/>
      <c r="H1269" s="157"/>
      <c r="I1269" s="157"/>
      <c r="J1269" s="157">
        <v>10</v>
      </c>
      <c r="K1269" s="157">
        <v>2</v>
      </c>
      <c r="L1269" s="157">
        <v>2</v>
      </c>
      <c r="M1269" s="157"/>
      <c r="N1269" s="157"/>
      <c r="O1269" s="157"/>
      <c r="P1269" s="157"/>
      <c r="Q1269" s="157"/>
      <c r="R1269" s="157"/>
      <c r="S1269" s="157"/>
      <c r="T1269" s="157"/>
      <c r="U1269" s="157"/>
      <c r="V1269" s="158"/>
      <c r="W1269" s="182"/>
      <c r="X1269" s="1"/>
      <c r="Y1269" s="78">
        <f t="shared" si="163"/>
        <v>0</v>
      </c>
      <c r="Z1269" s="78">
        <f t="shared" si="164"/>
        <v>0</v>
      </c>
      <c r="AA1269" s="78">
        <f t="shared" si="170"/>
        <v>0</v>
      </c>
      <c r="AB1269" s="78">
        <f t="shared" si="165"/>
        <v>0</v>
      </c>
      <c r="AC1269" s="78"/>
      <c r="AD1269" s="78">
        <v>0</v>
      </c>
      <c r="AE1269" s="80">
        <f t="shared" si="167"/>
        <v>0</v>
      </c>
      <c r="AF1269" s="82">
        <v>0</v>
      </c>
      <c r="AG1269" s="69">
        <v>40455</v>
      </c>
      <c r="AH1269" s="84"/>
      <c r="AI1269" s="69" t="s">
        <v>1984</v>
      </c>
      <c r="AJ1269" s="25" t="s">
        <v>1985</v>
      </c>
      <c r="AK1269" s="65"/>
      <c r="AL1269" s="176" t="s">
        <v>1257</v>
      </c>
      <c r="AM1269" s="173" t="s">
        <v>1756</v>
      </c>
      <c r="AN1269" s="159"/>
      <c r="AO1269" s="160"/>
      <c r="AP1269" s="161"/>
      <c r="AQ1269" s="160"/>
      <c r="AR1269" s="160"/>
      <c r="AS1269" s="160"/>
      <c r="AT1269" s="160"/>
      <c r="AU1269" s="160"/>
      <c r="AV1269" s="160"/>
      <c r="AW1269" s="160"/>
      <c r="AX1269" s="160"/>
      <c r="AY1269" s="160"/>
      <c r="AZ1269" s="160"/>
      <c r="BA1269" s="160"/>
      <c r="BB1269" s="160"/>
      <c r="BC1269" s="160"/>
      <c r="BD1269" s="160"/>
      <c r="BE1269" s="160"/>
      <c r="BF1269" s="160"/>
      <c r="BG1269" s="160"/>
      <c r="BH1269" s="160"/>
      <c r="BI1269" s="160"/>
      <c r="BJ1269" s="160"/>
      <c r="BK1269" s="160"/>
      <c r="BL1269" s="160"/>
      <c r="BM1269" s="160"/>
      <c r="BN1269" s="160"/>
      <c r="BO1269" s="160"/>
      <c r="BP1269" s="160"/>
      <c r="BQ1269" s="160"/>
      <c r="BR1269" s="160"/>
      <c r="BS1269" s="160"/>
      <c r="BT1269" s="160"/>
      <c r="BU1269" s="160"/>
      <c r="BV1269" s="160"/>
      <c r="BW1269" s="160"/>
      <c r="BX1269" s="160"/>
      <c r="BY1269" s="160"/>
      <c r="BZ1269" s="160"/>
      <c r="CA1269" s="160"/>
      <c r="CB1269" s="160"/>
      <c r="CC1269" s="160"/>
      <c r="CD1269" s="160"/>
      <c r="CE1269" s="160"/>
      <c r="CF1269" s="160"/>
      <c r="CG1269" s="160"/>
      <c r="CH1269" s="160"/>
      <c r="CI1269" s="160"/>
      <c r="CJ1269" s="160"/>
      <c r="CK1269" s="160"/>
      <c r="CL1269" s="160"/>
      <c r="CM1269" s="160"/>
      <c r="CN1269" s="160"/>
      <c r="CO1269" s="160"/>
      <c r="CP1269" s="162"/>
      <c r="CQ1269" s="163"/>
      <c r="CR1269" s="162"/>
      <c r="CS1269" s="163"/>
      <c r="CT1269" s="162"/>
      <c r="CU1269" s="163"/>
      <c r="CV1269" s="164">
        <f t="shared" si="166"/>
        <v>0</v>
      </c>
      <c r="CW1269" s="165"/>
      <c r="CX1269" s="166"/>
      <c r="CY1269" s="167"/>
      <c r="CZ1269" s="168"/>
      <c r="DA1269" s="169"/>
      <c r="DB1269" s="168"/>
      <c r="DC1269" s="165"/>
      <c r="DD1269" s="166"/>
      <c r="DE1269" s="71"/>
      <c r="DF1269" s="170"/>
      <c r="EO1269" s="353" t="str">
        <f t="shared" si="169"/>
        <v>ANTIOQUIA_MEDELLIN</v>
      </c>
      <c r="EP1269" s="350"/>
      <c r="EQ1269" s="350"/>
      <c r="ER1269" s="357"/>
      <c r="ES1269" s="350"/>
      <c r="ET1269" s="350"/>
      <c r="EU1269" s="350"/>
    </row>
    <row r="1270" spans="1:151" s="171" customFormat="1" ht="144" x14ac:dyDescent="0.2">
      <c r="A1270" s="242">
        <v>40455</v>
      </c>
      <c r="B1270" s="222" t="s">
        <v>2242</v>
      </c>
      <c r="C1270" s="222" t="s">
        <v>221</v>
      </c>
      <c r="D1270" s="430" t="s">
        <v>837</v>
      </c>
      <c r="E1270" s="107" t="str">
        <f>VLOOKUP(B1270&amp;C1270,Divipola!$C$2:$F$1138,4,FALSE)</f>
        <v>20001</v>
      </c>
      <c r="F1270" s="333"/>
      <c r="G1270" s="221"/>
      <c r="H1270" s="157"/>
      <c r="I1270" s="157"/>
      <c r="J1270" s="157">
        <f>1116*5</f>
        <v>5580</v>
      </c>
      <c r="K1270" s="157">
        <f>1676-500-60</f>
        <v>1116</v>
      </c>
      <c r="L1270" s="157"/>
      <c r="M1270" s="157">
        <v>1116</v>
      </c>
      <c r="N1270" s="157"/>
      <c r="O1270" s="157"/>
      <c r="P1270" s="157"/>
      <c r="Q1270" s="157"/>
      <c r="R1270" s="157"/>
      <c r="S1270" s="157"/>
      <c r="T1270" s="157"/>
      <c r="U1270" s="157"/>
      <c r="V1270" s="158"/>
      <c r="W1270" s="182"/>
      <c r="X1270" s="1">
        <v>40479</v>
      </c>
      <c r="Y1270" s="78">
        <f t="shared" si="163"/>
        <v>0</v>
      </c>
      <c r="Z1270" s="78">
        <f t="shared" si="164"/>
        <v>85000000</v>
      </c>
      <c r="AA1270" s="78">
        <f t="shared" si="170"/>
        <v>0</v>
      </c>
      <c r="AB1270" s="78">
        <f t="shared" si="165"/>
        <v>0</v>
      </c>
      <c r="AC1270" s="78"/>
      <c r="AD1270" s="78">
        <v>0</v>
      </c>
      <c r="AE1270" s="80">
        <f t="shared" si="167"/>
        <v>85000000</v>
      </c>
      <c r="AF1270" s="82">
        <v>0</v>
      </c>
      <c r="AG1270" s="242">
        <v>40459</v>
      </c>
      <c r="AH1270" s="84">
        <v>54590</v>
      </c>
      <c r="AI1270" s="69" t="s">
        <v>2009</v>
      </c>
      <c r="AJ1270" s="25" t="s">
        <v>2010</v>
      </c>
      <c r="AK1270" s="65">
        <v>23133</v>
      </c>
      <c r="AL1270" s="176" t="s">
        <v>1831</v>
      </c>
      <c r="AM1270" s="173" t="s">
        <v>1791</v>
      </c>
      <c r="AN1270" s="159"/>
      <c r="AO1270" s="160"/>
      <c r="AP1270" s="161"/>
      <c r="AQ1270" s="160"/>
      <c r="AR1270" s="160"/>
      <c r="AS1270" s="160"/>
      <c r="AT1270" s="160"/>
      <c r="AU1270" s="160"/>
      <c r="AV1270" s="160"/>
      <c r="AW1270" s="160"/>
      <c r="AX1270" s="160"/>
      <c r="AY1270" s="160"/>
      <c r="AZ1270" s="160"/>
      <c r="BA1270" s="160"/>
      <c r="BB1270" s="160"/>
      <c r="BC1270" s="160"/>
      <c r="BD1270" s="160"/>
      <c r="BE1270" s="160"/>
      <c r="BF1270" s="160"/>
      <c r="BG1270" s="160"/>
      <c r="BH1270" s="160"/>
      <c r="BI1270" s="160"/>
      <c r="BJ1270" s="160"/>
      <c r="BK1270" s="160"/>
      <c r="BL1270" s="160"/>
      <c r="BM1270" s="160"/>
      <c r="BN1270" s="160"/>
      <c r="BO1270" s="160"/>
      <c r="BP1270" s="160"/>
      <c r="BQ1270" s="160"/>
      <c r="BR1270" s="160"/>
      <c r="BS1270" s="160"/>
      <c r="BT1270" s="160"/>
      <c r="BU1270" s="160"/>
      <c r="BV1270" s="160"/>
      <c r="BW1270" s="160"/>
      <c r="BX1270" s="160"/>
      <c r="BY1270" s="160"/>
      <c r="BZ1270" s="160"/>
      <c r="CA1270" s="160"/>
      <c r="CB1270" s="160"/>
      <c r="CC1270" s="160"/>
      <c r="CD1270" s="160"/>
      <c r="CE1270" s="160"/>
      <c r="CF1270" s="160"/>
      <c r="CG1270" s="160"/>
      <c r="CH1270" s="160"/>
      <c r="CI1270" s="160"/>
      <c r="CJ1270" s="160"/>
      <c r="CK1270" s="160"/>
      <c r="CL1270" s="160"/>
      <c r="CM1270" s="160"/>
      <c r="CN1270" s="160"/>
      <c r="CO1270" s="160">
        <f>+CN1270*18000</f>
        <v>0</v>
      </c>
      <c r="CP1270" s="162"/>
      <c r="CQ1270" s="163"/>
      <c r="CR1270" s="162"/>
      <c r="CS1270" s="163"/>
      <c r="CT1270" s="162"/>
      <c r="CU1270" s="163"/>
      <c r="CV1270" s="164">
        <f t="shared" si="166"/>
        <v>0</v>
      </c>
      <c r="CW1270" s="165"/>
      <c r="CX1270" s="166"/>
      <c r="CY1270" s="167">
        <v>1000</v>
      </c>
      <c r="CZ1270" s="168">
        <f>1000*85000</f>
        <v>85000000</v>
      </c>
      <c r="DA1270" s="169"/>
      <c r="DB1270" s="168"/>
      <c r="DC1270" s="165"/>
      <c r="DD1270" s="166"/>
      <c r="DE1270" s="71"/>
      <c r="DF1270" s="170"/>
      <c r="EO1270" s="353" t="str">
        <f t="shared" si="169"/>
        <v>CESAR_VALLEDUPAR</v>
      </c>
      <c r="EP1270" s="350"/>
      <c r="EQ1270" s="350"/>
      <c r="ER1270" s="357"/>
      <c r="ES1270" s="350"/>
      <c r="ET1270" s="350"/>
      <c r="EU1270" s="350"/>
    </row>
    <row r="1271" spans="1:151" s="171" customFormat="1" ht="25.5" x14ac:dyDescent="0.2">
      <c r="A1271" s="242">
        <v>40455</v>
      </c>
      <c r="B1271" s="222" t="s">
        <v>2425</v>
      </c>
      <c r="C1271" s="222" t="s">
        <v>2374</v>
      </c>
      <c r="D1271" s="430" t="s">
        <v>1721</v>
      </c>
      <c r="E1271" s="107" t="str">
        <f>VLOOKUP(B1271&amp;C1271,Divipola!$C$2:$F$1138,4,FALSE)</f>
        <v>27001</v>
      </c>
      <c r="F1271" s="333"/>
      <c r="G1271" s="221"/>
      <c r="H1271" s="157"/>
      <c r="I1271" s="157"/>
      <c r="J1271" s="157"/>
      <c r="K1271" s="157"/>
      <c r="L1271" s="157"/>
      <c r="M1271" s="157"/>
      <c r="N1271" s="157"/>
      <c r="O1271" s="157"/>
      <c r="P1271" s="157"/>
      <c r="Q1271" s="157"/>
      <c r="R1271" s="157"/>
      <c r="S1271" s="157"/>
      <c r="T1271" s="157"/>
      <c r="U1271" s="157"/>
      <c r="V1271" s="158"/>
      <c r="W1271" s="182" t="s">
        <v>2605</v>
      </c>
      <c r="X1271" s="1"/>
      <c r="Y1271" s="78">
        <f t="shared" si="163"/>
        <v>0</v>
      </c>
      <c r="Z1271" s="78">
        <f t="shared" si="164"/>
        <v>0</v>
      </c>
      <c r="AA1271" s="78">
        <f t="shared" si="170"/>
        <v>0</v>
      </c>
      <c r="AB1271" s="78">
        <f t="shared" si="165"/>
        <v>0</v>
      </c>
      <c r="AC1271" s="78"/>
      <c r="AD1271" s="78">
        <v>0</v>
      </c>
      <c r="AE1271" s="80">
        <f t="shared" si="167"/>
        <v>0</v>
      </c>
      <c r="AF1271" s="82">
        <v>0</v>
      </c>
      <c r="AG1271" s="69">
        <v>40455</v>
      </c>
      <c r="AH1271" s="84"/>
      <c r="AI1271" s="69" t="s">
        <v>1984</v>
      </c>
      <c r="AJ1271" s="25" t="s">
        <v>1985</v>
      </c>
      <c r="AK1271" s="65"/>
      <c r="AL1271" s="176" t="s">
        <v>1257</v>
      </c>
      <c r="AM1271" s="173" t="s">
        <v>2604</v>
      </c>
      <c r="AN1271" s="159"/>
      <c r="AO1271" s="160"/>
      <c r="AP1271" s="161"/>
      <c r="AQ1271" s="160"/>
      <c r="AR1271" s="160"/>
      <c r="AS1271" s="160"/>
      <c r="AT1271" s="160"/>
      <c r="AU1271" s="160"/>
      <c r="AV1271" s="160"/>
      <c r="AW1271" s="160"/>
      <c r="AX1271" s="160"/>
      <c r="AY1271" s="160"/>
      <c r="AZ1271" s="160"/>
      <c r="BA1271" s="160"/>
      <c r="BB1271" s="160"/>
      <c r="BC1271" s="160"/>
      <c r="BD1271" s="160"/>
      <c r="BE1271" s="160"/>
      <c r="BF1271" s="160"/>
      <c r="BG1271" s="160"/>
      <c r="BH1271" s="160"/>
      <c r="BI1271" s="160"/>
      <c r="BJ1271" s="160"/>
      <c r="BK1271" s="160"/>
      <c r="BL1271" s="160"/>
      <c r="BM1271" s="160"/>
      <c r="BN1271" s="160"/>
      <c r="BO1271" s="160"/>
      <c r="BP1271" s="160"/>
      <c r="BQ1271" s="160"/>
      <c r="BR1271" s="160"/>
      <c r="BS1271" s="160"/>
      <c r="BT1271" s="160"/>
      <c r="BU1271" s="160"/>
      <c r="BV1271" s="160"/>
      <c r="BW1271" s="160"/>
      <c r="BX1271" s="160"/>
      <c r="BY1271" s="160"/>
      <c r="BZ1271" s="160"/>
      <c r="CA1271" s="160"/>
      <c r="CB1271" s="160"/>
      <c r="CC1271" s="160"/>
      <c r="CD1271" s="160"/>
      <c r="CE1271" s="160"/>
      <c r="CF1271" s="160"/>
      <c r="CG1271" s="160"/>
      <c r="CH1271" s="160"/>
      <c r="CI1271" s="160"/>
      <c r="CJ1271" s="160"/>
      <c r="CK1271" s="160"/>
      <c r="CL1271" s="160"/>
      <c r="CM1271" s="160"/>
      <c r="CN1271" s="160"/>
      <c r="CO1271" s="160"/>
      <c r="CP1271" s="162"/>
      <c r="CQ1271" s="163"/>
      <c r="CR1271" s="162"/>
      <c r="CS1271" s="163"/>
      <c r="CT1271" s="162"/>
      <c r="CU1271" s="163"/>
      <c r="CV1271" s="164">
        <f t="shared" si="166"/>
        <v>0</v>
      </c>
      <c r="CW1271" s="165"/>
      <c r="CX1271" s="166"/>
      <c r="CY1271" s="167"/>
      <c r="CZ1271" s="168"/>
      <c r="DA1271" s="169"/>
      <c r="DB1271" s="168"/>
      <c r="DC1271" s="165"/>
      <c r="DD1271" s="166"/>
      <c r="DE1271" s="71"/>
      <c r="DF1271" s="170"/>
      <c r="EO1271" s="353" t="str">
        <f t="shared" si="169"/>
        <v>CHOCO_QUIBDO</v>
      </c>
      <c r="EP1271" s="350"/>
      <c r="EQ1271" s="350"/>
      <c r="ER1271" s="357"/>
      <c r="ES1271" s="350"/>
      <c r="ET1271" s="350"/>
      <c r="EU1271" s="350"/>
    </row>
    <row r="1272" spans="1:151" s="171" customFormat="1" ht="38.25" x14ac:dyDescent="0.2">
      <c r="A1272" s="242">
        <v>40455</v>
      </c>
      <c r="B1272" s="222" t="s">
        <v>1336</v>
      </c>
      <c r="C1272" s="222" t="s">
        <v>1732</v>
      </c>
      <c r="D1272" s="430" t="s">
        <v>837</v>
      </c>
      <c r="E1272" s="107" t="str">
        <f>VLOOKUP(B1272&amp;C1272,Divipola!$C$2:$F$1138,4,FALSE)</f>
        <v>54001</v>
      </c>
      <c r="F1272" s="333"/>
      <c r="G1272" s="221"/>
      <c r="H1272" s="157"/>
      <c r="I1272" s="157"/>
      <c r="J1272" s="157"/>
      <c r="K1272" s="157"/>
      <c r="L1272" s="157"/>
      <c r="M1272" s="157"/>
      <c r="N1272" s="157"/>
      <c r="O1272" s="157"/>
      <c r="P1272" s="157"/>
      <c r="Q1272" s="157"/>
      <c r="R1272" s="157"/>
      <c r="S1272" s="157"/>
      <c r="T1272" s="157"/>
      <c r="U1272" s="157"/>
      <c r="V1272" s="158"/>
      <c r="W1272" s="182" t="s">
        <v>1855</v>
      </c>
      <c r="X1272" s="1"/>
      <c r="Y1272" s="78">
        <f t="shared" si="163"/>
        <v>0</v>
      </c>
      <c r="Z1272" s="78">
        <f t="shared" si="164"/>
        <v>0</v>
      </c>
      <c r="AA1272" s="78">
        <f t="shared" si="170"/>
        <v>0</v>
      </c>
      <c r="AB1272" s="78">
        <f t="shared" si="165"/>
        <v>0</v>
      </c>
      <c r="AC1272" s="78"/>
      <c r="AD1272" s="78">
        <v>0</v>
      </c>
      <c r="AE1272" s="80">
        <f t="shared" si="167"/>
        <v>0</v>
      </c>
      <c r="AF1272" s="82">
        <v>0</v>
      </c>
      <c r="AG1272" s="69">
        <v>40455</v>
      </c>
      <c r="AH1272" s="84"/>
      <c r="AI1272" s="69" t="s">
        <v>1984</v>
      </c>
      <c r="AJ1272" s="25" t="s">
        <v>1985</v>
      </c>
      <c r="AK1272" s="65"/>
      <c r="AL1272" s="176" t="s">
        <v>1257</v>
      </c>
      <c r="AM1272" s="173" t="s">
        <v>3017</v>
      </c>
      <c r="AN1272" s="159"/>
      <c r="AO1272" s="160"/>
      <c r="AP1272" s="161"/>
      <c r="AQ1272" s="160"/>
      <c r="AR1272" s="160"/>
      <c r="AS1272" s="160"/>
      <c r="AT1272" s="160"/>
      <c r="AU1272" s="160"/>
      <c r="AV1272" s="160"/>
      <c r="AW1272" s="160"/>
      <c r="AX1272" s="160"/>
      <c r="AY1272" s="160"/>
      <c r="AZ1272" s="160"/>
      <c r="BA1272" s="160"/>
      <c r="BB1272" s="160"/>
      <c r="BC1272" s="160"/>
      <c r="BD1272" s="160"/>
      <c r="BE1272" s="160"/>
      <c r="BF1272" s="160"/>
      <c r="BG1272" s="160"/>
      <c r="BH1272" s="160"/>
      <c r="BI1272" s="160"/>
      <c r="BJ1272" s="160"/>
      <c r="BK1272" s="160"/>
      <c r="BL1272" s="160"/>
      <c r="BM1272" s="160"/>
      <c r="BN1272" s="160"/>
      <c r="BO1272" s="160"/>
      <c r="BP1272" s="160"/>
      <c r="BQ1272" s="160"/>
      <c r="BR1272" s="160"/>
      <c r="BS1272" s="160"/>
      <c r="BT1272" s="160"/>
      <c r="BU1272" s="160"/>
      <c r="BV1272" s="160"/>
      <c r="BW1272" s="160"/>
      <c r="BX1272" s="160"/>
      <c r="BY1272" s="160"/>
      <c r="BZ1272" s="160"/>
      <c r="CA1272" s="160"/>
      <c r="CB1272" s="160"/>
      <c r="CC1272" s="160"/>
      <c r="CD1272" s="160"/>
      <c r="CE1272" s="160"/>
      <c r="CF1272" s="160"/>
      <c r="CG1272" s="160"/>
      <c r="CH1272" s="160"/>
      <c r="CI1272" s="160"/>
      <c r="CJ1272" s="160"/>
      <c r="CK1272" s="160"/>
      <c r="CL1272" s="160"/>
      <c r="CM1272" s="160"/>
      <c r="CN1272" s="160"/>
      <c r="CO1272" s="160"/>
      <c r="CP1272" s="162"/>
      <c r="CQ1272" s="163"/>
      <c r="CR1272" s="162"/>
      <c r="CS1272" s="163"/>
      <c r="CT1272" s="162"/>
      <c r="CU1272" s="163"/>
      <c r="CV1272" s="164">
        <f t="shared" si="166"/>
        <v>0</v>
      </c>
      <c r="CW1272" s="165"/>
      <c r="CX1272" s="166"/>
      <c r="CY1272" s="167"/>
      <c r="CZ1272" s="168"/>
      <c r="DA1272" s="169"/>
      <c r="DB1272" s="168"/>
      <c r="DC1272" s="165"/>
      <c r="DD1272" s="166"/>
      <c r="DE1272" s="71"/>
      <c r="DF1272" s="170"/>
      <c r="EO1272" s="353" t="str">
        <f t="shared" si="169"/>
        <v>NORTE DE SANTANDER_CUCUTA</v>
      </c>
      <c r="EP1272" s="350"/>
      <c r="EQ1272" s="350"/>
      <c r="ER1272" s="357"/>
      <c r="ES1272" s="350"/>
      <c r="ET1272" s="350"/>
      <c r="EU1272" s="350"/>
    </row>
    <row r="1273" spans="1:151" s="171" customFormat="1" ht="63.75" x14ac:dyDescent="0.2">
      <c r="A1273" s="242">
        <v>40455</v>
      </c>
      <c r="B1273" s="222" t="s">
        <v>1336</v>
      </c>
      <c r="C1273" s="222" t="s">
        <v>483</v>
      </c>
      <c r="D1273" s="430" t="s">
        <v>837</v>
      </c>
      <c r="E1273" s="107" t="str">
        <f>VLOOKUP(B1273&amp;C1273,Divipola!$C$2:$F$1138,4,FALSE)</f>
        <v>54553</v>
      </c>
      <c r="F1273" s="333"/>
      <c r="G1273" s="221"/>
      <c r="H1273" s="157"/>
      <c r="I1273" s="157"/>
      <c r="J1273" s="157">
        <v>200</v>
      </c>
      <c r="K1273" s="157">
        <v>40</v>
      </c>
      <c r="L1273" s="157"/>
      <c r="M1273" s="157"/>
      <c r="N1273" s="157"/>
      <c r="O1273" s="157"/>
      <c r="P1273" s="157"/>
      <c r="Q1273" s="157"/>
      <c r="R1273" s="157"/>
      <c r="S1273" s="157"/>
      <c r="T1273" s="157"/>
      <c r="U1273" s="157"/>
      <c r="V1273" s="158"/>
      <c r="W1273" s="182"/>
      <c r="X1273" s="1"/>
      <c r="Y1273" s="78">
        <f t="shared" si="163"/>
        <v>0</v>
      </c>
      <c r="Z1273" s="78">
        <f t="shared" si="164"/>
        <v>0</v>
      </c>
      <c r="AA1273" s="78">
        <f t="shared" si="170"/>
        <v>0</v>
      </c>
      <c r="AB1273" s="78">
        <f t="shared" si="165"/>
        <v>0</v>
      </c>
      <c r="AC1273" s="78"/>
      <c r="AD1273" s="78">
        <v>0</v>
      </c>
      <c r="AE1273" s="80">
        <f t="shared" si="167"/>
        <v>0</v>
      </c>
      <c r="AF1273" s="82">
        <v>0</v>
      </c>
      <c r="AG1273" s="69">
        <v>40455</v>
      </c>
      <c r="AH1273" s="84"/>
      <c r="AI1273" s="69" t="s">
        <v>1984</v>
      </c>
      <c r="AJ1273" s="25" t="s">
        <v>1985</v>
      </c>
      <c r="AK1273" s="65"/>
      <c r="AL1273" s="176" t="s">
        <v>1257</v>
      </c>
      <c r="AM1273" s="173" t="s">
        <v>3016</v>
      </c>
      <c r="AN1273" s="159"/>
      <c r="AO1273" s="160"/>
      <c r="AP1273" s="161"/>
      <c r="AQ1273" s="160"/>
      <c r="AR1273" s="160"/>
      <c r="AS1273" s="160"/>
      <c r="AT1273" s="160"/>
      <c r="AU1273" s="160"/>
      <c r="AV1273" s="160"/>
      <c r="AW1273" s="160"/>
      <c r="AX1273" s="160"/>
      <c r="AY1273" s="160"/>
      <c r="AZ1273" s="160"/>
      <c r="BA1273" s="160"/>
      <c r="BB1273" s="160"/>
      <c r="BC1273" s="160"/>
      <c r="BD1273" s="160"/>
      <c r="BE1273" s="160"/>
      <c r="BF1273" s="160"/>
      <c r="BG1273" s="160"/>
      <c r="BH1273" s="160"/>
      <c r="BI1273" s="160"/>
      <c r="BJ1273" s="160"/>
      <c r="BK1273" s="160"/>
      <c r="BL1273" s="160"/>
      <c r="BM1273" s="160"/>
      <c r="BN1273" s="160"/>
      <c r="BO1273" s="160"/>
      <c r="BP1273" s="160"/>
      <c r="BQ1273" s="160"/>
      <c r="BR1273" s="160"/>
      <c r="BS1273" s="160"/>
      <c r="BT1273" s="160"/>
      <c r="BU1273" s="160"/>
      <c r="BV1273" s="160"/>
      <c r="BW1273" s="160"/>
      <c r="BX1273" s="160"/>
      <c r="BY1273" s="160"/>
      <c r="BZ1273" s="160"/>
      <c r="CA1273" s="160"/>
      <c r="CB1273" s="160"/>
      <c r="CC1273" s="160"/>
      <c r="CD1273" s="160"/>
      <c r="CE1273" s="160"/>
      <c r="CF1273" s="160"/>
      <c r="CG1273" s="160"/>
      <c r="CH1273" s="160"/>
      <c r="CI1273" s="160"/>
      <c r="CJ1273" s="160"/>
      <c r="CK1273" s="160"/>
      <c r="CL1273" s="160"/>
      <c r="CM1273" s="160"/>
      <c r="CN1273" s="160"/>
      <c r="CO1273" s="160"/>
      <c r="CP1273" s="162"/>
      <c r="CQ1273" s="163"/>
      <c r="CR1273" s="162"/>
      <c r="CS1273" s="163"/>
      <c r="CT1273" s="162"/>
      <c r="CU1273" s="163"/>
      <c r="CV1273" s="164">
        <f t="shared" si="166"/>
        <v>0</v>
      </c>
      <c r="CW1273" s="165"/>
      <c r="CX1273" s="166"/>
      <c r="CY1273" s="167"/>
      <c r="CZ1273" s="168"/>
      <c r="DA1273" s="169"/>
      <c r="DB1273" s="168"/>
      <c r="DC1273" s="165"/>
      <c r="DD1273" s="166"/>
      <c r="DE1273" s="71"/>
      <c r="DF1273" s="170"/>
      <c r="EO1273" s="353" t="str">
        <f t="shared" si="169"/>
        <v>NORTE DE SANTANDER_PUERTO SANTANDER</v>
      </c>
      <c r="EP1273" s="350"/>
      <c r="EQ1273" s="350"/>
      <c r="ER1273" s="357"/>
      <c r="ES1273" s="350"/>
      <c r="ET1273" s="350"/>
      <c r="EU1273" s="350"/>
    </row>
    <row r="1274" spans="1:151" s="171" customFormat="1" ht="168" x14ac:dyDescent="0.2">
      <c r="A1274" s="242">
        <v>40455</v>
      </c>
      <c r="B1274" s="222" t="s">
        <v>2014</v>
      </c>
      <c r="C1274" s="222" t="s">
        <v>3121</v>
      </c>
      <c r="D1274" s="427" t="s">
        <v>2307</v>
      </c>
      <c r="E1274" s="107" t="str">
        <f>VLOOKUP(B1274&amp;C1274,Divipola!$C$2:$F$1138,4,FALSE)</f>
        <v>63548</v>
      </c>
      <c r="F1274" s="330"/>
      <c r="G1274" s="221"/>
      <c r="H1274" s="157"/>
      <c r="I1274" s="157"/>
      <c r="J1274" s="157"/>
      <c r="K1274" s="157"/>
      <c r="L1274" s="157"/>
      <c r="M1274" s="157"/>
      <c r="N1274" s="157">
        <v>13</v>
      </c>
      <c r="O1274" s="157"/>
      <c r="P1274" s="157"/>
      <c r="Q1274" s="157"/>
      <c r="R1274" s="157"/>
      <c r="S1274" s="157"/>
      <c r="T1274" s="157"/>
      <c r="U1274" s="157"/>
      <c r="V1274" s="158"/>
      <c r="W1274" s="182"/>
      <c r="X1274" s="1">
        <v>40464</v>
      </c>
      <c r="Y1274" s="78">
        <f t="shared" si="163"/>
        <v>0</v>
      </c>
      <c r="Z1274" s="78">
        <f t="shared" si="164"/>
        <v>0</v>
      </c>
      <c r="AA1274" s="78">
        <f t="shared" si="170"/>
        <v>0</v>
      </c>
      <c r="AB1274" s="78">
        <f t="shared" si="165"/>
        <v>0</v>
      </c>
      <c r="AC1274" s="78"/>
      <c r="AD1274" s="78">
        <v>63490350</v>
      </c>
      <c r="AE1274" s="80">
        <f t="shared" si="167"/>
        <v>63490350</v>
      </c>
      <c r="AF1274" s="82">
        <v>0</v>
      </c>
      <c r="AG1274" s="69">
        <v>40455</v>
      </c>
      <c r="AH1274" s="84"/>
      <c r="AI1274" s="69" t="s">
        <v>2009</v>
      </c>
      <c r="AJ1274" s="25" t="s">
        <v>2010</v>
      </c>
      <c r="AK1274" s="65">
        <v>37222</v>
      </c>
      <c r="AL1274" s="176" t="s">
        <v>667</v>
      </c>
      <c r="AM1274" s="177" t="s">
        <v>6313</v>
      </c>
      <c r="AN1274" s="159"/>
      <c r="AO1274" s="160"/>
      <c r="AP1274" s="161"/>
      <c r="AQ1274" s="160"/>
      <c r="AR1274" s="160"/>
      <c r="AS1274" s="160"/>
      <c r="AT1274" s="160"/>
      <c r="AU1274" s="160"/>
      <c r="AV1274" s="160"/>
      <c r="AW1274" s="160"/>
      <c r="AX1274" s="160"/>
      <c r="AY1274" s="160"/>
      <c r="AZ1274" s="160"/>
      <c r="BA1274" s="160"/>
      <c r="BB1274" s="160"/>
      <c r="BC1274" s="160"/>
      <c r="BD1274" s="160"/>
      <c r="BE1274" s="160"/>
      <c r="BF1274" s="160"/>
      <c r="BG1274" s="160"/>
      <c r="BH1274" s="160"/>
      <c r="BI1274" s="160"/>
      <c r="BJ1274" s="160"/>
      <c r="BK1274" s="160"/>
      <c r="BL1274" s="160"/>
      <c r="BM1274" s="160"/>
      <c r="BN1274" s="160"/>
      <c r="BO1274" s="160"/>
      <c r="BP1274" s="160"/>
      <c r="BQ1274" s="160"/>
      <c r="BR1274" s="160"/>
      <c r="BS1274" s="160"/>
      <c r="BT1274" s="160"/>
      <c r="BU1274" s="160"/>
      <c r="BV1274" s="160"/>
      <c r="BW1274" s="160"/>
      <c r="BX1274" s="160"/>
      <c r="BY1274" s="160"/>
      <c r="BZ1274" s="160"/>
      <c r="CA1274" s="160"/>
      <c r="CB1274" s="160"/>
      <c r="CC1274" s="160"/>
      <c r="CD1274" s="160"/>
      <c r="CE1274" s="160"/>
      <c r="CF1274" s="160"/>
      <c r="CG1274" s="160"/>
      <c r="CH1274" s="160"/>
      <c r="CI1274" s="160"/>
      <c r="CJ1274" s="160"/>
      <c r="CK1274" s="160"/>
      <c r="CL1274" s="160"/>
      <c r="CM1274" s="160"/>
      <c r="CN1274" s="160"/>
      <c r="CO1274" s="160"/>
      <c r="CP1274" s="162"/>
      <c r="CQ1274" s="163"/>
      <c r="CR1274" s="162"/>
      <c r="CS1274" s="163"/>
      <c r="CT1274" s="162"/>
      <c r="CU1274" s="163"/>
      <c r="CV1274" s="164">
        <f t="shared" si="166"/>
        <v>0</v>
      </c>
      <c r="CW1274" s="165"/>
      <c r="CX1274" s="166"/>
      <c r="CY1274" s="167"/>
      <c r="CZ1274" s="168"/>
      <c r="DA1274" s="169"/>
      <c r="DB1274" s="168"/>
      <c r="DC1274" s="165"/>
      <c r="DD1274" s="166"/>
      <c r="DE1274" s="71">
        <v>2</v>
      </c>
      <c r="DF1274" s="170"/>
      <c r="EO1274" s="353" t="str">
        <f t="shared" si="169"/>
        <v>QUINDIO_PIJAO</v>
      </c>
      <c r="EP1274" s="350"/>
      <c r="EQ1274" s="350"/>
      <c r="ER1274" s="357"/>
      <c r="ES1274" s="350"/>
      <c r="ET1274" s="350"/>
      <c r="EU1274" s="350"/>
    </row>
    <row r="1275" spans="1:151" s="171" customFormat="1" ht="132" x14ac:dyDescent="0.2">
      <c r="A1275" s="242">
        <v>40455</v>
      </c>
      <c r="B1275" s="222" t="s">
        <v>1462</v>
      </c>
      <c r="C1275" s="222" t="s">
        <v>1050</v>
      </c>
      <c r="D1275" s="430" t="s">
        <v>837</v>
      </c>
      <c r="E1275" s="107" t="str">
        <f>VLOOKUP(B1275&amp;C1275,Divipola!$C$2:$F$1138,4,FALSE)</f>
        <v>76863</v>
      </c>
      <c r="F1275" s="333"/>
      <c r="G1275" s="221"/>
      <c r="H1275" s="157"/>
      <c r="I1275" s="157"/>
      <c r="J1275" s="157">
        <f>183*5</f>
        <v>915</v>
      </c>
      <c r="K1275" s="157">
        <f>318-5-70-10-50</f>
        <v>183</v>
      </c>
      <c r="L1275" s="157"/>
      <c r="M1275" s="157">
        <v>183</v>
      </c>
      <c r="N1275" s="157">
        <v>3</v>
      </c>
      <c r="O1275" s="157"/>
      <c r="P1275" s="157"/>
      <c r="Q1275" s="157"/>
      <c r="R1275" s="157"/>
      <c r="S1275" s="157"/>
      <c r="T1275" s="157"/>
      <c r="U1275" s="157"/>
      <c r="V1275" s="158"/>
      <c r="W1275" s="182"/>
      <c r="X1275" s="1">
        <v>40480</v>
      </c>
      <c r="Y1275" s="78">
        <f t="shared" si="163"/>
        <v>0</v>
      </c>
      <c r="Z1275" s="78">
        <f t="shared" si="164"/>
        <v>0</v>
      </c>
      <c r="AA1275" s="78">
        <f t="shared" si="170"/>
        <v>0</v>
      </c>
      <c r="AB1275" s="78">
        <f t="shared" si="165"/>
        <v>0</v>
      </c>
      <c r="AC1275" s="78"/>
      <c r="AD1275" s="78">
        <v>73510100</v>
      </c>
      <c r="AE1275" s="80">
        <f t="shared" si="167"/>
        <v>73510100</v>
      </c>
      <c r="AF1275" s="82">
        <v>0</v>
      </c>
      <c r="AG1275" s="69">
        <v>40465</v>
      </c>
      <c r="AH1275" s="84">
        <v>56281</v>
      </c>
      <c r="AI1275" s="69" t="s">
        <v>2009</v>
      </c>
      <c r="AJ1275" s="25" t="s">
        <v>2010</v>
      </c>
      <c r="AK1275" s="65">
        <v>40465</v>
      </c>
      <c r="AL1275" s="109" t="s">
        <v>1431</v>
      </c>
      <c r="AM1275" s="173" t="s">
        <v>2062</v>
      </c>
      <c r="AN1275" s="159"/>
      <c r="AO1275" s="160"/>
      <c r="AP1275" s="161"/>
      <c r="AQ1275" s="160"/>
      <c r="AR1275" s="160"/>
      <c r="AS1275" s="160"/>
      <c r="AT1275" s="160"/>
      <c r="AU1275" s="160"/>
      <c r="AV1275" s="160"/>
      <c r="AW1275" s="160"/>
      <c r="AX1275" s="160"/>
      <c r="AY1275" s="160"/>
      <c r="AZ1275" s="160"/>
      <c r="BA1275" s="160"/>
      <c r="BB1275" s="160"/>
      <c r="BC1275" s="160"/>
      <c r="BD1275" s="160"/>
      <c r="BE1275" s="160"/>
      <c r="BF1275" s="160"/>
      <c r="BG1275" s="160"/>
      <c r="BH1275" s="160"/>
      <c r="BI1275" s="160"/>
      <c r="BJ1275" s="160"/>
      <c r="BK1275" s="160"/>
      <c r="BL1275" s="160"/>
      <c r="BM1275" s="160"/>
      <c r="BN1275" s="160"/>
      <c r="BO1275" s="160"/>
      <c r="BP1275" s="160"/>
      <c r="BQ1275" s="160"/>
      <c r="BR1275" s="160"/>
      <c r="BS1275" s="160"/>
      <c r="BT1275" s="160"/>
      <c r="BU1275" s="160"/>
      <c r="BV1275" s="160"/>
      <c r="BW1275" s="160"/>
      <c r="BX1275" s="160"/>
      <c r="BY1275" s="160"/>
      <c r="BZ1275" s="160"/>
      <c r="CA1275" s="160"/>
      <c r="CB1275" s="160"/>
      <c r="CC1275" s="160"/>
      <c r="CD1275" s="160"/>
      <c r="CE1275" s="160"/>
      <c r="CF1275" s="160"/>
      <c r="CG1275" s="160"/>
      <c r="CH1275" s="160"/>
      <c r="CI1275" s="160"/>
      <c r="CJ1275" s="160"/>
      <c r="CK1275" s="160"/>
      <c r="CL1275" s="160"/>
      <c r="CM1275" s="160"/>
      <c r="CN1275" s="160"/>
      <c r="CO1275" s="160"/>
      <c r="CP1275" s="162"/>
      <c r="CQ1275" s="163"/>
      <c r="CR1275" s="162"/>
      <c r="CS1275" s="163"/>
      <c r="CT1275" s="162"/>
      <c r="CU1275" s="163"/>
      <c r="CV1275" s="164">
        <f t="shared" si="166"/>
        <v>0</v>
      </c>
      <c r="CW1275" s="165"/>
      <c r="CX1275" s="166"/>
      <c r="CY1275" s="167"/>
      <c r="CZ1275" s="168"/>
      <c r="DA1275" s="169"/>
      <c r="DB1275" s="168"/>
      <c r="DC1275" s="165"/>
      <c r="DD1275" s="166"/>
      <c r="DE1275" s="71">
        <v>2</v>
      </c>
      <c r="DF1275" s="170"/>
      <c r="EO1275" s="353" t="str">
        <f t="shared" si="169"/>
        <v>VALLE DEL CAUCA_VERSALLES</v>
      </c>
      <c r="EP1275" s="350"/>
      <c r="EQ1275" s="350"/>
      <c r="ER1275" s="357"/>
      <c r="ES1275" s="350"/>
      <c r="ET1275" s="350"/>
      <c r="EU1275" s="350"/>
    </row>
    <row r="1276" spans="1:151" s="171" customFormat="1" ht="45" x14ac:dyDescent="0.2">
      <c r="A1276" s="242">
        <v>40456</v>
      </c>
      <c r="B1276" s="222" t="s">
        <v>1951</v>
      </c>
      <c r="C1276" s="222" t="s">
        <v>974</v>
      </c>
      <c r="D1276" s="430" t="s">
        <v>837</v>
      </c>
      <c r="E1276" s="107" t="str">
        <f>VLOOKUP(B1276&amp;C1276,Divipola!$C$2:$F$1138,4,FALSE)</f>
        <v>08433</v>
      </c>
      <c r="F1276" s="333"/>
      <c r="G1276" s="221"/>
      <c r="H1276" s="157"/>
      <c r="I1276" s="157"/>
      <c r="J1276" s="157">
        <f>135*5</f>
        <v>675</v>
      </c>
      <c r="K1276" s="157">
        <v>135</v>
      </c>
      <c r="L1276" s="157"/>
      <c r="M1276" s="157">
        <v>135</v>
      </c>
      <c r="N1276" s="157"/>
      <c r="O1276" s="157"/>
      <c r="P1276" s="157"/>
      <c r="Q1276" s="157"/>
      <c r="R1276" s="157"/>
      <c r="S1276" s="157"/>
      <c r="T1276" s="157">
        <v>1</v>
      </c>
      <c r="U1276" s="157"/>
      <c r="V1276" s="158"/>
      <c r="W1276" s="182"/>
      <c r="X1276" s="1">
        <v>40508</v>
      </c>
      <c r="Y1276" s="78">
        <f t="shared" si="163"/>
        <v>11532600</v>
      </c>
      <c r="Z1276" s="78">
        <f t="shared" si="164"/>
        <v>4250000</v>
      </c>
      <c r="AA1276" s="78">
        <f t="shared" si="170"/>
        <v>0</v>
      </c>
      <c r="AB1276" s="78">
        <f t="shared" si="165"/>
        <v>0</v>
      </c>
      <c r="AC1276" s="78"/>
      <c r="AD1276" s="78">
        <v>0</v>
      </c>
      <c r="AE1276" s="80">
        <f t="shared" si="167"/>
        <v>15782600</v>
      </c>
      <c r="AF1276" s="82">
        <v>0</v>
      </c>
      <c r="AG1276" s="69">
        <v>40456</v>
      </c>
      <c r="AH1276" s="84">
        <v>54824</v>
      </c>
      <c r="AI1276" s="69" t="s">
        <v>2009</v>
      </c>
      <c r="AJ1276" s="25" t="s">
        <v>2010</v>
      </c>
      <c r="AK1276" s="65">
        <v>24654</v>
      </c>
      <c r="AL1276" s="185" t="s">
        <v>2182</v>
      </c>
      <c r="AM1276" s="173" t="s">
        <v>730</v>
      </c>
      <c r="AN1276" s="159"/>
      <c r="AO1276" s="160"/>
      <c r="AP1276" s="161"/>
      <c r="AQ1276" s="160"/>
      <c r="AR1276" s="160"/>
      <c r="AS1276" s="160"/>
      <c r="AT1276" s="160"/>
      <c r="AU1276" s="160"/>
      <c r="AV1276" s="160"/>
      <c r="AW1276" s="160"/>
      <c r="AX1276" s="160"/>
      <c r="AY1276" s="160"/>
      <c r="AZ1276" s="160">
        <v>100</v>
      </c>
      <c r="BA1276" s="160">
        <f>100*56000</f>
        <v>5600000</v>
      </c>
      <c r="BB1276" s="160"/>
      <c r="BC1276" s="160"/>
      <c r="BD1276" s="160"/>
      <c r="BE1276" s="160"/>
      <c r="BF1276" s="160"/>
      <c r="BG1276" s="160"/>
      <c r="BH1276" s="160"/>
      <c r="BI1276" s="160"/>
      <c r="BJ1276" s="160"/>
      <c r="BK1276" s="160"/>
      <c r="BL1276" s="160"/>
      <c r="BM1276" s="160"/>
      <c r="BN1276" s="160"/>
      <c r="BO1276" s="160"/>
      <c r="BP1276" s="160"/>
      <c r="BQ1276" s="160"/>
      <c r="BR1276" s="160"/>
      <c r="BS1276" s="160"/>
      <c r="BT1276" s="160"/>
      <c r="BU1276" s="160"/>
      <c r="BV1276" s="160"/>
      <c r="BW1276" s="160"/>
      <c r="BX1276" s="160"/>
      <c r="BY1276" s="160"/>
      <c r="BZ1276" s="160"/>
      <c r="CA1276" s="160"/>
      <c r="CB1276" s="160"/>
      <c r="CC1276" s="160"/>
      <c r="CD1276" s="160"/>
      <c r="CE1276" s="160"/>
      <c r="CF1276" s="160"/>
      <c r="CG1276" s="160"/>
      <c r="CH1276" s="160"/>
      <c r="CI1276" s="160"/>
      <c r="CJ1276" s="160">
        <v>100</v>
      </c>
      <c r="CK1276" s="160">
        <f>100*21000</f>
        <v>2100000</v>
      </c>
      <c r="CL1276" s="160"/>
      <c r="CM1276" s="160"/>
      <c r="CN1276" s="160"/>
      <c r="CO1276" s="160"/>
      <c r="CP1276" s="162">
        <v>50</v>
      </c>
      <c r="CQ1276" s="163">
        <f>50*36952</f>
        <v>1847600</v>
      </c>
      <c r="CR1276" s="162">
        <v>50</v>
      </c>
      <c r="CS1276" s="163">
        <f>50*39700</f>
        <v>1985000</v>
      </c>
      <c r="CT1276" s="162"/>
      <c r="CU1276" s="163"/>
      <c r="CV1276" s="164">
        <f t="shared" si="166"/>
        <v>11532600</v>
      </c>
      <c r="CW1276" s="165"/>
      <c r="CX1276" s="166"/>
      <c r="CY1276" s="167">
        <v>50</v>
      </c>
      <c r="CZ1276" s="168">
        <f>50*85000</f>
        <v>4250000</v>
      </c>
      <c r="DA1276" s="169"/>
      <c r="DB1276" s="168"/>
      <c r="DC1276" s="165"/>
      <c r="DD1276" s="166"/>
      <c r="DE1276" s="71"/>
      <c r="DF1276" s="170"/>
      <c r="EO1276" s="353" t="str">
        <f t="shared" si="169"/>
        <v>ATLANTICO_MALAMBO</v>
      </c>
      <c r="EP1276" s="350"/>
      <c r="EQ1276" s="350"/>
      <c r="ER1276" s="357"/>
      <c r="ES1276" s="350"/>
      <c r="ET1276" s="350"/>
      <c r="EU1276" s="350"/>
    </row>
    <row r="1277" spans="1:151" s="171" customFormat="1" ht="25.5" x14ac:dyDescent="0.2">
      <c r="A1277" s="242">
        <v>40456</v>
      </c>
      <c r="B1277" s="222" t="s">
        <v>828</v>
      </c>
      <c r="C1277" s="222" t="s">
        <v>2531</v>
      </c>
      <c r="D1277" s="427" t="s">
        <v>2307</v>
      </c>
      <c r="E1277" s="107" t="str">
        <f>VLOOKUP(B1277&amp;C1277,Divipola!$C$2:$F$1138,4,FALSE)</f>
        <v>15087</v>
      </c>
      <c r="F1277" s="330"/>
      <c r="G1277" s="221"/>
      <c r="H1277" s="157"/>
      <c r="I1277" s="157"/>
      <c r="J1277" s="157">
        <f>26*5</f>
        <v>130</v>
      </c>
      <c r="K1277" s="157">
        <f>31-5</f>
        <v>26</v>
      </c>
      <c r="L1277" s="157"/>
      <c r="M1277" s="157">
        <v>26</v>
      </c>
      <c r="N1277" s="157"/>
      <c r="O1277" s="157"/>
      <c r="P1277" s="157"/>
      <c r="Q1277" s="157"/>
      <c r="R1277" s="157"/>
      <c r="S1277" s="157"/>
      <c r="T1277" s="157"/>
      <c r="U1277" s="157"/>
      <c r="V1277" s="158"/>
      <c r="W1277" s="182"/>
      <c r="X1277" s="1">
        <v>40530</v>
      </c>
      <c r="Y1277" s="78">
        <f t="shared" si="163"/>
        <v>4764664.04</v>
      </c>
      <c r="Z1277" s="78">
        <f t="shared" si="164"/>
        <v>2635000</v>
      </c>
      <c r="AA1277" s="78">
        <f t="shared" si="170"/>
        <v>0</v>
      </c>
      <c r="AB1277" s="78">
        <f t="shared" si="165"/>
        <v>0</v>
      </c>
      <c r="AC1277" s="78"/>
      <c r="AD1277" s="78">
        <v>0</v>
      </c>
      <c r="AE1277" s="80">
        <f t="shared" si="167"/>
        <v>7399664.04</v>
      </c>
      <c r="AF1277" s="82">
        <v>0</v>
      </c>
      <c r="AG1277" s="69">
        <v>40484</v>
      </c>
      <c r="AH1277" s="84"/>
      <c r="AI1277" s="69" t="s">
        <v>2009</v>
      </c>
      <c r="AJ1277" s="25" t="s">
        <v>2010</v>
      </c>
      <c r="AK1277" s="88" t="s">
        <v>72</v>
      </c>
      <c r="AL1277" s="176" t="s">
        <v>1257</v>
      </c>
      <c r="AM1277" s="173" t="s">
        <v>2076</v>
      </c>
      <c r="AN1277" s="159"/>
      <c r="AO1277" s="160"/>
      <c r="AP1277" s="161"/>
      <c r="AQ1277" s="160"/>
      <c r="AR1277" s="160"/>
      <c r="AS1277" s="160"/>
      <c r="AT1277" s="160"/>
      <c r="AU1277" s="160"/>
      <c r="AV1277" s="160"/>
      <c r="AW1277" s="160"/>
      <c r="AX1277" s="160"/>
      <c r="AY1277" s="160"/>
      <c r="AZ1277" s="160">
        <v>31</v>
      </c>
      <c r="BA1277" s="160">
        <f>31*56000</f>
        <v>1736000</v>
      </c>
      <c r="BB1277" s="160"/>
      <c r="BC1277" s="160"/>
      <c r="BD1277" s="160"/>
      <c r="BE1277" s="160"/>
      <c r="BF1277" s="160"/>
      <c r="BG1277" s="160"/>
      <c r="BH1277" s="160"/>
      <c r="BI1277" s="160"/>
      <c r="BJ1277" s="160"/>
      <c r="BK1277" s="160"/>
      <c r="BL1277" s="160"/>
      <c r="BM1277" s="160"/>
      <c r="BN1277" s="160"/>
      <c r="BO1277" s="160"/>
      <c r="BP1277" s="160"/>
      <c r="BQ1277" s="160"/>
      <c r="BR1277" s="160"/>
      <c r="BS1277" s="160"/>
      <c r="BT1277" s="160"/>
      <c r="BU1277" s="160"/>
      <c r="BV1277" s="160"/>
      <c r="BW1277" s="160"/>
      <c r="BX1277" s="160"/>
      <c r="BY1277" s="160"/>
      <c r="BZ1277" s="160"/>
      <c r="CA1277" s="160"/>
      <c r="CB1277" s="160"/>
      <c r="CC1277" s="160"/>
      <c r="CD1277" s="160"/>
      <c r="CE1277" s="160"/>
      <c r="CF1277" s="160"/>
      <c r="CG1277" s="160"/>
      <c r="CH1277" s="160"/>
      <c r="CI1277" s="160"/>
      <c r="CJ1277" s="160">
        <v>31</v>
      </c>
      <c r="CK1277" s="160">
        <f>31*20999.48</f>
        <v>650983.88</v>
      </c>
      <c r="CL1277" s="160"/>
      <c r="CM1277" s="160"/>
      <c r="CN1277" s="160"/>
      <c r="CO1277" s="160"/>
      <c r="CP1277" s="162">
        <v>31</v>
      </c>
      <c r="CQ1277" s="163">
        <f>31*36999.36</f>
        <v>1146980.1599999999</v>
      </c>
      <c r="CR1277" s="162">
        <v>31</v>
      </c>
      <c r="CS1277" s="163">
        <f>31*39700</f>
        <v>1230700</v>
      </c>
      <c r="CT1277" s="162"/>
      <c r="CU1277" s="163"/>
      <c r="CV1277" s="164">
        <f t="shared" si="166"/>
        <v>4764664.04</v>
      </c>
      <c r="CW1277" s="165"/>
      <c r="CX1277" s="166"/>
      <c r="CY1277" s="167">
        <v>31</v>
      </c>
      <c r="CZ1277" s="168">
        <f>31*85000</f>
        <v>2635000</v>
      </c>
      <c r="DA1277" s="169"/>
      <c r="DB1277" s="168"/>
      <c r="DC1277" s="165"/>
      <c r="DD1277" s="166"/>
      <c r="DE1277" s="71"/>
      <c r="DF1277" s="170"/>
      <c r="EO1277" s="353" t="str">
        <f t="shared" si="169"/>
        <v>BOYACA_BELEN</v>
      </c>
      <c r="EP1277" s="350"/>
      <c r="EQ1277" s="350"/>
      <c r="ER1277" s="357"/>
      <c r="ES1277" s="350"/>
      <c r="ET1277" s="350"/>
      <c r="EU1277" s="350"/>
    </row>
    <row r="1278" spans="1:151" s="171" customFormat="1" ht="38.25" x14ac:dyDescent="0.2">
      <c r="A1278" s="242">
        <v>40456</v>
      </c>
      <c r="B1278" s="222" t="s">
        <v>1336</v>
      </c>
      <c r="C1278" s="222" t="s">
        <v>1378</v>
      </c>
      <c r="D1278" s="427" t="s">
        <v>2307</v>
      </c>
      <c r="E1278" s="107" t="str">
        <f>VLOOKUP(B1278&amp;C1278,Divipola!$C$2:$F$1138,4,FALSE)</f>
        <v>54498</v>
      </c>
      <c r="F1278" s="330"/>
      <c r="G1278" s="221"/>
      <c r="H1278" s="157"/>
      <c r="I1278" s="157"/>
      <c r="J1278" s="157">
        <v>25</v>
      </c>
      <c r="K1278" s="157">
        <v>5</v>
      </c>
      <c r="L1278" s="157">
        <v>5</v>
      </c>
      <c r="M1278" s="157"/>
      <c r="N1278" s="157">
        <v>1</v>
      </c>
      <c r="O1278" s="157"/>
      <c r="P1278" s="157"/>
      <c r="Q1278" s="157"/>
      <c r="R1278" s="157"/>
      <c r="S1278" s="157"/>
      <c r="T1278" s="157"/>
      <c r="U1278" s="157"/>
      <c r="V1278" s="158"/>
      <c r="W1278" s="182"/>
      <c r="X1278" s="1"/>
      <c r="Y1278" s="78">
        <f t="shared" si="163"/>
        <v>0</v>
      </c>
      <c r="Z1278" s="78">
        <f t="shared" si="164"/>
        <v>0</v>
      </c>
      <c r="AA1278" s="78">
        <f t="shared" si="170"/>
        <v>0</v>
      </c>
      <c r="AB1278" s="78">
        <f t="shared" si="165"/>
        <v>0</v>
      </c>
      <c r="AC1278" s="78"/>
      <c r="AD1278" s="78">
        <v>0</v>
      </c>
      <c r="AE1278" s="80">
        <f t="shared" si="167"/>
        <v>0</v>
      </c>
      <c r="AF1278" s="82">
        <v>0</v>
      </c>
      <c r="AG1278" s="69">
        <v>40456</v>
      </c>
      <c r="AH1278" s="84"/>
      <c r="AI1278" s="69" t="s">
        <v>1984</v>
      </c>
      <c r="AJ1278" s="25" t="s">
        <v>1985</v>
      </c>
      <c r="AK1278" s="65"/>
      <c r="AL1278" s="176" t="s">
        <v>1257</v>
      </c>
      <c r="AM1278" s="173" t="s">
        <v>2717</v>
      </c>
      <c r="AN1278" s="159"/>
      <c r="AO1278" s="160"/>
      <c r="AP1278" s="161"/>
      <c r="AQ1278" s="160"/>
      <c r="AR1278" s="160"/>
      <c r="AS1278" s="160"/>
      <c r="AT1278" s="160"/>
      <c r="AU1278" s="160"/>
      <c r="AV1278" s="160"/>
      <c r="AW1278" s="160"/>
      <c r="AX1278" s="160"/>
      <c r="AY1278" s="160"/>
      <c r="AZ1278" s="160"/>
      <c r="BA1278" s="160"/>
      <c r="BB1278" s="160"/>
      <c r="BC1278" s="160"/>
      <c r="BD1278" s="160"/>
      <c r="BE1278" s="160"/>
      <c r="BF1278" s="160"/>
      <c r="BG1278" s="160"/>
      <c r="BH1278" s="160"/>
      <c r="BI1278" s="160"/>
      <c r="BJ1278" s="160"/>
      <c r="BK1278" s="160"/>
      <c r="BL1278" s="160"/>
      <c r="BM1278" s="160"/>
      <c r="BN1278" s="160"/>
      <c r="BO1278" s="160"/>
      <c r="BP1278" s="160"/>
      <c r="BQ1278" s="160"/>
      <c r="BR1278" s="160"/>
      <c r="BS1278" s="160"/>
      <c r="BT1278" s="160"/>
      <c r="BU1278" s="160"/>
      <c r="BV1278" s="160"/>
      <c r="BW1278" s="160"/>
      <c r="BX1278" s="160"/>
      <c r="BY1278" s="160"/>
      <c r="BZ1278" s="160"/>
      <c r="CA1278" s="160"/>
      <c r="CB1278" s="160"/>
      <c r="CC1278" s="160"/>
      <c r="CD1278" s="160"/>
      <c r="CE1278" s="160"/>
      <c r="CF1278" s="160"/>
      <c r="CG1278" s="160"/>
      <c r="CH1278" s="160"/>
      <c r="CI1278" s="160"/>
      <c r="CJ1278" s="160"/>
      <c r="CK1278" s="160"/>
      <c r="CL1278" s="160"/>
      <c r="CM1278" s="160"/>
      <c r="CN1278" s="160"/>
      <c r="CO1278" s="160"/>
      <c r="CP1278" s="162"/>
      <c r="CQ1278" s="163"/>
      <c r="CR1278" s="162"/>
      <c r="CS1278" s="163"/>
      <c r="CT1278" s="162"/>
      <c r="CU1278" s="163"/>
      <c r="CV1278" s="164">
        <f t="shared" si="166"/>
        <v>0</v>
      </c>
      <c r="CW1278" s="165"/>
      <c r="CX1278" s="166"/>
      <c r="CY1278" s="167"/>
      <c r="CZ1278" s="168"/>
      <c r="DA1278" s="169"/>
      <c r="DB1278" s="168"/>
      <c r="DC1278" s="165"/>
      <c r="DD1278" s="166"/>
      <c r="DE1278" s="71"/>
      <c r="DF1278" s="170"/>
      <c r="EO1278" s="353" t="str">
        <f t="shared" si="169"/>
        <v>NORTE DE SANTANDER_OCAÑA</v>
      </c>
      <c r="EP1278" s="350"/>
      <c r="EQ1278" s="350"/>
      <c r="ER1278" s="357"/>
      <c r="ES1278" s="350"/>
      <c r="ET1278" s="350"/>
      <c r="EU1278" s="350"/>
    </row>
    <row r="1279" spans="1:151" s="171" customFormat="1" ht="51" x14ac:dyDescent="0.2">
      <c r="A1279" s="242">
        <v>40456</v>
      </c>
      <c r="B1279" s="222" t="s">
        <v>1336</v>
      </c>
      <c r="C1279" s="222" t="s">
        <v>3018</v>
      </c>
      <c r="D1279" s="430" t="s">
        <v>2781</v>
      </c>
      <c r="E1279" s="107" t="str">
        <f>VLOOKUP(B1279&amp;C1279,Divipola!$C$2:$F$1138,4,FALSE)</f>
        <v>54720</v>
      </c>
      <c r="F1279" s="333"/>
      <c r="G1279" s="221">
        <v>6</v>
      </c>
      <c r="H1279" s="157"/>
      <c r="I1279" s="157"/>
      <c r="J1279" s="157"/>
      <c r="K1279" s="157"/>
      <c r="L1279" s="157"/>
      <c r="M1279" s="157"/>
      <c r="N1279" s="157"/>
      <c r="O1279" s="157"/>
      <c r="P1279" s="157"/>
      <c r="Q1279" s="157"/>
      <c r="R1279" s="157"/>
      <c r="S1279" s="157"/>
      <c r="T1279" s="157"/>
      <c r="U1279" s="157"/>
      <c r="V1279" s="158"/>
      <c r="W1279" s="182"/>
      <c r="X1279" s="1"/>
      <c r="Y1279" s="78">
        <f t="shared" si="163"/>
        <v>0</v>
      </c>
      <c r="Z1279" s="78">
        <f t="shared" si="164"/>
        <v>0</v>
      </c>
      <c r="AA1279" s="78">
        <f t="shared" si="170"/>
        <v>0</v>
      </c>
      <c r="AB1279" s="78">
        <f t="shared" si="165"/>
        <v>0</v>
      </c>
      <c r="AC1279" s="78"/>
      <c r="AD1279" s="78">
        <v>0</v>
      </c>
      <c r="AE1279" s="80">
        <f t="shared" si="167"/>
        <v>0</v>
      </c>
      <c r="AF1279" s="82">
        <v>0</v>
      </c>
      <c r="AG1279" s="69">
        <v>40456</v>
      </c>
      <c r="AH1279" s="84"/>
      <c r="AI1279" s="69" t="s">
        <v>1984</v>
      </c>
      <c r="AJ1279" s="25" t="s">
        <v>1985</v>
      </c>
      <c r="AK1279" s="65"/>
      <c r="AL1279" s="176" t="s">
        <v>1257</v>
      </c>
      <c r="AM1279" s="173" t="s">
        <v>3019</v>
      </c>
      <c r="AN1279" s="159"/>
      <c r="AO1279" s="160"/>
      <c r="AP1279" s="161"/>
      <c r="AQ1279" s="160"/>
      <c r="AR1279" s="160"/>
      <c r="AS1279" s="160"/>
      <c r="AT1279" s="160"/>
      <c r="AU1279" s="160"/>
      <c r="AV1279" s="160"/>
      <c r="AW1279" s="160"/>
      <c r="AX1279" s="160"/>
      <c r="AY1279" s="160"/>
      <c r="AZ1279" s="160"/>
      <c r="BA1279" s="160"/>
      <c r="BB1279" s="160"/>
      <c r="BC1279" s="160"/>
      <c r="BD1279" s="160"/>
      <c r="BE1279" s="160"/>
      <c r="BF1279" s="160"/>
      <c r="BG1279" s="160"/>
      <c r="BH1279" s="160"/>
      <c r="BI1279" s="160"/>
      <c r="BJ1279" s="160"/>
      <c r="BK1279" s="160"/>
      <c r="BL1279" s="160"/>
      <c r="BM1279" s="160"/>
      <c r="BN1279" s="160"/>
      <c r="BO1279" s="160"/>
      <c r="BP1279" s="160"/>
      <c r="BQ1279" s="160"/>
      <c r="BR1279" s="160"/>
      <c r="BS1279" s="160"/>
      <c r="BT1279" s="160"/>
      <c r="BU1279" s="160"/>
      <c r="BV1279" s="160"/>
      <c r="BW1279" s="160"/>
      <c r="BX1279" s="160"/>
      <c r="BY1279" s="160"/>
      <c r="BZ1279" s="160"/>
      <c r="CA1279" s="160"/>
      <c r="CB1279" s="160"/>
      <c r="CC1279" s="160"/>
      <c r="CD1279" s="160"/>
      <c r="CE1279" s="160"/>
      <c r="CF1279" s="160"/>
      <c r="CG1279" s="160"/>
      <c r="CH1279" s="160"/>
      <c r="CI1279" s="160"/>
      <c r="CJ1279" s="160"/>
      <c r="CK1279" s="160"/>
      <c r="CL1279" s="160"/>
      <c r="CM1279" s="160"/>
      <c r="CN1279" s="160"/>
      <c r="CO1279" s="160"/>
      <c r="CP1279" s="162"/>
      <c r="CQ1279" s="163"/>
      <c r="CR1279" s="162"/>
      <c r="CS1279" s="163"/>
      <c r="CT1279" s="162"/>
      <c r="CU1279" s="163"/>
      <c r="CV1279" s="164">
        <f t="shared" si="166"/>
        <v>0</v>
      </c>
      <c r="CW1279" s="165"/>
      <c r="CX1279" s="166"/>
      <c r="CY1279" s="167"/>
      <c r="CZ1279" s="168"/>
      <c r="DA1279" s="169"/>
      <c r="DB1279" s="168"/>
      <c r="DC1279" s="165"/>
      <c r="DD1279" s="166"/>
      <c r="DE1279" s="71"/>
      <c r="DF1279" s="170"/>
      <c r="EO1279" s="353" t="str">
        <f t="shared" si="169"/>
        <v>NORTE DE SANTANDER_SARDINATA</v>
      </c>
      <c r="EP1279" s="350"/>
      <c r="EQ1279" s="350"/>
      <c r="ER1279" s="357"/>
      <c r="ES1279" s="350"/>
      <c r="ET1279" s="350"/>
      <c r="EU1279" s="350"/>
    </row>
    <row r="1280" spans="1:151" s="171" customFormat="1" ht="101.25" x14ac:dyDescent="0.2">
      <c r="A1280" s="242">
        <v>40456</v>
      </c>
      <c r="B1280" s="222" t="s">
        <v>2014</v>
      </c>
      <c r="C1280" s="222" t="s">
        <v>1700</v>
      </c>
      <c r="D1280" s="427" t="s">
        <v>2307</v>
      </c>
      <c r="E1280" s="107" t="str">
        <f>VLOOKUP(B1280&amp;C1280,Divipola!$C$2:$F$1138,4,FALSE)</f>
        <v>63212</v>
      </c>
      <c r="F1280" s="330"/>
      <c r="G1280" s="221"/>
      <c r="H1280" s="157"/>
      <c r="I1280" s="157"/>
      <c r="J1280" s="157">
        <f>277*5</f>
        <v>1385</v>
      </c>
      <c r="K1280" s="157">
        <v>277</v>
      </c>
      <c r="L1280" s="157"/>
      <c r="M1280" s="157"/>
      <c r="N1280" s="157">
        <v>16</v>
      </c>
      <c r="O1280" s="157"/>
      <c r="P1280" s="157"/>
      <c r="Q1280" s="157"/>
      <c r="R1280" s="157"/>
      <c r="S1280" s="157"/>
      <c r="T1280" s="157"/>
      <c r="U1280" s="157"/>
      <c r="V1280" s="158"/>
      <c r="W1280" s="182"/>
      <c r="X1280" s="1">
        <v>40464</v>
      </c>
      <c r="Y1280" s="78">
        <f t="shared" si="163"/>
        <v>0</v>
      </c>
      <c r="Z1280" s="78">
        <f t="shared" si="164"/>
        <v>0</v>
      </c>
      <c r="AA1280" s="78">
        <f t="shared" si="170"/>
        <v>0</v>
      </c>
      <c r="AB1280" s="78">
        <f t="shared" si="165"/>
        <v>0</v>
      </c>
      <c r="AC1280" s="78"/>
      <c r="AD1280" s="78">
        <v>55000000</v>
      </c>
      <c r="AE1280" s="80">
        <f t="shared" si="167"/>
        <v>55000000</v>
      </c>
      <c r="AF1280" s="82">
        <v>0</v>
      </c>
      <c r="AG1280" s="69">
        <v>40456</v>
      </c>
      <c r="AH1280" s="84"/>
      <c r="AI1280" s="69" t="s">
        <v>2009</v>
      </c>
      <c r="AJ1280" s="25" t="s">
        <v>2010</v>
      </c>
      <c r="AK1280" s="65">
        <v>37235</v>
      </c>
      <c r="AL1280" s="176" t="s">
        <v>667</v>
      </c>
      <c r="AM1280" s="188" t="s">
        <v>3120</v>
      </c>
      <c r="AN1280" s="159"/>
      <c r="AO1280" s="160"/>
      <c r="AP1280" s="161"/>
      <c r="AQ1280" s="160"/>
      <c r="AR1280" s="160"/>
      <c r="AS1280" s="160"/>
      <c r="AT1280" s="160"/>
      <c r="AU1280" s="160"/>
      <c r="AV1280" s="160"/>
      <c r="AW1280" s="160"/>
      <c r="AX1280" s="160"/>
      <c r="AY1280" s="160"/>
      <c r="AZ1280" s="160"/>
      <c r="BA1280" s="160"/>
      <c r="BB1280" s="160"/>
      <c r="BC1280" s="160"/>
      <c r="BD1280" s="160"/>
      <c r="BE1280" s="160"/>
      <c r="BF1280" s="160"/>
      <c r="BG1280" s="160"/>
      <c r="BH1280" s="160"/>
      <c r="BI1280" s="160"/>
      <c r="BJ1280" s="160"/>
      <c r="BK1280" s="160"/>
      <c r="BL1280" s="160"/>
      <c r="BM1280" s="160"/>
      <c r="BN1280" s="160"/>
      <c r="BO1280" s="160"/>
      <c r="BP1280" s="160"/>
      <c r="BQ1280" s="160"/>
      <c r="BR1280" s="160"/>
      <c r="BS1280" s="160"/>
      <c r="BT1280" s="160"/>
      <c r="BU1280" s="160"/>
      <c r="BV1280" s="160"/>
      <c r="BW1280" s="160"/>
      <c r="BX1280" s="160"/>
      <c r="BY1280" s="160"/>
      <c r="BZ1280" s="160"/>
      <c r="CA1280" s="160"/>
      <c r="CB1280" s="160"/>
      <c r="CC1280" s="160"/>
      <c r="CD1280" s="160"/>
      <c r="CE1280" s="160"/>
      <c r="CF1280" s="160"/>
      <c r="CG1280" s="160"/>
      <c r="CH1280" s="160"/>
      <c r="CI1280" s="160"/>
      <c r="CJ1280" s="160"/>
      <c r="CK1280" s="160"/>
      <c r="CL1280" s="160"/>
      <c r="CM1280" s="160"/>
      <c r="CN1280" s="160"/>
      <c r="CO1280" s="160"/>
      <c r="CP1280" s="162"/>
      <c r="CQ1280" s="163"/>
      <c r="CR1280" s="162"/>
      <c r="CS1280" s="163"/>
      <c r="CT1280" s="162"/>
      <c r="CU1280" s="163"/>
      <c r="CV1280" s="164">
        <f t="shared" si="166"/>
        <v>0</v>
      </c>
      <c r="CW1280" s="165"/>
      <c r="CX1280" s="166"/>
      <c r="CY1280" s="167"/>
      <c r="CZ1280" s="168"/>
      <c r="DA1280" s="169"/>
      <c r="DB1280" s="168"/>
      <c r="DC1280" s="165"/>
      <c r="DD1280" s="166"/>
      <c r="DE1280" s="71">
        <v>2</v>
      </c>
      <c r="DF1280" s="170"/>
      <c r="EO1280" s="353" t="str">
        <f t="shared" si="169"/>
        <v>QUINDIO_CORDOBA</v>
      </c>
      <c r="EP1280" s="350"/>
      <c r="EQ1280" s="350"/>
      <c r="ER1280" s="357"/>
      <c r="ES1280" s="350"/>
      <c r="ET1280" s="350"/>
      <c r="EU1280" s="350"/>
    </row>
    <row r="1281" spans="1:151" s="171" customFormat="1" ht="38.25" x14ac:dyDescent="0.2">
      <c r="A1281" s="242">
        <v>40456</v>
      </c>
      <c r="B1281" s="107" t="s">
        <v>2012</v>
      </c>
      <c r="C1281" s="222" t="s">
        <v>2260</v>
      </c>
      <c r="D1281" s="430" t="s">
        <v>2209</v>
      </c>
      <c r="E1281" s="107" t="str">
        <f>VLOOKUP(B1281&amp;C1281,Divipola!$C$2:$F$1138,4,FALSE)</f>
        <v>66170</v>
      </c>
      <c r="F1281" s="333"/>
      <c r="G1281" s="221"/>
      <c r="H1281" s="157"/>
      <c r="I1281" s="157"/>
      <c r="J1281" s="157">
        <v>20</v>
      </c>
      <c r="K1281" s="157">
        <v>4</v>
      </c>
      <c r="L1281" s="157"/>
      <c r="M1281" s="157"/>
      <c r="N1281" s="157"/>
      <c r="O1281" s="157"/>
      <c r="P1281" s="157"/>
      <c r="Q1281" s="157"/>
      <c r="R1281" s="157"/>
      <c r="S1281" s="157"/>
      <c r="T1281" s="157"/>
      <c r="U1281" s="157"/>
      <c r="V1281" s="158"/>
      <c r="W1281" s="182"/>
      <c r="X1281" s="1"/>
      <c r="Y1281" s="78">
        <f t="shared" si="163"/>
        <v>0</v>
      </c>
      <c r="Z1281" s="78">
        <f t="shared" si="164"/>
        <v>0</v>
      </c>
      <c r="AA1281" s="78">
        <f t="shared" si="170"/>
        <v>0</v>
      </c>
      <c r="AB1281" s="78">
        <f t="shared" si="165"/>
        <v>0</v>
      </c>
      <c r="AC1281" s="78"/>
      <c r="AD1281" s="78">
        <v>0</v>
      </c>
      <c r="AE1281" s="80">
        <f t="shared" si="167"/>
        <v>0</v>
      </c>
      <c r="AF1281" s="82">
        <v>0</v>
      </c>
      <c r="AG1281" s="242">
        <v>40458</v>
      </c>
      <c r="AH1281" s="84"/>
      <c r="AI1281" s="69" t="s">
        <v>1984</v>
      </c>
      <c r="AJ1281" s="25" t="s">
        <v>1985</v>
      </c>
      <c r="AK1281" s="65"/>
      <c r="AL1281" s="176" t="s">
        <v>1257</v>
      </c>
      <c r="AM1281" s="173" t="s">
        <v>2699</v>
      </c>
      <c r="AN1281" s="159"/>
      <c r="AO1281" s="160"/>
      <c r="AP1281" s="161"/>
      <c r="AQ1281" s="160"/>
      <c r="AR1281" s="160"/>
      <c r="AS1281" s="160"/>
      <c r="AT1281" s="160"/>
      <c r="AU1281" s="160"/>
      <c r="AV1281" s="160"/>
      <c r="AW1281" s="160"/>
      <c r="AX1281" s="160"/>
      <c r="AY1281" s="160"/>
      <c r="AZ1281" s="160"/>
      <c r="BA1281" s="160"/>
      <c r="BB1281" s="160"/>
      <c r="BC1281" s="160"/>
      <c r="BD1281" s="160"/>
      <c r="BE1281" s="160"/>
      <c r="BF1281" s="160"/>
      <c r="BG1281" s="160"/>
      <c r="BH1281" s="160"/>
      <c r="BI1281" s="160"/>
      <c r="BJ1281" s="160"/>
      <c r="BK1281" s="160"/>
      <c r="BL1281" s="160"/>
      <c r="BM1281" s="160"/>
      <c r="BN1281" s="160"/>
      <c r="BO1281" s="160"/>
      <c r="BP1281" s="160"/>
      <c r="BQ1281" s="160"/>
      <c r="BR1281" s="160"/>
      <c r="BS1281" s="160"/>
      <c r="BT1281" s="160"/>
      <c r="BU1281" s="160"/>
      <c r="BV1281" s="160"/>
      <c r="BW1281" s="160"/>
      <c r="BX1281" s="160"/>
      <c r="BY1281" s="160"/>
      <c r="BZ1281" s="160"/>
      <c r="CA1281" s="160"/>
      <c r="CB1281" s="160"/>
      <c r="CC1281" s="160"/>
      <c r="CD1281" s="160"/>
      <c r="CE1281" s="160"/>
      <c r="CF1281" s="160"/>
      <c r="CG1281" s="160"/>
      <c r="CH1281" s="160"/>
      <c r="CI1281" s="160"/>
      <c r="CJ1281" s="160"/>
      <c r="CK1281" s="160"/>
      <c r="CL1281" s="160"/>
      <c r="CM1281" s="160"/>
      <c r="CN1281" s="160"/>
      <c r="CO1281" s="160"/>
      <c r="CP1281" s="162"/>
      <c r="CQ1281" s="163"/>
      <c r="CR1281" s="162"/>
      <c r="CS1281" s="163"/>
      <c r="CT1281" s="162"/>
      <c r="CU1281" s="163"/>
      <c r="CV1281" s="164">
        <f t="shared" si="166"/>
        <v>0</v>
      </c>
      <c r="CW1281" s="165"/>
      <c r="CX1281" s="166"/>
      <c r="CY1281" s="167"/>
      <c r="CZ1281" s="168"/>
      <c r="DA1281" s="169"/>
      <c r="DB1281" s="168"/>
      <c r="DC1281" s="165"/>
      <c r="DD1281" s="166"/>
      <c r="DE1281" s="71"/>
      <c r="DF1281" s="170"/>
      <c r="EO1281" s="353" t="str">
        <f t="shared" si="169"/>
        <v>RISARALDA_DOSQUEBRADAS</v>
      </c>
      <c r="EP1281" s="350"/>
      <c r="EQ1281" s="350"/>
      <c r="ER1281" s="357"/>
      <c r="ES1281" s="350"/>
      <c r="ET1281" s="350"/>
      <c r="EU1281" s="350"/>
    </row>
    <row r="1282" spans="1:151" s="171" customFormat="1" ht="96" customHeight="1" x14ac:dyDescent="0.2">
      <c r="A1282" s="242">
        <v>40456</v>
      </c>
      <c r="B1282" s="107" t="s">
        <v>2012</v>
      </c>
      <c r="C1282" s="222" t="s">
        <v>2433</v>
      </c>
      <c r="D1282" s="430" t="s">
        <v>2209</v>
      </c>
      <c r="E1282" s="107" t="str">
        <f>VLOOKUP(B1282&amp;C1282,Divipola!$C$2:$F$1138,4,FALSE)</f>
        <v>66001</v>
      </c>
      <c r="F1282" s="333"/>
      <c r="G1282" s="221"/>
      <c r="H1282" s="157"/>
      <c r="I1282" s="157"/>
      <c r="J1282" s="157">
        <f>44*5</f>
        <v>220</v>
      </c>
      <c r="K1282" s="157">
        <v>44</v>
      </c>
      <c r="L1282" s="157">
        <v>1</v>
      </c>
      <c r="M1282" s="157">
        <v>43</v>
      </c>
      <c r="N1282" s="157"/>
      <c r="O1282" s="157"/>
      <c r="P1282" s="157"/>
      <c r="Q1282" s="157"/>
      <c r="R1282" s="157"/>
      <c r="S1282" s="157"/>
      <c r="T1282" s="157"/>
      <c r="U1282" s="157"/>
      <c r="V1282" s="158"/>
      <c r="W1282" s="182"/>
      <c r="X1282" s="1"/>
      <c r="Y1282" s="78">
        <f t="shared" si="163"/>
        <v>0</v>
      </c>
      <c r="Z1282" s="78">
        <f t="shared" si="164"/>
        <v>0</v>
      </c>
      <c r="AA1282" s="78">
        <f t="shared" si="170"/>
        <v>0</v>
      </c>
      <c r="AB1282" s="78">
        <f t="shared" si="165"/>
        <v>0</v>
      </c>
      <c r="AC1282" s="78"/>
      <c r="AD1282" s="78">
        <v>0</v>
      </c>
      <c r="AE1282" s="80">
        <f t="shared" si="167"/>
        <v>0</v>
      </c>
      <c r="AF1282" s="82">
        <v>0</v>
      </c>
      <c r="AG1282" s="69">
        <v>40458</v>
      </c>
      <c r="AH1282" s="84"/>
      <c r="AI1282" s="69" t="s">
        <v>1984</v>
      </c>
      <c r="AJ1282" s="70" t="s">
        <v>1985</v>
      </c>
      <c r="AK1282" s="65"/>
      <c r="AL1282" s="176" t="s">
        <v>1257</v>
      </c>
      <c r="AM1282" s="173" t="s">
        <v>2700</v>
      </c>
      <c r="AN1282" s="159"/>
      <c r="AO1282" s="160"/>
      <c r="AP1282" s="161"/>
      <c r="AQ1282" s="160"/>
      <c r="AR1282" s="160"/>
      <c r="AS1282" s="160"/>
      <c r="AT1282" s="160"/>
      <c r="AU1282" s="160"/>
      <c r="AV1282" s="160"/>
      <c r="AW1282" s="160"/>
      <c r="AX1282" s="160"/>
      <c r="AY1282" s="160"/>
      <c r="AZ1282" s="160"/>
      <c r="BA1282" s="160"/>
      <c r="BB1282" s="160"/>
      <c r="BC1282" s="160"/>
      <c r="BD1282" s="160"/>
      <c r="BE1282" s="160"/>
      <c r="BF1282" s="160"/>
      <c r="BG1282" s="160"/>
      <c r="BH1282" s="160"/>
      <c r="BI1282" s="160"/>
      <c r="BJ1282" s="160"/>
      <c r="BK1282" s="160"/>
      <c r="BL1282" s="160"/>
      <c r="BM1282" s="160"/>
      <c r="BN1282" s="160"/>
      <c r="BO1282" s="160"/>
      <c r="BP1282" s="160"/>
      <c r="BQ1282" s="160"/>
      <c r="BR1282" s="160"/>
      <c r="BS1282" s="160"/>
      <c r="BT1282" s="160"/>
      <c r="BU1282" s="160"/>
      <c r="BV1282" s="160"/>
      <c r="BW1282" s="160"/>
      <c r="BX1282" s="160"/>
      <c r="BY1282" s="160"/>
      <c r="BZ1282" s="160"/>
      <c r="CA1282" s="160"/>
      <c r="CB1282" s="160"/>
      <c r="CC1282" s="160"/>
      <c r="CD1282" s="160"/>
      <c r="CE1282" s="160"/>
      <c r="CF1282" s="160"/>
      <c r="CG1282" s="160"/>
      <c r="CH1282" s="160"/>
      <c r="CI1282" s="160"/>
      <c r="CJ1282" s="160"/>
      <c r="CK1282" s="160"/>
      <c r="CL1282" s="160"/>
      <c r="CM1282" s="160"/>
      <c r="CN1282" s="160"/>
      <c r="CO1282" s="160"/>
      <c r="CP1282" s="162"/>
      <c r="CQ1282" s="163"/>
      <c r="CR1282" s="162"/>
      <c r="CS1282" s="163"/>
      <c r="CT1282" s="162"/>
      <c r="CU1282" s="163"/>
      <c r="CV1282" s="164">
        <f t="shared" si="166"/>
        <v>0</v>
      </c>
      <c r="CW1282" s="165"/>
      <c r="CX1282" s="166"/>
      <c r="CY1282" s="167"/>
      <c r="CZ1282" s="168"/>
      <c r="DA1282" s="169"/>
      <c r="DB1282" s="168"/>
      <c r="DC1282" s="165"/>
      <c r="DD1282" s="166"/>
      <c r="DE1282" s="71"/>
      <c r="DF1282" s="170"/>
      <c r="EO1282" s="353" t="str">
        <f t="shared" si="169"/>
        <v>RISARALDA_PEREIRA</v>
      </c>
      <c r="EP1282" s="350"/>
      <c r="EQ1282" s="350"/>
      <c r="ER1282" s="357"/>
      <c r="ES1282" s="350"/>
      <c r="ET1282" s="350"/>
      <c r="EU1282" s="350"/>
    </row>
    <row r="1283" spans="1:151" s="171" customFormat="1" ht="25.5" x14ac:dyDescent="0.2">
      <c r="A1283" s="246">
        <v>40457</v>
      </c>
      <c r="B1283" s="280" t="s">
        <v>2401</v>
      </c>
      <c r="C1283" s="280" t="s">
        <v>1203</v>
      </c>
      <c r="D1283" s="431" t="s">
        <v>2307</v>
      </c>
      <c r="E1283" s="107" t="str">
        <f>VLOOKUP(B1283&amp;C1283,Divipola!$C$2:$F$1138,4,FALSE)</f>
        <v>05031</v>
      </c>
      <c r="F1283" s="334"/>
      <c r="G1283" s="221"/>
      <c r="H1283" s="157"/>
      <c r="I1283" s="157"/>
      <c r="J1283" s="157"/>
      <c r="K1283" s="157"/>
      <c r="L1283" s="157"/>
      <c r="M1283" s="157"/>
      <c r="N1283" s="157">
        <v>1</v>
      </c>
      <c r="O1283" s="157"/>
      <c r="P1283" s="157"/>
      <c r="Q1283" s="157"/>
      <c r="R1283" s="157"/>
      <c r="S1283" s="157"/>
      <c r="T1283" s="157"/>
      <c r="U1283" s="157"/>
      <c r="V1283" s="158"/>
      <c r="W1283" s="182"/>
      <c r="X1283" s="1"/>
      <c r="Y1283" s="78">
        <f t="shared" ref="Y1283:Y1346" si="171">CV1283</f>
        <v>0</v>
      </c>
      <c r="Z1283" s="78">
        <f t="shared" ref="Z1283:Z1346" si="172">CZ1283</f>
        <v>0</v>
      </c>
      <c r="AA1283" s="78">
        <f t="shared" si="170"/>
        <v>0</v>
      </c>
      <c r="AB1283" s="78">
        <f t="shared" ref="AB1283:AB1346" si="173">CX1283</f>
        <v>0</v>
      </c>
      <c r="AC1283" s="78"/>
      <c r="AD1283" s="78">
        <v>0</v>
      </c>
      <c r="AE1283" s="80">
        <f t="shared" si="167"/>
        <v>0</v>
      </c>
      <c r="AF1283" s="82">
        <v>0</v>
      </c>
      <c r="AG1283" s="69">
        <v>40458</v>
      </c>
      <c r="AH1283" s="84"/>
      <c r="AI1283" s="69" t="s">
        <v>1984</v>
      </c>
      <c r="AJ1283" s="25" t="s">
        <v>1985</v>
      </c>
      <c r="AK1283" s="65"/>
      <c r="AL1283" s="176" t="s">
        <v>1257</v>
      </c>
      <c r="AM1283" s="173" t="s">
        <v>2702</v>
      </c>
      <c r="AN1283" s="159"/>
      <c r="AO1283" s="160"/>
      <c r="AP1283" s="161"/>
      <c r="AQ1283" s="160"/>
      <c r="AR1283" s="160"/>
      <c r="AS1283" s="160"/>
      <c r="AT1283" s="160"/>
      <c r="AU1283" s="160"/>
      <c r="AV1283" s="160"/>
      <c r="AW1283" s="160"/>
      <c r="AX1283" s="160"/>
      <c r="AY1283" s="160"/>
      <c r="AZ1283" s="160"/>
      <c r="BA1283" s="160"/>
      <c r="BB1283" s="160"/>
      <c r="BC1283" s="160"/>
      <c r="BD1283" s="160"/>
      <c r="BE1283" s="160"/>
      <c r="BF1283" s="160"/>
      <c r="BG1283" s="160"/>
      <c r="BH1283" s="160"/>
      <c r="BI1283" s="160"/>
      <c r="BJ1283" s="160"/>
      <c r="BK1283" s="160"/>
      <c r="BL1283" s="160"/>
      <c r="BM1283" s="160"/>
      <c r="BN1283" s="160"/>
      <c r="BO1283" s="160"/>
      <c r="BP1283" s="160"/>
      <c r="BQ1283" s="160"/>
      <c r="BR1283" s="160"/>
      <c r="BS1283" s="160"/>
      <c r="BT1283" s="160"/>
      <c r="BU1283" s="160"/>
      <c r="BV1283" s="160"/>
      <c r="BW1283" s="160"/>
      <c r="BX1283" s="160"/>
      <c r="BY1283" s="160"/>
      <c r="BZ1283" s="160"/>
      <c r="CA1283" s="160"/>
      <c r="CB1283" s="160"/>
      <c r="CC1283" s="160"/>
      <c r="CD1283" s="160"/>
      <c r="CE1283" s="160"/>
      <c r="CF1283" s="160"/>
      <c r="CG1283" s="160"/>
      <c r="CH1283" s="160"/>
      <c r="CI1283" s="160"/>
      <c r="CJ1283" s="160"/>
      <c r="CK1283" s="160"/>
      <c r="CL1283" s="160"/>
      <c r="CM1283" s="160"/>
      <c r="CN1283" s="160"/>
      <c r="CO1283" s="160"/>
      <c r="CP1283" s="162"/>
      <c r="CQ1283" s="163"/>
      <c r="CR1283" s="162"/>
      <c r="CS1283" s="163"/>
      <c r="CT1283" s="162"/>
      <c r="CU1283" s="163"/>
      <c r="CV1283" s="164">
        <f t="shared" ref="CV1283:CV1346" si="174">AO1283+AQ1283+AS1283+AU1283+AW1283+AY1283+BA1283+BC1283+BE1283+BG1283+BI1283+BK1283+BM1283+BO1283+BQ1283+BS1283+BU1283+BW1283+BY1283+CA1283+CC1283+CE1283+CG1283+CI1283+CK1283+CM1283+CO1283+CQ1283+CS1283+CU1283</f>
        <v>0</v>
      </c>
      <c r="CW1283" s="165"/>
      <c r="CX1283" s="166"/>
      <c r="CY1283" s="167"/>
      <c r="CZ1283" s="168"/>
      <c r="DA1283" s="169"/>
      <c r="DB1283" s="168"/>
      <c r="DC1283" s="165"/>
      <c r="DD1283" s="166"/>
      <c r="DE1283" s="71"/>
      <c r="DF1283" s="170"/>
      <c r="EO1283" s="353" t="str">
        <f t="shared" si="169"/>
        <v>ANTIOQUIA_AMALFI</v>
      </c>
      <c r="EP1283" s="350"/>
      <c r="EQ1283" s="350"/>
      <c r="ER1283" s="357"/>
      <c r="ES1283" s="350"/>
      <c r="ET1283" s="350"/>
      <c r="EU1283" s="350"/>
    </row>
    <row r="1284" spans="1:151" s="171" customFormat="1" ht="25.5" x14ac:dyDescent="0.2">
      <c r="A1284" s="242">
        <v>40457</v>
      </c>
      <c r="B1284" s="222" t="s">
        <v>2017</v>
      </c>
      <c r="C1284" s="222" t="s">
        <v>1215</v>
      </c>
      <c r="D1284" s="427" t="s">
        <v>2307</v>
      </c>
      <c r="E1284" s="107" t="str">
        <f>VLOOKUP(B1284&amp;C1284,Divipola!$C$2:$F$1138,4,FALSE)</f>
        <v>13001</v>
      </c>
      <c r="F1284" s="330"/>
      <c r="G1284" s="221"/>
      <c r="H1284" s="157"/>
      <c r="I1284" s="157"/>
      <c r="J1284" s="157">
        <v>5</v>
      </c>
      <c r="K1284" s="157">
        <v>1</v>
      </c>
      <c r="L1284" s="157">
        <v>1</v>
      </c>
      <c r="M1284" s="157"/>
      <c r="N1284" s="157"/>
      <c r="O1284" s="157"/>
      <c r="P1284" s="157"/>
      <c r="Q1284" s="157"/>
      <c r="R1284" s="157"/>
      <c r="S1284" s="157"/>
      <c r="T1284" s="157"/>
      <c r="U1284" s="157"/>
      <c r="V1284" s="158"/>
      <c r="W1284" s="182"/>
      <c r="X1284" s="1"/>
      <c r="Y1284" s="78">
        <f t="shared" si="171"/>
        <v>0</v>
      </c>
      <c r="Z1284" s="78">
        <f t="shared" si="172"/>
        <v>0</v>
      </c>
      <c r="AA1284" s="78">
        <f t="shared" si="170"/>
        <v>0</v>
      </c>
      <c r="AB1284" s="78">
        <f t="shared" si="173"/>
        <v>0</v>
      </c>
      <c r="AC1284" s="78"/>
      <c r="AD1284" s="78">
        <v>0</v>
      </c>
      <c r="AE1284" s="80">
        <f t="shared" si="167"/>
        <v>0</v>
      </c>
      <c r="AF1284" s="82">
        <v>0</v>
      </c>
      <c r="AG1284" s="69">
        <v>40459</v>
      </c>
      <c r="AH1284" s="84"/>
      <c r="AI1284" s="69" t="s">
        <v>1984</v>
      </c>
      <c r="AJ1284" s="25" t="s">
        <v>1985</v>
      </c>
      <c r="AK1284" s="65"/>
      <c r="AL1284" s="176" t="s">
        <v>1257</v>
      </c>
      <c r="AM1284" s="173" t="s">
        <v>2710</v>
      </c>
      <c r="AN1284" s="159"/>
      <c r="AO1284" s="160"/>
      <c r="AP1284" s="161"/>
      <c r="AQ1284" s="160"/>
      <c r="AR1284" s="160"/>
      <c r="AS1284" s="160"/>
      <c r="AT1284" s="160"/>
      <c r="AU1284" s="160"/>
      <c r="AV1284" s="160"/>
      <c r="AW1284" s="160"/>
      <c r="AX1284" s="160"/>
      <c r="AY1284" s="160"/>
      <c r="AZ1284" s="160"/>
      <c r="BA1284" s="160"/>
      <c r="BB1284" s="160"/>
      <c r="BC1284" s="160"/>
      <c r="BD1284" s="160"/>
      <c r="BE1284" s="160"/>
      <c r="BF1284" s="160"/>
      <c r="BG1284" s="160"/>
      <c r="BH1284" s="160"/>
      <c r="BI1284" s="160"/>
      <c r="BJ1284" s="160"/>
      <c r="BK1284" s="160"/>
      <c r="BL1284" s="160"/>
      <c r="BM1284" s="160"/>
      <c r="BN1284" s="160"/>
      <c r="BO1284" s="160"/>
      <c r="BP1284" s="160"/>
      <c r="BQ1284" s="160"/>
      <c r="BR1284" s="160"/>
      <c r="BS1284" s="160"/>
      <c r="BT1284" s="160"/>
      <c r="BU1284" s="160"/>
      <c r="BV1284" s="160"/>
      <c r="BW1284" s="160"/>
      <c r="BX1284" s="160"/>
      <c r="BY1284" s="160"/>
      <c r="BZ1284" s="160"/>
      <c r="CA1284" s="160"/>
      <c r="CB1284" s="160"/>
      <c r="CC1284" s="160"/>
      <c r="CD1284" s="160"/>
      <c r="CE1284" s="160"/>
      <c r="CF1284" s="160"/>
      <c r="CG1284" s="160"/>
      <c r="CH1284" s="160"/>
      <c r="CI1284" s="160"/>
      <c r="CJ1284" s="160"/>
      <c r="CK1284" s="160"/>
      <c r="CL1284" s="160"/>
      <c r="CM1284" s="160"/>
      <c r="CN1284" s="160"/>
      <c r="CO1284" s="160"/>
      <c r="CP1284" s="162"/>
      <c r="CQ1284" s="163"/>
      <c r="CR1284" s="162"/>
      <c r="CS1284" s="163"/>
      <c r="CT1284" s="162"/>
      <c r="CU1284" s="163"/>
      <c r="CV1284" s="164">
        <f t="shared" si="174"/>
        <v>0</v>
      </c>
      <c r="CW1284" s="165"/>
      <c r="CX1284" s="166"/>
      <c r="CY1284" s="167"/>
      <c r="CZ1284" s="168"/>
      <c r="DA1284" s="169"/>
      <c r="DB1284" s="168"/>
      <c r="DC1284" s="165"/>
      <c r="DD1284" s="166"/>
      <c r="DE1284" s="71"/>
      <c r="DF1284" s="170"/>
      <c r="EO1284" s="353" t="str">
        <f t="shared" si="169"/>
        <v>BOLIVAR_CARTAGENA</v>
      </c>
      <c r="EP1284" s="350"/>
      <c r="EQ1284" s="350"/>
      <c r="ER1284" s="357"/>
      <c r="ES1284" s="350"/>
      <c r="ET1284" s="350"/>
      <c r="EU1284" s="350"/>
    </row>
    <row r="1285" spans="1:151" s="171" customFormat="1" ht="72" x14ac:dyDescent="0.2">
      <c r="A1285" s="242">
        <v>40457</v>
      </c>
      <c r="B1285" s="222" t="s">
        <v>2017</v>
      </c>
      <c r="C1285" s="222" t="s">
        <v>1961</v>
      </c>
      <c r="D1285" s="430" t="s">
        <v>837</v>
      </c>
      <c r="E1285" s="107" t="str">
        <f>VLOOKUP(B1285&amp;C1285,Divipola!$C$2:$F$1138,4,FALSE)</f>
        <v>13442</v>
      </c>
      <c r="F1285" s="333"/>
      <c r="G1285" s="221"/>
      <c r="H1285" s="157"/>
      <c r="I1285" s="157"/>
      <c r="J1285" s="157">
        <f>443*5</f>
        <v>2215</v>
      </c>
      <c r="K1285" s="157">
        <v>443</v>
      </c>
      <c r="L1285" s="157"/>
      <c r="M1285" s="157">
        <v>408</v>
      </c>
      <c r="N1285" s="157"/>
      <c r="O1285" s="157"/>
      <c r="P1285" s="157"/>
      <c r="Q1285" s="157"/>
      <c r="R1285" s="157"/>
      <c r="S1285" s="157"/>
      <c r="T1285" s="157"/>
      <c r="U1285" s="157"/>
      <c r="V1285" s="158"/>
      <c r="W1285" s="182"/>
      <c r="X1285" s="1"/>
      <c r="Y1285" s="78">
        <f t="shared" si="171"/>
        <v>0</v>
      </c>
      <c r="Z1285" s="78">
        <f t="shared" si="172"/>
        <v>0</v>
      </c>
      <c r="AA1285" s="78">
        <f t="shared" si="170"/>
        <v>0</v>
      </c>
      <c r="AB1285" s="78">
        <f t="shared" si="173"/>
        <v>0</v>
      </c>
      <c r="AC1285" s="78"/>
      <c r="AD1285" s="78">
        <v>0</v>
      </c>
      <c r="AE1285" s="80">
        <f t="shared" si="167"/>
        <v>0</v>
      </c>
      <c r="AF1285" s="82">
        <v>0</v>
      </c>
      <c r="AG1285" s="69">
        <v>40459</v>
      </c>
      <c r="AH1285" s="84"/>
      <c r="AI1285" s="69" t="s">
        <v>1984</v>
      </c>
      <c r="AJ1285" s="25" t="s">
        <v>1985</v>
      </c>
      <c r="AK1285" s="65"/>
      <c r="AL1285" s="176" t="s">
        <v>1257</v>
      </c>
      <c r="AM1285" s="173" t="s">
        <v>1496</v>
      </c>
      <c r="AN1285" s="159"/>
      <c r="AO1285" s="160"/>
      <c r="AP1285" s="161"/>
      <c r="AQ1285" s="160"/>
      <c r="AR1285" s="160"/>
      <c r="AS1285" s="160"/>
      <c r="AT1285" s="160"/>
      <c r="AU1285" s="160"/>
      <c r="AV1285" s="160"/>
      <c r="AW1285" s="160"/>
      <c r="AX1285" s="160"/>
      <c r="AY1285" s="160"/>
      <c r="AZ1285" s="160"/>
      <c r="BA1285" s="160"/>
      <c r="BB1285" s="160"/>
      <c r="BC1285" s="160"/>
      <c r="BD1285" s="160"/>
      <c r="BE1285" s="160"/>
      <c r="BF1285" s="160"/>
      <c r="BG1285" s="160"/>
      <c r="BH1285" s="160"/>
      <c r="BI1285" s="160"/>
      <c r="BJ1285" s="160"/>
      <c r="BK1285" s="160"/>
      <c r="BL1285" s="160"/>
      <c r="BM1285" s="160"/>
      <c r="BN1285" s="160"/>
      <c r="BO1285" s="160"/>
      <c r="BP1285" s="160"/>
      <c r="BQ1285" s="160"/>
      <c r="BR1285" s="160"/>
      <c r="BS1285" s="160"/>
      <c r="BT1285" s="160"/>
      <c r="BU1285" s="160"/>
      <c r="BV1285" s="160"/>
      <c r="BW1285" s="160"/>
      <c r="BX1285" s="160"/>
      <c r="BY1285" s="160"/>
      <c r="BZ1285" s="160"/>
      <c r="CA1285" s="160"/>
      <c r="CB1285" s="160"/>
      <c r="CC1285" s="160"/>
      <c r="CD1285" s="160"/>
      <c r="CE1285" s="160"/>
      <c r="CF1285" s="160"/>
      <c r="CG1285" s="160"/>
      <c r="CH1285" s="160"/>
      <c r="CI1285" s="160"/>
      <c r="CJ1285" s="160"/>
      <c r="CK1285" s="160"/>
      <c r="CL1285" s="160"/>
      <c r="CM1285" s="160"/>
      <c r="CN1285" s="160"/>
      <c r="CO1285" s="160"/>
      <c r="CP1285" s="162"/>
      <c r="CQ1285" s="163"/>
      <c r="CR1285" s="162"/>
      <c r="CS1285" s="163"/>
      <c r="CT1285" s="162"/>
      <c r="CU1285" s="163"/>
      <c r="CV1285" s="164">
        <f t="shared" si="174"/>
        <v>0</v>
      </c>
      <c r="CW1285" s="165"/>
      <c r="CX1285" s="166"/>
      <c r="CY1285" s="167"/>
      <c r="CZ1285" s="168"/>
      <c r="DA1285" s="169"/>
      <c r="DB1285" s="168"/>
      <c r="DC1285" s="165"/>
      <c r="DD1285" s="166"/>
      <c r="DE1285" s="71"/>
      <c r="DF1285" s="170"/>
      <c r="EO1285" s="353" t="str">
        <f t="shared" si="169"/>
        <v>BOLIVAR_MARIA LA BAJA</v>
      </c>
      <c r="EP1285" s="350"/>
      <c r="EQ1285" s="350"/>
      <c r="ER1285" s="357"/>
      <c r="ES1285" s="350"/>
      <c r="ET1285" s="350"/>
      <c r="EU1285" s="350"/>
    </row>
    <row r="1286" spans="1:151" s="171" customFormat="1" ht="45" x14ac:dyDescent="0.2">
      <c r="A1286" s="242">
        <v>40457</v>
      </c>
      <c r="B1286" s="222" t="s">
        <v>828</v>
      </c>
      <c r="C1286" s="222" t="s">
        <v>2365</v>
      </c>
      <c r="D1286" s="430" t="s">
        <v>837</v>
      </c>
      <c r="E1286" s="107" t="str">
        <f>VLOOKUP(B1286&amp;C1286,Divipola!$C$2:$F$1138,4,FALSE)</f>
        <v>15580</v>
      </c>
      <c r="F1286" s="333"/>
      <c r="G1286" s="221"/>
      <c r="H1286" s="157"/>
      <c r="I1286" s="157"/>
      <c r="J1286" s="157">
        <f>146*5</f>
        <v>730</v>
      </c>
      <c r="K1286" s="157">
        <v>146</v>
      </c>
      <c r="L1286" s="157"/>
      <c r="M1286" s="157">
        <v>146</v>
      </c>
      <c r="N1286" s="157"/>
      <c r="O1286" s="157"/>
      <c r="P1286" s="157"/>
      <c r="Q1286" s="157"/>
      <c r="R1286" s="157"/>
      <c r="S1286" s="157"/>
      <c r="T1286" s="157"/>
      <c r="U1286" s="157"/>
      <c r="V1286" s="158"/>
      <c r="W1286" s="182"/>
      <c r="X1286" s="1"/>
      <c r="Y1286" s="78">
        <f t="shared" si="171"/>
        <v>30740000</v>
      </c>
      <c r="Z1286" s="78">
        <f t="shared" si="172"/>
        <v>17000000</v>
      </c>
      <c r="AA1286" s="78">
        <f t="shared" si="170"/>
        <v>0</v>
      </c>
      <c r="AB1286" s="78">
        <f t="shared" si="173"/>
        <v>0</v>
      </c>
      <c r="AC1286" s="78"/>
      <c r="AD1286" s="78">
        <v>0</v>
      </c>
      <c r="AE1286" s="80">
        <f t="shared" si="167"/>
        <v>47740000</v>
      </c>
      <c r="AF1286" s="82">
        <v>0</v>
      </c>
      <c r="AG1286" s="69">
        <v>40457</v>
      </c>
      <c r="AH1286" s="84"/>
      <c r="AI1286" s="69" t="s">
        <v>2009</v>
      </c>
      <c r="AJ1286" s="25" t="s">
        <v>2010</v>
      </c>
      <c r="AK1286" s="65"/>
      <c r="AL1286" s="176" t="s">
        <v>2182</v>
      </c>
      <c r="AM1286" s="173" t="s">
        <v>1133</v>
      </c>
      <c r="AN1286" s="159"/>
      <c r="AO1286" s="160"/>
      <c r="AP1286" s="161"/>
      <c r="AQ1286" s="160"/>
      <c r="AR1286" s="160"/>
      <c r="AS1286" s="160"/>
      <c r="AT1286" s="160"/>
      <c r="AU1286" s="160"/>
      <c r="AV1286" s="160"/>
      <c r="AW1286" s="160"/>
      <c r="AX1286" s="160"/>
      <c r="AY1286" s="160"/>
      <c r="AZ1286" s="160">
        <v>200</v>
      </c>
      <c r="BA1286" s="160">
        <f>200*56000</f>
        <v>11200000</v>
      </c>
      <c r="BB1286" s="160"/>
      <c r="BC1286" s="160"/>
      <c r="BD1286" s="160"/>
      <c r="BE1286" s="160"/>
      <c r="BF1286" s="160"/>
      <c r="BG1286" s="160"/>
      <c r="BH1286" s="160"/>
      <c r="BI1286" s="160"/>
      <c r="BJ1286" s="160"/>
      <c r="BK1286" s="160"/>
      <c r="BL1286" s="160"/>
      <c r="BM1286" s="160"/>
      <c r="BN1286" s="160"/>
      <c r="BO1286" s="160"/>
      <c r="BP1286" s="160"/>
      <c r="BQ1286" s="160"/>
      <c r="BR1286" s="160"/>
      <c r="BS1286" s="160"/>
      <c r="BT1286" s="160"/>
      <c r="BU1286" s="160"/>
      <c r="BV1286" s="160"/>
      <c r="BW1286" s="160"/>
      <c r="BX1286" s="160"/>
      <c r="BY1286" s="160"/>
      <c r="BZ1286" s="160"/>
      <c r="CA1286" s="160"/>
      <c r="CB1286" s="160"/>
      <c r="CC1286" s="160"/>
      <c r="CD1286" s="160"/>
      <c r="CE1286" s="160"/>
      <c r="CF1286" s="160"/>
      <c r="CG1286" s="160"/>
      <c r="CH1286" s="160"/>
      <c r="CI1286" s="160"/>
      <c r="CJ1286" s="160">
        <v>200</v>
      </c>
      <c r="CK1286" s="160">
        <f>200*21000</f>
        <v>4200000</v>
      </c>
      <c r="CL1286" s="160"/>
      <c r="CM1286" s="160"/>
      <c r="CN1286" s="160"/>
      <c r="CO1286" s="160"/>
      <c r="CP1286" s="162">
        <v>200</v>
      </c>
      <c r="CQ1286" s="163">
        <f>200*37000</f>
        <v>7400000</v>
      </c>
      <c r="CR1286" s="162">
        <v>200</v>
      </c>
      <c r="CS1286" s="163">
        <f>200*39700</f>
        <v>7940000</v>
      </c>
      <c r="CT1286" s="162"/>
      <c r="CU1286" s="163"/>
      <c r="CV1286" s="164">
        <f t="shared" si="174"/>
        <v>30740000</v>
      </c>
      <c r="CW1286" s="165"/>
      <c r="CX1286" s="166"/>
      <c r="CY1286" s="167">
        <v>200</v>
      </c>
      <c r="CZ1286" s="168">
        <f>200*85000</f>
        <v>17000000</v>
      </c>
      <c r="DA1286" s="169"/>
      <c r="DB1286" s="168"/>
      <c r="DC1286" s="165"/>
      <c r="DD1286" s="166"/>
      <c r="DE1286" s="71"/>
      <c r="DF1286" s="170"/>
      <c r="EO1286" s="353" t="str">
        <f t="shared" si="169"/>
        <v>BOYACA_QUIPAMA</v>
      </c>
      <c r="EP1286" s="350"/>
      <c r="EQ1286" s="350"/>
      <c r="ER1286" s="357"/>
      <c r="ES1286" s="350"/>
      <c r="ET1286" s="350"/>
      <c r="EU1286" s="350"/>
    </row>
    <row r="1287" spans="1:151" s="171" customFormat="1" ht="38.25" x14ac:dyDescent="0.2">
      <c r="A1287" s="242">
        <v>40457</v>
      </c>
      <c r="B1287" s="222" t="s">
        <v>2007</v>
      </c>
      <c r="C1287" s="222" t="s">
        <v>2712</v>
      </c>
      <c r="D1287" s="427" t="s">
        <v>2307</v>
      </c>
      <c r="E1287" s="107" t="str">
        <f>VLOOKUP(B1287&amp;C1287,Divipola!$C$2:$F$1138,4,FALSE)</f>
        <v>25297</v>
      </c>
      <c r="F1287" s="330"/>
      <c r="G1287" s="221"/>
      <c r="H1287" s="157"/>
      <c r="I1287" s="157"/>
      <c r="J1287" s="157">
        <v>2</v>
      </c>
      <c r="K1287" s="157">
        <v>1</v>
      </c>
      <c r="L1287" s="157">
        <v>1</v>
      </c>
      <c r="M1287" s="157"/>
      <c r="N1287" s="157"/>
      <c r="O1287" s="157"/>
      <c r="P1287" s="157"/>
      <c r="Q1287" s="157"/>
      <c r="R1287" s="157"/>
      <c r="S1287" s="157"/>
      <c r="T1287" s="157"/>
      <c r="U1287" s="157"/>
      <c r="V1287" s="158"/>
      <c r="W1287" s="182"/>
      <c r="X1287" s="1"/>
      <c r="Y1287" s="78">
        <f t="shared" si="171"/>
        <v>0</v>
      </c>
      <c r="Z1287" s="78">
        <f t="shared" si="172"/>
        <v>0</v>
      </c>
      <c r="AA1287" s="78">
        <f t="shared" si="170"/>
        <v>0</v>
      </c>
      <c r="AB1287" s="78">
        <f t="shared" si="173"/>
        <v>0</v>
      </c>
      <c r="AC1287" s="78"/>
      <c r="AD1287" s="78">
        <v>0</v>
      </c>
      <c r="AE1287" s="80">
        <f t="shared" si="167"/>
        <v>0</v>
      </c>
      <c r="AF1287" s="82">
        <v>0</v>
      </c>
      <c r="AG1287" s="69">
        <v>40459</v>
      </c>
      <c r="AH1287" s="84"/>
      <c r="AI1287" s="69" t="s">
        <v>1984</v>
      </c>
      <c r="AJ1287" s="25" t="s">
        <v>1985</v>
      </c>
      <c r="AK1287" s="65"/>
      <c r="AL1287" s="176" t="s">
        <v>1257</v>
      </c>
      <c r="AM1287" s="173" t="s">
        <v>2713</v>
      </c>
      <c r="AN1287" s="159"/>
      <c r="AO1287" s="160"/>
      <c r="AP1287" s="161"/>
      <c r="AQ1287" s="160"/>
      <c r="AR1287" s="160"/>
      <c r="AS1287" s="160"/>
      <c r="AT1287" s="160"/>
      <c r="AU1287" s="160"/>
      <c r="AV1287" s="160"/>
      <c r="AW1287" s="160"/>
      <c r="AX1287" s="160"/>
      <c r="AY1287" s="160"/>
      <c r="AZ1287" s="160"/>
      <c r="BA1287" s="160"/>
      <c r="BB1287" s="160"/>
      <c r="BC1287" s="160"/>
      <c r="BD1287" s="160"/>
      <c r="BE1287" s="160"/>
      <c r="BF1287" s="160"/>
      <c r="BG1287" s="160"/>
      <c r="BH1287" s="160"/>
      <c r="BI1287" s="160"/>
      <c r="BJ1287" s="160"/>
      <c r="BK1287" s="160"/>
      <c r="BL1287" s="160"/>
      <c r="BM1287" s="160"/>
      <c r="BN1287" s="160"/>
      <c r="BO1287" s="160"/>
      <c r="BP1287" s="160"/>
      <c r="BQ1287" s="160"/>
      <c r="BR1287" s="160"/>
      <c r="BS1287" s="160"/>
      <c r="BT1287" s="160"/>
      <c r="BU1287" s="160"/>
      <c r="BV1287" s="160"/>
      <c r="BW1287" s="160"/>
      <c r="BX1287" s="160"/>
      <c r="BY1287" s="160"/>
      <c r="BZ1287" s="160"/>
      <c r="CA1287" s="160"/>
      <c r="CB1287" s="160"/>
      <c r="CC1287" s="160"/>
      <c r="CD1287" s="160"/>
      <c r="CE1287" s="160"/>
      <c r="CF1287" s="160"/>
      <c r="CG1287" s="160"/>
      <c r="CH1287" s="160"/>
      <c r="CI1287" s="160"/>
      <c r="CJ1287" s="160"/>
      <c r="CK1287" s="160"/>
      <c r="CL1287" s="160"/>
      <c r="CM1287" s="160"/>
      <c r="CN1287" s="160"/>
      <c r="CO1287" s="160"/>
      <c r="CP1287" s="162"/>
      <c r="CQ1287" s="163"/>
      <c r="CR1287" s="162"/>
      <c r="CS1287" s="163"/>
      <c r="CT1287" s="162"/>
      <c r="CU1287" s="163"/>
      <c r="CV1287" s="164">
        <f t="shared" si="174"/>
        <v>0</v>
      </c>
      <c r="CW1287" s="165"/>
      <c r="CX1287" s="166"/>
      <c r="CY1287" s="167"/>
      <c r="CZ1287" s="168"/>
      <c r="DA1287" s="169"/>
      <c r="DB1287" s="168"/>
      <c r="DC1287" s="165"/>
      <c r="DD1287" s="166"/>
      <c r="DE1287" s="71"/>
      <c r="DF1287" s="170"/>
      <c r="EO1287" s="353" t="str">
        <f t="shared" si="169"/>
        <v>CUNDINAMARCA_GACHETA</v>
      </c>
      <c r="EP1287" s="350"/>
      <c r="EQ1287" s="350"/>
      <c r="ER1287" s="357"/>
      <c r="ES1287" s="350"/>
      <c r="ET1287" s="350"/>
      <c r="EU1287" s="350"/>
    </row>
    <row r="1288" spans="1:151" s="171" customFormat="1" ht="51" x14ac:dyDescent="0.2">
      <c r="A1288" s="242">
        <v>40457</v>
      </c>
      <c r="B1288" s="222" t="s">
        <v>1336</v>
      </c>
      <c r="C1288" s="222" t="s">
        <v>3107</v>
      </c>
      <c r="D1288" s="430" t="s">
        <v>2331</v>
      </c>
      <c r="E1288" s="107" t="str">
        <f>VLOOKUP(B1288&amp;C1288,Divipola!$C$2:$F$1138,4,FALSE)</f>
        <v>54518</v>
      </c>
      <c r="F1288" s="333"/>
      <c r="G1288" s="221"/>
      <c r="H1288" s="157"/>
      <c r="I1288" s="157"/>
      <c r="J1288" s="157">
        <f>40*5</f>
        <v>200</v>
      </c>
      <c r="K1288" s="157">
        <v>40</v>
      </c>
      <c r="L1288" s="157"/>
      <c r="M1288" s="157">
        <v>40</v>
      </c>
      <c r="N1288" s="157"/>
      <c r="O1288" s="157"/>
      <c r="P1288" s="157"/>
      <c r="Q1288" s="157"/>
      <c r="R1288" s="157">
        <v>1</v>
      </c>
      <c r="S1288" s="157"/>
      <c r="T1288" s="157">
        <v>1</v>
      </c>
      <c r="U1288" s="157"/>
      <c r="V1288" s="158"/>
      <c r="W1288" s="182"/>
      <c r="X1288" s="1"/>
      <c r="Y1288" s="78">
        <f t="shared" si="171"/>
        <v>0</v>
      </c>
      <c r="Z1288" s="78">
        <f t="shared" si="172"/>
        <v>0</v>
      </c>
      <c r="AA1288" s="78">
        <f t="shared" si="170"/>
        <v>0</v>
      </c>
      <c r="AB1288" s="78">
        <f t="shared" si="173"/>
        <v>0</v>
      </c>
      <c r="AC1288" s="78"/>
      <c r="AD1288" s="78">
        <v>0</v>
      </c>
      <c r="AE1288" s="80">
        <f t="shared" si="167"/>
        <v>0</v>
      </c>
      <c r="AF1288" s="82">
        <v>0</v>
      </c>
      <c r="AG1288" s="69">
        <v>40458</v>
      </c>
      <c r="AH1288" s="84"/>
      <c r="AI1288" s="69" t="s">
        <v>1984</v>
      </c>
      <c r="AJ1288" s="25" t="s">
        <v>1985</v>
      </c>
      <c r="AK1288" s="65"/>
      <c r="AL1288" s="176" t="s">
        <v>1257</v>
      </c>
      <c r="AM1288" s="173" t="s">
        <v>2701</v>
      </c>
      <c r="AN1288" s="159"/>
      <c r="AO1288" s="160"/>
      <c r="AP1288" s="161"/>
      <c r="AQ1288" s="160"/>
      <c r="AR1288" s="160"/>
      <c r="AS1288" s="160"/>
      <c r="AT1288" s="160"/>
      <c r="AU1288" s="160"/>
      <c r="AV1288" s="160"/>
      <c r="AW1288" s="160"/>
      <c r="AX1288" s="160"/>
      <c r="AY1288" s="160"/>
      <c r="AZ1288" s="160"/>
      <c r="BA1288" s="160"/>
      <c r="BB1288" s="160"/>
      <c r="BC1288" s="160"/>
      <c r="BD1288" s="160"/>
      <c r="BE1288" s="160"/>
      <c r="BF1288" s="160"/>
      <c r="BG1288" s="160"/>
      <c r="BH1288" s="160"/>
      <c r="BI1288" s="160"/>
      <c r="BJ1288" s="160"/>
      <c r="BK1288" s="160"/>
      <c r="BL1288" s="160"/>
      <c r="BM1288" s="160"/>
      <c r="BN1288" s="160"/>
      <c r="BO1288" s="160"/>
      <c r="BP1288" s="160"/>
      <c r="BQ1288" s="160"/>
      <c r="BR1288" s="160"/>
      <c r="BS1288" s="160"/>
      <c r="BT1288" s="160"/>
      <c r="BU1288" s="160"/>
      <c r="BV1288" s="160"/>
      <c r="BW1288" s="160"/>
      <c r="BX1288" s="160"/>
      <c r="BY1288" s="160"/>
      <c r="BZ1288" s="160"/>
      <c r="CA1288" s="160"/>
      <c r="CB1288" s="160"/>
      <c r="CC1288" s="160"/>
      <c r="CD1288" s="160"/>
      <c r="CE1288" s="160"/>
      <c r="CF1288" s="160"/>
      <c r="CG1288" s="160"/>
      <c r="CH1288" s="160"/>
      <c r="CI1288" s="160"/>
      <c r="CJ1288" s="160"/>
      <c r="CK1288" s="160"/>
      <c r="CL1288" s="160"/>
      <c r="CM1288" s="160"/>
      <c r="CN1288" s="160"/>
      <c r="CO1288" s="160"/>
      <c r="CP1288" s="162"/>
      <c r="CQ1288" s="163"/>
      <c r="CR1288" s="162"/>
      <c r="CS1288" s="163"/>
      <c r="CT1288" s="162"/>
      <c r="CU1288" s="163"/>
      <c r="CV1288" s="164">
        <f t="shared" si="174"/>
        <v>0</v>
      </c>
      <c r="CW1288" s="165"/>
      <c r="CX1288" s="166"/>
      <c r="CY1288" s="167"/>
      <c r="CZ1288" s="168"/>
      <c r="DA1288" s="169"/>
      <c r="DB1288" s="168"/>
      <c r="DC1288" s="165"/>
      <c r="DD1288" s="166"/>
      <c r="DE1288" s="71"/>
      <c r="DF1288" s="170"/>
      <c r="EO1288" s="353" t="str">
        <f t="shared" si="169"/>
        <v>NORTE DE SANTANDER_PAMPLONA</v>
      </c>
      <c r="EP1288" s="350"/>
      <c r="EQ1288" s="350"/>
      <c r="ER1288" s="357"/>
      <c r="ES1288" s="350"/>
      <c r="ET1288" s="350"/>
      <c r="EU1288" s="350"/>
    </row>
    <row r="1289" spans="1:151" s="171" customFormat="1" ht="25.5" x14ac:dyDescent="0.2">
      <c r="A1289" s="242">
        <v>40457</v>
      </c>
      <c r="B1289" s="222" t="s">
        <v>2014</v>
      </c>
      <c r="C1289" s="222" t="s">
        <v>203</v>
      </c>
      <c r="D1289" s="427" t="s">
        <v>2307</v>
      </c>
      <c r="E1289" s="107" t="str">
        <f>VLOOKUP(B1289&amp;C1289,Divipola!$C$2:$F$1138,4,FALSE)</f>
        <v>63302</v>
      </c>
      <c r="F1289" s="330"/>
      <c r="G1289" s="221"/>
      <c r="H1289" s="157"/>
      <c r="I1289" s="157"/>
      <c r="J1289" s="157">
        <v>5</v>
      </c>
      <c r="K1289" s="157">
        <v>1</v>
      </c>
      <c r="L1289" s="157">
        <v>1</v>
      </c>
      <c r="M1289" s="157"/>
      <c r="N1289" s="157"/>
      <c r="O1289" s="157"/>
      <c r="P1289" s="157"/>
      <c r="Q1289" s="157"/>
      <c r="R1289" s="157"/>
      <c r="S1289" s="157"/>
      <c r="T1289" s="157"/>
      <c r="U1289" s="157"/>
      <c r="V1289" s="158"/>
      <c r="W1289" s="182"/>
      <c r="X1289" s="1"/>
      <c r="Y1289" s="78">
        <f t="shared" si="171"/>
        <v>0</v>
      </c>
      <c r="Z1289" s="78">
        <f t="shared" si="172"/>
        <v>0</v>
      </c>
      <c r="AA1289" s="78">
        <f t="shared" si="170"/>
        <v>0</v>
      </c>
      <c r="AB1289" s="78">
        <f t="shared" si="173"/>
        <v>0</v>
      </c>
      <c r="AC1289" s="78"/>
      <c r="AD1289" s="78">
        <v>0</v>
      </c>
      <c r="AE1289" s="80">
        <f t="shared" ref="AE1289:AE1352" si="175">Y1289+Z1289+AA1289+AB1289+AC1289+AD1289</f>
        <v>0</v>
      </c>
      <c r="AF1289" s="82">
        <v>0</v>
      </c>
      <c r="AG1289" s="69">
        <v>40459</v>
      </c>
      <c r="AH1289" s="84"/>
      <c r="AI1289" s="69" t="s">
        <v>1984</v>
      </c>
      <c r="AJ1289" s="25" t="s">
        <v>1985</v>
      </c>
      <c r="AK1289" s="65"/>
      <c r="AL1289" s="176" t="s">
        <v>1257</v>
      </c>
      <c r="AM1289" s="173" t="s">
        <v>2711</v>
      </c>
      <c r="AN1289" s="159"/>
      <c r="AO1289" s="160"/>
      <c r="AP1289" s="161"/>
      <c r="AQ1289" s="160"/>
      <c r="AR1289" s="160"/>
      <c r="AS1289" s="160"/>
      <c r="AT1289" s="160"/>
      <c r="AU1289" s="160"/>
      <c r="AV1289" s="160"/>
      <c r="AW1289" s="160"/>
      <c r="AX1289" s="160"/>
      <c r="AY1289" s="160"/>
      <c r="AZ1289" s="160"/>
      <c r="BA1289" s="160"/>
      <c r="BB1289" s="160"/>
      <c r="BC1289" s="160"/>
      <c r="BD1289" s="160"/>
      <c r="BE1289" s="160"/>
      <c r="BF1289" s="160"/>
      <c r="BG1289" s="160"/>
      <c r="BH1289" s="160"/>
      <c r="BI1289" s="160"/>
      <c r="BJ1289" s="160"/>
      <c r="BK1289" s="160"/>
      <c r="BL1289" s="160"/>
      <c r="BM1289" s="160"/>
      <c r="BN1289" s="160"/>
      <c r="BO1289" s="160"/>
      <c r="BP1289" s="160"/>
      <c r="BQ1289" s="160"/>
      <c r="BR1289" s="160"/>
      <c r="BS1289" s="160"/>
      <c r="BT1289" s="160"/>
      <c r="BU1289" s="160"/>
      <c r="BV1289" s="160"/>
      <c r="BW1289" s="160"/>
      <c r="BX1289" s="160"/>
      <c r="BY1289" s="160"/>
      <c r="BZ1289" s="160"/>
      <c r="CA1289" s="160"/>
      <c r="CB1289" s="160"/>
      <c r="CC1289" s="160"/>
      <c r="CD1289" s="160"/>
      <c r="CE1289" s="160"/>
      <c r="CF1289" s="160"/>
      <c r="CG1289" s="160"/>
      <c r="CH1289" s="160"/>
      <c r="CI1289" s="160"/>
      <c r="CJ1289" s="160"/>
      <c r="CK1289" s="160"/>
      <c r="CL1289" s="160"/>
      <c r="CM1289" s="160"/>
      <c r="CN1289" s="160"/>
      <c r="CO1289" s="160"/>
      <c r="CP1289" s="162"/>
      <c r="CQ1289" s="163"/>
      <c r="CR1289" s="162"/>
      <c r="CS1289" s="163"/>
      <c r="CT1289" s="162"/>
      <c r="CU1289" s="163"/>
      <c r="CV1289" s="164">
        <f t="shared" si="174"/>
        <v>0</v>
      </c>
      <c r="CW1289" s="165"/>
      <c r="CX1289" s="166"/>
      <c r="CY1289" s="167"/>
      <c r="CZ1289" s="168"/>
      <c r="DA1289" s="169"/>
      <c r="DB1289" s="168"/>
      <c r="DC1289" s="165"/>
      <c r="DD1289" s="166"/>
      <c r="DE1289" s="71"/>
      <c r="DF1289" s="170"/>
      <c r="EO1289" s="353" t="str">
        <f t="shared" si="169"/>
        <v>QUINDIO_GENOVA</v>
      </c>
      <c r="EP1289" s="350"/>
      <c r="EQ1289" s="350"/>
      <c r="ER1289" s="357"/>
      <c r="ES1289" s="350"/>
      <c r="ET1289" s="350"/>
      <c r="EU1289" s="350"/>
    </row>
    <row r="1290" spans="1:151" s="171" customFormat="1" ht="51" x14ac:dyDescent="0.2">
      <c r="A1290" s="242">
        <v>40458</v>
      </c>
      <c r="B1290" s="222" t="s">
        <v>828</v>
      </c>
      <c r="C1290" s="222" t="s">
        <v>1248</v>
      </c>
      <c r="D1290" s="427" t="s">
        <v>2307</v>
      </c>
      <c r="E1290" s="107" t="str">
        <f>VLOOKUP(B1290&amp;C1290,Divipola!$C$2:$F$1138,4,FALSE)</f>
        <v>15681</v>
      </c>
      <c r="F1290" s="330"/>
      <c r="G1290" s="221">
        <v>3</v>
      </c>
      <c r="H1290" s="157">
        <v>3</v>
      </c>
      <c r="I1290" s="157"/>
      <c r="J1290" s="157">
        <v>25</v>
      </c>
      <c r="K1290" s="157">
        <v>5</v>
      </c>
      <c r="L1290" s="157">
        <v>5</v>
      </c>
      <c r="M1290" s="157"/>
      <c r="N1290" s="157"/>
      <c r="O1290" s="157"/>
      <c r="P1290" s="157"/>
      <c r="Q1290" s="157"/>
      <c r="R1290" s="157"/>
      <c r="S1290" s="157"/>
      <c r="T1290" s="157"/>
      <c r="U1290" s="157"/>
      <c r="V1290" s="158"/>
      <c r="W1290" s="182"/>
      <c r="X1290" s="1"/>
      <c r="Y1290" s="78">
        <f t="shared" si="171"/>
        <v>0</v>
      </c>
      <c r="Z1290" s="78">
        <f t="shared" si="172"/>
        <v>0</v>
      </c>
      <c r="AA1290" s="78">
        <f t="shared" si="170"/>
        <v>0</v>
      </c>
      <c r="AB1290" s="78">
        <f t="shared" si="173"/>
        <v>0</v>
      </c>
      <c r="AC1290" s="78"/>
      <c r="AD1290" s="78">
        <v>0</v>
      </c>
      <c r="AE1290" s="80">
        <f t="shared" si="175"/>
        <v>0</v>
      </c>
      <c r="AF1290" s="82">
        <v>0</v>
      </c>
      <c r="AG1290" s="69">
        <v>40484</v>
      </c>
      <c r="AH1290" s="84"/>
      <c r="AI1290" s="69" t="s">
        <v>1984</v>
      </c>
      <c r="AJ1290" s="25" t="s">
        <v>1985</v>
      </c>
      <c r="AK1290" s="109"/>
      <c r="AL1290" s="176" t="s">
        <v>1257</v>
      </c>
      <c r="AM1290" s="173" t="s">
        <v>3170</v>
      </c>
      <c r="AN1290" s="159"/>
      <c r="AO1290" s="160"/>
      <c r="AP1290" s="161"/>
      <c r="AQ1290" s="160"/>
      <c r="AR1290" s="160"/>
      <c r="AS1290" s="160"/>
      <c r="AT1290" s="160"/>
      <c r="AU1290" s="160"/>
      <c r="AV1290" s="160"/>
      <c r="AW1290" s="160"/>
      <c r="AX1290" s="160"/>
      <c r="AY1290" s="160"/>
      <c r="AZ1290" s="160"/>
      <c r="BA1290" s="160"/>
      <c r="BB1290" s="160"/>
      <c r="BC1290" s="160"/>
      <c r="BD1290" s="160"/>
      <c r="BE1290" s="160"/>
      <c r="BF1290" s="160"/>
      <c r="BG1290" s="160"/>
      <c r="BH1290" s="160"/>
      <c r="BI1290" s="160"/>
      <c r="BJ1290" s="160"/>
      <c r="BK1290" s="160"/>
      <c r="BL1290" s="160"/>
      <c r="BM1290" s="160"/>
      <c r="BN1290" s="160"/>
      <c r="BO1290" s="160"/>
      <c r="BP1290" s="160"/>
      <c r="BQ1290" s="160"/>
      <c r="BR1290" s="160"/>
      <c r="BS1290" s="160"/>
      <c r="BT1290" s="160"/>
      <c r="BU1290" s="160"/>
      <c r="BV1290" s="160"/>
      <c r="BW1290" s="160"/>
      <c r="BX1290" s="160"/>
      <c r="BY1290" s="160"/>
      <c r="BZ1290" s="160"/>
      <c r="CA1290" s="160"/>
      <c r="CB1290" s="160"/>
      <c r="CC1290" s="160"/>
      <c r="CD1290" s="160"/>
      <c r="CE1290" s="160"/>
      <c r="CF1290" s="160"/>
      <c r="CG1290" s="160"/>
      <c r="CH1290" s="160"/>
      <c r="CI1290" s="160"/>
      <c r="CJ1290" s="160"/>
      <c r="CK1290" s="160"/>
      <c r="CL1290" s="160"/>
      <c r="CM1290" s="160"/>
      <c r="CN1290" s="160"/>
      <c r="CO1290" s="160"/>
      <c r="CP1290" s="162"/>
      <c r="CQ1290" s="163"/>
      <c r="CR1290" s="162"/>
      <c r="CS1290" s="163"/>
      <c r="CT1290" s="162"/>
      <c r="CU1290" s="163"/>
      <c r="CV1290" s="164">
        <f t="shared" si="174"/>
        <v>0</v>
      </c>
      <c r="CW1290" s="165"/>
      <c r="CX1290" s="166"/>
      <c r="CY1290" s="167"/>
      <c r="CZ1290" s="168"/>
      <c r="DA1290" s="169"/>
      <c r="DB1290" s="168"/>
      <c r="DC1290" s="165"/>
      <c r="DD1290" s="166"/>
      <c r="DE1290" s="71"/>
      <c r="DF1290" s="170"/>
      <c r="EO1290" s="353" t="str">
        <f t="shared" si="169"/>
        <v>BOYACA_SAN PABLO DE BORBUR</v>
      </c>
      <c r="EP1290" s="350"/>
      <c r="EQ1290" s="350"/>
      <c r="ER1290" s="357"/>
      <c r="ES1290" s="350"/>
      <c r="ET1290" s="350"/>
      <c r="EU1290" s="350"/>
    </row>
    <row r="1291" spans="1:151" s="171" customFormat="1" ht="25.5" x14ac:dyDescent="0.2">
      <c r="A1291" s="242">
        <v>40458</v>
      </c>
      <c r="B1291" s="222" t="s">
        <v>289</v>
      </c>
      <c r="C1291" s="222" t="s">
        <v>2584</v>
      </c>
      <c r="D1291" s="430" t="s">
        <v>2209</v>
      </c>
      <c r="E1291" s="107" t="str">
        <f>VLOOKUP(B1291&amp;C1291,Divipola!$C$2:$F$1138,4,FALSE)</f>
        <v>17653</v>
      </c>
      <c r="F1291" s="333"/>
      <c r="G1291" s="221"/>
      <c r="H1291" s="157"/>
      <c r="I1291" s="157"/>
      <c r="J1291" s="157">
        <v>75</v>
      </c>
      <c r="K1291" s="157">
        <v>15</v>
      </c>
      <c r="L1291" s="157"/>
      <c r="M1291" s="157">
        <v>15</v>
      </c>
      <c r="N1291" s="157"/>
      <c r="O1291" s="157"/>
      <c r="P1291" s="157"/>
      <c r="Q1291" s="157"/>
      <c r="R1291" s="157"/>
      <c r="S1291" s="157"/>
      <c r="T1291" s="157"/>
      <c r="U1291" s="157"/>
      <c r="V1291" s="158"/>
      <c r="W1291" s="182"/>
      <c r="X1291" s="1"/>
      <c r="Y1291" s="78">
        <f t="shared" si="171"/>
        <v>0</v>
      </c>
      <c r="Z1291" s="78">
        <f t="shared" si="172"/>
        <v>0</v>
      </c>
      <c r="AA1291" s="78">
        <f t="shared" si="170"/>
        <v>0</v>
      </c>
      <c r="AB1291" s="78">
        <f t="shared" si="173"/>
        <v>0</v>
      </c>
      <c r="AC1291" s="78"/>
      <c r="AD1291" s="78">
        <v>0</v>
      </c>
      <c r="AE1291" s="80">
        <f t="shared" si="175"/>
        <v>0</v>
      </c>
      <c r="AF1291" s="82">
        <v>0</v>
      </c>
      <c r="AG1291" s="69">
        <v>40484</v>
      </c>
      <c r="AH1291" s="84"/>
      <c r="AI1291" s="69" t="s">
        <v>2009</v>
      </c>
      <c r="AJ1291" s="25" t="s">
        <v>2010</v>
      </c>
      <c r="AK1291" s="65"/>
      <c r="AL1291" s="184" t="s">
        <v>3833</v>
      </c>
      <c r="AM1291" s="173" t="s">
        <v>1268</v>
      </c>
      <c r="AN1291" s="159"/>
      <c r="AO1291" s="160"/>
      <c r="AP1291" s="161"/>
      <c r="AQ1291" s="160"/>
      <c r="AR1291" s="160"/>
      <c r="AS1291" s="160"/>
      <c r="AT1291" s="160"/>
      <c r="AU1291" s="160"/>
      <c r="AV1291" s="160"/>
      <c r="AW1291" s="160"/>
      <c r="AX1291" s="160"/>
      <c r="AY1291" s="160"/>
      <c r="AZ1291" s="160"/>
      <c r="BA1291" s="160"/>
      <c r="BB1291" s="160"/>
      <c r="BC1291" s="160"/>
      <c r="BD1291" s="160"/>
      <c r="BE1291" s="160"/>
      <c r="BF1291" s="160"/>
      <c r="BG1291" s="160"/>
      <c r="BH1291" s="160"/>
      <c r="BI1291" s="160"/>
      <c r="BJ1291" s="160"/>
      <c r="BK1291" s="160"/>
      <c r="BL1291" s="160"/>
      <c r="BM1291" s="160"/>
      <c r="BN1291" s="160"/>
      <c r="BO1291" s="160"/>
      <c r="BP1291" s="160"/>
      <c r="BQ1291" s="160"/>
      <c r="BR1291" s="160"/>
      <c r="BS1291" s="160"/>
      <c r="BT1291" s="160"/>
      <c r="BU1291" s="160"/>
      <c r="BV1291" s="160"/>
      <c r="BW1291" s="160"/>
      <c r="BX1291" s="160"/>
      <c r="BY1291" s="160"/>
      <c r="BZ1291" s="160"/>
      <c r="CA1291" s="160"/>
      <c r="CB1291" s="160"/>
      <c r="CC1291" s="160"/>
      <c r="CD1291" s="160"/>
      <c r="CE1291" s="160"/>
      <c r="CF1291" s="160"/>
      <c r="CG1291" s="160"/>
      <c r="CH1291" s="160"/>
      <c r="CI1291" s="160"/>
      <c r="CJ1291" s="160"/>
      <c r="CK1291" s="160"/>
      <c r="CL1291" s="160"/>
      <c r="CM1291" s="160"/>
      <c r="CN1291" s="160"/>
      <c r="CO1291" s="160"/>
      <c r="CP1291" s="162"/>
      <c r="CQ1291" s="163"/>
      <c r="CR1291" s="162"/>
      <c r="CS1291" s="163"/>
      <c r="CT1291" s="162"/>
      <c r="CU1291" s="163"/>
      <c r="CV1291" s="164">
        <f t="shared" si="174"/>
        <v>0</v>
      </c>
      <c r="CW1291" s="165"/>
      <c r="CX1291" s="166"/>
      <c r="CY1291" s="167"/>
      <c r="CZ1291" s="168"/>
      <c r="DA1291" s="169"/>
      <c r="DB1291" s="168"/>
      <c r="DC1291" s="165"/>
      <c r="DD1291" s="166"/>
      <c r="DE1291" s="71"/>
      <c r="DF1291" s="170"/>
      <c r="EO1291" s="353" t="str">
        <f t="shared" si="169"/>
        <v>CALDAS_SALAMINA</v>
      </c>
      <c r="EP1291" s="350"/>
      <c r="EQ1291" s="350"/>
      <c r="ER1291" s="357"/>
      <c r="ES1291" s="350"/>
      <c r="ET1291" s="350"/>
      <c r="EU1291" s="350"/>
    </row>
    <row r="1292" spans="1:151" s="171" customFormat="1" ht="84" x14ac:dyDescent="0.2">
      <c r="A1292" s="242">
        <v>40458</v>
      </c>
      <c r="B1292" s="222" t="s">
        <v>2242</v>
      </c>
      <c r="C1292" s="222" t="s">
        <v>1235</v>
      </c>
      <c r="D1292" s="430" t="s">
        <v>837</v>
      </c>
      <c r="E1292" s="107" t="str">
        <f>VLOOKUP(B1292&amp;C1292,Divipola!$C$2:$F$1138,4,FALSE)</f>
        <v>20178</v>
      </c>
      <c r="F1292" s="333"/>
      <c r="G1292" s="221"/>
      <c r="H1292" s="157"/>
      <c r="I1292" s="157"/>
      <c r="J1292" s="157">
        <f>2200*5</f>
        <v>11000</v>
      </c>
      <c r="K1292" s="157">
        <v>2200</v>
      </c>
      <c r="L1292" s="157"/>
      <c r="M1292" s="157">
        <v>2200</v>
      </c>
      <c r="N1292" s="157"/>
      <c r="O1292" s="157"/>
      <c r="P1292" s="157"/>
      <c r="Q1292" s="157"/>
      <c r="R1292" s="157"/>
      <c r="S1292" s="157"/>
      <c r="T1292" s="157"/>
      <c r="U1292" s="157"/>
      <c r="V1292" s="158"/>
      <c r="W1292" s="182" t="s">
        <v>1349</v>
      </c>
      <c r="X1292" s="1">
        <v>40514</v>
      </c>
      <c r="Y1292" s="78">
        <f t="shared" si="171"/>
        <v>14428000</v>
      </c>
      <c r="Z1292" s="78">
        <f t="shared" si="172"/>
        <v>11560000</v>
      </c>
      <c r="AA1292" s="78">
        <f t="shared" si="170"/>
        <v>0</v>
      </c>
      <c r="AB1292" s="78">
        <f t="shared" si="173"/>
        <v>0</v>
      </c>
      <c r="AC1292" s="78">
        <f>200*25520+100*25520+50*17400</f>
        <v>8526000</v>
      </c>
      <c r="AD1292" s="78">
        <v>0</v>
      </c>
      <c r="AE1292" s="80">
        <f t="shared" si="175"/>
        <v>34514000</v>
      </c>
      <c r="AF1292" s="82">
        <v>0</v>
      </c>
      <c r="AG1292" s="69">
        <v>40484</v>
      </c>
      <c r="AH1292" s="84">
        <v>58953</v>
      </c>
      <c r="AI1292" s="69" t="s">
        <v>2009</v>
      </c>
      <c r="AJ1292" s="25" t="s">
        <v>2010</v>
      </c>
      <c r="AK1292" s="88" t="s">
        <v>1498</v>
      </c>
      <c r="AL1292" s="185" t="s">
        <v>2182</v>
      </c>
      <c r="AM1292" s="173" t="s">
        <v>1499</v>
      </c>
      <c r="AN1292" s="159"/>
      <c r="AO1292" s="160"/>
      <c r="AP1292" s="161"/>
      <c r="AQ1292" s="160"/>
      <c r="AR1292" s="160"/>
      <c r="AS1292" s="160"/>
      <c r="AT1292" s="160"/>
      <c r="AU1292" s="160"/>
      <c r="AV1292" s="160"/>
      <c r="AW1292" s="160"/>
      <c r="AX1292" s="160"/>
      <c r="AY1292" s="160"/>
      <c r="AZ1292" s="160"/>
      <c r="BA1292" s="160"/>
      <c r="BB1292" s="160"/>
      <c r="BC1292" s="160"/>
      <c r="BD1292" s="160"/>
      <c r="BE1292" s="160"/>
      <c r="BF1292" s="160"/>
      <c r="BG1292" s="160"/>
      <c r="BH1292" s="160"/>
      <c r="BI1292" s="160"/>
      <c r="BJ1292" s="160"/>
      <c r="BK1292" s="160"/>
      <c r="BL1292" s="160"/>
      <c r="BM1292" s="160"/>
      <c r="BN1292" s="160"/>
      <c r="BO1292" s="160"/>
      <c r="BP1292" s="160"/>
      <c r="BQ1292" s="160"/>
      <c r="BR1292" s="160"/>
      <c r="BS1292" s="160"/>
      <c r="BT1292" s="160"/>
      <c r="BU1292" s="160"/>
      <c r="BV1292" s="160"/>
      <c r="BW1292" s="160"/>
      <c r="BX1292" s="160"/>
      <c r="BY1292" s="160"/>
      <c r="BZ1292" s="160"/>
      <c r="CA1292" s="160"/>
      <c r="CB1292" s="160"/>
      <c r="CC1292" s="160"/>
      <c r="CD1292" s="160"/>
      <c r="CE1292" s="160"/>
      <c r="CF1292" s="160"/>
      <c r="CG1292" s="160"/>
      <c r="CH1292" s="160"/>
      <c r="CI1292" s="160"/>
      <c r="CJ1292" s="160"/>
      <c r="CK1292" s="160"/>
      <c r="CL1292" s="160"/>
      <c r="CM1292" s="160"/>
      <c r="CN1292" s="160">
        <v>250</v>
      </c>
      <c r="CO1292" s="160">
        <f>+CN1292*18000</f>
        <v>4500000</v>
      </c>
      <c r="CP1292" s="162">
        <v>136</v>
      </c>
      <c r="CQ1292" s="163">
        <f>136*37000</f>
        <v>5032000</v>
      </c>
      <c r="CR1292" s="162">
        <v>136</v>
      </c>
      <c r="CS1292" s="163">
        <f>136*36000</f>
        <v>4896000</v>
      </c>
      <c r="CT1292" s="162"/>
      <c r="CU1292" s="163"/>
      <c r="CV1292" s="164">
        <f t="shared" si="174"/>
        <v>14428000</v>
      </c>
      <c r="CW1292" s="165"/>
      <c r="CX1292" s="166"/>
      <c r="CY1292" s="167">
        <v>136</v>
      </c>
      <c r="CZ1292" s="168">
        <f>+CY1292*85000</f>
        <v>11560000</v>
      </c>
      <c r="DA1292" s="169"/>
      <c r="DB1292" s="168"/>
      <c r="DC1292" s="165"/>
      <c r="DD1292" s="166"/>
      <c r="DE1292" s="71"/>
      <c r="DF1292" s="170"/>
      <c r="EO1292" s="353" t="str">
        <f t="shared" si="169"/>
        <v>CESAR_CHIRIGUANA</v>
      </c>
      <c r="EP1292" s="350"/>
      <c r="EQ1292" s="350"/>
      <c r="ER1292" s="357"/>
      <c r="ES1292" s="350"/>
      <c r="ET1292" s="350"/>
      <c r="EU1292" s="350"/>
    </row>
    <row r="1293" spans="1:151" s="171" customFormat="1" ht="45" x14ac:dyDescent="0.2">
      <c r="A1293" s="242">
        <v>40458</v>
      </c>
      <c r="B1293" s="222" t="s">
        <v>1333</v>
      </c>
      <c r="C1293" s="222" t="s">
        <v>2008</v>
      </c>
      <c r="D1293" s="430" t="s">
        <v>250</v>
      </c>
      <c r="E1293" s="107">
        <f>VLOOKUP(B1293&amp;C1293,Divipola!$C$2:$F$1138,4,FALSE)</f>
        <v>41</v>
      </c>
      <c r="F1293" s="333"/>
      <c r="G1293" s="221"/>
      <c r="H1293" s="157"/>
      <c r="I1293" s="157"/>
      <c r="J1293" s="157"/>
      <c r="K1293" s="157"/>
      <c r="L1293" s="157"/>
      <c r="M1293" s="157"/>
      <c r="N1293" s="157"/>
      <c r="O1293" s="157"/>
      <c r="P1293" s="157"/>
      <c r="Q1293" s="157"/>
      <c r="R1293" s="157"/>
      <c r="S1293" s="157"/>
      <c r="T1293" s="157"/>
      <c r="U1293" s="157"/>
      <c r="V1293" s="158"/>
      <c r="W1293" s="182"/>
      <c r="X1293" s="1">
        <v>40487</v>
      </c>
      <c r="Y1293" s="78">
        <f t="shared" si="171"/>
        <v>55050000</v>
      </c>
      <c r="Z1293" s="78">
        <f t="shared" si="172"/>
        <v>42500000</v>
      </c>
      <c r="AA1293" s="78">
        <f t="shared" si="170"/>
        <v>9500000</v>
      </c>
      <c r="AB1293" s="78">
        <f t="shared" si="173"/>
        <v>0</v>
      </c>
      <c r="AC1293" s="78"/>
      <c r="AD1293" s="78">
        <v>0</v>
      </c>
      <c r="AE1293" s="80">
        <f t="shared" si="175"/>
        <v>107050000</v>
      </c>
      <c r="AF1293" s="82">
        <v>0</v>
      </c>
      <c r="AG1293" s="69">
        <v>40458</v>
      </c>
      <c r="AH1293" s="84">
        <v>55432</v>
      </c>
      <c r="AI1293" s="69" t="s">
        <v>2009</v>
      </c>
      <c r="AJ1293" s="25" t="s">
        <v>2010</v>
      </c>
      <c r="AK1293" s="65">
        <v>23516</v>
      </c>
      <c r="AL1293" s="176" t="s">
        <v>2182</v>
      </c>
      <c r="AM1293" s="173" t="s">
        <v>2290</v>
      </c>
      <c r="AN1293" s="159"/>
      <c r="AO1293" s="160"/>
      <c r="AP1293" s="161"/>
      <c r="AQ1293" s="160"/>
      <c r="AR1293" s="160"/>
      <c r="AS1293" s="160"/>
      <c r="AT1293" s="160"/>
      <c r="AU1293" s="160"/>
      <c r="AV1293" s="160">
        <v>250</v>
      </c>
      <c r="AW1293" s="160">
        <f>250*21000</f>
        <v>5250000</v>
      </c>
      <c r="AX1293" s="160"/>
      <c r="AY1293" s="160"/>
      <c r="AZ1293" s="160">
        <v>500</v>
      </c>
      <c r="BA1293" s="160">
        <f>500*52000</f>
        <v>26000000</v>
      </c>
      <c r="BB1293" s="160"/>
      <c r="BC1293" s="160"/>
      <c r="BD1293" s="160"/>
      <c r="BE1293" s="160"/>
      <c r="BF1293" s="160"/>
      <c r="BG1293" s="160"/>
      <c r="BH1293" s="160"/>
      <c r="BI1293" s="160"/>
      <c r="BJ1293" s="160"/>
      <c r="BK1293" s="160"/>
      <c r="BL1293" s="160"/>
      <c r="BM1293" s="160"/>
      <c r="BN1293" s="160"/>
      <c r="BO1293" s="160"/>
      <c r="BP1293" s="160"/>
      <c r="BQ1293" s="160"/>
      <c r="BR1293" s="160"/>
      <c r="BS1293" s="160"/>
      <c r="BT1293" s="160"/>
      <c r="BU1293" s="160"/>
      <c r="BV1293" s="160"/>
      <c r="BW1293" s="160"/>
      <c r="BX1293" s="160"/>
      <c r="BY1293" s="160"/>
      <c r="BZ1293" s="160"/>
      <c r="CA1293" s="160"/>
      <c r="CB1293" s="160"/>
      <c r="CC1293" s="160"/>
      <c r="CD1293" s="160"/>
      <c r="CE1293" s="160"/>
      <c r="CF1293" s="160"/>
      <c r="CG1293" s="160"/>
      <c r="CH1293" s="160"/>
      <c r="CI1293" s="160"/>
      <c r="CJ1293" s="160">
        <v>250</v>
      </c>
      <c r="CK1293" s="160">
        <f>250*21000</f>
        <v>5250000</v>
      </c>
      <c r="CL1293" s="160"/>
      <c r="CM1293" s="160"/>
      <c r="CN1293" s="160"/>
      <c r="CO1293" s="160"/>
      <c r="CP1293" s="162">
        <v>500</v>
      </c>
      <c r="CQ1293" s="163">
        <f>500*37100</f>
        <v>18550000</v>
      </c>
      <c r="CR1293" s="162"/>
      <c r="CS1293" s="163"/>
      <c r="CT1293" s="162"/>
      <c r="CU1293" s="163"/>
      <c r="CV1293" s="164">
        <f t="shared" si="174"/>
        <v>55050000</v>
      </c>
      <c r="CW1293" s="165"/>
      <c r="CX1293" s="166"/>
      <c r="CY1293" s="167">
        <v>500</v>
      </c>
      <c r="CZ1293" s="168">
        <f>500*85000</f>
        <v>42500000</v>
      </c>
      <c r="DA1293" s="169"/>
      <c r="DB1293" s="168"/>
      <c r="DC1293" s="165">
        <v>500</v>
      </c>
      <c r="DD1293" s="166">
        <f>500*19000</f>
        <v>9500000</v>
      </c>
      <c r="DE1293" s="71"/>
      <c r="DF1293" s="170"/>
      <c r="EO1293" s="353" t="str">
        <f t="shared" si="169"/>
        <v>HUILA_DEPARTAMENTO</v>
      </c>
      <c r="EP1293" s="350"/>
      <c r="EQ1293" s="350"/>
      <c r="ER1293" s="357"/>
      <c r="ES1293" s="350"/>
      <c r="ET1293" s="350"/>
      <c r="EU1293" s="350"/>
    </row>
    <row r="1294" spans="1:151" s="171" customFormat="1" ht="48" x14ac:dyDescent="0.2">
      <c r="A1294" s="242">
        <v>40458</v>
      </c>
      <c r="B1294" s="222" t="s">
        <v>2427</v>
      </c>
      <c r="C1294" s="222" t="s">
        <v>2725</v>
      </c>
      <c r="D1294" s="427" t="s">
        <v>2307</v>
      </c>
      <c r="E1294" s="107" t="str">
        <f>VLOOKUP(B1294&amp;C1294,Divipola!$C$2:$F$1138,4,FALSE)</f>
        <v>68468</v>
      </c>
      <c r="F1294" s="330"/>
      <c r="G1294" s="275"/>
      <c r="H1294" s="157"/>
      <c r="I1294" s="157"/>
      <c r="J1294" s="157">
        <f>120*5</f>
        <v>600</v>
      </c>
      <c r="K1294" s="157">
        <v>120</v>
      </c>
      <c r="L1294" s="157">
        <v>86</v>
      </c>
      <c r="M1294" s="157"/>
      <c r="N1294" s="157">
        <v>2</v>
      </c>
      <c r="O1294" s="157">
        <v>1</v>
      </c>
      <c r="P1294" s="157"/>
      <c r="Q1294" s="157">
        <v>2</v>
      </c>
      <c r="R1294" s="157"/>
      <c r="S1294" s="157"/>
      <c r="T1294" s="157">
        <v>1</v>
      </c>
      <c r="U1294" s="157"/>
      <c r="V1294" s="158">
        <v>625</v>
      </c>
      <c r="W1294" s="205" t="s">
        <v>2180</v>
      </c>
      <c r="X1294" s="1"/>
      <c r="Y1294" s="78">
        <f t="shared" si="171"/>
        <v>0</v>
      </c>
      <c r="Z1294" s="78">
        <f t="shared" si="172"/>
        <v>0</v>
      </c>
      <c r="AA1294" s="78">
        <f t="shared" ref="AA1294:AA1325" si="176">DB1294+DD1294</f>
        <v>0</v>
      </c>
      <c r="AB1294" s="78">
        <f t="shared" si="173"/>
        <v>0</v>
      </c>
      <c r="AC1294" s="78"/>
      <c r="AD1294" s="78">
        <v>0</v>
      </c>
      <c r="AE1294" s="80">
        <f t="shared" si="175"/>
        <v>0</v>
      </c>
      <c r="AF1294" s="82">
        <v>0</v>
      </c>
      <c r="AG1294" s="69">
        <v>40462</v>
      </c>
      <c r="AH1294" s="84"/>
      <c r="AI1294" s="69" t="s">
        <v>2009</v>
      </c>
      <c r="AJ1294" s="25" t="s">
        <v>2010</v>
      </c>
      <c r="AK1294" s="65"/>
      <c r="AL1294" s="184" t="s">
        <v>2663</v>
      </c>
      <c r="AM1294" s="173" t="s">
        <v>1806</v>
      </c>
      <c r="AN1294" s="159"/>
      <c r="AO1294" s="160"/>
      <c r="AP1294" s="161"/>
      <c r="AQ1294" s="160"/>
      <c r="AR1294" s="160"/>
      <c r="AS1294" s="160"/>
      <c r="AT1294" s="160"/>
      <c r="AU1294" s="160"/>
      <c r="AV1294" s="160"/>
      <c r="AW1294" s="160"/>
      <c r="AX1294" s="160"/>
      <c r="AY1294" s="160"/>
      <c r="AZ1294" s="160"/>
      <c r="BA1294" s="160"/>
      <c r="BB1294" s="160"/>
      <c r="BC1294" s="160"/>
      <c r="BD1294" s="160"/>
      <c r="BE1294" s="160"/>
      <c r="BF1294" s="160"/>
      <c r="BG1294" s="160"/>
      <c r="BH1294" s="160"/>
      <c r="BI1294" s="160"/>
      <c r="BJ1294" s="160"/>
      <c r="BK1294" s="160"/>
      <c r="BL1294" s="160"/>
      <c r="BM1294" s="160"/>
      <c r="BN1294" s="160"/>
      <c r="BO1294" s="160"/>
      <c r="BP1294" s="160"/>
      <c r="BQ1294" s="160"/>
      <c r="BR1294" s="160"/>
      <c r="BS1294" s="160"/>
      <c r="BT1294" s="160"/>
      <c r="BU1294" s="160"/>
      <c r="BV1294" s="160"/>
      <c r="BW1294" s="160"/>
      <c r="BX1294" s="160"/>
      <c r="BY1294" s="160"/>
      <c r="BZ1294" s="160"/>
      <c r="CA1294" s="160"/>
      <c r="CB1294" s="160"/>
      <c r="CC1294" s="160"/>
      <c r="CD1294" s="160"/>
      <c r="CE1294" s="160"/>
      <c r="CF1294" s="160"/>
      <c r="CG1294" s="160"/>
      <c r="CH1294" s="160"/>
      <c r="CI1294" s="160"/>
      <c r="CJ1294" s="160"/>
      <c r="CK1294" s="160"/>
      <c r="CL1294" s="160"/>
      <c r="CM1294" s="160"/>
      <c r="CN1294" s="160"/>
      <c r="CO1294" s="160"/>
      <c r="CP1294" s="162"/>
      <c r="CQ1294" s="163"/>
      <c r="CR1294" s="162"/>
      <c r="CS1294" s="163"/>
      <c r="CT1294" s="162"/>
      <c r="CU1294" s="163"/>
      <c r="CV1294" s="164">
        <f t="shared" si="174"/>
        <v>0</v>
      </c>
      <c r="CW1294" s="165"/>
      <c r="CX1294" s="166"/>
      <c r="CY1294" s="167"/>
      <c r="CZ1294" s="168"/>
      <c r="DA1294" s="169"/>
      <c r="DB1294" s="168"/>
      <c r="DC1294" s="165"/>
      <c r="DD1294" s="166"/>
      <c r="DE1294" s="71"/>
      <c r="DF1294" s="170"/>
      <c r="EO1294" s="353" t="str">
        <f t="shared" si="169"/>
        <v>SANTANDER_MOLAGAVITA</v>
      </c>
      <c r="EP1294" s="350"/>
      <c r="EQ1294" s="350"/>
      <c r="ER1294" s="357"/>
      <c r="ES1294" s="350"/>
      <c r="ET1294" s="350"/>
      <c r="EU1294" s="350"/>
    </row>
    <row r="1295" spans="1:151" s="171" customFormat="1" ht="25.5" x14ac:dyDescent="0.2">
      <c r="A1295" s="242">
        <v>40458</v>
      </c>
      <c r="B1295" s="222" t="s">
        <v>2791</v>
      </c>
      <c r="C1295" s="222" t="s">
        <v>2706</v>
      </c>
      <c r="D1295" s="430" t="s">
        <v>837</v>
      </c>
      <c r="E1295" s="107" t="str">
        <f>VLOOKUP(B1295&amp;C1295,Divipola!$C$2:$F$1138,4,FALSE)</f>
        <v>73168</v>
      </c>
      <c r="F1295" s="333"/>
      <c r="G1295" s="221"/>
      <c r="H1295" s="157"/>
      <c r="I1295" s="157"/>
      <c r="J1295" s="157">
        <f>680*5</f>
        <v>3400</v>
      </c>
      <c r="K1295" s="157">
        <v>680</v>
      </c>
      <c r="L1295" s="157">
        <v>16</v>
      </c>
      <c r="M1295" s="157">
        <f>32+22</f>
        <v>54</v>
      </c>
      <c r="N1295" s="157"/>
      <c r="O1295" s="157"/>
      <c r="P1295" s="157">
        <v>10</v>
      </c>
      <c r="Q1295" s="157"/>
      <c r="R1295" s="157"/>
      <c r="S1295" s="157"/>
      <c r="T1295" s="157"/>
      <c r="U1295" s="157"/>
      <c r="V1295" s="158">
        <v>188.75</v>
      </c>
      <c r="W1295" s="182"/>
      <c r="X1295" s="1"/>
      <c r="Y1295" s="78">
        <f t="shared" si="171"/>
        <v>0</v>
      </c>
      <c r="Z1295" s="78">
        <f t="shared" si="172"/>
        <v>0</v>
      </c>
      <c r="AA1295" s="78">
        <f t="shared" si="176"/>
        <v>0</v>
      </c>
      <c r="AB1295" s="78">
        <f t="shared" si="173"/>
        <v>0</v>
      </c>
      <c r="AC1295" s="78"/>
      <c r="AD1295" s="78">
        <v>0</v>
      </c>
      <c r="AE1295" s="80">
        <f t="shared" si="175"/>
        <v>0</v>
      </c>
      <c r="AF1295" s="82">
        <v>0</v>
      </c>
      <c r="AG1295" s="69">
        <v>40458</v>
      </c>
      <c r="AH1295" s="84"/>
      <c r="AI1295" s="69" t="s">
        <v>1984</v>
      </c>
      <c r="AJ1295" s="25" t="s">
        <v>1985</v>
      </c>
      <c r="AK1295" s="65"/>
      <c r="AL1295" s="176" t="s">
        <v>1257</v>
      </c>
      <c r="AM1295" s="173" t="s">
        <v>2707</v>
      </c>
      <c r="AN1295" s="159"/>
      <c r="AO1295" s="160"/>
      <c r="AP1295" s="161"/>
      <c r="AQ1295" s="160"/>
      <c r="AR1295" s="160"/>
      <c r="AS1295" s="160"/>
      <c r="AT1295" s="160"/>
      <c r="AU1295" s="160"/>
      <c r="AV1295" s="160"/>
      <c r="AW1295" s="160"/>
      <c r="AX1295" s="160"/>
      <c r="AY1295" s="160"/>
      <c r="AZ1295" s="160"/>
      <c r="BA1295" s="160"/>
      <c r="BB1295" s="160"/>
      <c r="BC1295" s="160"/>
      <c r="BD1295" s="160"/>
      <c r="BE1295" s="160"/>
      <c r="BF1295" s="160"/>
      <c r="BG1295" s="160"/>
      <c r="BH1295" s="160"/>
      <c r="BI1295" s="160"/>
      <c r="BJ1295" s="160"/>
      <c r="BK1295" s="160"/>
      <c r="BL1295" s="160"/>
      <c r="BM1295" s="160"/>
      <c r="BN1295" s="160"/>
      <c r="BO1295" s="160"/>
      <c r="BP1295" s="160"/>
      <c r="BQ1295" s="160"/>
      <c r="BR1295" s="160"/>
      <c r="BS1295" s="160"/>
      <c r="BT1295" s="160"/>
      <c r="BU1295" s="160"/>
      <c r="BV1295" s="160"/>
      <c r="BW1295" s="160"/>
      <c r="BX1295" s="160"/>
      <c r="BY1295" s="160"/>
      <c r="BZ1295" s="160"/>
      <c r="CA1295" s="160"/>
      <c r="CB1295" s="160"/>
      <c r="CC1295" s="160"/>
      <c r="CD1295" s="160"/>
      <c r="CE1295" s="160"/>
      <c r="CF1295" s="160"/>
      <c r="CG1295" s="160"/>
      <c r="CH1295" s="160"/>
      <c r="CI1295" s="160"/>
      <c r="CJ1295" s="160"/>
      <c r="CK1295" s="160"/>
      <c r="CL1295" s="160"/>
      <c r="CM1295" s="160"/>
      <c r="CN1295" s="160"/>
      <c r="CO1295" s="160"/>
      <c r="CP1295" s="162"/>
      <c r="CQ1295" s="163"/>
      <c r="CR1295" s="162"/>
      <c r="CS1295" s="163"/>
      <c r="CT1295" s="162"/>
      <c r="CU1295" s="163"/>
      <c r="CV1295" s="164">
        <f t="shared" si="174"/>
        <v>0</v>
      </c>
      <c r="CW1295" s="165"/>
      <c r="CX1295" s="166"/>
      <c r="CY1295" s="167"/>
      <c r="CZ1295" s="168"/>
      <c r="DA1295" s="169"/>
      <c r="DB1295" s="168"/>
      <c r="DC1295" s="165"/>
      <c r="DD1295" s="166"/>
      <c r="DE1295" s="71"/>
      <c r="DF1295" s="170"/>
      <c r="EO1295" s="353" t="str">
        <f t="shared" si="169"/>
        <v>TOLIMA_CHAPARRAL</v>
      </c>
      <c r="EP1295" s="350"/>
      <c r="EQ1295" s="350"/>
      <c r="ER1295" s="357"/>
      <c r="ES1295" s="350"/>
      <c r="ET1295" s="350"/>
      <c r="EU1295" s="350"/>
    </row>
    <row r="1296" spans="1:151" s="171" customFormat="1" ht="25.5" x14ac:dyDescent="0.2">
      <c r="A1296" s="242">
        <v>40458</v>
      </c>
      <c r="B1296" s="222" t="s">
        <v>2791</v>
      </c>
      <c r="C1296" s="222" t="s">
        <v>2703</v>
      </c>
      <c r="D1296" s="430" t="s">
        <v>837</v>
      </c>
      <c r="E1296" s="107" t="str">
        <f>VLOOKUP(B1296&amp;C1296,Divipola!$C$2:$F$1138,4,FALSE)</f>
        <v>73270</v>
      </c>
      <c r="F1296" s="333"/>
      <c r="G1296" s="221"/>
      <c r="H1296" s="157"/>
      <c r="I1296" s="157"/>
      <c r="J1296" s="157">
        <v>387</v>
      </c>
      <c r="K1296" s="157">
        <v>86</v>
      </c>
      <c r="L1296" s="157">
        <v>3</v>
      </c>
      <c r="M1296" s="157">
        <f>43+11</f>
        <v>54</v>
      </c>
      <c r="N1296" s="157">
        <v>9</v>
      </c>
      <c r="O1296" s="157"/>
      <c r="P1296" s="157">
        <v>1</v>
      </c>
      <c r="Q1296" s="157">
        <v>2</v>
      </c>
      <c r="R1296" s="157"/>
      <c r="S1296" s="157"/>
      <c r="T1296" s="157"/>
      <c r="U1296" s="157"/>
      <c r="V1296" s="158">
        <v>7</v>
      </c>
      <c r="W1296" s="182"/>
      <c r="X1296" s="1"/>
      <c r="Y1296" s="78">
        <f t="shared" si="171"/>
        <v>0</v>
      </c>
      <c r="Z1296" s="78">
        <f t="shared" si="172"/>
        <v>0</v>
      </c>
      <c r="AA1296" s="78">
        <f t="shared" si="176"/>
        <v>0</v>
      </c>
      <c r="AB1296" s="78">
        <f t="shared" si="173"/>
        <v>0</v>
      </c>
      <c r="AC1296" s="78"/>
      <c r="AD1296" s="78">
        <v>0</v>
      </c>
      <c r="AE1296" s="80">
        <f t="shared" si="175"/>
        <v>0</v>
      </c>
      <c r="AF1296" s="82">
        <v>0</v>
      </c>
      <c r="AG1296" s="69">
        <v>40458</v>
      </c>
      <c r="AH1296" s="84"/>
      <c r="AI1296" s="69" t="s">
        <v>1984</v>
      </c>
      <c r="AJ1296" s="25" t="s">
        <v>1985</v>
      </c>
      <c r="AK1296" s="65"/>
      <c r="AL1296" s="176" t="s">
        <v>1257</v>
      </c>
      <c r="AM1296" s="173" t="s">
        <v>1268</v>
      </c>
      <c r="AN1296" s="159"/>
      <c r="AO1296" s="160"/>
      <c r="AP1296" s="161"/>
      <c r="AQ1296" s="160"/>
      <c r="AR1296" s="160"/>
      <c r="AS1296" s="160"/>
      <c r="AT1296" s="160"/>
      <c r="AU1296" s="160"/>
      <c r="AV1296" s="160"/>
      <c r="AW1296" s="160"/>
      <c r="AX1296" s="160"/>
      <c r="AY1296" s="160"/>
      <c r="AZ1296" s="160"/>
      <c r="BA1296" s="160"/>
      <c r="BB1296" s="160"/>
      <c r="BC1296" s="160"/>
      <c r="BD1296" s="160"/>
      <c r="BE1296" s="160"/>
      <c r="BF1296" s="160"/>
      <c r="BG1296" s="160"/>
      <c r="BH1296" s="160"/>
      <c r="BI1296" s="160"/>
      <c r="BJ1296" s="160"/>
      <c r="BK1296" s="160"/>
      <c r="BL1296" s="160"/>
      <c r="BM1296" s="160"/>
      <c r="BN1296" s="160"/>
      <c r="BO1296" s="160"/>
      <c r="BP1296" s="160"/>
      <c r="BQ1296" s="160"/>
      <c r="BR1296" s="160"/>
      <c r="BS1296" s="160"/>
      <c r="BT1296" s="160"/>
      <c r="BU1296" s="160"/>
      <c r="BV1296" s="160"/>
      <c r="BW1296" s="160"/>
      <c r="BX1296" s="160"/>
      <c r="BY1296" s="160"/>
      <c r="BZ1296" s="160"/>
      <c r="CA1296" s="160"/>
      <c r="CB1296" s="160"/>
      <c r="CC1296" s="160"/>
      <c r="CD1296" s="160"/>
      <c r="CE1296" s="160"/>
      <c r="CF1296" s="160"/>
      <c r="CG1296" s="160"/>
      <c r="CH1296" s="160"/>
      <c r="CI1296" s="160"/>
      <c r="CJ1296" s="160"/>
      <c r="CK1296" s="160"/>
      <c r="CL1296" s="160"/>
      <c r="CM1296" s="160"/>
      <c r="CN1296" s="160"/>
      <c r="CO1296" s="160"/>
      <c r="CP1296" s="162"/>
      <c r="CQ1296" s="163"/>
      <c r="CR1296" s="162"/>
      <c r="CS1296" s="163"/>
      <c r="CT1296" s="162"/>
      <c r="CU1296" s="163"/>
      <c r="CV1296" s="164">
        <f t="shared" si="174"/>
        <v>0</v>
      </c>
      <c r="CW1296" s="165"/>
      <c r="CX1296" s="166"/>
      <c r="CY1296" s="167"/>
      <c r="CZ1296" s="168"/>
      <c r="DA1296" s="169"/>
      <c r="DB1296" s="168"/>
      <c r="DC1296" s="165"/>
      <c r="DD1296" s="166"/>
      <c r="DE1296" s="71"/>
      <c r="DF1296" s="170"/>
      <c r="EO1296" s="353" t="str">
        <f t="shared" si="169"/>
        <v>TOLIMA_FALAN</v>
      </c>
      <c r="EP1296" s="350"/>
      <c r="EQ1296" s="350"/>
      <c r="ER1296" s="357"/>
      <c r="ES1296" s="350"/>
      <c r="ET1296" s="350"/>
      <c r="EU1296" s="350"/>
    </row>
    <row r="1297" spans="1:151" s="171" customFormat="1" ht="36" x14ac:dyDescent="0.2">
      <c r="A1297" s="242">
        <v>40458</v>
      </c>
      <c r="B1297" s="222" t="s">
        <v>2791</v>
      </c>
      <c r="C1297" s="222" t="s">
        <v>2704</v>
      </c>
      <c r="D1297" s="427" t="s">
        <v>2307</v>
      </c>
      <c r="E1297" s="107" t="str">
        <f>VLOOKUP(B1297&amp;C1297,Divipola!$C$2:$F$1138,4,FALSE)</f>
        <v>73520</v>
      </c>
      <c r="F1297" s="330"/>
      <c r="G1297" s="221"/>
      <c r="H1297" s="157"/>
      <c r="I1297" s="157"/>
      <c r="J1297" s="157">
        <f>181*5</f>
        <v>905</v>
      </c>
      <c r="K1297" s="157">
        <f>200-19</f>
        <v>181</v>
      </c>
      <c r="L1297" s="157">
        <v>3</v>
      </c>
      <c r="M1297" s="157">
        <v>8</v>
      </c>
      <c r="N1297" s="157">
        <v>1</v>
      </c>
      <c r="O1297" s="157"/>
      <c r="P1297" s="157"/>
      <c r="Q1297" s="157"/>
      <c r="R1297" s="157"/>
      <c r="S1297" s="157"/>
      <c r="T1297" s="157"/>
      <c r="U1297" s="157"/>
      <c r="V1297" s="158">
        <v>1332</v>
      </c>
      <c r="W1297" s="182"/>
      <c r="X1297" s="1"/>
      <c r="Y1297" s="78">
        <f t="shared" si="171"/>
        <v>0</v>
      </c>
      <c r="Z1297" s="78">
        <f t="shared" si="172"/>
        <v>0</v>
      </c>
      <c r="AA1297" s="78">
        <f t="shared" si="176"/>
        <v>0</v>
      </c>
      <c r="AB1297" s="78">
        <f t="shared" si="173"/>
        <v>0</v>
      </c>
      <c r="AC1297" s="78"/>
      <c r="AD1297" s="78">
        <v>0</v>
      </c>
      <c r="AE1297" s="80">
        <f t="shared" si="175"/>
        <v>0</v>
      </c>
      <c r="AF1297" s="82">
        <v>0</v>
      </c>
      <c r="AG1297" s="69">
        <v>40458</v>
      </c>
      <c r="AH1297" s="84"/>
      <c r="AI1297" s="69" t="s">
        <v>1984</v>
      </c>
      <c r="AJ1297" s="25" t="s">
        <v>1985</v>
      </c>
      <c r="AK1297" s="65"/>
      <c r="AL1297" s="176" t="s">
        <v>1257</v>
      </c>
      <c r="AM1297" s="173" t="s">
        <v>2705</v>
      </c>
      <c r="AN1297" s="159"/>
      <c r="AO1297" s="160"/>
      <c r="AP1297" s="161"/>
      <c r="AQ1297" s="160"/>
      <c r="AR1297" s="160"/>
      <c r="AS1297" s="160"/>
      <c r="AT1297" s="160"/>
      <c r="AU1297" s="160"/>
      <c r="AV1297" s="160"/>
      <c r="AW1297" s="160"/>
      <c r="AX1297" s="160"/>
      <c r="AY1297" s="160"/>
      <c r="AZ1297" s="160"/>
      <c r="BA1297" s="160"/>
      <c r="BB1297" s="160"/>
      <c r="BC1297" s="160"/>
      <c r="BD1297" s="160"/>
      <c r="BE1297" s="160"/>
      <c r="BF1297" s="160"/>
      <c r="BG1297" s="160"/>
      <c r="BH1297" s="160"/>
      <c r="BI1297" s="160"/>
      <c r="BJ1297" s="160"/>
      <c r="BK1297" s="160"/>
      <c r="BL1297" s="160"/>
      <c r="BM1297" s="160"/>
      <c r="BN1297" s="160"/>
      <c r="BO1297" s="160"/>
      <c r="BP1297" s="160"/>
      <c r="BQ1297" s="160"/>
      <c r="BR1297" s="160"/>
      <c r="BS1297" s="160"/>
      <c r="BT1297" s="160"/>
      <c r="BU1297" s="160"/>
      <c r="BV1297" s="160"/>
      <c r="BW1297" s="160"/>
      <c r="BX1297" s="160"/>
      <c r="BY1297" s="160"/>
      <c r="BZ1297" s="160"/>
      <c r="CA1297" s="160"/>
      <c r="CB1297" s="160"/>
      <c r="CC1297" s="160"/>
      <c r="CD1297" s="160"/>
      <c r="CE1297" s="160"/>
      <c r="CF1297" s="160"/>
      <c r="CG1297" s="160"/>
      <c r="CH1297" s="160"/>
      <c r="CI1297" s="160"/>
      <c r="CJ1297" s="160"/>
      <c r="CK1297" s="160"/>
      <c r="CL1297" s="160"/>
      <c r="CM1297" s="160"/>
      <c r="CN1297" s="160"/>
      <c r="CO1297" s="160"/>
      <c r="CP1297" s="162"/>
      <c r="CQ1297" s="163"/>
      <c r="CR1297" s="162"/>
      <c r="CS1297" s="163"/>
      <c r="CT1297" s="162"/>
      <c r="CU1297" s="163"/>
      <c r="CV1297" s="164">
        <f t="shared" si="174"/>
        <v>0</v>
      </c>
      <c r="CW1297" s="165"/>
      <c r="CX1297" s="166"/>
      <c r="CY1297" s="167"/>
      <c r="CZ1297" s="168"/>
      <c r="DA1297" s="169"/>
      <c r="DB1297" s="168"/>
      <c r="DC1297" s="165"/>
      <c r="DD1297" s="166"/>
      <c r="DE1297" s="71"/>
      <c r="DF1297" s="170"/>
      <c r="EO1297" s="353" t="str">
        <f t="shared" si="169"/>
        <v>TOLIMA_PALOCABILDO</v>
      </c>
      <c r="EP1297" s="350"/>
      <c r="EQ1297" s="350"/>
      <c r="ER1297" s="357"/>
      <c r="ES1297" s="350"/>
      <c r="ET1297" s="350"/>
      <c r="EU1297" s="350"/>
    </row>
    <row r="1298" spans="1:151" s="171" customFormat="1" ht="38.25" x14ac:dyDescent="0.2">
      <c r="A1298" s="246">
        <v>40459</v>
      </c>
      <c r="B1298" s="280" t="s">
        <v>2401</v>
      </c>
      <c r="C1298" s="280" t="s">
        <v>3937</v>
      </c>
      <c r="D1298" s="432" t="s">
        <v>837</v>
      </c>
      <c r="E1298" s="107" t="str">
        <f>VLOOKUP(B1298&amp;C1298,Divipola!$C$2:$F$1138,4,FALSE)</f>
        <v>05264</v>
      </c>
      <c r="F1298" s="337"/>
      <c r="G1298" s="221"/>
      <c r="H1298" s="157"/>
      <c r="I1298" s="157"/>
      <c r="J1298" s="157">
        <v>100</v>
      </c>
      <c r="K1298" s="157">
        <v>20</v>
      </c>
      <c r="L1298" s="157"/>
      <c r="M1298" s="157">
        <v>20</v>
      </c>
      <c r="N1298" s="157"/>
      <c r="O1298" s="157"/>
      <c r="P1298" s="157"/>
      <c r="Q1298" s="157"/>
      <c r="R1298" s="157"/>
      <c r="S1298" s="157"/>
      <c r="T1298" s="157"/>
      <c r="U1298" s="157"/>
      <c r="V1298" s="158"/>
      <c r="W1298" s="182" t="s">
        <v>2720</v>
      </c>
      <c r="X1298" s="1"/>
      <c r="Y1298" s="78">
        <f t="shared" si="171"/>
        <v>0</v>
      </c>
      <c r="Z1298" s="78">
        <f t="shared" si="172"/>
        <v>0</v>
      </c>
      <c r="AA1298" s="78">
        <f t="shared" si="176"/>
        <v>0</v>
      </c>
      <c r="AB1298" s="78">
        <f t="shared" si="173"/>
        <v>0</v>
      </c>
      <c r="AC1298" s="78"/>
      <c r="AD1298" s="78">
        <v>0</v>
      </c>
      <c r="AE1298" s="80">
        <f t="shared" si="175"/>
        <v>0</v>
      </c>
      <c r="AF1298" s="82">
        <v>0</v>
      </c>
      <c r="AG1298" s="69">
        <v>40462</v>
      </c>
      <c r="AH1298" s="84"/>
      <c r="AI1298" s="69" t="s">
        <v>1984</v>
      </c>
      <c r="AJ1298" s="25" t="s">
        <v>1985</v>
      </c>
      <c r="AK1298" s="65"/>
      <c r="AL1298" s="176" t="s">
        <v>1257</v>
      </c>
      <c r="AM1298" s="173" t="s">
        <v>2719</v>
      </c>
      <c r="AN1298" s="159"/>
      <c r="AO1298" s="160"/>
      <c r="AP1298" s="161"/>
      <c r="AQ1298" s="160"/>
      <c r="AR1298" s="160"/>
      <c r="AS1298" s="160"/>
      <c r="AT1298" s="160"/>
      <c r="AU1298" s="160"/>
      <c r="AV1298" s="160"/>
      <c r="AW1298" s="160"/>
      <c r="AX1298" s="160"/>
      <c r="AY1298" s="160"/>
      <c r="AZ1298" s="160"/>
      <c r="BA1298" s="160"/>
      <c r="BB1298" s="160"/>
      <c r="BC1298" s="160"/>
      <c r="BD1298" s="160"/>
      <c r="BE1298" s="160"/>
      <c r="BF1298" s="160"/>
      <c r="BG1298" s="160"/>
      <c r="BH1298" s="160"/>
      <c r="BI1298" s="160"/>
      <c r="BJ1298" s="160"/>
      <c r="BK1298" s="160"/>
      <c r="BL1298" s="160"/>
      <c r="BM1298" s="160"/>
      <c r="BN1298" s="160"/>
      <c r="BO1298" s="160"/>
      <c r="BP1298" s="160"/>
      <c r="BQ1298" s="160"/>
      <c r="BR1298" s="160"/>
      <c r="BS1298" s="160"/>
      <c r="BT1298" s="160"/>
      <c r="BU1298" s="160"/>
      <c r="BV1298" s="160"/>
      <c r="BW1298" s="160"/>
      <c r="BX1298" s="160"/>
      <c r="BY1298" s="160"/>
      <c r="BZ1298" s="160"/>
      <c r="CA1298" s="160"/>
      <c r="CB1298" s="160"/>
      <c r="CC1298" s="160"/>
      <c r="CD1298" s="160"/>
      <c r="CE1298" s="160"/>
      <c r="CF1298" s="160"/>
      <c r="CG1298" s="160"/>
      <c r="CH1298" s="160"/>
      <c r="CI1298" s="160"/>
      <c r="CJ1298" s="160"/>
      <c r="CK1298" s="160"/>
      <c r="CL1298" s="160"/>
      <c r="CM1298" s="160"/>
      <c r="CN1298" s="160"/>
      <c r="CO1298" s="160"/>
      <c r="CP1298" s="162"/>
      <c r="CQ1298" s="163"/>
      <c r="CR1298" s="162"/>
      <c r="CS1298" s="163"/>
      <c r="CT1298" s="162"/>
      <c r="CU1298" s="163"/>
      <c r="CV1298" s="164">
        <f t="shared" si="174"/>
        <v>0</v>
      </c>
      <c r="CW1298" s="165"/>
      <c r="CX1298" s="166"/>
      <c r="CY1298" s="167"/>
      <c r="CZ1298" s="168"/>
      <c r="DA1298" s="169"/>
      <c r="DB1298" s="168"/>
      <c r="DC1298" s="165"/>
      <c r="DD1298" s="166"/>
      <c r="DE1298" s="71"/>
      <c r="DF1298" s="170"/>
      <c r="EO1298" s="353" t="str">
        <f t="shared" si="169"/>
        <v>ANTIOQUIA_ENTRERRIOS</v>
      </c>
      <c r="EP1298" s="350"/>
      <c r="EQ1298" s="350"/>
      <c r="ER1298" s="357"/>
      <c r="ES1298" s="350"/>
      <c r="ET1298" s="350"/>
      <c r="EU1298" s="350"/>
    </row>
    <row r="1299" spans="1:151" s="171" customFormat="1" ht="25.5" x14ac:dyDescent="0.2">
      <c r="A1299" s="246">
        <v>40459</v>
      </c>
      <c r="B1299" s="280" t="s">
        <v>2401</v>
      </c>
      <c r="C1299" s="280" t="s">
        <v>2234</v>
      </c>
      <c r="D1299" s="432" t="s">
        <v>837</v>
      </c>
      <c r="E1299" s="107" t="str">
        <f>VLOOKUP(B1299&amp;C1299,Divipola!$C$2:$F$1138,4,FALSE)</f>
        <v>05282</v>
      </c>
      <c r="F1299" s="337"/>
      <c r="G1299" s="221"/>
      <c r="H1299" s="157"/>
      <c r="I1299" s="157"/>
      <c r="J1299" s="157">
        <v>60</v>
      </c>
      <c r="K1299" s="157">
        <v>17</v>
      </c>
      <c r="L1299" s="157">
        <v>17</v>
      </c>
      <c r="M1299" s="157"/>
      <c r="N1299" s="157"/>
      <c r="O1299" s="157"/>
      <c r="P1299" s="157"/>
      <c r="Q1299" s="157"/>
      <c r="R1299" s="157"/>
      <c r="S1299" s="157"/>
      <c r="T1299" s="157"/>
      <c r="U1299" s="157"/>
      <c r="V1299" s="158"/>
      <c r="W1299" s="182"/>
      <c r="X1299" s="1"/>
      <c r="Y1299" s="78">
        <f t="shared" si="171"/>
        <v>0</v>
      </c>
      <c r="Z1299" s="78">
        <f t="shared" si="172"/>
        <v>0</v>
      </c>
      <c r="AA1299" s="78">
        <f t="shared" si="176"/>
        <v>0</v>
      </c>
      <c r="AB1299" s="78">
        <f t="shared" si="173"/>
        <v>0</v>
      </c>
      <c r="AC1299" s="78"/>
      <c r="AD1299" s="78">
        <v>0</v>
      </c>
      <c r="AE1299" s="80">
        <f t="shared" si="175"/>
        <v>0</v>
      </c>
      <c r="AF1299" s="82">
        <v>0</v>
      </c>
      <c r="AG1299" s="69">
        <v>40462</v>
      </c>
      <c r="AH1299" s="84"/>
      <c r="AI1299" s="69" t="s">
        <v>1984</v>
      </c>
      <c r="AJ1299" s="25" t="s">
        <v>1985</v>
      </c>
      <c r="AK1299" s="65"/>
      <c r="AL1299" s="176" t="s">
        <v>1257</v>
      </c>
      <c r="AM1299" s="173" t="s">
        <v>2721</v>
      </c>
      <c r="AN1299" s="159"/>
      <c r="AO1299" s="160"/>
      <c r="AP1299" s="161"/>
      <c r="AQ1299" s="160"/>
      <c r="AR1299" s="160"/>
      <c r="AS1299" s="160"/>
      <c r="AT1299" s="160"/>
      <c r="AU1299" s="160"/>
      <c r="AV1299" s="160"/>
      <c r="AW1299" s="160"/>
      <c r="AX1299" s="160"/>
      <c r="AY1299" s="160"/>
      <c r="AZ1299" s="160"/>
      <c r="BA1299" s="160"/>
      <c r="BB1299" s="160"/>
      <c r="BC1299" s="160"/>
      <c r="BD1299" s="160"/>
      <c r="BE1299" s="160"/>
      <c r="BF1299" s="160"/>
      <c r="BG1299" s="160"/>
      <c r="BH1299" s="160"/>
      <c r="BI1299" s="160"/>
      <c r="BJ1299" s="160"/>
      <c r="BK1299" s="160"/>
      <c r="BL1299" s="160"/>
      <c r="BM1299" s="160"/>
      <c r="BN1299" s="160"/>
      <c r="BO1299" s="160"/>
      <c r="BP1299" s="160"/>
      <c r="BQ1299" s="160"/>
      <c r="BR1299" s="160"/>
      <c r="BS1299" s="160"/>
      <c r="BT1299" s="160"/>
      <c r="BU1299" s="160"/>
      <c r="BV1299" s="160"/>
      <c r="BW1299" s="160"/>
      <c r="BX1299" s="160"/>
      <c r="BY1299" s="160"/>
      <c r="BZ1299" s="160"/>
      <c r="CA1299" s="160"/>
      <c r="CB1299" s="160"/>
      <c r="CC1299" s="160"/>
      <c r="CD1299" s="160"/>
      <c r="CE1299" s="160"/>
      <c r="CF1299" s="160"/>
      <c r="CG1299" s="160"/>
      <c r="CH1299" s="160"/>
      <c r="CI1299" s="160"/>
      <c r="CJ1299" s="160"/>
      <c r="CK1299" s="160"/>
      <c r="CL1299" s="160"/>
      <c r="CM1299" s="160"/>
      <c r="CN1299" s="160"/>
      <c r="CO1299" s="160"/>
      <c r="CP1299" s="162"/>
      <c r="CQ1299" s="163"/>
      <c r="CR1299" s="162"/>
      <c r="CS1299" s="163"/>
      <c r="CT1299" s="162"/>
      <c r="CU1299" s="163"/>
      <c r="CV1299" s="164">
        <f t="shared" si="174"/>
        <v>0</v>
      </c>
      <c r="CW1299" s="165"/>
      <c r="CX1299" s="166"/>
      <c r="CY1299" s="167"/>
      <c r="CZ1299" s="168"/>
      <c r="DA1299" s="169"/>
      <c r="DB1299" s="168"/>
      <c r="DC1299" s="165"/>
      <c r="DD1299" s="166"/>
      <c r="DE1299" s="71"/>
      <c r="DF1299" s="170"/>
      <c r="EO1299" s="353" t="str">
        <f t="shared" si="169"/>
        <v>ANTIOQUIA_FREDONIA</v>
      </c>
      <c r="EP1299" s="350"/>
      <c r="EQ1299" s="350"/>
      <c r="ER1299" s="357"/>
      <c r="ES1299" s="350"/>
      <c r="ET1299" s="350"/>
      <c r="EU1299" s="350"/>
    </row>
    <row r="1300" spans="1:151" s="171" customFormat="1" ht="48" x14ac:dyDescent="0.2">
      <c r="A1300" s="242">
        <v>40459</v>
      </c>
      <c r="B1300" s="222" t="s">
        <v>1951</v>
      </c>
      <c r="C1300" s="222" t="s">
        <v>30</v>
      </c>
      <c r="D1300" s="430" t="s">
        <v>837</v>
      </c>
      <c r="E1300" s="107" t="str">
        <f>VLOOKUP(B1300&amp;C1300,Divipola!$C$2:$F$1138,4,FALSE)</f>
        <v>08606</v>
      </c>
      <c r="F1300" s="333"/>
      <c r="G1300" s="221"/>
      <c r="H1300" s="157"/>
      <c r="I1300" s="157"/>
      <c r="J1300" s="157">
        <f>5799*3.7</f>
        <v>21456.3</v>
      </c>
      <c r="K1300" s="157">
        <f>5992-83-110</f>
        <v>5799</v>
      </c>
      <c r="L1300" s="157"/>
      <c r="M1300" s="157"/>
      <c r="N1300" s="157"/>
      <c r="O1300" s="157"/>
      <c r="P1300" s="157"/>
      <c r="Q1300" s="157"/>
      <c r="R1300" s="157"/>
      <c r="S1300" s="157"/>
      <c r="T1300" s="157"/>
      <c r="U1300" s="157"/>
      <c r="V1300" s="158"/>
      <c r="W1300" s="182"/>
      <c r="X1300" s="1">
        <v>40526</v>
      </c>
      <c r="Y1300" s="78">
        <f t="shared" si="171"/>
        <v>152161600</v>
      </c>
      <c r="Z1300" s="78">
        <f t="shared" si="172"/>
        <v>192950000</v>
      </c>
      <c r="AA1300" s="78">
        <f t="shared" si="176"/>
        <v>0</v>
      </c>
      <c r="AB1300" s="78">
        <f t="shared" si="173"/>
        <v>0</v>
      </c>
      <c r="AC1300" s="78"/>
      <c r="AD1300" s="78">
        <v>0</v>
      </c>
      <c r="AE1300" s="80">
        <f t="shared" si="175"/>
        <v>345111600</v>
      </c>
      <c r="AF1300" s="82">
        <v>0</v>
      </c>
      <c r="AG1300" s="69">
        <v>40494</v>
      </c>
      <c r="AH1300" s="84">
        <v>57681</v>
      </c>
      <c r="AI1300" s="69" t="s">
        <v>2009</v>
      </c>
      <c r="AJ1300" s="25" t="s">
        <v>2010</v>
      </c>
      <c r="AK1300" s="65">
        <v>25667</v>
      </c>
      <c r="AL1300" s="185" t="s">
        <v>2182</v>
      </c>
      <c r="AM1300" s="173" t="s">
        <v>2518</v>
      </c>
      <c r="AN1300" s="159"/>
      <c r="AO1300" s="160"/>
      <c r="AP1300" s="161"/>
      <c r="AQ1300" s="160"/>
      <c r="AR1300" s="160"/>
      <c r="AS1300" s="160"/>
      <c r="AT1300" s="160"/>
      <c r="AU1300" s="160"/>
      <c r="AV1300" s="160"/>
      <c r="AW1300" s="160"/>
      <c r="AX1300" s="160"/>
      <c r="AY1300" s="160"/>
      <c r="AZ1300" s="160"/>
      <c r="BA1300" s="160"/>
      <c r="BB1300" s="160"/>
      <c r="BC1300" s="160"/>
      <c r="BD1300" s="160"/>
      <c r="BE1300" s="160"/>
      <c r="BF1300" s="160"/>
      <c r="BG1300" s="160"/>
      <c r="BH1300" s="160"/>
      <c r="BI1300" s="160"/>
      <c r="BJ1300" s="160"/>
      <c r="BK1300" s="160"/>
      <c r="BL1300" s="160">
        <f>800+1000</f>
        <v>1800</v>
      </c>
      <c r="BM1300" s="160">
        <f>800*25500+1000*25500</f>
        <v>45900000</v>
      </c>
      <c r="BN1300" s="160"/>
      <c r="BO1300" s="160"/>
      <c r="BP1300" s="160"/>
      <c r="BQ1300" s="160"/>
      <c r="BR1300" s="160"/>
      <c r="BS1300" s="160"/>
      <c r="BT1300" s="160"/>
      <c r="BU1300" s="160"/>
      <c r="BV1300" s="160"/>
      <c r="BW1300" s="160"/>
      <c r="BX1300" s="160"/>
      <c r="BY1300" s="160"/>
      <c r="BZ1300" s="160"/>
      <c r="CA1300" s="160"/>
      <c r="CB1300" s="160"/>
      <c r="CC1300" s="160"/>
      <c r="CD1300" s="160"/>
      <c r="CE1300" s="160"/>
      <c r="CF1300" s="160"/>
      <c r="CG1300" s="160"/>
      <c r="CH1300" s="160"/>
      <c r="CI1300" s="160"/>
      <c r="CJ1300" s="160"/>
      <c r="CK1300" s="160"/>
      <c r="CL1300" s="160"/>
      <c r="CM1300" s="160"/>
      <c r="CN1300" s="160"/>
      <c r="CO1300" s="160"/>
      <c r="CP1300" s="162">
        <f>800+1000</f>
        <v>1800</v>
      </c>
      <c r="CQ1300" s="163">
        <f>800*36952+1000*37000</f>
        <v>66561600</v>
      </c>
      <c r="CR1300" s="162">
        <v>1000</v>
      </c>
      <c r="CS1300" s="163">
        <f>1000*39700</f>
        <v>39700000</v>
      </c>
      <c r="CT1300" s="162"/>
      <c r="CU1300" s="163"/>
      <c r="CV1300" s="164">
        <f t="shared" si="174"/>
        <v>152161600</v>
      </c>
      <c r="CW1300" s="165"/>
      <c r="CX1300" s="166"/>
      <c r="CY1300" s="167">
        <f>800+470+1000</f>
        <v>2270</v>
      </c>
      <c r="CZ1300" s="168">
        <f>800*85000+470*85000+1000*85000</f>
        <v>192950000</v>
      </c>
      <c r="DA1300" s="169"/>
      <c r="DB1300" s="168"/>
      <c r="DC1300" s="165"/>
      <c r="DD1300" s="166"/>
      <c r="DE1300" s="71"/>
      <c r="DF1300" s="170">
        <v>1400</v>
      </c>
      <c r="EO1300" s="353" t="str">
        <f t="shared" si="169"/>
        <v>ATLANTICO_REPELON</v>
      </c>
      <c r="EP1300" s="350"/>
      <c r="EQ1300" s="350"/>
      <c r="ER1300" s="357"/>
      <c r="ES1300" s="350"/>
      <c r="ET1300" s="350"/>
      <c r="EU1300" s="350"/>
    </row>
    <row r="1301" spans="1:151" s="171" customFormat="1" ht="25.5" x14ac:dyDescent="0.2">
      <c r="A1301" s="242">
        <v>40459</v>
      </c>
      <c r="B1301" s="222" t="s">
        <v>828</v>
      </c>
      <c r="C1301" s="222" t="s">
        <v>3088</v>
      </c>
      <c r="D1301" s="427" t="s">
        <v>2307</v>
      </c>
      <c r="E1301" s="107" t="str">
        <f>VLOOKUP(B1301&amp;C1301,Divipola!$C$2:$F$1138,4,FALSE)</f>
        <v>15296</v>
      </c>
      <c r="F1301" s="330"/>
      <c r="G1301" s="221"/>
      <c r="H1301" s="157"/>
      <c r="I1301" s="157"/>
      <c r="J1301" s="157">
        <f>220*5</f>
        <v>1100</v>
      </c>
      <c r="K1301" s="157">
        <v>220</v>
      </c>
      <c r="L1301" s="157">
        <v>4</v>
      </c>
      <c r="M1301" s="157">
        <v>216</v>
      </c>
      <c r="N1301" s="157">
        <v>1</v>
      </c>
      <c r="O1301" s="157"/>
      <c r="P1301" s="157"/>
      <c r="Q1301" s="157"/>
      <c r="R1301" s="157"/>
      <c r="S1301" s="157"/>
      <c r="T1301" s="157"/>
      <c r="U1301" s="157"/>
      <c r="V1301" s="158"/>
      <c r="W1301" s="182"/>
      <c r="X1301" s="1">
        <v>40530</v>
      </c>
      <c r="Y1301" s="78">
        <f t="shared" si="171"/>
        <v>7684942</v>
      </c>
      <c r="Z1301" s="78">
        <f t="shared" si="172"/>
        <v>4250000</v>
      </c>
      <c r="AA1301" s="78">
        <f t="shared" si="176"/>
        <v>0</v>
      </c>
      <c r="AB1301" s="78">
        <f t="shared" si="173"/>
        <v>0</v>
      </c>
      <c r="AC1301" s="78"/>
      <c r="AD1301" s="78">
        <v>0</v>
      </c>
      <c r="AE1301" s="80">
        <f t="shared" si="175"/>
        <v>11934942</v>
      </c>
      <c r="AF1301" s="82">
        <v>0</v>
      </c>
      <c r="AG1301" s="69">
        <v>40492</v>
      </c>
      <c r="AH1301" s="84"/>
      <c r="AI1301" s="69" t="s">
        <v>2009</v>
      </c>
      <c r="AJ1301" s="25" t="s">
        <v>2010</v>
      </c>
      <c r="AK1301" s="88" t="s">
        <v>72</v>
      </c>
      <c r="AL1301" s="176" t="s">
        <v>1257</v>
      </c>
      <c r="AM1301" s="173" t="s">
        <v>3177</v>
      </c>
      <c r="AN1301" s="159"/>
      <c r="AO1301" s="160"/>
      <c r="AP1301" s="161"/>
      <c r="AQ1301" s="160"/>
      <c r="AR1301" s="160"/>
      <c r="AS1301" s="160"/>
      <c r="AT1301" s="160"/>
      <c r="AU1301" s="160"/>
      <c r="AV1301" s="160"/>
      <c r="AW1301" s="160"/>
      <c r="AX1301" s="160"/>
      <c r="AY1301" s="160"/>
      <c r="AZ1301" s="160">
        <v>50</v>
      </c>
      <c r="BA1301" s="160">
        <f>50*56000</f>
        <v>2800000</v>
      </c>
      <c r="BB1301" s="160"/>
      <c r="BC1301" s="160"/>
      <c r="BD1301" s="160"/>
      <c r="BE1301" s="160"/>
      <c r="BF1301" s="160"/>
      <c r="BG1301" s="160"/>
      <c r="BH1301" s="160"/>
      <c r="BI1301" s="160"/>
      <c r="BJ1301" s="160"/>
      <c r="BK1301" s="160"/>
      <c r="BL1301" s="160"/>
      <c r="BM1301" s="160"/>
      <c r="BN1301" s="160"/>
      <c r="BO1301" s="160"/>
      <c r="BP1301" s="160"/>
      <c r="BQ1301" s="160"/>
      <c r="BR1301" s="160"/>
      <c r="BS1301" s="160"/>
      <c r="BT1301" s="160"/>
      <c r="BU1301" s="160"/>
      <c r="BV1301" s="160"/>
      <c r="BW1301" s="160"/>
      <c r="BX1301" s="160"/>
      <c r="BY1301" s="160"/>
      <c r="BZ1301" s="160"/>
      <c r="CA1301" s="160"/>
      <c r="CB1301" s="160"/>
      <c r="CC1301" s="160"/>
      <c r="CD1301" s="160"/>
      <c r="CE1301" s="160"/>
      <c r="CF1301" s="160"/>
      <c r="CG1301" s="160"/>
      <c r="CH1301" s="160"/>
      <c r="CI1301" s="160"/>
      <c r="CJ1301" s="160">
        <v>50</v>
      </c>
      <c r="CK1301" s="160">
        <f>50*20999.48</f>
        <v>1049974</v>
      </c>
      <c r="CL1301" s="160"/>
      <c r="CM1301" s="160"/>
      <c r="CN1301" s="160"/>
      <c r="CO1301" s="160"/>
      <c r="CP1301" s="162">
        <v>50</v>
      </c>
      <c r="CQ1301" s="163">
        <f>50*36999.36</f>
        <v>1849968</v>
      </c>
      <c r="CR1301" s="162">
        <v>50</v>
      </c>
      <c r="CS1301" s="163">
        <f>50*39700</f>
        <v>1985000</v>
      </c>
      <c r="CT1301" s="162"/>
      <c r="CU1301" s="163"/>
      <c r="CV1301" s="164">
        <f t="shared" si="174"/>
        <v>7684942</v>
      </c>
      <c r="CW1301" s="165"/>
      <c r="CX1301" s="166"/>
      <c r="CY1301" s="167">
        <v>50</v>
      </c>
      <c r="CZ1301" s="168">
        <f>50*85000</f>
        <v>4250000</v>
      </c>
      <c r="DA1301" s="169"/>
      <c r="DB1301" s="168"/>
      <c r="DC1301" s="165"/>
      <c r="DD1301" s="166"/>
      <c r="DE1301" s="71"/>
      <c r="DF1301" s="170"/>
      <c r="EO1301" s="353" t="str">
        <f t="shared" si="169"/>
        <v>BOYACA_GAMEZA</v>
      </c>
      <c r="EP1301" s="350"/>
      <c r="EQ1301" s="350"/>
      <c r="ER1301" s="357"/>
      <c r="ES1301" s="350"/>
      <c r="ET1301" s="350"/>
      <c r="EU1301" s="350"/>
    </row>
    <row r="1302" spans="1:151" s="171" customFormat="1" ht="84" x14ac:dyDescent="0.2">
      <c r="A1302" s="242">
        <v>40459</v>
      </c>
      <c r="B1302" s="222" t="s">
        <v>828</v>
      </c>
      <c r="C1302" s="222" t="s">
        <v>2356</v>
      </c>
      <c r="D1302" s="427" t="s">
        <v>2307</v>
      </c>
      <c r="E1302" s="107" t="str">
        <f>VLOOKUP(B1302&amp;C1302,Divipola!$C$2:$F$1138,4,FALSE)</f>
        <v>15368</v>
      </c>
      <c r="F1302" s="330"/>
      <c r="G1302" s="221"/>
      <c r="H1302" s="157"/>
      <c r="I1302" s="157"/>
      <c r="J1302" s="157">
        <f>202*5</f>
        <v>1010</v>
      </c>
      <c r="K1302" s="157">
        <v>202</v>
      </c>
      <c r="L1302" s="157">
        <v>120</v>
      </c>
      <c r="M1302" s="157">
        <v>56</v>
      </c>
      <c r="N1302" s="157">
        <v>2</v>
      </c>
      <c r="O1302" s="157"/>
      <c r="P1302" s="157"/>
      <c r="Q1302" s="157"/>
      <c r="R1302" s="157"/>
      <c r="S1302" s="157"/>
      <c r="T1302" s="157"/>
      <c r="U1302" s="157"/>
      <c r="V1302" s="158"/>
      <c r="W1302" s="182"/>
      <c r="X1302" s="1">
        <v>40530</v>
      </c>
      <c r="Y1302" s="78">
        <f t="shared" si="171"/>
        <v>9221930.4000000004</v>
      </c>
      <c r="Z1302" s="78">
        <f t="shared" si="172"/>
        <v>5100000</v>
      </c>
      <c r="AA1302" s="78">
        <f t="shared" si="176"/>
        <v>0</v>
      </c>
      <c r="AB1302" s="78">
        <f t="shared" si="173"/>
        <v>0</v>
      </c>
      <c r="AC1302" s="78"/>
      <c r="AD1302" s="78">
        <v>0</v>
      </c>
      <c r="AE1302" s="80">
        <f t="shared" si="175"/>
        <v>14321930.4</v>
      </c>
      <c r="AF1302" s="82">
        <v>0</v>
      </c>
      <c r="AG1302" s="69">
        <v>40484</v>
      </c>
      <c r="AH1302" s="84"/>
      <c r="AI1302" s="69" t="s">
        <v>2009</v>
      </c>
      <c r="AJ1302" s="25" t="s">
        <v>2010</v>
      </c>
      <c r="AK1302" s="88" t="s">
        <v>72</v>
      </c>
      <c r="AL1302" s="176" t="s">
        <v>1257</v>
      </c>
      <c r="AM1302" s="173" t="s">
        <v>7</v>
      </c>
      <c r="AN1302" s="159"/>
      <c r="AO1302" s="160"/>
      <c r="AP1302" s="161"/>
      <c r="AQ1302" s="160"/>
      <c r="AR1302" s="160"/>
      <c r="AS1302" s="160"/>
      <c r="AT1302" s="160"/>
      <c r="AU1302" s="160"/>
      <c r="AV1302" s="160"/>
      <c r="AW1302" s="160"/>
      <c r="AX1302" s="160"/>
      <c r="AY1302" s="160"/>
      <c r="AZ1302" s="160">
        <v>60</v>
      </c>
      <c r="BA1302" s="160">
        <f>60*56000</f>
        <v>3360000</v>
      </c>
      <c r="BB1302" s="160"/>
      <c r="BC1302" s="160"/>
      <c r="BD1302" s="160"/>
      <c r="BE1302" s="160"/>
      <c r="BF1302" s="160"/>
      <c r="BG1302" s="160"/>
      <c r="BH1302" s="160"/>
      <c r="BI1302" s="160"/>
      <c r="BJ1302" s="160"/>
      <c r="BK1302" s="160"/>
      <c r="BL1302" s="160"/>
      <c r="BM1302" s="160"/>
      <c r="BN1302" s="160"/>
      <c r="BO1302" s="160"/>
      <c r="BP1302" s="160"/>
      <c r="BQ1302" s="160"/>
      <c r="BR1302" s="160"/>
      <c r="BS1302" s="160"/>
      <c r="BT1302" s="160"/>
      <c r="BU1302" s="160"/>
      <c r="BV1302" s="160"/>
      <c r="BW1302" s="160"/>
      <c r="BX1302" s="160"/>
      <c r="BY1302" s="160"/>
      <c r="BZ1302" s="160"/>
      <c r="CA1302" s="160"/>
      <c r="CB1302" s="160"/>
      <c r="CC1302" s="160"/>
      <c r="CD1302" s="160"/>
      <c r="CE1302" s="160"/>
      <c r="CF1302" s="160"/>
      <c r="CG1302" s="160"/>
      <c r="CH1302" s="160"/>
      <c r="CI1302" s="160"/>
      <c r="CJ1302" s="160">
        <v>60</v>
      </c>
      <c r="CK1302" s="160">
        <f>60*20999.48</f>
        <v>1259968.8</v>
      </c>
      <c r="CL1302" s="160"/>
      <c r="CM1302" s="160"/>
      <c r="CN1302" s="160"/>
      <c r="CO1302" s="160"/>
      <c r="CP1302" s="162">
        <v>60</v>
      </c>
      <c r="CQ1302" s="163">
        <f>60*36999.36</f>
        <v>2219961.6</v>
      </c>
      <c r="CR1302" s="162">
        <v>60</v>
      </c>
      <c r="CS1302" s="163">
        <f>60*39700</f>
        <v>2382000</v>
      </c>
      <c r="CT1302" s="162"/>
      <c r="CU1302" s="163"/>
      <c r="CV1302" s="164">
        <f t="shared" si="174"/>
        <v>9221930.4000000004</v>
      </c>
      <c r="CW1302" s="165"/>
      <c r="CX1302" s="166"/>
      <c r="CY1302" s="167">
        <v>60</v>
      </c>
      <c r="CZ1302" s="168">
        <f>60*85000</f>
        <v>5100000</v>
      </c>
      <c r="DA1302" s="169"/>
      <c r="DB1302" s="168"/>
      <c r="DC1302" s="165"/>
      <c r="DD1302" s="166"/>
      <c r="DE1302" s="71"/>
      <c r="DF1302" s="170"/>
      <c r="EO1302" s="353" t="str">
        <f t="shared" ref="EO1302:EO1365" si="177">B1302&amp;"_"&amp;C1302</f>
        <v>BOYACA_JERICO</v>
      </c>
      <c r="EP1302" s="350"/>
      <c r="EQ1302" s="350"/>
      <c r="ER1302" s="357"/>
      <c r="ES1302" s="350"/>
      <c r="ET1302" s="350"/>
      <c r="EU1302" s="350"/>
    </row>
    <row r="1303" spans="1:151" s="171" customFormat="1" ht="25.5" x14ac:dyDescent="0.2">
      <c r="A1303" s="242">
        <v>40459</v>
      </c>
      <c r="B1303" s="222" t="s">
        <v>828</v>
      </c>
      <c r="C1303" s="222" t="s">
        <v>2718</v>
      </c>
      <c r="D1303" s="430" t="s">
        <v>837</v>
      </c>
      <c r="E1303" s="107" t="str">
        <f>VLOOKUP(B1303&amp;C1303,Divipola!$C$2:$F$1138,4,FALSE)</f>
        <v>15774</v>
      </c>
      <c r="F1303" s="333"/>
      <c r="G1303" s="221"/>
      <c r="H1303" s="157"/>
      <c r="I1303" s="157"/>
      <c r="J1303" s="157">
        <f>273*5</f>
        <v>1365</v>
      </c>
      <c r="K1303" s="157">
        <v>273</v>
      </c>
      <c r="L1303" s="157"/>
      <c r="M1303" s="157">
        <v>273</v>
      </c>
      <c r="N1303" s="157"/>
      <c r="O1303" s="157"/>
      <c r="P1303" s="157"/>
      <c r="Q1303" s="157"/>
      <c r="R1303" s="157"/>
      <c r="S1303" s="157"/>
      <c r="T1303" s="157">
        <v>1</v>
      </c>
      <c r="U1303" s="157">
        <v>1</v>
      </c>
      <c r="V1303" s="158"/>
      <c r="W1303" s="182"/>
      <c r="X1303" s="1"/>
      <c r="Y1303" s="78">
        <f t="shared" si="171"/>
        <v>0</v>
      </c>
      <c r="Z1303" s="78">
        <f t="shared" si="172"/>
        <v>0</v>
      </c>
      <c r="AA1303" s="78">
        <f t="shared" si="176"/>
        <v>0</v>
      </c>
      <c r="AB1303" s="78">
        <f t="shared" si="173"/>
        <v>0</v>
      </c>
      <c r="AC1303" s="78"/>
      <c r="AD1303" s="78">
        <v>0</v>
      </c>
      <c r="AE1303" s="80">
        <f t="shared" si="175"/>
        <v>0</v>
      </c>
      <c r="AF1303" s="82">
        <v>0</v>
      </c>
      <c r="AG1303" s="69">
        <v>40462</v>
      </c>
      <c r="AH1303" s="84"/>
      <c r="AI1303" s="69" t="s">
        <v>1984</v>
      </c>
      <c r="AJ1303" s="25" t="s">
        <v>1985</v>
      </c>
      <c r="AK1303" s="65"/>
      <c r="AL1303" s="176" t="s">
        <v>1257</v>
      </c>
      <c r="AM1303" s="173" t="s">
        <v>1607</v>
      </c>
      <c r="AN1303" s="159"/>
      <c r="AO1303" s="160"/>
      <c r="AP1303" s="161"/>
      <c r="AQ1303" s="160"/>
      <c r="AR1303" s="160"/>
      <c r="AS1303" s="160"/>
      <c r="AT1303" s="160"/>
      <c r="AU1303" s="160"/>
      <c r="AV1303" s="160"/>
      <c r="AW1303" s="160"/>
      <c r="AX1303" s="160"/>
      <c r="AY1303" s="160"/>
      <c r="AZ1303" s="160"/>
      <c r="BA1303" s="160"/>
      <c r="BB1303" s="160"/>
      <c r="BC1303" s="160"/>
      <c r="BD1303" s="160"/>
      <c r="BE1303" s="160"/>
      <c r="BF1303" s="160"/>
      <c r="BG1303" s="160"/>
      <c r="BH1303" s="160"/>
      <c r="BI1303" s="160"/>
      <c r="BJ1303" s="160"/>
      <c r="BK1303" s="160"/>
      <c r="BL1303" s="160"/>
      <c r="BM1303" s="160"/>
      <c r="BN1303" s="160"/>
      <c r="BO1303" s="160"/>
      <c r="BP1303" s="160"/>
      <c r="BQ1303" s="160"/>
      <c r="BR1303" s="160"/>
      <c r="BS1303" s="160"/>
      <c r="BT1303" s="160"/>
      <c r="BU1303" s="160"/>
      <c r="BV1303" s="160"/>
      <c r="BW1303" s="160"/>
      <c r="BX1303" s="160"/>
      <c r="BY1303" s="160"/>
      <c r="BZ1303" s="160"/>
      <c r="CA1303" s="160"/>
      <c r="CB1303" s="160"/>
      <c r="CC1303" s="160"/>
      <c r="CD1303" s="160"/>
      <c r="CE1303" s="160"/>
      <c r="CF1303" s="160"/>
      <c r="CG1303" s="160"/>
      <c r="CH1303" s="160"/>
      <c r="CI1303" s="160"/>
      <c r="CJ1303" s="160"/>
      <c r="CK1303" s="160"/>
      <c r="CL1303" s="160"/>
      <c r="CM1303" s="160"/>
      <c r="CN1303" s="160"/>
      <c r="CO1303" s="160"/>
      <c r="CP1303" s="162"/>
      <c r="CQ1303" s="163"/>
      <c r="CR1303" s="162"/>
      <c r="CS1303" s="163"/>
      <c r="CT1303" s="162"/>
      <c r="CU1303" s="163"/>
      <c r="CV1303" s="164">
        <f t="shared" si="174"/>
        <v>0</v>
      </c>
      <c r="CW1303" s="165"/>
      <c r="CX1303" s="166"/>
      <c r="CY1303" s="167"/>
      <c r="CZ1303" s="168"/>
      <c r="DA1303" s="169"/>
      <c r="DB1303" s="168"/>
      <c r="DC1303" s="165"/>
      <c r="DD1303" s="166"/>
      <c r="DE1303" s="71"/>
      <c r="DF1303" s="170"/>
      <c r="EO1303" s="353" t="str">
        <f t="shared" si="177"/>
        <v>BOYACA_SUSACON</v>
      </c>
      <c r="EP1303" s="350"/>
      <c r="EQ1303" s="350"/>
      <c r="ER1303" s="357"/>
      <c r="ES1303" s="350"/>
      <c r="ET1303" s="350"/>
      <c r="EU1303" s="350"/>
    </row>
    <row r="1304" spans="1:151" s="171" customFormat="1" ht="25.5" x14ac:dyDescent="0.2">
      <c r="A1304" s="242">
        <v>40459</v>
      </c>
      <c r="B1304" s="222" t="s">
        <v>2014</v>
      </c>
      <c r="C1304" s="222" t="s">
        <v>2015</v>
      </c>
      <c r="D1304" s="430" t="s">
        <v>837</v>
      </c>
      <c r="E1304" s="107" t="str">
        <f>VLOOKUP(B1304&amp;C1304,Divipola!$C$2:$F$1138,4,FALSE)</f>
        <v>63001</v>
      </c>
      <c r="F1304" s="333"/>
      <c r="G1304" s="221"/>
      <c r="H1304" s="157"/>
      <c r="I1304" s="157"/>
      <c r="J1304" s="157">
        <v>5</v>
      </c>
      <c r="K1304" s="157">
        <v>1</v>
      </c>
      <c r="L1304" s="157"/>
      <c r="M1304" s="157">
        <v>1</v>
      </c>
      <c r="N1304" s="157"/>
      <c r="O1304" s="157"/>
      <c r="P1304" s="157"/>
      <c r="Q1304" s="157"/>
      <c r="R1304" s="157"/>
      <c r="S1304" s="157"/>
      <c r="T1304" s="157"/>
      <c r="U1304" s="157"/>
      <c r="V1304" s="158"/>
      <c r="W1304" s="182" t="s">
        <v>2723</v>
      </c>
      <c r="X1304" s="1"/>
      <c r="Y1304" s="78">
        <f t="shared" si="171"/>
        <v>0</v>
      </c>
      <c r="Z1304" s="78">
        <f t="shared" si="172"/>
        <v>0</v>
      </c>
      <c r="AA1304" s="78">
        <f t="shared" si="176"/>
        <v>0</v>
      </c>
      <c r="AB1304" s="78">
        <f t="shared" si="173"/>
        <v>0</v>
      </c>
      <c r="AC1304" s="78"/>
      <c r="AD1304" s="78">
        <v>0</v>
      </c>
      <c r="AE1304" s="80">
        <f t="shared" si="175"/>
        <v>0</v>
      </c>
      <c r="AF1304" s="82">
        <v>0</v>
      </c>
      <c r="AG1304" s="69">
        <v>40462</v>
      </c>
      <c r="AH1304" s="84"/>
      <c r="AI1304" s="69" t="s">
        <v>1984</v>
      </c>
      <c r="AJ1304" s="25" t="s">
        <v>1985</v>
      </c>
      <c r="AK1304" s="65"/>
      <c r="AL1304" s="176" t="s">
        <v>1257</v>
      </c>
      <c r="AM1304" s="173" t="s">
        <v>2722</v>
      </c>
      <c r="AN1304" s="159"/>
      <c r="AO1304" s="160"/>
      <c r="AP1304" s="161"/>
      <c r="AQ1304" s="160"/>
      <c r="AR1304" s="160"/>
      <c r="AS1304" s="160"/>
      <c r="AT1304" s="160"/>
      <c r="AU1304" s="160"/>
      <c r="AV1304" s="160"/>
      <c r="AW1304" s="160"/>
      <c r="AX1304" s="160"/>
      <c r="AY1304" s="160"/>
      <c r="AZ1304" s="160"/>
      <c r="BA1304" s="160"/>
      <c r="BB1304" s="160"/>
      <c r="BC1304" s="160"/>
      <c r="BD1304" s="160"/>
      <c r="BE1304" s="160"/>
      <c r="BF1304" s="160"/>
      <c r="BG1304" s="160"/>
      <c r="BH1304" s="160"/>
      <c r="BI1304" s="160"/>
      <c r="BJ1304" s="160"/>
      <c r="BK1304" s="160"/>
      <c r="BL1304" s="160"/>
      <c r="BM1304" s="160"/>
      <c r="BN1304" s="160"/>
      <c r="BO1304" s="160"/>
      <c r="BP1304" s="160"/>
      <c r="BQ1304" s="160"/>
      <c r="BR1304" s="160"/>
      <c r="BS1304" s="160"/>
      <c r="BT1304" s="160"/>
      <c r="BU1304" s="160"/>
      <c r="BV1304" s="160"/>
      <c r="BW1304" s="160"/>
      <c r="BX1304" s="160"/>
      <c r="BY1304" s="160"/>
      <c r="BZ1304" s="160"/>
      <c r="CA1304" s="160"/>
      <c r="CB1304" s="160"/>
      <c r="CC1304" s="160"/>
      <c r="CD1304" s="160"/>
      <c r="CE1304" s="160"/>
      <c r="CF1304" s="160"/>
      <c r="CG1304" s="160"/>
      <c r="CH1304" s="160"/>
      <c r="CI1304" s="160"/>
      <c r="CJ1304" s="160"/>
      <c r="CK1304" s="160"/>
      <c r="CL1304" s="160"/>
      <c r="CM1304" s="160"/>
      <c r="CN1304" s="160"/>
      <c r="CO1304" s="160"/>
      <c r="CP1304" s="162"/>
      <c r="CQ1304" s="163"/>
      <c r="CR1304" s="162"/>
      <c r="CS1304" s="163"/>
      <c r="CT1304" s="162"/>
      <c r="CU1304" s="163"/>
      <c r="CV1304" s="164">
        <f t="shared" si="174"/>
        <v>0</v>
      </c>
      <c r="CW1304" s="165"/>
      <c r="CX1304" s="166"/>
      <c r="CY1304" s="167"/>
      <c r="CZ1304" s="168"/>
      <c r="DA1304" s="169"/>
      <c r="DB1304" s="168"/>
      <c r="DC1304" s="165"/>
      <c r="DD1304" s="166"/>
      <c r="DE1304" s="71"/>
      <c r="DF1304" s="170"/>
      <c r="EO1304" s="353" t="str">
        <f t="shared" si="177"/>
        <v>QUINDIO_ARMENIA</v>
      </c>
      <c r="EP1304" s="350"/>
      <c r="EQ1304" s="350"/>
      <c r="ER1304" s="357"/>
      <c r="ES1304" s="350"/>
      <c r="ET1304" s="350"/>
      <c r="EU1304" s="350"/>
    </row>
    <row r="1305" spans="1:151" s="171" customFormat="1" ht="25.5" x14ac:dyDescent="0.2">
      <c r="A1305" s="242">
        <v>40459</v>
      </c>
      <c r="B1305" s="222" t="s">
        <v>828</v>
      </c>
      <c r="C1305" s="222" t="s">
        <v>2369</v>
      </c>
      <c r="D1305" s="430" t="s">
        <v>837</v>
      </c>
      <c r="E1305" s="107" t="str">
        <f>VLOOKUP(B1305&amp;C1305,Divipola!$C$2:$F$1138,4,FALSE)</f>
        <v>15810</v>
      </c>
      <c r="F1305" s="333"/>
      <c r="G1305" s="221"/>
      <c r="H1305" s="157"/>
      <c r="I1305" s="157"/>
      <c r="J1305" s="157">
        <f>1068*5</f>
        <v>5340</v>
      </c>
      <c r="K1305" s="157">
        <v>1068</v>
      </c>
      <c r="L1305" s="157"/>
      <c r="M1305" s="157"/>
      <c r="N1305" s="157"/>
      <c r="O1305" s="157"/>
      <c r="P1305" s="157"/>
      <c r="Q1305" s="157"/>
      <c r="R1305" s="157"/>
      <c r="S1305" s="157"/>
      <c r="T1305" s="157"/>
      <c r="U1305" s="157"/>
      <c r="V1305" s="158"/>
      <c r="W1305" s="182"/>
      <c r="X1305" s="1"/>
      <c r="Y1305" s="78">
        <f t="shared" si="171"/>
        <v>0</v>
      </c>
      <c r="Z1305" s="78">
        <f t="shared" si="172"/>
        <v>0</v>
      </c>
      <c r="AA1305" s="78">
        <f t="shared" si="176"/>
        <v>0</v>
      </c>
      <c r="AB1305" s="78">
        <f t="shared" si="173"/>
        <v>0</v>
      </c>
      <c r="AC1305" s="78"/>
      <c r="AD1305" s="78">
        <v>0</v>
      </c>
      <c r="AE1305" s="80">
        <f t="shared" si="175"/>
        <v>0</v>
      </c>
      <c r="AF1305" s="82">
        <v>0</v>
      </c>
      <c r="AG1305" s="69"/>
      <c r="AH1305" s="84"/>
      <c r="AI1305" s="69" t="s">
        <v>1984</v>
      </c>
      <c r="AJ1305" s="25" t="s">
        <v>1985</v>
      </c>
      <c r="AK1305" s="65"/>
      <c r="AL1305" s="176" t="s">
        <v>1257</v>
      </c>
      <c r="AM1305" s="173" t="s">
        <v>6318</v>
      </c>
      <c r="AN1305" s="159"/>
      <c r="AO1305" s="160"/>
      <c r="AP1305" s="161"/>
      <c r="AQ1305" s="160"/>
      <c r="AR1305" s="160"/>
      <c r="AS1305" s="160"/>
      <c r="AT1305" s="160"/>
      <c r="AU1305" s="160"/>
      <c r="AV1305" s="160"/>
      <c r="AW1305" s="160"/>
      <c r="AX1305" s="160"/>
      <c r="AY1305" s="160"/>
      <c r="AZ1305" s="160"/>
      <c r="BA1305" s="160"/>
      <c r="BB1305" s="160"/>
      <c r="BC1305" s="160"/>
      <c r="BD1305" s="160"/>
      <c r="BE1305" s="160"/>
      <c r="BF1305" s="160"/>
      <c r="BG1305" s="160"/>
      <c r="BH1305" s="160"/>
      <c r="BI1305" s="160"/>
      <c r="BJ1305" s="160"/>
      <c r="BK1305" s="160"/>
      <c r="BL1305" s="160"/>
      <c r="BM1305" s="160"/>
      <c r="BN1305" s="160"/>
      <c r="BO1305" s="160"/>
      <c r="BP1305" s="160"/>
      <c r="BQ1305" s="160"/>
      <c r="BR1305" s="160"/>
      <c r="BS1305" s="160"/>
      <c r="BT1305" s="160"/>
      <c r="BU1305" s="160"/>
      <c r="BV1305" s="160"/>
      <c r="BW1305" s="160"/>
      <c r="BX1305" s="160"/>
      <c r="BY1305" s="160"/>
      <c r="BZ1305" s="160"/>
      <c r="CA1305" s="160"/>
      <c r="CB1305" s="160"/>
      <c r="CC1305" s="160"/>
      <c r="CD1305" s="160"/>
      <c r="CE1305" s="160"/>
      <c r="CF1305" s="160"/>
      <c r="CG1305" s="160"/>
      <c r="CH1305" s="160"/>
      <c r="CI1305" s="160"/>
      <c r="CJ1305" s="160"/>
      <c r="CK1305" s="160"/>
      <c r="CL1305" s="160"/>
      <c r="CM1305" s="160"/>
      <c r="CN1305" s="160"/>
      <c r="CO1305" s="160"/>
      <c r="CP1305" s="162"/>
      <c r="CQ1305" s="163"/>
      <c r="CR1305" s="162"/>
      <c r="CS1305" s="163"/>
      <c r="CT1305" s="162"/>
      <c r="CU1305" s="163"/>
      <c r="CV1305" s="164">
        <f t="shared" si="174"/>
        <v>0</v>
      </c>
      <c r="CW1305" s="165"/>
      <c r="CX1305" s="166"/>
      <c r="CY1305" s="167"/>
      <c r="CZ1305" s="168"/>
      <c r="DA1305" s="169"/>
      <c r="DB1305" s="168"/>
      <c r="DC1305" s="165"/>
      <c r="DD1305" s="166"/>
      <c r="DE1305" s="71"/>
      <c r="DF1305" s="170"/>
      <c r="EO1305" s="353" t="str">
        <f t="shared" si="177"/>
        <v>BOYACA_TIPACOQUE</v>
      </c>
      <c r="EP1305" s="350"/>
      <c r="EQ1305" s="350"/>
      <c r="ER1305" s="357"/>
      <c r="ES1305" s="350"/>
      <c r="ET1305" s="350"/>
      <c r="EU1305" s="350"/>
    </row>
    <row r="1306" spans="1:151" s="171" customFormat="1" ht="25.5" x14ac:dyDescent="0.2">
      <c r="A1306" s="242">
        <v>40460</v>
      </c>
      <c r="B1306" s="222" t="s">
        <v>828</v>
      </c>
      <c r="C1306" s="222" t="s">
        <v>393</v>
      </c>
      <c r="D1306" s="430" t="s">
        <v>2307</v>
      </c>
      <c r="E1306" s="107" t="str">
        <f>VLOOKUP(B1306&amp;C1306,Divipola!$C$2:$F$1138,4,FALSE)</f>
        <v>15092</v>
      </c>
      <c r="F1306" s="333"/>
      <c r="G1306" s="221"/>
      <c r="H1306" s="157"/>
      <c r="I1306" s="157"/>
      <c r="J1306" s="157">
        <v>125</v>
      </c>
      <c r="K1306" s="157">
        <v>25</v>
      </c>
      <c r="L1306" s="157"/>
      <c r="M1306" s="157"/>
      <c r="N1306" s="157"/>
      <c r="O1306" s="157"/>
      <c r="P1306" s="157"/>
      <c r="Q1306" s="157"/>
      <c r="R1306" s="157"/>
      <c r="S1306" s="157"/>
      <c r="T1306" s="157"/>
      <c r="U1306" s="157"/>
      <c r="V1306" s="158"/>
      <c r="W1306" s="182"/>
      <c r="X1306" s="1"/>
      <c r="Y1306" s="78">
        <f t="shared" si="171"/>
        <v>0</v>
      </c>
      <c r="Z1306" s="78">
        <f t="shared" si="172"/>
        <v>0</v>
      </c>
      <c r="AA1306" s="78">
        <f t="shared" si="176"/>
        <v>0</v>
      </c>
      <c r="AB1306" s="78">
        <f t="shared" si="173"/>
        <v>0</v>
      </c>
      <c r="AC1306" s="78"/>
      <c r="AD1306" s="78">
        <v>0</v>
      </c>
      <c r="AE1306" s="80">
        <f t="shared" si="175"/>
        <v>0</v>
      </c>
      <c r="AF1306" s="82">
        <v>0</v>
      </c>
      <c r="AG1306" s="69">
        <v>40589</v>
      </c>
      <c r="AH1306" s="84"/>
      <c r="AI1306" s="69" t="s">
        <v>1984</v>
      </c>
      <c r="AJ1306" s="70" t="s">
        <v>1985</v>
      </c>
      <c r="AK1306" s="65"/>
      <c r="AL1306" s="176" t="s">
        <v>1257</v>
      </c>
      <c r="AM1306" s="173" t="s">
        <v>391</v>
      </c>
      <c r="AN1306" s="159"/>
      <c r="AO1306" s="160"/>
      <c r="AP1306" s="161"/>
      <c r="AQ1306" s="160"/>
      <c r="AR1306" s="160"/>
      <c r="AS1306" s="160"/>
      <c r="AT1306" s="160"/>
      <c r="AU1306" s="160"/>
      <c r="AV1306" s="160"/>
      <c r="AW1306" s="160"/>
      <c r="AX1306" s="160"/>
      <c r="AY1306" s="160"/>
      <c r="AZ1306" s="160"/>
      <c r="BA1306" s="160"/>
      <c r="BB1306" s="160"/>
      <c r="BC1306" s="160"/>
      <c r="BD1306" s="160"/>
      <c r="BE1306" s="160"/>
      <c r="BF1306" s="160"/>
      <c r="BG1306" s="160"/>
      <c r="BH1306" s="160"/>
      <c r="BI1306" s="160"/>
      <c r="BJ1306" s="160"/>
      <c r="BK1306" s="160"/>
      <c r="BL1306" s="160"/>
      <c r="BM1306" s="160"/>
      <c r="BN1306" s="160"/>
      <c r="BO1306" s="160"/>
      <c r="BP1306" s="160"/>
      <c r="BQ1306" s="160"/>
      <c r="BR1306" s="160"/>
      <c r="BS1306" s="160"/>
      <c r="BT1306" s="160"/>
      <c r="BU1306" s="160"/>
      <c r="BV1306" s="160"/>
      <c r="BW1306" s="160"/>
      <c r="BX1306" s="160"/>
      <c r="BY1306" s="160"/>
      <c r="BZ1306" s="160"/>
      <c r="CA1306" s="160"/>
      <c r="CB1306" s="160"/>
      <c r="CC1306" s="160"/>
      <c r="CD1306" s="160"/>
      <c r="CE1306" s="160"/>
      <c r="CF1306" s="160"/>
      <c r="CG1306" s="160"/>
      <c r="CH1306" s="160"/>
      <c r="CI1306" s="160"/>
      <c r="CJ1306" s="160"/>
      <c r="CK1306" s="160"/>
      <c r="CL1306" s="160"/>
      <c r="CM1306" s="160"/>
      <c r="CN1306" s="160"/>
      <c r="CO1306" s="160"/>
      <c r="CP1306" s="162"/>
      <c r="CQ1306" s="163"/>
      <c r="CR1306" s="162"/>
      <c r="CS1306" s="163"/>
      <c r="CT1306" s="162"/>
      <c r="CU1306" s="163"/>
      <c r="CV1306" s="164">
        <f t="shared" si="174"/>
        <v>0</v>
      </c>
      <c r="CW1306" s="165"/>
      <c r="CX1306" s="166"/>
      <c r="CY1306" s="167"/>
      <c r="CZ1306" s="168"/>
      <c r="DA1306" s="169"/>
      <c r="DB1306" s="168"/>
      <c r="DC1306" s="165"/>
      <c r="DD1306" s="166"/>
      <c r="DE1306" s="71"/>
      <c r="DF1306" s="170"/>
      <c r="EO1306" s="353" t="str">
        <f t="shared" si="177"/>
        <v>BOYACA_BETEITIVA</v>
      </c>
      <c r="EP1306" s="350"/>
      <c r="EQ1306" s="350"/>
      <c r="ER1306" s="357"/>
      <c r="ES1306" s="350"/>
      <c r="ET1306" s="350"/>
      <c r="EU1306" s="350"/>
    </row>
    <row r="1307" spans="1:151" s="171" customFormat="1" ht="25.5" x14ac:dyDescent="0.2">
      <c r="A1307" s="242">
        <v>40460</v>
      </c>
      <c r="B1307" s="222" t="s">
        <v>828</v>
      </c>
      <c r="C1307" s="222" t="s">
        <v>394</v>
      </c>
      <c r="D1307" s="430" t="s">
        <v>2307</v>
      </c>
      <c r="E1307" s="107" t="str">
        <f>VLOOKUP(B1307&amp;C1307,Divipola!$C$2:$F$1138,4,FALSE)</f>
        <v>15097</v>
      </c>
      <c r="F1307" s="333"/>
      <c r="G1307" s="221"/>
      <c r="H1307" s="157"/>
      <c r="I1307" s="157"/>
      <c r="J1307" s="157">
        <f>83*5</f>
        <v>415</v>
      </c>
      <c r="K1307" s="157">
        <v>83</v>
      </c>
      <c r="L1307" s="157">
        <v>1</v>
      </c>
      <c r="M1307" s="157">
        <v>82</v>
      </c>
      <c r="N1307" s="157"/>
      <c r="O1307" s="157"/>
      <c r="P1307" s="157"/>
      <c r="Q1307" s="157"/>
      <c r="R1307" s="157"/>
      <c r="S1307" s="157"/>
      <c r="T1307" s="157"/>
      <c r="U1307" s="157"/>
      <c r="V1307" s="158"/>
      <c r="W1307" s="182"/>
      <c r="X1307" s="1"/>
      <c r="Y1307" s="78">
        <f t="shared" si="171"/>
        <v>0</v>
      </c>
      <c r="Z1307" s="78">
        <f t="shared" si="172"/>
        <v>0</v>
      </c>
      <c r="AA1307" s="78">
        <f t="shared" si="176"/>
        <v>0</v>
      </c>
      <c r="AB1307" s="78">
        <f t="shared" si="173"/>
        <v>0</v>
      </c>
      <c r="AC1307" s="78"/>
      <c r="AD1307" s="78">
        <v>0</v>
      </c>
      <c r="AE1307" s="80">
        <f t="shared" si="175"/>
        <v>0</v>
      </c>
      <c r="AF1307" s="82">
        <v>0</v>
      </c>
      <c r="AG1307" s="69">
        <v>40589</v>
      </c>
      <c r="AH1307" s="84"/>
      <c r="AI1307" s="69" t="s">
        <v>1984</v>
      </c>
      <c r="AJ1307" s="25" t="s">
        <v>1985</v>
      </c>
      <c r="AK1307" s="65"/>
      <c r="AL1307" s="176" t="s">
        <v>1257</v>
      </c>
      <c r="AM1307" s="173" t="s">
        <v>391</v>
      </c>
      <c r="AN1307" s="159"/>
      <c r="AO1307" s="160"/>
      <c r="AP1307" s="161"/>
      <c r="AQ1307" s="160"/>
      <c r="AR1307" s="160"/>
      <c r="AS1307" s="160"/>
      <c r="AT1307" s="160"/>
      <c r="AU1307" s="160"/>
      <c r="AV1307" s="160"/>
      <c r="AW1307" s="160"/>
      <c r="AX1307" s="160"/>
      <c r="AY1307" s="160"/>
      <c r="AZ1307" s="160"/>
      <c r="BA1307" s="160"/>
      <c r="BB1307" s="160"/>
      <c r="BC1307" s="160"/>
      <c r="BD1307" s="160"/>
      <c r="BE1307" s="160"/>
      <c r="BF1307" s="160"/>
      <c r="BG1307" s="160"/>
      <c r="BH1307" s="160"/>
      <c r="BI1307" s="160"/>
      <c r="BJ1307" s="160"/>
      <c r="BK1307" s="160"/>
      <c r="BL1307" s="160"/>
      <c r="BM1307" s="160"/>
      <c r="BN1307" s="160"/>
      <c r="BO1307" s="160"/>
      <c r="BP1307" s="160"/>
      <c r="BQ1307" s="160"/>
      <c r="BR1307" s="160"/>
      <c r="BS1307" s="160"/>
      <c r="BT1307" s="160"/>
      <c r="BU1307" s="160"/>
      <c r="BV1307" s="160"/>
      <c r="BW1307" s="160"/>
      <c r="BX1307" s="160"/>
      <c r="BY1307" s="160"/>
      <c r="BZ1307" s="160"/>
      <c r="CA1307" s="160"/>
      <c r="CB1307" s="160"/>
      <c r="CC1307" s="160"/>
      <c r="CD1307" s="160"/>
      <c r="CE1307" s="160"/>
      <c r="CF1307" s="160"/>
      <c r="CG1307" s="160"/>
      <c r="CH1307" s="160"/>
      <c r="CI1307" s="160"/>
      <c r="CJ1307" s="160"/>
      <c r="CK1307" s="160"/>
      <c r="CL1307" s="160"/>
      <c r="CM1307" s="160"/>
      <c r="CN1307" s="160"/>
      <c r="CO1307" s="160"/>
      <c r="CP1307" s="162"/>
      <c r="CQ1307" s="163"/>
      <c r="CR1307" s="162"/>
      <c r="CS1307" s="163"/>
      <c r="CT1307" s="162"/>
      <c r="CU1307" s="163"/>
      <c r="CV1307" s="164">
        <f t="shared" si="174"/>
        <v>0</v>
      </c>
      <c r="CW1307" s="165"/>
      <c r="CX1307" s="166"/>
      <c r="CY1307" s="167"/>
      <c r="CZ1307" s="168"/>
      <c r="DA1307" s="169"/>
      <c r="DB1307" s="168"/>
      <c r="DC1307" s="165"/>
      <c r="DD1307" s="166"/>
      <c r="DE1307" s="71"/>
      <c r="DF1307" s="170"/>
      <c r="EO1307" s="353" t="str">
        <f t="shared" si="177"/>
        <v>BOYACA_BOAVITA</v>
      </c>
      <c r="EP1307" s="350"/>
      <c r="EQ1307" s="350"/>
      <c r="ER1307" s="357"/>
      <c r="ES1307" s="350"/>
      <c r="ET1307" s="350"/>
      <c r="EU1307" s="350"/>
    </row>
    <row r="1308" spans="1:151" s="171" customFormat="1" ht="36" x14ac:dyDescent="0.2">
      <c r="A1308" s="242">
        <v>40460</v>
      </c>
      <c r="B1308" s="222" t="s">
        <v>3112</v>
      </c>
      <c r="C1308" s="222" t="s">
        <v>603</v>
      </c>
      <c r="D1308" s="430" t="s">
        <v>2209</v>
      </c>
      <c r="E1308" s="107" t="str">
        <f>VLOOKUP(B1308&amp;C1308,Divipola!$C$2:$F$1138,4,FALSE)</f>
        <v>18756</v>
      </c>
      <c r="F1308" s="333"/>
      <c r="G1308" s="221"/>
      <c r="H1308" s="157"/>
      <c r="I1308" s="157"/>
      <c r="J1308" s="157">
        <f>195*5</f>
        <v>975</v>
      </c>
      <c r="K1308" s="157">
        <f>230-35</f>
        <v>195</v>
      </c>
      <c r="L1308" s="157"/>
      <c r="M1308" s="157">
        <v>71</v>
      </c>
      <c r="N1308" s="157"/>
      <c r="O1308" s="157"/>
      <c r="P1308" s="157"/>
      <c r="Q1308" s="157"/>
      <c r="R1308" s="157"/>
      <c r="S1308" s="157"/>
      <c r="T1308" s="157"/>
      <c r="U1308" s="157"/>
      <c r="V1308" s="158"/>
      <c r="W1308" s="182"/>
      <c r="X1308" s="1"/>
      <c r="Y1308" s="78">
        <f t="shared" si="171"/>
        <v>11312000</v>
      </c>
      <c r="Z1308" s="78">
        <f t="shared" si="172"/>
        <v>5950000</v>
      </c>
      <c r="AA1308" s="78">
        <f t="shared" si="176"/>
        <v>25172000</v>
      </c>
      <c r="AB1308" s="78">
        <f t="shared" si="173"/>
        <v>0</v>
      </c>
      <c r="AC1308" s="78"/>
      <c r="AD1308" s="78">
        <v>0</v>
      </c>
      <c r="AE1308" s="80">
        <f t="shared" si="175"/>
        <v>42434000</v>
      </c>
      <c r="AF1308" s="82">
        <v>0</v>
      </c>
      <c r="AG1308" s="69">
        <v>40494</v>
      </c>
      <c r="AH1308" s="84"/>
      <c r="AI1308" s="69" t="s">
        <v>2009</v>
      </c>
      <c r="AJ1308" s="70" t="s">
        <v>2010</v>
      </c>
      <c r="AK1308" s="65"/>
      <c r="AL1308" s="176" t="s">
        <v>1831</v>
      </c>
      <c r="AM1308" s="173" t="s">
        <v>3173</v>
      </c>
      <c r="AN1308" s="159"/>
      <c r="AO1308" s="160"/>
      <c r="AP1308" s="161"/>
      <c r="AQ1308" s="160"/>
      <c r="AR1308" s="160"/>
      <c r="AS1308" s="160"/>
      <c r="AT1308" s="160"/>
      <c r="AU1308" s="160"/>
      <c r="AV1308" s="160"/>
      <c r="AW1308" s="160"/>
      <c r="AX1308" s="160"/>
      <c r="AY1308" s="160"/>
      <c r="AZ1308" s="160">
        <v>157</v>
      </c>
      <c r="BA1308" s="160">
        <f>157*56000</f>
        <v>8792000</v>
      </c>
      <c r="BB1308" s="160"/>
      <c r="BC1308" s="160"/>
      <c r="BD1308" s="160"/>
      <c r="BE1308" s="160"/>
      <c r="BF1308" s="160"/>
      <c r="BG1308" s="160"/>
      <c r="BH1308" s="160"/>
      <c r="BI1308" s="160"/>
      <c r="BJ1308" s="160"/>
      <c r="BK1308" s="160"/>
      <c r="BL1308" s="160"/>
      <c r="BM1308" s="160"/>
      <c r="BN1308" s="160"/>
      <c r="BO1308" s="160"/>
      <c r="BP1308" s="160"/>
      <c r="BQ1308" s="160"/>
      <c r="BR1308" s="160"/>
      <c r="BS1308" s="160"/>
      <c r="BT1308" s="160"/>
      <c r="BU1308" s="160"/>
      <c r="BV1308" s="160"/>
      <c r="BW1308" s="160"/>
      <c r="BX1308" s="160"/>
      <c r="BY1308" s="160"/>
      <c r="BZ1308" s="160"/>
      <c r="CA1308" s="160"/>
      <c r="CB1308" s="160"/>
      <c r="CC1308" s="160"/>
      <c r="CD1308" s="160"/>
      <c r="CE1308" s="160"/>
      <c r="CF1308" s="160"/>
      <c r="CG1308" s="160"/>
      <c r="CH1308" s="160"/>
      <c r="CI1308" s="160"/>
      <c r="CJ1308" s="160"/>
      <c r="CK1308" s="160"/>
      <c r="CL1308" s="160"/>
      <c r="CM1308" s="160"/>
      <c r="CN1308" s="160"/>
      <c r="CO1308" s="160"/>
      <c r="CP1308" s="162"/>
      <c r="CQ1308" s="163"/>
      <c r="CR1308" s="162">
        <v>70</v>
      </c>
      <c r="CS1308" s="163">
        <f>70*36000</f>
        <v>2520000</v>
      </c>
      <c r="CT1308" s="162"/>
      <c r="CU1308" s="163"/>
      <c r="CV1308" s="164">
        <f t="shared" si="174"/>
        <v>11312000</v>
      </c>
      <c r="CW1308" s="165"/>
      <c r="CX1308" s="166"/>
      <c r="CY1308" s="167">
        <v>70</v>
      </c>
      <c r="CZ1308" s="168">
        <f>70*85000</f>
        <v>5950000</v>
      </c>
      <c r="DA1308" s="169"/>
      <c r="DB1308" s="168"/>
      <c r="DC1308" s="165">
        <v>1400</v>
      </c>
      <c r="DD1308" s="166">
        <f>1400*17980</f>
        <v>25172000</v>
      </c>
      <c r="DE1308" s="71"/>
      <c r="DF1308" s="170"/>
      <c r="EO1308" s="353" t="str">
        <f t="shared" si="177"/>
        <v>CAQUETA_SOLANO</v>
      </c>
      <c r="EP1308" s="350"/>
      <c r="EQ1308" s="350"/>
      <c r="ER1308" s="357"/>
      <c r="ES1308" s="350"/>
      <c r="ET1308" s="350"/>
      <c r="EU1308" s="350"/>
    </row>
    <row r="1309" spans="1:151" s="171" customFormat="1" ht="36" x14ac:dyDescent="0.2">
      <c r="A1309" s="242">
        <v>40460</v>
      </c>
      <c r="B1309" s="222" t="s">
        <v>1333</v>
      </c>
      <c r="C1309" s="222" t="s">
        <v>2971</v>
      </c>
      <c r="D1309" s="430" t="s">
        <v>837</v>
      </c>
      <c r="E1309" s="107" t="str">
        <f>VLOOKUP(B1309&amp;C1309,Divipola!$C$2:$F$1138,4,FALSE)</f>
        <v>41006</v>
      </c>
      <c r="F1309" s="333"/>
      <c r="G1309" s="221"/>
      <c r="H1309" s="157"/>
      <c r="I1309" s="157"/>
      <c r="J1309" s="157">
        <v>46</v>
      </c>
      <c r="K1309" s="157">
        <v>9</v>
      </c>
      <c r="L1309" s="157"/>
      <c r="M1309" s="157">
        <v>8</v>
      </c>
      <c r="N1309" s="157"/>
      <c r="O1309" s="157"/>
      <c r="P1309" s="157"/>
      <c r="Q1309" s="157"/>
      <c r="R1309" s="157"/>
      <c r="S1309" s="157"/>
      <c r="T1309" s="157"/>
      <c r="U1309" s="157"/>
      <c r="V1309" s="158"/>
      <c r="W1309" s="182"/>
      <c r="X1309" s="1"/>
      <c r="Y1309" s="78">
        <f t="shared" si="171"/>
        <v>0</v>
      </c>
      <c r="Z1309" s="78">
        <f t="shared" si="172"/>
        <v>0</v>
      </c>
      <c r="AA1309" s="78">
        <f t="shared" si="176"/>
        <v>0</v>
      </c>
      <c r="AB1309" s="78">
        <f t="shared" si="173"/>
        <v>0</v>
      </c>
      <c r="AC1309" s="78"/>
      <c r="AD1309" s="78">
        <v>0</v>
      </c>
      <c r="AE1309" s="80">
        <f t="shared" si="175"/>
        <v>0</v>
      </c>
      <c r="AF1309" s="82">
        <v>0</v>
      </c>
      <c r="AG1309" s="69">
        <v>40460</v>
      </c>
      <c r="AH1309" s="84"/>
      <c r="AI1309" s="69" t="s">
        <v>1984</v>
      </c>
      <c r="AJ1309" s="25" t="s">
        <v>1985</v>
      </c>
      <c r="AK1309" s="65"/>
      <c r="AL1309" s="176" t="s">
        <v>1257</v>
      </c>
      <c r="AM1309" s="173" t="s">
        <v>2977</v>
      </c>
      <c r="AN1309" s="159"/>
      <c r="AO1309" s="160"/>
      <c r="AP1309" s="161"/>
      <c r="AQ1309" s="160"/>
      <c r="AR1309" s="160"/>
      <c r="AS1309" s="160"/>
      <c r="AT1309" s="160"/>
      <c r="AU1309" s="160"/>
      <c r="AV1309" s="160"/>
      <c r="AW1309" s="160"/>
      <c r="AX1309" s="160"/>
      <c r="AY1309" s="160"/>
      <c r="AZ1309" s="160"/>
      <c r="BA1309" s="160"/>
      <c r="BB1309" s="160"/>
      <c r="BC1309" s="160"/>
      <c r="BD1309" s="160"/>
      <c r="BE1309" s="160"/>
      <c r="BF1309" s="160"/>
      <c r="BG1309" s="160"/>
      <c r="BH1309" s="160"/>
      <c r="BI1309" s="160"/>
      <c r="BJ1309" s="160"/>
      <c r="BK1309" s="160"/>
      <c r="BL1309" s="160"/>
      <c r="BM1309" s="160"/>
      <c r="BN1309" s="160"/>
      <c r="BO1309" s="160"/>
      <c r="BP1309" s="160"/>
      <c r="BQ1309" s="160"/>
      <c r="BR1309" s="160"/>
      <c r="BS1309" s="160"/>
      <c r="BT1309" s="160"/>
      <c r="BU1309" s="160"/>
      <c r="BV1309" s="160"/>
      <c r="BW1309" s="160"/>
      <c r="BX1309" s="160"/>
      <c r="BY1309" s="160"/>
      <c r="BZ1309" s="160"/>
      <c r="CA1309" s="160"/>
      <c r="CB1309" s="160"/>
      <c r="CC1309" s="160"/>
      <c r="CD1309" s="160"/>
      <c r="CE1309" s="160"/>
      <c r="CF1309" s="160"/>
      <c r="CG1309" s="160"/>
      <c r="CH1309" s="160"/>
      <c r="CI1309" s="160"/>
      <c r="CJ1309" s="160"/>
      <c r="CK1309" s="160"/>
      <c r="CL1309" s="160"/>
      <c r="CM1309" s="160"/>
      <c r="CN1309" s="160"/>
      <c r="CO1309" s="160"/>
      <c r="CP1309" s="162"/>
      <c r="CQ1309" s="163"/>
      <c r="CR1309" s="162"/>
      <c r="CS1309" s="163"/>
      <c r="CT1309" s="162"/>
      <c r="CU1309" s="163"/>
      <c r="CV1309" s="164">
        <f t="shared" si="174"/>
        <v>0</v>
      </c>
      <c r="CW1309" s="165"/>
      <c r="CX1309" s="166"/>
      <c r="CY1309" s="167"/>
      <c r="CZ1309" s="168"/>
      <c r="DA1309" s="169"/>
      <c r="DB1309" s="168"/>
      <c r="DC1309" s="165"/>
      <c r="DD1309" s="166"/>
      <c r="DE1309" s="71"/>
      <c r="DF1309" s="170"/>
      <c r="EO1309" s="353" t="str">
        <f t="shared" si="177"/>
        <v>HUILA_ACEVEDO</v>
      </c>
      <c r="EP1309" s="350"/>
      <c r="EQ1309" s="350"/>
      <c r="ER1309" s="357"/>
      <c r="ES1309" s="350"/>
      <c r="ET1309" s="350"/>
      <c r="EU1309" s="350"/>
    </row>
    <row r="1310" spans="1:151" s="171" customFormat="1" ht="25.5" x14ac:dyDescent="0.2">
      <c r="A1310" s="242">
        <v>40460</v>
      </c>
      <c r="B1310" s="222" t="s">
        <v>1333</v>
      </c>
      <c r="C1310" s="222" t="s">
        <v>2971</v>
      </c>
      <c r="D1310" s="430" t="s">
        <v>2209</v>
      </c>
      <c r="E1310" s="107" t="str">
        <f>VLOOKUP(B1310&amp;C1310,Divipola!$C$2:$F$1138,4,FALSE)</f>
        <v>41006</v>
      </c>
      <c r="F1310" s="333"/>
      <c r="G1310" s="221"/>
      <c r="H1310" s="157"/>
      <c r="I1310" s="157"/>
      <c r="J1310" s="157">
        <v>12</v>
      </c>
      <c r="K1310" s="157">
        <v>1</v>
      </c>
      <c r="L1310" s="157"/>
      <c r="M1310" s="157">
        <v>1</v>
      </c>
      <c r="N1310" s="157"/>
      <c r="O1310" s="157"/>
      <c r="P1310" s="157"/>
      <c r="Q1310" s="157"/>
      <c r="R1310" s="157"/>
      <c r="S1310" s="157"/>
      <c r="T1310" s="157"/>
      <c r="U1310" s="157"/>
      <c r="V1310" s="158"/>
      <c r="W1310" s="182"/>
      <c r="X1310" s="1"/>
      <c r="Y1310" s="78">
        <f t="shared" si="171"/>
        <v>0</v>
      </c>
      <c r="Z1310" s="78">
        <f t="shared" si="172"/>
        <v>0</v>
      </c>
      <c r="AA1310" s="78">
        <f t="shared" si="176"/>
        <v>0</v>
      </c>
      <c r="AB1310" s="78">
        <f t="shared" si="173"/>
        <v>0</v>
      </c>
      <c r="AC1310" s="78"/>
      <c r="AD1310" s="78">
        <v>0</v>
      </c>
      <c r="AE1310" s="80">
        <f t="shared" si="175"/>
        <v>0</v>
      </c>
      <c r="AF1310" s="82">
        <v>0</v>
      </c>
      <c r="AG1310" s="69">
        <v>40460</v>
      </c>
      <c r="AH1310" s="84"/>
      <c r="AI1310" s="69" t="s">
        <v>1984</v>
      </c>
      <c r="AJ1310" s="276" t="s">
        <v>1985</v>
      </c>
      <c r="AK1310" s="65"/>
      <c r="AL1310" s="272" t="s">
        <v>1257</v>
      </c>
      <c r="AM1310" s="173" t="s">
        <v>2972</v>
      </c>
      <c r="AN1310" s="159"/>
      <c r="AO1310" s="160"/>
      <c r="AP1310" s="161"/>
      <c r="AQ1310" s="160"/>
      <c r="AR1310" s="160"/>
      <c r="AS1310" s="160"/>
      <c r="AT1310" s="160"/>
      <c r="AU1310" s="160"/>
      <c r="AV1310" s="160"/>
      <c r="AW1310" s="160"/>
      <c r="AX1310" s="160"/>
      <c r="AY1310" s="160"/>
      <c r="AZ1310" s="160"/>
      <c r="BA1310" s="160"/>
      <c r="BB1310" s="160"/>
      <c r="BC1310" s="160"/>
      <c r="BD1310" s="160"/>
      <c r="BE1310" s="160"/>
      <c r="BF1310" s="160"/>
      <c r="BG1310" s="160"/>
      <c r="BH1310" s="160"/>
      <c r="BI1310" s="160"/>
      <c r="BJ1310" s="160"/>
      <c r="BK1310" s="160"/>
      <c r="BL1310" s="160"/>
      <c r="BM1310" s="160"/>
      <c r="BN1310" s="160"/>
      <c r="BO1310" s="160"/>
      <c r="BP1310" s="160"/>
      <c r="BQ1310" s="160"/>
      <c r="BR1310" s="160"/>
      <c r="BS1310" s="160"/>
      <c r="BT1310" s="160"/>
      <c r="BU1310" s="160"/>
      <c r="BV1310" s="160"/>
      <c r="BW1310" s="160"/>
      <c r="BX1310" s="160"/>
      <c r="BY1310" s="160"/>
      <c r="BZ1310" s="160"/>
      <c r="CA1310" s="160"/>
      <c r="CB1310" s="160"/>
      <c r="CC1310" s="160"/>
      <c r="CD1310" s="160"/>
      <c r="CE1310" s="160"/>
      <c r="CF1310" s="160"/>
      <c r="CG1310" s="160"/>
      <c r="CH1310" s="160"/>
      <c r="CI1310" s="160"/>
      <c r="CJ1310" s="160"/>
      <c r="CK1310" s="160"/>
      <c r="CL1310" s="160"/>
      <c r="CM1310" s="160"/>
      <c r="CN1310" s="160"/>
      <c r="CO1310" s="160"/>
      <c r="CP1310" s="162"/>
      <c r="CQ1310" s="163"/>
      <c r="CR1310" s="162"/>
      <c r="CS1310" s="163"/>
      <c r="CT1310" s="162"/>
      <c r="CU1310" s="163"/>
      <c r="CV1310" s="164">
        <f t="shared" si="174"/>
        <v>0</v>
      </c>
      <c r="CW1310" s="165"/>
      <c r="CX1310" s="166"/>
      <c r="CY1310" s="167"/>
      <c r="CZ1310" s="168"/>
      <c r="DA1310" s="169"/>
      <c r="DB1310" s="168"/>
      <c r="DC1310" s="165"/>
      <c r="DD1310" s="166"/>
      <c r="DE1310" s="71"/>
      <c r="DF1310" s="170"/>
      <c r="EO1310" s="353" t="str">
        <f t="shared" si="177"/>
        <v>HUILA_ACEVEDO</v>
      </c>
      <c r="EP1310" s="350"/>
      <c r="EQ1310" s="350"/>
      <c r="ER1310" s="357"/>
      <c r="ES1310" s="350"/>
      <c r="ET1310" s="350"/>
      <c r="EU1310" s="350"/>
    </row>
    <row r="1311" spans="1:151" s="171" customFormat="1" ht="36" x14ac:dyDescent="0.2">
      <c r="A1311" s="242">
        <v>40460</v>
      </c>
      <c r="B1311" s="222" t="s">
        <v>832</v>
      </c>
      <c r="C1311" s="222" t="s">
        <v>1896</v>
      </c>
      <c r="D1311" s="430" t="s">
        <v>2209</v>
      </c>
      <c r="E1311" s="107" t="str">
        <f>VLOOKUP(B1311&amp;C1311,Divipola!$C$2:$F$1138,4,FALSE)</f>
        <v>86001</v>
      </c>
      <c r="F1311" s="333"/>
      <c r="G1311" s="221"/>
      <c r="H1311" s="157"/>
      <c r="I1311" s="157"/>
      <c r="J1311" s="157">
        <v>120</v>
      </c>
      <c r="K1311" s="157">
        <v>28</v>
      </c>
      <c r="L1311" s="157"/>
      <c r="M1311" s="157">
        <v>28</v>
      </c>
      <c r="N1311" s="157"/>
      <c r="O1311" s="157"/>
      <c r="P1311" s="157"/>
      <c r="Q1311" s="157"/>
      <c r="R1311" s="157"/>
      <c r="S1311" s="157"/>
      <c r="T1311" s="157"/>
      <c r="U1311" s="157"/>
      <c r="V1311" s="158"/>
      <c r="W1311" s="182"/>
      <c r="X1311" s="1"/>
      <c r="Y1311" s="78">
        <f t="shared" si="171"/>
        <v>0</v>
      </c>
      <c r="Z1311" s="78">
        <f t="shared" si="172"/>
        <v>0</v>
      </c>
      <c r="AA1311" s="78">
        <f t="shared" si="176"/>
        <v>11478900</v>
      </c>
      <c r="AB1311" s="78">
        <f t="shared" si="173"/>
        <v>0</v>
      </c>
      <c r="AC1311" s="78"/>
      <c r="AD1311" s="78">
        <v>0</v>
      </c>
      <c r="AE1311" s="80">
        <f t="shared" si="175"/>
        <v>11478900</v>
      </c>
      <c r="AF1311" s="82">
        <v>0</v>
      </c>
      <c r="AG1311" s="69">
        <v>40478</v>
      </c>
      <c r="AH1311" s="84"/>
      <c r="AI1311" s="69" t="s">
        <v>2009</v>
      </c>
      <c r="AJ1311" s="25" t="s">
        <v>2010</v>
      </c>
      <c r="AK1311" s="65"/>
      <c r="AL1311" s="176"/>
      <c r="AM1311" s="173" t="s">
        <v>3056</v>
      </c>
      <c r="AN1311" s="159"/>
      <c r="AO1311" s="160"/>
      <c r="AP1311" s="161"/>
      <c r="AQ1311" s="160"/>
      <c r="AR1311" s="160"/>
      <c r="AS1311" s="160"/>
      <c r="AT1311" s="160"/>
      <c r="AU1311" s="160"/>
      <c r="AV1311" s="160"/>
      <c r="AW1311" s="160"/>
      <c r="AX1311" s="160"/>
      <c r="AY1311" s="160"/>
      <c r="AZ1311" s="160"/>
      <c r="BA1311" s="160"/>
      <c r="BB1311" s="160"/>
      <c r="BC1311" s="160"/>
      <c r="BD1311" s="160"/>
      <c r="BE1311" s="160"/>
      <c r="BF1311" s="160"/>
      <c r="BG1311" s="160"/>
      <c r="BH1311" s="160"/>
      <c r="BI1311" s="160"/>
      <c r="BJ1311" s="160"/>
      <c r="BK1311" s="160"/>
      <c r="BL1311" s="160"/>
      <c r="BM1311" s="160"/>
      <c r="BN1311" s="160"/>
      <c r="BO1311" s="160"/>
      <c r="BP1311" s="160"/>
      <c r="BQ1311" s="160"/>
      <c r="BR1311" s="160"/>
      <c r="BS1311" s="160"/>
      <c r="BT1311" s="160"/>
      <c r="BU1311" s="160"/>
      <c r="BV1311" s="160"/>
      <c r="BW1311" s="160"/>
      <c r="BX1311" s="160"/>
      <c r="BY1311" s="160"/>
      <c r="BZ1311" s="160"/>
      <c r="CA1311" s="160"/>
      <c r="CB1311" s="160"/>
      <c r="CC1311" s="160"/>
      <c r="CD1311" s="160"/>
      <c r="CE1311" s="160"/>
      <c r="CF1311" s="160"/>
      <c r="CG1311" s="160"/>
      <c r="CH1311" s="160"/>
      <c r="CI1311" s="160"/>
      <c r="CJ1311" s="160"/>
      <c r="CK1311" s="160"/>
      <c r="CL1311" s="160"/>
      <c r="CM1311" s="160"/>
      <c r="CN1311" s="160"/>
      <c r="CO1311" s="160"/>
      <c r="CP1311" s="162"/>
      <c r="CQ1311" s="163"/>
      <c r="CR1311" s="162"/>
      <c r="CS1311" s="163"/>
      <c r="CT1311" s="162"/>
      <c r="CU1311" s="163"/>
      <c r="CV1311" s="164">
        <f t="shared" si="174"/>
        <v>0</v>
      </c>
      <c r="CW1311" s="165"/>
      <c r="CX1311" s="166"/>
      <c r="CY1311" s="167"/>
      <c r="CZ1311" s="168"/>
      <c r="DA1311" s="169"/>
      <c r="DB1311" s="168"/>
      <c r="DC1311" s="165">
        <f>173+268+38</f>
        <v>479</v>
      </c>
      <c r="DD1311" s="166">
        <f>173*17980+268*27360+38*27260</f>
        <v>11478900</v>
      </c>
      <c r="DE1311" s="71"/>
      <c r="DF1311" s="170"/>
      <c r="EO1311" s="353" t="str">
        <f t="shared" si="177"/>
        <v>PUTUMAYO_MOCOA</v>
      </c>
      <c r="EP1311" s="350"/>
      <c r="EQ1311" s="350"/>
      <c r="ER1311" s="357"/>
      <c r="ES1311" s="350"/>
      <c r="ET1311" s="350"/>
      <c r="EU1311" s="350"/>
    </row>
    <row r="1312" spans="1:151" s="171" customFormat="1" ht="25.5" x14ac:dyDescent="0.2">
      <c r="A1312" s="242">
        <v>40460</v>
      </c>
      <c r="B1312" s="222" t="s">
        <v>2427</v>
      </c>
      <c r="C1312" s="222" t="s">
        <v>4541</v>
      </c>
      <c r="D1312" s="427" t="s">
        <v>2307</v>
      </c>
      <c r="E1312" s="107" t="str">
        <f>VLOOKUP(B1312&amp;C1312,Divipola!$C$2:$F$1138,4,FALSE)</f>
        <v>68162</v>
      </c>
      <c r="F1312" s="330"/>
      <c r="G1312" s="275"/>
      <c r="H1312" s="157"/>
      <c r="I1312" s="157"/>
      <c r="J1312" s="157">
        <v>250</v>
      </c>
      <c r="K1312" s="157">
        <v>50</v>
      </c>
      <c r="L1312" s="157">
        <v>30</v>
      </c>
      <c r="M1312" s="157">
        <v>20</v>
      </c>
      <c r="N1312" s="157">
        <v>3</v>
      </c>
      <c r="O1312" s="157">
        <v>1</v>
      </c>
      <c r="P1312" s="157"/>
      <c r="Q1312" s="157">
        <v>1</v>
      </c>
      <c r="R1312" s="157"/>
      <c r="S1312" s="157"/>
      <c r="T1312" s="157">
        <v>2</v>
      </c>
      <c r="U1312" s="157"/>
      <c r="V1312" s="158">
        <v>44</v>
      </c>
      <c r="W1312" s="182"/>
      <c r="X1312" s="1"/>
      <c r="Y1312" s="78">
        <f t="shared" si="171"/>
        <v>0</v>
      </c>
      <c r="Z1312" s="78">
        <f t="shared" si="172"/>
        <v>0</v>
      </c>
      <c r="AA1312" s="78">
        <f t="shared" si="176"/>
        <v>0</v>
      </c>
      <c r="AB1312" s="78">
        <f t="shared" si="173"/>
        <v>0</v>
      </c>
      <c r="AC1312" s="78"/>
      <c r="AD1312" s="78">
        <v>0</v>
      </c>
      <c r="AE1312" s="80">
        <f t="shared" si="175"/>
        <v>0</v>
      </c>
      <c r="AF1312" s="82">
        <v>0</v>
      </c>
      <c r="AG1312" s="69">
        <v>40462</v>
      </c>
      <c r="AH1312" s="84"/>
      <c r="AI1312" s="69" t="s">
        <v>2009</v>
      </c>
      <c r="AJ1312" s="25" t="s">
        <v>2010</v>
      </c>
      <c r="AK1312" s="65"/>
      <c r="AL1312" s="184" t="s">
        <v>2663</v>
      </c>
      <c r="AM1312" s="173" t="s">
        <v>2724</v>
      </c>
      <c r="AN1312" s="159"/>
      <c r="AO1312" s="160"/>
      <c r="AP1312" s="161"/>
      <c r="AQ1312" s="160"/>
      <c r="AR1312" s="160"/>
      <c r="AS1312" s="160"/>
      <c r="AT1312" s="160"/>
      <c r="AU1312" s="160"/>
      <c r="AV1312" s="160"/>
      <c r="AW1312" s="160"/>
      <c r="AX1312" s="160"/>
      <c r="AY1312" s="160"/>
      <c r="AZ1312" s="160"/>
      <c r="BA1312" s="160"/>
      <c r="BB1312" s="160"/>
      <c r="BC1312" s="160"/>
      <c r="BD1312" s="160"/>
      <c r="BE1312" s="160"/>
      <c r="BF1312" s="160"/>
      <c r="BG1312" s="160"/>
      <c r="BH1312" s="160"/>
      <c r="BI1312" s="160"/>
      <c r="BJ1312" s="160"/>
      <c r="BK1312" s="160"/>
      <c r="BL1312" s="160"/>
      <c r="BM1312" s="160"/>
      <c r="BN1312" s="160"/>
      <c r="BO1312" s="160"/>
      <c r="BP1312" s="160"/>
      <c r="BQ1312" s="160"/>
      <c r="BR1312" s="160"/>
      <c r="BS1312" s="160"/>
      <c r="BT1312" s="160"/>
      <c r="BU1312" s="160"/>
      <c r="BV1312" s="160"/>
      <c r="BW1312" s="160"/>
      <c r="BX1312" s="160"/>
      <c r="BY1312" s="160"/>
      <c r="BZ1312" s="160"/>
      <c r="CA1312" s="160"/>
      <c r="CB1312" s="160"/>
      <c r="CC1312" s="160"/>
      <c r="CD1312" s="160"/>
      <c r="CE1312" s="160"/>
      <c r="CF1312" s="160"/>
      <c r="CG1312" s="160"/>
      <c r="CH1312" s="160"/>
      <c r="CI1312" s="160"/>
      <c r="CJ1312" s="160"/>
      <c r="CK1312" s="160"/>
      <c r="CL1312" s="160"/>
      <c r="CM1312" s="160"/>
      <c r="CN1312" s="160"/>
      <c r="CO1312" s="160"/>
      <c r="CP1312" s="162"/>
      <c r="CQ1312" s="163"/>
      <c r="CR1312" s="162"/>
      <c r="CS1312" s="163"/>
      <c r="CT1312" s="162"/>
      <c r="CU1312" s="163"/>
      <c r="CV1312" s="164">
        <f t="shared" si="174"/>
        <v>0</v>
      </c>
      <c r="CW1312" s="165"/>
      <c r="CX1312" s="166"/>
      <c r="CY1312" s="167"/>
      <c r="CZ1312" s="168"/>
      <c r="DA1312" s="169"/>
      <c r="DB1312" s="168"/>
      <c r="DC1312" s="165"/>
      <c r="DD1312" s="166"/>
      <c r="DE1312" s="71"/>
      <c r="DF1312" s="170"/>
      <c r="EO1312" s="353" t="str">
        <f t="shared" si="177"/>
        <v>SANTANDER_CERRITO</v>
      </c>
      <c r="EP1312" s="350"/>
      <c r="EQ1312" s="350"/>
      <c r="ER1312" s="357"/>
      <c r="ES1312" s="350"/>
      <c r="ET1312" s="350"/>
      <c r="EU1312" s="350"/>
    </row>
    <row r="1313" spans="1:151" s="171" customFormat="1" ht="25.5" x14ac:dyDescent="0.2">
      <c r="A1313" s="246">
        <v>40461</v>
      </c>
      <c r="B1313" s="280" t="s">
        <v>2401</v>
      </c>
      <c r="C1313" s="280" t="s">
        <v>271</v>
      </c>
      <c r="D1313" s="431" t="s">
        <v>2307</v>
      </c>
      <c r="E1313" s="107" t="str">
        <f>VLOOKUP(B1313&amp;C1313,Divipola!$C$2:$F$1138,4,FALSE)</f>
        <v>05030</v>
      </c>
      <c r="F1313" s="334"/>
      <c r="G1313" s="221"/>
      <c r="H1313" s="157"/>
      <c r="I1313" s="157"/>
      <c r="J1313" s="157">
        <v>66</v>
      </c>
      <c r="K1313" s="157">
        <v>34</v>
      </c>
      <c r="L1313" s="157">
        <v>4</v>
      </c>
      <c r="M1313" s="157">
        <v>30</v>
      </c>
      <c r="N1313" s="157"/>
      <c r="O1313" s="157"/>
      <c r="P1313" s="157"/>
      <c r="Q1313" s="157"/>
      <c r="R1313" s="157"/>
      <c r="S1313" s="157"/>
      <c r="T1313" s="157"/>
      <c r="U1313" s="157"/>
      <c r="V1313" s="158"/>
      <c r="W1313" s="182"/>
      <c r="X1313" s="1"/>
      <c r="Y1313" s="78">
        <f t="shared" si="171"/>
        <v>0</v>
      </c>
      <c r="Z1313" s="78">
        <f t="shared" si="172"/>
        <v>0</v>
      </c>
      <c r="AA1313" s="78">
        <f t="shared" si="176"/>
        <v>0</v>
      </c>
      <c r="AB1313" s="78">
        <f t="shared" si="173"/>
        <v>0</v>
      </c>
      <c r="AC1313" s="78"/>
      <c r="AD1313" s="78">
        <v>0</v>
      </c>
      <c r="AE1313" s="80">
        <f t="shared" si="175"/>
        <v>0</v>
      </c>
      <c r="AF1313" s="82">
        <v>0</v>
      </c>
      <c r="AG1313" s="69">
        <v>40465</v>
      </c>
      <c r="AH1313" s="84"/>
      <c r="AI1313" s="69" t="s">
        <v>1984</v>
      </c>
      <c r="AJ1313" s="25" t="s">
        <v>1985</v>
      </c>
      <c r="AK1313" s="65"/>
      <c r="AL1313" s="176" t="s">
        <v>1257</v>
      </c>
      <c r="AM1313" s="173" t="s">
        <v>1802</v>
      </c>
      <c r="AN1313" s="159"/>
      <c r="AO1313" s="160"/>
      <c r="AP1313" s="161"/>
      <c r="AQ1313" s="160"/>
      <c r="AR1313" s="160"/>
      <c r="AS1313" s="160"/>
      <c r="AT1313" s="160"/>
      <c r="AU1313" s="160"/>
      <c r="AV1313" s="160"/>
      <c r="AW1313" s="160"/>
      <c r="AX1313" s="160"/>
      <c r="AY1313" s="160"/>
      <c r="AZ1313" s="160"/>
      <c r="BA1313" s="160"/>
      <c r="BB1313" s="160"/>
      <c r="BC1313" s="160"/>
      <c r="BD1313" s="160"/>
      <c r="BE1313" s="160"/>
      <c r="BF1313" s="160"/>
      <c r="BG1313" s="160"/>
      <c r="BH1313" s="160"/>
      <c r="BI1313" s="160"/>
      <c r="BJ1313" s="160"/>
      <c r="BK1313" s="160"/>
      <c r="BL1313" s="160"/>
      <c r="BM1313" s="160"/>
      <c r="BN1313" s="160"/>
      <c r="BO1313" s="160"/>
      <c r="BP1313" s="160"/>
      <c r="BQ1313" s="160"/>
      <c r="BR1313" s="160"/>
      <c r="BS1313" s="160"/>
      <c r="BT1313" s="160"/>
      <c r="BU1313" s="160"/>
      <c r="BV1313" s="160"/>
      <c r="BW1313" s="160"/>
      <c r="BX1313" s="160"/>
      <c r="BY1313" s="160"/>
      <c r="BZ1313" s="160"/>
      <c r="CA1313" s="160"/>
      <c r="CB1313" s="160"/>
      <c r="CC1313" s="160"/>
      <c r="CD1313" s="160"/>
      <c r="CE1313" s="160"/>
      <c r="CF1313" s="160"/>
      <c r="CG1313" s="160"/>
      <c r="CH1313" s="160"/>
      <c r="CI1313" s="160"/>
      <c r="CJ1313" s="160"/>
      <c r="CK1313" s="160"/>
      <c r="CL1313" s="160"/>
      <c r="CM1313" s="160"/>
      <c r="CN1313" s="160"/>
      <c r="CO1313" s="160"/>
      <c r="CP1313" s="162"/>
      <c r="CQ1313" s="163"/>
      <c r="CR1313" s="162"/>
      <c r="CS1313" s="163"/>
      <c r="CT1313" s="162"/>
      <c r="CU1313" s="163"/>
      <c r="CV1313" s="164">
        <f t="shared" si="174"/>
        <v>0</v>
      </c>
      <c r="CW1313" s="165"/>
      <c r="CX1313" s="166"/>
      <c r="CY1313" s="167"/>
      <c r="CZ1313" s="168"/>
      <c r="DA1313" s="169"/>
      <c r="DB1313" s="168"/>
      <c r="DC1313" s="165"/>
      <c r="DD1313" s="166"/>
      <c r="DE1313" s="71"/>
      <c r="DF1313" s="170"/>
      <c r="EO1313" s="353" t="str">
        <f t="shared" si="177"/>
        <v>ANTIOQUIA_AMAGA</v>
      </c>
      <c r="EP1313" s="350"/>
      <c r="EQ1313" s="350"/>
      <c r="ER1313" s="357"/>
      <c r="ES1313" s="350"/>
      <c r="ET1313" s="350"/>
      <c r="EU1313" s="350"/>
    </row>
    <row r="1314" spans="1:151" s="171" customFormat="1" ht="25.5" x14ac:dyDescent="0.2">
      <c r="A1314" s="242">
        <v>40461</v>
      </c>
      <c r="B1314" s="222" t="s">
        <v>1333</v>
      </c>
      <c r="C1314" s="222" t="s">
        <v>1432</v>
      </c>
      <c r="D1314" s="430" t="s">
        <v>1721</v>
      </c>
      <c r="E1314" s="107" t="str">
        <f>VLOOKUP(B1314&amp;C1314,Divipola!$C$2:$F$1138,4,FALSE)</f>
        <v>41807</v>
      </c>
      <c r="F1314" s="333"/>
      <c r="G1314" s="221"/>
      <c r="H1314" s="157"/>
      <c r="I1314" s="157"/>
      <c r="J1314" s="157">
        <v>5</v>
      </c>
      <c r="K1314" s="157">
        <v>1</v>
      </c>
      <c r="L1314" s="157">
        <v>1</v>
      </c>
      <c r="M1314" s="157"/>
      <c r="N1314" s="157"/>
      <c r="O1314" s="157"/>
      <c r="P1314" s="157"/>
      <c r="Q1314" s="157"/>
      <c r="R1314" s="157"/>
      <c r="S1314" s="157"/>
      <c r="T1314" s="157"/>
      <c r="U1314" s="157"/>
      <c r="V1314" s="158"/>
      <c r="W1314" s="182"/>
      <c r="X1314" s="1"/>
      <c r="Y1314" s="78">
        <f t="shared" si="171"/>
        <v>0</v>
      </c>
      <c r="Z1314" s="78">
        <f t="shared" si="172"/>
        <v>0</v>
      </c>
      <c r="AA1314" s="78">
        <f t="shared" si="176"/>
        <v>0</v>
      </c>
      <c r="AB1314" s="78">
        <f t="shared" si="173"/>
        <v>0</v>
      </c>
      <c r="AC1314" s="78"/>
      <c r="AD1314" s="78">
        <v>0</v>
      </c>
      <c r="AE1314" s="80">
        <f t="shared" si="175"/>
        <v>0</v>
      </c>
      <c r="AF1314" s="82">
        <v>0</v>
      </c>
      <c r="AG1314" s="69">
        <v>40462</v>
      </c>
      <c r="AH1314" s="84"/>
      <c r="AI1314" s="69" t="s">
        <v>1984</v>
      </c>
      <c r="AJ1314" s="25" t="s">
        <v>1985</v>
      </c>
      <c r="AK1314" s="65"/>
      <c r="AL1314" s="176" t="s">
        <v>1257</v>
      </c>
      <c r="AM1314" s="173" t="s">
        <v>2728</v>
      </c>
      <c r="AN1314" s="159"/>
      <c r="AO1314" s="160"/>
      <c r="AP1314" s="161"/>
      <c r="AQ1314" s="160"/>
      <c r="AR1314" s="160"/>
      <c r="AS1314" s="160"/>
      <c r="AT1314" s="160"/>
      <c r="AU1314" s="160"/>
      <c r="AV1314" s="160"/>
      <c r="AW1314" s="160"/>
      <c r="AX1314" s="160"/>
      <c r="AY1314" s="160"/>
      <c r="AZ1314" s="160"/>
      <c r="BA1314" s="160"/>
      <c r="BB1314" s="160"/>
      <c r="BC1314" s="160"/>
      <c r="BD1314" s="160"/>
      <c r="BE1314" s="160"/>
      <c r="BF1314" s="160"/>
      <c r="BG1314" s="160"/>
      <c r="BH1314" s="160"/>
      <c r="BI1314" s="160"/>
      <c r="BJ1314" s="160"/>
      <c r="BK1314" s="160"/>
      <c r="BL1314" s="160"/>
      <c r="BM1314" s="160"/>
      <c r="BN1314" s="160"/>
      <c r="BO1314" s="160"/>
      <c r="BP1314" s="160"/>
      <c r="BQ1314" s="160"/>
      <c r="BR1314" s="160"/>
      <c r="BS1314" s="160"/>
      <c r="BT1314" s="160"/>
      <c r="BU1314" s="160"/>
      <c r="BV1314" s="160"/>
      <c r="BW1314" s="160"/>
      <c r="BX1314" s="160"/>
      <c r="BY1314" s="160"/>
      <c r="BZ1314" s="160"/>
      <c r="CA1314" s="160"/>
      <c r="CB1314" s="160"/>
      <c r="CC1314" s="160"/>
      <c r="CD1314" s="160"/>
      <c r="CE1314" s="160"/>
      <c r="CF1314" s="160"/>
      <c r="CG1314" s="160"/>
      <c r="CH1314" s="160"/>
      <c r="CI1314" s="160"/>
      <c r="CJ1314" s="160"/>
      <c r="CK1314" s="160"/>
      <c r="CL1314" s="160"/>
      <c r="CM1314" s="160"/>
      <c r="CN1314" s="160"/>
      <c r="CO1314" s="160"/>
      <c r="CP1314" s="162"/>
      <c r="CQ1314" s="163"/>
      <c r="CR1314" s="162"/>
      <c r="CS1314" s="163"/>
      <c r="CT1314" s="162"/>
      <c r="CU1314" s="163"/>
      <c r="CV1314" s="164">
        <f t="shared" si="174"/>
        <v>0</v>
      </c>
      <c r="CW1314" s="165"/>
      <c r="CX1314" s="166"/>
      <c r="CY1314" s="167"/>
      <c r="CZ1314" s="168"/>
      <c r="DA1314" s="169"/>
      <c r="DB1314" s="168"/>
      <c r="DC1314" s="165"/>
      <c r="DD1314" s="166"/>
      <c r="DE1314" s="71"/>
      <c r="DF1314" s="170"/>
      <c r="EO1314" s="353" t="str">
        <f t="shared" si="177"/>
        <v>HUILA_TIMANA</v>
      </c>
      <c r="EP1314" s="350"/>
      <c r="EQ1314" s="350"/>
      <c r="ER1314" s="357"/>
      <c r="ES1314" s="350"/>
      <c r="ET1314" s="350"/>
      <c r="EU1314" s="350"/>
    </row>
    <row r="1315" spans="1:151" s="171" customFormat="1" ht="25.5" x14ac:dyDescent="0.2">
      <c r="A1315" s="242">
        <v>40461</v>
      </c>
      <c r="B1315" s="222" t="s">
        <v>708</v>
      </c>
      <c r="C1315" s="222" t="s">
        <v>2019</v>
      </c>
      <c r="D1315" s="430" t="s">
        <v>2209</v>
      </c>
      <c r="E1315" s="107" t="str">
        <f>VLOOKUP(B1315&amp;C1315,Divipola!$C$2:$F$1138,4,FALSE)</f>
        <v>50590</v>
      </c>
      <c r="F1315" s="333"/>
      <c r="G1315" s="221"/>
      <c r="H1315" s="157"/>
      <c r="I1315" s="157"/>
      <c r="J1315" s="157">
        <v>1700</v>
      </c>
      <c r="K1315" s="157">
        <v>400</v>
      </c>
      <c r="L1315" s="157"/>
      <c r="M1315" s="157">
        <v>1</v>
      </c>
      <c r="N1315" s="157"/>
      <c r="O1315" s="157"/>
      <c r="P1315" s="157"/>
      <c r="Q1315" s="157"/>
      <c r="R1315" s="157"/>
      <c r="S1315" s="157"/>
      <c r="T1315" s="157"/>
      <c r="U1315" s="157"/>
      <c r="V1315" s="158"/>
      <c r="W1315" s="182" t="s">
        <v>2180</v>
      </c>
      <c r="X1315" s="1"/>
      <c r="Y1315" s="78">
        <f t="shared" si="171"/>
        <v>0</v>
      </c>
      <c r="Z1315" s="78">
        <f t="shared" si="172"/>
        <v>0</v>
      </c>
      <c r="AA1315" s="78">
        <f t="shared" si="176"/>
        <v>0</v>
      </c>
      <c r="AB1315" s="78">
        <f t="shared" si="173"/>
        <v>0</v>
      </c>
      <c r="AC1315" s="78"/>
      <c r="AD1315" s="78">
        <v>0</v>
      </c>
      <c r="AE1315" s="80">
        <f t="shared" si="175"/>
        <v>0</v>
      </c>
      <c r="AF1315" s="82">
        <v>0</v>
      </c>
      <c r="AG1315" s="69">
        <v>40462</v>
      </c>
      <c r="AH1315" s="84"/>
      <c r="AI1315" s="69" t="s">
        <v>1984</v>
      </c>
      <c r="AJ1315" s="25" t="s">
        <v>1985</v>
      </c>
      <c r="AK1315" s="65"/>
      <c r="AL1315" s="176" t="s">
        <v>1257</v>
      </c>
      <c r="AM1315" s="173" t="s">
        <v>1159</v>
      </c>
      <c r="AN1315" s="159"/>
      <c r="AO1315" s="160"/>
      <c r="AP1315" s="161"/>
      <c r="AQ1315" s="160"/>
      <c r="AR1315" s="160"/>
      <c r="AS1315" s="160"/>
      <c r="AT1315" s="160"/>
      <c r="AU1315" s="160"/>
      <c r="AV1315" s="160"/>
      <c r="AW1315" s="160"/>
      <c r="AX1315" s="160"/>
      <c r="AY1315" s="160"/>
      <c r="AZ1315" s="160"/>
      <c r="BA1315" s="160"/>
      <c r="BB1315" s="160"/>
      <c r="BC1315" s="160"/>
      <c r="BD1315" s="160"/>
      <c r="BE1315" s="160"/>
      <c r="BF1315" s="160"/>
      <c r="BG1315" s="160"/>
      <c r="BH1315" s="160"/>
      <c r="BI1315" s="160"/>
      <c r="BJ1315" s="160"/>
      <c r="BK1315" s="160"/>
      <c r="BL1315" s="160"/>
      <c r="BM1315" s="160"/>
      <c r="BN1315" s="160"/>
      <c r="BO1315" s="160"/>
      <c r="BP1315" s="160"/>
      <c r="BQ1315" s="160"/>
      <c r="BR1315" s="160"/>
      <c r="BS1315" s="160"/>
      <c r="BT1315" s="160"/>
      <c r="BU1315" s="160"/>
      <c r="BV1315" s="160"/>
      <c r="BW1315" s="160"/>
      <c r="BX1315" s="160"/>
      <c r="BY1315" s="160"/>
      <c r="BZ1315" s="160"/>
      <c r="CA1315" s="160"/>
      <c r="CB1315" s="160"/>
      <c r="CC1315" s="160"/>
      <c r="CD1315" s="160"/>
      <c r="CE1315" s="160"/>
      <c r="CF1315" s="160"/>
      <c r="CG1315" s="160"/>
      <c r="CH1315" s="160"/>
      <c r="CI1315" s="160"/>
      <c r="CJ1315" s="160"/>
      <c r="CK1315" s="160"/>
      <c r="CL1315" s="160"/>
      <c r="CM1315" s="160"/>
      <c r="CN1315" s="160"/>
      <c r="CO1315" s="160"/>
      <c r="CP1315" s="162"/>
      <c r="CQ1315" s="163"/>
      <c r="CR1315" s="162"/>
      <c r="CS1315" s="163"/>
      <c r="CT1315" s="162"/>
      <c r="CU1315" s="163"/>
      <c r="CV1315" s="164">
        <f t="shared" si="174"/>
        <v>0</v>
      </c>
      <c r="CW1315" s="165"/>
      <c r="CX1315" s="166"/>
      <c r="CY1315" s="167"/>
      <c r="CZ1315" s="168"/>
      <c r="DA1315" s="169"/>
      <c r="DB1315" s="168"/>
      <c r="DC1315" s="165"/>
      <c r="DD1315" s="166"/>
      <c r="DE1315" s="71"/>
      <c r="DF1315" s="170"/>
      <c r="EO1315" s="353" t="str">
        <f t="shared" si="177"/>
        <v>META_PUERTO RICO</v>
      </c>
      <c r="EP1315" s="350"/>
      <c r="EQ1315" s="350"/>
      <c r="ER1315" s="357"/>
      <c r="ES1315" s="350"/>
      <c r="ET1315" s="350"/>
      <c r="EU1315" s="350"/>
    </row>
    <row r="1316" spans="1:151" s="171" customFormat="1" ht="38.25" x14ac:dyDescent="0.2">
      <c r="A1316" s="242">
        <v>40461</v>
      </c>
      <c r="B1316" s="222" t="s">
        <v>832</v>
      </c>
      <c r="C1316" s="222" t="s">
        <v>4657</v>
      </c>
      <c r="D1316" s="430" t="s">
        <v>2209</v>
      </c>
      <c r="E1316" s="107" t="str">
        <f>VLOOKUP(B1316&amp;C1316,Divipola!$C$2:$F$1138,4,FALSE)</f>
        <v>86885</v>
      </c>
      <c r="F1316" s="333"/>
      <c r="G1316" s="221"/>
      <c r="H1316" s="157"/>
      <c r="I1316" s="157"/>
      <c r="J1316" s="157">
        <v>12</v>
      </c>
      <c r="K1316" s="157">
        <v>4</v>
      </c>
      <c r="L1316" s="157"/>
      <c r="M1316" s="157">
        <v>3</v>
      </c>
      <c r="N1316" s="157"/>
      <c r="O1316" s="157"/>
      <c r="P1316" s="157"/>
      <c r="Q1316" s="157"/>
      <c r="R1316" s="157"/>
      <c r="S1316" s="157"/>
      <c r="T1316" s="157"/>
      <c r="U1316" s="157"/>
      <c r="V1316" s="158"/>
      <c r="W1316" s="182"/>
      <c r="X1316" s="1"/>
      <c r="Y1316" s="78">
        <f t="shared" si="171"/>
        <v>0</v>
      </c>
      <c r="Z1316" s="78">
        <f t="shared" si="172"/>
        <v>0</v>
      </c>
      <c r="AA1316" s="78">
        <f t="shared" si="176"/>
        <v>0</v>
      </c>
      <c r="AB1316" s="78">
        <f t="shared" si="173"/>
        <v>0</v>
      </c>
      <c r="AC1316" s="78"/>
      <c r="AD1316" s="78">
        <v>0</v>
      </c>
      <c r="AE1316" s="80">
        <f t="shared" si="175"/>
        <v>0</v>
      </c>
      <c r="AF1316" s="82">
        <v>0</v>
      </c>
      <c r="AG1316" s="69">
        <v>40462</v>
      </c>
      <c r="AH1316" s="84"/>
      <c r="AI1316" s="69" t="s">
        <v>1984</v>
      </c>
      <c r="AJ1316" s="25" t="s">
        <v>1985</v>
      </c>
      <c r="AK1316" s="65"/>
      <c r="AL1316" s="176" t="s">
        <v>1257</v>
      </c>
      <c r="AM1316" s="173" t="s">
        <v>2727</v>
      </c>
      <c r="AN1316" s="159"/>
      <c r="AO1316" s="160"/>
      <c r="AP1316" s="161"/>
      <c r="AQ1316" s="160"/>
      <c r="AR1316" s="160"/>
      <c r="AS1316" s="160"/>
      <c r="AT1316" s="160"/>
      <c r="AU1316" s="160"/>
      <c r="AV1316" s="160"/>
      <c r="AW1316" s="160"/>
      <c r="AX1316" s="160"/>
      <c r="AY1316" s="160"/>
      <c r="AZ1316" s="160"/>
      <c r="BA1316" s="160"/>
      <c r="BB1316" s="160"/>
      <c r="BC1316" s="160"/>
      <c r="BD1316" s="160"/>
      <c r="BE1316" s="160"/>
      <c r="BF1316" s="160"/>
      <c r="BG1316" s="160"/>
      <c r="BH1316" s="160"/>
      <c r="BI1316" s="160"/>
      <c r="BJ1316" s="160"/>
      <c r="BK1316" s="160"/>
      <c r="BL1316" s="160"/>
      <c r="BM1316" s="160"/>
      <c r="BN1316" s="160"/>
      <c r="BO1316" s="160"/>
      <c r="BP1316" s="160"/>
      <c r="BQ1316" s="160"/>
      <c r="BR1316" s="160"/>
      <c r="BS1316" s="160"/>
      <c r="BT1316" s="160"/>
      <c r="BU1316" s="160"/>
      <c r="BV1316" s="160"/>
      <c r="BW1316" s="160"/>
      <c r="BX1316" s="160"/>
      <c r="BY1316" s="160"/>
      <c r="BZ1316" s="160"/>
      <c r="CA1316" s="160"/>
      <c r="CB1316" s="160"/>
      <c r="CC1316" s="160"/>
      <c r="CD1316" s="160"/>
      <c r="CE1316" s="160"/>
      <c r="CF1316" s="160"/>
      <c r="CG1316" s="160"/>
      <c r="CH1316" s="160"/>
      <c r="CI1316" s="160"/>
      <c r="CJ1316" s="160"/>
      <c r="CK1316" s="160"/>
      <c r="CL1316" s="160"/>
      <c r="CM1316" s="160"/>
      <c r="CN1316" s="160"/>
      <c r="CO1316" s="160"/>
      <c r="CP1316" s="162"/>
      <c r="CQ1316" s="163"/>
      <c r="CR1316" s="162"/>
      <c r="CS1316" s="163"/>
      <c r="CT1316" s="162"/>
      <c r="CU1316" s="163"/>
      <c r="CV1316" s="164">
        <f t="shared" si="174"/>
        <v>0</v>
      </c>
      <c r="CW1316" s="165"/>
      <c r="CX1316" s="166"/>
      <c r="CY1316" s="167"/>
      <c r="CZ1316" s="168"/>
      <c r="DA1316" s="169"/>
      <c r="DB1316" s="168"/>
      <c r="DC1316" s="165"/>
      <c r="DD1316" s="166"/>
      <c r="DE1316" s="71"/>
      <c r="DF1316" s="170"/>
      <c r="EO1316" s="353" t="str">
        <f t="shared" si="177"/>
        <v>PUTUMAYO_VILLAGARZON</v>
      </c>
      <c r="EP1316" s="350"/>
      <c r="EQ1316" s="350"/>
      <c r="ER1316" s="357"/>
      <c r="ES1316" s="350"/>
      <c r="ET1316" s="350"/>
      <c r="EU1316" s="350"/>
    </row>
    <row r="1317" spans="1:151" s="171" customFormat="1" ht="36" x14ac:dyDescent="0.2">
      <c r="A1317" s="242">
        <v>40461</v>
      </c>
      <c r="B1317" s="107" t="s">
        <v>2012</v>
      </c>
      <c r="C1317" s="222" t="s">
        <v>2433</v>
      </c>
      <c r="D1317" s="430" t="s">
        <v>2209</v>
      </c>
      <c r="E1317" s="107" t="str">
        <f>VLOOKUP(B1317&amp;C1317,Divipola!$C$2:$F$1138,4,FALSE)</f>
        <v>66001</v>
      </c>
      <c r="F1317" s="333"/>
      <c r="G1317" s="221"/>
      <c r="H1317" s="157"/>
      <c r="I1317" s="157"/>
      <c r="J1317" s="157">
        <f>16*5</f>
        <v>80</v>
      </c>
      <c r="K1317" s="157">
        <v>16</v>
      </c>
      <c r="L1317" s="157"/>
      <c r="M1317" s="157">
        <v>16</v>
      </c>
      <c r="N1317" s="157"/>
      <c r="O1317" s="157"/>
      <c r="P1317" s="157"/>
      <c r="Q1317" s="157"/>
      <c r="R1317" s="157"/>
      <c r="S1317" s="157"/>
      <c r="T1317" s="157"/>
      <c r="U1317" s="157"/>
      <c r="V1317" s="158"/>
      <c r="W1317" s="182"/>
      <c r="X1317" s="1"/>
      <c r="Y1317" s="78">
        <f t="shared" si="171"/>
        <v>0</v>
      </c>
      <c r="Z1317" s="78">
        <f t="shared" si="172"/>
        <v>0</v>
      </c>
      <c r="AA1317" s="78">
        <f t="shared" si="176"/>
        <v>0</v>
      </c>
      <c r="AB1317" s="78">
        <f t="shared" si="173"/>
        <v>0</v>
      </c>
      <c r="AC1317" s="78"/>
      <c r="AD1317" s="78">
        <v>0</v>
      </c>
      <c r="AE1317" s="80">
        <f t="shared" si="175"/>
        <v>0</v>
      </c>
      <c r="AF1317" s="82">
        <v>0</v>
      </c>
      <c r="AG1317" s="69">
        <v>40462</v>
      </c>
      <c r="AH1317" s="84"/>
      <c r="AI1317" s="69" t="s">
        <v>1984</v>
      </c>
      <c r="AJ1317" s="25" t="s">
        <v>1985</v>
      </c>
      <c r="AK1317" s="65"/>
      <c r="AL1317" s="176" t="s">
        <v>1257</v>
      </c>
      <c r="AM1317" s="173" t="s">
        <v>2726</v>
      </c>
      <c r="AN1317" s="159"/>
      <c r="AO1317" s="160"/>
      <c r="AP1317" s="161"/>
      <c r="AQ1317" s="160"/>
      <c r="AR1317" s="160"/>
      <c r="AS1317" s="160"/>
      <c r="AT1317" s="160"/>
      <c r="AU1317" s="160"/>
      <c r="AV1317" s="160"/>
      <c r="AW1317" s="160"/>
      <c r="AX1317" s="160"/>
      <c r="AY1317" s="160"/>
      <c r="AZ1317" s="160"/>
      <c r="BA1317" s="160"/>
      <c r="BB1317" s="160"/>
      <c r="BC1317" s="160"/>
      <c r="BD1317" s="160"/>
      <c r="BE1317" s="160"/>
      <c r="BF1317" s="160"/>
      <c r="BG1317" s="160"/>
      <c r="BH1317" s="160"/>
      <c r="BI1317" s="160"/>
      <c r="BJ1317" s="160"/>
      <c r="BK1317" s="160"/>
      <c r="BL1317" s="160"/>
      <c r="BM1317" s="160"/>
      <c r="BN1317" s="160"/>
      <c r="BO1317" s="160"/>
      <c r="BP1317" s="160"/>
      <c r="BQ1317" s="160"/>
      <c r="BR1317" s="160"/>
      <c r="BS1317" s="160"/>
      <c r="BT1317" s="160"/>
      <c r="BU1317" s="160"/>
      <c r="BV1317" s="160"/>
      <c r="BW1317" s="160"/>
      <c r="BX1317" s="160"/>
      <c r="BY1317" s="160"/>
      <c r="BZ1317" s="160"/>
      <c r="CA1317" s="160"/>
      <c r="CB1317" s="160"/>
      <c r="CC1317" s="160"/>
      <c r="CD1317" s="160"/>
      <c r="CE1317" s="160"/>
      <c r="CF1317" s="160"/>
      <c r="CG1317" s="160"/>
      <c r="CH1317" s="160"/>
      <c r="CI1317" s="160"/>
      <c r="CJ1317" s="160"/>
      <c r="CK1317" s="160"/>
      <c r="CL1317" s="160"/>
      <c r="CM1317" s="160"/>
      <c r="CN1317" s="160"/>
      <c r="CO1317" s="160"/>
      <c r="CP1317" s="162"/>
      <c r="CQ1317" s="163"/>
      <c r="CR1317" s="162"/>
      <c r="CS1317" s="163"/>
      <c r="CT1317" s="162"/>
      <c r="CU1317" s="163"/>
      <c r="CV1317" s="164">
        <f t="shared" si="174"/>
        <v>0</v>
      </c>
      <c r="CW1317" s="165"/>
      <c r="CX1317" s="166"/>
      <c r="CY1317" s="167"/>
      <c r="CZ1317" s="168"/>
      <c r="DA1317" s="169"/>
      <c r="DB1317" s="168"/>
      <c r="DC1317" s="165"/>
      <c r="DD1317" s="166"/>
      <c r="DE1317" s="71"/>
      <c r="DF1317" s="170"/>
      <c r="EO1317" s="353" t="str">
        <f t="shared" si="177"/>
        <v>RISARALDA_PEREIRA</v>
      </c>
      <c r="EP1317" s="350"/>
      <c r="EQ1317" s="350"/>
      <c r="ER1317" s="357"/>
      <c r="ES1317" s="350"/>
      <c r="ET1317" s="350"/>
      <c r="EU1317" s="350"/>
    </row>
    <row r="1318" spans="1:151" s="171" customFormat="1" ht="51" x14ac:dyDescent="0.2">
      <c r="A1318" s="242">
        <v>40462</v>
      </c>
      <c r="B1318" s="222" t="s">
        <v>2017</v>
      </c>
      <c r="C1318" s="222" t="s">
        <v>1622</v>
      </c>
      <c r="D1318" s="430" t="s">
        <v>837</v>
      </c>
      <c r="E1318" s="107" t="str">
        <f>VLOOKUP(B1318&amp;C1318,Divipola!$C$2:$F$1138,4,FALSE)</f>
        <v>13657</v>
      </c>
      <c r="F1318" s="333"/>
      <c r="G1318" s="221"/>
      <c r="H1318" s="157"/>
      <c r="I1318" s="157"/>
      <c r="J1318" s="157">
        <v>500</v>
      </c>
      <c r="K1318" s="157">
        <v>100</v>
      </c>
      <c r="L1318" s="157"/>
      <c r="M1318" s="157">
        <v>100</v>
      </c>
      <c r="N1318" s="157"/>
      <c r="O1318" s="157"/>
      <c r="P1318" s="157"/>
      <c r="Q1318" s="157"/>
      <c r="R1318" s="157"/>
      <c r="S1318" s="157"/>
      <c r="T1318" s="157"/>
      <c r="U1318" s="157"/>
      <c r="V1318" s="158"/>
      <c r="W1318" s="182"/>
      <c r="X1318" s="1"/>
      <c r="Y1318" s="78">
        <f t="shared" si="171"/>
        <v>0</v>
      </c>
      <c r="Z1318" s="78">
        <f t="shared" si="172"/>
        <v>0</v>
      </c>
      <c r="AA1318" s="78">
        <f t="shared" si="176"/>
        <v>0</v>
      </c>
      <c r="AB1318" s="78">
        <f t="shared" si="173"/>
        <v>0</v>
      </c>
      <c r="AC1318" s="78"/>
      <c r="AD1318" s="78">
        <v>0</v>
      </c>
      <c r="AE1318" s="80">
        <f t="shared" si="175"/>
        <v>0</v>
      </c>
      <c r="AF1318" s="82">
        <v>0</v>
      </c>
      <c r="AG1318" s="69">
        <v>40465</v>
      </c>
      <c r="AH1318" s="84"/>
      <c r="AI1318" s="69" t="s">
        <v>1984</v>
      </c>
      <c r="AJ1318" s="25" t="s">
        <v>1985</v>
      </c>
      <c r="AK1318" s="65"/>
      <c r="AL1318" s="176" t="s">
        <v>1257</v>
      </c>
      <c r="AM1318" s="173" t="s">
        <v>1803</v>
      </c>
      <c r="AN1318" s="159"/>
      <c r="AO1318" s="160"/>
      <c r="AP1318" s="161"/>
      <c r="AQ1318" s="160"/>
      <c r="AR1318" s="160"/>
      <c r="AS1318" s="160"/>
      <c r="AT1318" s="160"/>
      <c r="AU1318" s="160"/>
      <c r="AV1318" s="160"/>
      <c r="AW1318" s="160"/>
      <c r="AX1318" s="160"/>
      <c r="AY1318" s="160"/>
      <c r="AZ1318" s="160"/>
      <c r="BA1318" s="160"/>
      <c r="BB1318" s="160"/>
      <c r="BC1318" s="160"/>
      <c r="BD1318" s="160"/>
      <c r="BE1318" s="160"/>
      <c r="BF1318" s="160"/>
      <c r="BG1318" s="160"/>
      <c r="BH1318" s="160"/>
      <c r="BI1318" s="160"/>
      <c r="BJ1318" s="160"/>
      <c r="BK1318" s="160"/>
      <c r="BL1318" s="160"/>
      <c r="BM1318" s="160"/>
      <c r="BN1318" s="160"/>
      <c r="BO1318" s="160"/>
      <c r="BP1318" s="160"/>
      <c r="BQ1318" s="160"/>
      <c r="BR1318" s="160"/>
      <c r="BS1318" s="160"/>
      <c r="BT1318" s="160"/>
      <c r="BU1318" s="160"/>
      <c r="BV1318" s="160"/>
      <c r="BW1318" s="160"/>
      <c r="BX1318" s="160"/>
      <c r="BY1318" s="160"/>
      <c r="BZ1318" s="160"/>
      <c r="CA1318" s="160"/>
      <c r="CB1318" s="160"/>
      <c r="CC1318" s="160"/>
      <c r="CD1318" s="160"/>
      <c r="CE1318" s="160"/>
      <c r="CF1318" s="160"/>
      <c r="CG1318" s="160"/>
      <c r="CH1318" s="160"/>
      <c r="CI1318" s="160"/>
      <c r="CJ1318" s="160"/>
      <c r="CK1318" s="160"/>
      <c r="CL1318" s="160"/>
      <c r="CM1318" s="160"/>
      <c r="CN1318" s="160"/>
      <c r="CO1318" s="160"/>
      <c r="CP1318" s="162"/>
      <c r="CQ1318" s="163"/>
      <c r="CR1318" s="162"/>
      <c r="CS1318" s="163"/>
      <c r="CT1318" s="162"/>
      <c r="CU1318" s="163"/>
      <c r="CV1318" s="164">
        <f t="shared" si="174"/>
        <v>0</v>
      </c>
      <c r="CW1318" s="165"/>
      <c r="CX1318" s="166"/>
      <c r="CY1318" s="167"/>
      <c r="CZ1318" s="168"/>
      <c r="DA1318" s="169"/>
      <c r="DB1318" s="168"/>
      <c r="DC1318" s="165"/>
      <c r="DD1318" s="166"/>
      <c r="DE1318" s="71"/>
      <c r="DF1318" s="170"/>
      <c r="EO1318" s="353" t="str">
        <f t="shared" si="177"/>
        <v>BOLIVAR_SAN JUAN NEPOMUCENO</v>
      </c>
      <c r="EP1318" s="350"/>
      <c r="EQ1318" s="350"/>
      <c r="ER1318" s="357"/>
      <c r="ES1318" s="350"/>
      <c r="ET1318" s="350"/>
      <c r="EU1318" s="350"/>
    </row>
    <row r="1319" spans="1:151" s="171" customFormat="1" ht="25.5" x14ac:dyDescent="0.2">
      <c r="A1319" s="242">
        <v>40462</v>
      </c>
      <c r="B1319" s="222" t="s">
        <v>828</v>
      </c>
      <c r="C1319" s="222" t="s">
        <v>2363</v>
      </c>
      <c r="D1319" s="427" t="s">
        <v>2307</v>
      </c>
      <c r="E1319" s="107" t="str">
        <f>VLOOKUP(B1319&amp;C1319,Divipola!$C$2:$F$1138,4,FALSE)</f>
        <v>15516</v>
      </c>
      <c r="F1319" s="330"/>
      <c r="G1319" s="221"/>
      <c r="H1319" s="157"/>
      <c r="I1319" s="157"/>
      <c r="J1319" s="157"/>
      <c r="K1319" s="157"/>
      <c r="L1319" s="157"/>
      <c r="M1319" s="157"/>
      <c r="N1319" s="157">
        <v>1</v>
      </c>
      <c r="O1319" s="157"/>
      <c r="P1319" s="157"/>
      <c r="Q1319" s="157"/>
      <c r="R1319" s="157"/>
      <c r="S1319" s="157"/>
      <c r="T1319" s="157"/>
      <c r="U1319" s="157"/>
      <c r="V1319" s="158"/>
      <c r="W1319" s="182"/>
      <c r="X1319" s="1"/>
      <c r="Y1319" s="78">
        <f t="shared" si="171"/>
        <v>0</v>
      </c>
      <c r="Z1319" s="78">
        <f t="shared" si="172"/>
        <v>0</v>
      </c>
      <c r="AA1319" s="78">
        <f t="shared" si="176"/>
        <v>0</v>
      </c>
      <c r="AB1319" s="78">
        <f t="shared" si="173"/>
        <v>0</v>
      </c>
      <c r="AC1319" s="78"/>
      <c r="AD1319" s="78">
        <v>0</v>
      </c>
      <c r="AE1319" s="80">
        <f t="shared" si="175"/>
        <v>0</v>
      </c>
      <c r="AF1319" s="82">
        <v>0</v>
      </c>
      <c r="AG1319" s="242">
        <v>40505</v>
      </c>
      <c r="AH1319" s="84"/>
      <c r="AI1319" s="69" t="s">
        <v>1984</v>
      </c>
      <c r="AJ1319" s="25" t="s">
        <v>1985</v>
      </c>
      <c r="AK1319" s="65"/>
      <c r="AL1319" s="176" t="s">
        <v>1257</v>
      </c>
      <c r="AM1319" s="173" t="s">
        <v>2536</v>
      </c>
      <c r="AN1319" s="159"/>
      <c r="AO1319" s="160"/>
      <c r="AP1319" s="161"/>
      <c r="AQ1319" s="160"/>
      <c r="AR1319" s="160"/>
      <c r="AS1319" s="160"/>
      <c r="AT1319" s="160"/>
      <c r="AU1319" s="160"/>
      <c r="AV1319" s="160"/>
      <c r="AW1319" s="160"/>
      <c r="AX1319" s="160"/>
      <c r="AY1319" s="160"/>
      <c r="AZ1319" s="160"/>
      <c r="BA1319" s="160"/>
      <c r="BB1319" s="160"/>
      <c r="BC1319" s="160"/>
      <c r="BD1319" s="160"/>
      <c r="BE1319" s="160"/>
      <c r="BF1319" s="160"/>
      <c r="BG1319" s="160"/>
      <c r="BH1319" s="160"/>
      <c r="BI1319" s="160"/>
      <c r="BJ1319" s="160"/>
      <c r="BK1319" s="160"/>
      <c r="BL1319" s="160"/>
      <c r="BM1319" s="160"/>
      <c r="BN1319" s="160"/>
      <c r="BO1319" s="160"/>
      <c r="BP1319" s="160"/>
      <c r="BQ1319" s="160"/>
      <c r="BR1319" s="160"/>
      <c r="BS1319" s="160"/>
      <c r="BT1319" s="160"/>
      <c r="BU1319" s="160"/>
      <c r="BV1319" s="160"/>
      <c r="BW1319" s="160"/>
      <c r="BX1319" s="160"/>
      <c r="BY1319" s="160"/>
      <c r="BZ1319" s="160"/>
      <c r="CA1319" s="160"/>
      <c r="CB1319" s="160"/>
      <c r="CC1319" s="160"/>
      <c r="CD1319" s="160"/>
      <c r="CE1319" s="160"/>
      <c r="CF1319" s="160"/>
      <c r="CG1319" s="160"/>
      <c r="CH1319" s="160"/>
      <c r="CI1319" s="160"/>
      <c r="CJ1319" s="160"/>
      <c r="CK1319" s="160"/>
      <c r="CL1319" s="160"/>
      <c r="CM1319" s="160"/>
      <c r="CN1319" s="160"/>
      <c r="CO1319" s="160"/>
      <c r="CP1319" s="162"/>
      <c r="CQ1319" s="163"/>
      <c r="CR1319" s="162"/>
      <c r="CS1319" s="163"/>
      <c r="CT1319" s="162"/>
      <c r="CU1319" s="163"/>
      <c r="CV1319" s="164">
        <f t="shared" si="174"/>
        <v>0</v>
      </c>
      <c r="CW1319" s="165"/>
      <c r="CX1319" s="166"/>
      <c r="CY1319" s="167"/>
      <c r="CZ1319" s="168"/>
      <c r="DA1319" s="169"/>
      <c r="DB1319" s="168"/>
      <c r="DC1319" s="165"/>
      <c r="DD1319" s="166"/>
      <c r="DE1319" s="71"/>
      <c r="DF1319" s="170"/>
      <c r="EO1319" s="353" t="str">
        <f t="shared" si="177"/>
        <v>BOYACA_PAIPA</v>
      </c>
      <c r="EP1319" s="350"/>
      <c r="EQ1319" s="350"/>
      <c r="ER1319" s="357"/>
      <c r="ES1319" s="350"/>
      <c r="ET1319" s="350"/>
      <c r="EU1319" s="350"/>
    </row>
    <row r="1320" spans="1:151" s="171" customFormat="1" ht="25.5" x14ac:dyDescent="0.2">
      <c r="A1320" s="242">
        <v>40462</v>
      </c>
      <c r="B1320" s="222" t="s">
        <v>2425</v>
      </c>
      <c r="C1320" s="222" t="s">
        <v>1553</v>
      </c>
      <c r="D1320" s="430" t="s">
        <v>1525</v>
      </c>
      <c r="E1320" s="107" t="str">
        <f>VLOOKUP(B1320&amp;C1320,Divipola!$C$2:$F$1138,4,FALSE)</f>
        <v>27787</v>
      </c>
      <c r="F1320" s="333"/>
      <c r="G1320" s="221"/>
      <c r="H1320" s="157"/>
      <c r="I1320" s="157"/>
      <c r="J1320" s="157"/>
      <c r="K1320" s="157"/>
      <c r="L1320" s="157"/>
      <c r="M1320" s="157"/>
      <c r="N1320" s="157"/>
      <c r="O1320" s="157"/>
      <c r="P1320" s="157"/>
      <c r="Q1320" s="157"/>
      <c r="R1320" s="157"/>
      <c r="S1320" s="157"/>
      <c r="T1320" s="157"/>
      <c r="U1320" s="157"/>
      <c r="V1320" s="158"/>
      <c r="W1320" s="182"/>
      <c r="X1320" s="1"/>
      <c r="Y1320" s="78">
        <f t="shared" si="171"/>
        <v>7076000</v>
      </c>
      <c r="Z1320" s="78">
        <f t="shared" si="172"/>
        <v>6970000</v>
      </c>
      <c r="AA1320" s="78">
        <f t="shared" si="176"/>
        <v>0</v>
      </c>
      <c r="AB1320" s="78">
        <f t="shared" si="173"/>
        <v>0</v>
      </c>
      <c r="AC1320" s="78"/>
      <c r="AD1320" s="78">
        <v>0</v>
      </c>
      <c r="AE1320" s="80">
        <f t="shared" si="175"/>
        <v>14046000</v>
      </c>
      <c r="AF1320" s="82">
        <v>0</v>
      </c>
      <c r="AG1320" s="242">
        <v>40478</v>
      </c>
      <c r="AH1320" s="84"/>
      <c r="AI1320" s="69" t="s">
        <v>2009</v>
      </c>
      <c r="AJ1320" s="25" t="s">
        <v>2010</v>
      </c>
      <c r="AK1320" s="65"/>
      <c r="AL1320" s="176" t="s">
        <v>1257</v>
      </c>
      <c r="AM1320" s="173"/>
      <c r="AN1320" s="159"/>
      <c r="AO1320" s="160"/>
      <c r="AP1320" s="161"/>
      <c r="AQ1320" s="160"/>
      <c r="AR1320" s="160"/>
      <c r="AS1320" s="160"/>
      <c r="AT1320" s="160"/>
      <c r="AU1320" s="160"/>
      <c r="AV1320" s="160"/>
      <c r="AW1320" s="160"/>
      <c r="AX1320" s="160"/>
      <c r="AY1320" s="160"/>
      <c r="AZ1320" s="160">
        <v>100</v>
      </c>
      <c r="BA1320" s="160">
        <f>100*56000</f>
        <v>5600000</v>
      </c>
      <c r="BB1320" s="160"/>
      <c r="BC1320" s="160"/>
      <c r="BD1320" s="160"/>
      <c r="BE1320" s="160"/>
      <c r="BF1320" s="160"/>
      <c r="BG1320" s="160"/>
      <c r="BH1320" s="160"/>
      <c r="BI1320" s="160"/>
      <c r="BJ1320" s="160"/>
      <c r="BK1320" s="160"/>
      <c r="BL1320" s="160"/>
      <c r="BM1320" s="160"/>
      <c r="BN1320" s="160"/>
      <c r="BO1320" s="160"/>
      <c r="BP1320" s="160"/>
      <c r="BQ1320" s="160"/>
      <c r="BR1320" s="160"/>
      <c r="BS1320" s="160"/>
      <c r="BT1320" s="160"/>
      <c r="BU1320" s="160"/>
      <c r="BV1320" s="160"/>
      <c r="BW1320" s="160"/>
      <c r="BX1320" s="160"/>
      <c r="BY1320" s="160"/>
      <c r="BZ1320" s="160"/>
      <c r="CA1320" s="160"/>
      <c r="CB1320" s="160"/>
      <c r="CC1320" s="160"/>
      <c r="CD1320" s="160"/>
      <c r="CE1320" s="160"/>
      <c r="CF1320" s="160"/>
      <c r="CG1320" s="160"/>
      <c r="CH1320" s="160"/>
      <c r="CI1320" s="160"/>
      <c r="CJ1320" s="160"/>
      <c r="CK1320" s="160"/>
      <c r="CL1320" s="160"/>
      <c r="CM1320" s="160"/>
      <c r="CN1320" s="160">
        <v>82</v>
      </c>
      <c r="CO1320" s="160">
        <f>82*18000</f>
        <v>1476000</v>
      </c>
      <c r="CP1320" s="162"/>
      <c r="CQ1320" s="163"/>
      <c r="CR1320" s="162"/>
      <c r="CS1320" s="163"/>
      <c r="CT1320" s="162"/>
      <c r="CU1320" s="163"/>
      <c r="CV1320" s="164">
        <f t="shared" si="174"/>
        <v>7076000</v>
      </c>
      <c r="CW1320" s="165"/>
      <c r="CX1320" s="166"/>
      <c r="CY1320" s="167">
        <v>82</v>
      </c>
      <c r="CZ1320" s="168">
        <f>82*85000</f>
        <v>6970000</v>
      </c>
      <c r="DA1320" s="169"/>
      <c r="DB1320" s="168"/>
      <c r="DC1320" s="165"/>
      <c r="DD1320" s="166"/>
      <c r="DE1320" s="71"/>
      <c r="DF1320" s="170">
        <v>1364</v>
      </c>
      <c r="EO1320" s="353" t="str">
        <f t="shared" si="177"/>
        <v>CHOCO_TADO</v>
      </c>
      <c r="EP1320" s="350"/>
      <c r="EQ1320" s="350"/>
      <c r="ER1320" s="357"/>
      <c r="ES1320" s="350"/>
      <c r="ET1320" s="350"/>
      <c r="EU1320" s="350"/>
    </row>
    <row r="1321" spans="1:151" s="171" customFormat="1" ht="45" x14ac:dyDescent="0.2">
      <c r="A1321" s="242">
        <v>40463</v>
      </c>
      <c r="B1321" s="222" t="s">
        <v>1333</v>
      </c>
      <c r="C1321" s="222" t="s">
        <v>2970</v>
      </c>
      <c r="D1321" s="430" t="s">
        <v>2209</v>
      </c>
      <c r="E1321" s="107" t="str">
        <f>VLOOKUP(B1321&amp;C1321,Divipola!$C$2:$F$1138,4,FALSE)</f>
        <v>41660</v>
      </c>
      <c r="F1321" s="333"/>
      <c r="G1321" s="221"/>
      <c r="H1321" s="157"/>
      <c r="I1321" s="157"/>
      <c r="J1321" s="157">
        <v>50</v>
      </c>
      <c r="K1321" s="157">
        <v>10</v>
      </c>
      <c r="L1321" s="157"/>
      <c r="M1321" s="157">
        <v>10</v>
      </c>
      <c r="N1321" s="157"/>
      <c r="O1321" s="157"/>
      <c r="P1321" s="157"/>
      <c r="Q1321" s="157"/>
      <c r="R1321" s="157"/>
      <c r="S1321" s="157"/>
      <c r="T1321" s="157">
        <v>2</v>
      </c>
      <c r="U1321" s="157"/>
      <c r="V1321" s="158"/>
      <c r="W1321" s="182"/>
      <c r="X1321" s="1"/>
      <c r="Y1321" s="78">
        <f t="shared" si="171"/>
        <v>0</v>
      </c>
      <c r="Z1321" s="78">
        <f t="shared" si="172"/>
        <v>0</v>
      </c>
      <c r="AA1321" s="78">
        <f t="shared" si="176"/>
        <v>0</v>
      </c>
      <c r="AB1321" s="78">
        <f t="shared" si="173"/>
        <v>0</v>
      </c>
      <c r="AC1321" s="78"/>
      <c r="AD1321" s="78">
        <v>0</v>
      </c>
      <c r="AE1321" s="80">
        <f t="shared" si="175"/>
        <v>0</v>
      </c>
      <c r="AF1321" s="82">
        <v>0</v>
      </c>
      <c r="AG1321" s="69">
        <v>40463</v>
      </c>
      <c r="AH1321" s="84"/>
      <c r="AI1321" s="69" t="s">
        <v>1984</v>
      </c>
      <c r="AJ1321" s="276" t="s">
        <v>1985</v>
      </c>
      <c r="AK1321" s="65"/>
      <c r="AL1321" s="272" t="s">
        <v>311</v>
      </c>
      <c r="AM1321" s="173" t="s">
        <v>2841</v>
      </c>
      <c r="AN1321" s="159"/>
      <c r="AO1321" s="160"/>
      <c r="AP1321" s="161"/>
      <c r="AQ1321" s="160"/>
      <c r="AR1321" s="160"/>
      <c r="AS1321" s="160"/>
      <c r="AT1321" s="160"/>
      <c r="AU1321" s="160"/>
      <c r="AV1321" s="160"/>
      <c r="AW1321" s="160"/>
      <c r="AX1321" s="160"/>
      <c r="AY1321" s="160"/>
      <c r="AZ1321" s="160"/>
      <c r="BA1321" s="160"/>
      <c r="BB1321" s="160"/>
      <c r="BC1321" s="160"/>
      <c r="BD1321" s="160"/>
      <c r="BE1321" s="160"/>
      <c r="BF1321" s="160"/>
      <c r="BG1321" s="160"/>
      <c r="BH1321" s="160"/>
      <c r="BI1321" s="160"/>
      <c r="BJ1321" s="160"/>
      <c r="BK1321" s="160"/>
      <c r="BL1321" s="160"/>
      <c r="BM1321" s="160"/>
      <c r="BN1321" s="160"/>
      <c r="BO1321" s="160"/>
      <c r="BP1321" s="160"/>
      <c r="BQ1321" s="160"/>
      <c r="BR1321" s="160"/>
      <c r="BS1321" s="160"/>
      <c r="BT1321" s="160"/>
      <c r="BU1321" s="160"/>
      <c r="BV1321" s="160"/>
      <c r="BW1321" s="160"/>
      <c r="BX1321" s="160"/>
      <c r="BY1321" s="160"/>
      <c r="BZ1321" s="160"/>
      <c r="CA1321" s="160"/>
      <c r="CB1321" s="160"/>
      <c r="CC1321" s="160"/>
      <c r="CD1321" s="160"/>
      <c r="CE1321" s="160"/>
      <c r="CF1321" s="160"/>
      <c r="CG1321" s="160"/>
      <c r="CH1321" s="160"/>
      <c r="CI1321" s="160"/>
      <c r="CJ1321" s="160"/>
      <c r="CK1321" s="160"/>
      <c r="CL1321" s="160"/>
      <c r="CM1321" s="160"/>
      <c r="CN1321" s="160"/>
      <c r="CO1321" s="160"/>
      <c r="CP1321" s="162"/>
      <c r="CQ1321" s="163"/>
      <c r="CR1321" s="162"/>
      <c r="CS1321" s="163"/>
      <c r="CT1321" s="162"/>
      <c r="CU1321" s="163"/>
      <c r="CV1321" s="164">
        <f t="shared" si="174"/>
        <v>0</v>
      </c>
      <c r="CW1321" s="165"/>
      <c r="CX1321" s="166"/>
      <c r="CY1321" s="167"/>
      <c r="CZ1321" s="168"/>
      <c r="DA1321" s="169"/>
      <c r="DB1321" s="168"/>
      <c r="DC1321" s="165"/>
      <c r="DD1321" s="166"/>
      <c r="DE1321" s="71"/>
      <c r="DF1321" s="170"/>
      <c r="EO1321" s="353" t="str">
        <f t="shared" si="177"/>
        <v>HUILA_SALADOBLANCO</v>
      </c>
      <c r="EP1321" s="350"/>
      <c r="EQ1321" s="350"/>
      <c r="ER1321" s="357"/>
      <c r="ES1321" s="350"/>
      <c r="ET1321" s="350"/>
      <c r="EU1321" s="350"/>
    </row>
    <row r="1322" spans="1:151" s="171" customFormat="1" ht="25.5" x14ac:dyDescent="0.2">
      <c r="A1322" s="242">
        <v>40463</v>
      </c>
      <c r="B1322" s="222" t="s">
        <v>2372</v>
      </c>
      <c r="C1322" s="222" t="s">
        <v>2393</v>
      </c>
      <c r="D1322" s="430" t="s">
        <v>1721</v>
      </c>
      <c r="E1322" s="107" t="str">
        <f>VLOOKUP(B1322&amp;C1322,Divipola!$C$2:$F$1138,4,FALSE)</f>
        <v>70429</v>
      </c>
      <c r="F1322" s="333"/>
      <c r="G1322" s="221"/>
      <c r="H1322" s="157"/>
      <c r="I1322" s="157"/>
      <c r="J1322" s="157">
        <v>16</v>
      </c>
      <c r="K1322" s="157">
        <v>3</v>
      </c>
      <c r="L1322" s="157">
        <v>1</v>
      </c>
      <c r="M1322" s="157">
        <v>2</v>
      </c>
      <c r="N1322" s="157"/>
      <c r="O1322" s="157"/>
      <c r="P1322" s="157"/>
      <c r="Q1322" s="157"/>
      <c r="R1322" s="157"/>
      <c r="S1322" s="157"/>
      <c r="T1322" s="157"/>
      <c r="U1322" s="157"/>
      <c r="V1322" s="158"/>
      <c r="W1322" s="182"/>
      <c r="X1322" s="1"/>
      <c r="Y1322" s="78">
        <f t="shared" si="171"/>
        <v>0</v>
      </c>
      <c r="Z1322" s="78">
        <f t="shared" si="172"/>
        <v>0</v>
      </c>
      <c r="AA1322" s="78">
        <f t="shared" si="176"/>
        <v>0</v>
      </c>
      <c r="AB1322" s="78">
        <f t="shared" si="173"/>
        <v>0</v>
      </c>
      <c r="AC1322" s="78"/>
      <c r="AD1322" s="78">
        <v>0</v>
      </c>
      <c r="AE1322" s="80">
        <f t="shared" si="175"/>
        <v>0</v>
      </c>
      <c r="AF1322" s="82">
        <v>0</v>
      </c>
      <c r="AG1322" s="69">
        <v>40465</v>
      </c>
      <c r="AH1322" s="84"/>
      <c r="AI1322" s="69" t="s">
        <v>1984</v>
      </c>
      <c r="AJ1322" s="25" t="s">
        <v>1985</v>
      </c>
      <c r="AK1322" s="65"/>
      <c r="AL1322" s="176" t="s">
        <v>1257</v>
      </c>
      <c r="AM1322" s="173" t="s">
        <v>1807</v>
      </c>
      <c r="AN1322" s="159"/>
      <c r="AO1322" s="160"/>
      <c r="AP1322" s="161"/>
      <c r="AQ1322" s="160"/>
      <c r="AR1322" s="160"/>
      <c r="AS1322" s="160"/>
      <c r="AT1322" s="160"/>
      <c r="AU1322" s="160"/>
      <c r="AV1322" s="160"/>
      <c r="AW1322" s="160"/>
      <c r="AX1322" s="160"/>
      <c r="AY1322" s="160"/>
      <c r="AZ1322" s="160"/>
      <c r="BA1322" s="160"/>
      <c r="BB1322" s="160"/>
      <c r="BC1322" s="160"/>
      <c r="BD1322" s="160"/>
      <c r="BE1322" s="160"/>
      <c r="BF1322" s="160"/>
      <c r="BG1322" s="160"/>
      <c r="BH1322" s="160"/>
      <c r="BI1322" s="160"/>
      <c r="BJ1322" s="160"/>
      <c r="BK1322" s="160"/>
      <c r="BL1322" s="160"/>
      <c r="BM1322" s="160"/>
      <c r="BN1322" s="160"/>
      <c r="BO1322" s="160"/>
      <c r="BP1322" s="160"/>
      <c r="BQ1322" s="160"/>
      <c r="BR1322" s="160"/>
      <c r="BS1322" s="160"/>
      <c r="BT1322" s="160"/>
      <c r="BU1322" s="160"/>
      <c r="BV1322" s="160"/>
      <c r="BW1322" s="160"/>
      <c r="BX1322" s="160"/>
      <c r="BY1322" s="160"/>
      <c r="BZ1322" s="160"/>
      <c r="CA1322" s="160"/>
      <c r="CB1322" s="160"/>
      <c r="CC1322" s="160"/>
      <c r="CD1322" s="160"/>
      <c r="CE1322" s="160"/>
      <c r="CF1322" s="160"/>
      <c r="CG1322" s="160"/>
      <c r="CH1322" s="160"/>
      <c r="CI1322" s="160"/>
      <c r="CJ1322" s="160"/>
      <c r="CK1322" s="160"/>
      <c r="CL1322" s="160"/>
      <c r="CM1322" s="160"/>
      <c r="CN1322" s="160"/>
      <c r="CO1322" s="160"/>
      <c r="CP1322" s="162"/>
      <c r="CQ1322" s="163"/>
      <c r="CR1322" s="162"/>
      <c r="CS1322" s="163"/>
      <c r="CT1322" s="162"/>
      <c r="CU1322" s="163"/>
      <c r="CV1322" s="164">
        <f t="shared" si="174"/>
        <v>0</v>
      </c>
      <c r="CW1322" s="165"/>
      <c r="CX1322" s="166"/>
      <c r="CY1322" s="167"/>
      <c r="CZ1322" s="168"/>
      <c r="DA1322" s="169"/>
      <c r="DB1322" s="168"/>
      <c r="DC1322" s="165"/>
      <c r="DD1322" s="166"/>
      <c r="DE1322" s="71"/>
      <c r="DF1322" s="170"/>
      <c r="EO1322" s="353" t="str">
        <f t="shared" si="177"/>
        <v>SUCRE_MAJAGUAL</v>
      </c>
      <c r="EP1322" s="350"/>
      <c r="EQ1322" s="350"/>
      <c r="ER1322" s="357"/>
      <c r="ES1322" s="350"/>
      <c r="ET1322" s="350"/>
      <c r="EU1322" s="350"/>
    </row>
    <row r="1323" spans="1:151" s="171" customFormat="1" ht="25.5" x14ac:dyDescent="0.2">
      <c r="A1323" s="242">
        <v>40464</v>
      </c>
      <c r="B1323" s="222" t="s">
        <v>2017</v>
      </c>
      <c r="C1323" s="222" t="s">
        <v>1215</v>
      </c>
      <c r="D1323" s="430" t="s">
        <v>837</v>
      </c>
      <c r="E1323" s="107" t="str">
        <f>VLOOKUP(B1323&amp;C1323,Divipola!$C$2:$F$1138,4,FALSE)</f>
        <v>13001</v>
      </c>
      <c r="F1323" s="333"/>
      <c r="G1323" s="221"/>
      <c r="H1323" s="157"/>
      <c r="I1323" s="157"/>
      <c r="J1323" s="157">
        <f>1347*5</f>
        <v>6735</v>
      </c>
      <c r="K1323" s="157">
        <v>1347</v>
      </c>
      <c r="L1323" s="157"/>
      <c r="M1323" s="157"/>
      <c r="N1323" s="157"/>
      <c r="O1323" s="157"/>
      <c r="P1323" s="157"/>
      <c r="Q1323" s="157"/>
      <c r="R1323" s="157"/>
      <c r="S1323" s="157"/>
      <c r="T1323" s="157"/>
      <c r="U1323" s="157"/>
      <c r="V1323" s="158"/>
      <c r="W1323" s="182"/>
      <c r="X1323" s="1">
        <v>40508</v>
      </c>
      <c r="Y1323" s="78">
        <f t="shared" si="171"/>
        <v>4391400</v>
      </c>
      <c r="Z1323" s="78">
        <f t="shared" si="172"/>
        <v>10200000</v>
      </c>
      <c r="AA1323" s="78">
        <f t="shared" si="176"/>
        <v>0</v>
      </c>
      <c r="AB1323" s="78">
        <f t="shared" si="173"/>
        <v>0</v>
      </c>
      <c r="AC1323" s="78"/>
      <c r="AD1323" s="78">
        <v>0</v>
      </c>
      <c r="AE1323" s="80">
        <f t="shared" si="175"/>
        <v>14591400</v>
      </c>
      <c r="AF1323" s="82">
        <v>0</v>
      </c>
      <c r="AG1323" s="69">
        <v>40464</v>
      </c>
      <c r="AH1323" s="84">
        <v>57491</v>
      </c>
      <c r="AI1323" s="69" t="s">
        <v>2009</v>
      </c>
      <c r="AJ1323" s="25" t="s">
        <v>2010</v>
      </c>
      <c r="AK1323" s="65">
        <v>24950</v>
      </c>
      <c r="AL1323" s="69"/>
      <c r="AM1323" s="173" t="s">
        <v>2289</v>
      </c>
      <c r="AN1323" s="159"/>
      <c r="AO1323" s="160"/>
      <c r="AP1323" s="161"/>
      <c r="AQ1323" s="160"/>
      <c r="AR1323" s="160"/>
      <c r="AS1323" s="160"/>
      <c r="AT1323" s="160"/>
      <c r="AU1323" s="160"/>
      <c r="AV1323" s="160"/>
      <c r="AW1323" s="160"/>
      <c r="AX1323" s="160"/>
      <c r="AY1323" s="160"/>
      <c r="AZ1323" s="160"/>
      <c r="BA1323" s="160"/>
      <c r="BB1323" s="160"/>
      <c r="BC1323" s="160"/>
      <c r="BD1323" s="160"/>
      <c r="BE1323" s="160"/>
      <c r="BF1323" s="160"/>
      <c r="BG1323" s="160"/>
      <c r="BH1323" s="160"/>
      <c r="BI1323" s="160"/>
      <c r="BJ1323" s="160"/>
      <c r="BK1323" s="160"/>
      <c r="BL1323" s="160"/>
      <c r="BM1323" s="160"/>
      <c r="BN1323" s="160"/>
      <c r="BO1323" s="160"/>
      <c r="BP1323" s="160"/>
      <c r="BQ1323" s="160"/>
      <c r="BR1323" s="160"/>
      <c r="BS1323" s="160"/>
      <c r="BT1323" s="160"/>
      <c r="BU1323" s="160"/>
      <c r="BV1323" s="160"/>
      <c r="BW1323" s="160"/>
      <c r="BX1323" s="160"/>
      <c r="BY1323" s="160"/>
      <c r="BZ1323" s="160"/>
      <c r="CA1323" s="160"/>
      <c r="CB1323" s="160"/>
      <c r="CC1323" s="160"/>
      <c r="CD1323" s="160"/>
      <c r="CE1323" s="160"/>
      <c r="CF1323" s="160"/>
      <c r="CG1323" s="160"/>
      <c r="CH1323" s="160"/>
      <c r="CI1323" s="160"/>
      <c r="CJ1323" s="160"/>
      <c r="CK1323" s="160"/>
      <c r="CL1323" s="160"/>
      <c r="CM1323" s="160"/>
      <c r="CN1323" s="160"/>
      <c r="CO1323" s="160"/>
      <c r="CP1323" s="162">
        <v>120</v>
      </c>
      <c r="CQ1323" s="163">
        <f>120*36595</f>
        <v>4391400</v>
      </c>
      <c r="CR1323" s="162"/>
      <c r="CS1323" s="163"/>
      <c r="CT1323" s="162"/>
      <c r="CU1323" s="163"/>
      <c r="CV1323" s="164">
        <f t="shared" si="174"/>
        <v>4391400</v>
      </c>
      <c r="CW1323" s="165"/>
      <c r="CX1323" s="166"/>
      <c r="CY1323" s="167">
        <v>120</v>
      </c>
      <c r="CZ1323" s="168">
        <f>120*85000</f>
        <v>10200000</v>
      </c>
      <c r="DA1323" s="169"/>
      <c r="DB1323" s="168"/>
      <c r="DC1323" s="165"/>
      <c r="DD1323" s="166"/>
      <c r="DE1323" s="71"/>
      <c r="DF1323" s="170"/>
      <c r="EO1323" s="353" t="str">
        <f t="shared" si="177"/>
        <v>BOLIVAR_CARTAGENA</v>
      </c>
      <c r="EP1323" s="350"/>
      <c r="EQ1323" s="350"/>
      <c r="ER1323" s="357"/>
      <c r="ES1323" s="350"/>
      <c r="ET1323" s="350"/>
      <c r="EU1323" s="350"/>
    </row>
    <row r="1324" spans="1:151" s="171" customFormat="1" ht="25.5" x14ac:dyDescent="0.2">
      <c r="A1324" s="242">
        <v>40464</v>
      </c>
      <c r="B1324" s="222" t="s">
        <v>828</v>
      </c>
      <c r="C1324" s="222" t="s">
        <v>1804</v>
      </c>
      <c r="D1324" s="427" t="s">
        <v>2307</v>
      </c>
      <c r="E1324" s="107" t="str">
        <f>VLOOKUP(B1324&amp;C1324,Divipola!$C$2:$F$1138,4,FALSE)</f>
        <v>15757</v>
      </c>
      <c r="F1324" s="330"/>
      <c r="G1324" s="221"/>
      <c r="H1324" s="157"/>
      <c r="I1324" s="157"/>
      <c r="J1324" s="157">
        <v>5</v>
      </c>
      <c r="K1324" s="157">
        <v>1</v>
      </c>
      <c r="L1324" s="157">
        <v>1</v>
      </c>
      <c r="M1324" s="157"/>
      <c r="N1324" s="157"/>
      <c r="O1324" s="157"/>
      <c r="P1324" s="157"/>
      <c r="Q1324" s="157"/>
      <c r="R1324" s="157"/>
      <c r="S1324" s="157"/>
      <c r="T1324" s="157"/>
      <c r="U1324" s="157"/>
      <c r="V1324" s="158"/>
      <c r="W1324" s="182"/>
      <c r="X1324" s="1"/>
      <c r="Y1324" s="78">
        <f t="shared" si="171"/>
        <v>0</v>
      </c>
      <c r="Z1324" s="78">
        <f t="shared" si="172"/>
        <v>0</v>
      </c>
      <c r="AA1324" s="78">
        <f t="shared" si="176"/>
        <v>0</v>
      </c>
      <c r="AB1324" s="78">
        <f t="shared" si="173"/>
        <v>0</v>
      </c>
      <c r="AC1324" s="78"/>
      <c r="AD1324" s="78">
        <v>0</v>
      </c>
      <c r="AE1324" s="80">
        <f t="shared" si="175"/>
        <v>0</v>
      </c>
      <c r="AF1324" s="82">
        <v>0</v>
      </c>
      <c r="AG1324" s="69">
        <v>40465</v>
      </c>
      <c r="AH1324" s="84"/>
      <c r="AI1324" s="69" t="s">
        <v>1984</v>
      </c>
      <c r="AJ1324" s="25" t="s">
        <v>1985</v>
      </c>
      <c r="AK1324" s="65"/>
      <c r="AL1324" s="176" t="s">
        <v>1257</v>
      </c>
      <c r="AM1324" s="173" t="s">
        <v>1805</v>
      </c>
      <c r="AN1324" s="159"/>
      <c r="AO1324" s="160"/>
      <c r="AP1324" s="161"/>
      <c r="AQ1324" s="160"/>
      <c r="AR1324" s="160"/>
      <c r="AS1324" s="160"/>
      <c r="AT1324" s="160"/>
      <c r="AU1324" s="160"/>
      <c r="AV1324" s="160"/>
      <c r="AW1324" s="160"/>
      <c r="AX1324" s="160"/>
      <c r="AY1324" s="160"/>
      <c r="AZ1324" s="160"/>
      <c r="BA1324" s="160"/>
      <c r="BB1324" s="160"/>
      <c r="BC1324" s="160"/>
      <c r="BD1324" s="160"/>
      <c r="BE1324" s="160"/>
      <c r="BF1324" s="160"/>
      <c r="BG1324" s="160"/>
      <c r="BH1324" s="160"/>
      <c r="BI1324" s="160"/>
      <c r="BJ1324" s="160"/>
      <c r="BK1324" s="160"/>
      <c r="BL1324" s="160"/>
      <c r="BM1324" s="160"/>
      <c r="BN1324" s="160"/>
      <c r="BO1324" s="160"/>
      <c r="BP1324" s="160"/>
      <c r="BQ1324" s="160"/>
      <c r="BR1324" s="160"/>
      <c r="BS1324" s="160"/>
      <c r="BT1324" s="160"/>
      <c r="BU1324" s="160"/>
      <c r="BV1324" s="160"/>
      <c r="BW1324" s="160"/>
      <c r="BX1324" s="160"/>
      <c r="BY1324" s="160"/>
      <c r="BZ1324" s="160"/>
      <c r="CA1324" s="160"/>
      <c r="CB1324" s="160"/>
      <c r="CC1324" s="160"/>
      <c r="CD1324" s="160"/>
      <c r="CE1324" s="160"/>
      <c r="CF1324" s="160"/>
      <c r="CG1324" s="160"/>
      <c r="CH1324" s="160"/>
      <c r="CI1324" s="160"/>
      <c r="CJ1324" s="160"/>
      <c r="CK1324" s="160"/>
      <c r="CL1324" s="160"/>
      <c r="CM1324" s="160"/>
      <c r="CN1324" s="160"/>
      <c r="CO1324" s="160"/>
      <c r="CP1324" s="162"/>
      <c r="CQ1324" s="163"/>
      <c r="CR1324" s="162"/>
      <c r="CS1324" s="163"/>
      <c r="CT1324" s="162"/>
      <c r="CU1324" s="163"/>
      <c r="CV1324" s="164">
        <f t="shared" si="174"/>
        <v>0</v>
      </c>
      <c r="CW1324" s="165"/>
      <c r="CX1324" s="166"/>
      <c r="CY1324" s="167"/>
      <c r="CZ1324" s="168"/>
      <c r="DA1324" s="169"/>
      <c r="DB1324" s="168"/>
      <c r="DC1324" s="165"/>
      <c r="DD1324" s="166"/>
      <c r="DE1324" s="71"/>
      <c r="DF1324" s="170"/>
      <c r="EO1324" s="353" t="str">
        <f t="shared" si="177"/>
        <v>BOYACA_SOCHA</v>
      </c>
      <c r="EP1324" s="350"/>
      <c r="EQ1324" s="350"/>
      <c r="ER1324" s="357"/>
      <c r="ES1324" s="350"/>
      <c r="ET1324" s="350"/>
      <c r="EU1324" s="350"/>
    </row>
    <row r="1325" spans="1:151" s="171" customFormat="1" ht="60" x14ac:dyDescent="0.2">
      <c r="A1325" s="242">
        <v>40464</v>
      </c>
      <c r="B1325" s="222" t="s">
        <v>828</v>
      </c>
      <c r="C1325" s="222" t="s">
        <v>1809</v>
      </c>
      <c r="D1325" s="430" t="s">
        <v>2352</v>
      </c>
      <c r="E1325" s="107" t="str">
        <f>VLOOKUP(B1325&amp;C1325,Divipola!$C$2:$F$1138,4,FALSE)</f>
        <v>15790</v>
      </c>
      <c r="F1325" s="333"/>
      <c r="G1325" s="221">
        <v>2</v>
      </c>
      <c r="H1325" s="157"/>
      <c r="I1325" s="157"/>
      <c r="J1325" s="157"/>
      <c r="K1325" s="157"/>
      <c r="L1325" s="157"/>
      <c r="M1325" s="157"/>
      <c r="N1325" s="157"/>
      <c r="O1325" s="157"/>
      <c r="P1325" s="157"/>
      <c r="Q1325" s="157"/>
      <c r="R1325" s="157"/>
      <c r="S1325" s="157"/>
      <c r="T1325" s="157"/>
      <c r="U1325" s="157"/>
      <c r="V1325" s="158"/>
      <c r="W1325" s="182"/>
      <c r="X1325" s="1">
        <v>40526</v>
      </c>
      <c r="Y1325" s="78">
        <f t="shared" si="171"/>
        <v>0</v>
      </c>
      <c r="Z1325" s="78">
        <f t="shared" si="172"/>
        <v>0</v>
      </c>
      <c r="AA1325" s="78">
        <f t="shared" si="176"/>
        <v>0</v>
      </c>
      <c r="AB1325" s="78">
        <f t="shared" si="173"/>
        <v>0</v>
      </c>
      <c r="AC1325" s="78"/>
      <c r="AD1325" s="78">
        <v>19800000</v>
      </c>
      <c r="AE1325" s="80">
        <f t="shared" si="175"/>
        <v>19800000</v>
      </c>
      <c r="AF1325" s="82">
        <v>0</v>
      </c>
      <c r="AG1325" s="69">
        <v>40465</v>
      </c>
      <c r="AH1325" s="84"/>
      <c r="AI1325" s="69" t="s">
        <v>2009</v>
      </c>
      <c r="AJ1325" s="25" t="s">
        <v>2010</v>
      </c>
      <c r="AK1325" s="65">
        <v>47075</v>
      </c>
      <c r="AL1325" s="176" t="s">
        <v>1676</v>
      </c>
      <c r="AM1325" s="173" t="s">
        <v>1136</v>
      </c>
      <c r="AN1325" s="159"/>
      <c r="AO1325" s="160"/>
      <c r="AP1325" s="161"/>
      <c r="AQ1325" s="160"/>
      <c r="AR1325" s="160"/>
      <c r="AS1325" s="160"/>
      <c r="AT1325" s="160"/>
      <c r="AU1325" s="160"/>
      <c r="AV1325" s="160"/>
      <c r="AW1325" s="160"/>
      <c r="AX1325" s="160"/>
      <c r="AY1325" s="160"/>
      <c r="AZ1325" s="160"/>
      <c r="BA1325" s="160"/>
      <c r="BB1325" s="160"/>
      <c r="BC1325" s="160"/>
      <c r="BD1325" s="160"/>
      <c r="BE1325" s="160"/>
      <c r="BF1325" s="160"/>
      <c r="BG1325" s="160"/>
      <c r="BH1325" s="160"/>
      <c r="BI1325" s="160"/>
      <c r="BJ1325" s="160"/>
      <c r="BK1325" s="160"/>
      <c r="BL1325" s="160"/>
      <c r="BM1325" s="160"/>
      <c r="BN1325" s="160"/>
      <c r="BO1325" s="160"/>
      <c r="BP1325" s="160"/>
      <c r="BQ1325" s="160"/>
      <c r="BR1325" s="160"/>
      <c r="BS1325" s="160"/>
      <c r="BT1325" s="160"/>
      <c r="BU1325" s="160"/>
      <c r="BV1325" s="160"/>
      <c r="BW1325" s="160"/>
      <c r="BX1325" s="160"/>
      <c r="BY1325" s="160"/>
      <c r="BZ1325" s="160"/>
      <c r="CA1325" s="160"/>
      <c r="CB1325" s="160"/>
      <c r="CC1325" s="160"/>
      <c r="CD1325" s="160"/>
      <c r="CE1325" s="160"/>
      <c r="CF1325" s="160"/>
      <c r="CG1325" s="160"/>
      <c r="CH1325" s="160"/>
      <c r="CI1325" s="160"/>
      <c r="CJ1325" s="160"/>
      <c r="CK1325" s="160"/>
      <c r="CL1325" s="160"/>
      <c r="CM1325" s="160"/>
      <c r="CN1325" s="160"/>
      <c r="CO1325" s="160"/>
      <c r="CP1325" s="162"/>
      <c r="CQ1325" s="163"/>
      <c r="CR1325" s="162"/>
      <c r="CS1325" s="163"/>
      <c r="CT1325" s="162"/>
      <c r="CU1325" s="163"/>
      <c r="CV1325" s="164">
        <f t="shared" si="174"/>
        <v>0</v>
      </c>
      <c r="CW1325" s="165"/>
      <c r="CX1325" s="166"/>
      <c r="CY1325" s="167"/>
      <c r="CZ1325" s="168"/>
      <c r="DA1325" s="169"/>
      <c r="DB1325" s="168"/>
      <c r="DC1325" s="165"/>
      <c r="DD1325" s="166"/>
      <c r="DE1325" s="71">
        <v>2</v>
      </c>
      <c r="DF1325" s="170"/>
      <c r="EO1325" s="353" t="str">
        <f t="shared" si="177"/>
        <v>BOYACA_TASCO</v>
      </c>
      <c r="EP1325" s="350"/>
      <c r="EQ1325" s="350"/>
      <c r="ER1325" s="357"/>
      <c r="ES1325" s="350"/>
      <c r="ET1325" s="350"/>
      <c r="EU1325" s="350"/>
    </row>
    <row r="1326" spans="1:151" s="171" customFormat="1" ht="45" x14ac:dyDescent="0.2">
      <c r="A1326" s="246">
        <v>40464</v>
      </c>
      <c r="B1326" s="238" t="s">
        <v>1836</v>
      </c>
      <c r="C1326" s="238" t="s">
        <v>1814</v>
      </c>
      <c r="D1326" s="431" t="s">
        <v>837</v>
      </c>
      <c r="E1326" s="107" t="str">
        <f>VLOOKUP(B1326&amp;C1326,Divipola!$C$2:$F$1138,4,FALSE)</f>
        <v>47001</v>
      </c>
      <c r="F1326" s="334"/>
      <c r="G1326" s="227"/>
      <c r="H1326" s="183"/>
      <c r="I1326" s="183"/>
      <c r="J1326" s="183">
        <f>60*5</f>
        <v>300</v>
      </c>
      <c r="K1326" s="183">
        <v>60</v>
      </c>
      <c r="L1326" s="183"/>
      <c r="M1326" s="183"/>
      <c r="N1326" s="183"/>
      <c r="O1326" s="183"/>
      <c r="P1326" s="183"/>
      <c r="Q1326" s="183"/>
      <c r="R1326" s="183"/>
      <c r="S1326" s="183"/>
      <c r="T1326" s="183"/>
      <c r="U1326" s="183"/>
      <c r="V1326" s="191"/>
      <c r="W1326" s="182"/>
      <c r="X1326" s="1">
        <v>40508</v>
      </c>
      <c r="Y1326" s="78">
        <f t="shared" si="171"/>
        <v>2195700</v>
      </c>
      <c r="Z1326" s="78">
        <f t="shared" si="172"/>
        <v>5100000</v>
      </c>
      <c r="AA1326" s="78">
        <f t="shared" ref="AA1326:AA1331" si="178">DB1326+DD1326</f>
        <v>0</v>
      </c>
      <c r="AB1326" s="78">
        <f t="shared" si="173"/>
        <v>0</v>
      </c>
      <c r="AC1326" s="78"/>
      <c r="AD1326" s="78">
        <v>0</v>
      </c>
      <c r="AE1326" s="80">
        <f t="shared" si="175"/>
        <v>7295700</v>
      </c>
      <c r="AF1326" s="82">
        <v>0</v>
      </c>
      <c r="AG1326" s="69">
        <v>40465</v>
      </c>
      <c r="AH1326" s="84">
        <v>56167</v>
      </c>
      <c r="AI1326" s="69" t="s">
        <v>2009</v>
      </c>
      <c r="AJ1326" s="25" t="s">
        <v>2010</v>
      </c>
      <c r="AK1326" s="65">
        <v>56167</v>
      </c>
      <c r="AL1326" s="176" t="s">
        <v>2661</v>
      </c>
      <c r="AM1326" s="173" t="s">
        <v>2662</v>
      </c>
      <c r="AN1326" s="159"/>
      <c r="AO1326" s="160"/>
      <c r="AP1326" s="161"/>
      <c r="AQ1326" s="160"/>
      <c r="AR1326" s="160"/>
      <c r="AS1326" s="160"/>
      <c r="AT1326" s="160"/>
      <c r="AU1326" s="160"/>
      <c r="AV1326" s="160"/>
      <c r="AW1326" s="160"/>
      <c r="AX1326" s="160"/>
      <c r="AY1326" s="160"/>
      <c r="AZ1326" s="160"/>
      <c r="BA1326" s="160"/>
      <c r="BB1326" s="160"/>
      <c r="BC1326" s="160"/>
      <c r="BD1326" s="160"/>
      <c r="BE1326" s="160"/>
      <c r="BF1326" s="160"/>
      <c r="BG1326" s="160"/>
      <c r="BH1326" s="160"/>
      <c r="BI1326" s="160"/>
      <c r="BJ1326" s="160"/>
      <c r="BK1326" s="160"/>
      <c r="BL1326" s="160"/>
      <c r="BM1326" s="160"/>
      <c r="BN1326" s="160"/>
      <c r="BO1326" s="160"/>
      <c r="BP1326" s="160"/>
      <c r="BQ1326" s="160"/>
      <c r="BR1326" s="160"/>
      <c r="BS1326" s="160"/>
      <c r="BT1326" s="160"/>
      <c r="BU1326" s="160"/>
      <c r="BV1326" s="160"/>
      <c r="BW1326" s="160"/>
      <c r="BX1326" s="160"/>
      <c r="BY1326" s="160"/>
      <c r="BZ1326" s="160"/>
      <c r="CA1326" s="160"/>
      <c r="CB1326" s="160"/>
      <c r="CC1326" s="160"/>
      <c r="CD1326" s="160"/>
      <c r="CE1326" s="160"/>
      <c r="CF1326" s="160"/>
      <c r="CG1326" s="160"/>
      <c r="CH1326" s="160"/>
      <c r="CI1326" s="160"/>
      <c r="CJ1326" s="160"/>
      <c r="CK1326" s="160"/>
      <c r="CL1326" s="160"/>
      <c r="CM1326" s="160"/>
      <c r="CN1326" s="160"/>
      <c r="CO1326" s="160"/>
      <c r="CP1326" s="192">
        <v>60</v>
      </c>
      <c r="CQ1326" s="193">
        <f>60*36595</f>
        <v>2195700</v>
      </c>
      <c r="CR1326" s="192"/>
      <c r="CS1326" s="193"/>
      <c r="CT1326" s="192"/>
      <c r="CU1326" s="193"/>
      <c r="CV1326" s="164">
        <f t="shared" si="174"/>
        <v>2195700</v>
      </c>
      <c r="CW1326" s="194"/>
      <c r="CX1326" s="195"/>
      <c r="CY1326" s="196">
        <v>60</v>
      </c>
      <c r="CZ1326" s="197">
        <f>60*85000</f>
        <v>5100000</v>
      </c>
      <c r="DA1326" s="198"/>
      <c r="DB1326" s="197"/>
      <c r="DC1326" s="194"/>
      <c r="DD1326" s="195"/>
      <c r="DE1326" s="71"/>
      <c r="DF1326" s="178"/>
      <c r="EO1326" s="353" t="str">
        <f t="shared" si="177"/>
        <v>MAGDALENA_SANTA MARTA</v>
      </c>
      <c r="EP1326" s="350"/>
      <c r="EQ1326" s="350"/>
      <c r="ER1326" s="357"/>
      <c r="ES1326" s="350"/>
      <c r="ET1326" s="350"/>
      <c r="EU1326" s="350"/>
    </row>
    <row r="1327" spans="1:151" s="171" customFormat="1" ht="25.5" x14ac:dyDescent="0.2">
      <c r="A1327" s="242">
        <v>40464</v>
      </c>
      <c r="B1327" s="222" t="s">
        <v>2014</v>
      </c>
      <c r="C1327" s="222" t="s">
        <v>1978</v>
      </c>
      <c r="D1327" s="430" t="s">
        <v>2209</v>
      </c>
      <c r="E1327" s="107" t="str">
        <f>VLOOKUP(B1327&amp;C1327,Divipola!$C$2:$F$1138,4,FALSE)</f>
        <v>63594</v>
      </c>
      <c r="F1327" s="333"/>
      <c r="G1327" s="221"/>
      <c r="H1327" s="157"/>
      <c r="I1327" s="157"/>
      <c r="J1327" s="157">
        <v>18</v>
      </c>
      <c r="K1327" s="157">
        <v>3</v>
      </c>
      <c r="L1327" s="157"/>
      <c r="M1327" s="157">
        <v>3</v>
      </c>
      <c r="N1327" s="157"/>
      <c r="O1327" s="157"/>
      <c r="P1327" s="157"/>
      <c r="Q1327" s="157"/>
      <c r="R1327" s="157"/>
      <c r="S1327" s="157"/>
      <c r="T1327" s="157"/>
      <c r="U1327" s="157"/>
      <c r="V1327" s="158"/>
      <c r="W1327" s="182"/>
      <c r="X1327" s="1"/>
      <c r="Y1327" s="78">
        <f t="shared" si="171"/>
        <v>0</v>
      </c>
      <c r="Z1327" s="78">
        <f t="shared" si="172"/>
        <v>0</v>
      </c>
      <c r="AA1327" s="78">
        <f t="shared" si="178"/>
        <v>0</v>
      </c>
      <c r="AB1327" s="78">
        <f t="shared" si="173"/>
        <v>0</v>
      </c>
      <c r="AC1327" s="78"/>
      <c r="AD1327" s="78">
        <v>0</v>
      </c>
      <c r="AE1327" s="80">
        <f t="shared" si="175"/>
        <v>0</v>
      </c>
      <c r="AF1327" s="82">
        <v>0</v>
      </c>
      <c r="AG1327" s="69">
        <v>40465</v>
      </c>
      <c r="AH1327" s="84"/>
      <c r="AI1327" s="69" t="s">
        <v>1984</v>
      </c>
      <c r="AJ1327" s="25" t="s">
        <v>1985</v>
      </c>
      <c r="AK1327" s="65"/>
      <c r="AL1327" s="176" t="s">
        <v>1257</v>
      </c>
      <c r="AM1327" s="173" t="s">
        <v>1808</v>
      </c>
      <c r="AN1327" s="159"/>
      <c r="AO1327" s="160"/>
      <c r="AP1327" s="161"/>
      <c r="AQ1327" s="160"/>
      <c r="AR1327" s="160"/>
      <c r="AS1327" s="160"/>
      <c r="AT1327" s="160"/>
      <c r="AU1327" s="160"/>
      <c r="AV1327" s="160"/>
      <c r="AW1327" s="160"/>
      <c r="AX1327" s="160"/>
      <c r="AY1327" s="160"/>
      <c r="AZ1327" s="160"/>
      <c r="BA1327" s="160"/>
      <c r="BB1327" s="160"/>
      <c r="BC1327" s="160"/>
      <c r="BD1327" s="160"/>
      <c r="BE1327" s="160"/>
      <c r="BF1327" s="160"/>
      <c r="BG1327" s="160"/>
      <c r="BH1327" s="160"/>
      <c r="BI1327" s="160"/>
      <c r="BJ1327" s="160"/>
      <c r="BK1327" s="160"/>
      <c r="BL1327" s="160"/>
      <c r="BM1327" s="160"/>
      <c r="BN1327" s="160"/>
      <c r="BO1327" s="160"/>
      <c r="BP1327" s="160"/>
      <c r="BQ1327" s="160"/>
      <c r="BR1327" s="160"/>
      <c r="BS1327" s="160"/>
      <c r="BT1327" s="160"/>
      <c r="BU1327" s="160"/>
      <c r="BV1327" s="160"/>
      <c r="BW1327" s="160"/>
      <c r="BX1327" s="160"/>
      <c r="BY1327" s="160"/>
      <c r="BZ1327" s="160"/>
      <c r="CA1327" s="160"/>
      <c r="CB1327" s="160"/>
      <c r="CC1327" s="160"/>
      <c r="CD1327" s="160"/>
      <c r="CE1327" s="160"/>
      <c r="CF1327" s="160"/>
      <c r="CG1327" s="160"/>
      <c r="CH1327" s="160"/>
      <c r="CI1327" s="160"/>
      <c r="CJ1327" s="160"/>
      <c r="CK1327" s="160"/>
      <c r="CL1327" s="160"/>
      <c r="CM1327" s="160"/>
      <c r="CN1327" s="160"/>
      <c r="CO1327" s="160"/>
      <c r="CP1327" s="162"/>
      <c r="CQ1327" s="163"/>
      <c r="CR1327" s="162"/>
      <c r="CS1327" s="163"/>
      <c r="CT1327" s="162"/>
      <c r="CU1327" s="163"/>
      <c r="CV1327" s="164">
        <f t="shared" si="174"/>
        <v>0</v>
      </c>
      <c r="CW1327" s="165"/>
      <c r="CX1327" s="166"/>
      <c r="CY1327" s="167"/>
      <c r="CZ1327" s="168"/>
      <c r="DA1327" s="169"/>
      <c r="DB1327" s="168"/>
      <c r="DC1327" s="165"/>
      <c r="DD1327" s="166"/>
      <c r="DE1327" s="71"/>
      <c r="DF1327" s="170"/>
      <c r="EO1327" s="353" t="str">
        <f t="shared" si="177"/>
        <v>QUINDIO_QUIMBAYA</v>
      </c>
      <c r="EP1327" s="350"/>
      <c r="EQ1327" s="350"/>
      <c r="ER1327" s="357"/>
      <c r="ES1327" s="350"/>
      <c r="ET1327" s="350"/>
      <c r="EU1327" s="350"/>
    </row>
    <row r="1328" spans="1:151" s="171" customFormat="1" ht="48" x14ac:dyDescent="0.2">
      <c r="A1328" s="242">
        <v>40465</v>
      </c>
      <c r="B1328" s="222" t="s">
        <v>289</v>
      </c>
      <c r="C1328" s="222" t="s">
        <v>711</v>
      </c>
      <c r="D1328" s="427" t="s">
        <v>2307</v>
      </c>
      <c r="E1328" s="107" t="str">
        <f>VLOOKUP(B1328&amp;C1328,Divipola!$C$2:$F$1138,4,FALSE)</f>
        <v>17001</v>
      </c>
      <c r="F1328" s="330"/>
      <c r="G1328" s="221">
        <v>1</v>
      </c>
      <c r="H1328" s="157"/>
      <c r="I1328" s="157"/>
      <c r="J1328" s="157"/>
      <c r="K1328" s="157"/>
      <c r="L1328" s="157"/>
      <c r="M1328" s="157"/>
      <c r="N1328" s="157"/>
      <c r="O1328" s="157"/>
      <c r="P1328" s="157"/>
      <c r="Q1328" s="157"/>
      <c r="R1328" s="157"/>
      <c r="S1328" s="157"/>
      <c r="T1328" s="157"/>
      <c r="U1328" s="157"/>
      <c r="V1328" s="158"/>
      <c r="W1328" s="182"/>
      <c r="X1328" s="1"/>
      <c r="Y1328" s="78">
        <f t="shared" si="171"/>
        <v>0</v>
      </c>
      <c r="Z1328" s="78">
        <f t="shared" si="172"/>
        <v>0</v>
      </c>
      <c r="AA1328" s="78">
        <f t="shared" si="178"/>
        <v>0</v>
      </c>
      <c r="AB1328" s="78">
        <f t="shared" si="173"/>
        <v>0</v>
      </c>
      <c r="AC1328" s="78"/>
      <c r="AD1328" s="78">
        <v>0</v>
      </c>
      <c r="AE1328" s="80">
        <f t="shared" si="175"/>
        <v>0</v>
      </c>
      <c r="AF1328" s="82">
        <v>0</v>
      </c>
      <c r="AG1328" s="69">
        <v>40465</v>
      </c>
      <c r="AH1328" s="84"/>
      <c r="AI1328" s="69" t="s">
        <v>2009</v>
      </c>
      <c r="AJ1328" s="25" t="s">
        <v>2010</v>
      </c>
      <c r="AK1328" s="65"/>
      <c r="AL1328" s="184" t="s">
        <v>3833</v>
      </c>
      <c r="AM1328" s="173" t="s">
        <v>2649</v>
      </c>
      <c r="AN1328" s="159"/>
      <c r="AO1328" s="160"/>
      <c r="AP1328" s="161"/>
      <c r="AQ1328" s="160"/>
      <c r="AR1328" s="160"/>
      <c r="AS1328" s="160"/>
      <c r="AT1328" s="160"/>
      <c r="AU1328" s="160"/>
      <c r="AV1328" s="160"/>
      <c r="AW1328" s="160"/>
      <c r="AX1328" s="160"/>
      <c r="AY1328" s="160"/>
      <c r="AZ1328" s="160"/>
      <c r="BA1328" s="160"/>
      <c r="BB1328" s="160"/>
      <c r="BC1328" s="160"/>
      <c r="BD1328" s="160"/>
      <c r="BE1328" s="160"/>
      <c r="BF1328" s="160"/>
      <c r="BG1328" s="160"/>
      <c r="BH1328" s="160"/>
      <c r="BI1328" s="160"/>
      <c r="BJ1328" s="160"/>
      <c r="BK1328" s="160"/>
      <c r="BL1328" s="160"/>
      <c r="BM1328" s="160"/>
      <c r="BN1328" s="160"/>
      <c r="BO1328" s="160"/>
      <c r="BP1328" s="160"/>
      <c r="BQ1328" s="160"/>
      <c r="BR1328" s="160"/>
      <c r="BS1328" s="160"/>
      <c r="BT1328" s="160"/>
      <c r="BU1328" s="160"/>
      <c r="BV1328" s="160"/>
      <c r="BW1328" s="160"/>
      <c r="BX1328" s="160"/>
      <c r="BY1328" s="160"/>
      <c r="BZ1328" s="160"/>
      <c r="CA1328" s="160"/>
      <c r="CB1328" s="160"/>
      <c r="CC1328" s="160"/>
      <c r="CD1328" s="160"/>
      <c r="CE1328" s="160"/>
      <c r="CF1328" s="160"/>
      <c r="CG1328" s="160"/>
      <c r="CH1328" s="160"/>
      <c r="CI1328" s="160"/>
      <c r="CJ1328" s="160"/>
      <c r="CK1328" s="160"/>
      <c r="CL1328" s="160"/>
      <c r="CM1328" s="160"/>
      <c r="CN1328" s="160"/>
      <c r="CO1328" s="160"/>
      <c r="CP1328" s="162"/>
      <c r="CQ1328" s="163"/>
      <c r="CR1328" s="162"/>
      <c r="CS1328" s="163"/>
      <c r="CT1328" s="162"/>
      <c r="CU1328" s="163"/>
      <c r="CV1328" s="164">
        <f t="shared" si="174"/>
        <v>0</v>
      </c>
      <c r="CW1328" s="165"/>
      <c r="CX1328" s="166"/>
      <c r="CY1328" s="167"/>
      <c r="CZ1328" s="168"/>
      <c r="DA1328" s="169"/>
      <c r="DB1328" s="168"/>
      <c r="DC1328" s="165"/>
      <c r="DD1328" s="166"/>
      <c r="DE1328" s="71"/>
      <c r="DF1328" s="170"/>
      <c r="EO1328" s="353" t="str">
        <f t="shared" si="177"/>
        <v>CALDAS_MANIZALES</v>
      </c>
      <c r="EP1328" s="350"/>
      <c r="EQ1328" s="350"/>
      <c r="ER1328" s="357"/>
      <c r="ES1328" s="350"/>
      <c r="ET1328" s="350"/>
      <c r="EU1328" s="350"/>
    </row>
    <row r="1329" spans="1:151" s="171" customFormat="1" ht="36" x14ac:dyDescent="0.2">
      <c r="A1329" s="242">
        <v>40465</v>
      </c>
      <c r="B1329" s="222" t="s">
        <v>289</v>
      </c>
      <c r="C1329" s="222" t="s">
        <v>3138</v>
      </c>
      <c r="D1329" s="430" t="s">
        <v>2781</v>
      </c>
      <c r="E1329" s="107" t="str">
        <f>VLOOKUP(B1329&amp;C1329,Divipola!$C$2:$F$1138,4,FALSE)</f>
        <v>17442</v>
      </c>
      <c r="F1329" s="333"/>
      <c r="G1329" s="221">
        <v>1</v>
      </c>
      <c r="H1329" s="157">
        <v>1</v>
      </c>
      <c r="I1329" s="157"/>
      <c r="J1329" s="157"/>
      <c r="K1329" s="157"/>
      <c r="L1329" s="157"/>
      <c r="M1329" s="157"/>
      <c r="N1329" s="157"/>
      <c r="O1329" s="157"/>
      <c r="P1329" s="157"/>
      <c r="Q1329" s="157"/>
      <c r="R1329" s="157"/>
      <c r="S1329" s="157"/>
      <c r="T1329" s="157"/>
      <c r="U1329" s="157"/>
      <c r="V1329" s="158"/>
      <c r="W1329" s="182"/>
      <c r="X1329" s="1"/>
      <c r="Y1329" s="78">
        <f t="shared" si="171"/>
        <v>0</v>
      </c>
      <c r="Z1329" s="78">
        <f t="shared" si="172"/>
        <v>0</v>
      </c>
      <c r="AA1329" s="78">
        <f t="shared" si="178"/>
        <v>0</v>
      </c>
      <c r="AB1329" s="78">
        <f t="shared" si="173"/>
        <v>0</v>
      </c>
      <c r="AC1329" s="78"/>
      <c r="AD1329" s="78">
        <v>0</v>
      </c>
      <c r="AE1329" s="80">
        <f t="shared" si="175"/>
        <v>0</v>
      </c>
      <c r="AF1329" s="82">
        <v>0</v>
      </c>
      <c r="AG1329" s="69">
        <v>40470</v>
      </c>
      <c r="AH1329" s="84"/>
      <c r="AI1329" s="69" t="s">
        <v>1984</v>
      </c>
      <c r="AJ1329" s="25" t="s">
        <v>1985</v>
      </c>
      <c r="AK1329" s="65"/>
      <c r="AL1329" s="176" t="s">
        <v>1257</v>
      </c>
      <c r="AM1329" s="173" t="s">
        <v>717</v>
      </c>
      <c r="AN1329" s="159"/>
      <c r="AO1329" s="160"/>
      <c r="AP1329" s="161"/>
      <c r="AQ1329" s="160"/>
      <c r="AR1329" s="160"/>
      <c r="AS1329" s="160"/>
      <c r="AT1329" s="160"/>
      <c r="AU1329" s="160"/>
      <c r="AV1329" s="160"/>
      <c r="AW1329" s="160"/>
      <c r="AX1329" s="160"/>
      <c r="AY1329" s="160"/>
      <c r="AZ1329" s="160"/>
      <c r="BA1329" s="160"/>
      <c r="BB1329" s="160"/>
      <c r="BC1329" s="160"/>
      <c r="BD1329" s="160"/>
      <c r="BE1329" s="160"/>
      <c r="BF1329" s="160"/>
      <c r="BG1329" s="160"/>
      <c r="BH1329" s="160"/>
      <c r="BI1329" s="160"/>
      <c r="BJ1329" s="160"/>
      <c r="BK1329" s="160"/>
      <c r="BL1329" s="160"/>
      <c r="BM1329" s="160"/>
      <c r="BN1329" s="160"/>
      <c r="BO1329" s="160"/>
      <c r="BP1329" s="160"/>
      <c r="BQ1329" s="160"/>
      <c r="BR1329" s="160"/>
      <c r="BS1329" s="160"/>
      <c r="BT1329" s="160"/>
      <c r="BU1329" s="160"/>
      <c r="BV1329" s="160"/>
      <c r="BW1329" s="160"/>
      <c r="BX1329" s="160"/>
      <c r="BY1329" s="160"/>
      <c r="BZ1329" s="160"/>
      <c r="CA1329" s="160"/>
      <c r="CB1329" s="160"/>
      <c r="CC1329" s="160"/>
      <c r="CD1329" s="160"/>
      <c r="CE1329" s="160"/>
      <c r="CF1329" s="160"/>
      <c r="CG1329" s="160"/>
      <c r="CH1329" s="160"/>
      <c r="CI1329" s="160"/>
      <c r="CJ1329" s="160"/>
      <c r="CK1329" s="160"/>
      <c r="CL1329" s="160"/>
      <c r="CM1329" s="160"/>
      <c r="CN1329" s="160"/>
      <c r="CO1329" s="160"/>
      <c r="CP1329" s="162"/>
      <c r="CQ1329" s="163"/>
      <c r="CR1329" s="162"/>
      <c r="CS1329" s="163"/>
      <c r="CT1329" s="162"/>
      <c r="CU1329" s="163"/>
      <c r="CV1329" s="164">
        <f t="shared" si="174"/>
        <v>0</v>
      </c>
      <c r="CW1329" s="165"/>
      <c r="CX1329" s="166"/>
      <c r="CY1329" s="167"/>
      <c r="CZ1329" s="168"/>
      <c r="DA1329" s="169"/>
      <c r="DB1329" s="168"/>
      <c r="DC1329" s="165"/>
      <c r="DD1329" s="166"/>
      <c r="DE1329" s="71"/>
      <c r="DF1329" s="170"/>
      <c r="EO1329" s="353" t="str">
        <f t="shared" si="177"/>
        <v>CALDAS_MARMATO</v>
      </c>
      <c r="EP1329" s="350"/>
      <c r="EQ1329" s="350"/>
      <c r="ER1329" s="357"/>
      <c r="ES1329" s="350"/>
      <c r="ET1329" s="350"/>
      <c r="EU1329" s="350"/>
    </row>
    <row r="1330" spans="1:151" s="171" customFormat="1" ht="25.5" x14ac:dyDescent="0.2">
      <c r="A1330" s="242">
        <v>40465</v>
      </c>
      <c r="B1330" s="222" t="s">
        <v>2425</v>
      </c>
      <c r="C1330" s="222" t="s">
        <v>2374</v>
      </c>
      <c r="D1330" s="427" t="s">
        <v>2307</v>
      </c>
      <c r="E1330" s="107" t="str">
        <f>VLOOKUP(B1330&amp;C1330,Divipola!$C$2:$F$1138,4,FALSE)</f>
        <v>27001</v>
      </c>
      <c r="F1330" s="330"/>
      <c r="G1330" s="221"/>
      <c r="H1330" s="157"/>
      <c r="I1330" s="157"/>
      <c r="J1330" s="157">
        <v>5</v>
      </c>
      <c r="K1330" s="157">
        <v>1</v>
      </c>
      <c r="L1330" s="157"/>
      <c r="M1330" s="157"/>
      <c r="N1330" s="157"/>
      <c r="O1330" s="157"/>
      <c r="P1330" s="157"/>
      <c r="Q1330" s="157"/>
      <c r="R1330" s="157"/>
      <c r="S1330" s="157"/>
      <c r="T1330" s="157"/>
      <c r="U1330" s="157"/>
      <c r="V1330" s="158"/>
      <c r="W1330" s="182"/>
      <c r="X1330" s="1"/>
      <c r="Y1330" s="78">
        <f t="shared" si="171"/>
        <v>0</v>
      </c>
      <c r="Z1330" s="78">
        <f t="shared" si="172"/>
        <v>0</v>
      </c>
      <c r="AA1330" s="78">
        <f t="shared" si="178"/>
        <v>0</v>
      </c>
      <c r="AB1330" s="78">
        <f t="shared" si="173"/>
        <v>0</v>
      </c>
      <c r="AC1330" s="78"/>
      <c r="AD1330" s="78">
        <v>0</v>
      </c>
      <c r="AE1330" s="80">
        <f t="shared" si="175"/>
        <v>0</v>
      </c>
      <c r="AF1330" s="82">
        <v>0</v>
      </c>
      <c r="AG1330" s="69">
        <v>40470</v>
      </c>
      <c r="AH1330" s="84"/>
      <c r="AI1330" s="69" t="s">
        <v>1984</v>
      </c>
      <c r="AJ1330" s="25" t="s">
        <v>1985</v>
      </c>
      <c r="AK1330" s="65"/>
      <c r="AL1330" s="176" t="s">
        <v>1257</v>
      </c>
      <c r="AM1330" s="173" t="s">
        <v>716</v>
      </c>
      <c r="AN1330" s="159"/>
      <c r="AO1330" s="160"/>
      <c r="AP1330" s="161"/>
      <c r="AQ1330" s="160"/>
      <c r="AR1330" s="160"/>
      <c r="AS1330" s="160"/>
      <c r="AT1330" s="160"/>
      <c r="AU1330" s="160"/>
      <c r="AV1330" s="160"/>
      <c r="AW1330" s="160"/>
      <c r="AX1330" s="160"/>
      <c r="AY1330" s="160"/>
      <c r="AZ1330" s="160"/>
      <c r="BA1330" s="160"/>
      <c r="BB1330" s="160"/>
      <c r="BC1330" s="160"/>
      <c r="BD1330" s="160"/>
      <c r="BE1330" s="160"/>
      <c r="BF1330" s="160"/>
      <c r="BG1330" s="160"/>
      <c r="BH1330" s="160"/>
      <c r="BI1330" s="160"/>
      <c r="BJ1330" s="160"/>
      <c r="BK1330" s="160"/>
      <c r="BL1330" s="160"/>
      <c r="BM1330" s="160"/>
      <c r="BN1330" s="160"/>
      <c r="BO1330" s="160"/>
      <c r="BP1330" s="160"/>
      <c r="BQ1330" s="160"/>
      <c r="BR1330" s="160"/>
      <c r="BS1330" s="160"/>
      <c r="BT1330" s="160"/>
      <c r="BU1330" s="160"/>
      <c r="BV1330" s="160"/>
      <c r="BW1330" s="160"/>
      <c r="BX1330" s="160"/>
      <c r="BY1330" s="160"/>
      <c r="BZ1330" s="160"/>
      <c r="CA1330" s="160"/>
      <c r="CB1330" s="160"/>
      <c r="CC1330" s="160"/>
      <c r="CD1330" s="160"/>
      <c r="CE1330" s="160"/>
      <c r="CF1330" s="160"/>
      <c r="CG1330" s="160"/>
      <c r="CH1330" s="160"/>
      <c r="CI1330" s="160"/>
      <c r="CJ1330" s="160"/>
      <c r="CK1330" s="160"/>
      <c r="CL1330" s="160"/>
      <c r="CM1330" s="160"/>
      <c r="CN1330" s="160"/>
      <c r="CO1330" s="160"/>
      <c r="CP1330" s="162"/>
      <c r="CQ1330" s="163"/>
      <c r="CR1330" s="162"/>
      <c r="CS1330" s="163"/>
      <c r="CT1330" s="162"/>
      <c r="CU1330" s="163"/>
      <c r="CV1330" s="164">
        <f t="shared" si="174"/>
        <v>0</v>
      </c>
      <c r="CW1330" s="165"/>
      <c r="CX1330" s="166"/>
      <c r="CY1330" s="167"/>
      <c r="CZ1330" s="168"/>
      <c r="DA1330" s="169"/>
      <c r="DB1330" s="168"/>
      <c r="DC1330" s="165"/>
      <c r="DD1330" s="166"/>
      <c r="DE1330" s="71"/>
      <c r="DF1330" s="170"/>
      <c r="EO1330" s="353" t="str">
        <f t="shared" si="177"/>
        <v>CHOCO_QUIBDO</v>
      </c>
      <c r="EP1330" s="350"/>
      <c r="EQ1330" s="350"/>
      <c r="ER1330" s="357"/>
      <c r="ES1330" s="350"/>
      <c r="ET1330" s="350"/>
      <c r="EU1330" s="350"/>
    </row>
    <row r="1331" spans="1:151" s="171" customFormat="1" ht="45" x14ac:dyDescent="0.2">
      <c r="A1331" s="242">
        <v>40465</v>
      </c>
      <c r="B1331" s="107" t="s">
        <v>1700</v>
      </c>
      <c r="C1331" s="222" t="s">
        <v>1800</v>
      </c>
      <c r="D1331" s="430" t="s">
        <v>837</v>
      </c>
      <c r="E1331" s="107" t="str">
        <f>VLOOKUP(B1331&amp;C1331,Divipola!$C$2:$F$1138,4,FALSE)</f>
        <v>23090</v>
      </c>
      <c r="F1331" s="333"/>
      <c r="G1331" s="221"/>
      <c r="H1331" s="157"/>
      <c r="I1331" s="157"/>
      <c r="J1331" s="157">
        <f>1082-257</f>
        <v>825</v>
      </c>
      <c r="K1331" s="157">
        <v>164</v>
      </c>
      <c r="L1331" s="157"/>
      <c r="M1331" s="157">
        <v>165</v>
      </c>
      <c r="N1331" s="157"/>
      <c r="O1331" s="157"/>
      <c r="P1331" s="157"/>
      <c r="Q1331" s="157"/>
      <c r="R1331" s="157"/>
      <c r="S1331" s="157"/>
      <c r="T1331" s="157"/>
      <c r="U1331" s="157"/>
      <c r="V1331" s="158"/>
      <c r="W1331" s="182"/>
      <c r="X1331" s="1"/>
      <c r="Y1331" s="78">
        <f t="shared" si="171"/>
        <v>0</v>
      </c>
      <c r="Z1331" s="78">
        <f t="shared" si="172"/>
        <v>29750000</v>
      </c>
      <c r="AA1331" s="78">
        <f t="shared" si="178"/>
        <v>0</v>
      </c>
      <c r="AB1331" s="78">
        <f t="shared" si="173"/>
        <v>0</v>
      </c>
      <c r="AC1331" s="78"/>
      <c r="AD1331" s="78">
        <v>0</v>
      </c>
      <c r="AE1331" s="80">
        <f t="shared" si="175"/>
        <v>29750000</v>
      </c>
      <c r="AF1331" s="82">
        <v>0</v>
      </c>
      <c r="AG1331" s="69">
        <v>40465</v>
      </c>
      <c r="AH1331" s="84"/>
      <c r="AI1331" s="69" t="s">
        <v>2009</v>
      </c>
      <c r="AJ1331" s="25" t="s">
        <v>2010</v>
      </c>
      <c r="AK1331" s="65"/>
      <c r="AL1331" s="185" t="s">
        <v>2182</v>
      </c>
      <c r="AM1331" s="173"/>
      <c r="AN1331" s="159"/>
      <c r="AO1331" s="160"/>
      <c r="AP1331" s="161"/>
      <c r="AQ1331" s="160"/>
      <c r="AR1331" s="160"/>
      <c r="AS1331" s="160"/>
      <c r="AT1331" s="160"/>
      <c r="AU1331" s="160"/>
      <c r="AV1331" s="160"/>
      <c r="AW1331" s="160"/>
      <c r="AX1331" s="160"/>
      <c r="AY1331" s="160"/>
      <c r="AZ1331" s="160"/>
      <c r="BA1331" s="160"/>
      <c r="BB1331" s="160"/>
      <c r="BC1331" s="160"/>
      <c r="BD1331" s="160"/>
      <c r="BE1331" s="160"/>
      <c r="BF1331" s="160"/>
      <c r="BG1331" s="160"/>
      <c r="BH1331" s="160"/>
      <c r="BI1331" s="160"/>
      <c r="BJ1331" s="160"/>
      <c r="BK1331" s="160"/>
      <c r="BL1331" s="160"/>
      <c r="BM1331" s="160"/>
      <c r="BN1331" s="160"/>
      <c r="BO1331" s="160"/>
      <c r="BP1331" s="160"/>
      <c r="BQ1331" s="160"/>
      <c r="BR1331" s="160"/>
      <c r="BS1331" s="160"/>
      <c r="BT1331" s="160"/>
      <c r="BU1331" s="160"/>
      <c r="BV1331" s="160"/>
      <c r="BW1331" s="160"/>
      <c r="BX1331" s="160"/>
      <c r="BY1331" s="160"/>
      <c r="BZ1331" s="160"/>
      <c r="CA1331" s="160"/>
      <c r="CB1331" s="160"/>
      <c r="CC1331" s="160"/>
      <c r="CD1331" s="160"/>
      <c r="CE1331" s="160"/>
      <c r="CF1331" s="160"/>
      <c r="CG1331" s="160"/>
      <c r="CH1331" s="160"/>
      <c r="CI1331" s="160"/>
      <c r="CJ1331" s="160"/>
      <c r="CK1331" s="160"/>
      <c r="CL1331" s="160"/>
      <c r="CM1331" s="160"/>
      <c r="CN1331" s="160"/>
      <c r="CO1331" s="160"/>
      <c r="CP1331" s="162"/>
      <c r="CQ1331" s="163"/>
      <c r="CR1331" s="162"/>
      <c r="CS1331" s="163"/>
      <c r="CT1331" s="162"/>
      <c r="CU1331" s="163"/>
      <c r="CV1331" s="164">
        <f t="shared" si="174"/>
        <v>0</v>
      </c>
      <c r="CW1331" s="165"/>
      <c r="CX1331" s="166"/>
      <c r="CY1331" s="167">
        <f>165+185</f>
        <v>350</v>
      </c>
      <c r="CZ1331" s="168">
        <f>165*85000+185*85000</f>
        <v>29750000</v>
      </c>
      <c r="DA1331" s="169"/>
      <c r="DB1331" s="168"/>
      <c r="DC1331" s="165"/>
      <c r="DD1331" s="166"/>
      <c r="DE1331" s="71"/>
      <c r="DF1331" s="170"/>
      <c r="EO1331" s="353" t="str">
        <f t="shared" si="177"/>
        <v>CORDOBA_CANALETE</v>
      </c>
      <c r="EP1331" s="350"/>
      <c r="EQ1331" s="350"/>
      <c r="ER1331" s="357"/>
      <c r="ES1331" s="350"/>
      <c r="ET1331" s="350"/>
      <c r="EU1331" s="350"/>
    </row>
    <row r="1332" spans="1:151" s="171" customFormat="1" ht="108" x14ac:dyDescent="0.2">
      <c r="A1332" s="242">
        <v>40465</v>
      </c>
      <c r="B1332" s="107" t="s">
        <v>1700</v>
      </c>
      <c r="C1332" s="222" t="s">
        <v>2288</v>
      </c>
      <c r="D1332" s="430" t="s">
        <v>837</v>
      </c>
      <c r="E1332" s="107" t="e">
        <f>VLOOKUP(B1332&amp;C1332,Divipola!$C$2:$F$1138,4,FALSE)</f>
        <v>#N/A</v>
      </c>
      <c r="F1332" s="333"/>
      <c r="G1332" s="221"/>
      <c r="H1332" s="157"/>
      <c r="I1332" s="157"/>
      <c r="J1332" s="157"/>
      <c r="K1332" s="157"/>
      <c r="L1332" s="157"/>
      <c r="M1332" s="157"/>
      <c r="N1332" s="157"/>
      <c r="O1332" s="157"/>
      <c r="P1332" s="157"/>
      <c r="Q1332" s="157"/>
      <c r="R1332" s="157"/>
      <c r="S1332" s="157"/>
      <c r="T1332" s="157"/>
      <c r="U1332" s="157"/>
      <c r="V1332" s="158"/>
      <c r="W1332" s="182"/>
      <c r="X1332" s="1">
        <v>40506</v>
      </c>
      <c r="Y1332" s="78">
        <f t="shared" si="171"/>
        <v>0</v>
      </c>
      <c r="Z1332" s="78">
        <f t="shared" si="172"/>
        <v>0</v>
      </c>
      <c r="AA1332" s="78">
        <v>106237324</v>
      </c>
      <c r="AB1332" s="78">
        <f t="shared" si="173"/>
        <v>0</v>
      </c>
      <c r="AC1332" s="78"/>
      <c r="AD1332" s="78">
        <v>0</v>
      </c>
      <c r="AE1332" s="80">
        <f t="shared" si="175"/>
        <v>106237324</v>
      </c>
      <c r="AF1332" s="82">
        <v>0</v>
      </c>
      <c r="AG1332" s="69">
        <v>40465</v>
      </c>
      <c r="AH1332" s="84">
        <v>56379</v>
      </c>
      <c r="AI1332" s="69" t="s">
        <v>2009</v>
      </c>
      <c r="AJ1332" s="25" t="s">
        <v>2010</v>
      </c>
      <c r="AK1332" s="65">
        <v>23579</v>
      </c>
      <c r="AL1332" s="176"/>
      <c r="AM1332" s="173" t="s">
        <v>2467</v>
      </c>
      <c r="AN1332" s="159"/>
      <c r="AO1332" s="160"/>
      <c r="AP1332" s="161"/>
      <c r="AQ1332" s="160"/>
      <c r="AR1332" s="160"/>
      <c r="AS1332" s="160"/>
      <c r="AT1332" s="160"/>
      <c r="AU1332" s="160"/>
      <c r="AV1332" s="160"/>
      <c r="AW1332" s="160"/>
      <c r="AX1332" s="160"/>
      <c r="AY1332" s="160"/>
      <c r="AZ1332" s="160"/>
      <c r="BA1332" s="160"/>
      <c r="BB1332" s="160"/>
      <c r="BC1332" s="160"/>
      <c r="BD1332" s="160"/>
      <c r="BE1332" s="160"/>
      <c r="BF1332" s="160"/>
      <c r="BG1332" s="160"/>
      <c r="BH1332" s="160"/>
      <c r="BI1332" s="160"/>
      <c r="BJ1332" s="160"/>
      <c r="BK1332" s="160"/>
      <c r="BL1332" s="160"/>
      <c r="BM1332" s="160"/>
      <c r="BN1332" s="160"/>
      <c r="BO1332" s="160"/>
      <c r="BP1332" s="160"/>
      <c r="BQ1332" s="160"/>
      <c r="BR1332" s="160"/>
      <c r="BS1332" s="160"/>
      <c r="BT1332" s="160"/>
      <c r="BU1332" s="160"/>
      <c r="BV1332" s="160"/>
      <c r="BW1332" s="160"/>
      <c r="BX1332" s="160"/>
      <c r="BY1332" s="160"/>
      <c r="BZ1332" s="160"/>
      <c r="CA1332" s="160"/>
      <c r="CB1332" s="160"/>
      <c r="CC1332" s="160"/>
      <c r="CD1332" s="160"/>
      <c r="CE1332" s="160"/>
      <c r="CF1332" s="160"/>
      <c r="CG1332" s="160"/>
      <c r="CH1332" s="160"/>
      <c r="CI1332" s="160"/>
      <c r="CJ1332" s="160"/>
      <c r="CK1332" s="160"/>
      <c r="CL1332" s="160"/>
      <c r="CM1332" s="160"/>
      <c r="CN1332" s="160"/>
      <c r="CO1332" s="160"/>
      <c r="CP1332" s="162"/>
      <c r="CQ1332" s="163"/>
      <c r="CR1332" s="162"/>
      <c r="CS1332" s="163"/>
      <c r="CT1332" s="162"/>
      <c r="CU1332" s="163"/>
      <c r="CV1332" s="164">
        <f t="shared" si="174"/>
        <v>0</v>
      </c>
      <c r="CW1332" s="165"/>
      <c r="CX1332" s="166"/>
      <c r="CY1332" s="167"/>
      <c r="CZ1332" s="168"/>
      <c r="DA1332" s="169"/>
      <c r="DB1332" s="168"/>
      <c r="DC1332" s="165"/>
      <c r="DD1332" s="166"/>
      <c r="DE1332" s="71"/>
      <c r="DF1332" s="170"/>
      <c r="EO1332" s="353" t="str">
        <f t="shared" si="177"/>
        <v>CORDOBA_LORICA/MONTERIA</v>
      </c>
      <c r="EP1332" s="350"/>
      <c r="EQ1332" s="350"/>
      <c r="ER1332" s="357"/>
      <c r="ES1332" s="350"/>
      <c r="ET1332" s="350"/>
      <c r="EU1332" s="350"/>
    </row>
    <row r="1333" spans="1:151" s="171" customFormat="1" ht="72" x14ac:dyDescent="0.2">
      <c r="A1333" s="242">
        <v>40465</v>
      </c>
      <c r="B1333" s="222" t="s">
        <v>1836</v>
      </c>
      <c r="C1333" s="222" t="s">
        <v>2008</v>
      </c>
      <c r="D1333" s="430" t="s">
        <v>837</v>
      </c>
      <c r="E1333" s="107">
        <f>VLOOKUP(B1333&amp;C1333,Divipola!$C$2:$F$1138,4,FALSE)</f>
        <v>47</v>
      </c>
      <c r="F1333" s="333"/>
      <c r="G1333" s="221"/>
      <c r="H1333" s="157"/>
      <c r="I1333" s="157"/>
      <c r="J1333" s="157"/>
      <c r="K1333" s="157"/>
      <c r="L1333" s="157"/>
      <c r="M1333" s="157"/>
      <c r="N1333" s="157"/>
      <c r="O1333" s="157"/>
      <c r="P1333" s="157"/>
      <c r="Q1333" s="157"/>
      <c r="R1333" s="157"/>
      <c r="S1333" s="157"/>
      <c r="T1333" s="157"/>
      <c r="U1333" s="157"/>
      <c r="V1333" s="158">
        <v>28568</v>
      </c>
      <c r="W1333" s="182" t="s">
        <v>2861</v>
      </c>
      <c r="X1333" s="1">
        <v>40511</v>
      </c>
      <c r="Y1333" s="78">
        <f t="shared" si="171"/>
        <v>0</v>
      </c>
      <c r="Z1333" s="78">
        <f t="shared" si="172"/>
        <v>0</v>
      </c>
      <c r="AA1333" s="78">
        <f t="shared" ref="AA1333:AA1396" si="179">DB1333+DD1333</f>
        <v>0</v>
      </c>
      <c r="AB1333" s="78">
        <f t="shared" si="173"/>
        <v>180032000</v>
      </c>
      <c r="AC1333" s="78"/>
      <c r="AD1333" s="78">
        <v>0</v>
      </c>
      <c r="AE1333" s="80">
        <f t="shared" si="175"/>
        <v>180032000</v>
      </c>
      <c r="AF1333" s="82">
        <v>0</v>
      </c>
      <c r="AG1333" s="69">
        <v>40465</v>
      </c>
      <c r="AH1333" s="84">
        <v>52364</v>
      </c>
      <c r="AI1333" s="69" t="s">
        <v>2009</v>
      </c>
      <c r="AJ1333" s="25" t="s">
        <v>2010</v>
      </c>
      <c r="AK1333" s="88" t="s">
        <v>74</v>
      </c>
      <c r="AL1333" s="176" t="s">
        <v>667</v>
      </c>
      <c r="AM1333" s="173" t="s">
        <v>2845</v>
      </c>
      <c r="AN1333" s="159"/>
      <c r="AO1333" s="160"/>
      <c r="AP1333" s="161"/>
      <c r="AQ1333" s="160"/>
      <c r="AR1333" s="160"/>
      <c r="AS1333" s="160"/>
      <c r="AT1333" s="160"/>
      <c r="AU1333" s="160"/>
      <c r="AV1333" s="160"/>
      <c r="AW1333" s="160"/>
      <c r="AX1333" s="160"/>
      <c r="AY1333" s="160"/>
      <c r="AZ1333" s="160"/>
      <c r="BA1333" s="160"/>
      <c r="BB1333" s="160"/>
      <c r="BC1333" s="160"/>
      <c r="BD1333" s="160"/>
      <c r="BE1333" s="160"/>
      <c r="BF1333" s="160"/>
      <c r="BG1333" s="160"/>
      <c r="BH1333" s="160"/>
      <c r="BI1333" s="160"/>
      <c r="BJ1333" s="160"/>
      <c r="BK1333" s="160"/>
      <c r="BL1333" s="160"/>
      <c r="BM1333" s="160"/>
      <c r="BN1333" s="160"/>
      <c r="BO1333" s="160"/>
      <c r="BP1333" s="160"/>
      <c r="BQ1333" s="160"/>
      <c r="BR1333" s="160"/>
      <c r="BS1333" s="160"/>
      <c r="BT1333" s="160"/>
      <c r="BU1333" s="160"/>
      <c r="BV1333" s="160"/>
      <c r="BW1333" s="160"/>
      <c r="BX1333" s="160"/>
      <c r="BY1333" s="160"/>
      <c r="BZ1333" s="160"/>
      <c r="CA1333" s="160"/>
      <c r="CB1333" s="160"/>
      <c r="CC1333" s="160"/>
      <c r="CD1333" s="160"/>
      <c r="CE1333" s="160"/>
      <c r="CF1333" s="160"/>
      <c r="CG1333" s="160"/>
      <c r="CH1333" s="160"/>
      <c r="CI1333" s="160"/>
      <c r="CJ1333" s="160"/>
      <c r="CK1333" s="160"/>
      <c r="CL1333" s="160"/>
      <c r="CM1333" s="160"/>
      <c r="CN1333" s="160"/>
      <c r="CO1333" s="160"/>
      <c r="CP1333" s="162"/>
      <c r="CQ1333" s="163"/>
      <c r="CR1333" s="162"/>
      <c r="CS1333" s="163"/>
      <c r="CT1333" s="162"/>
      <c r="CU1333" s="163"/>
      <c r="CV1333" s="164">
        <f t="shared" si="174"/>
        <v>0</v>
      </c>
      <c r="CW1333" s="165">
        <f>100000+100000</f>
        <v>200000</v>
      </c>
      <c r="CX1333" s="166">
        <f>100000*900.16+100000*900.16</f>
        <v>180032000</v>
      </c>
      <c r="CY1333" s="167"/>
      <c r="CZ1333" s="168"/>
      <c r="DA1333" s="169"/>
      <c r="DB1333" s="168"/>
      <c r="DC1333" s="165"/>
      <c r="DD1333" s="166"/>
      <c r="DE1333" s="71"/>
      <c r="DF1333" s="170"/>
      <c r="EO1333" s="353" t="str">
        <f t="shared" si="177"/>
        <v>MAGDALENA_DEPARTAMENTO</v>
      </c>
      <c r="EP1333" s="350"/>
      <c r="EQ1333" s="350"/>
      <c r="ER1333" s="357"/>
      <c r="ES1333" s="350"/>
      <c r="ET1333" s="350"/>
      <c r="EU1333" s="350"/>
    </row>
    <row r="1334" spans="1:151" s="171" customFormat="1" ht="25.5" x14ac:dyDescent="0.2">
      <c r="A1334" s="242">
        <v>40465</v>
      </c>
      <c r="B1334" s="222" t="s">
        <v>2791</v>
      </c>
      <c r="C1334" s="222" t="s">
        <v>1945</v>
      </c>
      <c r="D1334" s="430" t="s">
        <v>1721</v>
      </c>
      <c r="E1334" s="107" t="str">
        <f>VLOOKUP(B1334&amp;C1334,Divipola!$C$2:$F$1138,4,FALSE)</f>
        <v>73001</v>
      </c>
      <c r="F1334" s="333"/>
      <c r="G1334" s="221"/>
      <c r="H1334" s="157"/>
      <c r="I1334" s="157"/>
      <c r="J1334" s="157"/>
      <c r="K1334" s="157"/>
      <c r="L1334" s="157"/>
      <c r="M1334" s="157"/>
      <c r="N1334" s="157"/>
      <c r="O1334" s="157"/>
      <c r="P1334" s="157"/>
      <c r="Q1334" s="157"/>
      <c r="R1334" s="157"/>
      <c r="S1334" s="157"/>
      <c r="T1334" s="157"/>
      <c r="U1334" s="157"/>
      <c r="V1334" s="158"/>
      <c r="W1334" s="182" t="s">
        <v>2651</v>
      </c>
      <c r="X1334" s="1"/>
      <c r="Y1334" s="78">
        <f t="shared" si="171"/>
        <v>0</v>
      </c>
      <c r="Z1334" s="78">
        <f t="shared" si="172"/>
        <v>0</v>
      </c>
      <c r="AA1334" s="78">
        <f t="shared" si="179"/>
        <v>0</v>
      </c>
      <c r="AB1334" s="78">
        <f t="shared" si="173"/>
        <v>0</v>
      </c>
      <c r="AC1334" s="78"/>
      <c r="AD1334" s="78">
        <v>0</v>
      </c>
      <c r="AE1334" s="80">
        <f t="shared" si="175"/>
        <v>0</v>
      </c>
      <c r="AF1334" s="82">
        <v>0</v>
      </c>
      <c r="AG1334" s="69">
        <v>40465</v>
      </c>
      <c r="AH1334" s="84"/>
      <c r="AI1334" s="69" t="s">
        <v>1984</v>
      </c>
      <c r="AJ1334" s="25" t="s">
        <v>1985</v>
      </c>
      <c r="AK1334" s="65"/>
      <c r="AL1334" s="176" t="s">
        <v>1257</v>
      </c>
      <c r="AM1334" s="173" t="s">
        <v>2650</v>
      </c>
      <c r="AN1334" s="159"/>
      <c r="AO1334" s="160"/>
      <c r="AP1334" s="161"/>
      <c r="AQ1334" s="160"/>
      <c r="AR1334" s="160"/>
      <c r="AS1334" s="160"/>
      <c r="AT1334" s="160"/>
      <c r="AU1334" s="160"/>
      <c r="AV1334" s="160"/>
      <c r="AW1334" s="160"/>
      <c r="AX1334" s="160"/>
      <c r="AY1334" s="160"/>
      <c r="AZ1334" s="160"/>
      <c r="BA1334" s="160"/>
      <c r="BB1334" s="160"/>
      <c r="BC1334" s="160"/>
      <c r="BD1334" s="160"/>
      <c r="BE1334" s="160"/>
      <c r="BF1334" s="160"/>
      <c r="BG1334" s="160"/>
      <c r="BH1334" s="160"/>
      <c r="BI1334" s="160"/>
      <c r="BJ1334" s="160"/>
      <c r="BK1334" s="160"/>
      <c r="BL1334" s="160"/>
      <c r="BM1334" s="160"/>
      <c r="BN1334" s="160"/>
      <c r="BO1334" s="160"/>
      <c r="BP1334" s="160"/>
      <c r="BQ1334" s="160"/>
      <c r="BR1334" s="160"/>
      <c r="BS1334" s="160"/>
      <c r="BT1334" s="160"/>
      <c r="BU1334" s="160"/>
      <c r="BV1334" s="160"/>
      <c r="BW1334" s="160"/>
      <c r="BX1334" s="160"/>
      <c r="BY1334" s="160"/>
      <c r="BZ1334" s="160"/>
      <c r="CA1334" s="160"/>
      <c r="CB1334" s="160"/>
      <c r="CC1334" s="160"/>
      <c r="CD1334" s="160"/>
      <c r="CE1334" s="160"/>
      <c r="CF1334" s="160"/>
      <c r="CG1334" s="160"/>
      <c r="CH1334" s="160"/>
      <c r="CI1334" s="160"/>
      <c r="CJ1334" s="160"/>
      <c r="CK1334" s="160"/>
      <c r="CL1334" s="160"/>
      <c r="CM1334" s="160"/>
      <c r="CN1334" s="160"/>
      <c r="CO1334" s="160"/>
      <c r="CP1334" s="162"/>
      <c r="CQ1334" s="163"/>
      <c r="CR1334" s="162"/>
      <c r="CS1334" s="163"/>
      <c r="CT1334" s="162"/>
      <c r="CU1334" s="163"/>
      <c r="CV1334" s="164">
        <f t="shared" si="174"/>
        <v>0</v>
      </c>
      <c r="CW1334" s="165"/>
      <c r="CX1334" s="166"/>
      <c r="CY1334" s="167"/>
      <c r="CZ1334" s="168"/>
      <c r="DA1334" s="169"/>
      <c r="DB1334" s="168"/>
      <c r="DC1334" s="165"/>
      <c r="DD1334" s="166"/>
      <c r="DE1334" s="71"/>
      <c r="DF1334" s="170"/>
      <c r="EO1334" s="353" t="str">
        <f t="shared" si="177"/>
        <v>TOLIMA_IBAGUE</v>
      </c>
      <c r="EP1334" s="350"/>
      <c r="EQ1334" s="350"/>
      <c r="ER1334" s="357"/>
      <c r="ES1334" s="350"/>
      <c r="ET1334" s="350"/>
      <c r="EU1334" s="350"/>
    </row>
    <row r="1335" spans="1:151" s="171" customFormat="1" ht="36" x14ac:dyDescent="0.2">
      <c r="A1335" s="242">
        <v>40466</v>
      </c>
      <c r="B1335" s="222" t="s">
        <v>828</v>
      </c>
      <c r="C1335" s="222" t="s">
        <v>718</v>
      </c>
      <c r="D1335" s="430" t="s">
        <v>2352</v>
      </c>
      <c r="E1335" s="107" t="str">
        <f>VLOOKUP(B1335&amp;C1335,Divipola!$C$2:$F$1138,4,FALSE)</f>
        <v>15820</v>
      </c>
      <c r="F1335" s="333"/>
      <c r="G1335" s="221">
        <v>1</v>
      </c>
      <c r="H1335" s="157"/>
      <c r="I1335" s="157"/>
      <c r="J1335" s="157"/>
      <c r="K1335" s="157"/>
      <c r="L1335" s="157"/>
      <c r="M1335" s="157"/>
      <c r="N1335" s="157"/>
      <c r="O1335" s="157"/>
      <c r="P1335" s="157"/>
      <c r="Q1335" s="157"/>
      <c r="R1335" s="157"/>
      <c r="S1335" s="157"/>
      <c r="T1335" s="157"/>
      <c r="U1335" s="157"/>
      <c r="V1335" s="158"/>
      <c r="W1335" s="182"/>
      <c r="X1335" s="1"/>
      <c r="Y1335" s="78">
        <f t="shared" si="171"/>
        <v>0</v>
      </c>
      <c r="Z1335" s="78">
        <f t="shared" si="172"/>
        <v>0</v>
      </c>
      <c r="AA1335" s="78">
        <f t="shared" si="179"/>
        <v>0</v>
      </c>
      <c r="AB1335" s="78">
        <f t="shared" si="173"/>
        <v>0</v>
      </c>
      <c r="AC1335" s="78"/>
      <c r="AD1335" s="78">
        <v>0</v>
      </c>
      <c r="AE1335" s="80">
        <f t="shared" si="175"/>
        <v>0</v>
      </c>
      <c r="AF1335" s="82">
        <v>0</v>
      </c>
      <c r="AG1335" s="69">
        <v>40470</v>
      </c>
      <c r="AH1335" s="84"/>
      <c r="AI1335" s="69" t="s">
        <v>1984</v>
      </c>
      <c r="AJ1335" s="25" t="s">
        <v>1985</v>
      </c>
      <c r="AK1335" s="65"/>
      <c r="AL1335" s="176" t="s">
        <v>1257</v>
      </c>
      <c r="AM1335" s="173" t="s">
        <v>719</v>
      </c>
      <c r="AN1335" s="159"/>
      <c r="AO1335" s="160"/>
      <c r="AP1335" s="161"/>
      <c r="AQ1335" s="160"/>
      <c r="AR1335" s="160"/>
      <c r="AS1335" s="160"/>
      <c r="AT1335" s="160"/>
      <c r="AU1335" s="160"/>
      <c r="AV1335" s="160"/>
      <c r="AW1335" s="160"/>
      <c r="AX1335" s="160"/>
      <c r="AY1335" s="160"/>
      <c r="AZ1335" s="160"/>
      <c r="BA1335" s="160"/>
      <c r="BB1335" s="160"/>
      <c r="BC1335" s="160"/>
      <c r="BD1335" s="160"/>
      <c r="BE1335" s="160"/>
      <c r="BF1335" s="160"/>
      <c r="BG1335" s="160"/>
      <c r="BH1335" s="160"/>
      <c r="BI1335" s="160"/>
      <c r="BJ1335" s="160"/>
      <c r="BK1335" s="160"/>
      <c r="BL1335" s="160"/>
      <c r="BM1335" s="160"/>
      <c r="BN1335" s="160"/>
      <c r="BO1335" s="160"/>
      <c r="BP1335" s="160"/>
      <c r="BQ1335" s="160"/>
      <c r="BR1335" s="160"/>
      <c r="BS1335" s="160"/>
      <c r="BT1335" s="160"/>
      <c r="BU1335" s="160"/>
      <c r="BV1335" s="160"/>
      <c r="BW1335" s="160"/>
      <c r="BX1335" s="160"/>
      <c r="BY1335" s="160"/>
      <c r="BZ1335" s="160"/>
      <c r="CA1335" s="160"/>
      <c r="CB1335" s="160"/>
      <c r="CC1335" s="160"/>
      <c r="CD1335" s="160"/>
      <c r="CE1335" s="160"/>
      <c r="CF1335" s="160"/>
      <c r="CG1335" s="160"/>
      <c r="CH1335" s="160"/>
      <c r="CI1335" s="160"/>
      <c r="CJ1335" s="160"/>
      <c r="CK1335" s="160"/>
      <c r="CL1335" s="160"/>
      <c r="CM1335" s="160"/>
      <c r="CN1335" s="160"/>
      <c r="CO1335" s="160"/>
      <c r="CP1335" s="162"/>
      <c r="CQ1335" s="163"/>
      <c r="CR1335" s="162"/>
      <c r="CS1335" s="163"/>
      <c r="CT1335" s="162"/>
      <c r="CU1335" s="163"/>
      <c r="CV1335" s="164">
        <f t="shared" si="174"/>
        <v>0</v>
      </c>
      <c r="CW1335" s="165"/>
      <c r="CX1335" s="166"/>
      <c r="CY1335" s="167"/>
      <c r="CZ1335" s="168"/>
      <c r="DA1335" s="169"/>
      <c r="DB1335" s="168"/>
      <c r="DC1335" s="165"/>
      <c r="DD1335" s="166"/>
      <c r="DE1335" s="71"/>
      <c r="DF1335" s="170"/>
      <c r="EO1335" s="353" t="str">
        <f t="shared" si="177"/>
        <v>BOYACA_TOPAGA</v>
      </c>
      <c r="EP1335" s="350"/>
      <c r="EQ1335" s="350"/>
      <c r="ER1335" s="357"/>
      <c r="ES1335" s="350"/>
      <c r="ET1335" s="350"/>
      <c r="EU1335" s="350"/>
    </row>
    <row r="1336" spans="1:151" s="171" customFormat="1" ht="45" x14ac:dyDescent="0.2">
      <c r="A1336" s="242">
        <v>40466</v>
      </c>
      <c r="B1336" s="222" t="s">
        <v>2427</v>
      </c>
      <c r="C1336" s="222" t="s">
        <v>2008</v>
      </c>
      <c r="D1336" s="430" t="s">
        <v>837</v>
      </c>
      <c r="E1336" s="107">
        <f>VLOOKUP(B1336&amp;C1336,Divipola!$C$2:$F$1138,4,FALSE)</f>
        <v>68</v>
      </c>
      <c r="F1336" s="333"/>
      <c r="G1336" s="275"/>
      <c r="H1336" s="157"/>
      <c r="I1336" s="157"/>
      <c r="J1336" s="157"/>
      <c r="K1336" s="157"/>
      <c r="L1336" s="157"/>
      <c r="M1336" s="157"/>
      <c r="N1336" s="157"/>
      <c r="O1336" s="157"/>
      <c r="P1336" s="157"/>
      <c r="Q1336" s="157"/>
      <c r="R1336" s="157"/>
      <c r="S1336" s="157"/>
      <c r="T1336" s="157"/>
      <c r="U1336" s="157"/>
      <c r="V1336" s="158"/>
      <c r="W1336" s="182"/>
      <c r="X1336" s="1">
        <v>40479</v>
      </c>
      <c r="Y1336" s="78">
        <f t="shared" si="171"/>
        <v>230898400</v>
      </c>
      <c r="Z1336" s="78">
        <f t="shared" si="172"/>
        <v>170000000</v>
      </c>
      <c r="AA1336" s="78">
        <f t="shared" si="179"/>
        <v>0</v>
      </c>
      <c r="AB1336" s="78">
        <f t="shared" si="173"/>
        <v>0</v>
      </c>
      <c r="AC1336" s="78"/>
      <c r="AD1336" s="78">
        <v>0</v>
      </c>
      <c r="AE1336" s="80">
        <f t="shared" si="175"/>
        <v>400898400</v>
      </c>
      <c r="AF1336" s="82">
        <v>0</v>
      </c>
      <c r="AG1336" s="69">
        <v>40466</v>
      </c>
      <c r="AH1336" s="84">
        <v>56322</v>
      </c>
      <c r="AI1336" s="69" t="s">
        <v>2009</v>
      </c>
      <c r="AJ1336" s="25" t="s">
        <v>2010</v>
      </c>
      <c r="AK1336" s="88" t="s">
        <v>2926</v>
      </c>
      <c r="AL1336" s="176" t="s">
        <v>1850</v>
      </c>
      <c r="AM1336" s="173" t="s">
        <v>2291</v>
      </c>
      <c r="AN1336" s="159"/>
      <c r="AO1336" s="160"/>
      <c r="AP1336" s="161"/>
      <c r="AQ1336" s="160"/>
      <c r="AR1336" s="160"/>
      <c r="AS1336" s="160"/>
      <c r="AT1336" s="160"/>
      <c r="AU1336" s="160"/>
      <c r="AV1336" s="160"/>
      <c r="AW1336" s="160"/>
      <c r="AX1336" s="160"/>
      <c r="AY1336" s="160"/>
      <c r="AZ1336" s="160"/>
      <c r="BA1336" s="160"/>
      <c r="BB1336" s="160">
        <v>1000</v>
      </c>
      <c r="BC1336" s="160">
        <f>1000*56000</f>
        <v>56000000</v>
      </c>
      <c r="BD1336" s="160"/>
      <c r="BE1336" s="160"/>
      <c r="BF1336" s="160"/>
      <c r="BG1336" s="160"/>
      <c r="BH1336" s="160"/>
      <c r="BI1336" s="160"/>
      <c r="BJ1336" s="160"/>
      <c r="BK1336" s="160"/>
      <c r="BL1336" s="160"/>
      <c r="BM1336" s="160"/>
      <c r="BN1336" s="160"/>
      <c r="BO1336" s="160"/>
      <c r="BP1336" s="160"/>
      <c r="BQ1336" s="160"/>
      <c r="BR1336" s="160"/>
      <c r="BS1336" s="160"/>
      <c r="BT1336" s="160"/>
      <c r="BU1336" s="160"/>
      <c r="BV1336" s="160"/>
      <c r="BW1336" s="160"/>
      <c r="BX1336" s="160"/>
      <c r="BY1336" s="160"/>
      <c r="BZ1336" s="160"/>
      <c r="CA1336" s="160"/>
      <c r="CB1336" s="160"/>
      <c r="CC1336" s="160"/>
      <c r="CD1336" s="160"/>
      <c r="CE1336" s="160"/>
      <c r="CF1336" s="160"/>
      <c r="CG1336" s="160"/>
      <c r="CH1336" s="160"/>
      <c r="CI1336" s="160"/>
      <c r="CJ1336" s="160">
        <v>1000</v>
      </c>
      <c r="CK1336" s="160">
        <f>1000*21500</f>
        <v>21500000</v>
      </c>
      <c r="CL1336" s="160"/>
      <c r="CM1336" s="160"/>
      <c r="CN1336" s="160"/>
      <c r="CO1336" s="160"/>
      <c r="CP1336" s="162">
        <v>2000</v>
      </c>
      <c r="CQ1336" s="163">
        <f>2000*36999.36</f>
        <v>73998720</v>
      </c>
      <c r="CR1336" s="162">
        <v>2000</v>
      </c>
      <c r="CS1336" s="163">
        <f>2000*39699.84</f>
        <v>79399680</v>
      </c>
      <c r="CT1336" s="162"/>
      <c r="CU1336" s="163"/>
      <c r="CV1336" s="164">
        <f t="shared" si="174"/>
        <v>230898400</v>
      </c>
      <c r="CW1336" s="165"/>
      <c r="CX1336" s="166"/>
      <c r="CY1336" s="167">
        <v>2000</v>
      </c>
      <c r="CZ1336" s="168">
        <f>2000*85000</f>
        <v>170000000</v>
      </c>
      <c r="DA1336" s="169"/>
      <c r="DB1336" s="168"/>
      <c r="DC1336" s="165"/>
      <c r="DD1336" s="166"/>
      <c r="DE1336" s="71"/>
      <c r="DF1336" s="170"/>
      <c r="EO1336" s="353" t="str">
        <f t="shared" si="177"/>
        <v>SANTANDER_DEPARTAMENTO</v>
      </c>
      <c r="EP1336" s="350"/>
      <c r="EQ1336" s="350"/>
      <c r="ER1336" s="357"/>
      <c r="ES1336" s="350"/>
      <c r="ET1336" s="350"/>
      <c r="EU1336" s="350"/>
    </row>
    <row r="1337" spans="1:151" s="171" customFormat="1" ht="120" x14ac:dyDescent="0.2">
      <c r="A1337" s="246">
        <v>40467</v>
      </c>
      <c r="B1337" s="280" t="s">
        <v>2401</v>
      </c>
      <c r="C1337" s="280" t="s">
        <v>1536</v>
      </c>
      <c r="D1337" s="432" t="s">
        <v>2209</v>
      </c>
      <c r="E1337" s="107" t="str">
        <f>VLOOKUP(B1337&amp;C1337,Divipola!$C$2:$F$1138,4,FALSE)</f>
        <v>05679</v>
      </c>
      <c r="F1337" s="337"/>
      <c r="G1337" s="221"/>
      <c r="H1337" s="157"/>
      <c r="I1337" s="157"/>
      <c r="J1337" s="157">
        <f>533-53</f>
        <v>480</v>
      </c>
      <c r="K1337" s="183">
        <f>185-11</f>
        <v>174</v>
      </c>
      <c r="L1337" s="157">
        <v>34</v>
      </c>
      <c r="M1337" s="157">
        <f>119-11</f>
        <v>108</v>
      </c>
      <c r="N1337" s="157"/>
      <c r="O1337" s="157"/>
      <c r="P1337" s="157"/>
      <c r="Q1337" s="157"/>
      <c r="R1337" s="157"/>
      <c r="S1337" s="157"/>
      <c r="T1337" s="157"/>
      <c r="U1337" s="157"/>
      <c r="V1337" s="158"/>
      <c r="W1337" s="182"/>
      <c r="X1337" s="1">
        <v>40592</v>
      </c>
      <c r="Y1337" s="78">
        <f t="shared" si="171"/>
        <v>0</v>
      </c>
      <c r="Z1337" s="78">
        <f t="shared" si="172"/>
        <v>0</v>
      </c>
      <c r="AA1337" s="78">
        <f t="shared" si="179"/>
        <v>0</v>
      </c>
      <c r="AB1337" s="78">
        <f t="shared" si="173"/>
        <v>0</v>
      </c>
      <c r="AC1337" s="78"/>
      <c r="AD1337" s="78">
        <v>150000000</v>
      </c>
      <c r="AE1337" s="80">
        <f t="shared" si="175"/>
        <v>150000000</v>
      </c>
      <c r="AF1337" s="82">
        <v>0</v>
      </c>
      <c r="AG1337" s="69">
        <v>40595</v>
      </c>
      <c r="AH1337" s="84"/>
      <c r="AI1337" s="69" t="s">
        <v>2009</v>
      </c>
      <c r="AJ1337" s="25" t="s">
        <v>2010</v>
      </c>
      <c r="AK1337" s="65">
        <v>25</v>
      </c>
      <c r="AL1337" s="176" t="s">
        <v>403</v>
      </c>
      <c r="AM1337" s="173" t="s">
        <v>404</v>
      </c>
      <c r="AN1337" s="159"/>
      <c r="AO1337" s="160"/>
      <c r="AP1337" s="161"/>
      <c r="AQ1337" s="160"/>
      <c r="AR1337" s="160"/>
      <c r="AS1337" s="160"/>
      <c r="AT1337" s="160"/>
      <c r="AU1337" s="160"/>
      <c r="AV1337" s="160"/>
      <c r="AW1337" s="160"/>
      <c r="AX1337" s="160"/>
      <c r="AY1337" s="160"/>
      <c r="AZ1337" s="160"/>
      <c r="BA1337" s="160"/>
      <c r="BB1337" s="160"/>
      <c r="BC1337" s="160"/>
      <c r="BD1337" s="160"/>
      <c r="BE1337" s="160"/>
      <c r="BF1337" s="160"/>
      <c r="BG1337" s="160"/>
      <c r="BH1337" s="160"/>
      <c r="BI1337" s="160"/>
      <c r="BJ1337" s="160"/>
      <c r="BK1337" s="160"/>
      <c r="BL1337" s="160"/>
      <c r="BM1337" s="160"/>
      <c r="BN1337" s="160"/>
      <c r="BO1337" s="160"/>
      <c r="BP1337" s="160"/>
      <c r="BQ1337" s="160"/>
      <c r="BR1337" s="160"/>
      <c r="BS1337" s="160"/>
      <c r="BT1337" s="160"/>
      <c r="BU1337" s="160"/>
      <c r="BV1337" s="160"/>
      <c r="BW1337" s="160"/>
      <c r="BX1337" s="160"/>
      <c r="BY1337" s="160"/>
      <c r="BZ1337" s="160"/>
      <c r="CA1337" s="160"/>
      <c r="CB1337" s="160"/>
      <c r="CC1337" s="160"/>
      <c r="CD1337" s="160"/>
      <c r="CE1337" s="160"/>
      <c r="CF1337" s="160"/>
      <c r="CG1337" s="160"/>
      <c r="CH1337" s="160"/>
      <c r="CI1337" s="160"/>
      <c r="CJ1337" s="160"/>
      <c r="CK1337" s="160"/>
      <c r="CL1337" s="160"/>
      <c r="CM1337" s="160"/>
      <c r="CN1337" s="160"/>
      <c r="CO1337" s="160"/>
      <c r="CP1337" s="162"/>
      <c r="CQ1337" s="163"/>
      <c r="CR1337" s="162"/>
      <c r="CS1337" s="163"/>
      <c r="CT1337" s="162"/>
      <c r="CU1337" s="163"/>
      <c r="CV1337" s="164">
        <f t="shared" si="174"/>
        <v>0</v>
      </c>
      <c r="CW1337" s="165"/>
      <c r="CX1337" s="166"/>
      <c r="CY1337" s="167"/>
      <c r="CZ1337" s="168"/>
      <c r="DA1337" s="169"/>
      <c r="DB1337" s="168"/>
      <c r="DC1337" s="165"/>
      <c r="DD1337" s="166"/>
      <c r="DE1337" s="71">
        <v>8</v>
      </c>
      <c r="DF1337" s="170">
        <v>1586</v>
      </c>
      <c r="EO1337" s="353" t="str">
        <f t="shared" si="177"/>
        <v>ANTIOQUIA_SANTA BARBARA</v>
      </c>
      <c r="EP1337" s="350"/>
      <c r="EQ1337" s="350"/>
      <c r="ER1337" s="357"/>
      <c r="ES1337" s="350"/>
      <c r="ET1337" s="350"/>
      <c r="EU1337" s="350"/>
    </row>
    <row r="1338" spans="1:151" s="171" customFormat="1" ht="25.5" x14ac:dyDescent="0.2">
      <c r="A1338" s="242">
        <v>40467</v>
      </c>
      <c r="B1338" s="222" t="s">
        <v>1951</v>
      </c>
      <c r="C1338" s="222" t="s">
        <v>1949</v>
      </c>
      <c r="D1338" s="430" t="s">
        <v>837</v>
      </c>
      <c r="E1338" s="107" t="str">
        <f>VLOOKUP(B1338&amp;C1338,Divipola!$C$2:$F$1138,4,FALSE)</f>
        <v>08436</v>
      </c>
      <c r="F1338" s="333"/>
      <c r="G1338" s="221"/>
      <c r="H1338" s="157"/>
      <c r="I1338" s="157"/>
      <c r="J1338" s="421">
        <f>58*3.7</f>
        <v>214.60000000000002</v>
      </c>
      <c r="K1338" s="157">
        <v>58</v>
      </c>
      <c r="L1338" s="157"/>
      <c r="M1338" s="157">
        <v>58</v>
      </c>
      <c r="N1338" s="157"/>
      <c r="O1338" s="157"/>
      <c r="P1338" s="157"/>
      <c r="Q1338" s="157"/>
      <c r="R1338" s="157"/>
      <c r="S1338" s="157"/>
      <c r="T1338" s="157"/>
      <c r="U1338" s="157"/>
      <c r="V1338" s="158"/>
      <c r="W1338" s="182"/>
      <c r="X1338" s="1"/>
      <c r="Y1338" s="78">
        <f t="shared" si="171"/>
        <v>0</v>
      </c>
      <c r="Z1338" s="78">
        <f t="shared" si="172"/>
        <v>34400000</v>
      </c>
      <c r="AA1338" s="78">
        <f t="shared" si="179"/>
        <v>0</v>
      </c>
      <c r="AB1338" s="78">
        <f t="shared" si="173"/>
        <v>0</v>
      </c>
      <c r="AC1338" s="78"/>
      <c r="AD1338" s="78">
        <v>0</v>
      </c>
      <c r="AE1338" s="80">
        <f t="shared" si="175"/>
        <v>34400000</v>
      </c>
      <c r="AF1338" s="82">
        <v>0</v>
      </c>
      <c r="AG1338" s="69">
        <v>40471</v>
      </c>
      <c r="AH1338" s="84"/>
      <c r="AI1338" s="69" t="s">
        <v>2009</v>
      </c>
      <c r="AJ1338" s="25" t="s">
        <v>2010</v>
      </c>
      <c r="AK1338" s="65"/>
      <c r="AL1338" s="176" t="s">
        <v>1257</v>
      </c>
      <c r="AM1338" s="173" t="s">
        <v>731</v>
      </c>
      <c r="AN1338" s="159"/>
      <c r="AO1338" s="160"/>
      <c r="AP1338" s="161"/>
      <c r="AQ1338" s="160"/>
      <c r="AR1338" s="160"/>
      <c r="AS1338" s="160"/>
      <c r="AT1338" s="160"/>
      <c r="AU1338" s="160"/>
      <c r="AV1338" s="160"/>
      <c r="AW1338" s="160"/>
      <c r="AX1338" s="160"/>
      <c r="AY1338" s="160"/>
      <c r="AZ1338" s="160"/>
      <c r="BA1338" s="160"/>
      <c r="BB1338" s="160"/>
      <c r="BC1338" s="160"/>
      <c r="BD1338" s="160"/>
      <c r="BE1338" s="160"/>
      <c r="BF1338" s="160"/>
      <c r="BG1338" s="160"/>
      <c r="BH1338" s="160"/>
      <c r="BI1338" s="160"/>
      <c r="BJ1338" s="160"/>
      <c r="BK1338" s="160"/>
      <c r="BL1338" s="160"/>
      <c r="BM1338" s="160"/>
      <c r="BN1338" s="160"/>
      <c r="BO1338" s="160"/>
      <c r="BP1338" s="160"/>
      <c r="BQ1338" s="160"/>
      <c r="BR1338" s="160"/>
      <c r="BS1338" s="160"/>
      <c r="BT1338" s="160"/>
      <c r="BU1338" s="160"/>
      <c r="BV1338" s="160"/>
      <c r="BW1338" s="160"/>
      <c r="BX1338" s="160"/>
      <c r="BY1338" s="160"/>
      <c r="BZ1338" s="160"/>
      <c r="CA1338" s="160"/>
      <c r="CB1338" s="160"/>
      <c r="CC1338" s="160"/>
      <c r="CD1338" s="160"/>
      <c r="CE1338" s="160"/>
      <c r="CF1338" s="160"/>
      <c r="CG1338" s="160"/>
      <c r="CH1338" s="160"/>
      <c r="CI1338" s="160"/>
      <c r="CJ1338" s="160"/>
      <c r="CK1338" s="160"/>
      <c r="CL1338" s="160"/>
      <c r="CM1338" s="160"/>
      <c r="CN1338" s="160"/>
      <c r="CO1338" s="160"/>
      <c r="CP1338" s="162"/>
      <c r="CQ1338" s="163"/>
      <c r="CR1338" s="162"/>
      <c r="CS1338" s="163"/>
      <c r="CT1338" s="162"/>
      <c r="CU1338" s="163"/>
      <c r="CV1338" s="164">
        <f t="shared" si="174"/>
        <v>0</v>
      </c>
      <c r="CW1338" s="165"/>
      <c r="CX1338" s="166"/>
      <c r="CY1338" s="167">
        <v>400</v>
      </c>
      <c r="CZ1338" s="168">
        <f>400*86000</f>
        <v>34400000</v>
      </c>
      <c r="DA1338" s="169"/>
      <c r="DB1338" s="168"/>
      <c r="DC1338" s="165"/>
      <c r="DD1338" s="166"/>
      <c r="DE1338" s="71"/>
      <c r="DF1338" s="170"/>
      <c r="EO1338" s="353" t="str">
        <f t="shared" si="177"/>
        <v>ATLANTICO_MANATI</v>
      </c>
      <c r="EP1338" s="350"/>
      <c r="EQ1338" s="350"/>
      <c r="ER1338" s="357"/>
      <c r="ES1338" s="350"/>
      <c r="ET1338" s="350"/>
      <c r="EU1338" s="350"/>
    </row>
    <row r="1339" spans="1:151" s="171" customFormat="1" ht="38.25" x14ac:dyDescent="0.2">
      <c r="A1339" s="242">
        <v>40467</v>
      </c>
      <c r="B1339" s="222" t="s">
        <v>1951</v>
      </c>
      <c r="C1339" s="222" t="s">
        <v>674</v>
      </c>
      <c r="D1339" s="430" t="s">
        <v>837</v>
      </c>
      <c r="E1339" s="107" t="str">
        <f>VLOOKUP(B1339&amp;C1339,Divipola!$C$2:$F$1138,4,FALSE)</f>
        <v>08638</v>
      </c>
      <c r="F1339" s="333"/>
      <c r="G1339" s="221"/>
      <c r="H1339" s="157"/>
      <c r="I1339" s="157"/>
      <c r="J1339" s="157">
        <f>495*5</f>
        <v>2475</v>
      </c>
      <c r="K1339" s="157">
        <v>495</v>
      </c>
      <c r="L1339" s="157"/>
      <c r="M1339" s="157">
        <v>495</v>
      </c>
      <c r="N1339" s="157"/>
      <c r="O1339" s="157"/>
      <c r="P1339" s="157"/>
      <c r="Q1339" s="157"/>
      <c r="R1339" s="157"/>
      <c r="S1339" s="157"/>
      <c r="T1339" s="157"/>
      <c r="U1339" s="157"/>
      <c r="V1339" s="158"/>
      <c r="W1339" s="182"/>
      <c r="X1339" s="1"/>
      <c r="Y1339" s="78">
        <f t="shared" si="171"/>
        <v>0</v>
      </c>
      <c r="Z1339" s="78">
        <f t="shared" si="172"/>
        <v>42075000</v>
      </c>
      <c r="AA1339" s="78">
        <f t="shared" si="179"/>
        <v>0</v>
      </c>
      <c r="AB1339" s="78">
        <f t="shared" si="173"/>
        <v>0</v>
      </c>
      <c r="AC1339" s="78"/>
      <c r="AD1339" s="78">
        <v>0</v>
      </c>
      <c r="AE1339" s="80">
        <f t="shared" si="175"/>
        <v>42075000</v>
      </c>
      <c r="AF1339" s="82">
        <v>0</v>
      </c>
      <c r="AG1339" s="69">
        <v>40471</v>
      </c>
      <c r="AH1339" s="84"/>
      <c r="AI1339" s="69" t="s">
        <v>2009</v>
      </c>
      <c r="AJ1339" s="25" t="s">
        <v>2010</v>
      </c>
      <c r="AK1339" s="65"/>
      <c r="AL1339" s="176" t="s">
        <v>1257</v>
      </c>
      <c r="AM1339" s="173" t="s">
        <v>729</v>
      </c>
      <c r="AN1339" s="159"/>
      <c r="AO1339" s="160"/>
      <c r="AP1339" s="161"/>
      <c r="AQ1339" s="160"/>
      <c r="AR1339" s="160"/>
      <c r="AS1339" s="160"/>
      <c r="AT1339" s="160"/>
      <c r="AU1339" s="160"/>
      <c r="AV1339" s="160"/>
      <c r="AW1339" s="160"/>
      <c r="AX1339" s="160"/>
      <c r="AY1339" s="160"/>
      <c r="AZ1339" s="160"/>
      <c r="BA1339" s="160"/>
      <c r="BB1339" s="160"/>
      <c r="BC1339" s="160"/>
      <c r="BD1339" s="160"/>
      <c r="BE1339" s="160"/>
      <c r="BF1339" s="160"/>
      <c r="BG1339" s="160"/>
      <c r="BH1339" s="160"/>
      <c r="BI1339" s="160"/>
      <c r="BJ1339" s="160"/>
      <c r="BK1339" s="160"/>
      <c r="BL1339" s="160"/>
      <c r="BM1339" s="160"/>
      <c r="BN1339" s="160"/>
      <c r="BO1339" s="160"/>
      <c r="BP1339" s="160"/>
      <c r="BQ1339" s="160"/>
      <c r="BR1339" s="160"/>
      <c r="BS1339" s="160"/>
      <c r="BT1339" s="160"/>
      <c r="BU1339" s="160"/>
      <c r="BV1339" s="160"/>
      <c r="BW1339" s="160"/>
      <c r="BX1339" s="160"/>
      <c r="BY1339" s="160"/>
      <c r="BZ1339" s="160"/>
      <c r="CA1339" s="160"/>
      <c r="CB1339" s="160"/>
      <c r="CC1339" s="160"/>
      <c r="CD1339" s="160"/>
      <c r="CE1339" s="160"/>
      <c r="CF1339" s="160"/>
      <c r="CG1339" s="160"/>
      <c r="CH1339" s="160"/>
      <c r="CI1339" s="160"/>
      <c r="CJ1339" s="160"/>
      <c r="CK1339" s="160"/>
      <c r="CL1339" s="160"/>
      <c r="CM1339" s="160"/>
      <c r="CN1339" s="160"/>
      <c r="CO1339" s="160"/>
      <c r="CP1339" s="162"/>
      <c r="CQ1339" s="163"/>
      <c r="CR1339" s="162"/>
      <c r="CS1339" s="163"/>
      <c r="CT1339" s="162"/>
      <c r="CU1339" s="163"/>
      <c r="CV1339" s="164">
        <f t="shared" si="174"/>
        <v>0</v>
      </c>
      <c r="CW1339" s="165"/>
      <c r="CX1339" s="166"/>
      <c r="CY1339" s="167">
        <v>495</v>
      </c>
      <c r="CZ1339" s="168">
        <f>495*85000</f>
        <v>42075000</v>
      </c>
      <c r="DA1339" s="169"/>
      <c r="DB1339" s="168"/>
      <c r="DC1339" s="165"/>
      <c r="DD1339" s="166"/>
      <c r="DE1339" s="71"/>
      <c r="DF1339" s="170"/>
      <c r="EO1339" s="353" t="str">
        <f t="shared" si="177"/>
        <v>ATLANTICO_SABANALARGA</v>
      </c>
      <c r="EP1339" s="350"/>
      <c r="EQ1339" s="350"/>
      <c r="ER1339" s="357"/>
      <c r="ES1339" s="350"/>
      <c r="ET1339" s="350"/>
      <c r="EU1339" s="350"/>
    </row>
    <row r="1340" spans="1:151" s="171" customFormat="1" ht="72" x14ac:dyDescent="0.2">
      <c r="A1340" s="242">
        <v>40467</v>
      </c>
      <c r="B1340" s="222" t="s">
        <v>1951</v>
      </c>
      <c r="C1340" s="222" t="s">
        <v>678</v>
      </c>
      <c r="D1340" s="430" t="s">
        <v>837</v>
      </c>
      <c r="E1340" s="107" t="str">
        <f>VLOOKUP(B1340&amp;C1340,Divipola!$C$2:$F$1138,4,FALSE)</f>
        <v>08758</v>
      </c>
      <c r="F1340" s="333"/>
      <c r="G1340" s="221"/>
      <c r="H1340" s="157"/>
      <c r="I1340" s="157"/>
      <c r="J1340" s="157">
        <f>1187*5</f>
        <v>5935</v>
      </c>
      <c r="K1340" s="157">
        <f>2700-53-1460</f>
        <v>1187</v>
      </c>
      <c r="L1340" s="157"/>
      <c r="M1340" s="157">
        <v>778</v>
      </c>
      <c r="N1340" s="157"/>
      <c r="O1340" s="157"/>
      <c r="P1340" s="157"/>
      <c r="Q1340" s="157"/>
      <c r="R1340" s="157"/>
      <c r="S1340" s="157"/>
      <c r="T1340" s="157"/>
      <c r="U1340" s="157"/>
      <c r="V1340" s="158"/>
      <c r="W1340" s="182"/>
      <c r="X1340" s="1">
        <v>40505</v>
      </c>
      <c r="Y1340" s="78">
        <f t="shared" si="171"/>
        <v>109900000</v>
      </c>
      <c r="Z1340" s="78">
        <f t="shared" si="172"/>
        <v>314500000</v>
      </c>
      <c r="AA1340" s="78">
        <f t="shared" si="179"/>
        <v>0</v>
      </c>
      <c r="AB1340" s="78">
        <f t="shared" si="173"/>
        <v>0</v>
      </c>
      <c r="AC1340" s="78"/>
      <c r="AD1340" s="78">
        <v>0</v>
      </c>
      <c r="AE1340" s="80">
        <f t="shared" si="175"/>
        <v>424400000</v>
      </c>
      <c r="AF1340" s="82">
        <v>0</v>
      </c>
      <c r="AG1340" s="69">
        <v>40484</v>
      </c>
      <c r="AH1340" s="84">
        <v>60524</v>
      </c>
      <c r="AI1340" s="69" t="s">
        <v>2009</v>
      </c>
      <c r="AJ1340" s="25" t="s">
        <v>2010</v>
      </c>
      <c r="AK1340" s="65">
        <v>24401</v>
      </c>
      <c r="AL1340" s="185" t="s">
        <v>2182</v>
      </c>
      <c r="AM1340" s="173" t="s">
        <v>720</v>
      </c>
      <c r="AN1340" s="159"/>
      <c r="AO1340" s="160"/>
      <c r="AP1340" s="161"/>
      <c r="AQ1340" s="160"/>
      <c r="AR1340" s="160"/>
      <c r="AS1340" s="160"/>
      <c r="AT1340" s="160"/>
      <c r="AU1340" s="160"/>
      <c r="AV1340" s="160"/>
      <c r="AW1340" s="160"/>
      <c r="AX1340" s="160"/>
      <c r="AY1340" s="160"/>
      <c r="AZ1340" s="160"/>
      <c r="BA1340" s="160"/>
      <c r="BB1340" s="160">
        <v>500</v>
      </c>
      <c r="BC1340" s="160">
        <f>500*56000</f>
        <v>28000000</v>
      </c>
      <c r="BD1340" s="160"/>
      <c r="BE1340" s="160"/>
      <c r="BF1340" s="160"/>
      <c r="BG1340" s="160"/>
      <c r="BH1340" s="160"/>
      <c r="BI1340" s="160"/>
      <c r="BJ1340" s="160"/>
      <c r="BK1340" s="160"/>
      <c r="BL1340" s="160"/>
      <c r="BM1340" s="160"/>
      <c r="BN1340" s="160"/>
      <c r="BO1340" s="160"/>
      <c r="BP1340" s="160"/>
      <c r="BQ1340" s="160"/>
      <c r="BR1340" s="160"/>
      <c r="BS1340" s="160"/>
      <c r="BT1340" s="160"/>
      <c r="BU1340" s="160"/>
      <c r="BV1340" s="160"/>
      <c r="BW1340" s="160"/>
      <c r="BX1340" s="160"/>
      <c r="BY1340" s="160"/>
      <c r="BZ1340" s="160">
        <v>10</v>
      </c>
      <c r="CA1340" s="160">
        <f>10*520000</f>
        <v>5200000</v>
      </c>
      <c r="CB1340" s="160"/>
      <c r="CC1340" s="160"/>
      <c r="CD1340" s="160"/>
      <c r="CE1340" s="160"/>
      <c r="CF1340" s="160"/>
      <c r="CG1340" s="160"/>
      <c r="CH1340" s="160"/>
      <c r="CI1340" s="160"/>
      <c r="CJ1340" s="160"/>
      <c r="CK1340" s="160"/>
      <c r="CL1340" s="160"/>
      <c r="CM1340" s="160"/>
      <c r="CN1340" s="160"/>
      <c r="CO1340" s="160"/>
      <c r="CP1340" s="162">
        <v>1000</v>
      </c>
      <c r="CQ1340" s="163">
        <f>1000*37000</f>
        <v>37000000</v>
      </c>
      <c r="CR1340" s="162">
        <v>1000</v>
      </c>
      <c r="CS1340" s="163">
        <f>1000*39700</f>
        <v>39700000</v>
      </c>
      <c r="CT1340" s="162"/>
      <c r="CU1340" s="163"/>
      <c r="CV1340" s="164">
        <f t="shared" si="174"/>
        <v>109900000</v>
      </c>
      <c r="CW1340" s="165"/>
      <c r="CX1340" s="166"/>
      <c r="CY1340" s="167">
        <f>1000+2700</f>
        <v>3700</v>
      </c>
      <c r="CZ1340" s="168">
        <f>1000*85000+2700*85000</f>
        <v>314500000</v>
      </c>
      <c r="DA1340" s="169"/>
      <c r="DB1340" s="168"/>
      <c r="DC1340" s="165"/>
      <c r="DD1340" s="166"/>
      <c r="DE1340" s="71"/>
      <c r="DF1340" s="170"/>
      <c r="EO1340" s="353" t="str">
        <f t="shared" si="177"/>
        <v>ATLANTICO_SOLEDAD</v>
      </c>
      <c r="EP1340" s="350"/>
      <c r="EQ1340" s="350"/>
      <c r="ER1340" s="357"/>
      <c r="ES1340" s="350"/>
      <c r="ET1340" s="350"/>
      <c r="EU1340" s="350"/>
    </row>
    <row r="1341" spans="1:151" s="171" customFormat="1" ht="38.25" x14ac:dyDescent="0.2">
      <c r="A1341" s="242">
        <v>40467</v>
      </c>
      <c r="B1341" s="222" t="s">
        <v>1189</v>
      </c>
      <c r="C1341" s="222" t="s">
        <v>1096</v>
      </c>
      <c r="D1341" s="430" t="s">
        <v>837</v>
      </c>
      <c r="E1341" s="107" t="str">
        <f>VLOOKUP(B1341&amp;C1341,Divipola!$C$2:$F$1138,4,FALSE)</f>
        <v>85250</v>
      </c>
      <c r="F1341" s="333"/>
      <c r="G1341" s="221"/>
      <c r="H1341" s="157"/>
      <c r="I1341" s="157">
        <v>1</v>
      </c>
      <c r="J1341" s="157"/>
      <c r="K1341" s="157"/>
      <c r="L1341" s="157"/>
      <c r="M1341" s="157"/>
      <c r="N1341" s="157"/>
      <c r="O1341" s="157"/>
      <c r="P1341" s="157"/>
      <c r="Q1341" s="157"/>
      <c r="R1341" s="157"/>
      <c r="S1341" s="157"/>
      <c r="T1341" s="157"/>
      <c r="U1341" s="157"/>
      <c r="V1341" s="158"/>
      <c r="W1341" s="182"/>
      <c r="X1341" s="1"/>
      <c r="Y1341" s="78">
        <f t="shared" si="171"/>
        <v>0</v>
      </c>
      <c r="Z1341" s="78">
        <f t="shared" si="172"/>
        <v>0</v>
      </c>
      <c r="AA1341" s="78">
        <f t="shared" si="179"/>
        <v>0</v>
      </c>
      <c r="AB1341" s="78">
        <f t="shared" si="173"/>
        <v>0</v>
      </c>
      <c r="AC1341" s="78"/>
      <c r="AD1341" s="78">
        <v>0</v>
      </c>
      <c r="AE1341" s="80">
        <f t="shared" si="175"/>
        <v>0</v>
      </c>
      <c r="AF1341" s="82">
        <v>0</v>
      </c>
      <c r="AG1341" s="69">
        <v>40470</v>
      </c>
      <c r="AH1341" s="84"/>
      <c r="AI1341" s="69" t="s">
        <v>1984</v>
      </c>
      <c r="AJ1341" s="25" t="s">
        <v>1985</v>
      </c>
      <c r="AK1341" s="65"/>
      <c r="AL1341" s="176" t="s">
        <v>1257</v>
      </c>
      <c r="AM1341" s="173" t="s">
        <v>722</v>
      </c>
      <c r="AN1341" s="159"/>
      <c r="AO1341" s="160"/>
      <c r="AP1341" s="161"/>
      <c r="AQ1341" s="160"/>
      <c r="AR1341" s="160"/>
      <c r="AS1341" s="160"/>
      <c r="AT1341" s="160"/>
      <c r="AU1341" s="160"/>
      <c r="AV1341" s="160"/>
      <c r="AW1341" s="160"/>
      <c r="AX1341" s="160"/>
      <c r="AY1341" s="160"/>
      <c r="AZ1341" s="160"/>
      <c r="BA1341" s="160"/>
      <c r="BB1341" s="160"/>
      <c r="BC1341" s="160"/>
      <c r="BD1341" s="160"/>
      <c r="BE1341" s="160"/>
      <c r="BF1341" s="160"/>
      <c r="BG1341" s="160"/>
      <c r="BH1341" s="160"/>
      <c r="BI1341" s="160"/>
      <c r="BJ1341" s="160"/>
      <c r="BK1341" s="160"/>
      <c r="BL1341" s="160"/>
      <c r="BM1341" s="160"/>
      <c r="BN1341" s="160"/>
      <c r="BO1341" s="160"/>
      <c r="BP1341" s="160"/>
      <c r="BQ1341" s="160"/>
      <c r="BR1341" s="160"/>
      <c r="BS1341" s="160"/>
      <c r="BT1341" s="160"/>
      <c r="BU1341" s="160"/>
      <c r="BV1341" s="160"/>
      <c r="BW1341" s="160"/>
      <c r="BX1341" s="160"/>
      <c r="BY1341" s="160"/>
      <c r="BZ1341" s="160"/>
      <c r="CA1341" s="160"/>
      <c r="CB1341" s="160"/>
      <c r="CC1341" s="160"/>
      <c r="CD1341" s="160"/>
      <c r="CE1341" s="160"/>
      <c r="CF1341" s="160"/>
      <c r="CG1341" s="160"/>
      <c r="CH1341" s="160"/>
      <c r="CI1341" s="160"/>
      <c r="CJ1341" s="160"/>
      <c r="CK1341" s="160"/>
      <c r="CL1341" s="160"/>
      <c r="CM1341" s="160"/>
      <c r="CN1341" s="160"/>
      <c r="CO1341" s="160"/>
      <c r="CP1341" s="162"/>
      <c r="CQ1341" s="163"/>
      <c r="CR1341" s="162"/>
      <c r="CS1341" s="163"/>
      <c r="CT1341" s="162"/>
      <c r="CU1341" s="163"/>
      <c r="CV1341" s="164">
        <f t="shared" si="174"/>
        <v>0</v>
      </c>
      <c r="CW1341" s="165"/>
      <c r="CX1341" s="166"/>
      <c r="CY1341" s="167"/>
      <c r="CZ1341" s="168"/>
      <c r="DA1341" s="169"/>
      <c r="DB1341" s="168"/>
      <c r="DC1341" s="165"/>
      <c r="DD1341" s="166"/>
      <c r="DE1341" s="71"/>
      <c r="DF1341" s="170"/>
      <c r="EO1341" s="353" t="str">
        <f t="shared" si="177"/>
        <v>CASANARE_PAZ DE ARIPORO</v>
      </c>
      <c r="EP1341" s="350"/>
      <c r="EQ1341" s="350"/>
      <c r="ER1341" s="357"/>
      <c r="ES1341" s="350"/>
      <c r="ET1341" s="350"/>
      <c r="EU1341" s="350"/>
    </row>
    <row r="1342" spans="1:151" s="171" customFormat="1" ht="25.5" x14ac:dyDescent="0.2">
      <c r="A1342" s="242">
        <v>40467</v>
      </c>
      <c r="B1342" s="222" t="s">
        <v>1333</v>
      </c>
      <c r="C1342" s="222" t="s">
        <v>1432</v>
      </c>
      <c r="D1342" s="430" t="s">
        <v>2209</v>
      </c>
      <c r="E1342" s="107" t="str">
        <f>VLOOKUP(B1342&amp;C1342,Divipola!$C$2:$F$1138,4,FALSE)</f>
        <v>41807</v>
      </c>
      <c r="F1342" s="333"/>
      <c r="G1342" s="221"/>
      <c r="H1342" s="157"/>
      <c r="I1342" s="157"/>
      <c r="J1342" s="157">
        <v>8</v>
      </c>
      <c r="K1342" s="157">
        <v>1</v>
      </c>
      <c r="L1342" s="157"/>
      <c r="M1342" s="157">
        <v>1</v>
      </c>
      <c r="N1342" s="157"/>
      <c r="O1342" s="157"/>
      <c r="P1342" s="157"/>
      <c r="Q1342" s="157"/>
      <c r="R1342" s="157"/>
      <c r="S1342" s="157"/>
      <c r="T1342" s="157"/>
      <c r="U1342" s="157"/>
      <c r="V1342" s="158"/>
      <c r="W1342" s="182"/>
      <c r="X1342" s="1"/>
      <c r="Y1342" s="78">
        <f t="shared" si="171"/>
        <v>0</v>
      </c>
      <c r="Z1342" s="78">
        <f t="shared" si="172"/>
        <v>0</v>
      </c>
      <c r="AA1342" s="78">
        <f t="shared" si="179"/>
        <v>0</v>
      </c>
      <c r="AB1342" s="78">
        <f t="shared" si="173"/>
        <v>0</v>
      </c>
      <c r="AC1342" s="78"/>
      <c r="AD1342" s="78">
        <v>0</v>
      </c>
      <c r="AE1342" s="80">
        <f t="shared" si="175"/>
        <v>0</v>
      </c>
      <c r="AF1342" s="82">
        <v>0</v>
      </c>
      <c r="AG1342" s="69">
        <v>40471</v>
      </c>
      <c r="AH1342" s="84"/>
      <c r="AI1342" s="69" t="s">
        <v>1984</v>
      </c>
      <c r="AJ1342" s="25" t="s">
        <v>1985</v>
      </c>
      <c r="AK1342" s="65"/>
      <c r="AL1342" s="176" t="s">
        <v>1257</v>
      </c>
      <c r="AM1342" s="173" t="s">
        <v>728</v>
      </c>
      <c r="AN1342" s="159"/>
      <c r="AO1342" s="160"/>
      <c r="AP1342" s="161"/>
      <c r="AQ1342" s="160"/>
      <c r="AR1342" s="160"/>
      <c r="AS1342" s="160"/>
      <c r="AT1342" s="160"/>
      <c r="AU1342" s="160"/>
      <c r="AV1342" s="160"/>
      <c r="AW1342" s="160"/>
      <c r="AX1342" s="160"/>
      <c r="AY1342" s="160"/>
      <c r="AZ1342" s="160"/>
      <c r="BA1342" s="160"/>
      <c r="BB1342" s="160"/>
      <c r="BC1342" s="160"/>
      <c r="BD1342" s="160"/>
      <c r="BE1342" s="160"/>
      <c r="BF1342" s="160"/>
      <c r="BG1342" s="160"/>
      <c r="BH1342" s="160"/>
      <c r="BI1342" s="160"/>
      <c r="BJ1342" s="160"/>
      <c r="BK1342" s="160"/>
      <c r="BL1342" s="160"/>
      <c r="BM1342" s="160"/>
      <c r="BN1342" s="160"/>
      <c r="BO1342" s="160"/>
      <c r="BP1342" s="160"/>
      <c r="BQ1342" s="160"/>
      <c r="BR1342" s="160"/>
      <c r="BS1342" s="160"/>
      <c r="BT1342" s="160"/>
      <c r="BU1342" s="160"/>
      <c r="BV1342" s="160"/>
      <c r="BW1342" s="160"/>
      <c r="BX1342" s="160"/>
      <c r="BY1342" s="160"/>
      <c r="BZ1342" s="160"/>
      <c r="CA1342" s="160"/>
      <c r="CB1342" s="160"/>
      <c r="CC1342" s="160"/>
      <c r="CD1342" s="160"/>
      <c r="CE1342" s="160"/>
      <c r="CF1342" s="160"/>
      <c r="CG1342" s="160"/>
      <c r="CH1342" s="160"/>
      <c r="CI1342" s="160"/>
      <c r="CJ1342" s="160"/>
      <c r="CK1342" s="160"/>
      <c r="CL1342" s="160"/>
      <c r="CM1342" s="160"/>
      <c r="CN1342" s="160"/>
      <c r="CO1342" s="160"/>
      <c r="CP1342" s="162"/>
      <c r="CQ1342" s="163"/>
      <c r="CR1342" s="162"/>
      <c r="CS1342" s="163"/>
      <c r="CT1342" s="162"/>
      <c r="CU1342" s="163"/>
      <c r="CV1342" s="164">
        <f t="shared" si="174"/>
        <v>0</v>
      </c>
      <c r="CW1342" s="165"/>
      <c r="CX1342" s="166"/>
      <c r="CY1342" s="167"/>
      <c r="CZ1342" s="168"/>
      <c r="DA1342" s="169"/>
      <c r="DB1342" s="168"/>
      <c r="DC1342" s="165"/>
      <c r="DD1342" s="166"/>
      <c r="DE1342" s="71"/>
      <c r="DF1342" s="170"/>
      <c r="EO1342" s="353" t="str">
        <f t="shared" si="177"/>
        <v>HUILA_TIMANA</v>
      </c>
      <c r="EP1342" s="350"/>
      <c r="EQ1342" s="350"/>
      <c r="ER1342" s="357"/>
      <c r="ES1342" s="350"/>
      <c r="ET1342" s="350"/>
      <c r="EU1342" s="350"/>
    </row>
    <row r="1343" spans="1:151" s="171" customFormat="1" ht="60" x14ac:dyDescent="0.2">
      <c r="A1343" s="242">
        <v>40467</v>
      </c>
      <c r="B1343" s="222" t="s">
        <v>708</v>
      </c>
      <c r="C1343" s="222" t="s">
        <v>726</v>
      </c>
      <c r="D1343" s="430" t="s">
        <v>2307</v>
      </c>
      <c r="E1343" s="107" t="str">
        <f>VLOOKUP(B1343&amp;C1343,Divipola!$C$2:$F$1138,4,FALSE)</f>
        <v>50577</v>
      </c>
      <c r="F1343" s="333"/>
      <c r="G1343" s="221"/>
      <c r="H1343" s="157"/>
      <c r="I1343" s="157"/>
      <c r="J1343" s="157">
        <v>636</v>
      </c>
      <c r="K1343" s="157">
        <v>148</v>
      </c>
      <c r="L1343" s="157">
        <v>1</v>
      </c>
      <c r="M1343" s="157">
        <v>147</v>
      </c>
      <c r="N1343" s="157">
        <v>5</v>
      </c>
      <c r="O1343" s="157"/>
      <c r="P1343" s="157"/>
      <c r="Q1343" s="157"/>
      <c r="R1343" s="157"/>
      <c r="S1343" s="157"/>
      <c r="T1343" s="157"/>
      <c r="U1343" s="157"/>
      <c r="V1343" s="158"/>
      <c r="W1343" s="182"/>
      <c r="X1343" s="1"/>
      <c r="Y1343" s="78">
        <f t="shared" si="171"/>
        <v>0</v>
      </c>
      <c r="Z1343" s="78">
        <f t="shared" si="172"/>
        <v>0</v>
      </c>
      <c r="AA1343" s="78">
        <f t="shared" si="179"/>
        <v>0</v>
      </c>
      <c r="AB1343" s="78">
        <f t="shared" si="173"/>
        <v>0</v>
      </c>
      <c r="AC1343" s="78"/>
      <c r="AD1343" s="78">
        <v>0</v>
      </c>
      <c r="AE1343" s="80">
        <f t="shared" si="175"/>
        <v>0</v>
      </c>
      <c r="AF1343" s="82">
        <v>0</v>
      </c>
      <c r="AG1343" s="69">
        <v>40471</v>
      </c>
      <c r="AH1343" s="84"/>
      <c r="AI1343" s="69" t="s">
        <v>1984</v>
      </c>
      <c r="AJ1343" s="25" t="s">
        <v>1985</v>
      </c>
      <c r="AK1343" s="65"/>
      <c r="AL1343" s="176" t="s">
        <v>1257</v>
      </c>
      <c r="AM1343" s="173" t="s">
        <v>450</v>
      </c>
      <c r="AN1343" s="159"/>
      <c r="AO1343" s="160"/>
      <c r="AP1343" s="161"/>
      <c r="AQ1343" s="160"/>
      <c r="AR1343" s="160"/>
      <c r="AS1343" s="160"/>
      <c r="AT1343" s="160"/>
      <c r="AU1343" s="160"/>
      <c r="AV1343" s="160"/>
      <c r="AW1343" s="160"/>
      <c r="AX1343" s="160"/>
      <c r="AY1343" s="160"/>
      <c r="AZ1343" s="160"/>
      <c r="BA1343" s="160"/>
      <c r="BB1343" s="160"/>
      <c r="BC1343" s="160"/>
      <c r="BD1343" s="160"/>
      <c r="BE1343" s="160"/>
      <c r="BF1343" s="160"/>
      <c r="BG1343" s="160"/>
      <c r="BH1343" s="160"/>
      <c r="BI1343" s="160"/>
      <c r="BJ1343" s="160"/>
      <c r="BK1343" s="160"/>
      <c r="BL1343" s="160"/>
      <c r="BM1343" s="160"/>
      <c r="BN1343" s="160"/>
      <c r="BO1343" s="160"/>
      <c r="BP1343" s="160"/>
      <c r="BQ1343" s="160"/>
      <c r="BR1343" s="160"/>
      <c r="BS1343" s="160"/>
      <c r="BT1343" s="160"/>
      <c r="BU1343" s="160"/>
      <c r="BV1343" s="160"/>
      <c r="BW1343" s="160"/>
      <c r="BX1343" s="160"/>
      <c r="BY1343" s="160"/>
      <c r="BZ1343" s="160"/>
      <c r="CA1343" s="160"/>
      <c r="CB1343" s="160"/>
      <c r="CC1343" s="160"/>
      <c r="CD1343" s="160"/>
      <c r="CE1343" s="160"/>
      <c r="CF1343" s="160"/>
      <c r="CG1343" s="160"/>
      <c r="CH1343" s="160"/>
      <c r="CI1343" s="160"/>
      <c r="CJ1343" s="160"/>
      <c r="CK1343" s="160"/>
      <c r="CL1343" s="160"/>
      <c r="CM1343" s="160"/>
      <c r="CN1343" s="160"/>
      <c r="CO1343" s="160"/>
      <c r="CP1343" s="162"/>
      <c r="CQ1343" s="163"/>
      <c r="CR1343" s="162"/>
      <c r="CS1343" s="163"/>
      <c r="CT1343" s="162"/>
      <c r="CU1343" s="163"/>
      <c r="CV1343" s="164">
        <f t="shared" si="174"/>
        <v>0</v>
      </c>
      <c r="CW1343" s="165"/>
      <c r="CX1343" s="166"/>
      <c r="CY1343" s="167"/>
      <c r="CZ1343" s="168"/>
      <c r="DA1343" s="169"/>
      <c r="DB1343" s="168"/>
      <c r="DC1343" s="165"/>
      <c r="DD1343" s="166"/>
      <c r="DE1343" s="71"/>
      <c r="DF1343" s="170">
        <v>1349</v>
      </c>
      <c r="EO1343" s="353" t="str">
        <f t="shared" si="177"/>
        <v>META_PUERTO LLERAS</v>
      </c>
      <c r="EP1343" s="350"/>
      <c r="EQ1343" s="350"/>
      <c r="ER1343" s="357"/>
      <c r="ES1343" s="350"/>
      <c r="ET1343" s="350"/>
      <c r="EU1343" s="350"/>
    </row>
    <row r="1344" spans="1:151" s="171" customFormat="1" ht="48" x14ac:dyDescent="0.2">
      <c r="A1344" s="242">
        <v>40468</v>
      </c>
      <c r="B1344" s="222" t="s">
        <v>1951</v>
      </c>
      <c r="C1344" s="222" t="s">
        <v>1989</v>
      </c>
      <c r="D1344" s="427" t="s">
        <v>2307</v>
      </c>
      <c r="E1344" s="107" t="str">
        <f>VLOOKUP(B1344&amp;C1344,Divipola!$C$2:$F$1138,4,FALSE)</f>
        <v>08001</v>
      </c>
      <c r="F1344" s="330"/>
      <c r="G1344" s="221"/>
      <c r="H1344" s="157"/>
      <c r="I1344" s="157"/>
      <c r="J1344" s="157">
        <f>3730+125</f>
        <v>3855</v>
      </c>
      <c r="K1344" s="157">
        <f>371+400</f>
        <v>771</v>
      </c>
      <c r="L1344" s="157">
        <f>346+25</f>
        <v>371</v>
      </c>
      <c r="M1344" s="157">
        <v>400</v>
      </c>
      <c r="N1344" s="157"/>
      <c r="O1344" s="157"/>
      <c r="P1344" s="157"/>
      <c r="Q1344" s="157"/>
      <c r="R1344" s="157"/>
      <c r="S1344" s="157"/>
      <c r="T1344" s="157"/>
      <c r="U1344" s="157"/>
      <c r="V1344" s="158"/>
      <c r="W1344" s="182"/>
      <c r="X1344" s="1"/>
      <c r="Y1344" s="78">
        <f t="shared" si="171"/>
        <v>0</v>
      </c>
      <c r="Z1344" s="78">
        <f t="shared" si="172"/>
        <v>0</v>
      </c>
      <c r="AA1344" s="78">
        <f t="shared" si="179"/>
        <v>0</v>
      </c>
      <c r="AB1344" s="78">
        <f t="shared" si="173"/>
        <v>0</v>
      </c>
      <c r="AC1344" s="78"/>
      <c r="AD1344" s="78">
        <v>0</v>
      </c>
      <c r="AE1344" s="80">
        <f t="shared" si="175"/>
        <v>0</v>
      </c>
      <c r="AF1344" s="82">
        <v>0</v>
      </c>
      <c r="AG1344" s="69">
        <v>40470</v>
      </c>
      <c r="AH1344" s="84"/>
      <c r="AI1344" s="69" t="s">
        <v>1984</v>
      </c>
      <c r="AJ1344" s="25" t="s">
        <v>1985</v>
      </c>
      <c r="AK1344" s="65"/>
      <c r="AL1344" s="176" t="s">
        <v>1257</v>
      </c>
      <c r="AM1344" s="173" t="s">
        <v>2139</v>
      </c>
      <c r="AN1344" s="159"/>
      <c r="AO1344" s="160"/>
      <c r="AP1344" s="161"/>
      <c r="AQ1344" s="160"/>
      <c r="AR1344" s="160"/>
      <c r="AS1344" s="160"/>
      <c r="AT1344" s="160"/>
      <c r="AU1344" s="160"/>
      <c r="AV1344" s="160"/>
      <c r="AW1344" s="160"/>
      <c r="AX1344" s="160"/>
      <c r="AY1344" s="160"/>
      <c r="AZ1344" s="160"/>
      <c r="BA1344" s="160"/>
      <c r="BB1344" s="160"/>
      <c r="BC1344" s="160"/>
      <c r="BD1344" s="160"/>
      <c r="BE1344" s="160"/>
      <c r="BF1344" s="160"/>
      <c r="BG1344" s="160"/>
      <c r="BH1344" s="160"/>
      <c r="BI1344" s="160"/>
      <c r="BJ1344" s="160"/>
      <c r="BK1344" s="160"/>
      <c r="BL1344" s="160"/>
      <c r="BM1344" s="160"/>
      <c r="BN1344" s="160"/>
      <c r="BO1344" s="160"/>
      <c r="BP1344" s="160"/>
      <c r="BQ1344" s="160"/>
      <c r="BR1344" s="160"/>
      <c r="BS1344" s="160"/>
      <c r="BT1344" s="160"/>
      <c r="BU1344" s="160"/>
      <c r="BV1344" s="160"/>
      <c r="BW1344" s="160"/>
      <c r="BX1344" s="160"/>
      <c r="BY1344" s="160"/>
      <c r="BZ1344" s="160"/>
      <c r="CA1344" s="160"/>
      <c r="CB1344" s="160"/>
      <c r="CC1344" s="160"/>
      <c r="CD1344" s="160"/>
      <c r="CE1344" s="160"/>
      <c r="CF1344" s="160"/>
      <c r="CG1344" s="160"/>
      <c r="CH1344" s="160"/>
      <c r="CI1344" s="160"/>
      <c r="CJ1344" s="160"/>
      <c r="CK1344" s="160"/>
      <c r="CL1344" s="160"/>
      <c r="CM1344" s="160"/>
      <c r="CN1344" s="160"/>
      <c r="CO1344" s="160"/>
      <c r="CP1344" s="162"/>
      <c r="CQ1344" s="163"/>
      <c r="CR1344" s="162"/>
      <c r="CS1344" s="163"/>
      <c r="CT1344" s="162"/>
      <c r="CU1344" s="163"/>
      <c r="CV1344" s="164">
        <f t="shared" si="174"/>
        <v>0</v>
      </c>
      <c r="CW1344" s="165"/>
      <c r="CX1344" s="166"/>
      <c r="CY1344" s="167"/>
      <c r="CZ1344" s="168"/>
      <c r="DA1344" s="169"/>
      <c r="DB1344" s="168"/>
      <c r="DC1344" s="165"/>
      <c r="DD1344" s="166"/>
      <c r="DE1344" s="71"/>
      <c r="DF1344" s="170"/>
      <c r="EO1344" s="353" t="str">
        <f t="shared" si="177"/>
        <v>ATLANTICO_BARRANQUILLA</v>
      </c>
      <c r="EP1344" s="350"/>
      <c r="EQ1344" s="350"/>
      <c r="ER1344" s="357"/>
      <c r="ES1344" s="350"/>
      <c r="ET1344" s="350"/>
      <c r="EU1344" s="350"/>
    </row>
    <row r="1345" spans="1:151" s="171" customFormat="1" ht="48" x14ac:dyDescent="0.2">
      <c r="A1345" s="242">
        <v>40468</v>
      </c>
      <c r="B1345" s="222" t="s">
        <v>2017</v>
      </c>
      <c r="C1345" s="222" t="s">
        <v>1959</v>
      </c>
      <c r="D1345" s="430" t="s">
        <v>837</v>
      </c>
      <c r="E1345" s="107" t="str">
        <f>VLOOKUP(B1345&amp;C1345,Divipola!$C$2:$F$1138,4,FALSE)</f>
        <v>13248</v>
      </c>
      <c r="F1345" s="333"/>
      <c r="G1345" s="221"/>
      <c r="H1345" s="157"/>
      <c r="I1345" s="157"/>
      <c r="J1345" s="157">
        <f>673*5</f>
        <v>3365</v>
      </c>
      <c r="K1345" s="157">
        <v>673</v>
      </c>
      <c r="L1345" s="157"/>
      <c r="M1345" s="157">
        <v>673</v>
      </c>
      <c r="N1345" s="157"/>
      <c r="O1345" s="157"/>
      <c r="P1345" s="157"/>
      <c r="Q1345" s="157"/>
      <c r="R1345" s="157"/>
      <c r="S1345" s="157"/>
      <c r="T1345" s="157"/>
      <c r="U1345" s="157"/>
      <c r="V1345" s="158"/>
      <c r="W1345" s="182"/>
      <c r="X1345" s="1">
        <v>40508</v>
      </c>
      <c r="Y1345" s="78">
        <f t="shared" si="171"/>
        <v>88836000</v>
      </c>
      <c r="Z1345" s="78">
        <f t="shared" si="172"/>
        <v>114410000</v>
      </c>
      <c r="AA1345" s="78">
        <f t="shared" si="179"/>
        <v>0</v>
      </c>
      <c r="AB1345" s="78">
        <f t="shared" si="173"/>
        <v>19000000</v>
      </c>
      <c r="AC1345" s="78">
        <f>673*18000</f>
        <v>12114000</v>
      </c>
      <c r="AD1345" s="78">
        <v>0</v>
      </c>
      <c r="AE1345" s="80">
        <f t="shared" si="175"/>
        <v>234360000</v>
      </c>
      <c r="AF1345" s="82">
        <v>0</v>
      </c>
      <c r="AG1345" s="69">
        <v>40476</v>
      </c>
      <c r="AH1345" s="84">
        <v>57681</v>
      </c>
      <c r="AI1345" s="69" t="s">
        <v>2009</v>
      </c>
      <c r="AJ1345" s="25" t="s">
        <v>2010</v>
      </c>
      <c r="AK1345" s="65">
        <v>24643</v>
      </c>
      <c r="AL1345" s="185" t="s">
        <v>2182</v>
      </c>
      <c r="AM1345" s="172" t="s">
        <v>3867</v>
      </c>
      <c r="AN1345" s="159"/>
      <c r="AO1345" s="160"/>
      <c r="AP1345" s="161"/>
      <c r="AQ1345" s="160"/>
      <c r="AR1345" s="160"/>
      <c r="AS1345" s="160"/>
      <c r="AT1345" s="160"/>
      <c r="AU1345" s="160"/>
      <c r="AV1345" s="160"/>
      <c r="AW1345" s="160"/>
      <c r="AX1345" s="160"/>
      <c r="AY1345" s="160"/>
      <c r="AZ1345" s="160"/>
      <c r="BA1345" s="160"/>
      <c r="BB1345" s="160">
        <v>673</v>
      </c>
      <c r="BC1345" s="160">
        <f>673*56000</f>
        <v>37688000</v>
      </c>
      <c r="BD1345" s="160"/>
      <c r="BE1345" s="160"/>
      <c r="BF1345" s="160"/>
      <c r="BG1345" s="160"/>
      <c r="BH1345" s="160"/>
      <c r="BI1345" s="160"/>
      <c r="BJ1345" s="160"/>
      <c r="BK1345" s="160"/>
      <c r="BL1345" s="160"/>
      <c r="BM1345" s="160"/>
      <c r="BN1345" s="160"/>
      <c r="BO1345" s="160"/>
      <c r="BP1345" s="160"/>
      <c r="BQ1345" s="160"/>
      <c r="BR1345" s="160"/>
      <c r="BS1345" s="160"/>
      <c r="BT1345" s="160"/>
      <c r="BU1345" s="160"/>
      <c r="BV1345" s="160"/>
      <c r="BW1345" s="160"/>
      <c r="BX1345" s="160"/>
      <c r="BY1345" s="160"/>
      <c r="BZ1345" s="160"/>
      <c r="CA1345" s="160"/>
      <c r="CB1345" s="160"/>
      <c r="CC1345" s="160"/>
      <c r="CD1345" s="160"/>
      <c r="CE1345" s="160"/>
      <c r="CF1345" s="160"/>
      <c r="CG1345" s="160"/>
      <c r="CH1345" s="160"/>
      <c r="CI1345" s="160"/>
      <c r="CJ1345" s="160">
        <v>673</v>
      </c>
      <c r="CK1345" s="160">
        <f>673*21000</f>
        <v>14133000</v>
      </c>
      <c r="CL1345" s="160"/>
      <c r="CM1345" s="160"/>
      <c r="CN1345" s="160">
        <v>673</v>
      </c>
      <c r="CO1345" s="160">
        <f>673*18000</f>
        <v>12114000</v>
      </c>
      <c r="CP1345" s="162">
        <v>673</v>
      </c>
      <c r="CQ1345" s="163">
        <f>673*37000</f>
        <v>24901000</v>
      </c>
      <c r="CR1345" s="162"/>
      <c r="CS1345" s="163"/>
      <c r="CT1345" s="162"/>
      <c r="CU1345" s="163"/>
      <c r="CV1345" s="164">
        <f t="shared" si="174"/>
        <v>88836000</v>
      </c>
      <c r="CW1345" s="165">
        <v>20000</v>
      </c>
      <c r="CX1345" s="166">
        <f>+CW1345*950</f>
        <v>19000000</v>
      </c>
      <c r="CY1345" s="167">
        <f>673+673</f>
        <v>1346</v>
      </c>
      <c r="CZ1345" s="168">
        <f>673*85000+673*85000</f>
        <v>114410000</v>
      </c>
      <c r="DA1345" s="169"/>
      <c r="DB1345" s="168"/>
      <c r="DC1345" s="165"/>
      <c r="DD1345" s="166"/>
      <c r="DE1345" s="71"/>
      <c r="DF1345" s="170"/>
      <c r="EO1345" s="353" t="str">
        <f t="shared" si="177"/>
        <v>BOLIVAR_EL GUAMO</v>
      </c>
      <c r="EP1345" s="350"/>
      <c r="EQ1345" s="350"/>
      <c r="ER1345" s="357"/>
      <c r="ES1345" s="350"/>
      <c r="ET1345" s="350"/>
      <c r="EU1345" s="350"/>
    </row>
    <row r="1346" spans="1:151" s="171" customFormat="1" ht="48" x14ac:dyDescent="0.2">
      <c r="A1346" s="242">
        <v>40468</v>
      </c>
      <c r="B1346" s="222" t="s">
        <v>2017</v>
      </c>
      <c r="C1346" s="222" t="s">
        <v>1479</v>
      </c>
      <c r="D1346" s="430" t="s">
        <v>837</v>
      </c>
      <c r="E1346" s="107" t="str">
        <f>VLOOKUP(B1346&amp;C1346,Divipola!$C$2:$F$1138,4,FALSE)</f>
        <v>13300</v>
      </c>
      <c r="F1346" s="333"/>
      <c r="G1346" s="221"/>
      <c r="H1346" s="157"/>
      <c r="I1346" s="157"/>
      <c r="J1346" s="157">
        <f>2028*5</f>
        <v>10140</v>
      </c>
      <c r="K1346" s="157">
        <v>2028</v>
      </c>
      <c r="L1346" s="157"/>
      <c r="M1346" s="157">
        <v>2028</v>
      </c>
      <c r="N1346" s="157"/>
      <c r="O1346" s="157"/>
      <c r="P1346" s="157"/>
      <c r="Q1346" s="157"/>
      <c r="R1346" s="157"/>
      <c r="S1346" s="157"/>
      <c r="T1346" s="157"/>
      <c r="U1346" s="157"/>
      <c r="V1346" s="158"/>
      <c r="W1346" s="182"/>
      <c r="X1346" s="1">
        <v>40505</v>
      </c>
      <c r="Y1346" s="78">
        <f t="shared" si="171"/>
        <v>255996000</v>
      </c>
      <c r="Z1346" s="78">
        <f t="shared" si="172"/>
        <v>318240000</v>
      </c>
      <c r="AA1346" s="78">
        <f t="shared" si="179"/>
        <v>0</v>
      </c>
      <c r="AB1346" s="78">
        <f t="shared" si="173"/>
        <v>0</v>
      </c>
      <c r="AC1346" s="78">
        <f>500*24000</f>
        <v>12000000</v>
      </c>
      <c r="AD1346" s="78">
        <v>0</v>
      </c>
      <c r="AE1346" s="80">
        <f t="shared" si="175"/>
        <v>586236000</v>
      </c>
      <c r="AF1346" s="82">
        <v>0</v>
      </c>
      <c r="AG1346" s="69">
        <v>40476</v>
      </c>
      <c r="AH1346" s="84">
        <v>57681</v>
      </c>
      <c r="AI1346" s="69" t="s">
        <v>2009</v>
      </c>
      <c r="AJ1346" s="25" t="s">
        <v>2010</v>
      </c>
      <c r="AK1346" s="65">
        <v>24407</v>
      </c>
      <c r="AL1346" s="185" t="s">
        <v>2182</v>
      </c>
      <c r="AM1346" s="172" t="s">
        <v>3871</v>
      </c>
      <c r="AN1346" s="159"/>
      <c r="AO1346" s="160"/>
      <c r="AP1346" s="161"/>
      <c r="AQ1346" s="160"/>
      <c r="AR1346" s="160"/>
      <c r="AS1346" s="160"/>
      <c r="AT1346" s="160"/>
      <c r="AU1346" s="160"/>
      <c r="AV1346" s="160"/>
      <c r="AW1346" s="160"/>
      <c r="AX1346" s="160"/>
      <c r="AY1346" s="160"/>
      <c r="AZ1346" s="160"/>
      <c r="BA1346" s="160"/>
      <c r="BB1346" s="160">
        <v>2028</v>
      </c>
      <c r="BC1346" s="160">
        <f>2028*56000</f>
        <v>113568000</v>
      </c>
      <c r="BD1346" s="160"/>
      <c r="BE1346" s="160"/>
      <c r="BF1346" s="160"/>
      <c r="BG1346" s="160"/>
      <c r="BH1346" s="160"/>
      <c r="BI1346" s="160"/>
      <c r="BJ1346" s="160"/>
      <c r="BK1346" s="160"/>
      <c r="BL1346" s="160"/>
      <c r="BM1346" s="160"/>
      <c r="BN1346" s="160"/>
      <c r="BO1346" s="160"/>
      <c r="BP1346" s="160"/>
      <c r="BQ1346" s="160"/>
      <c r="BR1346" s="160"/>
      <c r="BS1346" s="160"/>
      <c r="BT1346" s="160"/>
      <c r="BU1346" s="160"/>
      <c r="BV1346" s="160"/>
      <c r="BW1346" s="160"/>
      <c r="BX1346" s="160"/>
      <c r="BY1346" s="160"/>
      <c r="BZ1346" s="160"/>
      <c r="CA1346" s="160"/>
      <c r="CB1346" s="160"/>
      <c r="CC1346" s="160"/>
      <c r="CD1346" s="160"/>
      <c r="CE1346" s="160"/>
      <c r="CF1346" s="160"/>
      <c r="CG1346" s="160"/>
      <c r="CH1346" s="160"/>
      <c r="CI1346" s="160"/>
      <c r="CJ1346" s="160"/>
      <c r="CK1346" s="160"/>
      <c r="CL1346" s="160"/>
      <c r="CM1346" s="160"/>
      <c r="CN1346" s="160">
        <f>1716+2028</f>
        <v>3744</v>
      </c>
      <c r="CO1346" s="160">
        <f>1716*18000+2028*18000</f>
        <v>67392000</v>
      </c>
      <c r="CP1346" s="162">
        <v>2028</v>
      </c>
      <c r="CQ1346" s="163">
        <f>2028*37000</f>
        <v>75036000</v>
      </c>
      <c r="CR1346" s="162"/>
      <c r="CS1346" s="163"/>
      <c r="CT1346" s="162"/>
      <c r="CU1346" s="163"/>
      <c r="CV1346" s="164">
        <f t="shared" si="174"/>
        <v>255996000</v>
      </c>
      <c r="CW1346" s="165"/>
      <c r="CX1346" s="166"/>
      <c r="CY1346" s="167">
        <f>1716+2028</f>
        <v>3744</v>
      </c>
      <c r="CZ1346" s="168">
        <f>1716*85000+2028*85000</f>
        <v>318240000</v>
      </c>
      <c r="DA1346" s="169"/>
      <c r="DB1346" s="168"/>
      <c r="DC1346" s="165"/>
      <c r="DD1346" s="166"/>
      <c r="DE1346" s="71"/>
      <c r="DF1346" s="170"/>
      <c r="EO1346" s="353" t="str">
        <f t="shared" si="177"/>
        <v>BOLIVAR_HATILLO DE LOBA</v>
      </c>
      <c r="EP1346" s="350"/>
      <c r="EQ1346" s="350"/>
      <c r="ER1346" s="357"/>
      <c r="ES1346" s="350"/>
      <c r="ET1346" s="350"/>
      <c r="EU1346" s="350"/>
    </row>
    <row r="1347" spans="1:151" s="171" customFormat="1" ht="36" x14ac:dyDescent="0.2">
      <c r="A1347" s="242">
        <v>40468</v>
      </c>
      <c r="B1347" s="222" t="s">
        <v>2017</v>
      </c>
      <c r="C1347" s="222" t="s">
        <v>1955</v>
      </c>
      <c r="D1347" s="430" t="s">
        <v>837</v>
      </c>
      <c r="E1347" s="107" t="str">
        <f>VLOOKUP(B1347&amp;C1347,Divipola!$C$2:$F$1138,4,FALSE)</f>
        <v>13433</v>
      </c>
      <c r="F1347" s="333"/>
      <c r="G1347" s="221"/>
      <c r="H1347" s="157"/>
      <c r="I1347" s="157"/>
      <c r="J1347" s="157">
        <f>282*5</f>
        <v>1410</v>
      </c>
      <c r="K1347" s="157">
        <v>282</v>
      </c>
      <c r="L1347" s="157"/>
      <c r="M1347" s="157">
        <v>282</v>
      </c>
      <c r="N1347" s="157"/>
      <c r="O1347" s="157"/>
      <c r="P1347" s="157"/>
      <c r="Q1347" s="157"/>
      <c r="R1347" s="157"/>
      <c r="S1347" s="157"/>
      <c r="T1347" s="157"/>
      <c r="U1347" s="157"/>
      <c r="V1347" s="158"/>
      <c r="W1347" s="182"/>
      <c r="X1347" s="1"/>
      <c r="Y1347" s="78">
        <f t="shared" ref="Y1347:Y1410" si="180">CV1347</f>
        <v>10434000</v>
      </c>
      <c r="Z1347" s="78">
        <f t="shared" ref="Z1347:Z1410" si="181">CZ1347</f>
        <v>23970000</v>
      </c>
      <c r="AA1347" s="78">
        <f t="shared" si="179"/>
        <v>0</v>
      </c>
      <c r="AB1347" s="78">
        <f t="shared" ref="AB1347:AB1410" si="182">CX1347</f>
        <v>0</v>
      </c>
      <c r="AC1347" s="78">
        <f>100*24000</f>
        <v>2400000</v>
      </c>
      <c r="AD1347" s="78">
        <v>0</v>
      </c>
      <c r="AE1347" s="80">
        <f t="shared" si="175"/>
        <v>36804000</v>
      </c>
      <c r="AF1347" s="82">
        <v>0</v>
      </c>
      <c r="AG1347" s="69">
        <v>40476</v>
      </c>
      <c r="AH1347" s="84"/>
      <c r="AI1347" s="69" t="s">
        <v>2009</v>
      </c>
      <c r="AJ1347" s="25" t="s">
        <v>2010</v>
      </c>
      <c r="AK1347" s="65"/>
      <c r="AL1347" s="176" t="s">
        <v>1257</v>
      </c>
      <c r="AM1347" s="172" t="s">
        <v>3870</v>
      </c>
      <c r="AN1347" s="159"/>
      <c r="AO1347" s="160"/>
      <c r="AP1347" s="161"/>
      <c r="AQ1347" s="160"/>
      <c r="AR1347" s="160"/>
      <c r="AS1347" s="160"/>
      <c r="AT1347" s="160"/>
      <c r="AU1347" s="160"/>
      <c r="AV1347" s="160"/>
      <c r="AW1347" s="160"/>
      <c r="AX1347" s="160"/>
      <c r="AY1347" s="160"/>
      <c r="AZ1347" s="160"/>
      <c r="BA1347" s="160"/>
      <c r="BB1347" s="160"/>
      <c r="BC1347" s="160"/>
      <c r="BD1347" s="160"/>
      <c r="BE1347" s="160"/>
      <c r="BF1347" s="160"/>
      <c r="BG1347" s="160"/>
      <c r="BH1347" s="160"/>
      <c r="BI1347" s="160"/>
      <c r="BJ1347" s="160"/>
      <c r="BK1347" s="160"/>
      <c r="BL1347" s="160"/>
      <c r="BM1347" s="160"/>
      <c r="BN1347" s="160"/>
      <c r="BO1347" s="160"/>
      <c r="BP1347" s="160"/>
      <c r="BQ1347" s="160"/>
      <c r="BR1347" s="160"/>
      <c r="BS1347" s="160"/>
      <c r="BT1347" s="160"/>
      <c r="BU1347" s="160"/>
      <c r="BV1347" s="160"/>
      <c r="BW1347" s="160"/>
      <c r="BX1347" s="160"/>
      <c r="BY1347" s="160"/>
      <c r="BZ1347" s="160"/>
      <c r="CA1347" s="160"/>
      <c r="CB1347" s="160"/>
      <c r="CC1347" s="160"/>
      <c r="CD1347" s="160"/>
      <c r="CE1347" s="160"/>
      <c r="CF1347" s="160"/>
      <c r="CG1347" s="160"/>
      <c r="CH1347" s="160"/>
      <c r="CI1347" s="160"/>
      <c r="CJ1347" s="160"/>
      <c r="CK1347" s="160"/>
      <c r="CL1347" s="160"/>
      <c r="CM1347" s="160"/>
      <c r="CN1347" s="160"/>
      <c r="CO1347" s="160"/>
      <c r="CP1347" s="162">
        <v>282</v>
      </c>
      <c r="CQ1347" s="163">
        <f>282*37000</f>
        <v>10434000</v>
      </c>
      <c r="CR1347" s="162"/>
      <c r="CS1347" s="163"/>
      <c r="CT1347" s="162"/>
      <c r="CU1347" s="163"/>
      <c r="CV1347" s="164">
        <f t="shared" ref="CV1347:CV1410" si="183">AO1347+AQ1347+AS1347+AU1347+AW1347+AY1347+BA1347+BC1347+BE1347+BG1347+BI1347+BK1347+BM1347+BO1347+BQ1347+BS1347+BU1347+BW1347+BY1347+CA1347+CC1347+CE1347+CG1347+CI1347+CK1347+CM1347+CO1347+CQ1347+CS1347+CU1347</f>
        <v>10434000</v>
      </c>
      <c r="CW1347" s="165"/>
      <c r="CX1347" s="166"/>
      <c r="CY1347" s="167">
        <v>282</v>
      </c>
      <c r="CZ1347" s="168">
        <f>282*85000</f>
        <v>23970000</v>
      </c>
      <c r="DA1347" s="169"/>
      <c r="DB1347" s="168"/>
      <c r="DC1347" s="165"/>
      <c r="DD1347" s="166"/>
      <c r="DE1347" s="71"/>
      <c r="DF1347" s="170"/>
      <c r="EO1347" s="353" t="str">
        <f t="shared" si="177"/>
        <v>BOLIVAR_MAHATES</v>
      </c>
      <c r="EP1347" s="350"/>
      <c r="EQ1347" s="350"/>
      <c r="ER1347" s="357"/>
      <c r="ES1347" s="350"/>
      <c r="ET1347" s="350"/>
      <c r="EU1347" s="350"/>
    </row>
    <row r="1348" spans="1:151" s="171" customFormat="1" ht="51" x14ac:dyDescent="0.2">
      <c r="A1348" s="242">
        <v>40468</v>
      </c>
      <c r="B1348" s="222" t="s">
        <v>2017</v>
      </c>
      <c r="C1348" s="222" t="s">
        <v>1493</v>
      </c>
      <c r="D1348" s="430" t="s">
        <v>837</v>
      </c>
      <c r="E1348" s="107" t="str">
        <f>VLOOKUP(B1348&amp;C1348,Divipola!$C$2:$F$1138,4,FALSE)</f>
        <v>13667</v>
      </c>
      <c r="F1348" s="333"/>
      <c r="G1348" s="221"/>
      <c r="H1348" s="157"/>
      <c r="I1348" s="157"/>
      <c r="J1348" s="157">
        <f>578*5</f>
        <v>2890</v>
      </c>
      <c r="K1348" s="157">
        <v>578</v>
      </c>
      <c r="L1348" s="157"/>
      <c r="M1348" s="157">
        <v>578</v>
      </c>
      <c r="N1348" s="157"/>
      <c r="O1348" s="157"/>
      <c r="P1348" s="157"/>
      <c r="Q1348" s="157"/>
      <c r="R1348" s="157"/>
      <c r="S1348" s="157"/>
      <c r="T1348" s="157"/>
      <c r="U1348" s="157"/>
      <c r="V1348" s="158"/>
      <c r="W1348" s="182"/>
      <c r="X1348" s="1">
        <v>40505</v>
      </c>
      <c r="Y1348" s="78">
        <f t="shared" si="180"/>
        <v>66816000</v>
      </c>
      <c r="Z1348" s="78">
        <f t="shared" si="181"/>
        <v>13600000</v>
      </c>
      <c r="AA1348" s="78">
        <f t="shared" si="179"/>
        <v>0</v>
      </c>
      <c r="AB1348" s="78">
        <f t="shared" si="182"/>
        <v>9500000</v>
      </c>
      <c r="AC1348" s="78">
        <f>576*18000</f>
        <v>10368000</v>
      </c>
      <c r="AD1348" s="78">
        <v>0</v>
      </c>
      <c r="AE1348" s="80">
        <f t="shared" si="175"/>
        <v>100284000</v>
      </c>
      <c r="AF1348" s="82">
        <v>0</v>
      </c>
      <c r="AG1348" s="69">
        <v>40476</v>
      </c>
      <c r="AH1348" s="84">
        <v>57681</v>
      </c>
      <c r="AI1348" s="69" t="s">
        <v>2009</v>
      </c>
      <c r="AJ1348" s="25" t="s">
        <v>2010</v>
      </c>
      <c r="AK1348" s="65">
        <v>24407</v>
      </c>
      <c r="AL1348" s="185" t="s">
        <v>2182</v>
      </c>
      <c r="AM1348" s="172" t="s">
        <v>3868</v>
      </c>
      <c r="AN1348" s="159"/>
      <c r="AO1348" s="160"/>
      <c r="AP1348" s="161"/>
      <c r="AQ1348" s="160"/>
      <c r="AR1348" s="160"/>
      <c r="AS1348" s="160"/>
      <c r="AT1348" s="160"/>
      <c r="AU1348" s="160"/>
      <c r="AV1348" s="160"/>
      <c r="AW1348" s="160"/>
      <c r="AX1348" s="160"/>
      <c r="AY1348" s="160"/>
      <c r="AZ1348" s="160"/>
      <c r="BA1348" s="160"/>
      <c r="BB1348" s="160">
        <v>576</v>
      </c>
      <c r="BC1348" s="160">
        <f>576*56000</f>
        <v>32256000</v>
      </c>
      <c r="BD1348" s="160"/>
      <c r="BE1348" s="160"/>
      <c r="BF1348" s="160"/>
      <c r="BG1348" s="160"/>
      <c r="BH1348" s="160"/>
      <c r="BI1348" s="160"/>
      <c r="BJ1348" s="160"/>
      <c r="BK1348" s="160"/>
      <c r="BL1348" s="160"/>
      <c r="BM1348" s="160"/>
      <c r="BN1348" s="160"/>
      <c r="BO1348" s="160"/>
      <c r="BP1348" s="160"/>
      <c r="BQ1348" s="160"/>
      <c r="BR1348" s="160"/>
      <c r="BS1348" s="160"/>
      <c r="BT1348" s="160"/>
      <c r="BU1348" s="160"/>
      <c r="BV1348" s="160"/>
      <c r="BW1348" s="160"/>
      <c r="BX1348" s="160"/>
      <c r="BY1348" s="160"/>
      <c r="BZ1348" s="160"/>
      <c r="CA1348" s="160"/>
      <c r="CB1348" s="160"/>
      <c r="CC1348" s="160"/>
      <c r="CD1348" s="160"/>
      <c r="CE1348" s="160"/>
      <c r="CF1348" s="160"/>
      <c r="CG1348" s="160"/>
      <c r="CH1348" s="160"/>
      <c r="CI1348" s="160"/>
      <c r="CJ1348" s="160"/>
      <c r="CK1348" s="160"/>
      <c r="CL1348" s="160"/>
      <c r="CM1348" s="160"/>
      <c r="CN1348" s="160">
        <v>160576</v>
      </c>
      <c r="CO1348" s="160">
        <f>160*18000+576*18000</f>
        <v>13248000</v>
      </c>
      <c r="CP1348" s="162">
        <v>576</v>
      </c>
      <c r="CQ1348" s="163">
        <f>576*37000</f>
        <v>21312000</v>
      </c>
      <c r="CR1348" s="162"/>
      <c r="CS1348" s="163"/>
      <c r="CT1348" s="162"/>
      <c r="CU1348" s="163"/>
      <c r="CV1348" s="164">
        <f t="shared" si="183"/>
        <v>66816000</v>
      </c>
      <c r="CW1348" s="165">
        <v>10000</v>
      </c>
      <c r="CX1348" s="166">
        <f>10000*950</f>
        <v>9500000</v>
      </c>
      <c r="CY1348" s="167">
        <v>160</v>
      </c>
      <c r="CZ1348" s="168">
        <f>160*85000</f>
        <v>13600000</v>
      </c>
      <c r="DA1348" s="169"/>
      <c r="DB1348" s="168"/>
      <c r="DC1348" s="165"/>
      <c r="DD1348" s="166"/>
      <c r="DE1348" s="71"/>
      <c r="DF1348" s="170">
        <v>1361</v>
      </c>
      <c r="EO1348" s="353" t="str">
        <f t="shared" si="177"/>
        <v>BOLIVAR_SAN MARTIN DE LOBA</v>
      </c>
      <c r="EP1348" s="350"/>
      <c r="EQ1348" s="350"/>
      <c r="ER1348" s="357"/>
      <c r="ES1348" s="350"/>
      <c r="ET1348" s="350"/>
      <c r="EU1348" s="350"/>
    </row>
    <row r="1349" spans="1:151" s="171" customFormat="1" ht="25.5" x14ac:dyDescent="0.2">
      <c r="A1349" s="242">
        <v>40468</v>
      </c>
      <c r="B1349" s="222" t="s">
        <v>2017</v>
      </c>
      <c r="C1349" s="222" t="s">
        <v>1957</v>
      </c>
      <c r="D1349" s="430" t="s">
        <v>837</v>
      </c>
      <c r="E1349" s="107" t="str">
        <f>VLOOKUP(B1349&amp;C1349,Divipola!$C$2:$F$1138,4,FALSE)</f>
        <v>13838</v>
      </c>
      <c r="F1349" s="333"/>
      <c r="G1349" s="221"/>
      <c r="H1349" s="157"/>
      <c r="I1349" s="157"/>
      <c r="J1349" s="157">
        <f>541*5</f>
        <v>2705</v>
      </c>
      <c r="K1349" s="157">
        <v>541</v>
      </c>
      <c r="L1349" s="157"/>
      <c r="M1349" s="157">
        <v>541</v>
      </c>
      <c r="N1349" s="157"/>
      <c r="O1349" s="157"/>
      <c r="P1349" s="157"/>
      <c r="Q1349" s="157"/>
      <c r="R1349" s="157"/>
      <c r="S1349" s="157"/>
      <c r="T1349" s="157"/>
      <c r="U1349" s="157"/>
      <c r="V1349" s="158"/>
      <c r="W1349" s="182"/>
      <c r="X1349" s="1"/>
      <c r="Y1349" s="78">
        <f t="shared" si="180"/>
        <v>51150000</v>
      </c>
      <c r="Z1349" s="78">
        <f t="shared" si="181"/>
        <v>46750000</v>
      </c>
      <c r="AA1349" s="78">
        <f t="shared" si="179"/>
        <v>0</v>
      </c>
      <c r="AB1349" s="78">
        <f t="shared" si="182"/>
        <v>47500000</v>
      </c>
      <c r="AC1349" s="78"/>
      <c r="AD1349" s="78">
        <v>0</v>
      </c>
      <c r="AE1349" s="80">
        <f t="shared" si="175"/>
        <v>145400000</v>
      </c>
      <c r="AF1349" s="82">
        <v>0</v>
      </c>
      <c r="AG1349" s="69">
        <v>40476</v>
      </c>
      <c r="AH1349" s="84"/>
      <c r="AI1349" s="69" t="s">
        <v>2009</v>
      </c>
      <c r="AJ1349" s="25" t="s">
        <v>2010</v>
      </c>
      <c r="AK1349" s="65"/>
      <c r="AL1349" s="176" t="s">
        <v>1257</v>
      </c>
      <c r="AM1349" s="173" t="s">
        <v>1477</v>
      </c>
      <c r="AN1349" s="159"/>
      <c r="AO1349" s="160"/>
      <c r="AP1349" s="161"/>
      <c r="AQ1349" s="160"/>
      <c r="AR1349" s="160"/>
      <c r="AS1349" s="160"/>
      <c r="AT1349" s="160"/>
      <c r="AU1349" s="160"/>
      <c r="AV1349" s="160"/>
      <c r="AW1349" s="160"/>
      <c r="AX1349" s="160"/>
      <c r="AY1349" s="160"/>
      <c r="AZ1349" s="160">
        <v>550</v>
      </c>
      <c r="BA1349" s="160">
        <f>550*56000</f>
        <v>30800000</v>
      </c>
      <c r="BB1349" s="160"/>
      <c r="BC1349" s="160"/>
      <c r="BD1349" s="160"/>
      <c r="BE1349" s="160"/>
      <c r="BF1349" s="160"/>
      <c r="BG1349" s="160"/>
      <c r="BH1349" s="160"/>
      <c r="BI1349" s="160"/>
      <c r="BJ1349" s="160"/>
      <c r="BK1349" s="160"/>
      <c r="BL1349" s="160"/>
      <c r="BM1349" s="160"/>
      <c r="BN1349" s="160"/>
      <c r="BO1349" s="160"/>
      <c r="BP1349" s="160"/>
      <c r="BQ1349" s="160"/>
      <c r="BR1349" s="160"/>
      <c r="BS1349" s="160"/>
      <c r="BT1349" s="160"/>
      <c r="BU1349" s="160"/>
      <c r="BV1349" s="160"/>
      <c r="BW1349" s="160"/>
      <c r="BX1349" s="160"/>
      <c r="BY1349" s="160"/>
      <c r="BZ1349" s="160"/>
      <c r="CA1349" s="160"/>
      <c r="CB1349" s="160"/>
      <c r="CC1349" s="160"/>
      <c r="CD1349" s="160"/>
      <c r="CE1349" s="160"/>
      <c r="CF1349" s="160"/>
      <c r="CG1349" s="160"/>
      <c r="CH1349" s="160"/>
      <c r="CI1349" s="160"/>
      <c r="CJ1349" s="160"/>
      <c r="CK1349" s="160"/>
      <c r="CL1349" s="160"/>
      <c r="CM1349" s="160"/>
      <c r="CN1349" s="160"/>
      <c r="CO1349" s="160"/>
      <c r="CP1349" s="162">
        <v>550</v>
      </c>
      <c r="CQ1349" s="163">
        <f>550*37000</f>
        <v>20350000</v>
      </c>
      <c r="CR1349" s="162"/>
      <c r="CS1349" s="163"/>
      <c r="CT1349" s="162"/>
      <c r="CU1349" s="163"/>
      <c r="CV1349" s="164">
        <f t="shared" si="183"/>
        <v>51150000</v>
      </c>
      <c r="CW1349" s="165">
        <v>50000</v>
      </c>
      <c r="CX1349" s="166">
        <f>50000*950</f>
        <v>47500000</v>
      </c>
      <c r="CY1349" s="167">
        <v>550</v>
      </c>
      <c r="CZ1349" s="168">
        <f>550*85000</f>
        <v>46750000</v>
      </c>
      <c r="DA1349" s="169"/>
      <c r="DB1349" s="168"/>
      <c r="DC1349" s="165"/>
      <c r="DD1349" s="166"/>
      <c r="DE1349" s="71"/>
      <c r="DF1349" s="170"/>
      <c r="EO1349" s="353" t="str">
        <f t="shared" si="177"/>
        <v>BOLIVAR_TURBANA</v>
      </c>
      <c r="EP1349" s="350"/>
      <c r="EQ1349" s="350"/>
      <c r="ER1349" s="357"/>
      <c r="ES1349" s="350"/>
      <c r="ET1349" s="350"/>
      <c r="EU1349" s="350"/>
    </row>
    <row r="1350" spans="1:151" s="171" customFormat="1" ht="45" x14ac:dyDescent="0.2">
      <c r="A1350" s="242">
        <v>40468</v>
      </c>
      <c r="B1350" s="222" t="s">
        <v>2017</v>
      </c>
      <c r="C1350" s="222" t="s">
        <v>1842</v>
      </c>
      <c r="D1350" s="430" t="s">
        <v>837</v>
      </c>
      <c r="E1350" s="107" t="str">
        <f>VLOOKUP(B1350&amp;C1350,Divipola!$C$2:$F$1138,4,FALSE)</f>
        <v>13894</v>
      </c>
      <c r="F1350" s="333"/>
      <c r="G1350" s="221"/>
      <c r="H1350" s="157"/>
      <c r="I1350" s="157"/>
      <c r="J1350" s="157">
        <f>903*5</f>
        <v>4515</v>
      </c>
      <c r="K1350" s="157">
        <f>1316-12-200-1-200</f>
        <v>903</v>
      </c>
      <c r="L1350" s="157"/>
      <c r="M1350" s="157">
        <v>903</v>
      </c>
      <c r="N1350" s="157"/>
      <c r="O1350" s="157"/>
      <c r="P1350" s="157"/>
      <c r="Q1350" s="157"/>
      <c r="R1350" s="157"/>
      <c r="S1350" s="157"/>
      <c r="T1350" s="157"/>
      <c r="U1350" s="157"/>
      <c r="V1350" s="158"/>
      <c r="W1350" s="182"/>
      <c r="X1350" s="1">
        <v>40508</v>
      </c>
      <c r="Y1350" s="78">
        <f t="shared" si="180"/>
        <v>23688000</v>
      </c>
      <c r="Z1350" s="78">
        <f t="shared" si="181"/>
        <v>111860000</v>
      </c>
      <c r="AA1350" s="78">
        <f t="shared" si="179"/>
        <v>0</v>
      </c>
      <c r="AB1350" s="78">
        <f t="shared" si="182"/>
        <v>0</v>
      </c>
      <c r="AC1350" s="78"/>
      <c r="AD1350" s="78">
        <v>0</v>
      </c>
      <c r="AE1350" s="80">
        <f t="shared" si="175"/>
        <v>135548000</v>
      </c>
      <c r="AF1350" s="82">
        <v>0</v>
      </c>
      <c r="AG1350" s="69">
        <v>40476</v>
      </c>
      <c r="AH1350" s="84">
        <v>57681</v>
      </c>
      <c r="AI1350" s="69" t="s">
        <v>2009</v>
      </c>
      <c r="AJ1350" s="25" t="s">
        <v>2010</v>
      </c>
      <c r="AK1350" s="65">
        <v>24643</v>
      </c>
      <c r="AL1350" s="185" t="s">
        <v>2182</v>
      </c>
      <c r="AM1350" s="173" t="s">
        <v>1478</v>
      </c>
      <c r="AN1350" s="159"/>
      <c r="AO1350" s="160"/>
      <c r="AP1350" s="161"/>
      <c r="AQ1350" s="160"/>
      <c r="AR1350" s="160"/>
      <c r="AS1350" s="160"/>
      <c r="AT1350" s="160"/>
      <c r="AU1350" s="160"/>
      <c r="AV1350" s="160"/>
      <c r="AW1350" s="160"/>
      <c r="AX1350" s="160"/>
      <c r="AY1350" s="160"/>
      <c r="AZ1350" s="160"/>
      <c r="BA1350" s="160"/>
      <c r="BB1350" s="160"/>
      <c r="BC1350" s="160"/>
      <c r="BD1350" s="160"/>
      <c r="BE1350" s="160"/>
      <c r="BF1350" s="160"/>
      <c r="BG1350" s="160"/>
      <c r="BH1350" s="160"/>
      <c r="BI1350" s="160"/>
      <c r="BJ1350" s="160"/>
      <c r="BK1350" s="160"/>
      <c r="BL1350" s="160"/>
      <c r="BM1350" s="160"/>
      <c r="BN1350" s="160"/>
      <c r="BO1350" s="160"/>
      <c r="BP1350" s="160"/>
      <c r="BQ1350" s="160"/>
      <c r="BR1350" s="160"/>
      <c r="BS1350" s="160"/>
      <c r="BT1350" s="160"/>
      <c r="BU1350" s="160"/>
      <c r="BV1350" s="160"/>
      <c r="BW1350" s="160"/>
      <c r="BX1350" s="160"/>
      <c r="BY1350" s="160"/>
      <c r="BZ1350" s="160"/>
      <c r="CA1350" s="160"/>
      <c r="CB1350" s="160"/>
      <c r="CC1350" s="160"/>
      <c r="CD1350" s="160"/>
      <c r="CE1350" s="160"/>
      <c r="CF1350" s="160"/>
      <c r="CG1350" s="160"/>
      <c r="CH1350" s="160"/>
      <c r="CI1350" s="160"/>
      <c r="CJ1350" s="160"/>
      <c r="CK1350" s="160"/>
      <c r="CL1350" s="160"/>
      <c r="CM1350" s="160"/>
      <c r="CN1350" s="160">
        <v>1316</v>
      </c>
      <c r="CO1350" s="160">
        <f>1316*18000</f>
        <v>23688000</v>
      </c>
      <c r="CP1350" s="162"/>
      <c r="CQ1350" s="163"/>
      <c r="CR1350" s="162"/>
      <c r="CS1350" s="163"/>
      <c r="CT1350" s="162"/>
      <c r="CU1350" s="163"/>
      <c r="CV1350" s="164">
        <f t="shared" si="183"/>
        <v>23688000</v>
      </c>
      <c r="CW1350" s="165"/>
      <c r="CX1350" s="166"/>
      <c r="CY1350" s="167">
        <v>1316</v>
      </c>
      <c r="CZ1350" s="168">
        <f>1316*85000</f>
        <v>111860000</v>
      </c>
      <c r="DA1350" s="169"/>
      <c r="DB1350" s="168"/>
      <c r="DC1350" s="165"/>
      <c r="DD1350" s="166"/>
      <c r="DE1350" s="71"/>
      <c r="DF1350" s="170"/>
      <c r="EO1350" s="353" t="str">
        <f t="shared" si="177"/>
        <v>BOLIVAR_ZAMBRANO</v>
      </c>
      <c r="EP1350" s="350"/>
      <c r="EQ1350" s="350"/>
      <c r="ER1350" s="357"/>
      <c r="ES1350" s="350"/>
      <c r="ET1350" s="350"/>
      <c r="EU1350" s="350"/>
    </row>
    <row r="1351" spans="1:151" s="171" customFormat="1" ht="38.25" x14ac:dyDescent="0.2">
      <c r="A1351" s="242">
        <v>40468</v>
      </c>
      <c r="B1351" s="222" t="s">
        <v>2427</v>
      </c>
      <c r="C1351" s="222" t="s">
        <v>3830</v>
      </c>
      <c r="D1351" s="430" t="s">
        <v>2209</v>
      </c>
      <c r="E1351" s="107" t="str">
        <f>VLOOKUP(B1351&amp;C1351,Divipola!$C$2:$F$1138,4,FALSE)</f>
        <v>68324</v>
      </c>
      <c r="F1351" s="333"/>
      <c r="G1351" s="275"/>
      <c r="H1351" s="157"/>
      <c r="I1351" s="157"/>
      <c r="J1351" s="157">
        <v>50</v>
      </c>
      <c r="K1351" s="157">
        <v>10</v>
      </c>
      <c r="L1351" s="157"/>
      <c r="M1351" s="157">
        <v>10</v>
      </c>
      <c r="N1351" s="157"/>
      <c r="O1351" s="157"/>
      <c r="P1351" s="157"/>
      <c r="Q1351" s="157"/>
      <c r="R1351" s="157"/>
      <c r="S1351" s="157"/>
      <c r="T1351" s="157">
        <v>1</v>
      </c>
      <c r="U1351" s="157">
        <v>2</v>
      </c>
      <c r="V1351" s="158"/>
      <c r="W1351" s="182"/>
      <c r="X1351" s="1"/>
      <c r="Y1351" s="78">
        <f t="shared" si="180"/>
        <v>0</v>
      </c>
      <c r="Z1351" s="78">
        <f t="shared" si="181"/>
        <v>0</v>
      </c>
      <c r="AA1351" s="78">
        <f t="shared" si="179"/>
        <v>0</v>
      </c>
      <c r="AB1351" s="78">
        <f t="shared" si="182"/>
        <v>0</v>
      </c>
      <c r="AC1351" s="78"/>
      <c r="AD1351" s="78">
        <v>0</v>
      </c>
      <c r="AE1351" s="80">
        <f t="shared" si="175"/>
        <v>0</v>
      </c>
      <c r="AF1351" s="82">
        <v>0</v>
      </c>
      <c r="AG1351" s="69">
        <v>40470</v>
      </c>
      <c r="AH1351" s="84"/>
      <c r="AI1351" s="69" t="s">
        <v>1984</v>
      </c>
      <c r="AJ1351" s="25" t="s">
        <v>1985</v>
      </c>
      <c r="AK1351" s="65"/>
      <c r="AL1351" s="176" t="s">
        <v>1257</v>
      </c>
      <c r="AM1351" s="173" t="s">
        <v>721</v>
      </c>
      <c r="AN1351" s="159"/>
      <c r="AO1351" s="160"/>
      <c r="AP1351" s="161"/>
      <c r="AQ1351" s="160"/>
      <c r="AR1351" s="160"/>
      <c r="AS1351" s="160"/>
      <c r="AT1351" s="160"/>
      <c r="AU1351" s="160"/>
      <c r="AV1351" s="160"/>
      <c r="AW1351" s="160"/>
      <c r="AX1351" s="160"/>
      <c r="AY1351" s="160"/>
      <c r="AZ1351" s="160"/>
      <c r="BA1351" s="160"/>
      <c r="BB1351" s="160"/>
      <c r="BC1351" s="160"/>
      <c r="BD1351" s="160"/>
      <c r="BE1351" s="160"/>
      <c r="BF1351" s="160"/>
      <c r="BG1351" s="160"/>
      <c r="BH1351" s="160"/>
      <c r="BI1351" s="160"/>
      <c r="BJ1351" s="160"/>
      <c r="BK1351" s="160"/>
      <c r="BL1351" s="160"/>
      <c r="BM1351" s="160"/>
      <c r="BN1351" s="160"/>
      <c r="BO1351" s="160"/>
      <c r="BP1351" s="160"/>
      <c r="BQ1351" s="160"/>
      <c r="BR1351" s="160"/>
      <c r="BS1351" s="160"/>
      <c r="BT1351" s="160"/>
      <c r="BU1351" s="160"/>
      <c r="BV1351" s="160"/>
      <c r="BW1351" s="160"/>
      <c r="BX1351" s="160"/>
      <c r="BY1351" s="160"/>
      <c r="BZ1351" s="160"/>
      <c r="CA1351" s="160"/>
      <c r="CB1351" s="160"/>
      <c r="CC1351" s="160"/>
      <c r="CD1351" s="160"/>
      <c r="CE1351" s="160"/>
      <c r="CF1351" s="160"/>
      <c r="CG1351" s="160"/>
      <c r="CH1351" s="160"/>
      <c r="CI1351" s="160"/>
      <c r="CJ1351" s="160"/>
      <c r="CK1351" s="160"/>
      <c r="CL1351" s="160"/>
      <c r="CM1351" s="160"/>
      <c r="CN1351" s="160"/>
      <c r="CO1351" s="160"/>
      <c r="CP1351" s="162"/>
      <c r="CQ1351" s="163"/>
      <c r="CR1351" s="162"/>
      <c r="CS1351" s="163"/>
      <c r="CT1351" s="162"/>
      <c r="CU1351" s="163"/>
      <c r="CV1351" s="164">
        <f t="shared" si="183"/>
        <v>0</v>
      </c>
      <c r="CW1351" s="165"/>
      <c r="CX1351" s="166"/>
      <c r="CY1351" s="167"/>
      <c r="CZ1351" s="168"/>
      <c r="DA1351" s="169"/>
      <c r="DB1351" s="168"/>
      <c r="DC1351" s="165"/>
      <c r="DD1351" s="166"/>
      <c r="DE1351" s="71"/>
      <c r="DF1351" s="170"/>
      <c r="EO1351" s="353" t="str">
        <f t="shared" si="177"/>
        <v>SANTANDER_GUAVATA</v>
      </c>
      <c r="EP1351" s="350"/>
      <c r="EQ1351" s="350"/>
      <c r="ER1351" s="357"/>
      <c r="ES1351" s="350"/>
      <c r="ET1351" s="350"/>
      <c r="EU1351" s="350"/>
    </row>
    <row r="1352" spans="1:151" s="171" customFormat="1" ht="60" x14ac:dyDescent="0.2">
      <c r="A1352" s="242">
        <v>40469</v>
      </c>
      <c r="B1352" s="222" t="s">
        <v>2401</v>
      </c>
      <c r="C1352" s="222" t="s">
        <v>2681</v>
      </c>
      <c r="D1352" s="430" t="s">
        <v>168</v>
      </c>
      <c r="E1352" s="107" t="str">
        <f>VLOOKUP(B1352&amp;C1352,Divipola!$C$2:$F$1138,4,FALSE)</f>
        <v>05051</v>
      </c>
      <c r="F1352" s="333"/>
      <c r="G1352" s="221"/>
      <c r="H1352" s="157">
        <v>4</v>
      </c>
      <c r="I1352" s="157"/>
      <c r="J1352" s="157"/>
      <c r="K1352" s="157"/>
      <c r="L1352" s="157"/>
      <c r="M1352" s="157"/>
      <c r="N1352" s="157"/>
      <c r="O1352" s="157"/>
      <c r="P1352" s="157"/>
      <c r="Q1352" s="157"/>
      <c r="R1352" s="157"/>
      <c r="S1352" s="157"/>
      <c r="T1352" s="157"/>
      <c r="U1352" s="157"/>
      <c r="V1352" s="158"/>
      <c r="W1352" s="182"/>
      <c r="X1352" s="1"/>
      <c r="Y1352" s="78">
        <f t="shared" si="180"/>
        <v>0</v>
      </c>
      <c r="Z1352" s="78">
        <f t="shared" si="181"/>
        <v>0</v>
      </c>
      <c r="AA1352" s="78">
        <f t="shared" si="179"/>
        <v>0</v>
      </c>
      <c r="AB1352" s="78">
        <f t="shared" si="182"/>
        <v>0</v>
      </c>
      <c r="AC1352" s="78"/>
      <c r="AD1352" s="78">
        <v>0</v>
      </c>
      <c r="AE1352" s="80">
        <f t="shared" si="175"/>
        <v>0</v>
      </c>
      <c r="AF1352" s="82">
        <v>0</v>
      </c>
      <c r="AG1352" s="69">
        <v>40470</v>
      </c>
      <c r="AH1352" s="84"/>
      <c r="AI1352" s="69" t="s">
        <v>1984</v>
      </c>
      <c r="AJ1352" s="25" t="s">
        <v>1985</v>
      </c>
      <c r="AK1352" s="65"/>
      <c r="AL1352" s="176" t="s">
        <v>1257</v>
      </c>
      <c r="AM1352" s="173" t="s">
        <v>727</v>
      </c>
      <c r="AN1352" s="159"/>
      <c r="AO1352" s="160"/>
      <c r="AP1352" s="161"/>
      <c r="AQ1352" s="160"/>
      <c r="AR1352" s="160"/>
      <c r="AS1352" s="160"/>
      <c r="AT1352" s="160"/>
      <c r="AU1352" s="160"/>
      <c r="AV1352" s="160"/>
      <c r="AW1352" s="160"/>
      <c r="AX1352" s="160"/>
      <c r="AY1352" s="160"/>
      <c r="AZ1352" s="160"/>
      <c r="BA1352" s="160"/>
      <c r="BB1352" s="160"/>
      <c r="BC1352" s="160"/>
      <c r="BD1352" s="160"/>
      <c r="BE1352" s="160"/>
      <c r="BF1352" s="160"/>
      <c r="BG1352" s="160"/>
      <c r="BH1352" s="160"/>
      <c r="BI1352" s="160"/>
      <c r="BJ1352" s="160"/>
      <c r="BK1352" s="160"/>
      <c r="BL1352" s="160"/>
      <c r="BM1352" s="160"/>
      <c r="BN1352" s="160"/>
      <c r="BO1352" s="160"/>
      <c r="BP1352" s="160"/>
      <c r="BQ1352" s="160"/>
      <c r="BR1352" s="160"/>
      <c r="BS1352" s="160"/>
      <c r="BT1352" s="160"/>
      <c r="BU1352" s="160"/>
      <c r="BV1352" s="160"/>
      <c r="BW1352" s="160"/>
      <c r="BX1352" s="160"/>
      <c r="BY1352" s="160"/>
      <c r="BZ1352" s="160"/>
      <c r="CA1352" s="160"/>
      <c r="CB1352" s="160"/>
      <c r="CC1352" s="160"/>
      <c r="CD1352" s="160"/>
      <c r="CE1352" s="160"/>
      <c r="CF1352" s="160"/>
      <c r="CG1352" s="160"/>
      <c r="CH1352" s="160"/>
      <c r="CI1352" s="160"/>
      <c r="CJ1352" s="160"/>
      <c r="CK1352" s="160"/>
      <c r="CL1352" s="160"/>
      <c r="CM1352" s="160"/>
      <c r="CN1352" s="160"/>
      <c r="CO1352" s="160"/>
      <c r="CP1352" s="162"/>
      <c r="CQ1352" s="163"/>
      <c r="CR1352" s="162"/>
      <c r="CS1352" s="163"/>
      <c r="CT1352" s="162"/>
      <c r="CU1352" s="163"/>
      <c r="CV1352" s="164">
        <f t="shared" si="183"/>
        <v>0</v>
      </c>
      <c r="CW1352" s="165"/>
      <c r="CX1352" s="166"/>
      <c r="CY1352" s="167"/>
      <c r="CZ1352" s="168"/>
      <c r="DA1352" s="169"/>
      <c r="DB1352" s="168"/>
      <c r="DC1352" s="165"/>
      <c r="DD1352" s="166"/>
      <c r="DE1352" s="71"/>
      <c r="DF1352" s="170"/>
      <c r="EO1352" s="353" t="str">
        <f t="shared" si="177"/>
        <v>ANTIOQUIA_ARBOLETES</v>
      </c>
      <c r="EP1352" s="350"/>
      <c r="EQ1352" s="350"/>
      <c r="ER1352" s="357"/>
      <c r="ES1352" s="350"/>
      <c r="ET1352" s="350"/>
      <c r="EU1352" s="350"/>
    </row>
    <row r="1353" spans="1:151" s="171" customFormat="1" ht="38.25" x14ac:dyDescent="0.2">
      <c r="A1353" s="242">
        <v>40469</v>
      </c>
      <c r="B1353" s="222" t="s">
        <v>1951</v>
      </c>
      <c r="C1353" s="222" t="s">
        <v>2008</v>
      </c>
      <c r="D1353" s="430" t="s">
        <v>837</v>
      </c>
      <c r="E1353" s="107">
        <f>VLOOKUP(B1353&amp;C1353,Divipola!$C$2:$F$1138,4,FALSE)</f>
        <v>8</v>
      </c>
      <c r="F1353" s="333"/>
      <c r="G1353" s="221"/>
      <c r="H1353" s="157"/>
      <c r="I1353" s="157"/>
      <c r="J1353" s="157"/>
      <c r="K1353" s="157"/>
      <c r="L1353" s="157"/>
      <c r="M1353" s="157"/>
      <c r="N1353" s="157"/>
      <c r="O1353" s="157"/>
      <c r="P1353" s="157"/>
      <c r="Q1353" s="157"/>
      <c r="R1353" s="157"/>
      <c r="S1353" s="157"/>
      <c r="T1353" s="157"/>
      <c r="U1353" s="157"/>
      <c r="V1353" s="158"/>
      <c r="W1353" s="182"/>
      <c r="X1353" s="1">
        <v>40508</v>
      </c>
      <c r="Y1353" s="78">
        <f t="shared" si="180"/>
        <v>0</v>
      </c>
      <c r="Z1353" s="78">
        <f t="shared" si="181"/>
        <v>0</v>
      </c>
      <c r="AA1353" s="78">
        <f t="shared" si="179"/>
        <v>0</v>
      </c>
      <c r="AB1353" s="78">
        <f t="shared" si="182"/>
        <v>180032000</v>
      </c>
      <c r="AC1353" s="78"/>
      <c r="AD1353" s="78">
        <v>0</v>
      </c>
      <c r="AE1353" s="80">
        <f t="shared" ref="AE1353:AE1416" si="184">Y1353+Z1353+AA1353+AB1353+AC1353+AD1353</f>
        <v>180032000</v>
      </c>
      <c r="AF1353" s="82">
        <v>0</v>
      </c>
      <c r="AG1353" s="69">
        <v>40469</v>
      </c>
      <c r="AH1353" s="84">
        <v>53053</v>
      </c>
      <c r="AI1353" s="69" t="s">
        <v>2009</v>
      </c>
      <c r="AJ1353" s="25" t="s">
        <v>2010</v>
      </c>
      <c r="AK1353" s="88" t="s">
        <v>73</v>
      </c>
      <c r="AL1353" s="176" t="s">
        <v>1831</v>
      </c>
      <c r="AM1353" s="173" t="s">
        <v>198</v>
      </c>
      <c r="AN1353" s="159"/>
      <c r="AO1353" s="160"/>
      <c r="AP1353" s="161"/>
      <c r="AQ1353" s="160"/>
      <c r="AR1353" s="160"/>
      <c r="AS1353" s="160"/>
      <c r="AT1353" s="160"/>
      <c r="AU1353" s="160"/>
      <c r="AV1353" s="160"/>
      <c r="AW1353" s="160"/>
      <c r="AX1353" s="160"/>
      <c r="AY1353" s="160"/>
      <c r="AZ1353" s="160"/>
      <c r="BA1353" s="160"/>
      <c r="BB1353" s="160"/>
      <c r="BC1353" s="160"/>
      <c r="BD1353" s="160"/>
      <c r="BE1353" s="160"/>
      <c r="BF1353" s="160"/>
      <c r="BG1353" s="160"/>
      <c r="BH1353" s="160"/>
      <c r="BI1353" s="160"/>
      <c r="BJ1353" s="160"/>
      <c r="BK1353" s="160"/>
      <c r="BL1353" s="160"/>
      <c r="BM1353" s="160"/>
      <c r="BN1353" s="160"/>
      <c r="BO1353" s="160"/>
      <c r="BP1353" s="160"/>
      <c r="BQ1353" s="160"/>
      <c r="BR1353" s="160"/>
      <c r="BS1353" s="160"/>
      <c r="BT1353" s="160"/>
      <c r="BU1353" s="160"/>
      <c r="BV1353" s="160"/>
      <c r="BW1353" s="160"/>
      <c r="BX1353" s="160"/>
      <c r="BY1353" s="160"/>
      <c r="BZ1353" s="160"/>
      <c r="CA1353" s="160"/>
      <c r="CB1353" s="160"/>
      <c r="CC1353" s="160"/>
      <c r="CD1353" s="160"/>
      <c r="CE1353" s="160"/>
      <c r="CF1353" s="160"/>
      <c r="CG1353" s="160"/>
      <c r="CH1353" s="160"/>
      <c r="CI1353" s="160"/>
      <c r="CJ1353" s="160"/>
      <c r="CK1353" s="160"/>
      <c r="CL1353" s="160"/>
      <c r="CM1353" s="160"/>
      <c r="CN1353" s="160"/>
      <c r="CO1353" s="160"/>
      <c r="CP1353" s="162"/>
      <c r="CQ1353" s="163"/>
      <c r="CR1353" s="162"/>
      <c r="CS1353" s="163"/>
      <c r="CT1353" s="162"/>
      <c r="CU1353" s="163"/>
      <c r="CV1353" s="164">
        <f t="shared" si="183"/>
        <v>0</v>
      </c>
      <c r="CW1353" s="165">
        <f>100000+100000</f>
        <v>200000</v>
      </c>
      <c r="CX1353" s="166">
        <f>100000*900.16+100000*900.16</f>
        <v>180032000</v>
      </c>
      <c r="CY1353" s="167"/>
      <c r="CZ1353" s="168"/>
      <c r="DA1353" s="169"/>
      <c r="DB1353" s="168"/>
      <c r="DC1353" s="165"/>
      <c r="DD1353" s="166"/>
      <c r="DE1353" s="71"/>
      <c r="DF1353" s="170">
        <v>1380</v>
      </c>
      <c r="EO1353" s="353" t="str">
        <f t="shared" si="177"/>
        <v>ATLANTICO_DEPARTAMENTO</v>
      </c>
      <c r="EP1353" s="350"/>
      <c r="EQ1353" s="350"/>
      <c r="ER1353" s="357"/>
      <c r="ES1353" s="350"/>
      <c r="ET1353" s="350"/>
      <c r="EU1353" s="350"/>
    </row>
    <row r="1354" spans="1:151" s="171" customFormat="1" ht="84" x14ac:dyDescent="0.2">
      <c r="A1354" s="242">
        <v>40469</v>
      </c>
      <c r="B1354" s="222" t="s">
        <v>1951</v>
      </c>
      <c r="C1354" s="222" t="s">
        <v>698</v>
      </c>
      <c r="D1354" s="430" t="s">
        <v>837</v>
      </c>
      <c r="E1354" s="107" t="str">
        <f>VLOOKUP(B1354&amp;C1354,Divipola!$C$2:$F$1138,4,FALSE)</f>
        <v>08520</v>
      </c>
      <c r="F1354" s="333"/>
      <c r="G1354" s="221"/>
      <c r="H1354" s="157"/>
      <c r="I1354" s="157"/>
      <c r="J1354" s="157">
        <f>1300*5</f>
        <v>6500</v>
      </c>
      <c r="K1354" s="157">
        <v>1300</v>
      </c>
      <c r="L1354" s="157"/>
      <c r="M1354" s="157">
        <v>1300</v>
      </c>
      <c r="N1354" s="157"/>
      <c r="O1354" s="157"/>
      <c r="P1354" s="157"/>
      <c r="Q1354" s="157"/>
      <c r="R1354" s="157"/>
      <c r="S1354" s="157"/>
      <c r="T1354" s="157"/>
      <c r="U1354" s="157"/>
      <c r="V1354" s="158"/>
      <c r="W1354" s="182"/>
      <c r="X1354" s="1">
        <v>40487</v>
      </c>
      <c r="Y1354" s="78">
        <f t="shared" si="180"/>
        <v>0</v>
      </c>
      <c r="Z1354" s="78">
        <f t="shared" si="181"/>
        <v>110500000</v>
      </c>
      <c r="AA1354" s="78">
        <f t="shared" si="179"/>
        <v>0</v>
      </c>
      <c r="AB1354" s="78">
        <f t="shared" si="182"/>
        <v>0</v>
      </c>
      <c r="AC1354" s="78"/>
      <c r="AD1354" s="78">
        <v>37000000</v>
      </c>
      <c r="AE1354" s="80">
        <f t="shared" si="184"/>
        <v>147500000</v>
      </c>
      <c r="AF1354" s="82">
        <v>0</v>
      </c>
      <c r="AG1354" s="69">
        <v>40470</v>
      </c>
      <c r="AH1354" s="84"/>
      <c r="AI1354" s="69" t="s">
        <v>2009</v>
      </c>
      <c r="AJ1354" s="25" t="s">
        <v>2010</v>
      </c>
      <c r="AK1354" s="65">
        <v>27459</v>
      </c>
      <c r="AL1354" s="176" t="s">
        <v>2182</v>
      </c>
      <c r="AM1354" s="173" t="s">
        <v>2161</v>
      </c>
      <c r="AN1354" s="159"/>
      <c r="AO1354" s="160"/>
      <c r="AP1354" s="161"/>
      <c r="AQ1354" s="160"/>
      <c r="AR1354" s="160"/>
      <c r="AS1354" s="160"/>
      <c r="AT1354" s="160"/>
      <c r="AU1354" s="160"/>
      <c r="AV1354" s="160"/>
      <c r="AW1354" s="160"/>
      <c r="AX1354" s="160"/>
      <c r="AY1354" s="160"/>
      <c r="AZ1354" s="160"/>
      <c r="BA1354" s="160"/>
      <c r="BB1354" s="160"/>
      <c r="BC1354" s="160"/>
      <c r="BD1354" s="160"/>
      <c r="BE1354" s="160"/>
      <c r="BF1354" s="160"/>
      <c r="BG1354" s="160"/>
      <c r="BH1354" s="160"/>
      <c r="BI1354" s="160"/>
      <c r="BJ1354" s="160"/>
      <c r="BK1354" s="160"/>
      <c r="BL1354" s="160"/>
      <c r="BM1354" s="160"/>
      <c r="BN1354" s="160"/>
      <c r="BO1354" s="160"/>
      <c r="BP1354" s="160"/>
      <c r="BQ1354" s="160"/>
      <c r="BR1354" s="160"/>
      <c r="BS1354" s="160"/>
      <c r="BT1354" s="160"/>
      <c r="BU1354" s="160"/>
      <c r="BV1354" s="160"/>
      <c r="BW1354" s="160"/>
      <c r="BX1354" s="160"/>
      <c r="BY1354" s="160"/>
      <c r="BZ1354" s="160"/>
      <c r="CA1354" s="160"/>
      <c r="CB1354" s="160"/>
      <c r="CC1354" s="160"/>
      <c r="CD1354" s="160"/>
      <c r="CE1354" s="160"/>
      <c r="CF1354" s="160"/>
      <c r="CG1354" s="160"/>
      <c r="CH1354" s="160"/>
      <c r="CI1354" s="160"/>
      <c r="CJ1354" s="160"/>
      <c r="CK1354" s="160"/>
      <c r="CL1354" s="160"/>
      <c r="CM1354" s="160"/>
      <c r="CN1354" s="160"/>
      <c r="CO1354" s="160"/>
      <c r="CP1354" s="162"/>
      <c r="CQ1354" s="163"/>
      <c r="CR1354" s="162"/>
      <c r="CS1354" s="163"/>
      <c r="CT1354" s="162"/>
      <c r="CU1354" s="163"/>
      <c r="CV1354" s="164">
        <f t="shared" si="183"/>
        <v>0</v>
      </c>
      <c r="CW1354" s="165"/>
      <c r="CX1354" s="166"/>
      <c r="CY1354" s="167">
        <v>1300</v>
      </c>
      <c r="CZ1354" s="168">
        <f>1300*85000</f>
        <v>110500000</v>
      </c>
      <c r="DA1354" s="169"/>
      <c r="DB1354" s="168"/>
      <c r="DC1354" s="165"/>
      <c r="DD1354" s="166"/>
      <c r="DE1354" s="71"/>
      <c r="DF1354" s="170"/>
      <c r="EO1354" s="353" t="str">
        <f t="shared" si="177"/>
        <v>ATLANTICO_PALMAR DE VARELA</v>
      </c>
      <c r="EP1354" s="350"/>
      <c r="EQ1354" s="350"/>
      <c r="ER1354" s="357"/>
      <c r="ES1354" s="350"/>
      <c r="ET1354" s="350"/>
      <c r="EU1354" s="350"/>
    </row>
    <row r="1355" spans="1:151" s="171" customFormat="1" ht="60" x14ac:dyDescent="0.2">
      <c r="A1355" s="242">
        <v>40469</v>
      </c>
      <c r="B1355" s="222" t="s">
        <v>1951</v>
      </c>
      <c r="C1355" s="222" t="s">
        <v>158</v>
      </c>
      <c r="D1355" s="430" t="s">
        <v>837</v>
      </c>
      <c r="E1355" s="107" t="str">
        <f>VLOOKUP(B1355&amp;C1355,Divipola!$C$2:$F$1138,4,FALSE)</f>
        <v>08573</v>
      </c>
      <c r="F1355" s="333"/>
      <c r="G1355" s="221"/>
      <c r="H1355" s="157"/>
      <c r="I1355" s="157"/>
      <c r="J1355" s="157">
        <f>1096*5</f>
        <v>5480</v>
      </c>
      <c r="K1355" s="157">
        <f>1371-50-225</f>
        <v>1096</v>
      </c>
      <c r="L1355" s="157"/>
      <c r="M1355" s="157"/>
      <c r="N1355" s="157"/>
      <c r="O1355" s="157"/>
      <c r="P1355" s="157"/>
      <c r="Q1355" s="157"/>
      <c r="R1355" s="157"/>
      <c r="S1355" s="157"/>
      <c r="T1355" s="157"/>
      <c r="U1355" s="157"/>
      <c r="V1355" s="158"/>
      <c r="W1355" s="182"/>
      <c r="X1355" s="1"/>
      <c r="Y1355" s="78">
        <f t="shared" si="180"/>
        <v>0</v>
      </c>
      <c r="Z1355" s="78">
        <f t="shared" si="181"/>
        <v>116535000</v>
      </c>
      <c r="AA1355" s="78">
        <f t="shared" si="179"/>
        <v>0</v>
      </c>
      <c r="AB1355" s="78">
        <f t="shared" si="182"/>
        <v>0</v>
      </c>
      <c r="AC1355" s="78"/>
      <c r="AD1355" s="78">
        <v>0</v>
      </c>
      <c r="AE1355" s="80">
        <f t="shared" si="184"/>
        <v>116535000</v>
      </c>
      <c r="AF1355" s="82">
        <v>0</v>
      </c>
      <c r="AG1355" s="69">
        <v>40470</v>
      </c>
      <c r="AH1355" s="84"/>
      <c r="AI1355" s="69" t="s">
        <v>2009</v>
      </c>
      <c r="AJ1355" s="25" t="s">
        <v>2010</v>
      </c>
      <c r="AK1355" s="65"/>
      <c r="AL1355" s="176" t="s">
        <v>1257</v>
      </c>
      <c r="AM1355" s="173" t="s">
        <v>723</v>
      </c>
      <c r="AN1355" s="159"/>
      <c r="AO1355" s="160"/>
      <c r="AP1355" s="161"/>
      <c r="AQ1355" s="160"/>
      <c r="AR1355" s="160"/>
      <c r="AS1355" s="160"/>
      <c r="AT1355" s="160"/>
      <c r="AU1355" s="160"/>
      <c r="AV1355" s="160"/>
      <c r="AW1355" s="160"/>
      <c r="AX1355" s="160"/>
      <c r="AY1355" s="160"/>
      <c r="AZ1355" s="160"/>
      <c r="BA1355" s="160"/>
      <c r="BB1355" s="160"/>
      <c r="BC1355" s="160"/>
      <c r="BD1355" s="160"/>
      <c r="BE1355" s="160"/>
      <c r="BF1355" s="160"/>
      <c r="BG1355" s="160"/>
      <c r="BH1355" s="160"/>
      <c r="BI1355" s="160"/>
      <c r="BJ1355" s="160"/>
      <c r="BK1355" s="160"/>
      <c r="BL1355" s="160"/>
      <c r="BM1355" s="160"/>
      <c r="BN1355" s="160"/>
      <c r="BO1355" s="160"/>
      <c r="BP1355" s="160"/>
      <c r="BQ1355" s="160"/>
      <c r="BR1355" s="160"/>
      <c r="BS1355" s="160"/>
      <c r="BT1355" s="160"/>
      <c r="BU1355" s="160"/>
      <c r="BV1355" s="160"/>
      <c r="BW1355" s="160"/>
      <c r="BX1355" s="160"/>
      <c r="BY1355" s="160"/>
      <c r="BZ1355" s="160"/>
      <c r="CA1355" s="160"/>
      <c r="CB1355" s="160"/>
      <c r="CC1355" s="160"/>
      <c r="CD1355" s="160"/>
      <c r="CE1355" s="160"/>
      <c r="CF1355" s="160"/>
      <c r="CG1355" s="160"/>
      <c r="CH1355" s="160"/>
      <c r="CI1355" s="160"/>
      <c r="CJ1355" s="160"/>
      <c r="CK1355" s="160"/>
      <c r="CL1355" s="160"/>
      <c r="CM1355" s="160"/>
      <c r="CN1355" s="160"/>
      <c r="CO1355" s="160"/>
      <c r="CP1355" s="162"/>
      <c r="CQ1355" s="163"/>
      <c r="CR1355" s="162"/>
      <c r="CS1355" s="163"/>
      <c r="CT1355" s="162"/>
      <c r="CU1355" s="163"/>
      <c r="CV1355" s="164">
        <f t="shared" si="183"/>
        <v>0</v>
      </c>
      <c r="CW1355" s="165"/>
      <c r="CX1355" s="166"/>
      <c r="CY1355" s="167">
        <v>1371</v>
      </c>
      <c r="CZ1355" s="168">
        <f>1371*85000</f>
        <v>116535000</v>
      </c>
      <c r="DA1355" s="169"/>
      <c r="DB1355" s="168"/>
      <c r="DC1355" s="165"/>
      <c r="DD1355" s="166"/>
      <c r="DE1355" s="71"/>
      <c r="DF1355" s="170"/>
      <c r="EO1355" s="353" t="str">
        <f t="shared" si="177"/>
        <v>ATLANTICO_PUERTO COLOMBIA</v>
      </c>
      <c r="EP1355" s="350"/>
      <c r="EQ1355" s="350"/>
      <c r="ER1355" s="357"/>
      <c r="ES1355" s="350"/>
      <c r="ET1355" s="350"/>
      <c r="EU1355" s="350"/>
    </row>
    <row r="1356" spans="1:151" s="171" customFormat="1" ht="48" x14ac:dyDescent="0.2">
      <c r="A1356" s="242">
        <v>40469</v>
      </c>
      <c r="B1356" s="107" t="s">
        <v>5778</v>
      </c>
      <c r="C1356" s="222" t="s">
        <v>1060</v>
      </c>
      <c r="D1356" s="430" t="s">
        <v>837</v>
      </c>
      <c r="E1356" s="107" t="str">
        <f>VLOOKUP(B1356&amp;C1356,Divipola!$C$2:$F$1138,4,FALSE)</f>
        <v>44001</v>
      </c>
      <c r="F1356" s="333"/>
      <c r="G1356" s="221"/>
      <c r="H1356" s="157"/>
      <c r="I1356" s="157"/>
      <c r="J1356" s="157">
        <v>105</v>
      </c>
      <c r="K1356" s="157">
        <v>21</v>
      </c>
      <c r="L1356" s="157"/>
      <c r="M1356" s="157"/>
      <c r="N1356" s="157"/>
      <c r="O1356" s="157"/>
      <c r="P1356" s="157"/>
      <c r="Q1356" s="157"/>
      <c r="R1356" s="157"/>
      <c r="S1356" s="157"/>
      <c r="T1356" s="157"/>
      <c r="U1356" s="157"/>
      <c r="V1356" s="158"/>
      <c r="W1356" s="182"/>
      <c r="X1356" s="1"/>
      <c r="Y1356" s="78">
        <f t="shared" si="180"/>
        <v>0</v>
      </c>
      <c r="Z1356" s="78">
        <f t="shared" si="181"/>
        <v>0</v>
      </c>
      <c r="AA1356" s="78">
        <f t="shared" si="179"/>
        <v>0</v>
      </c>
      <c r="AB1356" s="78">
        <f t="shared" si="182"/>
        <v>0</v>
      </c>
      <c r="AC1356" s="78"/>
      <c r="AD1356" s="78">
        <v>0</v>
      </c>
      <c r="AE1356" s="80">
        <f t="shared" si="184"/>
        <v>0</v>
      </c>
      <c r="AF1356" s="82">
        <v>0</v>
      </c>
      <c r="AG1356" s="69">
        <v>40470</v>
      </c>
      <c r="AH1356" s="84"/>
      <c r="AI1356" s="69" t="s">
        <v>1984</v>
      </c>
      <c r="AJ1356" s="25" t="s">
        <v>1985</v>
      </c>
      <c r="AK1356" s="65"/>
      <c r="AL1356" s="176" t="s">
        <v>1257</v>
      </c>
      <c r="AM1356" s="173" t="s">
        <v>724</v>
      </c>
      <c r="AN1356" s="159"/>
      <c r="AO1356" s="160"/>
      <c r="AP1356" s="161"/>
      <c r="AQ1356" s="160"/>
      <c r="AR1356" s="160"/>
      <c r="AS1356" s="160"/>
      <c r="AT1356" s="160"/>
      <c r="AU1356" s="160"/>
      <c r="AV1356" s="160"/>
      <c r="AW1356" s="160"/>
      <c r="AX1356" s="160"/>
      <c r="AY1356" s="160"/>
      <c r="AZ1356" s="160"/>
      <c r="BA1356" s="160"/>
      <c r="BB1356" s="160"/>
      <c r="BC1356" s="160"/>
      <c r="BD1356" s="160"/>
      <c r="BE1356" s="160"/>
      <c r="BF1356" s="160"/>
      <c r="BG1356" s="160"/>
      <c r="BH1356" s="160"/>
      <c r="BI1356" s="160"/>
      <c r="BJ1356" s="160"/>
      <c r="BK1356" s="160"/>
      <c r="BL1356" s="160"/>
      <c r="BM1356" s="160"/>
      <c r="BN1356" s="160"/>
      <c r="BO1356" s="160"/>
      <c r="BP1356" s="160"/>
      <c r="BQ1356" s="160"/>
      <c r="BR1356" s="160"/>
      <c r="BS1356" s="160"/>
      <c r="BT1356" s="160"/>
      <c r="BU1356" s="160"/>
      <c r="BV1356" s="160"/>
      <c r="BW1356" s="160"/>
      <c r="BX1356" s="160"/>
      <c r="BY1356" s="160"/>
      <c r="BZ1356" s="160"/>
      <c r="CA1356" s="160"/>
      <c r="CB1356" s="160"/>
      <c r="CC1356" s="160"/>
      <c r="CD1356" s="160"/>
      <c r="CE1356" s="160"/>
      <c r="CF1356" s="160"/>
      <c r="CG1356" s="160"/>
      <c r="CH1356" s="160"/>
      <c r="CI1356" s="160"/>
      <c r="CJ1356" s="160"/>
      <c r="CK1356" s="160"/>
      <c r="CL1356" s="160"/>
      <c r="CM1356" s="160"/>
      <c r="CN1356" s="160"/>
      <c r="CO1356" s="160"/>
      <c r="CP1356" s="162"/>
      <c r="CQ1356" s="163"/>
      <c r="CR1356" s="162"/>
      <c r="CS1356" s="163"/>
      <c r="CT1356" s="162"/>
      <c r="CU1356" s="163"/>
      <c r="CV1356" s="164">
        <f t="shared" si="183"/>
        <v>0</v>
      </c>
      <c r="CW1356" s="165"/>
      <c r="CX1356" s="166"/>
      <c r="CY1356" s="167"/>
      <c r="CZ1356" s="168"/>
      <c r="DA1356" s="169"/>
      <c r="DB1356" s="168"/>
      <c r="DC1356" s="165"/>
      <c r="DD1356" s="166"/>
      <c r="DE1356" s="71"/>
      <c r="DF1356" s="170"/>
      <c r="EO1356" s="353" t="str">
        <f t="shared" si="177"/>
        <v>LA GUAJIRA_RIOHACHA</v>
      </c>
      <c r="EP1356" s="350"/>
      <c r="EQ1356" s="350"/>
      <c r="ER1356" s="357"/>
      <c r="ES1356" s="350"/>
      <c r="ET1356" s="350"/>
      <c r="EU1356" s="350"/>
    </row>
    <row r="1357" spans="1:151" s="171" customFormat="1" ht="38.25" x14ac:dyDescent="0.2">
      <c r="A1357" s="246">
        <v>40470</v>
      </c>
      <c r="B1357" s="280" t="s">
        <v>2401</v>
      </c>
      <c r="C1357" s="280" t="s">
        <v>733</v>
      </c>
      <c r="D1357" s="432" t="s">
        <v>2209</v>
      </c>
      <c r="E1357" s="107" t="str">
        <f>VLOOKUP(B1357&amp;C1357,Divipola!$C$2:$F$1138,4,FALSE)</f>
        <v>05266</v>
      </c>
      <c r="F1357" s="337"/>
      <c r="G1357" s="221"/>
      <c r="H1357" s="157"/>
      <c r="I1357" s="157"/>
      <c r="J1357" s="157">
        <v>57</v>
      </c>
      <c r="K1357" s="157">
        <v>15</v>
      </c>
      <c r="L1357" s="157"/>
      <c r="M1357" s="157">
        <v>15</v>
      </c>
      <c r="N1357" s="157"/>
      <c r="O1357" s="157"/>
      <c r="P1357" s="157"/>
      <c r="Q1357" s="157"/>
      <c r="R1357" s="157"/>
      <c r="S1357" s="157"/>
      <c r="T1357" s="157"/>
      <c r="U1357" s="157"/>
      <c r="V1357" s="158"/>
      <c r="W1357" s="182"/>
      <c r="X1357" s="1"/>
      <c r="Y1357" s="78">
        <f t="shared" si="180"/>
        <v>0</v>
      </c>
      <c r="Z1357" s="78">
        <f t="shared" si="181"/>
        <v>0</v>
      </c>
      <c r="AA1357" s="78">
        <f t="shared" si="179"/>
        <v>0</v>
      </c>
      <c r="AB1357" s="78">
        <f t="shared" si="182"/>
        <v>0</v>
      </c>
      <c r="AC1357" s="78"/>
      <c r="AD1357" s="78">
        <v>0</v>
      </c>
      <c r="AE1357" s="80">
        <f t="shared" si="184"/>
        <v>0</v>
      </c>
      <c r="AF1357" s="82">
        <v>0</v>
      </c>
      <c r="AG1357" s="69">
        <v>40471</v>
      </c>
      <c r="AH1357" s="84"/>
      <c r="AI1357" s="69" t="s">
        <v>1984</v>
      </c>
      <c r="AJ1357" s="25" t="s">
        <v>1985</v>
      </c>
      <c r="AK1357" s="65"/>
      <c r="AL1357" s="176" t="s">
        <v>1257</v>
      </c>
      <c r="AM1357" s="173" t="s">
        <v>734</v>
      </c>
      <c r="AN1357" s="159"/>
      <c r="AO1357" s="160"/>
      <c r="AP1357" s="161"/>
      <c r="AQ1357" s="160"/>
      <c r="AR1357" s="160"/>
      <c r="AS1357" s="160"/>
      <c r="AT1357" s="160"/>
      <c r="AU1357" s="160"/>
      <c r="AV1357" s="160"/>
      <c r="AW1357" s="160"/>
      <c r="AX1357" s="160"/>
      <c r="AY1357" s="160"/>
      <c r="AZ1357" s="160"/>
      <c r="BA1357" s="160"/>
      <c r="BB1357" s="160"/>
      <c r="BC1357" s="160"/>
      <c r="BD1357" s="160"/>
      <c r="BE1357" s="160"/>
      <c r="BF1357" s="160"/>
      <c r="BG1357" s="160"/>
      <c r="BH1357" s="160"/>
      <c r="BI1357" s="160"/>
      <c r="BJ1357" s="160"/>
      <c r="BK1357" s="160"/>
      <c r="BL1357" s="160"/>
      <c r="BM1357" s="160"/>
      <c r="BN1357" s="160"/>
      <c r="BO1357" s="160"/>
      <c r="BP1357" s="160"/>
      <c r="BQ1357" s="160"/>
      <c r="BR1357" s="160"/>
      <c r="BS1357" s="160"/>
      <c r="BT1357" s="160"/>
      <c r="BU1357" s="160"/>
      <c r="BV1357" s="160"/>
      <c r="BW1357" s="160"/>
      <c r="BX1357" s="160"/>
      <c r="BY1357" s="160"/>
      <c r="BZ1357" s="160"/>
      <c r="CA1357" s="160"/>
      <c r="CB1357" s="160"/>
      <c r="CC1357" s="160"/>
      <c r="CD1357" s="160"/>
      <c r="CE1357" s="160"/>
      <c r="CF1357" s="160"/>
      <c r="CG1357" s="160"/>
      <c r="CH1357" s="160"/>
      <c r="CI1357" s="160"/>
      <c r="CJ1357" s="160"/>
      <c r="CK1357" s="160"/>
      <c r="CL1357" s="160"/>
      <c r="CM1357" s="160"/>
      <c r="CN1357" s="160"/>
      <c r="CO1357" s="160"/>
      <c r="CP1357" s="162"/>
      <c r="CQ1357" s="163"/>
      <c r="CR1357" s="162"/>
      <c r="CS1357" s="163"/>
      <c r="CT1357" s="162"/>
      <c r="CU1357" s="163"/>
      <c r="CV1357" s="164">
        <f t="shared" si="183"/>
        <v>0</v>
      </c>
      <c r="CW1357" s="165"/>
      <c r="CX1357" s="166"/>
      <c r="CY1357" s="167"/>
      <c r="CZ1357" s="168"/>
      <c r="DA1357" s="169"/>
      <c r="DB1357" s="168"/>
      <c r="DC1357" s="165"/>
      <c r="DD1357" s="166"/>
      <c r="DE1357" s="71"/>
      <c r="DF1357" s="170"/>
      <c r="EO1357" s="353" t="str">
        <f t="shared" si="177"/>
        <v>ANTIOQUIA_ENVIGADO</v>
      </c>
      <c r="EP1357" s="350"/>
      <c r="EQ1357" s="350"/>
      <c r="ER1357" s="357"/>
      <c r="ES1357" s="350"/>
      <c r="ET1357" s="350"/>
      <c r="EU1357" s="350"/>
    </row>
    <row r="1358" spans="1:151" s="171" customFormat="1" ht="25.5" x14ac:dyDescent="0.2">
      <c r="A1358" s="242">
        <v>40470</v>
      </c>
      <c r="B1358" s="222" t="s">
        <v>828</v>
      </c>
      <c r="C1358" s="222" t="s">
        <v>2077</v>
      </c>
      <c r="D1358" s="430" t="s">
        <v>2209</v>
      </c>
      <c r="E1358" s="107" t="str">
        <f>VLOOKUP(B1358&amp;C1358,Divipola!$C$2:$F$1138,4,FALSE)</f>
        <v>15537</v>
      </c>
      <c r="F1358" s="333"/>
      <c r="G1358" s="221"/>
      <c r="H1358" s="157"/>
      <c r="I1358" s="157"/>
      <c r="J1358" s="157">
        <f>140*5</f>
        <v>700</v>
      </c>
      <c r="K1358" s="157">
        <v>140</v>
      </c>
      <c r="L1358" s="157"/>
      <c r="M1358" s="157">
        <v>140</v>
      </c>
      <c r="N1358" s="157"/>
      <c r="O1358" s="157"/>
      <c r="P1358" s="157"/>
      <c r="Q1358" s="157"/>
      <c r="R1358" s="157"/>
      <c r="S1358" s="157"/>
      <c r="T1358" s="157"/>
      <c r="U1358" s="157"/>
      <c r="V1358" s="158"/>
      <c r="W1358" s="182"/>
      <c r="X1358" s="1">
        <v>40530</v>
      </c>
      <c r="Y1358" s="78">
        <f t="shared" si="180"/>
        <v>21978934.120000001</v>
      </c>
      <c r="Z1358" s="78">
        <f t="shared" si="181"/>
        <v>12155000</v>
      </c>
      <c r="AA1358" s="78">
        <f t="shared" si="179"/>
        <v>0</v>
      </c>
      <c r="AB1358" s="78">
        <f t="shared" si="182"/>
        <v>0</v>
      </c>
      <c r="AC1358" s="78"/>
      <c r="AD1358" s="78">
        <v>0</v>
      </c>
      <c r="AE1358" s="80">
        <f t="shared" si="184"/>
        <v>34133934.120000005</v>
      </c>
      <c r="AF1358" s="82">
        <v>0</v>
      </c>
      <c r="AG1358" s="69">
        <v>40484</v>
      </c>
      <c r="AH1358" s="84"/>
      <c r="AI1358" s="69" t="s">
        <v>2009</v>
      </c>
      <c r="AJ1358" s="25" t="s">
        <v>2010</v>
      </c>
      <c r="AK1358" s="88" t="s">
        <v>72</v>
      </c>
      <c r="AL1358" s="176" t="s">
        <v>1257</v>
      </c>
      <c r="AM1358" s="173" t="s">
        <v>2078</v>
      </c>
      <c r="AN1358" s="159"/>
      <c r="AO1358" s="160"/>
      <c r="AP1358" s="161"/>
      <c r="AQ1358" s="160"/>
      <c r="AR1358" s="160"/>
      <c r="AS1358" s="160"/>
      <c r="AT1358" s="160"/>
      <c r="AU1358" s="160"/>
      <c r="AV1358" s="160"/>
      <c r="AW1358" s="160"/>
      <c r="AX1358" s="160"/>
      <c r="AY1358" s="160"/>
      <c r="AZ1358" s="160">
        <v>143</v>
      </c>
      <c r="BA1358" s="160">
        <f>143*56000</f>
        <v>8008000</v>
      </c>
      <c r="BB1358" s="160"/>
      <c r="BC1358" s="160"/>
      <c r="BD1358" s="160"/>
      <c r="BE1358" s="160"/>
      <c r="BF1358" s="160"/>
      <c r="BG1358" s="160"/>
      <c r="BH1358" s="160"/>
      <c r="BI1358" s="160"/>
      <c r="BJ1358" s="160"/>
      <c r="BK1358" s="160"/>
      <c r="BL1358" s="160"/>
      <c r="BM1358" s="160"/>
      <c r="BN1358" s="160"/>
      <c r="BO1358" s="160"/>
      <c r="BP1358" s="160"/>
      <c r="BQ1358" s="160"/>
      <c r="BR1358" s="160"/>
      <c r="BS1358" s="160"/>
      <c r="BT1358" s="160"/>
      <c r="BU1358" s="160"/>
      <c r="BV1358" s="160"/>
      <c r="BW1358" s="160"/>
      <c r="BX1358" s="160"/>
      <c r="BY1358" s="160"/>
      <c r="BZ1358" s="160"/>
      <c r="CA1358" s="160"/>
      <c r="CB1358" s="160"/>
      <c r="CC1358" s="160"/>
      <c r="CD1358" s="160"/>
      <c r="CE1358" s="160"/>
      <c r="CF1358" s="160"/>
      <c r="CG1358" s="160"/>
      <c r="CH1358" s="160"/>
      <c r="CI1358" s="160"/>
      <c r="CJ1358" s="160">
        <v>143</v>
      </c>
      <c r="CK1358" s="160">
        <f>143*20999.48</f>
        <v>3002925.64</v>
      </c>
      <c r="CL1358" s="160"/>
      <c r="CM1358" s="160"/>
      <c r="CN1358" s="160"/>
      <c r="CO1358" s="160"/>
      <c r="CP1358" s="162">
        <v>143</v>
      </c>
      <c r="CQ1358" s="163">
        <f>143*36999.36</f>
        <v>5290908.4800000004</v>
      </c>
      <c r="CR1358" s="162">
        <v>143</v>
      </c>
      <c r="CS1358" s="163">
        <f>143*39700</f>
        <v>5677100</v>
      </c>
      <c r="CT1358" s="162"/>
      <c r="CU1358" s="163"/>
      <c r="CV1358" s="164">
        <f t="shared" si="183"/>
        <v>21978934.120000001</v>
      </c>
      <c r="CW1358" s="165"/>
      <c r="CX1358" s="166"/>
      <c r="CY1358" s="167">
        <v>143</v>
      </c>
      <c r="CZ1358" s="168">
        <f>143*85000</f>
        <v>12155000</v>
      </c>
      <c r="DA1358" s="169"/>
      <c r="DB1358" s="168"/>
      <c r="DC1358" s="165"/>
      <c r="DD1358" s="166"/>
      <c r="DE1358" s="71"/>
      <c r="DF1358" s="170"/>
      <c r="EO1358" s="353" t="str">
        <f t="shared" si="177"/>
        <v>BOYACA_PAZ DE RIO</v>
      </c>
      <c r="EP1358" s="350"/>
      <c r="EQ1358" s="350"/>
      <c r="ER1358" s="357"/>
      <c r="ES1358" s="350"/>
      <c r="ET1358" s="350"/>
      <c r="EU1358" s="350"/>
    </row>
    <row r="1359" spans="1:151" s="171" customFormat="1" ht="60" x14ac:dyDescent="0.2">
      <c r="A1359" s="242">
        <v>40470</v>
      </c>
      <c r="B1359" s="222" t="s">
        <v>1719</v>
      </c>
      <c r="C1359" s="222" t="s">
        <v>1987</v>
      </c>
      <c r="D1359" s="430" t="s">
        <v>2352</v>
      </c>
      <c r="E1359" s="107" t="str">
        <f>VLOOKUP(B1359&amp;C1359,Divipola!$C$2:$F$1138,4,FALSE)</f>
        <v>19693</v>
      </c>
      <c r="F1359" s="333"/>
      <c r="G1359" s="221"/>
      <c r="H1359" s="157"/>
      <c r="I1359" s="157"/>
      <c r="J1359" s="157"/>
      <c r="K1359" s="157"/>
      <c r="L1359" s="157"/>
      <c r="M1359" s="157"/>
      <c r="N1359" s="157"/>
      <c r="O1359" s="157"/>
      <c r="P1359" s="157"/>
      <c r="Q1359" s="157"/>
      <c r="R1359" s="157"/>
      <c r="S1359" s="157"/>
      <c r="T1359" s="157">
        <v>1</v>
      </c>
      <c r="U1359" s="157"/>
      <c r="V1359" s="158"/>
      <c r="W1359" s="182"/>
      <c r="X1359" s="1">
        <v>40513</v>
      </c>
      <c r="Y1359" s="78">
        <f t="shared" si="180"/>
        <v>0</v>
      </c>
      <c r="Z1359" s="78">
        <f t="shared" si="181"/>
        <v>0</v>
      </c>
      <c r="AA1359" s="78">
        <f t="shared" si="179"/>
        <v>0</v>
      </c>
      <c r="AB1359" s="78">
        <f t="shared" si="182"/>
        <v>0</v>
      </c>
      <c r="AC1359" s="78"/>
      <c r="AD1359" s="78">
        <v>50000000</v>
      </c>
      <c r="AE1359" s="80">
        <f t="shared" si="184"/>
        <v>50000000</v>
      </c>
      <c r="AF1359" s="82">
        <v>0</v>
      </c>
      <c r="AG1359" s="69">
        <v>40472</v>
      </c>
      <c r="AH1359" s="84">
        <v>57871</v>
      </c>
      <c r="AI1359" s="69" t="s">
        <v>2009</v>
      </c>
      <c r="AJ1359" s="25" t="s">
        <v>2010</v>
      </c>
      <c r="AK1359" s="65">
        <v>45388</v>
      </c>
      <c r="AL1359" s="176" t="s">
        <v>862</v>
      </c>
      <c r="AM1359" s="177" t="s">
        <v>1160</v>
      </c>
      <c r="AN1359" s="159"/>
      <c r="AO1359" s="160"/>
      <c r="AP1359" s="161"/>
      <c r="AQ1359" s="160"/>
      <c r="AR1359" s="160"/>
      <c r="AS1359" s="160"/>
      <c r="AT1359" s="160"/>
      <c r="AU1359" s="160"/>
      <c r="AV1359" s="160"/>
      <c r="AW1359" s="160"/>
      <c r="AX1359" s="160"/>
      <c r="AY1359" s="160"/>
      <c r="AZ1359" s="160"/>
      <c r="BA1359" s="160"/>
      <c r="BB1359" s="160"/>
      <c r="BC1359" s="160"/>
      <c r="BD1359" s="160"/>
      <c r="BE1359" s="160"/>
      <c r="BF1359" s="160"/>
      <c r="BG1359" s="160"/>
      <c r="BH1359" s="160"/>
      <c r="BI1359" s="160"/>
      <c r="BJ1359" s="160"/>
      <c r="BK1359" s="160"/>
      <c r="BL1359" s="160"/>
      <c r="BM1359" s="160"/>
      <c r="BN1359" s="160"/>
      <c r="BO1359" s="160"/>
      <c r="BP1359" s="160"/>
      <c r="BQ1359" s="160"/>
      <c r="BR1359" s="160"/>
      <c r="BS1359" s="160"/>
      <c r="BT1359" s="160"/>
      <c r="BU1359" s="160"/>
      <c r="BV1359" s="160"/>
      <c r="BW1359" s="160"/>
      <c r="BX1359" s="160"/>
      <c r="BY1359" s="160"/>
      <c r="BZ1359" s="160"/>
      <c r="CA1359" s="160"/>
      <c r="CB1359" s="160"/>
      <c r="CC1359" s="160"/>
      <c r="CD1359" s="160"/>
      <c r="CE1359" s="160"/>
      <c r="CF1359" s="160"/>
      <c r="CG1359" s="160"/>
      <c r="CH1359" s="160"/>
      <c r="CI1359" s="160"/>
      <c r="CJ1359" s="160"/>
      <c r="CK1359" s="160"/>
      <c r="CL1359" s="160"/>
      <c r="CM1359" s="160"/>
      <c r="CN1359" s="160"/>
      <c r="CO1359" s="160"/>
      <c r="CP1359" s="162"/>
      <c r="CQ1359" s="163"/>
      <c r="CR1359" s="162"/>
      <c r="CS1359" s="163"/>
      <c r="CT1359" s="162"/>
      <c r="CU1359" s="163"/>
      <c r="CV1359" s="164">
        <f t="shared" si="183"/>
        <v>0</v>
      </c>
      <c r="CW1359" s="165"/>
      <c r="CX1359" s="166"/>
      <c r="CY1359" s="167"/>
      <c r="CZ1359" s="168"/>
      <c r="DA1359" s="169"/>
      <c r="DB1359" s="168"/>
      <c r="DC1359" s="165"/>
      <c r="DD1359" s="166"/>
      <c r="DE1359" s="71">
        <v>4</v>
      </c>
      <c r="DF1359" s="170"/>
      <c r="EO1359" s="353" t="str">
        <f t="shared" si="177"/>
        <v>CAUCA_SAN SEBASTIAN</v>
      </c>
      <c r="EP1359" s="350"/>
      <c r="EQ1359" s="350"/>
      <c r="ER1359" s="357"/>
      <c r="ES1359" s="350"/>
      <c r="ET1359" s="350"/>
      <c r="EU1359" s="350"/>
    </row>
    <row r="1360" spans="1:151" s="171" customFormat="1" ht="38.25" x14ac:dyDescent="0.2">
      <c r="A1360" s="242">
        <v>40470</v>
      </c>
      <c r="B1360" s="222" t="s">
        <v>2007</v>
      </c>
      <c r="C1360" s="222" t="s">
        <v>13</v>
      </c>
      <c r="D1360" s="430" t="s">
        <v>837</v>
      </c>
      <c r="E1360" s="107" t="str">
        <f>VLOOKUP(B1360&amp;C1360,Divipola!$C$2:$F$1138,4,FALSE)</f>
        <v>25491</v>
      </c>
      <c r="F1360" s="333"/>
      <c r="G1360" s="221"/>
      <c r="H1360" s="157"/>
      <c r="I1360" s="157"/>
      <c r="J1360" s="157">
        <v>244</v>
      </c>
      <c r="K1360" s="157">
        <v>76</v>
      </c>
      <c r="L1360" s="157"/>
      <c r="M1360" s="157"/>
      <c r="N1360" s="157"/>
      <c r="O1360" s="157"/>
      <c r="P1360" s="157"/>
      <c r="Q1360" s="157"/>
      <c r="R1360" s="157"/>
      <c r="S1360" s="157"/>
      <c r="T1360" s="157"/>
      <c r="U1360" s="157"/>
      <c r="V1360" s="158"/>
      <c r="W1360" s="182"/>
      <c r="X1360" s="1"/>
      <c r="Y1360" s="78">
        <f t="shared" si="180"/>
        <v>0</v>
      </c>
      <c r="Z1360" s="78">
        <f t="shared" si="181"/>
        <v>0</v>
      </c>
      <c r="AA1360" s="78">
        <f t="shared" si="179"/>
        <v>0</v>
      </c>
      <c r="AB1360" s="78">
        <f t="shared" si="182"/>
        <v>0</v>
      </c>
      <c r="AC1360" s="78"/>
      <c r="AD1360" s="78">
        <v>0</v>
      </c>
      <c r="AE1360" s="80">
        <f t="shared" si="184"/>
        <v>0</v>
      </c>
      <c r="AF1360" s="82">
        <v>0</v>
      </c>
      <c r="AG1360" s="69">
        <v>40612</v>
      </c>
      <c r="AH1360" s="84"/>
      <c r="AI1360" s="69" t="s">
        <v>1984</v>
      </c>
      <c r="AJ1360" s="25" t="s">
        <v>1985</v>
      </c>
      <c r="AK1360" s="65"/>
      <c r="AL1360" s="176" t="s">
        <v>1257</v>
      </c>
      <c r="AM1360" s="173" t="s">
        <v>457</v>
      </c>
      <c r="AN1360" s="159"/>
      <c r="AO1360" s="160"/>
      <c r="AP1360" s="161"/>
      <c r="AQ1360" s="160"/>
      <c r="AR1360" s="160"/>
      <c r="AS1360" s="160"/>
      <c r="AT1360" s="160"/>
      <c r="AU1360" s="160"/>
      <c r="AV1360" s="160"/>
      <c r="AW1360" s="160"/>
      <c r="AX1360" s="160"/>
      <c r="AY1360" s="160"/>
      <c r="AZ1360" s="160"/>
      <c r="BA1360" s="160"/>
      <c r="BB1360" s="160"/>
      <c r="BC1360" s="160"/>
      <c r="BD1360" s="160"/>
      <c r="BE1360" s="160"/>
      <c r="BF1360" s="160"/>
      <c r="BG1360" s="160"/>
      <c r="BH1360" s="160"/>
      <c r="BI1360" s="160"/>
      <c r="BJ1360" s="160"/>
      <c r="BK1360" s="160"/>
      <c r="BL1360" s="160"/>
      <c r="BM1360" s="160"/>
      <c r="BN1360" s="160"/>
      <c r="BO1360" s="160"/>
      <c r="BP1360" s="160"/>
      <c r="BQ1360" s="160"/>
      <c r="BR1360" s="160"/>
      <c r="BS1360" s="160"/>
      <c r="BT1360" s="160"/>
      <c r="BU1360" s="160"/>
      <c r="BV1360" s="160"/>
      <c r="BW1360" s="160"/>
      <c r="BX1360" s="160"/>
      <c r="BY1360" s="160"/>
      <c r="BZ1360" s="160"/>
      <c r="CA1360" s="160"/>
      <c r="CB1360" s="160"/>
      <c r="CC1360" s="160"/>
      <c r="CD1360" s="160"/>
      <c r="CE1360" s="160"/>
      <c r="CF1360" s="160"/>
      <c r="CG1360" s="160"/>
      <c r="CH1360" s="160"/>
      <c r="CI1360" s="160"/>
      <c r="CJ1360" s="160"/>
      <c r="CK1360" s="160"/>
      <c r="CL1360" s="160"/>
      <c r="CM1360" s="160"/>
      <c r="CN1360" s="160"/>
      <c r="CO1360" s="160"/>
      <c r="CP1360" s="162"/>
      <c r="CQ1360" s="163"/>
      <c r="CR1360" s="162"/>
      <c r="CS1360" s="163"/>
      <c r="CT1360" s="162"/>
      <c r="CU1360" s="163"/>
      <c r="CV1360" s="164">
        <f t="shared" si="183"/>
        <v>0</v>
      </c>
      <c r="CW1360" s="165"/>
      <c r="CX1360" s="166"/>
      <c r="CY1360" s="167"/>
      <c r="CZ1360" s="168"/>
      <c r="DA1360" s="169"/>
      <c r="DB1360" s="168"/>
      <c r="DC1360" s="165"/>
      <c r="DD1360" s="166"/>
      <c r="DE1360" s="71"/>
      <c r="DF1360" s="170"/>
      <c r="EO1360" s="353" t="str">
        <f t="shared" si="177"/>
        <v>CUNDINAMARCA_NOCAIMA</v>
      </c>
      <c r="EP1360" s="350"/>
      <c r="EQ1360" s="350"/>
      <c r="ER1360" s="357"/>
      <c r="ES1360" s="350"/>
      <c r="ET1360" s="350"/>
      <c r="EU1360" s="350"/>
    </row>
    <row r="1361" spans="1:151" s="171" customFormat="1" ht="45" x14ac:dyDescent="0.2">
      <c r="A1361" s="242">
        <v>40470</v>
      </c>
      <c r="B1361" s="222" t="s">
        <v>1333</v>
      </c>
      <c r="C1361" s="222" t="s">
        <v>226</v>
      </c>
      <c r="D1361" s="430" t="s">
        <v>2307</v>
      </c>
      <c r="E1361" s="107" t="str">
        <f>VLOOKUP(B1361&amp;C1361,Divipola!$C$2:$F$1138,4,FALSE)</f>
        <v>41001</v>
      </c>
      <c r="F1361" s="333"/>
      <c r="G1361" s="221"/>
      <c r="H1361" s="157"/>
      <c r="I1361" s="157"/>
      <c r="J1361" s="157">
        <v>5</v>
      </c>
      <c r="K1361" s="157">
        <v>1</v>
      </c>
      <c r="L1361" s="157"/>
      <c r="M1361" s="157">
        <v>1</v>
      </c>
      <c r="N1361" s="157"/>
      <c r="O1361" s="157"/>
      <c r="P1361" s="157"/>
      <c r="Q1361" s="157"/>
      <c r="R1361" s="157"/>
      <c r="S1361" s="157"/>
      <c r="T1361" s="157"/>
      <c r="U1361" s="157"/>
      <c r="V1361" s="158"/>
      <c r="W1361" s="182"/>
      <c r="X1361" s="1"/>
      <c r="Y1361" s="78">
        <f t="shared" si="180"/>
        <v>0</v>
      </c>
      <c r="Z1361" s="78">
        <f t="shared" si="181"/>
        <v>0</v>
      </c>
      <c r="AA1361" s="78">
        <f t="shared" si="179"/>
        <v>0</v>
      </c>
      <c r="AB1361" s="78">
        <f t="shared" si="182"/>
        <v>0</v>
      </c>
      <c r="AC1361" s="78"/>
      <c r="AD1361" s="78">
        <v>0</v>
      </c>
      <c r="AE1361" s="80">
        <f t="shared" si="184"/>
        <v>0</v>
      </c>
      <c r="AF1361" s="82">
        <v>0</v>
      </c>
      <c r="AG1361" s="69">
        <v>40470</v>
      </c>
      <c r="AH1361" s="84"/>
      <c r="AI1361" s="69" t="s">
        <v>1984</v>
      </c>
      <c r="AJ1361" s="276" t="s">
        <v>1985</v>
      </c>
      <c r="AK1361" s="65"/>
      <c r="AL1361" s="272" t="s">
        <v>311</v>
      </c>
      <c r="AM1361" s="173" t="s">
        <v>2966</v>
      </c>
      <c r="AN1361" s="159"/>
      <c r="AO1361" s="160"/>
      <c r="AP1361" s="161"/>
      <c r="AQ1361" s="160"/>
      <c r="AR1361" s="160"/>
      <c r="AS1361" s="160"/>
      <c r="AT1361" s="160"/>
      <c r="AU1361" s="160"/>
      <c r="AV1361" s="160"/>
      <c r="AW1361" s="160"/>
      <c r="AX1361" s="160"/>
      <c r="AY1361" s="160"/>
      <c r="AZ1361" s="160"/>
      <c r="BA1361" s="160"/>
      <c r="BB1361" s="160"/>
      <c r="BC1361" s="160"/>
      <c r="BD1361" s="160"/>
      <c r="BE1361" s="160"/>
      <c r="BF1361" s="160"/>
      <c r="BG1361" s="160"/>
      <c r="BH1361" s="160"/>
      <c r="BI1361" s="160"/>
      <c r="BJ1361" s="160"/>
      <c r="BK1361" s="160"/>
      <c r="BL1361" s="160"/>
      <c r="BM1361" s="160"/>
      <c r="BN1361" s="160"/>
      <c r="BO1361" s="160"/>
      <c r="BP1361" s="160"/>
      <c r="BQ1361" s="160"/>
      <c r="BR1361" s="160"/>
      <c r="BS1361" s="160"/>
      <c r="BT1361" s="160"/>
      <c r="BU1361" s="160"/>
      <c r="BV1361" s="160"/>
      <c r="BW1361" s="160"/>
      <c r="BX1361" s="160"/>
      <c r="BY1361" s="160"/>
      <c r="BZ1361" s="160"/>
      <c r="CA1361" s="160"/>
      <c r="CB1361" s="160"/>
      <c r="CC1361" s="160"/>
      <c r="CD1361" s="160"/>
      <c r="CE1361" s="160"/>
      <c r="CF1361" s="160"/>
      <c r="CG1361" s="160"/>
      <c r="CH1361" s="160"/>
      <c r="CI1361" s="160"/>
      <c r="CJ1361" s="160"/>
      <c r="CK1361" s="160"/>
      <c r="CL1361" s="160"/>
      <c r="CM1361" s="160"/>
      <c r="CN1361" s="160"/>
      <c r="CO1361" s="160"/>
      <c r="CP1361" s="162"/>
      <c r="CQ1361" s="163"/>
      <c r="CR1361" s="162"/>
      <c r="CS1361" s="163"/>
      <c r="CT1361" s="162"/>
      <c r="CU1361" s="163"/>
      <c r="CV1361" s="164">
        <f t="shared" si="183"/>
        <v>0</v>
      </c>
      <c r="CW1361" s="165"/>
      <c r="CX1361" s="166"/>
      <c r="CY1361" s="167"/>
      <c r="CZ1361" s="168"/>
      <c r="DA1361" s="169"/>
      <c r="DB1361" s="168"/>
      <c r="DC1361" s="165"/>
      <c r="DD1361" s="166"/>
      <c r="DE1361" s="71"/>
      <c r="DF1361" s="170"/>
      <c r="EO1361" s="353" t="str">
        <f t="shared" si="177"/>
        <v>HUILA_NEIVA</v>
      </c>
      <c r="EP1361" s="350"/>
      <c r="EQ1361" s="350"/>
      <c r="ER1361" s="357"/>
      <c r="ES1361" s="350"/>
      <c r="ET1361" s="350"/>
      <c r="EU1361" s="350"/>
    </row>
    <row r="1362" spans="1:151" s="171" customFormat="1" ht="45" x14ac:dyDescent="0.2">
      <c r="A1362" s="242">
        <v>40470</v>
      </c>
      <c r="B1362" s="222" t="s">
        <v>1333</v>
      </c>
      <c r="C1362" s="222" t="s">
        <v>1432</v>
      </c>
      <c r="D1362" s="430" t="s">
        <v>837</v>
      </c>
      <c r="E1362" s="107" t="str">
        <f>VLOOKUP(B1362&amp;C1362,Divipola!$C$2:$F$1138,4,FALSE)</f>
        <v>41807</v>
      </c>
      <c r="F1362" s="333"/>
      <c r="G1362" s="221"/>
      <c r="H1362" s="157"/>
      <c r="I1362" s="157"/>
      <c r="J1362" s="157">
        <v>11</v>
      </c>
      <c r="K1362" s="157">
        <v>2</v>
      </c>
      <c r="L1362" s="157"/>
      <c r="M1362" s="157">
        <v>2</v>
      </c>
      <c r="N1362" s="157"/>
      <c r="O1362" s="157"/>
      <c r="P1362" s="157"/>
      <c r="Q1362" s="157"/>
      <c r="R1362" s="157"/>
      <c r="S1362" s="157"/>
      <c r="T1362" s="157"/>
      <c r="U1362" s="157"/>
      <c r="V1362" s="158"/>
      <c r="W1362" s="182"/>
      <c r="X1362" s="1"/>
      <c r="Y1362" s="78">
        <f t="shared" si="180"/>
        <v>0</v>
      </c>
      <c r="Z1362" s="78">
        <f t="shared" si="181"/>
        <v>0</v>
      </c>
      <c r="AA1362" s="78">
        <f t="shared" si="179"/>
        <v>0</v>
      </c>
      <c r="AB1362" s="78">
        <f t="shared" si="182"/>
        <v>0</v>
      </c>
      <c r="AC1362" s="78"/>
      <c r="AD1362" s="78">
        <v>0</v>
      </c>
      <c r="AE1362" s="80">
        <f t="shared" si="184"/>
        <v>0</v>
      </c>
      <c r="AF1362" s="82">
        <v>0</v>
      </c>
      <c r="AG1362" s="69">
        <v>40470</v>
      </c>
      <c r="AH1362" s="84"/>
      <c r="AI1362" s="69" t="s">
        <v>1984</v>
      </c>
      <c r="AJ1362" s="276" t="s">
        <v>1985</v>
      </c>
      <c r="AK1362" s="65"/>
      <c r="AL1362" s="272" t="s">
        <v>311</v>
      </c>
      <c r="AM1362" s="173" t="s">
        <v>2969</v>
      </c>
      <c r="AN1362" s="159"/>
      <c r="AO1362" s="160"/>
      <c r="AP1362" s="161"/>
      <c r="AQ1362" s="160"/>
      <c r="AR1362" s="160"/>
      <c r="AS1362" s="160"/>
      <c r="AT1362" s="160"/>
      <c r="AU1362" s="160"/>
      <c r="AV1362" s="160"/>
      <c r="AW1362" s="160"/>
      <c r="AX1362" s="160"/>
      <c r="AY1362" s="160"/>
      <c r="AZ1362" s="160"/>
      <c r="BA1362" s="160"/>
      <c r="BB1362" s="160"/>
      <c r="BC1362" s="160"/>
      <c r="BD1362" s="160"/>
      <c r="BE1362" s="160"/>
      <c r="BF1362" s="160"/>
      <c r="BG1362" s="160"/>
      <c r="BH1362" s="160"/>
      <c r="BI1362" s="160"/>
      <c r="BJ1362" s="160"/>
      <c r="BK1362" s="160"/>
      <c r="BL1362" s="160"/>
      <c r="BM1362" s="160"/>
      <c r="BN1362" s="160"/>
      <c r="BO1362" s="160"/>
      <c r="BP1362" s="160"/>
      <c r="BQ1362" s="160"/>
      <c r="BR1362" s="160"/>
      <c r="BS1362" s="160"/>
      <c r="BT1362" s="160"/>
      <c r="BU1362" s="160"/>
      <c r="BV1362" s="160"/>
      <c r="BW1362" s="160"/>
      <c r="BX1362" s="160"/>
      <c r="BY1362" s="160"/>
      <c r="BZ1362" s="160"/>
      <c r="CA1362" s="160"/>
      <c r="CB1362" s="160"/>
      <c r="CC1362" s="160"/>
      <c r="CD1362" s="160"/>
      <c r="CE1362" s="160"/>
      <c r="CF1362" s="160"/>
      <c r="CG1362" s="160"/>
      <c r="CH1362" s="160"/>
      <c r="CI1362" s="160"/>
      <c r="CJ1362" s="160"/>
      <c r="CK1362" s="160"/>
      <c r="CL1362" s="160"/>
      <c r="CM1362" s="160"/>
      <c r="CN1362" s="160"/>
      <c r="CO1362" s="160"/>
      <c r="CP1362" s="162"/>
      <c r="CQ1362" s="163"/>
      <c r="CR1362" s="162"/>
      <c r="CS1362" s="163"/>
      <c r="CT1362" s="162"/>
      <c r="CU1362" s="163"/>
      <c r="CV1362" s="164">
        <f t="shared" si="183"/>
        <v>0</v>
      </c>
      <c r="CW1362" s="165"/>
      <c r="CX1362" s="166"/>
      <c r="CY1362" s="167"/>
      <c r="CZ1362" s="168"/>
      <c r="DA1362" s="169"/>
      <c r="DB1362" s="168"/>
      <c r="DC1362" s="165"/>
      <c r="DD1362" s="166"/>
      <c r="DE1362" s="71"/>
      <c r="DF1362" s="170"/>
      <c r="EO1362" s="353" t="str">
        <f t="shared" si="177"/>
        <v>HUILA_TIMANA</v>
      </c>
      <c r="EP1362" s="350"/>
      <c r="EQ1362" s="350"/>
      <c r="ER1362" s="357"/>
      <c r="ES1362" s="350"/>
      <c r="ET1362" s="350"/>
      <c r="EU1362" s="350"/>
    </row>
    <row r="1363" spans="1:151" s="171" customFormat="1" ht="72" x14ac:dyDescent="0.2">
      <c r="A1363" s="242">
        <v>40470</v>
      </c>
      <c r="B1363" s="222" t="s">
        <v>2372</v>
      </c>
      <c r="C1363" s="222" t="s">
        <v>113</v>
      </c>
      <c r="D1363" s="430" t="s">
        <v>837</v>
      </c>
      <c r="E1363" s="107" t="str">
        <f>VLOOKUP(B1363&amp;C1363,Divipola!$C$2:$F$1138,4,FALSE)</f>
        <v>70400</v>
      </c>
      <c r="F1363" s="333"/>
      <c r="G1363" s="221"/>
      <c r="H1363" s="157"/>
      <c r="I1363" s="157"/>
      <c r="J1363" s="157">
        <f>550*5</f>
        <v>2750</v>
      </c>
      <c r="K1363" s="157">
        <v>550</v>
      </c>
      <c r="L1363" s="157"/>
      <c r="M1363" s="157"/>
      <c r="N1363" s="157"/>
      <c r="O1363" s="157"/>
      <c r="P1363" s="157"/>
      <c r="Q1363" s="157"/>
      <c r="R1363" s="157"/>
      <c r="S1363" s="157"/>
      <c r="T1363" s="157"/>
      <c r="U1363" s="157"/>
      <c r="V1363" s="158"/>
      <c r="W1363" s="182"/>
      <c r="X1363" s="1">
        <v>40530</v>
      </c>
      <c r="Y1363" s="78">
        <f t="shared" si="180"/>
        <v>16300000</v>
      </c>
      <c r="Z1363" s="78">
        <f t="shared" si="181"/>
        <v>46750000</v>
      </c>
      <c r="AA1363" s="78">
        <f t="shared" si="179"/>
        <v>0</v>
      </c>
      <c r="AB1363" s="78">
        <f t="shared" si="182"/>
        <v>0</v>
      </c>
      <c r="AC1363" s="78"/>
      <c r="AD1363" s="78">
        <v>184762510.58000001</v>
      </c>
      <c r="AE1363" s="80">
        <f t="shared" si="184"/>
        <v>247812510.58000001</v>
      </c>
      <c r="AF1363" s="82">
        <v>0</v>
      </c>
      <c r="AG1363" s="69">
        <v>40484</v>
      </c>
      <c r="AH1363" s="84">
        <v>61168</v>
      </c>
      <c r="AI1363" s="69" t="s">
        <v>2009</v>
      </c>
      <c r="AJ1363" s="25" t="s">
        <v>2010</v>
      </c>
      <c r="AK1363" s="254" t="s">
        <v>3841</v>
      </c>
      <c r="AL1363" s="185" t="s">
        <v>2182</v>
      </c>
      <c r="AM1363" s="173" t="s">
        <v>3842</v>
      </c>
      <c r="AN1363" s="159"/>
      <c r="AO1363" s="160"/>
      <c r="AP1363" s="161"/>
      <c r="AQ1363" s="160"/>
      <c r="AR1363" s="160"/>
      <c r="AS1363" s="160"/>
      <c r="AT1363" s="160"/>
      <c r="AU1363" s="160"/>
      <c r="AV1363" s="160"/>
      <c r="AW1363" s="160"/>
      <c r="AX1363" s="160"/>
      <c r="AY1363" s="160"/>
      <c r="AZ1363" s="160">
        <v>200</v>
      </c>
      <c r="BA1363" s="160">
        <f>200*56000</f>
        <v>11200000</v>
      </c>
      <c r="BB1363" s="160"/>
      <c r="BC1363" s="160"/>
      <c r="BD1363" s="160"/>
      <c r="BE1363" s="160"/>
      <c r="BF1363" s="160"/>
      <c r="BG1363" s="160"/>
      <c r="BH1363" s="160"/>
      <c r="BI1363" s="160"/>
      <c r="BJ1363" s="160"/>
      <c r="BK1363" s="160"/>
      <c r="BL1363" s="160">
        <v>200</v>
      </c>
      <c r="BM1363" s="160">
        <f>200*25500</f>
        <v>5100000</v>
      </c>
      <c r="BN1363" s="160"/>
      <c r="BO1363" s="160"/>
      <c r="BP1363" s="160"/>
      <c r="BQ1363" s="160"/>
      <c r="BR1363" s="160"/>
      <c r="BS1363" s="160"/>
      <c r="BT1363" s="160"/>
      <c r="BU1363" s="160"/>
      <c r="BV1363" s="160"/>
      <c r="BW1363" s="160"/>
      <c r="BX1363" s="160"/>
      <c r="BY1363" s="160"/>
      <c r="BZ1363" s="160"/>
      <c r="CA1363" s="160"/>
      <c r="CB1363" s="160"/>
      <c r="CC1363" s="160"/>
      <c r="CD1363" s="160"/>
      <c r="CE1363" s="160"/>
      <c r="CF1363" s="160"/>
      <c r="CG1363" s="160"/>
      <c r="CH1363" s="160"/>
      <c r="CI1363" s="160"/>
      <c r="CJ1363" s="160"/>
      <c r="CK1363" s="160"/>
      <c r="CL1363" s="160"/>
      <c r="CM1363" s="160"/>
      <c r="CN1363" s="160"/>
      <c r="CO1363" s="160"/>
      <c r="CP1363" s="162"/>
      <c r="CQ1363" s="163"/>
      <c r="CR1363" s="162"/>
      <c r="CS1363" s="163"/>
      <c r="CT1363" s="162"/>
      <c r="CU1363" s="163"/>
      <c r="CV1363" s="164">
        <f t="shared" si="183"/>
        <v>16300000</v>
      </c>
      <c r="CW1363" s="165"/>
      <c r="CX1363" s="166"/>
      <c r="CY1363" s="167">
        <v>550</v>
      </c>
      <c r="CZ1363" s="168">
        <f>550*85000</f>
        <v>46750000</v>
      </c>
      <c r="DA1363" s="169"/>
      <c r="DB1363" s="168"/>
      <c r="DC1363" s="165"/>
      <c r="DD1363" s="166"/>
      <c r="DE1363" s="71">
        <v>4</v>
      </c>
      <c r="DF1363" s="170">
        <v>1378</v>
      </c>
      <c r="EO1363" s="353" t="str">
        <f t="shared" si="177"/>
        <v>SUCRE_LA UNION</v>
      </c>
      <c r="EP1363" s="350"/>
      <c r="EQ1363" s="350"/>
      <c r="ER1363" s="357"/>
      <c r="ES1363" s="350"/>
      <c r="ET1363" s="350"/>
      <c r="EU1363" s="350"/>
    </row>
    <row r="1364" spans="1:151" s="171" customFormat="1" ht="60" x14ac:dyDescent="0.2">
      <c r="A1364" s="242">
        <v>40470</v>
      </c>
      <c r="B1364" s="222" t="s">
        <v>2372</v>
      </c>
      <c r="C1364" s="222" t="s">
        <v>2397</v>
      </c>
      <c r="D1364" s="430" t="s">
        <v>837</v>
      </c>
      <c r="E1364" s="107" t="str">
        <f>VLOOKUP(B1364&amp;C1364,Divipola!$C$2:$F$1138,4,FALSE)</f>
        <v>70418</v>
      </c>
      <c r="F1364" s="333"/>
      <c r="G1364" s="221"/>
      <c r="H1364" s="157"/>
      <c r="I1364" s="157"/>
      <c r="J1364" s="157"/>
      <c r="K1364" s="157"/>
      <c r="L1364" s="157"/>
      <c r="M1364" s="157"/>
      <c r="N1364" s="157"/>
      <c r="O1364" s="157"/>
      <c r="P1364" s="157"/>
      <c r="Q1364" s="157"/>
      <c r="R1364" s="157"/>
      <c r="S1364" s="157"/>
      <c r="T1364" s="157"/>
      <c r="U1364" s="157"/>
      <c r="V1364" s="158"/>
      <c r="W1364" s="182"/>
      <c r="X1364" s="1">
        <v>40520</v>
      </c>
      <c r="Y1364" s="78">
        <f t="shared" si="180"/>
        <v>0</v>
      </c>
      <c r="Z1364" s="78">
        <f t="shared" si="181"/>
        <v>0</v>
      </c>
      <c r="AA1364" s="78">
        <f t="shared" si="179"/>
        <v>0</v>
      </c>
      <c r="AB1364" s="78">
        <f t="shared" si="182"/>
        <v>0</v>
      </c>
      <c r="AC1364" s="78"/>
      <c r="AD1364" s="78">
        <v>94694816</v>
      </c>
      <c r="AE1364" s="80">
        <f t="shared" si="184"/>
        <v>94694816</v>
      </c>
      <c r="AF1364" s="82">
        <v>0</v>
      </c>
      <c r="AG1364" s="69">
        <v>40470</v>
      </c>
      <c r="AH1364" s="84"/>
      <c r="AI1364" s="69" t="s">
        <v>2009</v>
      </c>
      <c r="AJ1364" s="25" t="s">
        <v>2010</v>
      </c>
      <c r="AK1364" s="65">
        <v>46552</v>
      </c>
      <c r="AL1364" s="176" t="s">
        <v>862</v>
      </c>
      <c r="AM1364" s="177" t="s">
        <v>3014</v>
      </c>
      <c r="AN1364" s="159"/>
      <c r="AO1364" s="160"/>
      <c r="AP1364" s="161"/>
      <c r="AQ1364" s="160"/>
      <c r="AR1364" s="160"/>
      <c r="AS1364" s="160"/>
      <c r="AT1364" s="160"/>
      <c r="AU1364" s="160"/>
      <c r="AV1364" s="160"/>
      <c r="AW1364" s="160"/>
      <c r="AX1364" s="160"/>
      <c r="AY1364" s="160"/>
      <c r="AZ1364" s="160"/>
      <c r="BA1364" s="160"/>
      <c r="BB1364" s="160"/>
      <c r="BC1364" s="160"/>
      <c r="BD1364" s="160"/>
      <c r="BE1364" s="160"/>
      <c r="BF1364" s="160"/>
      <c r="BG1364" s="160"/>
      <c r="BH1364" s="160"/>
      <c r="BI1364" s="160"/>
      <c r="BJ1364" s="160"/>
      <c r="BK1364" s="160"/>
      <c r="BL1364" s="160"/>
      <c r="BM1364" s="160"/>
      <c r="BN1364" s="160"/>
      <c r="BO1364" s="160"/>
      <c r="BP1364" s="160"/>
      <c r="BQ1364" s="160"/>
      <c r="BR1364" s="160"/>
      <c r="BS1364" s="160"/>
      <c r="BT1364" s="160"/>
      <c r="BU1364" s="160"/>
      <c r="BV1364" s="160"/>
      <c r="BW1364" s="160"/>
      <c r="BX1364" s="160"/>
      <c r="BY1364" s="160"/>
      <c r="BZ1364" s="160"/>
      <c r="CA1364" s="160"/>
      <c r="CB1364" s="160"/>
      <c r="CC1364" s="160"/>
      <c r="CD1364" s="160"/>
      <c r="CE1364" s="160"/>
      <c r="CF1364" s="160"/>
      <c r="CG1364" s="160"/>
      <c r="CH1364" s="160"/>
      <c r="CI1364" s="160"/>
      <c r="CJ1364" s="160"/>
      <c r="CK1364" s="160"/>
      <c r="CL1364" s="160"/>
      <c r="CM1364" s="160"/>
      <c r="CN1364" s="160"/>
      <c r="CO1364" s="160"/>
      <c r="CP1364" s="162"/>
      <c r="CQ1364" s="163"/>
      <c r="CR1364" s="162"/>
      <c r="CS1364" s="163"/>
      <c r="CT1364" s="162"/>
      <c r="CU1364" s="163"/>
      <c r="CV1364" s="164">
        <f t="shared" si="183"/>
        <v>0</v>
      </c>
      <c r="CW1364" s="165"/>
      <c r="CX1364" s="166"/>
      <c r="CY1364" s="167"/>
      <c r="CZ1364" s="168"/>
      <c r="DA1364" s="169"/>
      <c r="DB1364" s="168"/>
      <c r="DC1364" s="165"/>
      <c r="DD1364" s="166"/>
      <c r="DE1364" s="71">
        <v>4</v>
      </c>
      <c r="DF1364" s="170"/>
      <c r="EO1364" s="353" t="str">
        <f t="shared" si="177"/>
        <v>SUCRE_LOS PALMITOS</v>
      </c>
      <c r="EP1364" s="350"/>
      <c r="EQ1364" s="350"/>
      <c r="ER1364" s="357"/>
      <c r="ES1364" s="350"/>
      <c r="ET1364" s="350"/>
      <c r="EU1364" s="350"/>
    </row>
    <row r="1365" spans="1:151" s="171" customFormat="1" ht="51" x14ac:dyDescent="0.2">
      <c r="A1365" s="242">
        <v>40470</v>
      </c>
      <c r="B1365" s="222" t="s">
        <v>1462</v>
      </c>
      <c r="C1365" s="222" t="s">
        <v>865</v>
      </c>
      <c r="D1365" s="427" t="s">
        <v>2307</v>
      </c>
      <c r="E1365" s="107" t="str">
        <f>VLOOKUP(B1365&amp;C1365,Divipola!$C$2:$F$1138,4,FALSE)</f>
        <v>76243</v>
      </c>
      <c r="F1365" s="330"/>
      <c r="G1365" s="221"/>
      <c r="H1365" s="157"/>
      <c r="I1365" s="157"/>
      <c r="J1365" s="157"/>
      <c r="K1365" s="157"/>
      <c r="L1365" s="157"/>
      <c r="M1365" s="157"/>
      <c r="N1365" s="157">
        <v>1</v>
      </c>
      <c r="O1365" s="157"/>
      <c r="P1365" s="157"/>
      <c r="Q1365" s="157"/>
      <c r="R1365" s="157"/>
      <c r="S1365" s="157"/>
      <c r="T1365" s="157"/>
      <c r="U1365" s="157"/>
      <c r="V1365" s="158"/>
      <c r="W1365" s="182"/>
      <c r="X1365" s="1"/>
      <c r="Y1365" s="78">
        <f t="shared" si="180"/>
        <v>0</v>
      </c>
      <c r="Z1365" s="78">
        <f t="shared" si="181"/>
        <v>0</v>
      </c>
      <c r="AA1365" s="78">
        <f t="shared" si="179"/>
        <v>0</v>
      </c>
      <c r="AB1365" s="78">
        <f t="shared" si="182"/>
        <v>0</v>
      </c>
      <c r="AC1365" s="78"/>
      <c r="AD1365" s="78">
        <v>0</v>
      </c>
      <c r="AE1365" s="80">
        <f t="shared" si="184"/>
        <v>0</v>
      </c>
      <c r="AF1365" s="82">
        <v>0</v>
      </c>
      <c r="AG1365" s="69">
        <v>40471</v>
      </c>
      <c r="AH1365" s="84"/>
      <c r="AI1365" s="69" t="s">
        <v>1984</v>
      </c>
      <c r="AJ1365" s="25" t="s">
        <v>1985</v>
      </c>
      <c r="AK1365" s="65"/>
      <c r="AL1365" s="176" t="s">
        <v>1257</v>
      </c>
      <c r="AM1365" s="173" t="s">
        <v>732</v>
      </c>
      <c r="AN1365" s="159"/>
      <c r="AO1365" s="160"/>
      <c r="AP1365" s="161"/>
      <c r="AQ1365" s="160"/>
      <c r="AR1365" s="160"/>
      <c r="AS1365" s="160"/>
      <c r="AT1365" s="160"/>
      <c r="AU1365" s="160"/>
      <c r="AV1365" s="160"/>
      <c r="AW1365" s="160"/>
      <c r="AX1365" s="160"/>
      <c r="AY1365" s="160"/>
      <c r="AZ1365" s="160"/>
      <c r="BA1365" s="160"/>
      <c r="BB1365" s="160"/>
      <c r="BC1365" s="160"/>
      <c r="BD1365" s="160"/>
      <c r="BE1365" s="160"/>
      <c r="BF1365" s="160"/>
      <c r="BG1365" s="160"/>
      <c r="BH1365" s="160"/>
      <c r="BI1365" s="160"/>
      <c r="BJ1365" s="160"/>
      <c r="BK1365" s="160"/>
      <c r="BL1365" s="160"/>
      <c r="BM1365" s="160"/>
      <c r="BN1365" s="160"/>
      <c r="BO1365" s="160"/>
      <c r="BP1365" s="160"/>
      <c r="BQ1365" s="160"/>
      <c r="BR1365" s="160"/>
      <c r="BS1365" s="160"/>
      <c r="BT1365" s="160"/>
      <c r="BU1365" s="160"/>
      <c r="BV1365" s="160"/>
      <c r="BW1365" s="160"/>
      <c r="BX1365" s="160"/>
      <c r="BY1365" s="160"/>
      <c r="BZ1365" s="160"/>
      <c r="CA1365" s="160"/>
      <c r="CB1365" s="160"/>
      <c r="CC1365" s="160"/>
      <c r="CD1365" s="160"/>
      <c r="CE1365" s="160"/>
      <c r="CF1365" s="160"/>
      <c r="CG1365" s="160"/>
      <c r="CH1365" s="160"/>
      <c r="CI1365" s="160"/>
      <c r="CJ1365" s="160"/>
      <c r="CK1365" s="160"/>
      <c r="CL1365" s="160"/>
      <c r="CM1365" s="160"/>
      <c r="CN1365" s="160"/>
      <c r="CO1365" s="160"/>
      <c r="CP1365" s="162"/>
      <c r="CQ1365" s="163"/>
      <c r="CR1365" s="162"/>
      <c r="CS1365" s="163"/>
      <c r="CT1365" s="162"/>
      <c r="CU1365" s="163"/>
      <c r="CV1365" s="164">
        <f t="shared" si="183"/>
        <v>0</v>
      </c>
      <c r="CW1365" s="165"/>
      <c r="CX1365" s="166"/>
      <c r="CY1365" s="167"/>
      <c r="CZ1365" s="168"/>
      <c r="DA1365" s="169"/>
      <c r="DB1365" s="168"/>
      <c r="DC1365" s="165"/>
      <c r="DD1365" s="166"/>
      <c r="DE1365" s="71"/>
      <c r="DF1365" s="170"/>
      <c r="EO1365" s="353" t="str">
        <f t="shared" si="177"/>
        <v>VALLE DEL CAUCA_EL AGUILA</v>
      </c>
      <c r="EP1365" s="350"/>
      <c r="EQ1365" s="350"/>
      <c r="ER1365" s="357"/>
      <c r="ES1365" s="350"/>
      <c r="ET1365" s="350"/>
      <c r="EU1365" s="350"/>
    </row>
    <row r="1366" spans="1:151" s="171" customFormat="1" ht="51" x14ac:dyDescent="0.2">
      <c r="A1366" s="242">
        <v>40470</v>
      </c>
      <c r="B1366" s="222" t="s">
        <v>1462</v>
      </c>
      <c r="C1366" s="222" t="s">
        <v>1481</v>
      </c>
      <c r="D1366" s="430" t="s">
        <v>2209</v>
      </c>
      <c r="E1366" s="107" t="str">
        <f>VLOOKUP(B1366&amp;C1366,Divipola!$C$2:$F$1138,4,FALSE)</f>
        <v>76736</v>
      </c>
      <c r="F1366" s="333"/>
      <c r="G1366" s="221"/>
      <c r="H1366" s="157"/>
      <c r="I1366" s="157"/>
      <c r="J1366" s="157">
        <v>270</v>
      </c>
      <c r="K1366" s="157">
        <v>60</v>
      </c>
      <c r="L1366" s="157"/>
      <c r="M1366" s="157"/>
      <c r="N1366" s="157">
        <v>13</v>
      </c>
      <c r="O1366" s="157"/>
      <c r="P1366" s="157"/>
      <c r="Q1366" s="157"/>
      <c r="R1366" s="157"/>
      <c r="S1366" s="157"/>
      <c r="T1366" s="157">
        <v>5</v>
      </c>
      <c r="U1366" s="157">
        <v>1</v>
      </c>
      <c r="V1366" s="158"/>
      <c r="W1366" s="182" t="s">
        <v>1483</v>
      </c>
      <c r="X1366" s="1"/>
      <c r="Y1366" s="78">
        <f t="shared" si="180"/>
        <v>0</v>
      </c>
      <c r="Z1366" s="78">
        <f t="shared" si="181"/>
        <v>0</v>
      </c>
      <c r="AA1366" s="78">
        <f t="shared" si="179"/>
        <v>0</v>
      </c>
      <c r="AB1366" s="78">
        <f t="shared" si="182"/>
        <v>0</v>
      </c>
      <c r="AC1366" s="78"/>
      <c r="AD1366" s="78">
        <v>0</v>
      </c>
      <c r="AE1366" s="80">
        <f t="shared" si="184"/>
        <v>0</v>
      </c>
      <c r="AF1366" s="82">
        <v>0</v>
      </c>
      <c r="AG1366" s="69">
        <v>40476</v>
      </c>
      <c r="AH1366" s="84"/>
      <c r="AI1366" s="69" t="s">
        <v>2009</v>
      </c>
      <c r="AJ1366" s="25" t="s">
        <v>2010</v>
      </c>
      <c r="AK1366" s="65"/>
      <c r="AL1366" s="184" t="s">
        <v>1831</v>
      </c>
      <c r="AM1366" s="173" t="s">
        <v>1482</v>
      </c>
      <c r="AN1366" s="159"/>
      <c r="AO1366" s="160"/>
      <c r="AP1366" s="161"/>
      <c r="AQ1366" s="160"/>
      <c r="AR1366" s="160"/>
      <c r="AS1366" s="160"/>
      <c r="AT1366" s="160"/>
      <c r="AU1366" s="160"/>
      <c r="AV1366" s="160"/>
      <c r="AW1366" s="160"/>
      <c r="AX1366" s="160"/>
      <c r="AY1366" s="160"/>
      <c r="AZ1366" s="160"/>
      <c r="BA1366" s="160"/>
      <c r="BB1366" s="160"/>
      <c r="BC1366" s="160"/>
      <c r="BD1366" s="160"/>
      <c r="BE1366" s="160"/>
      <c r="BF1366" s="160"/>
      <c r="BG1366" s="160"/>
      <c r="BH1366" s="160"/>
      <c r="BI1366" s="160"/>
      <c r="BJ1366" s="160"/>
      <c r="BK1366" s="160"/>
      <c r="BL1366" s="160"/>
      <c r="BM1366" s="160"/>
      <c r="BN1366" s="160"/>
      <c r="BO1366" s="160"/>
      <c r="BP1366" s="160"/>
      <c r="BQ1366" s="160"/>
      <c r="BR1366" s="160"/>
      <c r="BS1366" s="160"/>
      <c r="BT1366" s="160"/>
      <c r="BU1366" s="160"/>
      <c r="BV1366" s="160"/>
      <c r="BW1366" s="160"/>
      <c r="BX1366" s="160"/>
      <c r="BY1366" s="160"/>
      <c r="BZ1366" s="160"/>
      <c r="CA1366" s="160"/>
      <c r="CB1366" s="160"/>
      <c r="CC1366" s="160"/>
      <c r="CD1366" s="160"/>
      <c r="CE1366" s="160"/>
      <c r="CF1366" s="160"/>
      <c r="CG1366" s="160"/>
      <c r="CH1366" s="160"/>
      <c r="CI1366" s="160"/>
      <c r="CJ1366" s="160"/>
      <c r="CK1366" s="160"/>
      <c r="CL1366" s="160"/>
      <c r="CM1366" s="160"/>
      <c r="CN1366" s="160"/>
      <c r="CO1366" s="160"/>
      <c r="CP1366" s="162"/>
      <c r="CQ1366" s="163"/>
      <c r="CR1366" s="162"/>
      <c r="CS1366" s="163"/>
      <c r="CT1366" s="162"/>
      <c r="CU1366" s="163"/>
      <c r="CV1366" s="164">
        <f t="shared" si="183"/>
        <v>0</v>
      </c>
      <c r="CW1366" s="165"/>
      <c r="CX1366" s="166"/>
      <c r="CY1366" s="167"/>
      <c r="CZ1366" s="168"/>
      <c r="DA1366" s="169"/>
      <c r="DB1366" s="168"/>
      <c r="DC1366" s="165"/>
      <c r="DD1366" s="166"/>
      <c r="DE1366" s="71"/>
      <c r="DF1366" s="170"/>
      <c r="EO1366" s="353" t="str">
        <f t="shared" ref="EO1366:EO1428" si="185">B1366&amp;"_"&amp;C1366</f>
        <v>VALLE DEL CAUCA_SEVILLA</v>
      </c>
      <c r="EP1366" s="350"/>
      <c r="EQ1366" s="350"/>
      <c r="ER1366" s="357"/>
      <c r="ES1366" s="350"/>
      <c r="ET1366" s="350"/>
      <c r="EU1366" s="350"/>
    </row>
    <row r="1367" spans="1:151" s="171" customFormat="1" ht="25.5" x14ac:dyDescent="0.2">
      <c r="A1367" s="242">
        <v>40471</v>
      </c>
      <c r="B1367" s="222" t="s">
        <v>1719</v>
      </c>
      <c r="C1367" s="222" t="s">
        <v>735</v>
      </c>
      <c r="D1367" s="430" t="s">
        <v>2209</v>
      </c>
      <c r="E1367" s="107" t="str">
        <f>VLOOKUP(B1367&amp;C1367,Divipola!$C$2:$F$1138,4,FALSE)</f>
        <v>19142</v>
      </c>
      <c r="F1367" s="333"/>
      <c r="G1367" s="221"/>
      <c r="H1367" s="157"/>
      <c r="I1367" s="157"/>
      <c r="J1367" s="157">
        <v>70</v>
      </c>
      <c r="K1367" s="157">
        <v>14</v>
      </c>
      <c r="L1367" s="157"/>
      <c r="M1367" s="157">
        <v>14</v>
      </c>
      <c r="N1367" s="157"/>
      <c r="O1367" s="157"/>
      <c r="P1367" s="157"/>
      <c r="Q1367" s="157"/>
      <c r="R1367" s="157"/>
      <c r="S1367" s="157"/>
      <c r="T1367" s="157">
        <v>1</v>
      </c>
      <c r="U1367" s="157"/>
      <c r="V1367" s="158"/>
      <c r="W1367" s="182"/>
      <c r="X1367" s="1"/>
      <c r="Y1367" s="78">
        <f t="shared" si="180"/>
        <v>0</v>
      </c>
      <c r="Z1367" s="78">
        <f t="shared" si="181"/>
        <v>0</v>
      </c>
      <c r="AA1367" s="78">
        <f t="shared" si="179"/>
        <v>0</v>
      </c>
      <c r="AB1367" s="78">
        <f t="shared" si="182"/>
        <v>0</v>
      </c>
      <c r="AC1367" s="78"/>
      <c r="AD1367" s="78">
        <v>0</v>
      </c>
      <c r="AE1367" s="80">
        <f t="shared" si="184"/>
        <v>0</v>
      </c>
      <c r="AF1367" s="82">
        <v>0</v>
      </c>
      <c r="AG1367" s="69">
        <v>40471</v>
      </c>
      <c r="AH1367" s="84"/>
      <c r="AI1367" s="69" t="s">
        <v>1984</v>
      </c>
      <c r="AJ1367" s="25" t="s">
        <v>1985</v>
      </c>
      <c r="AK1367" s="65"/>
      <c r="AL1367" s="176" t="s">
        <v>1257</v>
      </c>
      <c r="AM1367" s="173" t="s">
        <v>736</v>
      </c>
      <c r="AN1367" s="159"/>
      <c r="AO1367" s="160"/>
      <c r="AP1367" s="161"/>
      <c r="AQ1367" s="160"/>
      <c r="AR1367" s="160"/>
      <c r="AS1367" s="160"/>
      <c r="AT1367" s="160"/>
      <c r="AU1367" s="160"/>
      <c r="AV1367" s="160"/>
      <c r="AW1367" s="160"/>
      <c r="AX1367" s="160"/>
      <c r="AY1367" s="160"/>
      <c r="AZ1367" s="160"/>
      <c r="BA1367" s="160"/>
      <c r="BB1367" s="160"/>
      <c r="BC1367" s="160"/>
      <c r="BD1367" s="160"/>
      <c r="BE1367" s="160"/>
      <c r="BF1367" s="160"/>
      <c r="BG1367" s="160"/>
      <c r="BH1367" s="160"/>
      <c r="BI1367" s="160"/>
      <c r="BJ1367" s="160"/>
      <c r="BK1367" s="160"/>
      <c r="BL1367" s="160"/>
      <c r="BM1367" s="160"/>
      <c r="BN1367" s="160"/>
      <c r="BO1367" s="160"/>
      <c r="BP1367" s="160"/>
      <c r="BQ1367" s="160"/>
      <c r="BR1367" s="160"/>
      <c r="BS1367" s="160"/>
      <c r="BT1367" s="160"/>
      <c r="BU1367" s="160"/>
      <c r="BV1367" s="160"/>
      <c r="BW1367" s="160"/>
      <c r="BX1367" s="160"/>
      <c r="BY1367" s="160"/>
      <c r="BZ1367" s="160"/>
      <c r="CA1367" s="160"/>
      <c r="CB1367" s="160"/>
      <c r="CC1367" s="160"/>
      <c r="CD1367" s="160"/>
      <c r="CE1367" s="160"/>
      <c r="CF1367" s="160"/>
      <c r="CG1367" s="160"/>
      <c r="CH1367" s="160"/>
      <c r="CI1367" s="160"/>
      <c r="CJ1367" s="160"/>
      <c r="CK1367" s="160"/>
      <c r="CL1367" s="160"/>
      <c r="CM1367" s="160"/>
      <c r="CN1367" s="160"/>
      <c r="CO1367" s="160"/>
      <c r="CP1367" s="162"/>
      <c r="CQ1367" s="163"/>
      <c r="CR1367" s="162"/>
      <c r="CS1367" s="163"/>
      <c r="CT1367" s="162"/>
      <c r="CU1367" s="163"/>
      <c r="CV1367" s="164">
        <f t="shared" si="183"/>
        <v>0</v>
      </c>
      <c r="CW1367" s="165"/>
      <c r="CX1367" s="166"/>
      <c r="CY1367" s="167"/>
      <c r="CZ1367" s="168"/>
      <c r="DA1367" s="169"/>
      <c r="DB1367" s="168"/>
      <c r="DC1367" s="165"/>
      <c r="DD1367" s="166"/>
      <c r="DE1367" s="71"/>
      <c r="DF1367" s="170"/>
      <c r="EO1367" s="353" t="str">
        <f t="shared" si="185"/>
        <v>CAUCA_CALOTO</v>
      </c>
      <c r="EP1367" s="350"/>
      <c r="EQ1367" s="350"/>
      <c r="ER1367" s="357"/>
      <c r="ES1367" s="350"/>
      <c r="ET1367" s="350"/>
      <c r="EU1367" s="350"/>
    </row>
    <row r="1368" spans="1:151" s="171" customFormat="1" ht="60" x14ac:dyDescent="0.2">
      <c r="A1368" s="242">
        <v>40471</v>
      </c>
      <c r="B1368" s="222" t="s">
        <v>1719</v>
      </c>
      <c r="C1368" s="222" t="s">
        <v>1475</v>
      </c>
      <c r="D1368" s="430" t="s">
        <v>2209</v>
      </c>
      <c r="E1368" s="107" t="str">
        <f>VLOOKUP(B1368&amp;C1368,Divipola!$C$2:$F$1138,4,FALSE)</f>
        <v>19212</v>
      </c>
      <c r="F1368" s="333"/>
      <c r="G1368" s="221"/>
      <c r="H1368" s="157"/>
      <c r="I1368" s="157"/>
      <c r="J1368" s="157">
        <f>183*5</f>
        <v>915</v>
      </c>
      <c r="K1368" s="157">
        <v>183</v>
      </c>
      <c r="L1368" s="157"/>
      <c r="M1368" s="157">
        <v>183</v>
      </c>
      <c r="N1368" s="157"/>
      <c r="O1368" s="157"/>
      <c r="P1368" s="157"/>
      <c r="Q1368" s="157"/>
      <c r="R1368" s="157"/>
      <c r="S1368" s="157"/>
      <c r="T1368" s="157"/>
      <c r="U1368" s="157"/>
      <c r="V1368" s="158"/>
      <c r="W1368" s="182"/>
      <c r="X1368" s="1"/>
      <c r="Y1368" s="78">
        <f t="shared" si="180"/>
        <v>0</v>
      </c>
      <c r="Z1368" s="78">
        <f t="shared" si="181"/>
        <v>0</v>
      </c>
      <c r="AA1368" s="78">
        <f t="shared" si="179"/>
        <v>0</v>
      </c>
      <c r="AB1368" s="78">
        <f t="shared" si="182"/>
        <v>0</v>
      </c>
      <c r="AC1368" s="78"/>
      <c r="AD1368" s="78">
        <v>0</v>
      </c>
      <c r="AE1368" s="80">
        <f t="shared" si="184"/>
        <v>0</v>
      </c>
      <c r="AF1368" s="82">
        <v>0</v>
      </c>
      <c r="AG1368" s="69">
        <v>40476</v>
      </c>
      <c r="AH1368" s="84"/>
      <c r="AI1368" s="69" t="s">
        <v>1984</v>
      </c>
      <c r="AJ1368" s="25" t="s">
        <v>1985</v>
      </c>
      <c r="AK1368" s="65"/>
      <c r="AL1368" s="176" t="s">
        <v>1257</v>
      </c>
      <c r="AM1368" s="173" t="s">
        <v>2176</v>
      </c>
      <c r="AN1368" s="159"/>
      <c r="AO1368" s="160"/>
      <c r="AP1368" s="161"/>
      <c r="AQ1368" s="160"/>
      <c r="AR1368" s="160"/>
      <c r="AS1368" s="160"/>
      <c r="AT1368" s="160"/>
      <c r="AU1368" s="160"/>
      <c r="AV1368" s="160"/>
      <c r="AW1368" s="160"/>
      <c r="AX1368" s="160"/>
      <c r="AY1368" s="160"/>
      <c r="AZ1368" s="160"/>
      <c r="BA1368" s="160"/>
      <c r="BB1368" s="160"/>
      <c r="BC1368" s="160"/>
      <c r="BD1368" s="160"/>
      <c r="BE1368" s="160"/>
      <c r="BF1368" s="160"/>
      <c r="BG1368" s="160"/>
      <c r="BH1368" s="160"/>
      <c r="BI1368" s="160"/>
      <c r="BJ1368" s="160"/>
      <c r="BK1368" s="160"/>
      <c r="BL1368" s="160"/>
      <c r="BM1368" s="160"/>
      <c r="BN1368" s="160"/>
      <c r="BO1368" s="160"/>
      <c r="BP1368" s="160"/>
      <c r="BQ1368" s="160"/>
      <c r="BR1368" s="160"/>
      <c r="BS1368" s="160"/>
      <c r="BT1368" s="160"/>
      <c r="BU1368" s="160"/>
      <c r="BV1368" s="160"/>
      <c r="BW1368" s="160"/>
      <c r="BX1368" s="160"/>
      <c r="BY1368" s="160"/>
      <c r="BZ1368" s="160"/>
      <c r="CA1368" s="160"/>
      <c r="CB1368" s="160"/>
      <c r="CC1368" s="160"/>
      <c r="CD1368" s="160"/>
      <c r="CE1368" s="160"/>
      <c r="CF1368" s="160"/>
      <c r="CG1368" s="160"/>
      <c r="CH1368" s="160"/>
      <c r="CI1368" s="160"/>
      <c r="CJ1368" s="160"/>
      <c r="CK1368" s="160"/>
      <c r="CL1368" s="160"/>
      <c r="CM1368" s="160"/>
      <c r="CN1368" s="160"/>
      <c r="CO1368" s="160"/>
      <c r="CP1368" s="162"/>
      <c r="CQ1368" s="163"/>
      <c r="CR1368" s="162"/>
      <c r="CS1368" s="163"/>
      <c r="CT1368" s="162"/>
      <c r="CU1368" s="163"/>
      <c r="CV1368" s="164">
        <f t="shared" si="183"/>
        <v>0</v>
      </c>
      <c r="CW1368" s="165"/>
      <c r="CX1368" s="166"/>
      <c r="CY1368" s="167"/>
      <c r="CZ1368" s="168"/>
      <c r="DA1368" s="169"/>
      <c r="DB1368" s="168"/>
      <c r="DC1368" s="165"/>
      <c r="DD1368" s="166"/>
      <c r="DE1368" s="71"/>
      <c r="DF1368" s="170"/>
      <c r="EO1368" s="353" t="str">
        <f t="shared" si="185"/>
        <v>CAUCA_CORINTO</v>
      </c>
      <c r="EP1368" s="350"/>
      <c r="EQ1368" s="350"/>
      <c r="ER1368" s="357"/>
      <c r="ES1368" s="350"/>
      <c r="ET1368" s="350"/>
      <c r="EU1368" s="350"/>
    </row>
    <row r="1369" spans="1:151" s="171" customFormat="1" ht="36" x14ac:dyDescent="0.2">
      <c r="A1369" s="242">
        <v>40471</v>
      </c>
      <c r="B1369" s="222" t="s">
        <v>2242</v>
      </c>
      <c r="C1369" s="222" t="s">
        <v>221</v>
      </c>
      <c r="D1369" s="430" t="s">
        <v>837</v>
      </c>
      <c r="E1369" s="107" t="str">
        <f>VLOOKUP(B1369&amp;C1369,Divipola!$C$2:$F$1138,4,FALSE)</f>
        <v>20001</v>
      </c>
      <c r="F1369" s="333"/>
      <c r="G1369" s="221"/>
      <c r="H1369" s="157"/>
      <c r="I1369" s="157"/>
      <c r="J1369" s="157">
        <f>1096*5</f>
        <v>5480</v>
      </c>
      <c r="K1369" s="157">
        <v>1096</v>
      </c>
      <c r="L1369" s="157"/>
      <c r="M1369" s="157">
        <v>60</v>
      </c>
      <c r="N1369" s="157"/>
      <c r="O1369" s="157"/>
      <c r="P1369" s="157"/>
      <c r="Q1369" s="157"/>
      <c r="R1369" s="157"/>
      <c r="S1369" s="157"/>
      <c r="T1369" s="157"/>
      <c r="U1369" s="157"/>
      <c r="V1369" s="158"/>
      <c r="W1369" s="182"/>
      <c r="X1369" s="1"/>
      <c r="Y1369" s="78">
        <f t="shared" si="180"/>
        <v>0</v>
      </c>
      <c r="Z1369" s="78">
        <f t="shared" si="181"/>
        <v>0</v>
      </c>
      <c r="AA1369" s="78">
        <f t="shared" si="179"/>
        <v>0</v>
      </c>
      <c r="AB1369" s="78">
        <f t="shared" si="182"/>
        <v>0</v>
      </c>
      <c r="AC1369" s="78"/>
      <c r="AD1369" s="78">
        <v>0</v>
      </c>
      <c r="AE1369" s="80">
        <f t="shared" si="184"/>
        <v>0</v>
      </c>
      <c r="AF1369" s="82">
        <v>0</v>
      </c>
      <c r="AG1369" s="69">
        <v>40476</v>
      </c>
      <c r="AH1369" s="84"/>
      <c r="AI1369" s="69" t="s">
        <v>1984</v>
      </c>
      <c r="AJ1369" s="25" t="s">
        <v>1985</v>
      </c>
      <c r="AK1369" s="65"/>
      <c r="AL1369" s="176" t="s">
        <v>1257</v>
      </c>
      <c r="AM1369" s="173" t="s">
        <v>1489</v>
      </c>
      <c r="AN1369" s="159"/>
      <c r="AO1369" s="160"/>
      <c r="AP1369" s="161"/>
      <c r="AQ1369" s="160"/>
      <c r="AR1369" s="160"/>
      <c r="AS1369" s="160"/>
      <c r="AT1369" s="160"/>
      <c r="AU1369" s="160"/>
      <c r="AV1369" s="160"/>
      <c r="AW1369" s="160"/>
      <c r="AX1369" s="160"/>
      <c r="AY1369" s="160"/>
      <c r="AZ1369" s="160"/>
      <c r="BA1369" s="160"/>
      <c r="BB1369" s="160"/>
      <c r="BC1369" s="160"/>
      <c r="BD1369" s="160"/>
      <c r="BE1369" s="160"/>
      <c r="BF1369" s="160"/>
      <c r="BG1369" s="160"/>
      <c r="BH1369" s="160"/>
      <c r="BI1369" s="160"/>
      <c r="BJ1369" s="160"/>
      <c r="BK1369" s="160"/>
      <c r="BL1369" s="160"/>
      <c r="BM1369" s="160"/>
      <c r="BN1369" s="160"/>
      <c r="BO1369" s="160"/>
      <c r="BP1369" s="160"/>
      <c r="BQ1369" s="160"/>
      <c r="BR1369" s="160"/>
      <c r="BS1369" s="160"/>
      <c r="BT1369" s="160"/>
      <c r="BU1369" s="160"/>
      <c r="BV1369" s="160"/>
      <c r="BW1369" s="160"/>
      <c r="BX1369" s="160"/>
      <c r="BY1369" s="160"/>
      <c r="BZ1369" s="160"/>
      <c r="CA1369" s="160"/>
      <c r="CB1369" s="160"/>
      <c r="CC1369" s="160"/>
      <c r="CD1369" s="160"/>
      <c r="CE1369" s="160"/>
      <c r="CF1369" s="160"/>
      <c r="CG1369" s="160"/>
      <c r="CH1369" s="160"/>
      <c r="CI1369" s="160"/>
      <c r="CJ1369" s="160"/>
      <c r="CK1369" s="160"/>
      <c r="CL1369" s="160"/>
      <c r="CM1369" s="160"/>
      <c r="CN1369" s="160"/>
      <c r="CO1369" s="160"/>
      <c r="CP1369" s="162"/>
      <c r="CQ1369" s="163"/>
      <c r="CR1369" s="162"/>
      <c r="CS1369" s="163"/>
      <c r="CT1369" s="162"/>
      <c r="CU1369" s="163"/>
      <c r="CV1369" s="164">
        <f t="shared" si="183"/>
        <v>0</v>
      </c>
      <c r="CW1369" s="165"/>
      <c r="CX1369" s="166"/>
      <c r="CY1369" s="167"/>
      <c r="CZ1369" s="168"/>
      <c r="DA1369" s="169"/>
      <c r="DB1369" s="168"/>
      <c r="DC1369" s="165"/>
      <c r="DD1369" s="166"/>
      <c r="DE1369" s="71"/>
      <c r="DF1369" s="170"/>
      <c r="EO1369" s="353" t="str">
        <f t="shared" si="185"/>
        <v>CESAR_VALLEDUPAR</v>
      </c>
      <c r="EP1369" s="350"/>
      <c r="EQ1369" s="350"/>
      <c r="ER1369" s="357"/>
      <c r="ES1369" s="350"/>
      <c r="ET1369" s="350"/>
      <c r="EU1369" s="350"/>
    </row>
    <row r="1370" spans="1:151" s="171" customFormat="1" ht="25.5" x14ac:dyDescent="0.2">
      <c r="A1370" s="242">
        <v>40471</v>
      </c>
      <c r="B1370" s="222" t="s">
        <v>2425</v>
      </c>
      <c r="C1370" s="222" t="s">
        <v>2374</v>
      </c>
      <c r="D1370" s="430" t="s">
        <v>1721</v>
      </c>
      <c r="E1370" s="107" t="str">
        <f>VLOOKUP(B1370&amp;C1370,Divipola!$C$2:$F$1138,4,FALSE)</f>
        <v>27001</v>
      </c>
      <c r="F1370" s="333"/>
      <c r="G1370" s="221"/>
      <c r="H1370" s="157"/>
      <c r="I1370" s="157"/>
      <c r="J1370" s="157">
        <v>4</v>
      </c>
      <c r="K1370" s="157">
        <v>1</v>
      </c>
      <c r="L1370" s="157">
        <v>1</v>
      </c>
      <c r="M1370" s="157"/>
      <c r="N1370" s="157"/>
      <c r="O1370" s="157"/>
      <c r="P1370" s="157"/>
      <c r="Q1370" s="157"/>
      <c r="R1370" s="157"/>
      <c r="S1370" s="157"/>
      <c r="T1370" s="157"/>
      <c r="U1370" s="157"/>
      <c r="V1370" s="158"/>
      <c r="W1370" s="182"/>
      <c r="X1370" s="1"/>
      <c r="Y1370" s="78">
        <f t="shared" si="180"/>
        <v>0</v>
      </c>
      <c r="Z1370" s="78">
        <f t="shared" si="181"/>
        <v>0</v>
      </c>
      <c r="AA1370" s="78">
        <f t="shared" si="179"/>
        <v>0</v>
      </c>
      <c r="AB1370" s="78">
        <f t="shared" si="182"/>
        <v>0</v>
      </c>
      <c r="AC1370" s="78"/>
      <c r="AD1370" s="78">
        <v>0</v>
      </c>
      <c r="AE1370" s="80">
        <f t="shared" si="184"/>
        <v>0</v>
      </c>
      <c r="AF1370" s="82">
        <v>0</v>
      </c>
      <c r="AG1370" s="69">
        <v>40476</v>
      </c>
      <c r="AH1370" s="84"/>
      <c r="AI1370" s="69" t="s">
        <v>1984</v>
      </c>
      <c r="AJ1370" s="25" t="s">
        <v>1985</v>
      </c>
      <c r="AK1370" s="65"/>
      <c r="AL1370" s="176" t="s">
        <v>1257</v>
      </c>
      <c r="AM1370" s="173" t="s">
        <v>2213</v>
      </c>
      <c r="AN1370" s="159"/>
      <c r="AO1370" s="160"/>
      <c r="AP1370" s="161"/>
      <c r="AQ1370" s="160"/>
      <c r="AR1370" s="160"/>
      <c r="AS1370" s="160"/>
      <c r="AT1370" s="160"/>
      <c r="AU1370" s="160"/>
      <c r="AV1370" s="160"/>
      <c r="AW1370" s="160"/>
      <c r="AX1370" s="160"/>
      <c r="AY1370" s="160"/>
      <c r="AZ1370" s="160"/>
      <c r="BA1370" s="160"/>
      <c r="BB1370" s="160"/>
      <c r="BC1370" s="160"/>
      <c r="BD1370" s="160"/>
      <c r="BE1370" s="160"/>
      <c r="BF1370" s="160"/>
      <c r="BG1370" s="160"/>
      <c r="BH1370" s="160"/>
      <c r="BI1370" s="160"/>
      <c r="BJ1370" s="160"/>
      <c r="BK1370" s="160"/>
      <c r="BL1370" s="160"/>
      <c r="BM1370" s="160"/>
      <c r="BN1370" s="160"/>
      <c r="BO1370" s="160"/>
      <c r="BP1370" s="160"/>
      <c r="BQ1370" s="160"/>
      <c r="BR1370" s="160"/>
      <c r="BS1370" s="160"/>
      <c r="BT1370" s="160"/>
      <c r="BU1370" s="160"/>
      <c r="BV1370" s="160"/>
      <c r="BW1370" s="160"/>
      <c r="BX1370" s="160"/>
      <c r="BY1370" s="160"/>
      <c r="BZ1370" s="160"/>
      <c r="CA1370" s="160"/>
      <c r="CB1370" s="160"/>
      <c r="CC1370" s="160"/>
      <c r="CD1370" s="160"/>
      <c r="CE1370" s="160"/>
      <c r="CF1370" s="160"/>
      <c r="CG1370" s="160"/>
      <c r="CH1370" s="160"/>
      <c r="CI1370" s="160"/>
      <c r="CJ1370" s="160"/>
      <c r="CK1370" s="160"/>
      <c r="CL1370" s="160"/>
      <c r="CM1370" s="160"/>
      <c r="CN1370" s="160"/>
      <c r="CO1370" s="160"/>
      <c r="CP1370" s="162"/>
      <c r="CQ1370" s="163"/>
      <c r="CR1370" s="162"/>
      <c r="CS1370" s="163"/>
      <c r="CT1370" s="162"/>
      <c r="CU1370" s="163"/>
      <c r="CV1370" s="164">
        <f t="shared" si="183"/>
        <v>0</v>
      </c>
      <c r="CW1370" s="165"/>
      <c r="CX1370" s="166"/>
      <c r="CY1370" s="167"/>
      <c r="CZ1370" s="168"/>
      <c r="DA1370" s="169"/>
      <c r="DB1370" s="168"/>
      <c r="DC1370" s="165"/>
      <c r="DD1370" s="166"/>
      <c r="DE1370" s="71"/>
      <c r="DF1370" s="170"/>
      <c r="EO1370" s="353" t="str">
        <f t="shared" si="185"/>
        <v>CHOCO_QUIBDO</v>
      </c>
      <c r="EP1370" s="350"/>
      <c r="EQ1370" s="350"/>
      <c r="ER1370" s="357"/>
      <c r="ES1370" s="350"/>
      <c r="ET1370" s="350"/>
      <c r="EU1370" s="350"/>
    </row>
    <row r="1371" spans="1:151" s="171" customFormat="1" ht="25.5" x14ac:dyDescent="0.2">
      <c r="A1371" s="242">
        <v>40471</v>
      </c>
      <c r="B1371" s="222" t="s">
        <v>1333</v>
      </c>
      <c r="C1371" s="222" t="s">
        <v>614</v>
      </c>
      <c r="D1371" s="430" t="s">
        <v>2781</v>
      </c>
      <c r="E1371" s="107" t="str">
        <f>VLOOKUP(B1371&amp;C1371,Divipola!$C$2:$F$1138,4,FALSE)</f>
        <v>41885</v>
      </c>
      <c r="F1371" s="333"/>
      <c r="G1371" s="221"/>
      <c r="H1371" s="157">
        <v>3</v>
      </c>
      <c r="I1371" s="157"/>
      <c r="J1371" s="157"/>
      <c r="K1371" s="157"/>
      <c r="L1371" s="157"/>
      <c r="M1371" s="157"/>
      <c r="N1371" s="157"/>
      <c r="O1371" s="157"/>
      <c r="P1371" s="157"/>
      <c r="Q1371" s="157"/>
      <c r="R1371" s="157"/>
      <c r="S1371" s="157"/>
      <c r="T1371" s="157"/>
      <c r="U1371" s="157"/>
      <c r="V1371" s="158"/>
      <c r="W1371" s="182"/>
      <c r="X1371" s="1"/>
      <c r="Y1371" s="78">
        <f t="shared" si="180"/>
        <v>0</v>
      </c>
      <c r="Z1371" s="78">
        <f t="shared" si="181"/>
        <v>0</v>
      </c>
      <c r="AA1371" s="78">
        <f t="shared" si="179"/>
        <v>0</v>
      </c>
      <c r="AB1371" s="78">
        <f t="shared" si="182"/>
        <v>0</v>
      </c>
      <c r="AC1371" s="78"/>
      <c r="AD1371" s="78">
        <v>0</v>
      </c>
      <c r="AE1371" s="80">
        <f t="shared" si="184"/>
        <v>0</v>
      </c>
      <c r="AF1371" s="82">
        <v>0</v>
      </c>
      <c r="AG1371" s="69">
        <v>40471</v>
      </c>
      <c r="AH1371" s="84"/>
      <c r="AI1371" s="69" t="s">
        <v>1984</v>
      </c>
      <c r="AJ1371" s="25" t="s">
        <v>1985</v>
      </c>
      <c r="AK1371" s="65"/>
      <c r="AL1371" s="176" t="s">
        <v>1257</v>
      </c>
      <c r="AM1371" s="173" t="s">
        <v>738</v>
      </c>
      <c r="AN1371" s="159"/>
      <c r="AO1371" s="160"/>
      <c r="AP1371" s="161"/>
      <c r="AQ1371" s="160"/>
      <c r="AR1371" s="160"/>
      <c r="AS1371" s="160"/>
      <c r="AT1371" s="160"/>
      <c r="AU1371" s="160"/>
      <c r="AV1371" s="160"/>
      <c r="AW1371" s="160"/>
      <c r="AX1371" s="160"/>
      <c r="AY1371" s="160"/>
      <c r="AZ1371" s="160"/>
      <c r="BA1371" s="160"/>
      <c r="BB1371" s="160"/>
      <c r="BC1371" s="160"/>
      <c r="BD1371" s="160"/>
      <c r="BE1371" s="160"/>
      <c r="BF1371" s="160"/>
      <c r="BG1371" s="160"/>
      <c r="BH1371" s="160"/>
      <c r="BI1371" s="160"/>
      <c r="BJ1371" s="160"/>
      <c r="BK1371" s="160"/>
      <c r="BL1371" s="160"/>
      <c r="BM1371" s="160"/>
      <c r="BN1371" s="160"/>
      <c r="BO1371" s="160"/>
      <c r="BP1371" s="160"/>
      <c r="BQ1371" s="160"/>
      <c r="BR1371" s="160"/>
      <c r="BS1371" s="160"/>
      <c r="BT1371" s="160"/>
      <c r="BU1371" s="160"/>
      <c r="BV1371" s="160"/>
      <c r="BW1371" s="160"/>
      <c r="BX1371" s="160"/>
      <c r="BY1371" s="160"/>
      <c r="BZ1371" s="160"/>
      <c r="CA1371" s="160"/>
      <c r="CB1371" s="160"/>
      <c r="CC1371" s="160"/>
      <c r="CD1371" s="160"/>
      <c r="CE1371" s="160"/>
      <c r="CF1371" s="160"/>
      <c r="CG1371" s="160"/>
      <c r="CH1371" s="160"/>
      <c r="CI1371" s="160"/>
      <c r="CJ1371" s="160"/>
      <c r="CK1371" s="160"/>
      <c r="CL1371" s="160"/>
      <c r="CM1371" s="160"/>
      <c r="CN1371" s="160"/>
      <c r="CO1371" s="160"/>
      <c r="CP1371" s="162"/>
      <c r="CQ1371" s="163"/>
      <c r="CR1371" s="162"/>
      <c r="CS1371" s="163"/>
      <c r="CT1371" s="162"/>
      <c r="CU1371" s="163"/>
      <c r="CV1371" s="164">
        <f t="shared" si="183"/>
        <v>0</v>
      </c>
      <c r="CW1371" s="165"/>
      <c r="CX1371" s="166"/>
      <c r="CY1371" s="167"/>
      <c r="CZ1371" s="168"/>
      <c r="DA1371" s="169"/>
      <c r="DB1371" s="168"/>
      <c r="DC1371" s="165"/>
      <c r="DD1371" s="166"/>
      <c r="DE1371" s="71"/>
      <c r="DF1371" s="170"/>
      <c r="EO1371" s="353" t="str">
        <f t="shared" si="185"/>
        <v>HUILA_YAGUARA</v>
      </c>
      <c r="EP1371" s="350"/>
      <c r="EQ1371" s="350"/>
      <c r="ER1371" s="357"/>
      <c r="ES1371" s="350"/>
      <c r="ET1371" s="350"/>
      <c r="EU1371" s="350"/>
    </row>
    <row r="1372" spans="1:151" s="171" customFormat="1" ht="25.5" x14ac:dyDescent="0.2">
      <c r="A1372" s="242">
        <v>40471</v>
      </c>
      <c r="B1372" s="222" t="s">
        <v>2013</v>
      </c>
      <c r="C1372" s="222" t="s">
        <v>2013</v>
      </c>
      <c r="D1372" s="430" t="s">
        <v>837</v>
      </c>
      <c r="E1372" s="107" t="str">
        <f>VLOOKUP(B1372&amp;C1372,Divipola!$C$2:$F$1138,4,FALSE)</f>
        <v>00000</v>
      </c>
      <c r="F1372" s="333"/>
      <c r="G1372" s="221"/>
      <c r="H1372" s="157"/>
      <c r="I1372" s="157"/>
      <c r="J1372" s="157"/>
      <c r="K1372" s="157"/>
      <c r="L1372" s="157"/>
      <c r="M1372" s="157"/>
      <c r="N1372" s="157"/>
      <c r="O1372" s="157"/>
      <c r="P1372" s="157"/>
      <c r="Q1372" s="157"/>
      <c r="R1372" s="157"/>
      <c r="S1372" s="157"/>
      <c r="T1372" s="157"/>
      <c r="U1372" s="157"/>
      <c r="V1372" s="158"/>
      <c r="W1372" s="182"/>
      <c r="X1372" s="1">
        <v>40490</v>
      </c>
      <c r="Y1372" s="78">
        <f t="shared" si="180"/>
        <v>0</v>
      </c>
      <c r="Z1372" s="78">
        <f t="shared" si="181"/>
        <v>0</v>
      </c>
      <c r="AA1372" s="78">
        <f t="shared" si="179"/>
        <v>0</v>
      </c>
      <c r="AB1372" s="78">
        <f t="shared" si="182"/>
        <v>72400000</v>
      </c>
      <c r="AC1372" s="78"/>
      <c r="AD1372" s="78">
        <v>0</v>
      </c>
      <c r="AE1372" s="80">
        <f t="shared" si="184"/>
        <v>72400000</v>
      </c>
      <c r="AF1372" s="82">
        <v>0</v>
      </c>
      <c r="AG1372" s="69">
        <v>40471</v>
      </c>
      <c r="AH1372" s="84">
        <v>57412</v>
      </c>
      <c r="AI1372" s="69" t="s">
        <v>2009</v>
      </c>
      <c r="AJ1372" s="25" t="s">
        <v>2010</v>
      </c>
      <c r="AK1372" s="65">
        <v>23563</v>
      </c>
      <c r="AL1372" s="176" t="s">
        <v>1831</v>
      </c>
      <c r="AM1372" s="173" t="s">
        <v>2160</v>
      </c>
      <c r="AN1372" s="159"/>
      <c r="AO1372" s="160"/>
      <c r="AP1372" s="161"/>
      <c r="AQ1372" s="160"/>
      <c r="AR1372" s="160"/>
      <c r="AS1372" s="160"/>
      <c r="AT1372" s="160"/>
      <c r="AU1372" s="160"/>
      <c r="AV1372" s="160"/>
      <c r="AW1372" s="160"/>
      <c r="AX1372" s="160"/>
      <c r="AY1372" s="160"/>
      <c r="AZ1372" s="160"/>
      <c r="BA1372" s="160"/>
      <c r="BB1372" s="160"/>
      <c r="BC1372" s="160"/>
      <c r="BD1372" s="160"/>
      <c r="BE1372" s="160"/>
      <c r="BF1372" s="160"/>
      <c r="BG1372" s="160"/>
      <c r="BH1372" s="160"/>
      <c r="BI1372" s="160"/>
      <c r="BJ1372" s="160"/>
      <c r="BK1372" s="160"/>
      <c r="BL1372" s="160"/>
      <c r="BM1372" s="160"/>
      <c r="BN1372" s="160"/>
      <c r="BO1372" s="160"/>
      <c r="BP1372" s="160"/>
      <c r="BQ1372" s="160"/>
      <c r="BR1372" s="160"/>
      <c r="BS1372" s="160"/>
      <c r="BT1372" s="160"/>
      <c r="BU1372" s="160"/>
      <c r="BV1372" s="160"/>
      <c r="BW1372" s="160"/>
      <c r="BX1372" s="160"/>
      <c r="BY1372" s="160"/>
      <c r="BZ1372" s="160"/>
      <c r="CA1372" s="160"/>
      <c r="CB1372" s="160"/>
      <c r="CC1372" s="160"/>
      <c r="CD1372" s="160"/>
      <c r="CE1372" s="160"/>
      <c r="CF1372" s="160"/>
      <c r="CG1372" s="160"/>
      <c r="CH1372" s="160"/>
      <c r="CI1372" s="160"/>
      <c r="CJ1372" s="160"/>
      <c r="CK1372" s="160"/>
      <c r="CL1372" s="160"/>
      <c r="CM1372" s="160"/>
      <c r="CN1372" s="160"/>
      <c r="CO1372" s="160"/>
      <c r="CP1372" s="162"/>
      <c r="CQ1372" s="163"/>
      <c r="CR1372" s="162"/>
      <c r="CS1372" s="163"/>
      <c r="CT1372" s="162"/>
      <c r="CU1372" s="163"/>
      <c r="CV1372" s="164">
        <f t="shared" si="183"/>
        <v>0</v>
      </c>
      <c r="CW1372" s="165">
        <v>80000</v>
      </c>
      <c r="CX1372" s="166">
        <f>80000*905</f>
        <v>72400000</v>
      </c>
      <c r="CY1372" s="167"/>
      <c r="CZ1372" s="168"/>
      <c r="DA1372" s="169"/>
      <c r="DB1372" s="168"/>
      <c r="DC1372" s="165"/>
      <c r="DD1372" s="166"/>
      <c r="DE1372" s="71"/>
      <c r="DF1372" s="170"/>
      <c r="EO1372" s="353" t="str">
        <f t="shared" si="185"/>
        <v>NACION_NACION</v>
      </c>
      <c r="EP1372" s="350"/>
      <c r="EQ1372" s="350"/>
      <c r="ER1372" s="357"/>
      <c r="ES1372" s="350"/>
      <c r="ET1372" s="350"/>
      <c r="EU1372" s="350"/>
    </row>
    <row r="1373" spans="1:151" s="171" customFormat="1" ht="51" x14ac:dyDescent="0.2">
      <c r="A1373" s="242">
        <v>40472</v>
      </c>
      <c r="B1373" s="222" t="s">
        <v>1462</v>
      </c>
      <c r="C1373" s="222" t="s">
        <v>610</v>
      </c>
      <c r="D1373" s="430" t="s">
        <v>837</v>
      </c>
      <c r="E1373" s="107" t="str">
        <f>VLOOKUP(B1373&amp;C1373,Divipola!$C$2:$F$1138,4,FALSE)</f>
        <v>76520</v>
      </c>
      <c r="F1373" s="333"/>
      <c r="G1373" s="221"/>
      <c r="H1373" s="157"/>
      <c r="I1373" s="157"/>
      <c r="J1373" s="157">
        <v>15</v>
      </c>
      <c r="K1373" s="157">
        <v>3</v>
      </c>
      <c r="L1373" s="157"/>
      <c r="M1373" s="157">
        <v>3</v>
      </c>
      <c r="N1373" s="157"/>
      <c r="O1373" s="157"/>
      <c r="P1373" s="157"/>
      <c r="Q1373" s="157"/>
      <c r="R1373" s="157"/>
      <c r="S1373" s="157"/>
      <c r="T1373" s="157"/>
      <c r="U1373" s="157"/>
      <c r="V1373" s="158"/>
      <c r="W1373" s="182"/>
      <c r="X1373" s="1"/>
      <c r="Y1373" s="78">
        <f t="shared" si="180"/>
        <v>0</v>
      </c>
      <c r="Z1373" s="78">
        <f t="shared" si="181"/>
        <v>0</v>
      </c>
      <c r="AA1373" s="78">
        <f t="shared" si="179"/>
        <v>0</v>
      </c>
      <c r="AB1373" s="78">
        <f t="shared" si="182"/>
        <v>0</v>
      </c>
      <c r="AC1373" s="78"/>
      <c r="AD1373" s="78">
        <v>0</v>
      </c>
      <c r="AE1373" s="80">
        <f t="shared" si="184"/>
        <v>0</v>
      </c>
      <c r="AF1373" s="82">
        <v>0</v>
      </c>
      <c r="AG1373" s="69">
        <v>40476</v>
      </c>
      <c r="AH1373" s="84"/>
      <c r="AI1373" s="69" t="s">
        <v>1984</v>
      </c>
      <c r="AJ1373" s="25" t="s">
        <v>1985</v>
      </c>
      <c r="AK1373" s="65"/>
      <c r="AL1373" s="176" t="s">
        <v>1257</v>
      </c>
      <c r="AM1373" s="173" t="s">
        <v>1480</v>
      </c>
      <c r="AN1373" s="159"/>
      <c r="AO1373" s="160"/>
      <c r="AP1373" s="161"/>
      <c r="AQ1373" s="160"/>
      <c r="AR1373" s="160"/>
      <c r="AS1373" s="160"/>
      <c r="AT1373" s="160"/>
      <c r="AU1373" s="160"/>
      <c r="AV1373" s="160"/>
      <c r="AW1373" s="160"/>
      <c r="AX1373" s="160"/>
      <c r="AY1373" s="160"/>
      <c r="AZ1373" s="160"/>
      <c r="BA1373" s="160"/>
      <c r="BB1373" s="160"/>
      <c r="BC1373" s="160"/>
      <c r="BD1373" s="160"/>
      <c r="BE1373" s="160"/>
      <c r="BF1373" s="160"/>
      <c r="BG1373" s="160"/>
      <c r="BH1373" s="160"/>
      <c r="BI1373" s="160"/>
      <c r="BJ1373" s="160"/>
      <c r="BK1373" s="160"/>
      <c r="BL1373" s="160"/>
      <c r="BM1373" s="160"/>
      <c r="BN1373" s="160"/>
      <c r="BO1373" s="160"/>
      <c r="BP1373" s="160"/>
      <c r="BQ1373" s="160"/>
      <c r="BR1373" s="160"/>
      <c r="BS1373" s="160"/>
      <c r="BT1373" s="160"/>
      <c r="BU1373" s="160"/>
      <c r="BV1373" s="160"/>
      <c r="BW1373" s="160"/>
      <c r="BX1373" s="160"/>
      <c r="BY1373" s="160"/>
      <c r="BZ1373" s="160"/>
      <c r="CA1373" s="160"/>
      <c r="CB1373" s="160"/>
      <c r="CC1373" s="160"/>
      <c r="CD1373" s="160"/>
      <c r="CE1373" s="160"/>
      <c r="CF1373" s="160"/>
      <c r="CG1373" s="160"/>
      <c r="CH1373" s="160"/>
      <c r="CI1373" s="160"/>
      <c r="CJ1373" s="160"/>
      <c r="CK1373" s="160"/>
      <c r="CL1373" s="160"/>
      <c r="CM1373" s="160"/>
      <c r="CN1373" s="160"/>
      <c r="CO1373" s="160"/>
      <c r="CP1373" s="162"/>
      <c r="CQ1373" s="163"/>
      <c r="CR1373" s="162"/>
      <c r="CS1373" s="163"/>
      <c r="CT1373" s="162"/>
      <c r="CU1373" s="163"/>
      <c r="CV1373" s="164">
        <f t="shared" si="183"/>
        <v>0</v>
      </c>
      <c r="CW1373" s="165"/>
      <c r="CX1373" s="166"/>
      <c r="CY1373" s="167"/>
      <c r="CZ1373" s="168"/>
      <c r="DA1373" s="169"/>
      <c r="DB1373" s="168"/>
      <c r="DC1373" s="165"/>
      <c r="DD1373" s="166"/>
      <c r="DE1373" s="71"/>
      <c r="DF1373" s="170"/>
      <c r="EO1373" s="353" t="str">
        <f t="shared" si="185"/>
        <v>VALLE DEL CAUCA_PALMIRA</v>
      </c>
      <c r="EP1373" s="350"/>
      <c r="EQ1373" s="350"/>
      <c r="ER1373" s="357"/>
      <c r="ES1373" s="350"/>
      <c r="ET1373" s="350"/>
      <c r="EU1373" s="350"/>
    </row>
    <row r="1374" spans="1:151" s="171" customFormat="1" ht="38.25" x14ac:dyDescent="0.2">
      <c r="A1374" s="242">
        <v>40472.59375</v>
      </c>
      <c r="B1374" s="107" t="s">
        <v>6305</v>
      </c>
      <c r="C1374" s="107" t="s">
        <v>6305</v>
      </c>
      <c r="D1374" s="430" t="s">
        <v>2209</v>
      </c>
      <c r="E1374" s="107" t="str">
        <f>VLOOKUP(B1374&amp;C1374,Divipola!$C$2:$F$1138,4,FALSE)</f>
        <v>11001</v>
      </c>
      <c r="F1374" s="333"/>
      <c r="G1374" s="221"/>
      <c r="H1374" s="157">
        <v>5</v>
      </c>
      <c r="I1374" s="157"/>
      <c r="J1374" s="157"/>
      <c r="K1374" s="414"/>
      <c r="L1374" s="157"/>
      <c r="M1374" s="157"/>
      <c r="N1374" s="157"/>
      <c r="O1374" s="157"/>
      <c r="P1374" s="157"/>
      <c r="Q1374" s="157"/>
      <c r="R1374" s="157"/>
      <c r="S1374" s="157"/>
      <c r="T1374" s="157"/>
      <c r="U1374" s="157"/>
      <c r="V1374" s="158"/>
      <c r="W1374" s="182"/>
      <c r="X1374" s="1"/>
      <c r="Y1374" s="78">
        <f t="shared" si="180"/>
        <v>0</v>
      </c>
      <c r="Z1374" s="78">
        <f t="shared" si="181"/>
        <v>0</v>
      </c>
      <c r="AA1374" s="78">
        <f t="shared" si="179"/>
        <v>0</v>
      </c>
      <c r="AB1374" s="78">
        <f t="shared" si="182"/>
        <v>0</v>
      </c>
      <c r="AC1374" s="78"/>
      <c r="AD1374" s="78">
        <v>0</v>
      </c>
      <c r="AE1374" s="80">
        <f t="shared" si="184"/>
        <v>0</v>
      </c>
      <c r="AF1374" s="82">
        <v>0</v>
      </c>
      <c r="AG1374" s="306">
        <v>40624</v>
      </c>
      <c r="AH1374" s="307"/>
      <c r="AI1374" s="306" t="s">
        <v>1984</v>
      </c>
      <c r="AJ1374" s="308" t="s">
        <v>1985</v>
      </c>
      <c r="AK1374" s="309"/>
      <c r="AL1374" s="310" t="s">
        <v>1257</v>
      </c>
      <c r="AM1374" s="419" t="s">
        <v>3756</v>
      </c>
      <c r="AN1374" s="159"/>
      <c r="AO1374" s="160"/>
      <c r="AP1374" s="161"/>
      <c r="AQ1374" s="160"/>
      <c r="AR1374" s="160"/>
      <c r="AS1374" s="160"/>
      <c r="AT1374" s="160"/>
      <c r="AU1374" s="160"/>
      <c r="AV1374" s="160"/>
      <c r="AW1374" s="160"/>
      <c r="AX1374" s="160"/>
      <c r="AY1374" s="160"/>
      <c r="AZ1374" s="160"/>
      <c r="BA1374" s="160"/>
      <c r="BB1374" s="160"/>
      <c r="BC1374" s="160"/>
      <c r="BD1374" s="160"/>
      <c r="BE1374" s="160"/>
      <c r="BF1374" s="160"/>
      <c r="BG1374" s="160"/>
      <c r="BH1374" s="160"/>
      <c r="BI1374" s="160"/>
      <c r="BJ1374" s="160"/>
      <c r="BK1374" s="160"/>
      <c r="BL1374" s="160"/>
      <c r="BM1374" s="160"/>
      <c r="BN1374" s="160"/>
      <c r="BO1374" s="160"/>
      <c r="BP1374" s="160"/>
      <c r="BQ1374" s="160"/>
      <c r="BR1374" s="160"/>
      <c r="BS1374" s="160"/>
      <c r="BT1374" s="160"/>
      <c r="BU1374" s="160"/>
      <c r="BV1374" s="160"/>
      <c r="BW1374" s="160"/>
      <c r="BX1374" s="160"/>
      <c r="BY1374" s="160"/>
      <c r="BZ1374" s="160"/>
      <c r="CA1374" s="160"/>
      <c r="CB1374" s="160"/>
      <c r="CC1374" s="160"/>
      <c r="CD1374" s="160"/>
      <c r="CE1374" s="160"/>
      <c r="CF1374" s="160"/>
      <c r="CG1374" s="160"/>
      <c r="CH1374" s="160"/>
      <c r="CI1374" s="160"/>
      <c r="CJ1374" s="160"/>
      <c r="CK1374" s="160"/>
      <c r="CL1374" s="160"/>
      <c r="CM1374" s="160"/>
      <c r="CN1374" s="160"/>
      <c r="CO1374" s="160"/>
      <c r="CP1374" s="162"/>
      <c r="CQ1374" s="163"/>
      <c r="CR1374" s="162"/>
      <c r="CS1374" s="163"/>
      <c r="CT1374" s="162"/>
      <c r="CU1374" s="163"/>
      <c r="CV1374" s="164">
        <f t="shared" si="183"/>
        <v>0</v>
      </c>
      <c r="CW1374" s="165"/>
      <c r="CX1374" s="166"/>
      <c r="CY1374" s="167"/>
      <c r="CZ1374" s="168"/>
      <c r="DA1374" s="169"/>
      <c r="DB1374" s="168"/>
      <c r="DC1374" s="165"/>
      <c r="DD1374" s="166"/>
      <c r="DE1374" s="71"/>
      <c r="DF1374" s="170"/>
      <c r="EO1374" s="353" t="str">
        <f t="shared" si="185"/>
        <v>BOGOTA, D.C._BOGOTA, D.C.</v>
      </c>
      <c r="EP1374" s="350"/>
      <c r="EQ1374" s="350"/>
      <c r="ER1374" s="357"/>
      <c r="ES1374" s="350"/>
      <c r="ET1374" s="350"/>
      <c r="EU1374" s="350"/>
    </row>
    <row r="1375" spans="1:151" s="171" customFormat="1" ht="48" x14ac:dyDescent="0.2">
      <c r="A1375" s="242">
        <v>40473</v>
      </c>
      <c r="B1375" s="222" t="s">
        <v>1719</v>
      </c>
      <c r="C1375" s="222" t="s">
        <v>4267</v>
      </c>
      <c r="D1375" s="430" t="s">
        <v>837</v>
      </c>
      <c r="E1375" s="107" t="str">
        <f>VLOOKUP(B1375&amp;C1375,Divipola!$C$2:$F$1138,4,FALSE)</f>
        <v>19418</v>
      </c>
      <c r="F1375" s="333"/>
      <c r="G1375" s="221"/>
      <c r="H1375" s="157"/>
      <c r="I1375" s="157"/>
      <c r="J1375" s="157">
        <f>800*5</f>
        <v>4000</v>
      </c>
      <c r="K1375" s="157">
        <v>800</v>
      </c>
      <c r="L1375" s="157"/>
      <c r="M1375" s="157"/>
      <c r="N1375" s="157"/>
      <c r="O1375" s="157"/>
      <c r="P1375" s="157"/>
      <c r="Q1375" s="157"/>
      <c r="R1375" s="157"/>
      <c r="S1375" s="157"/>
      <c r="T1375" s="157">
        <v>1</v>
      </c>
      <c r="U1375" s="157"/>
      <c r="V1375" s="158">
        <f>300+120+100</f>
        <v>520</v>
      </c>
      <c r="W1375" s="182" t="s">
        <v>1486</v>
      </c>
      <c r="X1375" s="1">
        <v>40515</v>
      </c>
      <c r="Y1375" s="78">
        <f t="shared" si="180"/>
        <v>87198766</v>
      </c>
      <c r="Z1375" s="78">
        <f t="shared" si="181"/>
        <v>67998768</v>
      </c>
      <c r="AA1375" s="78">
        <f t="shared" si="179"/>
        <v>9999970</v>
      </c>
      <c r="AB1375" s="78">
        <f t="shared" si="182"/>
        <v>0</v>
      </c>
      <c r="AC1375" s="78"/>
      <c r="AD1375" s="78">
        <v>0</v>
      </c>
      <c r="AE1375" s="80">
        <f t="shared" si="184"/>
        <v>165197504</v>
      </c>
      <c r="AF1375" s="82">
        <v>0</v>
      </c>
      <c r="AG1375" s="69">
        <v>40476</v>
      </c>
      <c r="AH1375" s="84">
        <v>58729</v>
      </c>
      <c r="AI1375" s="69" t="s">
        <v>2009</v>
      </c>
      <c r="AJ1375" s="25" t="s">
        <v>2010</v>
      </c>
      <c r="AK1375" s="65">
        <v>25682</v>
      </c>
      <c r="AL1375" s="176" t="s">
        <v>1831</v>
      </c>
      <c r="AM1375" s="173" t="s">
        <v>1485</v>
      </c>
      <c r="AN1375" s="159"/>
      <c r="AO1375" s="160"/>
      <c r="AP1375" s="161"/>
      <c r="AQ1375" s="160"/>
      <c r="AR1375" s="160"/>
      <c r="AS1375" s="160"/>
      <c r="AT1375" s="160"/>
      <c r="AU1375" s="160"/>
      <c r="AV1375" s="160"/>
      <c r="AW1375" s="160"/>
      <c r="AX1375" s="160"/>
      <c r="AY1375" s="160"/>
      <c r="AZ1375" s="160">
        <v>500</v>
      </c>
      <c r="BA1375" s="160">
        <f>500*55999.58</f>
        <v>27999790</v>
      </c>
      <c r="BB1375" s="160"/>
      <c r="BC1375" s="160"/>
      <c r="BD1375" s="160"/>
      <c r="BE1375" s="160"/>
      <c r="BF1375" s="160"/>
      <c r="BG1375" s="160"/>
      <c r="BH1375" s="160"/>
      <c r="BI1375" s="160"/>
      <c r="BJ1375" s="160"/>
      <c r="BK1375" s="160"/>
      <c r="BL1375" s="160"/>
      <c r="BM1375" s="160"/>
      <c r="BN1375" s="160"/>
      <c r="BO1375" s="160"/>
      <c r="BP1375" s="160"/>
      <c r="BQ1375" s="160"/>
      <c r="BR1375" s="160"/>
      <c r="BS1375" s="160"/>
      <c r="BT1375" s="160"/>
      <c r="BU1375" s="160"/>
      <c r="BV1375" s="160"/>
      <c r="BW1375" s="160"/>
      <c r="BX1375" s="160"/>
      <c r="BY1375" s="160"/>
      <c r="BZ1375" s="160"/>
      <c r="CA1375" s="160"/>
      <c r="CB1375" s="160"/>
      <c r="CC1375" s="160"/>
      <c r="CD1375" s="160"/>
      <c r="CE1375" s="160"/>
      <c r="CF1375" s="160"/>
      <c r="CG1375" s="160"/>
      <c r="CH1375" s="160"/>
      <c r="CI1375" s="160"/>
      <c r="CJ1375" s="160"/>
      <c r="CK1375" s="160"/>
      <c r="CL1375" s="160"/>
      <c r="CM1375" s="160"/>
      <c r="CN1375" s="160"/>
      <c r="CO1375" s="160"/>
      <c r="CP1375" s="162">
        <v>800</v>
      </c>
      <c r="CQ1375" s="163">
        <f>800*37999.14</f>
        <v>30399312</v>
      </c>
      <c r="CR1375" s="162">
        <v>800</v>
      </c>
      <c r="CS1375" s="163">
        <f>800*35999.58</f>
        <v>28799664</v>
      </c>
      <c r="CT1375" s="162"/>
      <c r="CU1375" s="163"/>
      <c r="CV1375" s="164">
        <f t="shared" si="183"/>
        <v>87198766</v>
      </c>
      <c r="CW1375" s="165"/>
      <c r="CX1375" s="166"/>
      <c r="CY1375" s="167">
        <v>800</v>
      </c>
      <c r="CZ1375" s="168">
        <f>800*84998.46</f>
        <v>67998768</v>
      </c>
      <c r="DA1375" s="169"/>
      <c r="DB1375" s="168"/>
      <c r="DC1375" s="165">
        <v>500</v>
      </c>
      <c r="DD1375" s="166">
        <f>500*18999.98+2000*249.99</f>
        <v>9999970</v>
      </c>
      <c r="DE1375" s="71"/>
      <c r="DF1375" s="170"/>
      <c r="EO1375" s="353" t="str">
        <f t="shared" si="185"/>
        <v>CAUCA_LOPEZ</v>
      </c>
      <c r="EP1375" s="350"/>
      <c r="EQ1375" s="350"/>
      <c r="ER1375" s="357"/>
      <c r="ES1375" s="350"/>
      <c r="ET1375" s="350"/>
      <c r="EU1375" s="350"/>
    </row>
    <row r="1376" spans="1:151" s="171" customFormat="1" ht="25.5" x14ac:dyDescent="0.2">
      <c r="A1376" s="242">
        <v>40473</v>
      </c>
      <c r="B1376" s="222" t="s">
        <v>2242</v>
      </c>
      <c r="C1376" s="222" t="s">
        <v>189</v>
      </c>
      <c r="D1376" s="430" t="s">
        <v>837</v>
      </c>
      <c r="E1376" s="107" t="str">
        <f>VLOOKUP(B1376&amp;C1376,Divipola!$C$2:$F$1138,4,FALSE)</f>
        <v>20175</v>
      </c>
      <c r="F1376" s="333"/>
      <c r="G1376" s="221"/>
      <c r="H1376" s="157"/>
      <c r="I1376" s="157"/>
      <c r="J1376" s="157">
        <f>200*5</f>
        <v>1000</v>
      </c>
      <c r="K1376" s="157">
        <v>200</v>
      </c>
      <c r="L1376" s="157"/>
      <c r="M1376" s="157">
        <v>420</v>
      </c>
      <c r="N1376" s="157"/>
      <c r="O1376" s="157"/>
      <c r="P1376" s="157"/>
      <c r="Q1376" s="157"/>
      <c r="R1376" s="157"/>
      <c r="S1376" s="157"/>
      <c r="T1376" s="157"/>
      <c r="U1376" s="157"/>
      <c r="V1376" s="158"/>
      <c r="W1376" s="182"/>
      <c r="X1376" s="1"/>
      <c r="Y1376" s="78">
        <f t="shared" si="180"/>
        <v>0</v>
      </c>
      <c r="Z1376" s="78">
        <f t="shared" si="181"/>
        <v>0</v>
      </c>
      <c r="AA1376" s="78">
        <f t="shared" si="179"/>
        <v>0</v>
      </c>
      <c r="AB1376" s="78">
        <f t="shared" si="182"/>
        <v>0</v>
      </c>
      <c r="AC1376" s="78"/>
      <c r="AD1376" s="78">
        <v>0</v>
      </c>
      <c r="AE1376" s="80">
        <f t="shared" si="184"/>
        <v>0</v>
      </c>
      <c r="AF1376" s="82">
        <v>0</v>
      </c>
      <c r="AG1376" s="69">
        <v>40476</v>
      </c>
      <c r="AH1376" s="84"/>
      <c r="AI1376" s="69" t="s">
        <v>1984</v>
      </c>
      <c r="AJ1376" s="25" t="s">
        <v>1985</v>
      </c>
      <c r="AK1376" s="65"/>
      <c r="AL1376" s="176" t="s">
        <v>1257</v>
      </c>
      <c r="AM1376" s="173" t="s">
        <v>1484</v>
      </c>
      <c r="AN1376" s="159"/>
      <c r="AO1376" s="160"/>
      <c r="AP1376" s="161"/>
      <c r="AQ1376" s="160"/>
      <c r="AR1376" s="160"/>
      <c r="AS1376" s="160"/>
      <c r="AT1376" s="160"/>
      <c r="AU1376" s="160"/>
      <c r="AV1376" s="160"/>
      <c r="AW1376" s="160"/>
      <c r="AX1376" s="160"/>
      <c r="AY1376" s="160"/>
      <c r="AZ1376" s="160"/>
      <c r="BA1376" s="160"/>
      <c r="BB1376" s="160"/>
      <c r="BC1376" s="160"/>
      <c r="BD1376" s="160"/>
      <c r="BE1376" s="160"/>
      <c r="BF1376" s="160"/>
      <c r="BG1376" s="160"/>
      <c r="BH1376" s="160"/>
      <c r="BI1376" s="160"/>
      <c r="BJ1376" s="160"/>
      <c r="BK1376" s="160"/>
      <c r="BL1376" s="160"/>
      <c r="BM1376" s="160"/>
      <c r="BN1376" s="160"/>
      <c r="BO1376" s="160"/>
      <c r="BP1376" s="160"/>
      <c r="BQ1376" s="160"/>
      <c r="BR1376" s="160"/>
      <c r="BS1376" s="160"/>
      <c r="BT1376" s="160"/>
      <c r="BU1376" s="160"/>
      <c r="BV1376" s="160"/>
      <c r="BW1376" s="160"/>
      <c r="BX1376" s="160"/>
      <c r="BY1376" s="160"/>
      <c r="BZ1376" s="160"/>
      <c r="CA1376" s="160"/>
      <c r="CB1376" s="160"/>
      <c r="CC1376" s="160"/>
      <c r="CD1376" s="160"/>
      <c r="CE1376" s="160"/>
      <c r="CF1376" s="160"/>
      <c r="CG1376" s="160"/>
      <c r="CH1376" s="160"/>
      <c r="CI1376" s="160"/>
      <c r="CJ1376" s="160"/>
      <c r="CK1376" s="160"/>
      <c r="CL1376" s="160"/>
      <c r="CM1376" s="160"/>
      <c r="CN1376" s="160"/>
      <c r="CO1376" s="160"/>
      <c r="CP1376" s="162"/>
      <c r="CQ1376" s="163"/>
      <c r="CR1376" s="162"/>
      <c r="CS1376" s="163"/>
      <c r="CT1376" s="162"/>
      <c r="CU1376" s="163"/>
      <c r="CV1376" s="164">
        <f t="shared" si="183"/>
        <v>0</v>
      </c>
      <c r="CW1376" s="165"/>
      <c r="CX1376" s="166"/>
      <c r="CY1376" s="167"/>
      <c r="CZ1376" s="168"/>
      <c r="DA1376" s="169"/>
      <c r="DB1376" s="168"/>
      <c r="DC1376" s="165"/>
      <c r="DD1376" s="166"/>
      <c r="DE1376" s="71"/>
      <c r="DF1376" s="170"/>
      <c r="EO1376" s="353" t="str">
        <f t="shared" si="185"/>
        <v>CESAR_CHIMICHAGUA</v>
      </c>
      <c r="EP1376" s="350"/>
      <c r="EQ1376" s="350"/>
      <c r="ER1376" s="357"/>
      <c r="ES1376" s="350"/>
      <c r="ET1376" s="350"/>
      <c r="EU1376" s="350"/>
    </row>
    <row r="1377" spans="1:151" s="171" customFormat="1" ht="25.5" x14ac:dyDescent="0.2">
      <c r="A1377" s="242">
        <v>40473</v>
      </c>
      <c r="B1377" s="222" t="s">
        <v>2242</v>
      </c>
      <c r="C1377" s="222" t="s">
        <v>221</v>
      </c>
      <c r="D1377" s="430" t="s">
        <v>1721</v>
      </c>
      <c r="E1377" s="107" t="str">
        <f>VLOOKUP(B1377&amp;C1377,Divipola!$C$2:$F$1138,4,FALSE)</f>
        <v>20001</v>
      </c>
      <c r="F1377" s="333"/>
      <c r="G1377" s="221"/>
      <c r="H1377" s="157"/>
      <c r="I1377" s="157"/>
      <c r="J1377" s="157">
        <v>5</v>
      </c>
      <c r="K1377" s="157">
        <v>1</v>
      </c>
      <c r="L1377" s="157">
        <v>1</v>
      </c>
      <c r="M1377" s="157"/>
      <c r="N1377" s="157"/>
      <c r="O1377" s="157"/>
      <c r="P1377" s="157"/>
      <c r="Q1377" s="157"/>
      <c r="R1377" s="157"/>
      <c r="S1377" s="157"/>
      <c r="T1377" s="157"/>
      <c r="U1377" s="157"/>
      <c r="V1377" s="158"/>
      <c r="W1377" s="182" t="s">
        <v>1491</v>
      </c>
      <c r="X1377" s="1"/>
      <c r="Y1377" s="78">
        <f t="shared" si="180"/>
        <v>0</v>
      </c>
      <c r="Z1377" s="78">
        <f t="shared" si="181"/>
        <v>0</v>
      </c>
      <c r="AA1377" s="78">
        <f t="shared" si="179"/>
        <v>0</v>
      </c>
      <c r="AB1377" s="78">
        <f t="shared" si="182"/>
        <v>0</v>
      </c>
      <c r="AC1377" s="78"/>
      <c r="AD1377" s="78">
        <v>0</v>
      </c>
      <c r="AE1377" s="80">
        <f t="shared" si="184"/>
        <v>0</v>
      </c>
      <c r="AF1377" s="82">
        <v>0</v>
      </c>
      <c r="AG1377" s="69">
        <v>40476</v>
      </c>
      <c r="AH1377" s="84"/>
      <c r="AI1377" s="69" t="s">
        <v>1984</v>
      </c>
      <c r="AJ1377" s="25" t="s">
        <v>1985</v>
      </c>
      <c r="AK1377" s="65"/>
      <c r="AL1377" s="176" t="s">
        <v>1257</v>
      </c>
      <c r="AM1377" s="173" t="s">
        <v>1490</v>
      </c>
      <c r="AN1377" s="159"/>
      <c r="AO1377" s="160"/>
      <c r="AP1377" s="161"/>
      <c r="AQ1377" s="160"/>
      <c r="AR1377" s="160"/>
      <c r="AS1377" s="160"/>
      <c r="AT1377" s="160"/>
      <c r="AU1377" s="160"/>
      <c r="AV1377" s="160"/>
      <c r="AW1377" s="160"/>
      <c r="AX1377" s="160"/>
      <c r="AY1377" s="160"/>
      <c r="AZ1377" s="160"/>
      <c r="BA1377" s="160"/>
      <c r="BB1377" s="160"/>
      <c r="BC1377" s="160"/>
      <c r="BD1377" s="160"/>
      <c r="BE1377" s="160"/>
      <c r="BF1377" s="160"/>
      <c r="BG1377" s="160"/>
      <c r="BH1377" s="160"/>
      <c r="BI1377" s="160"/>
      <c r="BJ1377" s="160"/>
      <c r="BK1377" s="160"/>
      <c r="BL1377" s="160"/>
      <c r="BM1377" s="160"/>
      <c r="BN1377" s="160"/>
      <c r="BO1377" s="160"/>
      <c r="BP1377" s="160"/>
      <c r="BQ1377" s="160"/>
      <c r="BR1377" s="160"/>
      <c r="BS1377" s="160"/>
      <c r="BT1377" s="160"/>
      <c r="BU1377" s="160"/>
      <c r="BV1377" s="160"/>
      <c r="BW1377" s="160"/>
      <c r="BX1377" s="160"/>
      <c r="BY1377" s="160"/>
      <c r="BZ1377" s="160"/>
      <c r="CA1377" s="160"/>
      <c r="CB1377" s="160"/>
      <c r="CC1377" s="160"/>
      <c r="CD1377" s="160"/>
      <c r="CE1377" s="160"/>
      <c r="CF1377" s="160"/>
      <c r="CG1377" s="160"/>
      <c r="CH1377" s="160"/>
      <c r="CI1377" s="160"/>
      <c r="CJ1377" s="160"/>
      <c r="CK1377" s="160"/>
      <c r="CL1377" s="160"/>
      <c r="CM1377" s="160"/>
      <c r="CN1377" s="160"/>
      <c r="CO1377" s="160"/>
      <c r="CP1377" s="162"/>
      <c r="CQ1377" s="163"/>
      <c r="CR1377" s="162"/>
      <c r="CS1377" s="163"/>
      <c r="CT1377" s="162"/>
      <c r="CU1377" s="163"/>
      <c r="CV1377" s="164">
        <f t="shared" si="183"/>
        <v>0</v>
      </c>
      <c r="CW1377" s="165"/>
      <c r="CX1377" s="166"/>
      <c r="CY1377" s="167"/>
      <c r="CZ1377" s="168"/>
      <c r="DA1377" s="169"/>
      <c r="DB1377" s="168"/>
      <c r="DC1377" s="165"/>
      <c r="DD1377" s="166"/>
      <c r="DE1377" s="71"/>
      <c r="DF1377" s="170"/>
      <c r="EO1377" s="353" t="str">
        <f t="shared" si="185"/>
        <v>CESAR_VALLEDUPAR</v>
      </c>
      <c r="EP1377" s="350"/>
      <c r="EQ1377" s="350"/>
      <c r="ER1377" s="357"/>
      <c r="ES1377" s="350"/>
      <c r="ET1377" s="350"/>
      <c r="EU1377" s="350"/>
    </row>
    <row r="1378" spans="1:151" s="171" customFormat="1" ht="60" x14ac:dyDescent="0.2">
      <c r="A1378" s="242">
        <v>40473</v>
      </c>
      <c r="B1378" s="222" t="s">
        <v>1333</v>
      </c>
      <c r="C1378" s="222" t="s">
        <v>226</v>
      </c>
      <c r="D1378" s="430" t="s">
        <v>837</v>
      </c>
      <c r="E1378" s="107" t="str">
        <f>VLOOKUP(B1378&amp;C1378,Divipola!$C$2:$F$1138,4,FALSE)</f>
        <v>41001</v>
      </c>
      <c r="F1378" s="333"/>
      <c r="G1378" s="221"/>
      <c r="H1378" s="157"/>
      <c r="I1378" s="157"/>
      <c r="J1378" s="157">
        <v>70</v>
      </c>
      <c r="K1378" s="157">
        <v>14</v>
      </c>
      <c r="L1378" s="157"/>
      <c r="M1378" s="157">
        <v>14</v>
      </c>
      <c r="N1378" s="157"/>
      <c r="O1378" s="157"/>
      <c r="P1378" s="157"/>
      <c r="Q1378" s="157"/>
      <c r="R1378" s="157"/>
      <c r="S1378" s="157"/>
      <c r="T1378" s="157"/>
      <c r="U1378" s="157"/>
      <c r="V1378" s="158"/>
      <c r="W1378" s="182"/>
      <c r="X1378" s="1"/>
      <c r="Y1378" s="78">
        <f t="shared" si="180"/>
        <v>0</v>
      </c>
      <c r="Z1378" s="78">
        <f t="shared" si="181"/>
        <v>0</v>
      </c>
      <c r="AA1378" s="78">
        <f t="shared" si="179"/>
        <v>0</v>
      </c>
      <c r="AB1378" s="78">
        <f t="shared" si="182"/>
        <v>0</v>
      </c>
      <c r="AC1378" s="78"/>
      <c r="AD1378" s="78">
        <v>0</v>
      </c>
      <c r="AE1378" s="80">
        <f t="shared" si="184"/>
        <v>0</v>
      </c>
      <c r="AF1378" s="82">
        <v>0</v>
      </c>
      <c r="AG1378" s="69">
        <v>40476</v>
      </c>
      <c r="AH1378" s="84"/>
      <c r="AI1378" s="69" t="s">
        <v>1984</v>
      </c>
      <c r="AJ1378" s="25" t="s">
        <v>1985</v>
      </c>
      <c r="AK1378" s="65"/>
      <c r="AL1378" s="176" t="s">
        <v>1257</v>
      </c>
      <c r="AM1378" s="173" t="s">
        <v>2965</v>
      </c>
      <c r="AN1378" s="159"/>
      <c r="AO1378" s="160"/>
      <c r="AP1378" s="161"/>
      <c r="AQ1378" s="160"/>
      <c r="AR1378" s="160"/>
      <c r="AS1378" s="160"/>
      <c r="AT1378" s="160"/>
      <c r="AU1378" s="160"/>
      <c r="AV1378" s="160"/>
      <c r="AW1378" s="160"/>
      <c r="AX1378" s="160"/>
      <c r="AY1378" s="160"/>
      <c r="AZ1378" s="160"/>
      <c r="BA1378" s="160"/>
      <c r="BB1378" s="160"/>
      <c r="BC1378" s="160"/>
      <c r="BD1378" s="160"/>
      <c r="BE1378" s="160"/>
      <c r="BF1378" s="160"/>
      <c r="BG1378" s="160"/>
      <c r="BH1378" s="160"/>
      <c r="BI1378" s="160"/>
      <c r="BJ1378" s="160"/>
      <c r="BK1378" s="160"/>
      <c r="BL1378" s="160"/>
      <c r="BM1378" s="160"/>
      <c r="BN1378" s="160"/>
      <c r="BO1378" s="160"/>
      <c r="BP1378" s="160"/>
      <c r="BQ1378" s="160"/>
      <c r="BR1378" s="160"/>
      <c r="BS1378" s="160"/>
      <c r="BT1378" s="160"/>
      <c r="BU1378" s="160"/>
      <c r="BV1378" s="160"/>
      <c r="BW1378" s="160"/>
      <c r="BX1378" s="160"/>
      <c r="BY1378" s="160"/>
      <c r="BZ1378" s="160"/>
      <c r="CA1378" s="160"/>
      <c r="CB1378" s="160"/>
      <c r="CC1378" s="160"/>
      <c r="CD1378" s="160"/>
      <c r="CE1378" s="160"/>
      <c r="CF1378" s="160"/>
      <c r="CG1378" s="160"/>
      <c r="CH1378" s="160"/>
      <c r="CI1378" s="160"/>
      <c r="CJ1378" s="160"/>
      <c r="CK1378" s="160"/>
      <c r="CL1378" s="160"/>
      <c r="CM1378" s="160"/>
      <c r="CN1378" s="160"/>
      <c r="CO1378" s="160"/>
      <c r="CP1378" s="162"/>
      <c r="CQ1378" s="163"/>
      <c r="CR1378" s="162"/>
      <c r="CS1378" s="163"/>
      <c r="CT1378" s="162"/>
      <c r="CU1378" s="163"/>
      <c r="CV1378" s="164">
        <f t="shared" si="183"/>
        <v>0</v>
      </c>
      <c r="CW1378" s="165"/>
      <c r="CX1378" s="166"/>
      <c r="CY1378" s="167"/>
      <c r="CZ1378" s="168"/>
      <c r="DA1378" s="169"/>
      <c r="DB1378" s="168"/>
      <c r="DC1378" s="165"/>
      <c r="DD1378" s="166"/>
      <c r="DE1378" s="71"/>
      <c r="DF1378" s="170"/>
      <c r="EO1378" s="353" t="str">
        <f t="shared" si="185"/>
        <v>HUILA_NEIVA</v>
      </c>
      <c r="EP1378" s="350"/>
      <c r="EQ1378" s="350"/>
      <c r="ER1378" s="357"/>
      <c r="ES1378" s="350"/>
      <c r="ET1378" s="350"/>
      <c r="EU1378" s="350"/>
    </row>
    <row r="1379" spans="1:151" s="171" customFormat="1" ht="25.5" x14ac:dyDescent="0.2">
      <c r="A1379" s="246">
        <v>40474</v>
      </c>
      <c r="B1379" s="280" t="s">
        <v>2401</v>
      </c>
      <c r="C1379" s="280" t="s">
        <v>2267</v>
      </c>
      <c r="D1379" s="432" t="s">
        <v>837</v>
      </c>
      <c r="E1379" s="107" t="str">
        <f>VLOOKUP(B1379&amp;C1379,Divipola!$C$2:$F$1138,4,FALSE)</f>
        <v>05837</v>
      </c>
      <c r="F1379" s="337"/>
      <c r="G1379" s="221">
        <v>2</v>
      </c>
      <c r="H1379" s="157">
        <v>1</v>
      </c>
      <c r="I1379" s="157"/>
      <c r="J1379" s="157">
        <f>11463-135</f>
        <v>11328</v>
      </c>
      <c r="K1379" s="157">
        <f>4441-27</f>
        <v>4414</v>
      </c>
      <c r="L1379" s="157"/>
      <c r="M1379" s="157">
        <v>4414</v>
      </c>
      <c r="N1379" s="157"/>
      <c r="O1379" s="157"/>
      <c r="P1379" s="157"/>
      <c r="Q1379" s="157"/>
      <c r="R1379" s="157"/>
      <c r="S1379" s="157"/>
      <c r="T1379" s="157"/>
      <c r="U1379" s="157"/>
      <c r="V1379" s="158"/>
      <c r="W1379" s="182"/>
      <c r="X1379" s="1"/>
      <c r="Y1379" s="78">
        <f t="shared" si="180"/>
        <v>0</v>
      </c>
      <c r="Z1379" s="78">
        <f t="shared" si="181"/>
        <v>0</v>
      </c>
      <c r="AA1379" s="78">
        <f t="shared" si="179"/>
        <v>0</v>
      </c>
      <c r="AB1379" s="78">
        <f t="shared" si="182"/>
        <v>0</v>
      </c>
      <c r="AC1379" s="78"/>
      <c r="AD1379" s="78">
        <v>0</v>
      </c>
      <c r="AE1379" s="80">
        <f t="shared" si="184"/>
        <v>0</v>
      </c>
      <c r="AF1379" s="82">
        <v>0</v>
      </c>
      <c r="AG1379" s="69">
        <v>40476</v>
      </c>
      <c r="AH1379" s="84"/>
      <c r="AI1379" s="69" t="s">
        <v>1984</v>
      </c>
      <c r="AJ1379" s="25" t="s">
        <v>1985</v>
      </c>
      <c r="AK1379" s="65"/>
      <c r="AL1379" s="176" t="s">
        <v>1257</v>
      </c>
      <c r="AM1379" s="173" t="s">
        <v>1487</v>
      </c>
      <c r="AN1379" s="159"/>
      <c r="AO1379" s="160"/>
      <c r="AP1379" s="161"/>
      <c r="AQ1379" s="160"/>
      <c r="AR1379" s="160"/>
      <c r="AS1379" s="160"/>
      <c r="AT1379" s="160"/>
      <c r="AU1379" s="160"/>
      <c r="AV1379" s="160"/>
      <c r="AW1379" s="160"/>
      <c r="AX1379" s="160"/>
      <c r="AY1379" s="160"/>
      <c r="AZ1379" s="160"/>
      <c r="BA1379" s="160"/>
      <c r="BB1379" s="160"/>
      <c r="BC1379" s="160"/>
      <c r="BD1379" s="160"/>
      <c r="BE1379" s="160"/>
      <c r="BF1379" s="160"/>
      <c r="BG1379" s="160"/>
      <c r="BH1379" s="160"/>
      <c r="BI1379" s="160"/>
      <c r="BJ1379" s="160"/>
      <c r="BK1379" s="160"/>
      <c r="BL1379" s="160"/>
      <c r="BM1379" s="160"/>
      <c r="BN1379" s="160"/>
      <c r="BO1379" s="160"/>
      <c r="BP1379" s="160"/>
      <c r="BQ1379" s="160"/>
      <c r="BR1379" s="160"/>
      <c r="BS1379" s="160"/>
      <c r="BT1379" s="160"/>
      <c r="BU1379" s="160"/>
      <c r="BV1379" s="160"/>
      <c r="BW1379" s="160"/>
      <c r="BX1379" s="160"/>
      <c r="BY1379" s="160"/>
      <c r="BZ1379" s="160"/>
      <c r="CA1379" s="160"/>
      <c r="CB1379" s="160"/>
      <c r="CC1379" s="160"/>
      <c r="CD1379" s="160"/>
      <c r="CE1379" s="160"/>
      <c r="CF1379" s="160"/>
      <c r="CG1379" s="160"/>
      <c r="CH1379" s="160"/>
      <c r="CI1379" s="160"/>
      <c r="CJ1379" s="160"/>
      <c r="CK1379" s="160"/>
      <c r="CL1379" s="160"/>
      <c r="CM1379" s="160"/>
      <c r="CN1379" s="160"/>
      <c r="CO1379" s="160"/>
      <c r="CP1379" s="162"/>
      <c r="CQ1379" s="163"/>
      <c r="CR1379" s="162"/>
      <c r="CS1379" s="163"/>
      <c r="CT1379" s="162"/>
      <c r="CU1379" s="163"/>
      <c r="CV1379" s="164">
        <f t="shared" si="183"/>
        <v>0</v>
      </c>
      <c r="CW1379" s="165"/>
      <c r="CX1379" s="166"/>
      <c r="CY1379" s="167"/>
      <c r="CZ1379" s="168"/>
      <c r="DA1379" s="169"/>
      <c r="DB1379" s="168"/>
      <c r="DC1379" s="165"/>
      <c r="DD1379" s="166"/>
      <c r="DE1379" s="71"/>
      <c r="DF1379" s="170"/>
      <c r="EO1379" s="353" t="str">
        <f t="shared" si="185"/>
        <v>ANTIOQUIA_TURBO</v>
      </c>
      <c r="EP1379" s="350"/>
      <c r="EQ1379" s="350"/>
      <c r="ER1379" s="357"/>
      <c r="ES1379" s="350"/>
      <c r="ET1379" s="350"/>
      <c r="EU1379" s="350"/>
    </row>
    <row r="1380" spans="1:151" s="171" customFormat="1" ht="38.25" x14ac:dyDescent="0.2">
      <c r="A1380" s="242">
        <v>40474</v>
      </c>
      <c r="B1380" s="222" t="s">
        <v>1951</v>
      </c>
      <c r="C1380" s="222" t="s">
        <v>1989</v>
      </c>
      <c r="D1380" s="430" t="s">
        <v>837</v>
      </c>
      <c r="E1380" s="107" t="str">
        <f>VLOOKUP(B1380&amp;C1380,Divipola!$C$2:$F$1138,4,FALSE)</f>
        <v>08001</v>
      </c>
      <c r="F1380" s="333"/>
      <c r="G1380" s="221"/>
      <c r="H1380" s="157"/>
      <c r="I1380" s="157"/>
      <c r="J1380" s="157">
        <v>1500</v>
      </c>
      <c r="K1380" s="157">
        <v>300</v>
      </c>
      <c r="L1380" s="157"/>
      <c r="M1380" s="157">
        <v>300</v>
      </c>
      <c r="N1380" s="157"/>
      <c r="O1380" s="157"/>
      <c r="P1380" s="157"/>
      <c r="Q1380" s="157"/>
      <c r="R1380" s="157"/>
      <c r="S1380" s="157"/>
      <c r="T1380" s="157"/>
      <c r="U1380" s="157"/>
      <c r="V1380" s="158"/>
      <c r="W1380" s="182"/>
      <c r="X1380" s="1"/>
      <c r="Y1380" s="78">
        <f t="shared" si="180"/>
        <v>0</v>
      </c>
      <c r="Z1380" s="78">
        <f t="shared" si="181"/>
        <v>0</v>
      </c>
      <c r="AA1380" s="78">
        <f t="shared" si="179"/>
        <v>0</v>
      </c>
      <c r="AB1380" s="78">
        <f t="shared" si="182"/>
        <v>0</v>
      </c>
      <c r="AC1380" s="78"/>
      <c r="AD1380" s="78">
        <v>0</v>
      </c>
      <c r="AE1380" s="80">
        <f t="shared" si="184"/>
        <v>0</v>
      </c>
      <c r="AF1380" s="82">
        <v>0</v>
      </c>
      <c r="AG1380" s="69">
        <v>40476</v>
      </c>
      <c r="AH1380" s="84"/>
      <c r="AI1380" s="69" t="s">
        <v>1984</v>
      </c>
      <c r="AJ1380" s="25" t="s">
        <v>1985</v>
      </c>
      <c r="AK1380" s="65"/>
      <c r="AL1380" s="176" t="s">
        <v>1257</v>
      </c>
      <c r="AM1380" s="173" t="s">
        <v>1488</v>
      </c>
      <c r="AN1380" s="159"/>
      <c r="AO1380" s="160"/>
      <c r="AP1380" s="161"/>
      <c r="AQ1380" s="160"/>
      <c r="AR1380" s="160"/>
      <c r="AS1380" s="160"/>
      <c r="AT1380" s="160"/>
      <c r="AU1380" s="160"/>
      <c r="AV1380" s="160"/>
      <c r="AW1380" s="160"/>
      <c r="AX1380" s="160"/>
      <c r="AY1380" s="160"/>
      <c r="AZ1380" s="160"/>
      <c r="BA1380" s="160"/>
      <c r="BB1380" s="160"/>
      <c r="BC1380" s="160"/>
      <c r="BD1380" s="160"/>
      <c r="BE1380" s="160"/>
      <c r="BF1380" s="160"/>
      <c r="BG1380" s="160"/>
      <c r="BH1380" s="160"/>
      <c r="BI1380" s="160"/>
      <c r="BJ1380" s="160"/>
      <c r="BK1380" s="160"/>
      <c r="BL1380" s="160"/>
      <c r="BM1380" s="160"/>
      <c r="BN1380" s="160"/>
      <c r="BO1380" s="160"/>
      <c r="BP1380" s="160"/>
      <c r="BQ1380" s="160"/>
      <c r="BR1380" s="160"/>
      <c r="BS1380" s="160"/>
      <c r="BT1380" s="160"/>
      <c r="BU1380" s="160"/>
      <c r="BV1380" s="160"/>
      <c r="BW1380" s="160"/>
      <c r="BX1380" s="160"/>
      <c r="BY1380" s="160"/>
      <c r="BZ1380" s="160"/>
      <c r="CA1380" s="160"/>
      <c r="CB1380" s="160"/>
      <c r="CC1380" s="160"/>
      <c r="CD1380" s="160"/>
      <c r="CE1380" s="160"/>
      <c r="CF1380" s="160"/>
      <c r="CG1380" s="160"/>
      <c r="CH1380" s="160"/>
      <c r="CI1380" s="160"/>
      <c r="CJ1380" s="160"/>
      <c r="CK1380" s="160"/>
      <c r="CL1380" s="160"/>
      <c r="CM1380" s="160"/>
      <c r="CN1380" s="160"/>
      <c r="CO1380" s="160"/>
      <c r="CP1380" s="162"/>
      <c r="CQ1380" s="163"/>
      <c r="CR1380" s="162"/>
      <c r="CS1380" s="163"/>
      <c r="CT1380" s="162"/>
      <c r="CU1380" s="163"/>
      <c r="CV1380" s="164">
        <f t="shared" si="183"/>
        <v>0</v>
      </c>
      <c r="CW1380" s="165"/>
      <c r="CX1380" s="166"/>
      <c r="CY1380" s="167"/>
      <c r="CZ1380" s="168"/>
      <c r="DA1380" s="169"/>
      <c r="DB1380" s="168"/>
      <c r="DC1380" s="165"/>
      <c r="DD1380" s="166"/>
      <c r="DE1380" s="71"/>
      <c r="DF1380" s="170"/>
      <c r="EO1380" s="353" t="str">
        <f t="shared" si="185"/>
        <v>ATLANTICO_BARRANQUILLA</v>
      </c>
      <c r="EP1380" s="350"/>
      <c r="EQ1380" s="350"/>
      <c r="ER1380" s="357"/>
      <c r="ES1380" s="350"/>
      <c r="ET1380" s="350"/>
      <c r="EU1380" s="350"/>
    </row>
    <row r="1381" spans="1:151" s="171" customFormat="1" ht="48" x14ac:dyDescent="0.2">
      <c r="A1381" s="242">
        <v>40475</v>
      </c>
      <c r="B1381" s="222" t="s">
        <v>2017</v>
      </c>
      <c r="C1381" s="222" t="s">
        <v>1215</v>
      </c>
      <c r="D1381" s="427" t="s">
        <v>2307</v>
      </c>
      <c r="E1381" s="107" t="str">
        <f>VLOOKUP(B1381&amp;C1381,Divipola!$C$2:$F$1138,4,FALSE)</f>
        <v>13001</v>
      </c>
      <c r="F1381" s="330"/>
      <c r="G1381" s="221"/>
      <c r="H1381" s="157"/>
      <c r="I1381" s="157"/>
      <c r="J1381" s="157">
        <v>33</v>
      </c>
      <c r="K1381" s="157">
        <v>6</v>
      </c>
      <c r="L1381" s="157"/>
      <c r="M1381" s="157">
        <v>6</v>
      </c>
      <c r="N1381" s="157"/>
      <c r="O1381" s="157"/>
      <c r="P1381" s="157"/>
      <c r="Q1381" s="157"/>
      <c r="R1381" s="157"/>
      <c r="S1381" s="157"/>
      <c r="T1381" s="157"/>
      <c r="U1381" s="157"/>
      <c r="V1381" s="158"/>
      <c r="W1381" s="182"/>
      <c r="X1381" s="1"/>
      <c r="Y1381" s="78">
        <f t="shared" si="180"/>
        <v>0</v>
      </c>
      <c r="Z1381" s="78">
        <f t="shared" si="181"/>
        <v>0</v>
      </c>
      <c r="AA1381" s="78">
        <f t="shared" si="179"/>
        <v>0</v>
      </c>
      <c r="AB1381" s="78">
        <f t="shared" si="182"/>
        <v>0</v>
      </c>
      <c r="AC1381" s="78"/>
      <c r="AD1381" s="78">
        <v>0</v>
      </c>
      <c r="AE1381" s="80">
        <f t="shared" si="184"/>
        <v>0</v>
      </c>
      <c r="AF1381" s="82">
        <v>0</v>
      </c>
      <c r="AG1381" s="69">
        <v>40477</v>
      </c>
      <c r="AH1381" s="84"/>
      <c r="AI1381" s="69" t="s">
        <v>1984</v>
      </c>
      <c r="AJ1381" s="25" t="s">
        <v>1985</v>
      </c>
      <c r="AK1381" s="65"/>
      <c r="AL1381" s="176" t="s">
        <v>1257</v>
      </c>
      <c r="AM1381" s="173" t="s">
        <v>2285</v>
      </c>
      <c r="AN1381" s="159"/>
      <c r="AO1381" s="160"/>
      <c r="AP1381" s="161"/>
      <c r="AQ1381" s="160"/>
      <c r="AR1381" s="160"/>
      <c r="AS1381" s="160"/>
      <c r="AT1381" s="160"/>
      <c r="AU1381" s="160"/>
      <c r="AV1381" s="160"/>
      <c r="AW1381" s="160"/>
      <c r="AX1381" s="160"/>
      <c r="AY1381" s="160"/>
      <c r="AZ1381" s="160"/>
      <c r="BA1381" s="160"/>
      <c r="BB1381" s="160"/>
      <c r="BC1381" s="160"/>
      <c r="BD1381" s="160"/>
      <c r="BE1381" s="160"/>
      <c r="BF1381" s="160"/>
      <c r="BG1381" s="160"/>
      <c r="BH1381" s="160"/>
      <c r="BI1381" s="160"/>
      <c r="BJ1381" s="160"/>
      <c r="BK1381" s="160"/>
      <c r="BL1381" s="160"/>
      <c r="BM1381" s="160"/>
      <c r="BN1381" s="160"/>
      <c r="BO1381" s="160"/>
      <c r="BP1381" s="160"/>
      <c r="BQ1381" s="160"/>
      <c r="BR1381" s="160"/>
      <c r="BS1381" s="160"/>
      <c r="BT1381" s="160"/>
      <c r="BU1381" s="160"/>
      <c r="BV1381" s="160"/>
      <c r="BW1381" s="160"/>
      <c r="BX1381" s="160"/>
      <c r="BY1381" s="160"/>
      <c r="BZ1381" s="160"/>
      <c r="CA1381" s="160"/>
      <c r="CB1381" s="160"/>
      <c r="CC1381" s="160"/>
      <c r="CD1381" s="160"/>
      <c r="CE1381" s="160"/>
      <c r="CF1381" s="160"/>
      <c r="CG1381" s="160"/>
      <c r="CH1381" s="160"/>
      <c r="CI1381" s="160"/>
      <c r="CJ1381" s="160"/>
      <c r="CK1381" s="160"/>
      <c r="CL1381" s="160"/>
      <c r="CM1381" s="160"/>
      <c r="CN1381" s="160"/>
      <c r="CO1381" s="160"/>
      <c r="CP1381" s="162"/>
      <c r="CQ1381" s="163"/>
      <c r="CR1381" s="162"/>
      <c r="CS1381" s="163"/>
      <c r="CT1381" s="162"/>
      <c r="CU1381" s="163"/>
      <c r="CV1381" s="164">
        <f t="shared" si="183"/>
        <v>0</v>
      </c>
      <c r="CW1381" s="165"/>
      <c r="CX1381" s="166"/>
      <c r="CY1381" s="167"/>
      <c r="CZ1381" s="168"/>
      <c r="DA1381" s="169"/>
      <c r="DB1381" s="168"/>
      <c r="DC1381" s="165"/>
      <c r="DD1381" s="166"/>
      <c r="DE1381" s="71"/>
      <c r="DF1381" s="170"/>
      <c r="EO1381" s="353" t="str">
        <f t="shared" si="185"/>
        <v>BOLIVAR_CARTAGENA</v>
      </c>
      <c r="EP1381" s="350"/>
      <c r="EQ1381" s="350"/>
      <c r="ER1381" s="357"/>
      <c r="ES1381" s="350"/>
      <c r="ET1381" s="350"/>
      <c r="EU1381" s="350"/>
    </row>
    <row r="1382" spans="1:151" s="171" customFormat="1" ht="25.5" x14ac:dyDescent="0.2">
      <c r="A1382" s="242">
        <v>40475</v>
      </c>
      <c r="B1382" s="222" t="s">
        <v>289</v>
      </c>
      <c r="C1382" s="222" t="s">
        <v>2012</v>
      </c>
      <c r="D1382" s="430" t="s">
        <v>2209</v>
      </c>
      <c r="E1382" s="107" t="str">
        <f>VLOOKUP(B1382&amp;C1382,Divipola!$C$2:$F$1138,4,FALSE)</f>
        <v>17616</v>
      </c>
      <c r="F1382" s="333"/>
      <c r="G1382" s="221"/>
      <c r="H1382" s="157"/>
      <c r="I1382" s="157"/>
      <c r="J1382" s="157">
        <f>108*5</f>
        <v>540</v>
      </c>
      <c r="K1382" s="157">
        <v>108</v>
      </c>
      <c r="L1382" s="157">
        <v>1</v>
      </c>
      <c r="M1382" s="157">
        <v>16</v>
      </c>
      <c r="N1382" s="157"/>
      <c r="O1382" s="157"/>
      <c r="P1382" s="157"/>
      <c r="Q1382" s="157"/>
      <c r="R1382" s="157"/>
      <c r="S1382" s="157"/>
      <c r="T1382" s="157"/>
      <c r="U1382" s="157"/>
      <c r="V1382" s="158"/>
      <c r="W1382" s="182"/>
      <c r="X1382" s="1"/>
      <c r="Y1382" s="78">
        <f t="shared" si="180"/>
        <v>0</v>
      </c>
      <c r="Z1382" s="78">
        <f t="shared" si="181"/>
        <v>0</v>
      </c>
      <c r="AA1382" s="78">
        <f t="shared" si="179"/>
        <v>0</v>
      </c>
      <c r="AB1382" s="78">
        <f t="shared" si="182"/>
        <v>0</v>
      </c>
      <c r="AC1382" s="78"/>
      <c r="AD1382" s="78">
        <v>0</v>
      </c>
      <c r="AE1382" s="80">
        <f t="shared" si="184"/>
        <v>0</v>
      </c>
      <c r="AF1382" s="82">
        <v>0</v>
      </c>
      <c r="AG1382" s="69">
        <v>40484</v>
      </c>
      <c r="AH1382" s="84"/>
      <c r="AI1382" s="69" t="s">
        <v>2009</v>
      </c>
      <c r="AJ1382" s="25" t="s">
        <v>2010</v>
      </c>
      <c r="AK1382" s="65"/>
      <c r="AL1382" s="184" t="s">
        <v>3833</v>
      </c>
      <c r="AM1382" s="173" t="s">
        <v>2055</v>
      </c>
      <c r="AN1382" s="159"/>
      <c r="AO1382" s="160"/>
      <c r="AP1382" s="161"/>
      <c r="AQ1382" s="160"/>
      <c r="AR1382" s="160"/>
      <c r="AS1382" s="160"/>
      <c r="AT1382" s="160"/>
      <c r="AU1382" s="160"/>
      <c r="AV1382" s="160"/>
      <c r="AW1382" s="160"/>
      <c r="AX1382" s="160"/>
      <c r="AY1382" s="160"/>
      <c r="AZ1382" s="160"/>
      <c r="BA1382" s="160"/>
      <c r="BB1382" s="160"/>
      <c r="BC1382" s="160"/>
      <c r="BD1382" s="160"/>
      <c r="BE1382" s="160"/>
      <c r="BF1382" s="160"/>
      <c r="BG1382" s="160"/>
      <c r="BH1382" s="160"/>
      <c r="BI1382" s="160"/>
      <c r="BJ1382" s="160"/>
      <c r="BK1382" s="160"/>
      <c r="BL1382" s="160"/>
      <c r="BM1382" s="160"/>
      <c r="BN1382" s="160"/>
      <c r="BO1382" s="160"/>
      <c r="BP1382" s="160"/>
      <c r="BQ1382" s="160"/>
      <c r="BR1382" s="160"/>
      <c r="BS1382" s="160"/>
      <c r="BT1382" s="160"/>
      <c r="BU1382" s="160"/>
      <c r="BV1382" s="160"/>
      <c r="BW1382" s="160"/>
      <c r="BX1382" s="160"/>
      <c r="BY1382" s="160"/>
      <c r="BZ1382" s="160"/>
      <c r="CA1382" s="160"/>
      <c r="CB1382" s="160"/>
      <c r="CC1382" s="160"/>
      <c r="CD1382" s="160"/>
      <c r="CE1382" s="160"/>
      <c r="CF1382" s="160"/>
      <c r="CG1382" s="160"/>
      <c r="CH1382" s="160"/>
      <c r="CI1382" s="160"/>
      <c r="CJ1382" s="160"/>
      <c r="CK1382" s="160"/>
      <c r="CL1382" s="160"/>
      <c r="CM1382" s="160"/>
      <c r="CN1382" s="160"/>
      <c r="CO1382" s="160"/>
      <c r="CP1382" s="162"/>
      <c r="CQ1382" s="163"/>
      <c r="CR1382" s="162"/>
      <c r="CS1382" s="163"/>
      <c r="CT1382" s="162"/>
      <c r="CU1382" s="163"/>
      <c r="CV1382" s="164">
        <f t="shared" si="183"/>
        <v>0</v>
      </c>
      <c r="CW1382" s="165"/>
      <c r="CX1382" s="166"/>
      <c r="CY1382" s="167"/>
      <c r="CZ1382" s="168"/>
      <c r="DA1382" s="169"/>
      <c r="DB1382" s="168"/>
      <c r="DC1382" s="165"/>
      <c r="DD1382" s="166"/>
      <c r="DE1382" s="71"/>
      <c r="DF1382" s="170"/>
      <c r="EO1382" s="353" t="str">
        <f t="shared" si="185"/>
        <v>CALDAS_RISARALDA</v>
      </c>
      <c r="EP1382" s="350"/>
      <c r="EQ1382" s="350"/>
      <c r="ER1382" s="357"/>
      <c r="ES1382" s="350"/>
      <c r="ET1382" s="350"/>
      <c r="EU1382" s="350"/>
    </row>
    <row r="1383" spans="1:151" s="171" customFormat="1" ht="38.25" x14ac:dyDescent="0.2">
      <c r="A1383" s="242">
        <v>40475</v>
      </c>
      <c r="B1383" s="222" t="s">
        <v>832</v>
      </c>
      <c r="C1383" s="222" t="s">
        <v>1512</v>
      </c>
      <c r="D1383" s="430" t="s">
        <v>2209</v>
      </c>
      <c r="E1383" s="107" t="str">
        <f>VLOOKUP(B1383&amp;C1383,Divipola!$C$2:$F$1138,4,FALSE)</f>
        <v>86569</v>
      </c>
      <c r="F1383" s="333"/>
      <c r="G1383" s="221"/>
      <c r="H1383" s="157"/>
      <c r="I1383" s="157"/>
      <c r="J1383" s="157">
        <f>250*5</f>
        <v>1250</v>
      </c>
      <c r="K1383" s="157">
        <v>250</v>
      </c>
      <c r="L1383" s="157"/>
      <c r="M1383" s="157">
        <v>42</v>
      </c>
      <c r="N1383" s="157"/>
      <c r="O1383" s="157"/>
      <c r="P1383" s="157"/>
      <c r="Q1383" s="157"/>
      <c r="R1383" s="157"/>
      <c r="S1383" s="157"/>
      <c r="T1383" s="157"/>
      <c r="U1383" s="157"/>
      <c r="V1383" s="158"/>
      <c r="W1383" s="182"/>
      <c r="X1383" s="1"/>
      <c r="Y1383" s="78">
        <f t="shared" si="180"/>
        <v>0</v>
      </c>
      <c r="Z1383" s="78">
        <f t="shared" si="181"/>
        <v>0</v>
      </c>
      <c r="AA1383" s="78">
        <f t="shared" si="179"/>
        <v>0</v>
      </c>
      <c r="AB1383" s="78">
        <f t="shared" si="182"/>
        <v>0</v>
      </c>
      <c r="AC1383" s="78"/>
      <c r="AD1383" s="78">
        <v>0</v>
      </c>
      <c r="AE1383" s="80">
        <f t="shared" si="184"/>
        <v>0</v>
      </c>
      <c r="AF1383" s="82">
        <v>0</v>
      </c>
      <c r="AG1383" s="69">
        <v>40616</v>
      </c>
      <c r="AH1383" s="84"/>
      <c r="AI1383" s="69" t="s">
        <v>1984</v>
      </c>
      <c r="AJ1383" s="25" t="s">
        <v>1985</v>
      </c>
      <c r="AK1383" s="65"/>
      <c r="AL1383" s="176" t="s">
        <v>1257</v>
      </c>
      <c r="AM1383" s="173" t="s">
        <v>1513</v>
      </c>
      <c r="AN1383" s="159"/>
      <c r="AO1383" s="160"/>
      <c r="AP1383" s="161"/>
      <c r="AQ1383" s="160"/>
      <c r="AR1383" s="160"/>
      <c r="AS1383" s="160"/>
      <c r="AT1383" s="160"/>
      <c r="AU1383" s="160"/>
      <c r="AV1383" s="160"/>
      <c r="AW1383" s="160"/>
      <c r="AX1383" s="160"/>
      <c r="AY1383" s="160"/>
      <c r="AZ1383" s="160"/>
      <c r="BA1383" s="160"/>
      <c r="BB1383" s="160"/>
      <c r="BC1383" s="160"/>
      <c r="BD1383" s="160"/>
      <c r="BE1383" s="160"/>
      <c r="BF1383" s="160"/>
      <c r="BG1383" s="160"/>
      <c r="BH1383" s="160"/>
      <c r="BI1383" s="160"/>
      <c r="BJ1383" s="160"/>
      <c r="BK1383" s="160"/>
      <c r="BL1383" s="160"/>
      <c r="BM1383" s="160"/>
      <c r="BN1383" s="160"/>
      <c r="BO1383" s="160"/>
      <c r="BP1383" s="160"/>
      <c r="BQ1383" s="160"/>
      <c r="BR1383" s="160"/>
      <c r="BS1383" s="160"/>
      <c r="BT1383" s="160"/>
      <c r="BU1383" s="160"/>
      <c r="BV1383" s="160"/>
      <c r="BW1383" s="160"/>
      <c r="BX1383" s="160"/>
      <c r="BY1383" s="160"/>
      <c r="BZ1383" s="160"/>
      <c r="CA1383" s="160"/>
      <c r="CB1383" s="160"/>
      <c r="CC1383" s="160"/>
      <c r="CD1383" s="160"/>
      <c r="CE1383" s="160"/>
      <c r="CF1383" s="160"/>
      <c r="CG1383" s="160"/>
      <c r="CH1383" s="160"/>
      <c r="CI1383" s="160"/>
      <c r="CJ1383" s="160"/>
      <c r="CK1383" s="160"/>
      <c r="CL1383" s="160"/>
      <c r="CM1383" s="160"/>
      <c r="CN1383" s="160"/>
      <c r="CO1383" s="160"/>
      <c r="CP1383" s="162"/>
      <c r="CQ1383" s="163"/>
      <c r="CR1383" s="162"/>
      <c r="CS1383" s="163"/>
      <c r="CT1383" s="162"/>
      <c r="CU1383" s="163"/>
      <c r="CV1383" s="164">
        <f t="shared" si="183"/>
        <v>0</v>
      </c>
      <c r="CW1383" s="165"/>
      <c r="CX1383" s="166"/>
      <c r="CY1383" s="167"/>
      <c r="CZ1383" s="168"/>
      <c r="DA1383" s="169"/>
      <c r="DB1383" s="168"/>
      <c r="DC1383" s="165"/>
      <c r="DD1383" s="166"/>
      <c r="DE1383" s="71"/>
      <c r="DF1383" s="170"/>
      <c r="EO1383" s="353" t="str">
        <f t="shared" si="185"/>
        <v>PUTUMAYO_PUERTO CAICEDO</v>
      </c>
      <c r="EP1383" s="350"/>
      <c r="EQ1383" s="350"/>
      <c r="ER1383" s="357"/>
      <c r="ES1383" s="350"/>
      <c r="ET1383" s="350"/>
      <c r="EU1383" s="350"/>
    </row>
    <row r="1384" spans="1:151" s="171" customFormat="1" ht="51" x14ac:dyDescent="0.2">
      <c r="A1384" s="242">
        <v>40475</v>
      </c>
      <c r="B1384" s="222" t="s">
        <v>1462</v>
      </c>
      <c r="C1384" s="222" t="s">
        <v>103</v>
      </c>
      <c r="D1384" s="430" t="s">
        <v>2209</v>
      </c>
      <c r="E1384" s="107" t="str">
        <f>VLOOKUP(B1384&amp;C1384,Divipola!$C$2:$F$1138,4,FALSE)</f>
        <v>76670</v>
      </c>
      <c r="F1384" s="333"/>
      <c r="G1384" s="221"/>
      <c r="H1384" s="157"/>
      <c r="I1384" s="157"/>
      <c r="J1384" s="157">
        <f>200*5</f>
        <v>1000</v>
      </c>
      <c r="K1384" s="157">
        <v>200</v>
      </c>
      <c r="L1384" s="157"/>
      <c r="M1384" s="157">
        <v>200</v>
      </c>
      <c r="N1384" s="157"/>
      <c r="O1384" s="157"/>
      <c r="P1384" s="157"/>
      <c r="Q1384" s="157"/>
      <c r="R1384" s="157"/>
      <c r="S1384" s="157"/>
      <c r="T1384" s="157"/>
      <c r="U1384" s="157"/>
      <c r="V1384" s="158"/>
      <c r="W1384" s="182"/>
      <c r="X1384" s="1"/>
      <c r="Y1384" s="78">
        <f t="shared" si="180"/>
        <v>28365000</v>
      </c>
      <c r="Z1384" s="78">
        <f t="shared" si="181"/>
        <v>25925000</v>
      </c>
      <c r="AA1384" s="78">
        <f t="shared" si="179"/>
        <v>0</v>
      </c>
      <c r="AB1384" s="78">
        <f t="shared" si="182"/>
        <v>0</v>
      </c>
      <c r="AC1384" s="78"/>
      <c r="AD1384" s="78">
        <v>0</v>
      </c>
      <c r="AE1384" s="80">
        <f t="shared" si="184"/>
        <v>54290000</v>
      </c>
      <c r="AF1384" s="82">
        <v>0</v>
      </c>
      <c r="AG1384" s="69">
        <v>40476</v>
      </c>
      <c r="AH1384" s="84"/>
      <c r="AI1384" s="69" t="s">
        <v>2009</v>
      </c>
      <c r="AJ1384" s="25" t="s">
        <v>2010</v>
      </c>
      <c r="AK1384" s="65"/>
      <c r="AL1384" s="176" t="s">
        <v>1257</v>
      </c>
      <c r="AM1384" s="173" t="s">
        <v>1492</v>
      </c>
      <c r="AN1384" s="159" t="s">
        <v>2865</v>
      </c>
      <c r="AO1384" s="160"/>
      <c r="AP1384" s="161"/>
      <c r="AQ1384" s="160"/>
      <c r="AR1384" s="160"/>
      <c r="AS1384" s="160"/>
      <c r="AT1384" s="160"/>
      <c r="AU1384" s="160"/>
      <c r="AV1384" s="160"/>
      <c r="AW1384" s="160"/>
      <c r="AX1384" s="160"/>
      <c r="AY1384" s="160"/>
      <c r="AZ1384" s="160">
        <v>305</v>
      </c>
      <c r="BA1384" s="160">
        <f>305*56000</f>
        <v>17080000</v>
      </c>
      <c r="BB1384" s="160"/>
      <c r="BC1384" s="160"/>
      <c r="BD1384" s="160"/>
      <c r="BE1384" s="160"/>
      <c r="BF1384" s="160"/>
      <c r="BG1384" s="160"/>
      <c r="BH1384" s="160"/>
      <c r="BI1384" s="160"/>
      <c r="BJ1384" s="160"/>
      <c r="BK1384" s="160"/>
      <c r="BL1384" s="160"/>
      <c r="BM1384" s="160"/>
      <c r="BN1384" s="160"/>
      <c r="BO1384" s="160"/>
      <c r="BP1384" s="160"/>
      <c r="BQ1384" s="160"/>
      <c r="BR1384" s="160"/>
      <c r="BS1384" s="160"/>
      <c r="BT1384" s="160"/>
      <c r="BU1384" s="160"/>
      <c r="BV1384" s="160"/>
      <c r="BW1384" s="160"/>
      <c r="BX1384" s="160"/>
      <c r="BY1384" s="160"/>
      <c r="BZ1384" s="160"/>
      <c r="CA1384" s="160"/>
      <c r="CB1384" s="160"/>
      <c r="CC1384" s="160"/>
      <c r="CD1384" s="160"/>
      <c r="CE1384" s="160"/>
      <c r="CF1384" s="160"/>
      <c r="CG1384" s="160"/>
      <c r="CH1384" s="160"/>
      <c r="CI1384" s="160"/>
      <c r="CJ1384" s="160"/>
      <c r="CK1384" s="160"/>
      <c r="CL1384" s="160"/>
      <c r="CM1384" s="160"/>
      <c r="CN1384" s="160"/>
      <c r="CO1384" s="160"/>
      <c r="CP1384" s="162">
        <v>305</v>
      </c>
      <c r="CQ1384" s="163">
        <f>305*37000</f>
        <v>11285000</v>
      </c>
      <c r="CR1384" s="162"/>
      <c r="CS1384" s="163"/>
      <c r="CT1384" s="162"/>
      <c r="CU1384" s="163"/>
      <c r="CV1384" s="164">
        <f t="shared" si="183"/>
        <v>28365000</v>
      </c>
      <c r="CW1384" s="165"/>
      <c r="CX1384" s="166"/>
      <c r="CY1384" s="167">
        <v>305</v>
      </c>
      <c r="CZ1384" s="168">
        <f>305*85000</f>
        <v>25925000</v>
      </c>
      <c r="DA1384" s="169"/>
      <c r="DB1384" s="168"/>
      <c r="DC1384" s="165"/>
      <c r="DD1384" s="166"/>
      <c r="DE1384" s="71"/>
      <c r="DF1384" s="170"/>
      <c r="EO1384" s="353" t="str">
        <f t="shared" si="185"/>
        <v>VALLE DEL CAUCA_SAN PEDRO</v>
      </c>
      <c r="EP1384" s="350"/>
      <c r="EQ1384" s="350"/>
      <c r="ER1384" s="357"/>
      <c r="ES1384" s="350"/>
      <c r="ET1384" s="350"/>
      <c r="EU1384" s="350"/>
    </row>
    <row r="1385" spans="1:151" s="171" customFormat="1" ht="38.25" x14ac:dyDescent="0.2">
      <c r="A1385" s="242">
        <v>40475.606249999997</v>
      </c>
      <c r="B1385" s="107" t="s">
        <v>6305</v>
      </c>
      <c r="C1385" s="107" t="s">
        <v>6305</v>
      </c>
      <c r="D1385" s="430" t="s">
        <v>837</v>
      </c>
      <c r="E1385" s="107" t="str">
        <f>VLOOKUP(B1385&amp;C1385,Divipola!$C$2:$F$1138,4,FALSE)</f>
        <v>11001</v>
      </c>
      <c r="F1385" s="333"/>
      <c r="G1385" s="221"/>
      <c r="H1385" s="157"/>
      <c r="I1385" s="157"/>
      <c r="J1385" s="157"/>
      <c r="K1385" s="414"/>
      <c r="L1385" s="157"/>
      <c r="M1385" s="157"/>
      <c r="N1385" s="157"/>
      <c r="O1385" s="157"/>
      <c r="P1385" s="157"/>
      <c r="Q1385" s="157"/>
      <c r="R1385" s="157"/>
      <c r="S1385" s="157"/>
      <c r="T1385" s="157"/>
      <c r="U1385" s="157"/>
      <c r="V1385" s="158"/>
      <c r="W1385" s="182"/>
      <c r="X1385" s="1"/>
      <c r="Y1385" s="78">
        <f t="shared" si="180"/>
        <v>0</v>
      </c>
      <c r="Z1385" s="78">
        <f t="shared" si="181"/>
        <v>0</v>
      </c>
      <c r="AA1385" s="78">
        <f t="shared" si="179"/>
        <v>0</v>
      </c>
      <c r="AB1385" s="78">
        <f t="shared" si="182"/>
        <v>0</v>
      </c>
      <c r="AC1385" s="78"/>
      <c r="AD1385" s="78">
        <v>0</v>
      </c>
      <c r="AE1385" s="80">
        <f t="shared" si="184"/>
        <v>0</v>
      </c>
      <c r="AF1385" s="82">
        <v>0</v>
      </c>
      <c r="AG1385" s="306">
        <v>40624</v>
      </c>
      <c r="AH1385" s="307"/>
      <c r="AI1385" s="306" t="s">
        <v>1984</v>
      </c>
      <c r="AJ1385" s="308" t="s">
        <v>1985</v>
      </c>
      <c r="AK1385" s="309"/>
      <c r="AL1385" s="310" t="s">
        <v>1257</v>
      </c>
      <c r="AM1385" s="419" t="s">
        <v>3757</v>
      </c>
      <c r="AN1385" s="159"/>
      <c r="AO1385" s="160"/>
      <c r="AP1385" s="161"/>
      <c r="AQ1385" s="160"/>
      <c r="AR1385" s="160"/>
      <c r="AS1385" s="160"/>
      <c r="AT1385" s="160"/>
      <c r="AU1385" s="160"/>
      <c r="AV1385" s="160"/>
      <c r="AW1385" s="160"/>
      <c r="AX1385" s="160"/>
      <c r="AY1385" s="160"/>
      <c r="AZ1385" s="160"/>
      <c r="BA1385" s="160"/>
      <c r="BB1385" s="160"/>
      <c r="BC1385" s="160"/>
      <c r="BD1385" s="160"/>
      <c r="BE1385" s="160"/>
      <c r="BF1385" s="160"/>
      <c r="BG1385" s="160"/>
      <c r="BH1385" s="160"/>
      <c r="BI1385" s="160"/>
      <c r="BJ1385" s="160"/>
      <c r="BK1385" s="160"/>
      <c r="BL1385" s="160"/>
      <c r="BM1385" s="160"/>
      <c r="BN1385" s="160"/>
      <c r="BO1385" s="160"/>
      <c r="BP1385" s="160"/>
      <c r="BQ1385" s="160"/>
      <c r="BR1385" s="160"/>
      <c r="BS1385" s="160"/>
      <c r="BT1385" s="160"/>
      <c r="BU1385" s="160"/>
      <c r="BV1385" s="160"/>
      <c r="BW1385" s="160"/>
      <c r="BX1385" s="160"/>
      <c r="BY1385" s="160"/>
      <c r="BZ1385" s="160"/>
      <c r="CA1385" s="160"/>
      <c r="CB1385" s="160"/>
      <c r="CC1385" s="160"/>
      <c r="CD1385" s="160"/>
      <c r="CE1385" s="160"/>
      <c r="CF1385" s="160"/>
      <c r="CG1385" s="160"/>
      <c r="CH1385" s="160"/>
      <c r="CI1385" s="160"/>
      <c r="CJ1385" s="160"/>
      <c r="CK1385" s="160"/>
      <c r="CL1385" s="160"/>
      <c r="CM1385" s="160"/>
      <c r="CN1385" s="160"/>
      <c r="CO1385" s="160"/>
      <c r="CP1385" s="162"/>
      <c r="CQ1385" s="163"/>
      <c r="CR1385" s="162"/>
      <c r="CS1385" s="163"/>
      <c r="CT1385" s="162"/>
      <c r="CU1385" s="163"/>
      <c r="CV1385" s="164">
        <f t="shared" si="183"/>
        <v>0</v>
      </c>
      <c r="CW1385" s="165"/>
      <c r="CX1385" s="166"/>
      <c r="CY1385" s="167"/>
      <c r="CZ1385" s="168"/>
      <c r="DA1385" s="169"/>
      <c r="DB1385" s="168"/>
      <c r="DC1385" s="165"/>
      <c r="DD1385" s="166"/>
      <c r="DE1385" s="71"/>
      <c r="DF1385" s="170"/>
      <c r="EO1385" s="353" t="str">
        <f t="shared" si="185"/>
        <v>BOGOTA, D.C._BOGOTA, D.C.</v>
      </c>
      <c r="EP1385" s="350"/>
      <c r="EQ1385" s="350"/>
      <c r="ER1385" s="357"/>
      <c r="ES1385" s="350"/>
      <c r="ET1385" s="350"/>
      <c r="EU1385" s="350"/>
    </row>
    <row r="1386" spans="1:151" s="171" customFormat="1" ht="38.25" x14ac:dyDescent="0.2">
      <c r="A1386" s="242">
        <v>40475.738888888889</v>
      </c>
      <c r="B1386" s="107" t="s">
        <v>6305</v>
      </c>
      <c r="C1386" s="107" t="s">
        <v>6305</v>
      </c>
      <c r="D1386" s="430" t="s">
        <v>2307</v>
      </c>
      <c r="E1386" s="107" t="str">
        <f>VLOOKUP(B1386&amp;C1386,Divipola!$C$2:$F$1138,4,FALSE)</f>
        <v>11001</v>
      </c>
      <c r="F1386" s="333"/>
      <c r="G1386" s="221"/>
      <c r="H1386" s="157"/>
      <c r="I1386" s="157"/>
      <c r="J1386" s="157"/>
      <c r="K1386" s="414"/>
      <c r="L1386" s="157"/>
      <c r="M1386" s="157"/>
      <c r="N1386" s="157"/>
      <c r="O1386" s="157"/>
      <c r="P1386" s="157"/>
      <c r="Q1386" s="157"/>
      <c r="R1386" s="157"/>
      <c r="S1386" s="157"/>
      <c r="T1386" s="157"/>
      <c r="U1386" s="157"/>
      <c r="V1386" s="158"/>
      <c r="W1386" s="182"/>
      <c r="X1386" s="1"/>
      <c r="Y1386" s="78">
        <f t="shared" si="180"/>
        <v>0</v>
      </c>
      <c r="Z1386" s="78">
        <f t="shared" si="181"/>
        <v>0</v>
      </c>
      <c r="AA1386" s="78">
        <f t="shared" si="179"/>
        <v>0</v>
      </c>
      <c r="AB1386" s="78">
        <f t="shared" si="182"/>
        <v>0</v>
      </c>
      <c r="AC1386" s="78"/>
      <c r="AD1386" s="78">
        <v>0</v>
      </c>
      <c r="AE1386" s="80">
        <f t="shared" si="184"/>
        <v>0</v>
      </c>
      <c r="AF1386" s="82">
        <v>0</v>
      </c>
      <c r="AG1386" s="306">
        <v>40624</v>
      </c>
      <c r="AH1386" s="307"/>
      <c r="AI1386" s="306" t="s">
        <v>1984</v>
      </c>
      <c r="AJ1386" s="308" t="s">
        <v>1985</v>
      </c>
      <c r="AK1386" s="309"/>
      <c r="AL1386" s="310" t="s">
        <v>1257</v>
      </c>
      <c r="AM1386" s="419" t="s">
        <v>3758</v>
      </c>
      <c r="AN1386" s="159"/>
      <c r="AO1386" s="160"/>
      <c r="AP1386" s="161"/>
      <c r="AQ1386" s="160"/>
      <c r="AR1386" s="160"/>
      <c r="AS1386" s="160"/>
      <c r="AT1386" s="160"/>
      <c r="AU1386" s="160"/>
      <c r="AV1386" s="160"/>
      <c r="AW1386" s="160"/>
      <c r="AX1386" s="160"/>
      <c r="AY1386" s="160"/>
      <c r="AZ1386" s="160"/>
      <c r="BA1386" s="160"/>
      <c r="BB1386" s="160"/>
      <c r="BC1386" s="160"/>
      <c r="BD1386" s="160"/>
      <c r="BE1386" s="160"/>
      <c r="BF1386" s="160"/>
      <c r="BG1386" s="160"/>
      <c r="BH1386" s="160"/>
      <c r="BI1386" s="160"/>
      <c r="BJ1386" s="160"/>
      <c r="BK1386" s="160"/>
      <c r="BL1386" s="160"/>
      <c r="BM1386" s="160"/>
      <c r="BN1386" s="160"/>
      <c r="BO1386" s="160"/>
      <c r="BP1386" s="160"/>
      <c r="BQ1386" s="160"/>
      <c r="BR1386" s="160"/>
      <c r="BS1386" s="160"/>
      <c r="BT1386" s="160"/>
      <c r="BU1386" s="160"/>
      <c r="BV1386" s="160"/>
      <c r="BW1386" s="160"/>
      <c r="BX1386" s="160"/>
      <c r="BY1386" s="160"/>
      <c r="BZ1386" s="160"/>
      <c r="CA1386" s="160"/>
      <c r="CB1386" s="160"/>
      <c r="CC1386" s="160"/>
      <c r="CD1386" s="160"/>
      <c r="CE1386" s="160"/>
      <c r="CF1386" s="160"/>
      <c r="CG1386" s="160"/>
      <c r="CH1386" s="160"/>
      <c r="CI1386" s="160"/>
      <c r="CJ1386" s="160"/>
      <c r="CK1386" s="160"/>
      <c r="CL1386" s="160"/>
      <c r="CM1386" s="160"/>
      <c r="CN1386" s="160"/>
      <c r="CO1386" s="160"/>
      <c r="CP1386" s="162"/>
      <c r="CQ1386" s="163"/>
      <c r="CR1386" s="162"/>
      <c r="CS1386" s="163"/>
      <c r="CT1386" s="162"/>
      <c r="CU1386" s="163"/>
      <c r="CV1386" s="164">
        <f t="shared" si="183"/>
        <v>0</v>
      </c>
      <c r="CW1386" s="165"/>
      <c r="CX1386" s="166"/>
      <c r="CY1386" s="167"/>
      <c r="CZ1386" s="168"/>
      <c r="DA1386" s="169"/>
      <c r="DB1386" s="168"/>
      <c r="DC1386" s="165"/>
      <c r="DD1386" s="166"/>
      <c r="DE1386" s="71"/>
      <c r="DF1386" s="170"/>
      <c r="EO1386" s="353" t="str">
        <f t="shared" si="185"/>
        <v>BOGOTA, D.C._BOGOTA, D.C.</v>
      </c>
      <c r="EP1386" s="350"/>
      <c r="EQ1386" s="350"/>
      <c r="ER1386" s="357"/>
      <c r="ES1386" s="350"/>
      <c r="ET1386" s="350"/>
      <c r="EU1386" s="350"/>
    </row>
    <row r="1387" spans="1:151" s="171" customFormat="1" ht="38.25" x14ac:dyDescent="0.2">
      <c r="A1387" s="242">
        <v>40475.802083333336</v>
      </c>
      <c r="B1387" s="107" t="s">
        <v>6305</v>
      </c>
      <c r="C1387" s="107" t="s">
        <v>6305</v>
      </c>
      <c r="D1387" s="430" t="s">
        <v>837</v>
      </c>
      <c r="E1387" s="107" t="str">
        <f>VLOOKUP(B1387&amp;C1387,Divipola!$C$2:$F$1138,4,FALSE)</f>
        <v>11001</v>
      </c>
      <c r="F1387" s="333"/>
      <c r="G1387" s="221"/>
      <c r="H1387" s="157"/>
      <c r="I1387" s="157"/>
      <c r="J1387" s="157">
        <v>6</v>
      </c>
      <c r="K1387" s="414">
        <v>1</v>
      </c>
      <c r="L1387" s="157"/>
      <c r="M1387" s="157"/>
      <c r="N1387" s="157"/>
      <c r="O1387" s="157"/>
      <c r="P1387" s="157"/>
      <c r="Q1387" s="157"/>
      <c r="R1387" s="157"/>
      <c r="S1387" s="157"/>
      <c r="T1387" s="157"/>
      <c r="U1387" s="157"/>
      <c r="V1387" s="158"/>
      <c r="W1387" s="182"/>
      <c r="X1387" s="1"/>
      <c r="Y1387" s="78">
        <f t="shared" si="180"/>
        <v>0</v>
      </c>
      <c r="Z1387" s="78">
        <f t="shared" si="181"/>
        <v>0</v>
      </c>
      <c r="AA1387" s="78">
        <f t="shared" si="179"/>
        <v>0</v>
      </c>
      <c r="AB1387" s="78">
        <f t="shared" si="182"/>
        <v>0</v>
      </c>
      <c r="AC1387" s="78"/>
      <c r="AD1387" s="78">
        <v>0</v>
      </c>
      <c r="AE1387" s="80">
        <f t="shared" si="184"/>
        <v>0</v>
      </c>
      <c r="AF1387" s="82">
        <v>0</v>
      </c>
      <c r="AG1387" s="306">
        <v>40624</v>
      </c>
      <c r="AH1387" s="307"/>
      <c r="AI1387" s="306" t="s">
        <v>1984</v>
      </c>
      <c r="AJ1387" s="308" t="s">
        <v>1985</v>
      </c>
      <c r="AK1387" s="309"/>
      <c r="AL1387" s="310" t="s">
        <v>1257</v>
      </c>
      <c r="AM1387" s="419" t="s">
        <v>3757</v>
      </c>
      <c r="AN1387" s="159"/>
      <c r="AO1387" s="160"/>
      <c r="AP1387" s="161"/>
      <c r="AQ1387" s="160"/>
      <c r="AR1387" s="160"/>
      <c r="AS1387" s="160"/>
      <c r="AT1387" s="160"/>
      <c r="AU1387" s="160"/>
      <c r="AV1387" s="160"/>
      <c r="AW1387" s="160"/>
      <c r="AX1387" s="160"/>
      <c r="AY1387" s="160"/>
      <c r="AZ1387" s="160"/>
      <c r="BA1387" s="160"/>
      <c r="BB1387" s="160"/>
      <c r="BC1387" s="160"/>
      <c r="BD1387" s="160"/>
      <c r="BE1387" s="160"/>
      <c r="BF1387" s="160"/>
      <c r="BG1387" s="160"/>
      <c r="BH1387" s="160"/>
      <c r="BI1387" s="160"/>
      <c r="BJ1387" s="160"/>
      <c r="BK1387" s="160"/>
      <c r="BL1387" s="160"/>
      <c r="BM1387" s="160"/>
      <c r="BN1387" s="160"/>
      <c r="BO1387" s="160"/>
      <c r="BP1387" s="160"/>
      <c r="BQ1387" s="160"/>
      <c r="BR1387" s="160"/>
      <c r="BS1387" s="160"/>
      <c r="BT1387" s="160"/>
      <c r="BU1387" s="160"/>
      <c r="BV1387" s="160"/>
      <c r="BW1387" s="160"/>
      <c r="BX1387" s="160"/>
      <c r="BY1387" s="160"/>
      <c r="BZ1387" s="160"/>
      <c r="CA1387" s="160"/>
      <c r="CB1387" s="160"/>
      <c r="CC1387" s="160"/>
      <c r="CD1387" s="160"/>
      <c r="CE1387" s="160"/>
      <c r="CF1387" s="160"/>
      <c r="CG1387" s="160"/>
      <c r="CH1387" s="160"/>
      <c r="CI1387" s="160"/>
      <c r="CJ1387" s="160"/>
      <c r="CK1387" s="160"/>
      <c r="CL1387" s="160"/>
      <c r="CM1387" s="160"/>
      <c r="CN1387" s="160"/>
      <c r="CO1387" s="160"/>
      <c r="CP1387" s="162"/>
      <c r="CQ1387" s="163"/>
      <c r="CR1387" s="162"/>
      <c r="CS1387" s="163"/>
      <c r="CT1387" s="162"/>
      <c r="CU1387" s="163"/>
      <c r="CV1387" s="164">
        <f t="shared" si="183"/>
        <v>0</v>
      </c>
      <c r="CW1387" s="165"/>
      <c r="CX1387" s="166"/>
      <c r="CY1387" s="167"/>
      <c r="CZ1387" s="168"/>
      <c r="DA1387" s="169"/>
      <c r="DB1387" s="168"/>
      <c r="DC1387" s="165"/>
      <c r="DD1387" s="166"/>
      <c r="DE1387" s="71"/>
      <c r="DF1387" s="170"/>
      <c r="EO1387" s="353" t="str">
        <f t="shared" si="185"/>
        <v>BOGOTA, D.C._BOGOTA, D.C.</v>
      </c>
      <c r="EP1387" s="350"/>
      <c r="EQ1387" s="350"/>
      <c r="ER1387" s="357"/>
      <c r="ES1387" s="350"/>
      <c r="ET1387" s="350"/>
      <c r="EU1387" s="350"/>
    </row>
    <row r="1388" spans="1:151" s="171" customFormat="1" ht="38.25" x14ac:dyDescent="0.2">
      <c r="A1388" s="242">
        <v>40475.8125</v>
      </c>
      <c r="B1388" s="107" t="s">
        <v>6305</v>
      </c>
      <c r="C1388" s="107" t="s">
        <v>6305</v>
      </c>
      <c r="D1388" s="430" t="s">
        <v>837</v>
      </c>
      <c r="E1388" s="107" t="str">
        <f>VLOOKUP(B1388&amp;C1388,Divipola!$C$2:$F$1138,4,FALSE)</f>
        <v>11001</v>
      </c>
      <c r="F1388" s="333"/>
      <c r="G1388" s="221"/>
      <c r="H1388" s="157"/>
      <c r="I1388" s="157"/>
      <c r="J1388" s="157"/>
      <c r="K1388" s="414"/>
      <c r="L1388" s="157"/>
      <c r="M1388" s="157"/>
      <c r="N1388" s="157"/>
      <c r="O1388" s="157"/>
      <c r="P1388" s="157"/>
      <c r="Q1388" s="157"/>
      <c r="R1388" s="157"/>
      <c r="S1388" s="157"/>
      <c r="T1388" s="157"/>
      <c r="U1388" s="157"/>
      <c r="V1388" s="158"/>
      <c r="W1388" s="182"/>
      <c r="X1388" s="1"/>
      <c r="Y1388" s="78">
        <f t="shared" si="180"/>
        <v>0</v>
      </c>
      <c r="Z1388" s="78">
        <f t="shared" si="181"/>
        <v>0</v>
      </c>
      <c r="AA1388" s="78">
        <f t="shared" si="179"/>
        <v>0</v>
      </c>
      <c r="AB1388" s="78">
        <f t="shared" si="182"/>
        <v>0</v>
      </c>
      <c r="AC1388" s="78"/>
      <c r="AD1388" s="78">
        <v>0</v>
      </c>
      <c r="AE1388" s="80">
        <f t="shared" si="184"/>
        <v>0</v>
      </c>
      <c r="AF1388" s="82">
        <v>0</v>
      </c>
      <c r="AG1388" s="306">
        <v>40624</v>
      </c>
      <c r="AH1388" s="307"/>
      <c r="AI1388" s="306" t="s">
        <v>1984</v>
      </c>
      <c r="AJ1388" s="308" t="s">
        <v>1985</v>
      </c>
      <c r="AK1388" s="309"/>
      <c r="AL1388" s="310" t="s">
        <v>1257</v>
      </c>
      <c r="AM1388" s="419" t="s">
        <v>3759</v>
      </c>
      <c r="AN1388" s="159"/>
      <c r="AO1388" s="160"/>
      <c r="AP1388" s="161"/>
      <c r="AQ1388" s="160"/>
      <c r="AR1388" s="160"/>
      <c r="AS1388" s="160"/>
      <c r="AT1388" s="160"/>
      <c r="AU1388" s="160"/>
      <c r="AV1388" s="160"/>
      <c r="AW1388" s="160"/>
      <c r="AX1388" s="160"/>
      <c r="AY1388" s="160"/>
      <c r="AZ1388" s="160"/>
      <c r="BA1388" s="160"/>
      <c r="BB1388" s="160"/>
      <c r="BC1388" s="160"/>
      <c r="BD1388" s="160"/>
      <c r="BE1388" s="160"/>
      <c r="BF1388" s="160"/>
      <c r="BG1388" s="160"/>
      <c r="BH1388" s="160"/>
      <c r="BI1388" s="160"/>
      <c r="BJ1388" s="160"/>
      <c r="BK1388" s="160"/>
      <c r="BL1388" s="160"/>
      <c r="BM1388" s="160"/>
      <c r="BN1388" s="160"/>
      <c r="BO1388" s="160"/>
      <c r="BP1388" s="160"/>
      <c r="BQ1388" s="160"/>
      <c r="BR1388" s="160"/>
      <c r="BS1388" s="160"/>
      <c r="BT1388" s="160"/>
      <c r="BU1388" s="160"/>
      <c r="BV1388" s="160"/>
      <c r="BW1388" s="160"/>
      <c r="BX1388" s="160"/>
      <c r="BY1388" s="160"/>
      <c r="BZ1388" s="160"/>
      <c r="CA1388" s="160"/>
      <c r="CB1388" s="160"/>
      <c r="CC1388" s="160"/>
      <c r="CD1388" s="160"/>
      <c r="CE1388" s="160"/>
      <c r="CF1388" s="160"/>
      <c r="CG1388" s="160"/>
      <c r="CH1388" s="160"/>
      <c r="CI1388" s="160"/>
      <c r="CJ1388" s="160"/>
      <c r="CK1388" s="160"/>
      <c r="CL1388" s="160"/>
      <c r="CM1388" s="160"/>
      <c r="CN1388" s="160"/>
      <c r="CO1388" s="160"/>
      <c r="CP1388" s="162"/>
      <c r="CQ1388" s="163"/>
      <c r="CR1388" s="162"/>
      <c r="CS1388" s="163"/>
      <c r="CT1388" s="162"/>
      <c r="CU1388" s="163"/>
      <c r="CV1388" s="164">
        <f t="shared" si="183"/>
        <v>0</v>
      </c>
      <c r="CW1388" s="165"/>
      <c r="CX1388" s="166"/>
      <c r="CY1388" s="167"/>
      <c r="CZ1388" s="168"/>
      <c r="DA1388" s="169"/>
      <c r="DB1388" s="168"/>
      <c r="DC1388" s="165"/>
      <c r="DD1388" s="166"/>
      <c r="DE1388" s="71"/>
      <c r="DF1388" s="170"/>
      <c r="EO1388" s="353" t="str">
        <f t="shared" si="185"/>
        <v>BOGOTA, D.C._BOGOTA, D.C.</v>
      </c>
      <c r="EP1388" s="350"/>
      <c r="EQ1388" s="350"/>
      <c r="ER1388" s="357"/>
      <c r="ES1388" s="350"/>
      <c r="ET1388" s="350"/>
      <c r="EU1388" s="350"/>
    </row>
    <row r="1389" spans="1:151" s="171" customFormat="1" ht="36" x14ac:dyDescent="0.2">
      <c r="A1389" s="242">
        <v>40476</v>
      </c>
      <c r="B1389" s="222" t="s">
        <v>1719</v>
      </c>
      <c r="C1389" s="107" t="s">
        <v>1720</v>
      </c>
      <c r="D1389" s="427" t="s">
        <v>2307</v>
      </c>
      <c r="E1389" s="107" t="str">
        <f>VLOOKUP(B1389&amp;C1389,Divipola!$C$2:$F$1138,4,FALSE)</f>
        <v>19001</v>
      </c>
      <c r="F1389" s="330"/>
      <c r="G1389" s="221"/>
      <c r="H1389" s="157"/>
      <c r="I1389" s="157"/>
      <c r="J1389" s="157">
        <v>27</v>
      </c>
      <c r="K1389" s="157">
        <v>5</v>
      </c>
      <c r="L1389" s="157"/>
      <c r="M1389" s="157">
        <v>5</v>
      </c>
      <c r="N1389" s="157"/>
      <c r="O1389" s="157"/>
      <c r="P1389" s="157"/>
      <c r="Q1389" s="157"/>
      <c r="R1389" s="157"/>
      <c r="S1389" s="157"/>
      <c r="T1389" s="157"/>
      <c r="U1389" s="157"/>
      <c r="V1389" s="158"/>
      <c r="W1389" s="182"/>
      <c r="X1389" s="1"/>
      <c r="Y1389" s="78">
        <f t="shared" si="180"/>
        <v>0</v>
      </c>
      <c r="Z1389" s="78">
        <f t="shared" si="181"/>
        <v>0</v>
      </c>
      <c r="AA1389" s="78">
        <f t="shared" si="179"/>
        <v>0</v>
      </c>
      <c r="AB1389" s="78">
        <f t="shared" si="182"/>
        <v>0</v>
      </c>
      <c r="AC1389" s="78"/>
      <c r="AD1389" s="78">
        <v>0</v>
      </c>
      <c r="AE1389" s="80">
        <f t="shared" si="184"/>
        <v>0</v>
      </c>
      <c r="AF1389" s="82">
        <v>0</v>
      </c>
      <c r="AG1389" s="69">
        <v>40477</v>
      </c>
      <c r="AH1389" s="84"/>
      <c r="AI1389" s="69" t="s">
        <v>1984</v>
      </c>
      <c r="AJ1389" s="25" t="s">
        <v>1985</v>
      </c>
      <c r="AK1389" s="65"/>
      <c r="AL1389" s="176" t="s">
        <v>1257</v>
      </c>
      <c r="AM1389" s="173" t="s">
        <v>2286</v>
      </c>
      <c r="AN1389" s="159"/>
      <c r="AO1389" s="160"/>
      <c r="AP1389" s="161"/>
      <c r="AQ1389" s="160"/>
      <c r="AR1389" s="160"/>
      <c r="AS1389" s="160"/>
      <c r="AT1389" s="160"/>
      <c r="AU1389" s="160"/>
      <c r="AV1389" s="160"/>
      <c r="AW1389" s="160"/>
      <c r="AX1389" s="160"/>
      <c r="AY1389" s="160"/>
      <c r="AZ1389" s="160"/>
      <c r="BA1389" s="160"/>
      <c r="BB1389" s="160"/>
      <c r="BC1389" s="160"/>
      <c r="BD1389" s="160"/>
      <c r="BE1389" s="160"/>
      <c r="BF1389" s="160"/>
      <c r="BG1389" s="160"/>
      <c r="BH1389" s="160"/>
      <c r="BI1389" s="160"/>
      <c r="BJ1389" s="160"/>
      <c r="BK1389" s="160"/>
      <c r="BL1389" s="160"/>
      <c r="BM1389" s="160"/>
      <c r="BN1389" s="160"/>
      <c r="BO1389" s="160"/>
      <c r="BP1389" s="160"/>
      <c r="BQ1389" s="160"/>
      <c r="BR1389" s="160"/>
      <c r="BS1389" s="160"/>
      <c r="BT1389" s="160"/>
      <c r="BU1389" s="160"/>
      <c r="BV1389" s="160"/>
      <c r="BW1389" s="160"/>
      <c r="BX1389" s="160"/>
      <c r="BY1389" s="160"/>
      <c r="BZ1389" s="160"/>
      <c r="CA1389" s="160"/>
      <c r="CB1389" s="160"/>
      <c r="CC1389" s="160"/>
      <c r="CD1389" s="160"/>
      <c r="CE1389" s="160"/>
      <c r="CF1389" s="160"/>
      <c r="CG1389" s="160"/>
      <c r="CH1389" s="160"/>
      <c r="CI1389" s="160"/>
      <c r="CJ1389" s="160"/>
      <c r="CK1389" s="160"/>
      <c r="CL1389" s="160"/>
      <c r="CM1389" s="160"/>
      <c r="CN1389" s="160"/>
      <c r="CO1389" s="160"/>
      <c r="CP1389" s="162"/>
      <c r="CQ1389" s="163"/>
      <c r="CR1389" s="162"/>
      <c r="CS1389" s="163"/>
      <c r="CT1389" s="162"/>
      <c r="CU1389" s="163"/>
      <c r="CV1389" s="164">
        <f t="shared" si="183"/>
        <v>0</v>
      </c>
      <c r="CW1389" s="165"/>
      <c r="CX1389" s="166"/>
      <c r="CY1389" s="167"/>
      <c r="CZ1389" s="168"/>
      <c r="DA1389" s="169"/>
      <c r="DB1389" s="168"/>
      <c r="DC1389" s="165"/>
      <c r="DD1389" s="166"/>
      <c r="DE1389" s="71"/>
      <c r="DF1389" s="170"/>
      <c r="EO1389" s="353" t="str">
        <f t="shared" si="185"/>
        <v>CAUCA_POPAYAN</v>
      </c>
      <c r="EP1389" s="350"/>
      <c r="EQ1389" s="350"/>
      <c r="ER1389" s="357"/>
      <c r="ES1389" s="350"/>
      <c r="ET1389" s="350"/>
      <c r="EU1389" s="350"/>
    </row>
    <row r="1390" spans="1:151" s="171" customFormat="1" ht="25.5" x14ac:dyDescent="0.2">
      <c r="A1390" s="242">
        <v>40476</v>
      </c>
      <c r="B1390" s="222" t="s">
        <v>832</v>
      </c>
      <c r="C1390" s="222" t="s">
        <v>1514</v>
      </c>
      <c r="D1390" s="430" t="s">
        <v>2209</v>
      </c>
      <c r="E1390" s="107" t="str">
        <f>VLOOKUP(B1390&amp;C1390,Divipola!$C$2:$F$1138,4,FALSE)</f>
        <v>86320</v>
      </c>
      <c r="F1390" s="333"/>
      <c r="G1390" s="221"/>
      <c r="H1390" s="157"/>
      <c r="I1390" s="157"/>
      <c r="J1390" s="157">
        <f>600*5</f>
        <v>3000</v>
      </c>
      <c r="K1390" s="157">
        <v>600</v>
      </c>
      <c r="L1390" s="157">
        <v>15</v>
      </c>
      <c r="M1390" s="157">
        <v>5</v>
      </c>
      <c r="N1390" s="157"/>
      <c r="O1390" s="157"/>
      <c r="P1390" s="157"/>
      <c r="Q1390" s="157"/>
      <c r="R1390" s="157"/>
      <c r="S1390" s="157"/>
      <c r="T1390" s="157"/>
      <c r="U1390" s="157"/>
      <c r="V1390" s="158"/>
      <c r="W1390" s="182"/>
      <c r="X1390" s="1"/>
      <c r="Y1390" s="78">
        <f t="shared" si="180"/>
        <v>0</v>
      </c>
      <c r="Z1390" s="78">
        <f t="shared" si="181"/>
        <v>0</v>
      </c>
      <c r="AA1390" s="78">
        <f t="shared" si="179"/>
        <v>0</v>
      </c>
      <c r="AB1390" s="78">
        <f t="shared" si="182"/>
        <v>0</v>
      </c>
      <c r="AC1390" s="78"/>
      <c r="AD1390" s="78">
        <v>0</v>
      </c>
      <c r="AE1390" s="80">
        <f t="shared" si="184"/>
        <v>0</v>
      </c>
      <c r="AF1390" s="82">
        <v>0</v>
      </c>
      <c r="AG1390" s="69">
        <v>40616</v>
      </c>
      <c r="AH1390" s="84"/>
      <c r="AI1390" s="69" t="s">
        <v>1984</v>
      </c>
      <c r="AJ1390" s="25" t="s">
        <v>1985</v>
      </c>
      <c r="AK1390" s="65"/>
      <c r="AL1390" s="176" t="s">
        <v>1257</v>
      </c>
      <c r="AM1390" s="173" t="s">
        <v>1515</v>
      </c>
      <c r="AN1390" s="159"/>
      <c r="AO1390" s="160"/>
      <c r="AP1390" s="161"/>
      <c r="AQ1390" s="160"/>
      <c r="AR1390" s="160"/>
      <c r="AS1390" s="160"/>
      <c r="AT1390" s="160"/>
      <c r="AU1390" s="160"/>
      <c r="AV1390" s="160"/>
      <c r="AW1390" s="160"/>
      <c r="AX1390" s="160"/>
      <c r="AY1390" s="160"/>
      <c r="AZ1390" s="160"/>
      <c r="BA1390" s="160"/>
      <c r="BB1390" s="160"/>
      <c r="BC1390" s="160"/>
      <c r="BD1390" s="160"/>
      <c r="BE1390" s="160"/>
      <c r="BF1390" s="160"/>
      <c r="BG1390" s="160"/>
      <c r="BH1390" s="160"/>
      <c r="BI1390" s="160"/>
      <c r="BJ1390" s="160"/>
      <c r="BK1390" s="160"/>
      <c r="BL1390" s="160"/>
      <c r="BM1390" s="160"/>
      <c r="BN1390" s="160"/>
      <c r="BO1390" s="160"/>
      <c r="BP1390" s="160"/>
      <c r="BQ1390" s="160"/>
      <c r="BR1390" s="160"/>
      <c r="BS1390" s="160"/>
      <c r="BT1390" s="160"/>
      <c r="BU1390" s="160"/>
      <c r="BV1390" s="160"/>
      <c r="BW1390" s="160"/>
      <c r="BX1390" s="160"/>
      <c r="BY1390" s="160"/>
      <c r="BZ1390" s="160"/>
      <c r="CA1390" s="160"/>
      <c r="CB1390" s="160"/>
      <c r="CC1390" s="160"/>
      <c r="CD1390" s="160"/>
      <c r="CE1390" s="160"/>
      <c r="CF1390" s="160"/>
      <c r="CG1390" s="160"/>
      <c r="CH1390" s="160"/>
      <c r="CI1390" s="160"/>
      <c r="CJ1390" s="160"/>
      <c r="CK1390" s="160"/>
      <c r="CL1390" s="160"/>
      <c r="CM1390" s="160"/>
      <c r="CN1390" s="160"/>
      <c r="CO1390" s="160"/>
      <c r="CP1390" s="162"/>
      <c r="CQ1390" s="163"/>
      <c r="CR1390" s="162"/>
      <c r="CS1390" s="163"/>
      <c r="CT1390" s="162"/>
      <c r="CU1390" s="163"/>
      <c r="CV1390" s="164">
        <f t="shared" si="183"/>
        <v>0</v>
      </c>
      <c r="CW1390" s="165"/>
      <c r="CX1390" s="166"/>
      <c r="CY1390" s="167"/>
      <c r="CZ1390" s="168"/>
      <c r="DA1390" s="169"/>
      <c r="DB1390" s="168"/>
      <c r="DC1390" s="165"/>
      <c r="DD1390" s="166"/>
      <c r="DE1390" s="71"/>
      <c r="DF1390" s="170"/>
      <c r="EO1390" s="353" t="str">
        <f t="shared" si="185"/>
        <v>PUTUMAYO_ORITO</v>
      </c>
      <c r="EP1390" s="350"/>
      <c r="EQ1390" s="350"/>
      <c r="ER1390" s="357"/>
      <c r="ES1390" s="350"/>
      <c r="ET1390" s="350"/>
      <c r="EU1390" s="350"/>
    </row>
    <row r="1391" spans="1:151" s="171" customFormat="1" ht="25.5" x14ac:dyDescent="0.2">
      <c r="A1391" s="242">
        <v>40476</v>
      </c>
      <c r="B1391" s="222" t="s">
        <v>2014</v>
      </c>
      <c r="C1391" s="222" t="s">
        <v>1033</v>
      </c>
      <c r="D1391" s="430" t="s">
        <v>837</v>
      </c>
      <c r="E1391" s="107" t="str">
        <f>VLOOKUP(B1391&amp;C1391,Divipola!$C$2:$F$1138,4,FALSE)</f>
        <v>63130</v>
      </c>
      <c r="F1391" s="333"/>
      <c r="G1391" s="221"/>
      <c r="H1391" s="157"/>
      <c r="I1391" s="157"/>
      <c r="J1391" s="157">
        <v>5</v>
      </c>
      <c r="K1391" s="157">
        <v>1</v>
      </c>
      <c r="L1391" s="157"/>
      <c r="M1391" s="157">
        <v>1</v>
      </c>
      <c r="N1391" s="157"/>
      <c r="O1391" s="157"/>
      <c r="P1391" s="157"/>
      <c r="Q1391" s="157"/>
      <c r="R1391" s="157"/>
      <c r="S1391" s="157"/>
      <c r="T1391" s="157">
        <v>1</v>
      </c>
      <c r="U1391" s="157"/>
      <c r="V1391" s="158"/>
      <c r="W1391" s="182"/>
      <c r="X1391" s="1"/>
      <c r="Y1391" s="78">
        <f t="shared" si="180"/>
        <v>0</v>
      </c>
      <c r="Z1391" s="78">
        <f t="shared" si="181"/>
        <v>0</v>
      </c>
      <c r="AA1391" s="78">
        <f t="shared" si="179"/>
        <v>0</v>
      </c>
      <c r="AB1391" s="78">
        <f t="shared" si="182"/>
        <v>0</v>
      </c>
      <c r="AC1391" s="78"/>
      <c r="AD1391" s="78">
        <v>0</v>
      </c>
      <c r="AE1391" s="80">
        <f t="shared" si="184"/>
        <v>0</v>
      </c>
      <c r="AF1391" s="82">
        <v>0</v>
      </c>
      <c r="AG1391" s="69">
        <v>40478</v>
      </c>
      <c r="AH1391" s="84"/>
      <c r="AI1391" s="69" t="s">
        <v>1984</v>
      </c>
      <c r="AJ1391" s="25" t="s">
        <v>1985</v>
      </c>
      <c r="AK1391" s="65"/>
      <c r="AL1391" s="176" t="s">
        <v>1257</v>
      </c>
      <c r="AM1391" s="173" t="s">
        <v>1517</v>
      </c>
      <c r="AN1391" s="159"/>
      <c r="AO1391" s="160"/>
      <c r="AP1391" s="161"/>
      <c r="AQ1391" s="160"/>
      <c r="AR1391" s="160"/>
      <c r="AS1391" s="160"/>
      <c r="AT1391" s="160"/>
      <c r="AU1391" s="160"/>
      <c r="AV1391" s="160"/>
      <c r="AW1391" s="160"/>
      <c r="AX1391" s="160"/>
      <c r="AY1391" s="160"/>
      <c r="AZ1391" s="160"/>
      <c r="BA1391" s="160"/>
      <c r="BB1391" s="160"/>
      <c r="BC1391" s="160"/>
      <c r="BD1391" s="160"/>
      <c r="BE1391" s="160"/>
      <c r="BF1391" s="160"/>
      <c r="BG1391" s="160"/>
      <c r="BH1391" s="160"/>
      <c r="BI1391" s="160"/>
      <c r="BJ1391" s="160"/>
      <c r="BK1391" s="160"/>
      <c r="BL1391" s="160"/>
      <c r="BM1391" s="160"/>
      <c r="BN1391" s="160"/>
      <c r="BO1391" s="160"/>
      <c r="BP1391" s="160"/>
      <c r="BQ1391" s="160"/>
      <c r="BR1391" s="160"/>
      <c r="BS1391" s="160"/>
      <c r="BT1391" s="160"/>
      <c r="BU1391" s="160"/>
      <c r="BV1391" s="160"/>
      <c r="BW1391" s="160"/>
      <c r="BX1391" s="160"/>
      <c r="BY1391" s="160"/>
      <c r="BZ1391" s="160"/>
      <c r="CA1391" s="160"/>
      <c r="CB1391" s="160"/>
      <c r="CC1391" s="160"/>
      <c r="CD1391" s="160"/>
      <c r="CE1391" s="160"/>
      <c r="CF1391" s="160"/>
      <c r="CG1391" s="160"/>
      <c r="CH1391" s="160"/>
      <c r="CI1391" s="160"/>
      <c r="CJ1391" s="160"/>
      <c r="CK1391" s="160"/>
      <c r="CL1391" s="160"/>
      <c r="CM1391" s="160"/>
      <c r="CN1391" s="160"/>
      <c r="CO1391" s="160"/>
      <c r="CP1391" s="162"/>
      <c r="CQ1391" s="163"/>
      <c r="CR1391" s="162"/>
      <c r="CS1391" s="163"/>
      <c r="CT1391" s="162"/>
      <c r="CU1391" s="163"/>
      <c r="CV1391" s="164">
        <f t="shared" si="183"/>
        <v>0</v>
      </c>
      <c r="CW1391" s="165"/>
      <c r="CX1391" s="166"/>
      <c r="CY1391" s="167"/>
      <c r="CZ1391" s="168"/>
      <c r="DA1391" s="169"/>
      <c r="DB1391" s="168"/>
      <c r="DC1391" s="165"/>
      <c r="DD1391" s="166"/>
      <c r="DE1391" s="71"/>
      <c r="DF1391" s="170"/>
      <c r="EO1391" s="353" t="str">
        <f t="shared" si="185"/>
        <v>QUINDIO_CALARCA</v>
      </c>
      <c r="EP1391" s="350"/>
      <c r="EQ1391" s="350"/>
      <c r="ER1391" s="357"/>
      <c r="ES1391" s="350"/>
      <c r="ET1391" s="350"/>
      <c r="EU1391" s="350"/>
    </row>
    <row r="1392" spans="1:151" s="171" customFormat="1" ht="25.5" x14ac:dyDescent="0.2">
      <c r="A1392" s="242">
        <v>40476</v>
      </c>
      <c r="B1392" s="222" t="s">
        <v>2014</v>
      </c>
      <c r="C1392" s="222" t="s">
        <v>1992</v>
      </c>
      <c r="D1392" s="430" t="s">
        <v>1721</v>
      </c>
      <c r="E1392" s="107" t="str">
        <f>VLOOKUP(B1392&amp;C1392,Divipola!$C$2:$F$1138,4,FALSE)</f>
        <v>63401</v>
      </c>
      <c r="F1392" s="333"/>
      <c r="G1392" s="221"/>
      <c r="H1392" s="157"/>
      <c r="I1392" s="157"/>
      <c r="J1392" s="157">
        <v>5</v>
      </c>
      <c r="K1392" s="157">
        <v>1</v>
      </c>
      <c r="L1392" s="157"/>
      <c r="M1392" s="157">
        <v>1</v>
      </c>
      <c r="N1392" s="157"/>
      <c r="O1392" s="157"/>
      <c r="P1392" s="157"/>
      <c r="Q1392" s="157"/>
      <c r="R1392" s="157"/>
      <c r="S1392" s="157"/>
      <c r="T1392" s="157"/>
      <c r="U1392" s="157"/>
      <c r="V1392" s="158"/>
      <c r="W1392" s="182"/>
      <c r="X1392" s="1"/>
      <c r="Y1392" s="78">
        <f t="shared" si="180"/>
        <v>0</v>
      </c>
      <c r="Z1392" s="78">
        <f t="shared" si="181"/>
        <v>0</v>
      </c>
      <c r="AA1392" s="78">
        <f t="shared" si="179"/>
        <v>0</v>
      </c>
      <c r="AB1392" s="78">
        <f t="shared" si="182"/>
        <v>0</v>
      </c>
      <c r="AC1392" s="78"/>
      <c r="AD1392" s="78">
        <v>0</v>
      </c>
      <c r="AE1392" s="80">
        <f t="shared" si="184"/>
        <v>0</v>
      </c>
      <c r="AF1392" s="82">
        <v>0</v>
      </c>
      <c r="AG1392" s="69">
        <v>40478</v>
      </c>
      <c r="AH1392" s="84"/>
      <c r="AI1392" s="69" t="s">
        <v>1984</v>
      </c>
      <c r="AJ1392" s="25" t="s">
        <v>1985</v>
      </c>
      <c r="AK1392" s="65"/>
      <c r="AL1392" s="176" t="s">
        <v>1257</v>
      </c>
      <c r="AM1392" s="173" t="s">
        <v>1516</v>
      </c>
      <c r="AN1392" s="159"/>
      <c r="AO1392" s="160"/>
      <c r="AP1392" s="161"/>
      <c r="AQ1392" s="160"/>
      <c r="AR1392" s="160"/>
      <c r="AS1392" s="160"/>
      <c r="AT1392" s="160"/>
      <c r="AU1392" s="160"/>
      <c r="AV1392" s="160"/>
      <c r="AW1392" s="160"/>
      <c r="AX1392" s="160"/>
      <c r="AY1392" s="160"/>
      <c r="AZ1392" s="160"/>
      <c r="BA1392" s="160"/>
      <c r="BB1392" s="160"/>
      <c r="BC1392" s="160"/>
      <c r="BD1392" s="160"/>
      <c r="BE1392" s="160"/>
      <c r="BF1392" s="160"/>
      <c r="BG1392" s="160"/>
      <c r="BH1392" s="160"/>
      <c r="BI1392" s="160"/>
      <c r="BJ1392" s="160"/>
      <c r="BK1392" s="160"/>
      <c r="BL1392" s="160"/>
      <c r="BM1392" s="160"/>
      <c r="BN1392" s="160"/>
      <c r="BO1392" s="160"/>
      <c r="BP1392" s="160"/>
      <c r="BQ1392" s="160"/>
      <c r="BR1392" s="160"/>
      <c r="BS1392" s="160"/>
      <c r="BT1392" s="160"/>
      <c r="BU1392" s="160"/>
      <c r="BV1392" s="160"/>
      <c r="BW1392" s="160"/>
      <c r="BX1392" s="160"/>
      <c r="BY1392" s="160"/>
      <c r="BZ1392" s="160"/>
      <c r="CA1392" s="160"/>
      <c r="CB1392" s="160"/>
      <c r="CC1392" s="160"/>
      <c r="CD1392" s="160"/>
      <c r="CE1392" s="160"/>
      <c r="CF1392" s="160"/>
      <c r="CG1392" s="160"/>
      <c r="CH1392" s="160"/>
      <c r="CI1392" s="160"/>
      <c r="CJ1392" s="160"/>
      <c r="CK1392" s="160"/>
      <c r="CL1392" s="160"/>
      <c r="CM1392" s="160"/>
      <c r="CN1392" s="160"/>
      <c r="CO1392" s="160"/>
      <c r="CP1392" s="162"/>
      <c r="CQ1392" s="163"/>
      <c r="CR1392" s="162"/>
      <c r="CS1392" s="163"/>
      <c r="CT1392" s="162"/>
      <c r="CU1392" s="163"/>
      <c r="CV1392" s="164">
        <f t="shared" si="183"/>
        <v>0</v>
      </c>
      <c r="CW1392" s="165"/>
      <c r="CX1392" s="166"/>
      <c r="CY1392" s="167"/>
      <c r="CZ1392" s="168"/>
      <c r="DA1392" s="169"/>
      <c r="DB1392" s="168"/>
      <c r="DC1392" s="165"/>
      <c r="DD1392" s="166"/>
      <c r="DE1392" s="71"/>
      <c r="DF1392" s="170"/>
      <c r="EO1392" s="353" t="str">
        <f t="shared" si="185"/>
        <v>QUINDIO_LA TEBAIDA</v>
      </c>
      <c r="EP1392" s="350"/>
      <c r="EQ1392" s="350"/>
      <c r="ER1392" s="357"/>
      <c r="ES1392" s="350"/>
      <c r="ET1392" s="350"/>
      <c r="EU1392" s="350"/>
    </row>
    <row r="1393" spans="1:151" s="171" customFormat="1" ht="60" x14ac:dyDescent="0.2">
      <c r="A1393" s="242">
        <v>40477</v>
      </c>
      <c r="B1393" s="222" t="s">
        <v>2242</v>
      </c>
      <c r="C1393" s="222" t="s">
        <v>1105</v>
      </c>
      <c r="D1393" s="430" t="s">
        <v>837</v>
      </c>
      <c r="E1393" s="107" t="str">
        <f>VLOOKUP(B1393&amp;C1393,Divipola!$C$2:$F$1138,4,FALSE)</f>
        <v>20032</v>
      </c>
      <c r="F1393" s="333"/>
      <c r="G1393" s="221"/>
      <c r="H1393" s="157"/>
      <c r="I1393" s="157"/>
      <c r="J1393" s="157">
        <v>750</v>
      </c>
      <c r="K1393" s="157">
        <v>150</v>
      </c>
      <c r="L1393" s="157"/>
      <c r="M1393" s="157">
        <v>150</v>
      </c>
      <c r="N1393" s="157"/>
      <c r="O1393" s="157"/>
      <c r="P1393" s="157"/>
      <c r="Q1393" s="157"/>
      <c r="R1393" s="157"/>
      <c r="S1393" s="157"/>
      <c r="T1393" s="157"/>
      <c r="U1393" s="157"/>
      <c r="V1393" s="158"/>
      <c r="W1393" s="182"/>
      <c r="X1393" s="1">
        <v>40514</v>
      </c>
      <c r="Y1393" s="78">
        <f t="shared" si="180"/>
        <v>16350000</v>
      </c>
      <c r="Z1393" s="78">
        <f t="shared" si="181"/>
        <v>12750000</v>
      </c>
      <c r="AA1393" s="78">
        <f t="shared" si="179"/>
        <v>0</v>
      </c>
      <c r="AB1393" s="78">
        <f t="shared" si="182"/>
        <v>0</v>
      </c>
      <c r="AC1393" s="78">
        <f>100*25520+50*17400</f>
        <v>3422000</v>
      </c>
      <c r="AD1393" s="78">
        <v>0</v>
      </c>
      <c r="AE1393" s="80">
        <f t="shared" si="184"/>
        <v>32522000</v>
      </c>
      <c r="AF1393" s="82">
        <v>0</v>
      </c>
      <c r="AG1393" s="69">
        <v>40478</v>
      </c>
      <c r="AH1393" s="84">
        <v>58953</v>
      </c>
      <c r="AI1393" s="69" t="s">
        <v>2009</v>
      </c>
      <c r="AJ1393" s="25" t="s">
        <v>2010</v>
      </c>
      <c r="AK1393" s="88" t="s">
        <v>1498</v>
      </c>
      <c r="AL1393" s="185" t="s">
        <v>2182</v>
      </c>
      <c r="AM1393" s="173" t="s">
        <v>1502</v>
      </c>
      <c r="AN1393" s="159"/>
      <c r="AO1393" s="160"/>
      <c r="AP1393" s="161"/>
      <c r="AQ1393" s="160"/>
      <c r="AR1393" s="160"/>
      <c r="AS1393" s="160"/>
      <c r="AT1393" s="160"/>
      <c r="AU1393" s="160"/>
      <c r="AV1393" s="160"/>
      <c r="AW1393" s="160"/>
      <c r="AX1393" s="160"/>
      <c r="AY1393" s="160"/>
      <c r="AZ1393" s="160"/>
      <c r="BA1393" s="160"/>
      <c r="BB1393" s="160"/>
      <c r="BC1393" s="160"/>
      <c r="BD1393" s="160"/>
      <c r="BE1393" s="160"/>
      <c r="BF1393" s="160"/>
      <c r="BG1393" s="160"/>
      <c r="BH1393" s="160"/>
      <c r="BI1393" s="160"/>
      <c r="BJ1393" s="160"/>
      <c r="BK1393" s="160"/>
      <c r="BL1393" s="160"/>
      <c r="BM1393" s="160"/>
      <c r="BN1393" s="160"/>
      <c r="BO1393" s="160"/>
      <c r="BP1393" s="160"/>
      <c r="BQ1393" s="160"/>
      <c r="BR1393" s="160"/>
      <c r="BS1393" s="160"/>
      <c r="BT1393" s="160"/>
      <c r="BU1393" s="160"/>
      <c r="BV1393" s="160"/>
      <c r="BW1393" s="160"/>
      <c r="BX1393" s="160"/>
      <c r="BY1393" s="160"/>
      <c r="BZ1393" s="160"/>
      <c r="CA1393" s="160"/>
      <c r="CB1393" s="160"/>
      <c r="CC1393" s="160"/>
      <c r="CD1393" s="160"/>
      <c r="CE1393" s="160"/>
      <c r="CF1393" s="160"/>
      <c r="CG1393" s="160"/>
      <c r="CH1393" s="160"/>
      <c r="CI1393" s="160"/>
      <c r="CJ1393" s="160"/>
      <c r="CK1393" s="160"/>
      <c r="CL1393" s="160"/>
      <c r="CM1393" s="160"/>
      <c r="CN1393" s="160">
        <v>300</v>
      </c>
      <c r="CO1393" s="160">
        <f>300*18000</f>
        <v>5400000</v>
      </c>
      <c r="CP1393" s="162">
        <v>150</v>
      </c>
      <c r="CQ1393" s="163">
        <f>150*37000</f>
        <v>5550000</v>
      </c>
      <c r="CR1393" s="162">
        <v>150</v>
      </c>
      <c r="CS1393" s="163">
        <f>150*36000</f>
        <v>5400000</v>
      </c>
      <c r="CT1393" s="162"/>
      <c r="CU1393" s="163"/>
      <c r="CV1393" s="164">
        <f t="shared" si="183"/>
        <v>16350000</v>
      </c>
      <c r="CW1393" s="165"/>
      <c r="CX1393" s="166"/>
      <c r="CY1393" s="167">
        <v>150</v>
      </c>
      <c r="CZ1393" s="168">
        <f>150*85000</f>
        <v>12750000</v>
      </c>
      <c r="DA1393" s="169"/>
      <c r="DB1393" s="168"/>
      <c r="DC1393" s="165"/>
      <c r="DD1393" s="166"/>
      <c r="DE1393" s="71"/>
      <c r="DF1393" s="170"/>
      <c r="EO1393" s="353" t="str">
        <f t="shared" si="185"/>
        <v>CESAR_ASTREA</v>
      </c>
      <c r="EP1393" s="350"/>
      <c r="EQ1393" s="350"/>
      <c r="ER1393" s="357"/>
      <c r="ES1393" s="350"/>
      <c r="ET1393" s="350"/>
      <c r="EU1393" s="350"/>
    </row>
    <row r="1394" spans="1:151" s="171" customFormat="1" ht="38.25" x14ac:dyDescent="0.2">
      <c r="A1394" s="242">
        <v>40477</v>
      </c>
      <c r="B1394" s="222" t="s">
        <v>2007</v>
      </c>
      <c r="C1394" s="222" t="s">
        <v>1521</v>
      </c>
      <c r="D1394" s="430" t="s">
        <v>2209</v>
      </c>
      <c r="E1394" s="107" t="str">
        <f>VLOOKUP(B1394&amp;C1394,Divipola!$C$2:$F$1138,4,FALSE)</f>
        <v>25513</v>
      </c>
      <c r="F1394" s="333"/>
      <c r="G1394" s="221"/>
      <c r="H1394" s="157"/>
      <c r="I1394" s="157"/>
      <c r="J1394" s="157">
        <v>689</v>
      </c>
      <c r="K1394" s="157">
        <v>308</v>
      </c>
      <c r="L1394" s="157"/>
      <c r="M1394" s="157">
        <v>308</v>
      </c>
      <c r="N1394" s="157"/>
      <c r="O1394" s="157"/>
      <c r="P1394" s="157"/>
      <c r="Q1394" s="157"/>
      <c r="R1394" s="157"/>
      <c r="S1394" s="157"/>
      <c r="T1394" s="157"/>
      <c r="U1394" s="157"/>
      <c r="V1394" s="158"/>
      <c r="W1394" s="182"/>
      <c r="X1394" s="1"/>
      <c r="Y1394" s="78">
        <f t="shared" si="180"/>
        <v>0</v>
      </c>
      <c r="Z1394" s="78">
        <f t="shared" si="181"/>
        <v>0</v>
      </c>
      <c r="AA1394" s="78">
        <f t="shared" si="179"/>
        <v>0</v>
      </c>
      <c r="AB1394" s="78">
        <f t="shared" si="182"/>
        <v>0</v>
      </c>
      <c r="AC1394" s="78"/>
      <c r="AD1394" s="78">
        <v>0</v>
      </c>
      <c r="AE1394" s="80">
        <f t="shared" si="184"/>
        <v>0</v>
      </c>
      <c r="AF1394" s="82">
        <v>0</v>
      </c>
      <c r="AG1394" s="69">
        <v>40478</v>
      </c>
      <c r="AH1394" s="84"/>
      <c r="AI1394" s="69" t="s">
        <v>1984</v>
      </c>
      <c r="AJ1394" s="25" t="s">
        <v>1985</v>
      </c>
      <c r="AK1394" s="65"/>
      <c r="AL1394" s="176" t="s">
        <v>1257</v>
      </c>
      <c r="AM1394" s="173" t="s">
        <v>1522</v>
      </c>
      <c r="AN1394" s="159"/>
      <c r="AO1394" s="160"/>
      <c r="AP1394" s="161"/>
      <c r="AQ1394" s="160"/>
      <c r="AR1394" s="160"/>
      <c r="AS1394" s="160"/>
      <c r="AT1394" s="160"/>
      <c r="AU1394" s="160"/>
      <c r="AV1394" s="160"/>
      <c r="AW1394" s="160"/>
      <c r="AX1394" s="160"/>
      <c r="AY1394" s="160"/>
      <c r="AZ1394" s="160"/>
      <c r="BA1394" s="160"/>
      <c r="BB1394" s="160"/>
      <c r="BC1394" s="160"/>
      <c r="BD1394" s="160"/>
      <c r="BE1394" s="160"/>
      <c r="BF1394" s="160"/>
      <c r="BG1394" s="160"/>
      <c r="BH1394" s="160"/>
      <c r="BI1394" s="160"/>
      <c r="BJ1394" s="160"/>
      <c r="BK1394" s="160"/>
      <c r="BL1394" s="160"/>
      <c r="BM1394" s="160"/>
      <c r="BN1394" s="160"/>
      <c r="BO1394" s="160"/>
      <c r="BP1394" s="160"/>
      <c r="BQ1394" s="160"/>
      <c r="BR1394" s="160"/>
      <c r="BS1394" s="160"/>
      <c r="BT1394" s="160"/>
      <c r="BU1394" s="160"/>
      <c r="BV1394" s="160"/>
      <c r="BW1394" s="160"/>
      <c r="BX1394" s="160"/>
      <c r="BY1394" s="160"/>
      <c r="BZ1394" s="160"/>
      <c r="CA1394" s="160"/>
      <c r="CB1394" s="160"/>
      <c r="CC1394" s="160"/>
      <c r="CD1394" s="160"/>
      <c r="CE1394" s="160"/>
      <c r="CF1394" s="160"/>
      <c r="CG1394" s="160"/>
      <c r="CH1394" s="160"/>
      <c r="CI1394" s="160"/>
      <c r="CJ1394" s="160"/>
      <c r="CK1394" s="160"/>
      <c r="CL1394" s="160"/>
      <c r="CM1394" s="160"/>
      <c r="CN1394" s="160"/>
      <c r="CO1394" s="160"/>
      <c r="CP1394" s="162"/>
      <c r="CQ1394" s="163"/>
      <c r="CR1394" s="162"/>
      <c r="CS1394" s="163"/>
      <c r="CT1394" s="162"/>
      <c r="CU1394" s="163"/>
      <c r="CV1394" s="164">
        <f t="shared" si="183"/>
        <v>0</v>
      </c>
      <c r="CW1394" s="165"/>
      <c r="CX1394" s="166"/>
      <c r="CY1394" s="167"/>
      <c r="CZ1394" s="168"/>
      <c r="DA1394" s="169"/>
      <c r="DB1394" s="168"/>
      <c r="DC1394" s="165"/>
      <c r="DD1394" s="166"/>
      <c r="DE1394" s="71"/>
      <c r="DF1394" s="170"/>
      <c r="EO1394" s="353" t="str">
        <f t="shared" si="185"/>
        <v>CUNDINAMARCA_PACHO</v>
      </c>
      <c r="EP1394" s="350"/>
      <c r="EQ1394" s="350"/>
      <c r="ER1394" s="357"/>
      <c r="ES1394" s="350"/>
      <c r="ET1394" s="350"/>
      <c r="EU1394" s="350"/>
    </row>
    <row r="1395" spans="1:151" s="171" customFormat="1" ht="48" x14ac:dyDescent="0.2">
      <c r="A1395" s="242">
        <v>40477</v>
      </c>
      <c r="B1395" s="222" t="s">
        <v>1836</v>
      </c>
      <c r="C1395" s="222" t="s">
        <v>4455</v>
      </c>
      <c r="D1395" s="430" t="s">
        <v>837</v>
      </c>
      <c r="E1395" s="107" t="str">
        <f>VLOOKUP(B1395&amp;C1395,Divipola!$C$2:$F$1138,4,FALSE)</f>
        <v>47170</v>
      </c>
      <c r="F1395" s="333"/>
      <c r="G1395" s="221"/>
      <c r="H1395" s="157"/>
      <c r="I1395" s="157"/>
      <c r="J1395" s="157">
        <v>2705</v>
      </c>
      <c r="K1395" s="157">
        <v>541</v>
      </c>
      <c r="L1395" s="157"/>
      <c r="M1395" s="157">
        <v>150</v>
      </c>
      <c r="N1395" s="157"/>
      <c r="O1395" s="157"/>
      <c r="P1395" s="157"/>
      <c r="Q1395" s="157"/>
      <c r="R1395" s="157"/>
      <c r="S1395" s="157"/>
      <c r="T1395" s="157"/>
      <c r="U1395" s="157"/>
      <c r="V1395" s="158"/>
      <c r="W1395" s="182"/>
      <c r="X1395" s="1"/>
      <c r="Y1395" s="78">
        <f t="shared" si="180"/>
        <v>940000</v>
      </c>
      <c r="Z1395" s="78">
        <f t="shared" si="181"/>
        <v>102000000</v>
      </c>
      <c r="AA1395" s="78">
        <f t="shared" si="179"/>
        <v>0</v>
      </c>
      <c r="AB1395" s="78">
        <f t="shared" si="182"/>
        <v>0</v>
      </c>
      <c r="AC1395" s="78"/>
      <c r="AD1395" s="78">
        <v>0</v>
      </c>
      <c r="AE1395" s="80">
        <f t="shared" si="184"/>
        <v>102940000</v>
      </c>
      <c r="AF1395" s="82">
        <v>0</v>
      </c>
      <c r="AG1395" s="69">
        <v>40478</v>
      </c>
      <c r="AH1395" s="84"/>
      <c r="AI1395" s="69" t="s">
        <v>2009</v>
      </c>
      <c r="AJ1395" s="25" t="s">
        <v>2010</v>
      </c>
      <c r="AK1395" s="65"/>
      <c r="AL1395" s="176" t="s">
        <v>1257</v>
      </c>
      <c r="AM1395" s="173" t="s">
        <v>1869</v>
      </c>
      <c r="AN1395" s="159"/>
      <c r="AO1395" s="160"/>
      <c r="AP1395" s="161"/>
      <c r="AQ1395" s="160"/>
      <c r="AR1395" s="160"/>
      <c r="AS1395" s="160"/>
      <c r="AT1395" s="160"/>
      <c r="AU1395" s="160"/>
      <c r="AV1395" s="160"/>
      <c r="AW1395" s="160"/>
      <c r="AX1395" s="160"/>
      <c r="AY1395" s="160"/>
      <c r="AZ1395" s="160"/>
      <c r="BA1395" s="160"/>
      <c r="BB1395" s="160"/>
      <c r="BC1395" s="160"/>
      <c r="BD1395" s="160"/>
      <c r="BE1395" s="160"/>
      <c r="BF1395" s="160"/>
      <c r="BG1395" s="160"/>
      <c r="BH1395" s="160"/>
      <c r="BI1395" s="160"/>
      <c r="BJ1395" s="160"/>
      <c r="BK1395" s="160"/>
      <c r="BL1395" s="160"/>
      <c r="BM1395" s="160"/>
      <c r="BN1395" s="160"/>
      <c r="BO1395" s="160"/>
      <c r="BP1395" s="160"/>
      <c r="BQ1395" s="160"/>
      <c r="BR1395" s="160"/>
      <c r="BS1395" s="160"/>
      <c r="BT1395" s="160"/>
      <c r="BU1395" s="160"/>
      <c r="BV1395" s="160"/>
      <c r="BW1395" s="160"/>
      <c r="BX1395" s="160"/>
      <c r="BY1395" s="160"/>
      <c r="BZ1395" s="160">
        <v>2</v>
      </c>
      <c r="CA1395" s="160">
        <f>2*470000</f>
        <v>940000</v>
      </c>
      <c r="CB1395" s="160"/>
      <c r="CC1395" s="160"/>
      <c r="CD1395" s="160"/>
      <c r="CE1395" s="160"/>
      <c r="CF1395" s="160"/>
      <c r="CG1395" s="160"/>
      <c r="CH1395" s="160"/>
      <c r="CI1395" s="160"/>
      <c r="CJ1395" s="160"/>
      <c r="CK1395" s="160"/>
      <c r="CL1395" s="160"/>
      <c r="CM1395" s="160"/>
      <c r="CN1395" s="160"/>
      <c r="CO1395" s="160"/>
      <c r="CP1395" s="162"/>
      <c r="CQ1395" s="163"/>
      <c r="CR1395" s="162"/>
      <c r="CS1395" s="163"/>
      <c r="CT1395" s="162"/>
      <c r="CU1395" s="163"/>
      <c r="CV1395" s="164">
        <f t="shared" si="183"/>
        <v>940000</v>
      </c>
      <c r="CW1395" s="165"/>
      <c r="CX1395" s="166"/>
      <c r="CY1395" s="167">
        <v>1200</v>
      </c>
      <c r="CZ1395" s="168">
        <f>1200*85000</f>
        <v>102000000</v>
      </c>
      <c r="DA1395" s="169"/>
      <c r="DB1395" s="168"/>
      <c r="DC1395" s="165"/>
      <c r="DD1395" s="166"/>
      <c r="DE1395" s="71"/>
      <c r="DF1395" s="170"/>
      <c r="EO1395" s="353" t="str">
        <f t="shared" si="185"/>
        <v>MAGDALENA_CHIBOLO</v>
      </c>
      <c r="EP1395" s="350"/>
      <c r="EQ1395" s="350"/>
      <c r="ER1395" s="357"/>
      <c r="ES1395" s="350"/>
      <c r="ET1395" s="350"/>
      <c r="EU1395" s="350"/>
    </row>
    <row r="1396" spans="1:151" s="171" customFormat="1" ht="38.25" x14ac:dyDescent="0.2">
      <c r="A1396" s="242">
        <v>40477</v>
      </c>
      <c r="B1396" s="222" t="s">
        <v>1836</v>
      </c>
      <c r="C1396" s="222" t="s">
        <v>4457</v>
      </c>
      <c r="D1396" s="430" t="s">
        <v>837</v>
      </c>
      <c r="E1396" s="107" t="str">
        <f>VLOOKUP(B1396&amp;C1396,Divipola!$C$2:$F$1138,4,FALSE)</f>
        <v>47570</v>
      </c>
      <c r="F1396" s="333"/>
      <c r="G1396" s="221">
        <v>1</v>
      </c>
      <c r="H1396" s="157"/>
      <c r="I1396" s="157"/>
      <c r="J1396" s="157"/>
      <c r="K1396" s="157"/>
      <c r="L1396" s="157"/>
      <c r="M1396" s="157"/>
      <c r="N1396" s="157"/>
      <c r="O1396" s="157"/>
      <c r="P1396" s="157"/>
      <c r="Q1396" s="157"/>
      <c r="R1396" s="157"/>
      <c r="S1396" s="157"/>
      <c r="T1396" s="157"/>
      <c r="U1396" s="157"/>
      <c r="V1396" s="158"/>
      <c r="W1396" s="182"/>
      <c r="X1396" s="1"/>
      <c r="Y1396" s="78">
        <f t="shared" si="180"/>
        <v>0</v>
      </c>
      <c r="Z1396" s="78">
        <f t="shared" si="181"/>
        <v>0</v>
      </c>
      <c r="AA1396" s="78">
        <f t="shared" si="179"/>
        <v>0</v>
      </c>
      <c r="AB1396" s="78">
        <f t="shared" si="182"/>
        <v>0</v>
      </c>
      <c r="AC1396" s="78"/>
      <c r="AD1396" s="78">
        <v>0</v>
      </c>
      <c r="AE1396" s="80">
        <f t="shared" si="184"/>
        <v>0</v>
      </c>
      <c r="AF1396" s="82">
        <v>0</v>
      </c>
      <c r="AG1396" s="69">
        <v>40478</v>
      </c>
      <c r="AH1396" s="84"/>
      <c r="AI1396" s="69" t="s">
        <v>1984</v>
      </c>
      <c r="AJ1396" s="25" t="s">
        <v>1985</v>
      </c>
      <c r="AK1396" s="65"/>
      <c r="AL1396" s="176" t="s">
        <v>1257</v>
      </c>
      <c r="AM1396" s="173" t="s">
        <v>1901</v>
      </c>
      <c r="AN1396" s="159"/>
      <c r="AO1396" s="160"/>
      <c r="AP1396" s="161"/>
      <c r="AQ1396" s="160"/>
      <c r="AR1396" s="160"/>
      <c r="AS1396" s="160"/>
      <c r="AT1396" s="160"/>
      <c r="AU1396" s="160"/>
      <c r="AV1396" s="160"/>
      <c r="AW1396" s="160"/>
      <c r="AX1396" s="160"/>
      <c r="AY1396" s="160"/>
      <c r="AZ1396" s="160"/>
      <c r="BA1396" s="160"/>
      <c r="BB1396" s="160"/>
      <c r="BC1396" s="160"/>
      <c r="BD1396" s="160"/>
      <c r="BE1396" s="160"/>
      <c r="BF1396" s="160"/>
      <c r="BG1396" s="160"/>
      <c r="BH1396" s="160"/>
      <c r="BI1396" s="160"/>
      <c r="BJ1396" s="160"/>
      <c r="BK1396" s="160"/>
      <c r="BL1396" s="160"/>
      <c r="BM1396" s="160"/>
      <c r="BN1396" s="160"/>
      <c r="BO1396" s="160"/>
      <c r="BP1396" s="160"/>
      <c r="BQ1396" s="160"/>
      <c r="BR1396" s="160"/>
      <c r="BS1396" s="160"/>
      <c r="BT1396" s="160"/>
      <c r="BU1396" s="160"/>
      <c r="BV1396" s="160"/>
      <c r="BW1396" s="160"/>
      <c r="BX1396" s="160"/>
      <c r="BY1396" s="160"/>
      <c r="BZ1396" s="160"/>
      <c r="CA1396" s="160"/>
      <c r="CB1396" s="160"/>
      <c r="CC1396" s="160"/>
      <c r="CD1396" s="160"/>
      <c r="CE1396" s="160"/>
      <c r="CF1396" s="160"/>
      <c r="CG1396" s="160"/>
      <c r="CH1396" s="160"/>
      <c r="CI1396" s="160"/>
      <c r="CJ1396" s="160"/>
      <c r="CK1396" s="160"/>
      <c r="CL1396" s="160"/>
      <c r="CM1396" s="160"/>
      <c r="CN1396" s="160"/>
      <c r="CO1396" s="160"/>
      <c r="CP1396" s="162"/>
      <c r="CQ1396" s="163"/>
      <c r="CR1396" s="162"/>
      <c r="CS1396" s="163"/>
      <c r="CT1396" s="162"/>
      <c r="CU1396" s="163"/>
      <c r="CV1396" s="164">
        <f t="shared" si="183"/>
        <v>0</v>
      </c>
      <c r="CW1396" s="165"/>
      <c r="CX1396" s="166"/>
      <c r="CY1396" s="167"/>
      <c r="CZ1396" s="168"/>
      <c r="DA1396" s="169"/>
      <c r="DB1396" s="168"/>
      <c r="DC1396" s="165"/>
      <c r="DD1396" s="166"/>
      <c r="DE1396" s="71"/>
      <c r="DF1396" s="170"/>
      <c r="EO1396" s="353" t="str">
        <f t="shared" si="185"/>
        <v>MAGDALENA_PUEBLOVIEJO</v>
      </c>
      <c r="EP1396" s="350"/>
      <c r="EQ1396" s="350"/>
      <c r="ER1396" s="357"/>
      <c r="ES1396" s="350"/>
      <c r="ET1396" s="350"/>
      <c r="EU1396" s="350"/>
    </row>
    <row r="1397" spans="1:151" s="171" customFormat="1" ht="36" x14ac:dyDescent="0.2">
      <c r="A1397" s="242">
        <v>40477</v>
      </c>
      <c r="B1397" s="222" t="s">
        <v>2014</v>
      </c>
      <c r="C1397" s="222" t="s">
        <v>1033</v>
      </c>
      <c r="D1397" s="427" t="s">
        <v>2307</v>
      </c>
      <c r="E1397" s="107" t="str">
        <f>VLOOKUP(B1397&amp;C1397,Divipola!$C$2:$F$1138,4,FALSE)</f>
        <v>63130</v>
      </c>
      <c r="F1397" s="330"/>
      <c r="G1397" s="221"/>
      <c r="H1397" s="157">
        <v>1</v>
      </c>
      <c r="I1397" s="157"/>
      <c r="J1397" s="157"/>
      <c r="K1397" s="157"/>
      <c r="L1397" s="157"/>
      <c r="M1397" s="157"/>
      <c r="N1397" s="157">
        <v>1</v>
      </c>
      <c r="O1397" s="157"/>
      <c r="P1397" s="157"/>
      <c r="Q1397" s="157"/>
      <c r="R1397" s="157"/>
      <c r="S1397" s="157"/>
      <c r="T1397" s="157"/>
      <c r="U1397" s="157"/>
      <c r="V1397" s="158"/>
      <c r="W1397" s="182"/>
      <c r="X1397" s="1"/>
      <c r="Y1397" s="78">
        <f t="shared" si="180"/>
        <v>0</v>
      </c>
      <c r="Z1397" s="78">
        <f t="shared" si="181"/>
        <v>0</v>
      </c>
      <c r="AA1397" s="78">
        <f t="shared" ref="AA1397:AA1460" si="186">DB1397+DD1397</f>
        <v>0</v>
      </c>
      <c r="AB1397" s="78">
        <f t="shared" si="182"/>
        <v>0</v>
      </c>
      <c r="AC1397" s="78"/>
      <c r="AD1397" s="78">
        <v>0</v>
      </c>
      <c r="AE1397" s="80">
        <f t="shared" si="184"/>
        <v>0</v>
      </c>
      <c r="AF1397" s="82">
        <v>0</v>
      </c>
      <c r="AG1397" s="69">
        <v>40478</v>
      </c>
      <c r="AH1397" s="84"/>
      <c r="AI1397" s="69" t="s">
        <v>1984</v>
      </c>
      <c r="AJ1397" s="25" t="s">
        <v>1985</v>
      </c>
      <c r="AK1397" s="65"/>
      <c r="AL1397" s="176" t="s">
        <v>1257</v>
      </c>
      <c r="AM1397" s="173" t="s">
        <v>1524</v>
      </c>
      <c r="AN1397" s="159"/>
      <c r="AO1397" s="160"/>
      <c r="AP1397" s="161"/>
      <c r="AQ1397" s="160"/>
      <c r="AR1397" s="160"/>
      <c r="AS1397" s="160"/>
      <c r="AT1397" s="160"/>
      <c r="AU1397" s="160"/>
      <c r="AV1397" s="160"/>
      <c r="AW1397" s="160"/>
      <c r="AX1397" s="160"/>
      <c r="AY1397" s="160"/>
      <c r="AZ1397" s="160"/>
      <c r="BA1397" s="160"/>
      <c r="BB1397" s="160"/>
      <c r="BC1397" s="160"/>
      <c r="BD1397" s="160"/>
      <c r="BE1397" s="160"/>
      <c r="BF1397" s="160"/>
      <c r="BG1397" s="160"/>
      <c r="BH1397" s="160"/>
      <c r="BI1397" s="160"/>
      <c r="BJ1397" s="160"/>
      <c r="BK1397" s="160"/>
      <c r="BL1397" s="160"/>
      <c r="BM1397" s="160"/>
      <c r="BN1397" s="160"/>
      <c r="BO1397" s="160"/>
      <c r="BP1397" s="160"/>
      <c r="BQ1397" s="160"/>
      <c r="BR1397" s="160"/>
      <c r="BS1397" s="160"/>
      <c r="BT1397" s="160"/>
      <c r="BU1397" s="160"/>
      <c r="BV1397" s="160"/>
      <c r="BW1397" s="160"/>
      <c r="BX1397" s="160"/>
      <c r="BY1397" s="160"/>
      <c r="BZ1397" s="160"/>
      <c r="CA1397" s="160"/>
      <c r="CB1397" s="160"/>
      <c r="CC1397" s="160"/>
      <c r="CD1397" s="160"/>
      <c r="CE1397" s="160"/>
      <c r="CF1397" s="160"/>
      <c r="CG1397" s="160"/>
      <c r="CH1397" s="160"/>
      <c r="CI1397" s="160"/>
      <c r="CJ1397" s="160"/>
      <c r="CK1397" s="160"/>
      <c r="CL1397" s="160"/>
      <c r="CM1397" s="160"/>
      <c r="CN1397" s="160"/>
      <c r="CO1397" s="160"/>
      <c r="CP1397" s="162"/>
      <c r="CQ1397" s="163"/>
      <c r="CR1397" s="162"/>
      <c r="CS1397" s="163"/>
      <c r="CT1397" s="162"/>
      <c r="CU1397" s="163"/>
      <c r="CV1397" s="164">
        <f t="shared" si="183"/>
        <v>0</v>
      </c>
      <c r="CW1397" s="165"/>
      <c r="CX1397" s="166"/>
      <c r="CY1397" s="167"/>
      <c r="CZ1397" s="168"/>
      <c r="DA1397" s="169"/>
      <c r="DB1397" s="168"/>
      <c r="DC1397" s="165"/>
      <c r="DD1397" s="166"/>
      <c r="DE1397" s="71"/>
      <c r="DF1397" s="170"/>
      <c r="EO1397" s="353" t="str">
        <f t="shared" si="185"/>
        <v>QUINDIO_CALARCA</v>
      </c>
      <c r="EP1397" s="350"/>
      <c r="EQ1397" s="350"/>
      <c r="ER1397" s="357"/>
      <c r="ES1397" s="350"/>
      <c r="ET1397" s="350"/>
      <c r="EU1397" s="350"/>
    </row>
    <row r="1398" spans="1:151" s="171" customFormat="1" ht="25.5" x14ac:dyDescent="0.2">
      <c r="A1398" s="242">
        <v>40478</v>
      </c>
      <c r="B1398" s="222" t="s">
        <v>1719</v>
      </c>
      <c r="C1398" s="222" t="s">
        <v>92</v>
      </c>
      <c r="D1398" s="430" t="s">
        <v>1721</v>
      </c>
      <c r="E1398" s="107" t="str">
        <f>VLOOKUP(B1398&amp;C1398,Divipola!$C$2:$F$1138,4,FALSE)</f>
        <v>19809</v>
      </c>
      <c r="F1398" s="333"/>
      <c r="G1398" s="221">
        <v>1</v>
      </c>
      <c r="H1398" s="157">
        <v>2</v>
      </c>
      <c r="I1398" s="157"/>
      <c r="J1398" s="157">
        <v>8</v>
      </c>
      <c r="K1398" s="157">
        <v>1</v>
      </c>
      <c r="L1398" s="157">
        <v>1</v>
      </c>
      <c r="M1398" s="157"/>
      <c r="N1398" s="157"/>
      <c r="O1398" s="157"/>
      <c r="P1398" s="157"/>
      <c r="Q1398" s="157"/>
      <c r="R1398" s="157"/>
      <c r="S1398" s="157"/>
      <c r="T1398" s="157"/>
      <c r="U1398" s="157"/>
      <c r="V1398" s="158"/>
      <c r="W1398" s="182"/>
      <c r="X1398" s="1"/>
      <c r="Y1398" s="78">
        <f t="shared" si="180"/>
        <v>0</v>
      </c>
      <c r="Z1398" s="78">
        <f t="shared" si="181"/>
        <v>0</v>
      </c>
      <c r="AA1398" s="78">
        <f t="shared" si="186"/>
        <v>0</v>
      </c>
      <c r="AB1398" s="78">
        <f t="shared" si="182"/>
        <v>0</v>
      </c>
      <c r="AC1398" s="78"/>
      <c r="AD1398" s="78">
        <v>0</v>
      </c>
      <c r="AE1398" s="80">
        <f t="shared" si="184"/>
        <v>0</v>
      </c>
      <c r="AF1398" s="82">
        <v>0</v>
      </c>
      <c r="AG1398" s="69">
        <v>40482</v>
      </c>
      <c r="AH1398" s="84"/>
      <c r="AI1398" s="69" t="s">
        <v>1984</v>
      </c>
      <c r="AJ1398" s="25" t="s">
        <v>1985</v>
      </c>
      <c r="AK1398" s="65"/>
      <c r="AL1398" s="176" t="s">
        <v>1257</v>
      </c>
      <c r="AM1398" s="173" t="s">
        <v>93</v>
      </c>
      <c r="AN1398" s="159"/>
      <c r="AO1398" s="160"/>
      <c r="AP1398" s="161"/>
      <c r="AQ1398" s="160"/>
      <c r="AR1398" s="160"/>
      <c r="AS1398" s="160"/>
      <c r="AT1398" s="160"/>
      <c r="AU1398" s="160"/>
      <c r="AV1398" s="160"/>
      <c r="AW1398" s="160"/>
      <c r="AX1398" s="160"/>
      <c r="AY1398" s="160"/>
      <c r="AZ1398" s="160"/>
      <c r="BA1398" s="160"/>
      <c r="BB1398" s="160"/>
      <c r="BC1398" s="160"/>
      <c r="BD1398" s="160"/>
      <c r="BE1398" s="160"/>
      <c r="BF1398" s="160"/>
      <c r="BG1398" s="160"/>
      <c r="BH1398" s="160"/>
      <c r="BI1398" s="160"/>
      <c r="BJ1398" s="160"/>
      <c r="BK1398" s="160"/>
      <c r="BL1398" s="160"/>
      <c r="BM1398" s="160"/>
      <c r="BN1398" s="160"/>
      <c r="BO1398" s="160"/>
      <c r="BP1398" s="160"/>
      <c r="BQ1398" s="160"/>
      <c r="BR1398" s="160"/>
      <c r="BS1398" s="160"/>
      <c r="BT1398" s="160"/>
      <c r="BU1398" s="160"/>
      <c r="BV1398" s="160"/>
      <c r="BW1398" s="160"/>
      <c r="BX1398" s="160"/>
      <c r="BY1398" s="160"/>
      <c r="BZ1398" s="160"/>
      <c r="CA1398" s="160"/>
      <c r="CB1398" s="160"/>
      <c r="CC1398" s="160"/>
      <c r="CD1398" s="160"/>
      <c r="CE1398" s="160"/>
      <c r="CF1398" s="160"/>
      <c r="CG1398" s="160"/>
      <c r="CH1398" s="160"/>
      <c r="CI1398" s="160"/>
      <c r="CJ1398" s="160"/>
      <c r="CK1398" s="160"/>
      <c r="CL1398" s="160"/>
      <c r="CM1398" s="160"/>
      <c r="CN1398" s="160"/>
      <c r="CO1398" s="160"/>
      <c r="CP1398" s="162"/>
      <c r="CQ1398" s="163"/>
      <c r="CR1398" s="162"/>
      <c r="CS1398" s="163"/>
      <c r="CT1398" s="162"/>
      <c r="CU1398" s="163"/>
      <c r="CV1398" s="164">
        <f t="shared" si="183"/>
        <v>0</v>
      </c>
      <c r="CW1398" s="165"/>
      <c r="CX1398" s="166"/>
      <c r="CY1398" s="167"/>
      <c r="CZ1398" s="168"/>
      <c r="DA1398" s="169"/>
      <c r="DB1398" s="168"/>
      <c r="DC1398" s="165"/>
      <c r="DD1398" s="166"/>
      <c r="DE1398" s="71"/>
      <c r="DF1398" s="170"/>
      <c r="EO1398" s="353" t="str">
        <f t="shared" si="185"/>
        <v>CAUCA_TIMBIQUI</v>
      </c>
      <c r="EP1398" s="350"/>
      <c r="EQ1398" s="350"/>
      <c r="ER1398" s="357"/>
      <c r="ES1398" s="350"/>
      <c r="ET1398" s="350"/>
      <c r="EU1398" s="350"/>
    </row>
    <row r="1399" spans="1:151" s="171" customFormat="1" ht="38.25" x14ac:dyDescent="0.2">
      <c r="A1399" s="242">
        <v>40478</v>
      </c>
      <c r="B1399" s="222" t="s">
        <v>2007</v>
      </c>
      <c r="C1399" s="222" t="s">
        <v>2740</v>
      </c>
      <c r="D1399" s="430" t="s">
        <v>837</v>
      </c>
      <c r="E1399" s="107" t="str">
        <f>VLOOKUP(B1399&amp;C1399,Divipola!$C$2:$F$1138,4,FALSE)</f>
        <v>25754</v>
      </c>
      <c r="F1399" s="333"/>
      <c r="G1399" s="221"/>
      <c r="H1399" s="157"/>
      <c r="I1399" s="157"/>
      <c r="J1399" s="157">
        <v>200</v>
      </c>
      <c r="K1399" s="157">
        <v>40</v>
      </c>
      <c r="L1399" s="157"/>
      <c r="M1399" s="157">
        <v>40</v>
      </c>
      <c r="N1399" s="157"/>
      <c r="O1399" s="157"/>
      <c r="P1399" s="157"/>
      <c r="Q1399" s="157"/>
      <c r="R1399" s="157"/>
      <c r="S1399" s="157"/>
      <c r="T1399" s="157"/>
      <c r="U1399" s="157"/>
      <c r="V1399" s="158"/>
      <c r="W1399" s="182"/>
      <c r="X1399" s="1"/>
      <c r="Y1399" s="78">
        <f t="shared" si="180"/>
        <v>0</v>
      </c>
      <c r="Z1399" s="78">
        <f t="shared" si="181"/>
        <v>0</v>
      </c>
      <c r="AA1399" s="78">
        <f t="shared" si="186"/>
        <v>0</v>
      </c>
      <c r="AB1399" s="78">
        <f t="shared" si="182"/>
        <v>0</v>
      </c>
      <c r="AC1399" s="78"/>
      <c r="AD1399" s="78">
        <v>0</v>
      </c>
      <c r="AE1399" s="80">
        <f t="shared" si="184"/>
        <v>0</v>
      </c>
      <c r="AF1399" s="82">
        <v>0</v>
      </c>
      <c r="AG1399" s="69">
        <v>40482</v>
      </c>
      <c r="AH1399" s="84"/>
      <c r="AI1399" s="69" t="s">
        <v>1984</v>
      </c>
      <c r="AJ1399" s="25" t="s">
        <v>1985</v>
      </c>
      <c r="AK1399" s="65"/>
      <c r="AL1399" s="176" t="s">
        <v>1257</v>
      </c>
      <c r="AM1399" s="173" t="s">
        <v>87</v>
      </c>
      <c r="AN1399" s="159"/>
      <c r="AO1399" s="160"/>
      <c r="AP1399" s="161"/>
      <c r="AQ1399" s="160"/>
      <c r="AR1399" s="160"/>
      <c r="AS1399" s="160"/>
      <c r="AT1399" s="160"/>
      <c r="AU1399" s="160"/>
      <c r="AV1399" s="160"/>
      <c r="AW1399" s="160"/>
      <c r="AX1399" s="160"/>
      <c r="AY1399" s="160"/>
      <c r="AZ1399" s="160"/>
      <c r="BA1399" s="160"/>
      <c r="BB1399" s="160"/>
      <c r="BC1399" s="160"/>
      <c r="BD1399" s="160"/>
      <c r="BE1399" s="160"/>
      <c r="BF1399" s="160"/>
      <c r="BG1399" s="160"/>
      <c r="BH1399" s="160"/>
      <c r="BI1399" s="160"/>
      <c r="BJ1399" s="160"/>
      <c r="BK1399" s="160"/>
      <c r="BL1399" s="160"/>
      <c r="BM1399" s="160"/>
      <c r="BN1399" s="160"/>
      <c r="BO1399" s="160"/>
      <c r="BP1399" s="160"/>
      <c r="BQ1399" s="160"/>
      <c r="BR1399" s="160"/>
      <c r="BS1399" s="160"/>
      <c r="BT1399" s="160"/>
      <c r="BU1399" s="160"/>
      <c r="BV1399" s="160"/>
      <c r="BW1399" s="160"/>
      <c r="BX1399" s="160"/>
      <c r="BY1399" s="160"/>
      <c r="BZ1399" s="160"/>
      <c r="CA1399" s="160"/>
      <c r="CB1399" s="160"/>
      <c r="CC1399" s="160"/>
      <c r="CD1399" s="160"/>
      <c r="CE1399" s="160"/>
      <c r="CF1399" s="160"/>
      <c r="CG1399" s="160"/>
      <c r="CH1399" s="160"/>
      <c r="CI1399" s="160"/>
      <c r="CJ1399" s="160"/>
      <c r="CK1399" s="160"/>
      <c r="CL1399" s="160"/>
      <c r="CM1399" s="160"/>
      <c r="CN1399" s="160"/>
      <c r="CO1399" s="160"/>
      <c r="CP1399" s="162"/>
      <c r="CQ1399" s="163"/>
      <c r="CR1399" s="162"/>
      <c r="CS1399" s="163"/>
      <c r="CT1399" s="162"/>
      <c r="CU1399" s="163"/>
      <c r="CV1399" s="164">
        <f t="shared" si="183"/>
        <v>0</v>
      </c>
      <c r="CW1399" s="165"/>
      <c r="CX1399" s="166"/>
      <c r="CY1399" s="167"/>
      <c r="CZ1399" s="168"/>
      <c r="DA1399" s="169"/>
      <c r="DB1399" s="168"/>
      <c r="DC1399" s="165"/>
      <c r="DD1399" s="166"/>
      <c r="DE1399" s="71"/>
      <c r="DF1399" s="170"/>
      <c r="EO1399" s="353" t="str">
        <f t="shared" si="185"/>
        <v>CUNDINAMARCA_SOACHA</v>
      </c>
      <c r="EP1399" s="350"/>
      <c r="EQ1399" s="350"/>
      <c r="ER1399" s="357"/>
      <c r="ES1399" s="350"/>
      <c r="ET1399" s="350"/>
      <c r="EU1399" s="350"/>
    </row>
    <row r="1400" spans="1:151" s="171" customFormat="1" ht="36" x14ac:dyDescent="0.2">
      <c r="A1400" s="242">
        <v>40478</v>
      </c>
      <c r="B1400" s="222" t="s">
        <v>2245</v>
      </c>
      <c r="C1400" s="222" t="s">
        <v>2507</v>
      </c>
      <c r="D1400" s="430" t="s">
        <v>837</v>
      </c>
      <c r="E1400" s="107" t="str">
        <f>VLOOKUP(B1400&amp;C1400,Divipola!$C$2:$F$1138,4,FALSE)</f>
        <v>52720</v>
      </c>
      <c r="F1400" s="333"/>
      <c r="G1400" s="221"/>
      <c r="H1400" s="157"/>
      <c r="I1400" s="157"/>
      <c r="J1400" s="157"/>
      <c r="K1400" s="157"/>
      <c r="L1400" s="157"/>
      <c r="M1400" s="157"/>
      <c r="N1400" s="157">
        <v>1</v>
      </c>
      <c r="O1400" s="157"/>
      <c r="P1400" s="157"/>
      <c r="Q1400" s="157"/>
      <c r="R1400" s="157"/>
      <c r="S1400" s="157"/>
      <c r="T1400" s="157"/>
      <c r="U1400" s="157"/>
      <c r="V1400" s="158"/>
      <c r="W1400" s="182"/>
      <c r="X1400" s="1"/>
      <c r="Y1400" s="78">
        <f t="shared" si="180"/>
        <v>0</v>
      </c>
      <c r="Z1400" s="78">
        <f t="shared" si="181"/>
        <v>0</v>
      </c>
      <c r="AA1400" s="78">
        <f t="shared" si="186"/>
        <v>0</v>
      </c>
      <c r="AB1400" s="78">
        <f t="shared" si="182"/>
        <v>0</v>
      </c>
      <c r="AC1400" s="78"/>
      <c r="AD1400" s="78">
        <v>0</v>
      </c>
      <c r="AE1400" s="80">
        <f t="shared" si="184"/>
        <v>0</v>
      </c>
      <c r="AF1400" s="82">
        <v>0</v>
      </c>
      <c r="AG1400" s="69">
        <v>40483</v>
      </c>
      <c r="AH1400" s="84"/>
      <c r="AI1400" s="69" t="s">
        <v>1984</v>
      </c>
      <c r="AJ1400" s="25" t="s">
        <v>1985</v>
      </c>
      <c r="AK1400" s="65"/>
      <c r="AL1400" s="176" t="s">
        <v>1257</v>
      </c>
      <c r="AM1400" s="173" t="s">
        <v>2508</v>
      </c>
      <c r="AN1400" s="159"/>
      <c r="AO1400" s="160"/>
      <c r="AP1400" s="161"/>
      <c r="AQ1400" s="160"/>
      <c r="AR1400" s="160"/>
      <c r="AS1400" s="160"/>
      <c r="AT1400" s="160"/>
      <c r="AU1400" s="160"/>
      <c r="AV1400" s="160"/>
      <c r="AW1400" s="160"/>
      <c r="AX1400" s="160"/>
      <c r="AY1400" s="160"/>
      <c r="AZ1400" s="160"/>
      <c r="BA1400" s="160"/>
      <c r="BB1400" s="160"/>
      <c r="BC1400" s="160"/>
      <c r="BD1400" s="160"/>
      <c r="BE1400" s="160"/>
      <c r="BF1400" s="160"/>
      <c r="BG1400" s="160"/>
      <c r="BH1400" s="160"/>
      <c r="BI1400" s="160"/>
      <c r="BJ1400" s="160"/>
      <c r="BK1400" s="160"/>
      <c r="BL1400" s="160"/>
      <c r="BM1400" s="160"/>
      <c r="BN1400" s="160"/>
      <c r="BO1400" s="160"/>
      <c r="BP1400" s="160"/>
      <c r="BQ1400" s="160"/>
      <c r="BR1400" s="160"/>
      <c r="BS1400" s="160"/>
      <c r="BT1400" s="160"/>
      <c r="BU1400" s="160"/>
      <c r="BV1400" s="160"/>
      <c r="BW1400" s="160"/>
      <c r="BX1400" s="160"/>
      <c r="BY1400" s="160"/>
      <c r="BZ1400" s="160"/>
      <c r="CA1400" s="160"/>
      <c r="CB1400" s="160"/>
      <c r="CC1400" s="160"/>
      <c r="CD1400" s="160"/>
      <c r="CE1400" s="160"/>
      <c r="CF1400" s="160"/>
      <c r="CG1400" s="160"/>
      <c r="CH1400" s="160"/>
      <c r="CI1400" s="160"/>
      <c r="CJ1400" s="160"/>
      <c r="CK1400" s="160"/>
      <c r="CL1400" s="160"/>
      <c r="CM1400" s="160"/>
      <c r="CN1400" s="160"/>
      <c r="CO1400" s="160"/>
      <c r="CP1400" s="162"/>
      <c r="CQ1400" s="163"/>
      <c r="CR1400" s="162"/>
      <c r="CS1400" s="163"/>
      <c r="CT1400" s="162"/>
      <c r="CU1400" s="163"/>
      <c r="CV1400" s="164">
        <f t="shared" si="183"/>
        <v>0</v>
      </c>
      <c r="CW1400" s="165"/>
      <c r="CX1400" s="166"/>
      <c r="CY1400" s="167"/>
      <c r="CZ1400" s="168"/>
      <c r="DA1400" s="169"/>
      <c r="DB1400" s="168"/>
      <c r="DC1400" s="165"/>
      <c r="DD1400" s="166"/>
      <c r="DE1400" s="71"/>
      <c r="DF1400" s="170"/>
      <c r="EO1400" s="353" t="str">
        <f t="shared" si="185"/>
        <v>NARIÑO_SAPUYES</v>
      </c>
      <c r="EP1400" s="350"/>
      <c r="EQ1400" s="350"/>
      <c r="ER1400" s="357"/>
      <c r="ES1400" s="350"/>
      <c r="ET1400" s="350"/>
      <c r="EU1400" s="350"/>
    </row>
    <row r="1401" spans="1:151" s="171" customFormat="1" ht="38.25" x14ac:dyDescent="0.2">
      <c r="A1401" s="242">
        <v>40478</v>
      </c>
      <c r="B1401" s="222" t="s">
        <v>1336</v>
      </c>
      <c r="C1401" s="222" t="s">
        <v>1624</v>
      </c>
      <c r="D1401" s="430" t="s">
        <v>2781</v>
      </c>
      <c r="E1401" s="107" t="str">
        <f>VLOOKUP(B1401&amp;C1401,Divipola!$C$2:$F$1138,4,FALSE)</f>
        <v>54261</v>
      </c>
      <c r="F1401" s="333"/>
      <c r="G1401" s="221"/>
      <c r="H1401" s="157">
        <v>3</v>
      </c>
      <c r="I1401" s="157"/>
      <c r="J1401" s="157"/>
      <c r="K1401" s="157"/>
      <c r="L1401" s="157"/>
      <c r="M1401" s="157"/>
      <c r="N1401" s="157"/>
      <c r="O1401" s="157"/>
      <c r="P1401" s="157"/>
      <c r="Q1401" s="157"/>
      <c r="R1401" s="157"/>
      <c r="S1401" s="157"/>
      <c r="T1401" s="157"/>
      <c r="U1401" s="157"/>
      <c r="V1401" s="158"/>
      <c r="W1401" s="182"/>
      <c r="X1401" s="1"/>
      <c r="Y1401" s="78">
        <f t="shared" si="180"/>
        <v>0</v>
      </c>
      <c r="Z1401" s="78">
        <f t="shared" si="181"/>
        <v>0</v>
      </c>
      <c r="AA1401" s="78">
        <f t="shared" si="186"/>
        <v>0</v>
      </c>
      <c r="AB1401" s="78">
        <f t="shared" si="182"/>
        <v>0</v>
      </c>
      <c r="AC1401" s="78"/>
      <c r="AD1401" s="78">
        <v>0</v>
      </c>
      <c r="AE1401" s="80">
        <f t="shared" si="184"/>
        <v>0</v>
      </c>
      <c r="AF1401" s="82">
        <v>0</v>
      </c>
      <c r="AG1401" s="69">
        <v>40482</v>
      </c>
      <c r="AH1401" s="84"/>
      <c r="AI1401" s="69" t="s">
        <v>1984</v>
      </c>
      <c r="AJ1401" s="25" t="s">
        <v>1985</v>
      </c>
      <c r="AK1401" s="65"/>
      <c r="AL1401" s="176" t="s">
        <v>1257</v>
      </c>
      <c r="AM1401" s="173" t="s">
        <v>1085</v>
      </c>
      <c r="AN1401" s="159"/>
      <c r="AO1401" s="160"/>
      <c r="AP1401" s="161"/>
      <c r="AQ1401" s="160"/>
      <c r="AR1401" s="160"/>
      <c r="AS1401" s="160"/>
      <c r="AT1401" s="160"/>
      <c r="AU1401" s="160"/>
      <c r="AV1401" s="160"/>
      <c r="AW1401" s="160"/>
      <c r="AX1401" s="160"/>
      <c r="AY1401" s="160"/>
      <c r="AZ1401" s="160"/>
      <c r="BA1401" s="160"/>
      <c r="BB1401" s="160"/>
      <c r="BC1401" s="160"/>
      <c r="BD1401" s="160"/>
      <c r="BE1401" s="160"/>
      <c r="BF1401" s="160"/>
      <c r="BG1401" s="160"/>
      <c r="BH1401" s="160"/>
      <c r="BI1401" s="160"/>
      <c r="BJ1401" s="160"/>
      <c r="BK1401" s="160"/>
      <c r="BL1401" s="160"/>
      <c r="BM1401" s="160"/>
      <c r="BN1401" s="160"/>
      <c r="BO1401" s="160"/>
      <c r="BP1401" s="160"/>
      <c r="BQ1401" s="160"/>
      <c r="BR1401" s="160"/>
      <c r="BS1401" s="160"/>
      <c r="BT1401" s="160"/>
      <c r="BU1401" s="160"/>
      <c r="BV1401" s="160"/>
      <c r="BW1401" s="160"/>
      <c r="BX1401" s="160"/>
      <c r="BY1401" s="160"/>
      <c r="BZ1401" s="160"/>
      <c r="CA1401" s="160"/>
      <c r="CB1401" s="160"/>
      <c r="CC1401" s="160"/>
      <c r="CD1401" s="160"/>
      <c r="CE1401" s="160"/>
      <c r="CF1401" s="160"/>
      <c r="CG1401" s="160"/>
      <c r="CH1401" s="160"/>
      <c r="CI1401" s="160"/>
      <c r="CJ1401" s="160"/>
      <c r="CK1401" s="160"/>
      <c r="CL1401" s="160"/>
      <c r="CM1401" s="160"/>
      <c r="CN1401" s="160"/>
      <c r="CO1401" s="160"/>
      <c r="CP1401" s="162"/>
      <c r="CQ1401" s="163"/>
      <c r="CR1401" s="162"/>
      <c r="CS1401" s="163"/>
      <c r="CT1401" s="162"/>
      <c r="CU1401" s="163"/>
      <c r="CV1401" s="164">
        <f t="shared" si="183"/>
        <v>0</v>
      </c>
      <c r="CW1401" s="165"/>
      <c r="CX1401" s="166"/>
      <c r="CY1401" s="167"/>
      <c r="CZ1401" s="168"/>
      <c r="DA1401" s="169"/>
      <c r="DB1401" s="168"/>
      <c r="DC1401" s="165"/>
      <c r="DD1401" s="166"/>
      <c r="DE1401" s="71"/>
      <c r="DF1401" s="170"/>
      <c r="EO1401" s="353" t="str">
        <f t="shared" si="185"/>
        <v>NORTE DE SANTANDER_EL ZULIA</v>
      </c>
      <c r="EP1401" s="350"/>
      <c r="EQ1401" s="350"/>
      <c r="ER1401" s="357"/>
      <c r="ES1401" s="350"/>
      <c r="ET1401" s="350"/>
      <c r="EU1401" s="350"/>
    </row>
    <row r="1402" spans="1:151" s="171" customFormat="1" ht="25.5" x14ac:dyDescent="0.2">
      <c r="A1402" s="242">
        <v>40478</v>
      </c>
      <c r="B1402" s="107" t="s">
        <v>2012</v>
      </c>
      <c r="C1402" s="222" t="s">
        <v>2433</v>
      </c>
      <c r="D1402" s="430" t="s">
        <v>1721</v>
      </c>
      <c r="E1402" s="107" t="str">
        <f>VLOOKUP(B1402&amp;C1402,Divipola!$C$2:$F$1138,4,FALSE)</f>
        <v>66001</v>
      </c>
      <c r="F1402" s="333"/>
      <c r="G1402" s="221"/>
      <c r="H1402" s="157"/>
      <c r="I1402" s="157"/>
      <c r="J1402" s="157"/>
      <c r="K1402" s="157"/>
      <c r="L1402" s="157"/>
      <c r="M1402" s="157"/>
      <c r="N1402" s="157"/>
      <c r="O1402" s="157"/>
      <c r="P1402" s="157"/>
      <c r="Q1402" s="157"/>
      <c r="R1402" s="157"/>
      <c r="S1402" s="157"/>
      <c r="T1402" s="157"/>
      <c r="U1402" s="157"/>
      <c r="V1402" s="158"/>
      <c r="W1402" s="182" t="s">
        <v>86</v>
      </c>
      <c r="X1402" s="1"/>
      <c r="Y1402" s="78">
        <f t="shared" si="180"/>
        <v>0</v>
      </c>
      <c r="Z1402" s="78">
        <f t="shared" si="181"/>
        <v>0</v>
      </c>
      <c r="AA1402" s="78">
        <f t="shared" si="186"/>
        <v>0</v>
      </c>
      <c r="AB1402" s="78">
        <f t="shared" si="182"/>
        <v>0</v>
      </c>
      <c r="AC1402" s="78"/>
      <c r="AD1402" s="78">
        <v>0</v>
      </c>
      <c r="AE1402" s="80">
        <f t="shared" si="184"/>
        <v>0</v>
      </c>
      <c r="AF1402" s="82">
        <v>0</v>
      </c>
      <c r="AG1402" s="69">
        <v>40482</v>
      </c>
      <c r="AH1402" s="84"/>
      <c r="AI1402" s="69" t="s">
        <v>1984</v>
      </c>
      <c r="AJ1402" s="25" t="s">
        <v>1985</v>
      </c>
      <c r="AK1402" s="65"/>
      <c r="AL1402" s="176" t="s">
        <v>1257</v>
      </c>
      <c r="AM1402" s="173" t="s">
        <v>283</v>
      </c>
      <c r="AN1402" s="159"/>
      <c r="AO1402" s="160"/>
      <c r="AP1402" s="161"/>
      <c r="AQ1402" s="160"/>
      <c r="AR1402" s="160"/>
      <c r="AS1402" s="160"/>
      <c r="AT1402" s="160"/>
      <c r="AU1402" s="160"/>
      <c r="AV1402" s="160"/>
      <c r="AW1402" s="160"/>
      <c r="AX1402" s="160"/>
      <c r="AY1402" s="160"/>
      <c r="AZ1402" s="160"/>
      <c r="BA1402" s="160"/>
      <c r="BB1402" s="160"/>
      <c r="BC1402" s="160"/>
      <c r="BD1402" s="160"/>
      <c r="BE1402" s="160"/>
      <c r="BF1402" s="160"/>
      <c r="BG1402" s="160"/>
      <c r="BH1402" s="160"/>
      <c r="BI1402" s="160"/>
      <c r="BJ1402" s="160"/>
      <c r="BK1402" s="160"/>
      <c r="BL1402" s="160"/>
      <c r="BM1402" s="160"/>
      <c r="BN1402" s="160"/>
      <c r="BO1402" s="160"/>
      <c r="BP1402" s="160"/>
      <c r="BQ1402" s="160"/>
      <c r="BR1402" s="160"/>
      <c r="BS1402" s="160"/>
      <c r="BT1402" s="160"/>
      <c r="BU1402" s="160"/>
      <c r="BV1402" s="160"/>
      <c r="BW1402" s="160"/>
      <c r="BX1402" s="160"/>
      <c r="BY1402" s="160"/>
      <c r="BZ1402" s="160"/>
      <c r="CA1402" s="160"/>
      <c r="CB1402" s="160"/>
      <c r="CC1402" s="160"/>
      <c r="CD1402" s="160"/>
      <c r="CE1402" s="160"/>
      <c r="CF1402" s="160"/>
      <c r="CG1402" s="160"/>
      <c r="CH1402" s="160"/>
      <c r="CI1402" s="160"/>
      <c r="CJ1402" s="160"/>
      <c r="CK1402" s="160"/>
      <c r="CL1402" s="160"/>
      <c r="CM1402" s="160"/>
      <c r="CN1402" s="160"/>
      <c r="CO1402" s="160"/>
      <c r="CP1402" s="162"/>
      <c r="CQ1402" s="163"/>
      <c r="CR1402" s="162"/>
      <c r="CS1402" s="163"/>
      <c r="CT1402" s="162"/>
      <c r="CU1402" s="163"/>
      <c r="CV1402" s="164">
        <f t="shared" si="183"/>
        <v>0</v>
      </c>
      <c r="CW1402" s="165"/>
      <c r="CX1402" s="166"/>
      <c r="CY1402" s="167"/>
      <c r="CZ1402" s="168"/>
      <c r="DA1402" s="169"/>
      <c r="DB1402" s="168"/>
      <c r="DC1402" s="165"/>
      <c r="DD1402" s="166"/>
      <c r="DE1402" s="71"/>
      <c r="DF1402" s="170"/>
      <c r="EO1402" s="353" t="str">
        <f t="shared" si="185"/>
        <v>RISARALDA_PEREIRA</v>
      </c>
      <c r="EP1402" s="350"/>
      <c r="EQ1402" s="350"/>
      <c r="ER1402" s="357"/>
      <c r="ES1402" s="350"/>
      <c r="ET1402" s="350"/>
      <c r="EU1402" s="350"/>
    </row>
    <row r="1403" spans="1:151" s="171" customFormat="1" ht="25.5" x14ac:dyDescent="0.2">
      <c r="A1403" s="242">
        <v>40478</v>
      </c>
      <c r="B1403" s="222" t="s">
        <v>2791</v>
      </c>
      <c r="C1403" s="222" t="s">
        <v>1945</v>
      </c>
      <c r="D1403" s="427" t="s">
        <v>2307</v>
      </c>
      <c r="E1403" s="107" t="str">
        <f>VLOOKUP(B1403&amp;C1403,Divipola!$C$2:$F$1138,4,FALSE)</f>
        <v>73001</v>
      </c>
      <c r="F1403" s="330"/>
      <c r="G1403" s="221"/>
      <c r="H1403" s="157"/>
      <c r="I1403" s="157"/>
      <c r="J1403" s="157">
        <v>15</v>
      </c>
      <c r="K1403" s="157">
        <v>3</v>
      </c>
      <c r="L1403" s="157"/>
      <c r="M1403" s="157">
        <v>3</v>
      </c>
      <c r="N1403" s="157"/>
      <c r="O1403" s="157"/>
      <c r="P1403" s="157"/>
      <c r="Q1403" s="157"/>
      <c r="R1403" s="157"/>
      <c r="S1403" s="157"/>
      <c r="T1403" s="157"/>
      <c r="U1403" s="157"/>
      <c r="V1403" s="158"/>
      <c r="W1403" s="182"/>
      <c r="X1403" s="1"/>
      <c r="Y1403" s="78">
        <f t="shared" si="180"/>
        <v>0</v>
      </c>
      <c r="Z1403" s="78">
        <f t="shared" si="181"/>
        <v>0</v>
      </c>
      <c r="AA1403" s="78">
        <f t="shared" si="186"/>
        <v>0</v>
      </c>
      <c r="AB1403" s="78">
        <f t="shared" si="182"/>
        <v>0</v>
      </c>
      <c r="AC1403" s="78"/>
      <c r="AD1403" s="78">
        <v>0</v>
      </c>
      <c r="AE1403" s="80">
        <f t="shared" si="184"/>
        <v>0</v>
      </c>
      <c r="AF1403" s="82">
        <v>0</v>
      </c>
      <c r="AG1403" s="69">
        <v>40478</v>
      </c>
      <c r="AH1403" s="84"/>
      <c r="AI1403" s="69" t="s">
        <v>1984</v>
      </c>
      <c r="AJ1403" s="25" t="s">
        <v>1985</v>
      </c>
      <c r="AK1403" s="65"/>
      <c r="AL1403" s="176" t="s">
        <v>1257</v>
      </c>
      <c r="AM1403" s="173" t="s">
        <v>1523</v>
      </c>
      <c r="AN1403" s="159"/>
      <c r="AO1403" s="160"/>
      <c r="AP1403" s="161"/>
      <c r="AQ1403" s="160"/>
      <c r="AR1403" s="160"/>
      <c r="AS1403" s="160"/>
      <c r="AT1403" s="160"/>
      <c r="AU1403" s="160"/>
      <c r="AV1403" s="160"/>
      <c r="AW1403" s="160"/>
      <c r="AX1403" s="160"/>
      <c r="AY1403" s="160"/>
      <c r="AZ1403" s="160"/>
      <c r="BA1403" s="160"/>
      <c r="BB1403" s="160"/>
      <c r="BC1403" s="160"/>
      <c r="BD1403" s="160"/>
      <c r="BE1403" s="160"/>
      <c r="BF1403" s="160"/>
      <c r="BG1403" s="160"/>
      <c r="BH1403" s="160"/>
      <c r="BI1403" s="160"/>
      <c r="BJ1403" s="160"/>
      <c r="BK1403" s="160"/>
      <c r="BL1403" s="160"/>
      <c r="BM1403" s="160"/>
      <c r="BN1403" s="160"/>
      <c r="BO1403" s="160"/>
      <c r="BP1403" s="160"/>
      <c r="BQ1403" s="160"/>
      <c r="BR1403" s="160"/>
      <c r="BS1403" s="160"/>
      <c r="BT1403" s="160"/>
      <c r="BU1403" s="160"/>
      <c r="BV1403" s="160"/>
      <c r="BW1403" s="160"/>
      <c r="BX1403" s="160"/>
      <c r="BY1403" s="160"/>
      <c r="BZ1403" s="160"/>
      <c r="CA1403" s="160"/>
      <c r="CB1403" s="160"/>
      <c r="CC1403" s="160"/>
      <c r="CD1403" s="160"/>
      <c r="CE1403" s="160"/>
      <c r="CF1403" s="160"/>
      <c r="CG1403" s="160"/>
      <c r="CH1403" s="160"/>
      <c r="CI1403" s="160"/>
      <c r="CJ1403" s="160"/>
      <c r="CK1403" s="160"/>
      <c r="CL1403" s="160"/>
      <c r="CM1403" s="160"/>
      <c r="CN1403" s="160"/>
      <c r="CO1403" s="160"/>
      <c r="CP1403" s="162"/>
      <c r="CQ1403" s="163"/>
      <c r="CR1403" s="162"/>
      <c r="CS1403" s="163"/>
      <c r="CT1403" s="162"/>
      <c r="CU1403" s="163"/>
      <c r="CV1403" s="164">
        <f t="shared" si="183"/>
        <v>0</v>
      </c>
      <c r="CW1403" s="165"/>
      <c r="CX1403" s="166"/>
      <c r="CY1403" s="167"/>
      <c r="CZ1403" s="168"/>
      <c r="DA1403" s="169"/>
      <c r="DB1403" s="168"/>
      <c r="DC1403" s="165"/>
      <c r="DD1403" s="166"/>
      <c r="DE1403" s="71"/>
      <c r="DF1403" s="170"/>
      <c r="EO1403" s="353" t="str">
        <f t="shared" si="185"/>
        <v>TOLIMA_IBAGUE</v>
      </c>
      <c r="EP1403" s="350"/>
      <c r="EQ1403" s="350"/>
      <c r="ER1403" s="357"/>
      <c r="ES1403" s="350"/>
      <c r="ET1403" s="350"/>
      <c r="EU1403" s="350"/>
    </row>
    <row r="1404" spans="1:151" s="171" customFormat="1" ht="25.5" x14ac:dyDescent="0.2">
      <c r="A1404" s="246">
        <v>40479</v>
      </c>
      <c r="B1404" s="280" t="s">
        <v>2401</v>
      </c>
      <c r="C1404" s="280" t="s">
        <v>289</v>
      </c>
      <c r="D1404" s="431" t="s">
        <v>2307</v>
      </c>
      <c r="E1404" s="107" t="str">
        <f>VLOOKUP(B1404&amp;C1404,Divipola!$C$2:$F$1138,4,FALSE)</f>
        <v>05129</v>
      </c>
      <c r="F1404" s="334"/>
      <c r="G1404" s="221"/>
      <c r="H1404" s="157"/>
      <c r="I1404" s="157"/>
      <c r="J1404" s="157">
        <v>30</v>
      </c>
      <c r="K1404" s="157">
        <v>6</v>
      </c>
      <c r="L1404" s="157">
        <v>1</v>
      </c>
      <c r="M1404" s="157">
        <v>5</v>
      </c>
      <c r="N1404" s="157"/>
      <c r="O1404" s="157"/>
      <c r="P1404" s="157"/>
      <c r="Q1404" s="157"/>
      <c r="R1404" s="157"/>
      <c r="S1404" s="157"/>
      <c r="T1404" s="157"/>
      <c r="U1404" s="157"/>
      <c r="V1404" s="158"/>
      <c r="W1404" s="182"/>
      <c r="X1404" s="1"/>
      <c r="Y1404" s="78">
        <f t="shared" si="180"/>
        <v>0</v>
      </c>
      <c r="Z1404" s="78">
        <f t="shared" si="181"/>
        <v>0</v>
      </c>
      <c r="AA1404" s="78">
        <f t="shared" si="186"/>
        <v>0</v>
      </c>
      <c r="AB1404" s="78">
        <f t="shared" si="182"/>
        <v>0</v>
      </c>
      <c r="AC1404" s="78"/>
      <c r="AD1404" s="78">
        <v>0</v>
      </c>
      <c r="AE1404" s="80">
        <f t="shared" si="184"/>
        <v>0</v>
      </c>
      <c r="AF1404" s="82">
        <v>0</v>
      </c>
      <c r="AG1404" s="69">
        <v>40482</v>
      </c>
      <c r="AH1404" s="84"/>
      <c r="AI1404" s="69" t="s">
        <v>1984</v>
      </c>
      <c r="AJ1404" s="25" t="s">
        <v>1985</v>
      </c>
      <c r="AK1404" s="65"/>
      <c r="AL1404" s="176" t="s">
        <v>1257</v>
      </c>
      <c r="AM1404" s="173" t="s">
        <v>1080</v>
      </c>
      <c r="AN1404" s="159"/>
      <c r="AO1404" s="160"/>
      <c r="AP1404" s="161"/>
      <c r="AQ1404" s="160"/>
      <c r="AR1404" s="160"/>
      <c r="AS1404" s="160"/>
      <c r="AT1404" s="160"/>
      <c r="AU1404" s="160"/>
      <c r="AV1404" s="160"/>
      <c r="AW1404" s="160"/>
      <c r="AX1404" s="160"/>
      <c r="AY1404" s="160"/>
      <c r="AZ1404" s="160"/>
      <c r="BA1404" s="160"/>
      <c r="BB1404" s="160"/>
      <c r="BC1404" s="160"/>
      <c r="BD1404" s="160"/>
      <c r="BE1404" s="160"/>
      <c r="BF1404" s="160"/>
      <c r="BG1404" s="160"/>
      <c r="BH1404" s="160"/>
      <c r="BI1404" s="160"/>
      <c r="BJ1404" s="160"/>
      <c r="BK1404" s="160"/>
      <c r="BL1404" s="160"/>
      <c r="BM1404" s="160"/>
      <c r="BN1404" s="160"/>
      <c r="BO1404" s="160"/>
      <c r="BP1404" s="160"/>
      <c r="BQ1404" s="160"/>
      <c r="BR1404" s="160"/>
      <c r="BS1404" s="160"/>
      <c r="BT1404" s="160"/>
      <c r="BU1404" s="160"/>
      <c r="BV1404" s="160"/>
      <c r="BW1404" s="160"/>
      <c r="BX1404" s="160"/>
      <c r="BY1404" s="160"/>
      <c r="BZ1404" s="160"/>
      <c r="CA1404" s="160"/>
      <c r="CB1404" s="160"/>
      <c r="CC1404" s="160"/>
      <c r="CD1404" s="160"/>
      <c r="CE1404" s="160"/>
      <c r="CF1404" s="160"/>
      <c r="CG1404" s="160"/>
      <c r="CH1404" s="160"/>
      <c r="CI1404" s="160"/>
      <c r="CJ1404" s="160"/>
      <c r="CK1404" s="160"/>
      <c r="CL1404" s="160"/>
      <c r="CM1404" s="160"/>
      <c r="CN1404" s="160"/>
      <c r="CO1404" s="160"/>
      <c r="CP1404" s="162"/>
      <c r="CQ1404" s="163"/>
      <c r="CR1404" s="162"/>
      <c r="CS1404" s="163"/>
      <c r="CT1404" s="162"/>
      <c r="CU1404" s="163"/>
      <c r="CV1404" s="164">
        <f t="shared" si="183"/>
        <v>0</v>
      </c>
      <c r="CW1404" s="165"/>
      <c r="CX1404" s="166"/>
      <c r="CY1404" s="167"/>
      <c r="CZ1404" s="168"/>
      <c r="DA1404" s="169"/>
      <c r="DB1404" s="168"/>
      <c r="DC1404" s="165"/>
      <c r="DD1404" s="166"/>
      <c r="DE1404" s="71"/>
      <c r="DF1404" s="170"/>
      <c r="EO1404" s="353" t="str">
        <f t="shared" si="185"/>
        <v>ANTIOQUIA_CALDAS</v>
      </c>
      <c r="EP1404" s="350"/>
      <c r="EQ1404" s="350"/>
      <c r="ER1404" s="357"/>
      <c r="ES1404" s="350"/>
      <c r="ET1404" s="350"/>
      <c r="EU1404" s="350"/>
    </row>
    <row r="1405" spans="1:151" s="171" customFormat="1" ht="25.5" x14ac:dyDescent="0.2">
      <c r="A1405" s="246">
        <v>40479</v>
      </c>
      <c r="B1405" s="280" t="s">
        <v>2401</v>
      </c>
      <c r="C1405" s="280" t="s">
        <v>2245</v>
      </c>
      <c r="D1405" s="431" t="s">
        <v>2307</v>
      </c>
      <c r="E1405" s="107" t="str">
        <f>VLOOKUP(B1405&amp;C1405,Divipola!$C$2:$F$1138,4,FALSE)</f>
        <v>05483</v>
      </c>
      <c r="F1405" s="334"/>
      <c r="G1405" s="221">
        <v>1</v>
      </c>
      <c r="H1405" s="157"/>
      <c r="I1405" s="157"/>
      <c r="J1405" s="157">
        <v>105</v>
      </c>
      <c r="K1405" s="157">
        <v>35</v>
      </c>
      <c r="L1405" s="157">
        <v>34</v>
      </c>
      <c r="M1405" s="157">
        <v>1</v>
      </c>
      <c r="N1405" s="157"/>
      <c r="O1405" s="157"/>
      <c r="P1405" s="157"/>
      <c r="Q1405" s="157"/>
      <c r="R1405" s="157"/>
      <c r="S1405" s="157"/>
      <c r="T1405" s="157"/>
      <c r="U1405" s="157"/>
      <c r="V1405" s="158"/>
      <c r="W1405" s="182"/>
      <c r="X1405" s="1"/>
      <c r="Y1405" s="78">
        <f t="shared" si="180"/>
        <v>0</v>
      </c>
      <c r="Z1405" s="78">
        <f t="shared" si="181"/>
        <v>0</v>
      </c>
      <c r="AA1405" s="78">
        <f t="shared" si="186"/>
        <v>0</v>
      </c>
      <c r="AB1405" s="78">
        <f t="shared" si="182"/>
        <v>0</v>
      </c>
      <c r="AC1405" s="78"/>
      <c r="AD1405" s="78">
        <v>0</v>
      </c>
      <c r="AE1405" s="80">
        <f t="shared" si="184"/>
        <v>0</v>
      </c>
      <c r="AF1405" s="82">
        <v>0</v>
      </c>
      <c r="AG1405" s="69">
        <v>40482</v>
      </c>
      <c r="AH1405" s="84"/>
      <c r="AI1405" s="69" t="s">
        <v>1984</v>
      </c>
      <c r="AJ1405" s="25" t="s">
        <v>1985</v>
      </c>
      <c r="AK1405" s="65"/>
      <c r="AL1405" s="176" t="s">
        <v>1257</v>
      </c>
      <c r="AM1405" s="173" t="s">
        <v>1082</v>
      </c>
      <c r="AN1405" s="159"/>
      <c r="AO1405" s="160"/>
      <c r="AP1405" s="161"/>
      <c r="AQ1405" s="160"/>
      <c r="AR1405" s="160"/>
      <c r="AS1405" s="160"/>
      <c r="AT1405" s="160"/>
      <c r="AU1405" s="160"/>
      <c r="AV1405" s="160"/>
      <c r="AW1405" s="160"/>
      <c r="AX1405" s="160"/>
      <c r="AY1405" s="160"/>
      <c r="AZ1405" s="160"/>
      <c r="BA1405" s="160"/>
      <c r="BB1405" s="160"/>
      <c r="BC1405" s="160"/>
      <c r="BD1405" s="160"/>
      <c r="BE1405" s="160"/>
      <c r="BF1405" s="160"/>
      <c r="BG1405" s="160"/>
      <c r="BH1405" s="160"/>
      <c r="BI1405" s="160"/>
      <c r="BJ1405" s="160"/>
      <c r="BK1405" s="160"/>
      <c r="BL1405" s="160"/>
      <c r="BM1405" s="160"/>
      <c r="BN1405" s="160"/>
      <c r="BO1405" s="160"/>
      <c r="BP1405" s="160"/>
      <c r="BQ1405" s="160"/>
      <c r="BR1405" s="160"/>
      <c r="BS1405" s="160"/>
      <c r="BT1405" s="160"/>
      <c r="BU1405" s="160"/>
      <c r="BV1405" s="160"/>
      <c r="BW1405" s="160"/>
      <c r="BX1405" s="160"/>
      <c r="BY1405" s="160"/>
      <c r="BZ1405" s="160"/>
      <c r="CA1405" s="160"/>
      <c r="CB1405" s="160"/>
      <c r="CC1405" s="160"/>
      <c r="CD1405" s="160"/>
      <c r="CE1405" s="160"/>
      <c r="CF1405" s="160"/>
      <c r="CG1405" s="160"/>
      <c r="CH1405" s="160"/>
      <c r="CI1405" s="160"/>
      <c r="CJ1405" s="160"/>
      <c r="CK1405" s="160"/>
      <c r="CL1405" s="160"/>
      <c r="CM1405" s="160"/>
      <c r="CN1405" s="160"/>
      <c r="CO1405" s="160"/>
      <c r="CP1405" s="162"/>
      <c r="CQ1405" s="163"/>
      <c r="CR1405" s="162"/>
      <c r="CS1405" s="163"/>
      <c r="CT1405" s="162"/>
      <c r="CU1405" s="163"/>
      <c r="CV1405" s="164">
        <f t="shared" si="183"/>
        <v>0</v>
      </c>
      <c r="CW1405" s="165"/>
      <c r="CX1405" s="166"/>
      <c r="CY1405" s="167"/>
      <c r="CZ1405" s="168"/>
      <c r="DA1405" s="169"/>
      <c r="DB1405" s="168"/>
      <c r="DC1405" s="165"/>
      <c r="DD1405" s="166"/>
      <c r="DE1405" s="71"/>
      <c r="DF1405" s="170"/>
      <c r="EO1405" s="353" t="str">
        <f t="shared" si="185"/>
        <v>ANTIOQUIA_NARIÑO</v>
      </c>
      <c r="EP1405" s="350"/>
      <c r="EQ1405" s="350"/>
      <c r="ER1405" s="357"/>
      <c r="ES1405" s="350"/>
      <c r="ET1405" s="350"/>
      <c r="EU1405" s="350"/>
    </row>
    <row r="1406" spans="1:151" s="171" customFormat="1" ht="25.5" x14ac:dyDescent="0.2">
      <c r="A1406" s="246">
        <v>40479</v>
      </c>
      <c r="B1406" s="280" t="s">
        <v>2401</v>
      </c>
      <c r="C1406" s="280" t="s">
        <v>1253</v>
      </c>
      <c r="D1406" s="432" t="s">
        <v>837</v>
      </c>
      <c r="E1406" s="107" t="str">
        <f>VLOOKUP(B1406&amp;C1406,Divipola!$C$2:$F$1138,4,FALSE)</f>
        <v>05495</v>
      </c>
      <c r="F1406" s="337"/>
      <c r="G1406" s="221"/>
      <c r="H1406" s="157"/>
      <c r="I1406" s="157"/>
      <c r="J1406" s="157">
        <f>4626*4</f>
        <v>18504</v>
      </c>
      <c r="K1406" s="157">
        <v>4626</v>
      </c>
      <c r="L1406" s="157">
        <v>154</v>
      </c>
      <c r="M1406" s="183">
        <f>104-14</f>
        <v>90</v>
      </c>
      <c r="N1406" s="157"/>
      <c r="O1406" s="157"/>
      <c r="P1406" s="157"/>
      <c r="Q1406" s="157"/>
      <c r="R1406" s="157"/>
      <c r="S1406" s="157"/>
      <c r="T1406" s="157"/>
      <c r="U1406" s="157"/>
      <c r="V1406" s="158"/>
      <c r="W1406" s="182"/>
      <c r="X1406" s="1"/>
      <c r="Y1406" s="78">
        <f t="shared" si="180"/>
        <v>0</v>
      </c>
      <c r="Z1406" s="78">
        <f t="shared" si="181"/>
        <v>0</v>
      </c>
      <c r="AA1406" s="78">
        <f t="shared" si="186"/>
        <v>0</v>
      </c>
      <c r="AB1406" s="78">
        <f t="shared" si="182"/>
        <v>0</v>
      </c>
      <c r="AC1406" s="78"/>
      <c r="AD1406" s="78">
        <v>0</v>
      </c>
      <c r="AE1406" s="80">
        <f t="shared" si="184"/>
        <v>0</v>
      </c>
      <c r="AF1406" s="82">
        <v>0</v>
      </c>
      <c r="AG1406" s="69">
        <v>40482</v>
      </c>
      <c r="AH1406" s="84"/>
      <c r="AI1406" s="69" t="s">
        <v>1984</v>
      </c>
      <c r="AJ1406" s="25" t="s">
        <v>1985</v>
      </c>
      <c r="AK1406" s="65"/>
      <c r="AL1406" s="176" t="s">
        <v>1257</v>
      </c>
      <c r="AM1406" s="173" t="s">
        <v>1081</v>
      </c>
      <c r="AN1406" s="159"/>
      <c r="AO1406" s="160"/>
      <c r="AP1406" s="161"/>
      <c r="AQ1406" s="160"/>
      <c r="AR1406" s="160"/>
      <c r="AS1406" s="160"/>
      <c r="AT1406" s="160"/>
      <c r="AU1406" s="160"/>
      <c r="AV1406" s="160"/>
      <c r="AW1406" s="160"/>
      <c r="AX1406" s="160"/>
      <c r="AY1406" s="160"/>
      <c r="AZ1406" s="160"/>
      <c r="BA1406" s="160"/>
      <c r="BB1406" s="160"/>
      <c r="BC1406" s="160"/>
      <c r="BD1406" s="160"/>
      <c r="BE1406" s="160"/>
      <c r="BF1406" s="160"/>
      <c r="BG1406" s="160"/>
      <c r="BH1406" s="160"/>
      <c r="BI1406" s="160"/>
      <c r="BJ1406" s="160"/>
      <c r="BK1406" s="160"/>
      <c r="BL1406" s="160"/>
      <c r="BM1406" s="160"/>
      <c r="BN1406" s="160"/>
      <c r="BO1406" s="160"/>
      <c r="BP1406" s="160"/>
      <c r="BQ1406" s="160"/>
      <c r="BR1406" s="160"/>
      <c r="BS1406" s="160"/>
      <c r="BT1406" s="160"/>
      <c r="BU1406" s="160"/>
      <c r="BV1406" s="160"/>
      <c r="BW1406" s="160"/>
      <c r="BX1406" s="160"/>
      <c r="BY1406" s="160"/>
      <c r="BZ1406" s="160"/>
      <c r="CA1406" s="160"/>
      <c r="CB1406" s="160"/>
      <c r="CC1406" s="160"/>
      <c r="CD1406" s="160"/>
      <c r="CE1406" s="160"/>
      <c r="CF1406" s="160"/>
      <c r="CG1406" s="160"/>
      <c r="CH1406" s="160"/>
      <c r="CI1406" s="160"/>
      <c r="CJ1406" s="160"/>
      <c r="CK1406" s="160"/>
      <c r="CL1406" s="160"/>
      <c r="CM1406" s="160"/>
      <c r="CN1406" s="160"/>
      <c r="CO1406" s="160"/>
      <c r="CP1406" s="162"/>
      <c r="CQ1406" s="163"/>
      <c r="CR1406" s="162"/>
      <c r="CS1406" s="163"/>
      <c r="CT1406" s="162"/>
      <c r="CU1406" s="163"/>
      <c r="CV1406" s="164">
        <f t="shared" si="183"/>
        <v>0</v>
      </c>
      <c r="CW1406" s="165"/>
      <c r="CX1406" s="166"/>
      <c r="CY1406" s="167"/>
      <c r="CZ1406" s="168"/>
      <c r="DA1406" s="169"/>
      <c r="DB1406" s="168"/>
      <c r="DC1406" s="165"/>
      <c r="DD1406" s="166"/>
      <c r="DE1406" s="71"/>
      <c r="DF1406" s="170"/>
      <c r="EO1406" s="353" t="str">
        <f t="shared" si="185"/>
        <v>ANTIOQUIA_NECHI</v>
      </c>
      <c r="EP1406" s="350"/>
      <c r="EQ1406" s="350"/>
      <c r="ER1406" s="357"/>
      <c r="ES1406" s="350"/>
      <c r="ET1406" s="350"/>
      <c r="EU1406" s="350"/>
    </row>
    <row r="1407" spans="1:151" s="171" customFormat="1" ht="36" x14ac:dyDescent="0.2">
      <c r="A1407" s="246">
        <v>40479</v>
      </c>
      <c r="B1407" s="280" t="s">
        <v>2401</v>
      </c>
      <c r="C1407" s="280" t="s">
        <v>214</v>
      </c>
      <c r="D1407" s="432" t="s">
        <v>837</v>
      </c>
      <c r="E1407" s="107" t="str">
        <f>VLOOKUP(B1407&amp;C1407,Divipola!$C$2:$F$1138,4,FALSE)</f>
        <v>05756</v>
      </c>
      <c r="F1407" s="337"/>
      <c r="G1407" s="221"/>
      <c r="H1407" s="157"/>
      <c r="I1407" s="157"/>
      <c r="J1407" s="157">
        <f>1282-1000-30</f>
        <v>252</v>
      </c>
      <c r="K1407" s="157">
        <f>302-6-200</f>
        <v>96</v>
      </c>
      <c r="L1407" s="157"/>
      <c r="M1407" s="157"/>
      <c r="N1407" s="157"/>
      <c r="O1407" s="157"/>
      <c r="P1407" s="157"/>
      <c r="Q1407" s="157"/>
      <c r="R1407" s="157"/>
      <c r="S1407" s="157"/>
      <c r="T1407" s="157"/>
      <c r="U1407" s="157"/>
      <c r="V1407" s="158"/>
      <c r="W1407" s="182"/>
      <c r="X1407" s="1"/>
      <c r="Y1407" s="78">
        <f t="shared" si="180"/>
        <v>0</v>
      </c>
      <c r="Z1407" s="78">
        <f t="shared" si="181"/>
        <v>0</v>
      </c>
      <c r="AA1407" s="78">
        <f t="shared" si="186"/>
        <v>0</v>
      </c>
      <c r="AB1407" s="78">
        <f t="shared" si="182"/>
        <v>0</v>
      </c>
      <c r="AC1407" s="78"/>
      <c r="AD1407" s="78">
        <v>0</v>
      </c>
      <c r="AE1407" s="80">
        <f t="shared" si="184"/>
        <v>0</v>
      </c>
      <c r="AF1407" s="82">
        <v>0</v>
      </c>
      <c r="AG1407" s="69">
        <v>40482</v>
      </c>
      <c r="AH1407" s="84"/>
      <c r="AI1407" s="69" t="s">
        <v>1984</v>
      </c>
      <c r="AJ1407" s="25" t="s">
        <v>1985</v>
      </c>
      <c r="AK1407" s="65"/>
      <c r="AL1407" s="176" t="s">
        <v>1257</v>
      </c>
      <c r="AM1407" s="173" t="s">
        <v>1083</v>
      </c>
      <c r="AN1407" s="159"/>
      <c r="AO1407" s="160"/>
      <c r="AP1407" s="161"/>
      <c r="AQ1407" s="160"/>
      <c r="AR1407" s="160"/>
      <c r="AS1407" s="160"/>
      <c r="AT1407" s="160"/>
      <c r="AU1407" s="160"/>
      <c r="AV1407" s="160"/>
      <c r="AW1407" s="160"/>
      <c r="AX1407" s="160"/>
      <c r="AY1407" s="160"/>
      <c r="AZ1407" s="160"/>
      <c r="BA1407" s="160"/>
      <c r="BB1407" s="160"/>
      <c r="BC1407" s="160"/>
      <c r="BD1407" s="160"/>
      <c r="BE1407" s="160"/>
      <c r="BF1407" s="160"/>
      <c r="BG1407" s="160"/>
      <c r="BH1407" s="160"/>
      <c r="BI1407" s="160"/>
      <c r="BJ1407" s="160"/>
      <c r="BK1407" s="160"/>
      <c r="BL1407" s="160"/>
      <c r="BM1407" s="160"/>
      <c r="BN1407" s="160"/>
      <c r="BO1407" s="160"/>
      <c r="BP1407" s="160"/>
      <c r="BQ1407" s="160"/>
      <c r="BR1407" s="160"/>
      <c r="BS1407" s="160"/>
      <c r="BT1407" s="160"/>
      <c r="BU1407" s="160"/>
      <c r="BV1407" s="160"/>
      <c r="BW1407" s="160"/>
      <c r="BX1407" s="160"/>
      <c r="BY1407" s="160"/>
      <c r="BZ1407" s="160"/>
      <c r="CA1407" s="160"/>
      <c r="CB1407" s="160"/>
      <c r="CC1407" s="160"/>
      <c r="CD1407" s="160"/>
      <c r="CE1407" s="160"/>
      <c r="CF1407" s="160"/>
      <c r="CG1407" s="160"/>
      <c r="CH1407" s="160"/>
      <c r="CI1407" s="160"/>
      <c r="CJ1407" s="160"/>
      <c r="CK1407" s="160"/>
      <c r="CL1407" s="160"/>
      <c r="CM1407" s="160"/>
      <c r="CN1407" s="160"/>
      <c r="CO1407" s="160"/>
      <c r="CP1407" s="162"/>
      <c r="CQ1407" s="163"/>
      <c r="CR1407" s="162"/>
      <c r="CS1407" s="163"/>
      <c r="CT1407" s="162"/>
      <c r="CU1407" s="163"/>
      <c r="CV1407" s="164">
        <f t="shared" si="183"/>
        <v>0</v>
      </c>
      <c r="CW1407" s="165"/>
      <c r="CX1407" s="166"/>
      <c r="CY1407" s="167"/>
      <c r="CZ1407" s="168"/>
      <c r="DA1407" s="169"/>
      <c r="DB1407" s="168"/>
      <c r="DC1407" s="165"/>
      <c r="DD1407" s="166"/>
      <c r="DE1407" s="71"/>
      <c r="DF1407" s="170"/>
      <c r="EO1407" s="353" t="str">
        <f t="shared" si="185"/>
        <v>ANTIOQUIA_SONSON</v>
      </c>
      <c r="EP1407" s="350"/>
      <c r="EQ1407" s="350"/>
      <c r="ER1407" s="357"/>
      <c r="ES1407" s="350"/>
      <c r="ET1407" s="350"/>
      <c r="EU1407" s="350"/>
    </row>
    <row r="1408" spans="1:151" s="171" customFormat="1" ht="36" x14ac:dyDescent="0.2">
      <c r="A1408" s="242">
        <v>40479</v>
      </c>
      <c r="B1408" s="222" t="s">
        <v>289</v>
      </c>
      <c r="C1408" s="222" t="s">
        <v>711</v>
      </c>
      <c r="D1408" s="430" t="s">
        <v>837</v>
      </c>
      <c r="E1408" s="107" t="str">
        <f>VLOOKUP(B1408&amp;C1408,Divipola!$C$2:$F$1138,4,FALSE)</f>
        <v>17001</v>
      </c>
      <c r="F1408" s="333"/>
      <c r="G1408" s="221"/>
      <c r="H1408" s="157"/>
      <c r="I1408" s="157"/>
      <c r="J1408" s="157">
        <v>120</v>
      </c>
      <c r="K1408" s="157">
        <v>24</v>
      </c>
      <c r="L1408" s="157"/>
      <c r="M1408" s="157">
        <v>23</v>
      </c>
      <c r="N1408" s="157"/>
      <c r="O1408" s="157"/>
      <c r="P1408" s="157"/>
      <c r="Q1408" s="157"/>
      <c r="R1408" s="157"/>
      <c r="S1408" s="157"/>
      <c r="T1408" s="157"/>
      <c r="U1408" s="157"/>
      <c r="V1408" s="158"/>
      <c r="W1408" s="182"/>
      <c r="X1408" s="1"/>
      <c r="Y1408" s="78">
        <f t="shared" si="180"/>
        <v>0</v>
      </c>
      <c r="Z1408" s="78">
        <f t="shared" si="181"/>
        <v>0</v>
      </c>
      <c r="AA1408" s="78">
        <f t="shared" si="186"/>
        <v>0</v>
      </c>
      <c r="AB1408" s="78">
        <f t="shared" si="182"/>
        <v>0</v>
      </c>
      <c r="AC1408" s="78"/>
      <c r="AD1408" s="78">
        <v>0</v>
      </c>
      <c r="AE1408" s="80">
        <f t="shared" si="184"/>
        <v>0</v>
      </c>
      <c r="AF1408" s="82">
        <v>0</v>
      </c>
      <c r="AG1408" s="69">
        <v>40482</v>
      </c>
      <c r="AH1408" s="84"/>
      <c r="AI1408" s="69" t="s">
        <v>2009</v>
      </c>
      <c r="AJ1408" s="25" t="s">
        <v>2010</v>
      </c>
      <c r="AK1408" s="65"/>
      <c r="AL1408" s="184" t="s">
        <v>3833</v>
      </c>
      <c r="AM1408" s="173" t="s">
        <v>2053</v>
      </c>
      <c r="AN1408" s="159"/>
      <c r="AO1408" s="160"/>
      <c r="AP1408" s="161"/>
      <c r="AQ1408" s="160"/>
      <c r="AR1408" s="160"/>
      <c r="AS1408" s="160"/>
      <c r="AT1408" s="160"/>
      <c r="AU1408" s="160"/>
      <c r="AV1408" s="160"/>
      <c r="AW1408" s="160"/>
      <c r="AX1408" s="160"/>
      <c r="AY1408" s="160"/>
      <c r="AZ1408" s="160"/>
      <c r="BA1408" s="160"/>
      <c r="BB1408" s="160"/>
      <c r="BC1408" s="160"/>
      <c r="BD1408" s="160"/>
      <c r="BE1408" s="160"/>
      <c r="BF1408" s="160"/>
      <c r="BG1408" s="160"/>
      <c r="BH1408" s="160"/>
      <c r="BI1408" s="160"/>
      <c r="BJ1408" s="160"/>
      <c r="BK1408" s="160"/>
      <c r="BL1408" s="160"/>
      <c r="BM1408" s="160"/>
      <c r="BN1408" s="160"/>
      <c r="BO1408" s="160"/>
      <c r="BP1408" s="160"/>
      <c r="BQ1408" s="160"/>
      <c r="BR1408" s="160"/>
      <c r="BS1408" s="160"/>
      <c r="BT1408" s="160"/>
      <c r="BU1408" s="160"/>
      <c r="BV1408" s="160"/>
      <c r="BW1408" s="160"/>
      <c r="BX1408" s="160"/>
      <c r="BY1408" s="160"/>
      <c r="BZ1408" s="160"/>
      <c r="CA1408" s="160"/>
      <c r="CB1408" s="160"/>
      <c r="CC1408" s="160"/>
      <c r="CD1408" s="160"/>
      <c r="CE1408" s="160"/>
      <c r="CF1408" s="160"/>
      <c r="CG1408" s="160"/>
      <c r="CH1408" s="160"/>
      <c r="CI1408" s="160"/>
      <c r="CJ1408" s="160"/>
      <c r="CK1408" s="160"/>
      <c r="CL1408" s="160"/>
      <c r="CM1408" s="160"/>
      <c r="CN1408" s="160"/>
      <c r="CO1408" s="160"/>
      <c r="CP1408" s="162"/>
      <c r="CQ1408" s="163"/>
      <c r="CR1408" s="162"/>
      <c r="CS1408" s="163"/>
      <c r="CT1408" s="162"/>
      <c r="CU1408" s="163"/>
      <c r="CV1408" s="164">
        <f t="shared" si="183"/>
        <v>0</v>
      </c>
      <c r="CW1408" s="165"/>
      <c r="CX1408" s="166"/>
      <c r="CY1408" s="167"/>
      <c r="CZ1408" s="168"/>
      <c r="DA1408" s="169"/>
      <c r="DB1408" s="168"/>
      <c r="DC1408" s="165"/>
      <c r="DD1408" s="166"/>
      <c r="DE1408" s="71"/>
      <c r="DF1408" s="170"/>
      <c r="EO1408" s="353" t="str">
        <f t="shared" si="185"/>
        <v>CALDAS_MANIZALES</v>
      </c>
      <c r="EP1408" s="350"/>
      <c r="EQ1408" s="350"/>
      <c r="ER1408" s="357"/>
      <c r="ES1408" s="350"/>
      <c r="ET1408" s="350"/>
      <c r="EU1408" s="350"/>
    </row>
    <row r="1409" spans="1:151" s="171" customFormat="1" ht="25.5" x14ac:dyDescent="0.2">
      <c r="A1409" s="242">
        <v>40479</v>
      </c>
      <c r="B1409" s="222" t="s">
        <v>289</v>
      </c>
      <c r="C1409" s="222" t="s">
        <v>1456</v>
      </c>
      <c r="D1409" s="430" t="s">
        <v>2307</v>
      </c>
      <c r="E1409" s="107" t="str">
        <f>VLOOKUP(B1409&amp;C1409,Divipola!$C$2:$F$1138,4,FALSE)</f>
        <v>17873</v>
      </c>
      <c r="F1409" s="333"/>
      <c r="G1409" s="221"/>
      <c r="H1409" s="157"/>
      <c r="I1409" s="157"/>
      <c r="J1409" s="157">
        <f>141*5</f>
        <v>705</v>
      </c>
      <c r="K1409" s="157">
        <v>141</v>
      </c>
      <c r="L1409" s="157">
        <v>3</v>
      </c>
      <c r="M1409" s="157">
        <v>15</v>
      </c>
      <c r="N1409" s="157"/>
      <c r="O1409" s="157"/>
      <c r="P1409" s="157"/>
      <c r="Q1409" s="157"/>
      <c r="R1409" s="157"/>
      <c r="S1409" s="157"/>
      <c r="T1409" s="157"/>
      <c r="U1409" s="157"/>
      <c r="V1409" s="158"/>
      <c r="W1409" s="182"/>
      <c r="X1409" s="1"/>
      <c r="Y1409" s="78">
        <f t="shared" si="180"/>
        <v>0</v>
      </c>
      <c r="Z1409" s="78">
        <f t="shared" si="181"/>
        <v>0</v>
      </c>
      <c r="AA1409" s="78">
        <f t="shared" si="186"/>
        <v>0</v>
      </c>
      <c r="AB1409" s="78">
        <f t="shared" si="182"/>
        <v>0</v>
      </c>
      <c r="AC1409" s="78"/>
      <c r="AD1409" s="78">
        <v>0</v>
      </c>
      <c r="AE1409" s="80">
        <f t="shared" si="184"/>
        <v>0</v>
      </c>
      <c r="AF1409" s="82">
        <v>0</v>
      </c>
      <c r="AG1409" s="69">
        <v>40484</v>
      </c>
      <c r="AH1409" s="84"/>
      <c r="AI1409" s="69" t="s">
        <v>2009</v>
      </c>
      <c r="AJ1409" s="25" t="s">
        <v>2010</v>
      </c>
      <c r="AK1409" s="65"/>
      <c r="AL1409" s="184" t="s">
        <v>3833</v>
      </c>
      <c r="AM1409" s="173" t="s">
        <v>2054</v>
      </c>
      <c r="AN1409" s="159"/>
      <c r="AO1409" s="160"/>
      <c r="AP1409" s="161"/>
      <c r="AQ1409" s="160"/>
      <c r="AR1409" s="160"/>
      <c r="AS1409" s="160"/>
      <c r="AT1409" s="160"/>
      <c r="AU1409" s="160"/>
      <c r="AV1409" s="160"/>
      <c r="AW1409" s="160"/>
      <c r="AX1409" s="160"/>
      <c r="AY1409" s="160"/>
      <c r="AZ1409" s="160"/>
      <c r="BA1409" s="160"/>
      <c r="BB1409" s="160"/>
      <c r="BC1409" s="160"/>
      <c r="BD1409" s="160"/>
      <c r="BE1409" s="160"/>
      <c r="BF1409" s="160"/>
      <c r="BG1409" s="160"/>
      <c r="BH1409" s="160"/>
      <c r="BI1409" s="160"/>
      <c r="BJ1409" s="160"/>
      <c r="BK1409" s="160"/>
      <c r="BL1409" s="160"/>
      <c r="BM1409" s="160"/>
      <c r="BN1409" s="160"/>
      <c r="BO1409" s="160"/>
      <c r="BP1409" s="160"/>
      <c r="BQ1409" s="160"/>
      <c r="BR1409" s="160"/>
      <c r="BS1409" s="160"/>
      <c r="BT1409" s="160"/>
      <c r="BU1409" s="160"/>
      <c r="BV1409" s="160"/>
      <c r="BW1409" s="160"/>
      <c r="BX1409" s="160"/>
      <c r="BY1409" s="160"/>
      <c r="BZ1409" s="160"/>
      <c r="CA1409" s="160"/>
      <c r="CB1409" s="160"/>
      <c r="CC1409" s="160"/>
      <c r="CD1409" s="160"/>
      <c r="CE1409" s="160"/>
      <c r="CF1409" s="160"/>
      <c r="CG1409" s="160"/>
      <c r="CH1409" s="160"/>
      <c r="CI1409" s="160"/>
      <c r="CJ1409" s="160"/>
      <c r="CK1409" s="160"/>
      <c r="CL1409" s="160"/>
      <c r="CM1409" s="160"/>
      <c r="CN1409" s="160"/>
      <c r="CO1409" s="160"/>
      <c r="CP1409" s="162"/>
      <c r="CQ1409" s="163"/>
      <c r="CR1409" s="162"/>
      <c r="CS1409" s="163"/>
      <c r="CT1409" s="162"/>
      <c r="CU1409" s="163"/>
      <c r="CV1409" s="164">
        <f t="shared" si="183"/>
        <v>0</v>
      </c>
      <c r="CW1409" s="165"/>
      <c r="CX1409" s="166"/>
      <c r="CY1409" s="167"/>
      <c r="CZ1409" s="168"/>
      <c r="DA1409" s="169"/>
      <c r="DB1409" s="168"/>
      <c r="DC1409" s="165"/>
      <c r="DD1409" s="166"/>
      <c r="DE1409" s="71"/>
      <c r="DF1409" s="170"/>
      <c r="EO1409" s="353" t="str">
        <f t="shared" si="185"/>
        <v>CALDAS_VILLAMARIA</v>
      </c>
      <c r="EP1409" s="350"/>
      <c r="EQ1409" s="350"/>
      <c r="ER1409" s="357"/>
      <c r="ES1409" s="350"/>
      <c r="ET1409" s="350"/>
      <c r="EU1409" s="350"/>
    </row>
    <row r="1410" spans="1:151" s="171" customFormat="1" ht="33.75" x14ac:dyDescent="0.2">
      <c r="A1410" s="242">
        <v>40479</v>
      </c>
      <c r="B1410" s="222" t="s">
        <v>1836</v>
      </c>
      <c r="C1410" s="222" t="s">
        <v>996</v>
      </c>
      <c r="D1410" s="430" t="s">
        <v>837</v>
      </c>
      <c r="E1410" s="107" t="str">
        <f>VLOOKUP(B1410&amp;C1410,Divipola!$C$2:$F$1138,4,FALSE)</f>
        <v>47555</v>
      </c>
      <c r="F1410" s="333"/>
      <c r="G1410" s="221"/>
      <c r="H1410" s="157"/>
      <c r="I1410" s="157"/>
      <c r="J1410" s="157"/>
      <c r="K1410" s="157"/>
      <c r="L1410" s="157"/>
      <c r="M1410" s="157"/>
      <c r="N1410" s="157"/>
      <c r="O1410" s="157"/>
      <c r="P1410" s="157"/>
      <c r="Q1410" s="157"/>
      <c r="R1410" s="157"/>
      <c r="S1410" s="157"/>
      <c r="T1410" s="157"/>
      <c r="U1410" s="157"/>
      <c r="V1410" s="158"/>
      <c r="W1410" s="182"/>
      <c r="X1410" s="1">
        <v>40491</v>
      </c>
      <c r="Y1410" s="78">
        <f t="shared" si="180"/>
        <v>83000000</v>
      </c>
      <c r="Z1410" s="78">
        <f t="shared" si="181"/>
        <v>0</v>
      </c>
      <c r="AA1410" s="78">
        <f t="shared" si="186"/>
        <v>0</v>
      </c>
      <c r="AB1410" s="78">
        <f t="shared" si="182"/>
        <v>0</v>
      </c>
      <c r="AC1410" s="78"/>
      <c r="AD1410" s="78">
        <v>0</v>
      </c>
      <c r="AE1410" s="80">
        <f t="shared" si="184"/>
        <v>83000000</v>
      </c>
      <c r="AF1410" s="82">
        <v>0</v>
      </c>
      <c r="AG1410" s="69">
        <v>40484</v>
      </c>
      <c r="AH1410" s="84">
        <v>60484</v>
      </c>
      <c r="AI1410" s="69" t="s">
        <v>2009</v>
      </c>
      <c r="AJ1410" s="25" t="s">
        <v>2010</v>
      </c>
      <c r="AK1410" s="88" t="s">
        <v>1506</v>
      </c>
      <c r="AL1410" s="176" t="s">
        <v>3074</v>
      </c>
      <c r="AM1410" s="173" t="s">
        <v>3073</v>
      </c>
      <c r="AN1410" s="159"/>
      <c r="AO1410" s="160"/>
      <c r="AP1410" s="161"/>
      <c r="AQ1410" s="160"/>
      <c r="AR1410" s="160"/>
      <c r="AS1410" s="160"/>
      <c r="AT1410" s="160"/>
      <c r="AU1410" s="160"/>
      <c r="AV1410" s="160"/>
      <c r="AW1410" s="160"/>
      <c r="AX1410" s="160"/>
      <c r="AY1410" s="160"/>
      <c r="AZ1410" s="160">
        <v>300</v>
      </c>
      <c r="BA1410" s="160">
        <f>300*56000</f>
        <v>16800000</v>
      </c>
      <c r="BB1410" s="160"/>
      <c r="BC1410" s="160"/>
      <c r="BD1410" s="160"/>
      <c r="BE1410" s="160"/>
      <c r="BF1410" s="160"/>
      <c r="BG1410" s="160"/>
      <c r="BH1410" s="160"/>
      <c r="BI1410" s="160"/>
      <c r="BJ1410" s="160"/>
      <c r="BK1410" s="160"/>
      <c r="BL1410" s="160"/>
      <c r="BM1410" s="160"/>
      <c r="BN1410" s="160"/>
      <c r="BO1410" s="160"/>
      <c r="BP1410" s="160"/>
      <c r="BQ1410" s="160"/>
      <c r="BR1410" s="160"/>
      <c r="BS1410" s="160"/>
      <c r="BT1410" s="160"/>
      <c r="BU1410" s="160"/>
      <c r="BV1410" s="160"/>
      <c r="BW1410" s="160"/>
      <c r="BX1410" s="160"/>
      <c r="BY1410" s="160"/>
      <c r="BZ1410" s="160">
        <f>6+6</f>
        <v>12</v>
      </c>
      <c r="CA1410" s="160">
        <f>6*450000+6*450000</f>
        <v>5400000</v>
      </c>
      <c r="CB1410" s="160"/>
      <c r="CC1410" s="160"/>
      <c r="CD1410" s="160"/>
      <c r="CE1410" s="160"/>
      <c r="CF1410" s="160"/>
      <c r="CG1410" s="160"/>
      <c r="CH1410" s="160">
        <f>200+600</f>
        <v>800</v>
      </c>
      <c r="CI1410" s="160">
        <f>200*18000+600*18000</f>
        <v>14400000</v>
      </c>
      <c r="CJ1410" s="160">
        <f>200+600</f>
        <v>800</v>
      </c>
      <c r="CK1410" s="160">
        <f>200*21000+600*21000</f>
        <v>16800000</v>
      </c>
      <c r="CL1410" s="160"/>
      <c r="CM1410" s="160"/>
      <c r="CN1410" s="160"/>
      <c r="CO1410" s="160"/>
      <c r="CP1410" s="162">
        <f>200+600</f>
        <v>800</v>
      </c>
      <c r="CQ1410" s="163">
        <f>200*37000+600*37000</f>
        <v>29600000</v>
      </c>
      <c r="CR1410" s="162"/>
      <c r="CS1410" s="163"/>
      <c r="CT1410" s="162"/>
      <c r="CU1410" s="163"/>
      <c r="CV1410" s="164">
        <f t="shared" si="183"/>
        <v>83000000</v>
      </c>
      <c r="CW1410" s="165"/>
      <c r="CX1410" s="166"/>
      <c r="CY1410" s="167"/>
      <c r="CZ1410" s="168"/>
      <c r="DA1410" s="169"/>
      <c r="DB1410" s="168"/>
      <c r="DC1410" s="165"/>
      <c r="DD1410" s="166"/>
      <c r="DE1410" s="71"/>
      <c r="DF1410" s="170"/>
      <c r="EO1410" s="353" t="str">
        <f t="shared" si="185"/>
        <v>MAGDALENA_PLATO</v>
      </c>
      <c r="EP1410" s="350"/>
      <c r="EQ1410" s="350"/>
      <c r="ER1410" s="357"/>
      <c r="ES1410" s="350"/>
      <c r="ET1410" s="350"/>
      <c r="EU1410" s="350"/>
    </row>
    <row r="1411" spans="1:151" s="171" customFormat="1" ht="25.5" x14ac:dyDescent="0.2">
      <c r="A1411" s="242">
        <v>40479</v>
      </c>
      <c r="B1411" s="222" t="s">
        <v>708</v>
      </c>
      <c r="C1411" s="222" t="s">
        <v>709</v>
      </c>
      <c r="D1411" s="430" t="s">
        <v>1721</v>
      </c>
      <c r="E1411" s="107" t="str">
        <f>VLOOKUP(B1411&amp;C1411,Divipola!$C$2:$F$1138,4,FALSE)</f>
        <v>50251</v>
      </c>
      <c r="F1411" s="333"/>
      <c r="G1411" s="221"/>
      <c r="H1411" s="157"/>
      <c r="I1411" s="157"/>
      <c r="J1411" s="157">
        <v>7</v>
      </c>
      <c r="K1411" s="157">
        <v>1</v>
      </c>
      <c r="L1411" s="157"/>
      <c r="M1411" s="157">
        <v>1</v>
      </c>
      <c r="N1411" s="157"/>
      <c r="O1411" s="157"/>
      <c r="P1411" s="157"/>
      <c r="Q1411" s="157"/>
      <c r="R1411" s="157"/>
      <c r="S1411" s="157"/>
      <c r="T1411" s="157"/>
      <c r="U1411" s="157"/>
      <c r="V1411" s="158"/>
      <c r="W1411" s="182"/>
      <c r="X1411" s="1"/>
      <c r="Y1411" s="78">
        <f t="shared" ref="Y1411:Y1474" si="187">CV1411</f>
        <v>0</v>
      </c>
      <c r="Z1411" s="78">
        <f t="shared" ref="Z1411:Z1474" si="188">CZ1411</f>
        <v>0</v>
      </c>
      <c r="AA1411" s="78">
        <f t="shared" si="186"/>
        <v>0</v>
      </c>
      <c r="AB1411" s="78">
        <f t="shared" ref="AB1411:AB1474" si="189">CX1411</f>
        <v>0</v>
      </c>
      <c r="AC1411" s="78"/>
      <c r="AD1411" s="78">
        <v>0</v>
      </c>
      <c r="AE1411" s="80">
        <f t="shared" si="184"/>
        <v>0</v>
      </c>
      <c r="AF1411" s="82">
        <v>0</v>
      </c>
      <c r="AG1411" s="69">
        <v>40482</v>
      </c>
      <c r="AH1411" s="84"/>
      <c r="AI1411" s="69" t="s">
        <v>1984</v>
      </c>
      <c r="AJ1411" s="25" t="s">
        <v>1985</v>
      </c>
      <c r="AK1411" s="65"/>
      <c r="AL1411" s="176" t="s">
        <v>1257</v>
      </c>
      <c r="AM1411" s="173" t="s">
        <v>95</v>
      </c>
      <c r="AN1411" s="159"/>
      <c r="AO1411" s="160"/>
      <c r="AP1411" s="161"/>
      <c r="AQ1411" s="160"/>
      <c r="AR1411" s="160"/>
      <c r="AS1411" s="160"/>
      <c r="AT1411" s="160"/>
      <c r="AU1411" s="160"/>
      <c r="AV1411" s="160"/>
      <c r="AW1411" s="160"/>
      <c r="AX1411" s="160"/>
      <c r="AY1411" s="160"/>
      <c r="AZ1411" s="160"/>
      <c r="BA1411" s="160"/>
      <c r="BB1411" s="160"/>
      <c r="BC1411" s="160"/>
      <c r="BD1411" s="160"/>
      <c r="BE1411" s="160"/>
      <c r="BF1411" s="160"/>
      <c r="BG1411" s="160"/>
      <c r="BH1411" s="160"/>
      <c r="BI1411" s="160"/>
      <c r="BJ1411" s="160"/>
      <c r="BK1411" s="160"/>
      <c r="BL1411" s="160"/>
      <c r="BM1411" s="160"/>
      <c r="BN1411" s="160"/>
      <c r="BO1411" s="160"/>
      <c r="BP1411" s="160"/>
      <c r="BQ1411" s="160"/>
      <c r="BR1411" s="160"/>
      <c r="BS1411" s="160"/>
      <c r="BT1411" s="160"/>
      <c r="BU1411" s="160"/>
      <c r="BV1411" s="160"/>
      <c r="BW1411" s="160"/>
      <c r="BX1411" s="160"/>
      <c r="BY1411" s="160"/>
      <c r="BZ1411" s="160"/>
      <c r="CA1411" s="160"/>
      <c r="CB1411" s="160"/>
      <c r="CC1411" s="160"/>
      <c r="CD1411" s="160"/>
      <c r="CE1411" s="160"/>
      <c r="CF1411" s="160"/>
      <c r="CG1411" s="160"/>
      <c r="CH1411" s="160"/>
      <c r="CI1411" s="160"/>
      <c r="CJ1411" s="160"/>
      <c r="CK1411" s="160"/>
      <c r="CL1411" s="160"/>
      <c r="CM1411" s="160"/>
      <c r="CN1411" s="160"/>
      <c r="CO1411" s="160"/>
      <c r="CP1411" s="162"/>
      <c r="CQ1411" s="163"/>
      <c r="CR1411" s="162"/>
      <c r="CS1411" s="163"/>
      <c r="CT1411" s="162"/>
      <c r="CU1411" s="163"/>
      <c r="CV1411" s="164">
        <f t="shared" ref="CV1411:CV1474" si="190">AO1411+AQ1411+AS1411+AU1411+AW1411+AY1411+BA1411+BC1411+BE1411+BG1411+BI1411+BK1411+BM1411+BO1411+BQ1411+BS1411+BU1411+BW1411+BY1411+CA1411+CC1411+CE1411+CG1411+CI1411+CK1411+CM1411+CO1411+CQ1411+CS1411+CU1411</f>
        <v>0</v>
      </c>
      <c r="CW1411" s="165"/>
      <c r="CX1411" s="166"/>
      <c r="CY1411" s="167"/>
      <c r="CZ1411" s="168"/>
      <c r="DA1411" s="169"/>
      <c r="DB1411" s="168"/>
      <c r="DC1411" s="165"/>
      <c r="DD1411" s="166"/>
      <c r="DE1411" s="71"/>
      <c r="DF1411" s="170"/>
      <c r="EO1411" s="353" t="str">
        <f t="shared" si="185"/>
        <v>META_EL CASTILLO</v>
      </c>
      <c r="EP1411" s="350"/>
      <c r="EQ1411" s="350"/>
      <c r="ER1411" s="357"/>
      <c r="ES1411" s="350"/>
      <c r="ET1411" s="350"/>
      <c r="EU1411" s="350"/>
    </row>
    <row r="1412" spans="1:151" s="171" customFormat="1" ht="25.5" x14ac:dyDescent="0.2">
      <c r="A1412" s="242">
        <v>40479</v>
      </c>
      <c r="B1412" s="222" t="s">
        <v>2014</v>
      </c>
      <c r="C1412" s="222" t="s">
        <v>2015</v>
      </c>
      <c r="D1412" s="427" t="s">
        <v>2307</v>
      </c>
      <c r="E1412" s="107" t="str">
        <f>VLOOKUP(B1412&amp;C1412,Divipola!$C$2:$F$1138,4,FALSE)</f>
        <v>63001</v>
      </c>
      <c r="F1412" s="330"/>
      <c r="G1412" s="221"/>
      <c r="H1412" s="157"/>
      <c r="I1412" s="157"/>
      <c r="J1412" s="157">
        <f>610*5</f>
        <v>3050</v>
      </c>
      <c r="K1412" s="157">
        <v>610</v>
      </c>
      <c r="L1412" s="157"/>
      <c r="M1412" s="157"/>
      <c r="N1412" s="157">
        <v>1</v>
      </c>
      <c r="O1412" s="157"/>
      <c r="P1412" s="157"/>
      <c r="Q1412" s="157"/>
      <c r="R1412" s="157"/>
      <c r="S1412" s="157"/>
      <c r="T1412" s="157"/>
      <c r="U1412" s="157"/>
      <c r="V1412" s="158"/>
      <c r="W1412" s="182"/>
      <c r="X1412" s="1"/>
      <c r="Y1412" s="78">
        <f t="shared" si="187"/>
        <v>0</v>
      </c>
      <c r="Z1412" s="78">
        <f t="shared" si="188"/>
        <v>0</v>
      </c>
      <c r="AA1412" s="78">
        <f t="shared" si="186"/>
        <v>0</v>
      </c>
      <c r="AB1412" s="78">
        <f t="shared" si="189"/>
        <v>0</v>
      </c>
      <c r="AC1412" s="78"/>
      <c r="AD1412" s="78">
        <v>0</v>
      </c>
      <c r="AE1412" s="80">
        <f t="shared" si="184"/>
        <v>0</v>
      </c>
      <c r="AF1412" s="82">
        <v>0</v>
      </c>
      <c r="AG1412" s="69">
        <v>40482</v>
      </c>
      <c r="AH1412" s="84"/>
      <c r="AI1412" s="69" t="s">
        <v>1984</v>
      </c>
      <c r="AJ1412" s="25" t="s">
        <v>1985</v>
      </c>
      <c r="AK1412" s="65"/>
      <c r="AL1412" s="176" t="s">
        <v>1257</v>
      </c>
      <c r="AM1412" s="173" t="s">
        <v>91</v>
      </c>
      <c r="AN1412" s="159"/>
      <c r="AO1412" s="160"/>
      <c r="AP1412" s="161"/>
      <c r="AQ1412" s="160"/>
      <c r="AR1412" s="160"/>
      <c r="AS1412" s="160"/>
      <c r="AT1412" s="160"/>
      <c r="AU1412" s="160"/>
      <c r="AV1412" s="160"/>
      <c r="AW1412" s="160"/>
      <c r="AX1412" s="160"/>
      <c r="AY1412" s="160"/>
      <c r="AZ1412" s="160"/>
      <c r="BA1412" s="160"/>
      <c r="BB1412" s="160"/>
      <c r="BC1412" s="160"/>
      <c r="BD1412" s="160"/>
      <c r="BE1412" s="160"/>
      <c r="BF1412" s="160"/>
      <c r="BG1412" s="160"/>
      <c r="BH1412" s="160"/>
      <c r="BI1412" s="160"/>
      <c r="BJ1412" s="160"/>
      <c r="BK1412" s="160"/>
      <c r="BL1412" s="160"/>
      <c r="BM1412" s="160"/>
      <c r="BN1412" s="160"/>
      <c r="BO1412" s="160"/>
      <c r="BP1412" s="160"/>
      <c r="BQ1412" s="160"/>
      <c r="BR1412" s="160"/>
      <c r="BS1412" s="160"/>
      <c r="BT1412" s="160"/>
      <c r="BU1412" s="160"/>
      <c r="BV1412" s="160"/>
      <c r="BW1412" s="160"/>
      <c r="BX1412" s="160"/>
      <c r="BY1412" s="160"/>
      <c r="BZ1412" s="160"/>
      <c r="CA1412" s="160"/>
      <c r="CB1412" s="160"/>
      <c r="CC1412" s="160"/>
      <c r="CD1412" s="160"/>
      <c r="CE1412" s="160"/>
      <c r="CF1412" s="160"/>
      <c r="CG1412" s="160"/>
      <c r="CH1412" s="160"/>
      <c r="CI1412" s="160"/>
      <c r="CJ1412" s="160"/>
      <c r="CK1412" s="160"/>
      <c r="CL1412" s="160"/>
      <c r="CM1412" s="160"/>
      <c r="CN1412" s="160"/>
      <c r="CO1412" s="160"/>
      <c r="CP1412" s="162"/>
      <c r="CQ1412" s="163"/>
      <c r="CR1412" s="162"/>
      <c r="CS1412" s="163"/>
      <c r="CT1412" s="162"/>
      <c r="CU1412" s="163"/>
      <c r="CV1412" s="164">
        <f t="shared" si="190"/>
        <v>0</v>
      </c>
      <c r="CW1412" s="165"/>
      <c r="CX1412" s="166"/>
      <c r="CY1412" s="167"/>
      <c r="CZ1412" s="168"/>
      <c r="DA1412" s="169"/>
      <c r="DB1412" s="168"/>
      <c r="DC1412" s="165"/>
      <c r="DD1412" s="166"/>
      <c r="DE1412" s="71"/>
      <c r="DF1412" s="170"/>
      <c r="EO1412" s="353" t="str">
        <f t="shared" si="185"/>
        <v>QUINDIO_ARMENIA</v>
      </c>
      <c r="EP1412" s="350"/>
      <c r="EQ1412" s="350"/>
      <c r="ER1412" s="357"/>
      <c r="ES1412" s="350"/>
      <c r="ET1412" s="350"/>
      <c r="EU1412" s="350"/>
    </row>
    <row r="1413" spans="1:151" s="171" customFormat="1" ht="25.5" x14ac:dyDescent="0.2">
      <c r="A1413" s="242">
        <v>40479</v>
      </c>
      <c r="B1413" s="222" t="s">
        <v>2014</v>
      </c>
      <c r="C1413" s="222" t="s">
        <v>2015</v>
      </c>
      <c r="D1413" s="430" t="s">
        <v>2352</v>
      </c>
      <c r="E1413" s="107" t="str">
        <f>VLOOKUP(B1413&amp;C1413,Divipola!$C$2:$F$1138,4,FALSE)</f>
        <v>63001</v>
      </c>
      <c r="F1413" s="333"/>
      <c r="G1413" s="221"/>
      <c r="H1413" s="157"/>
      <c r="I1413" s="157"/>
      <c r="J1413" s="157">
        <v>4</v>
      </c>
      <c r="K1413" s="157">
        <v>1</v>
      </c>
      <c r="L1413" s="157">
        <v>1</v>
      </c>
      <c r="M1413" s="157"/>
      <c r="N1413" s="157"/>
      <c r="O1413" s="157"/>
      <c r="P1413" s="157"/>
      <c r="Q1413" s="157"/>
      <c r="R1413" s="157"/>
      <c r="S1413" s="157"/>
      <c r="T1413" s="157"/>
      <c r="U1413" s="157"/>
      <c r="V1413" s="158"/>
      <c r="W1413" s="182"/>
      <c r="X1413" s="1"/>
      <c r="Y1413" s="78">
        <f t="shared" si="187"/>
        <v>0</v>
      </c>
      <c r="Z1413" s="78">
        <f t="shared" si="188"/>
        <v>0</v>
      </c>
      <c r="AA1413" s="78">
        <f t="shared" si="186"/>
        <v>0</v>
      </c>
      <c r="AB1413" s="78">
        <f t="shared" si="189"/>
        <v>0</v>
      </c>
      <c r="AC1413" s="78"/>
      <c r="AD1413" s="78">
        <v>0</v>
      </c>
      <c r="AE1413" s="80">
        <f t="shared" si="184"/>
        <v>0</v>
      </c>
      <c r="AF1413" s="82">
        <v>0</v>
      </c>
      <c r="AG1413" s="69">
        <v>40482</v>
      </c>
      <c r="AH1413" s="84"/>
      <c r="AI1413" s="69" t="s">
        <v>1984</v>
      </c>
      <c r="AJ1413" s="25" t="s">
        <v>1985</v>
      </c>
      <c r="AK1413" s="65"/>
      <c r="AL1413" s="176" t="s">
        <v>1257</v>
      </c>
      <c r="AM1413" s="173" t="s">
        <v>1079</v>
      </c>
      <c r="AN1413" s="159"/>
      <c r="AO1413" s="160"/>
      <c r="AP1413" s="161"/>
      <c r="AQ1413" s="160"/>
      <c r="AR1413" s="160"/>
      <c r="AS1413" s="160"/>
      <c r="AT1413" s="160"/>
      <c r="AU1413" s="160"/>
      <c r="AV1413" s="160"/>
      <c r="AW1413" s="160"/>
      <c r="AX1413" s="160"/>
      <c r="AY1413" s="160"/>
      <c r="AZ1413" s="160"/>
      <c r="BA1413" s="160"/>
      <c r="BB1413" s="160"/>
      <c r="BC1413" s="160"/>
      <c r="BD1413" s="160"/>
      <c r="BE1413" s="160"/>
      <c r="BF1413" s="160"/>
      <c r="BG1413" s="160"/>
      <c r="BH1413" s="160"/>
      <c r="BI1413" s="160"/>
      <c r="BJ1413" s="160"/>
      <c r="BK1413" s="160"/>
      <c r="BL1413" s="160"/>
      <c r="BM1413" s="160"/>
      <c r="BN1413" s="160"/>
      <c r="BO1413" s="160"/>
      <c r="BP1413" s="160"/>
      <c r="BQ1413" s="160"/>
      <c r="BR1413" s="160"/>
      <c r="BS1413" s="160"/>
      <c r="BT1413" s="160"/>
      <c r="BU1413" s="160"/>
      <c r="BV1413" s="160"/>
      <c r="BW1413" s="160"/>
      <c r="BX1413" s="160"/>
      <c r="BY1413" s="160"/>
      <c r="BZ1413" s="160"/>
      <c r="CA1413" s="160"/>
      <c r="CB1413" s="160"/>
      <c r="CC1413" s="160"/>
      <c r="CD1413" s="160"/>
      <c r="CE1413" s="160"/>
      <c r="CF1413" s="160"/>
      <c r="CG1413" s="160"/>
      <c r="CH1413" s="160"/>
      <c r="CI1413" s="160"/>
      <c r="CJ1413" s="160"/>
      <c r="CK1413" s="160"/>
      <c r="CL1413" s="160"/>
      <c r="CM1413" s="160"/>
      <c r="CN1413" s="160"/>
      <c r="CO1413" s="160"/>
      <c r="CP1413" s="162"/>
      <c r="CQ1413" s="163"/>
      <c r="CR1413" s="162"/>
      <c r="CS1413" s="163"/>
      <c r="CT1413" s="162"/>
      <c r="CU1413" s="163"/>
      <c r="CV1413" s="164">
        <f t="shared" si="190"/>
        <v>0</v>
      </c>
      <c r="CW1413" s="165"/>
      <c r="CX1413" s="166"/>
      <c r="CY1413" s="167"/>
      <c r="CZ1413" s="168"/>
      <c r="DA1413" s="169"/>
      <c r="DB1413" s="168"/>
      <c r="DC1413" s="165"/>
      <c r="DD1413" s="166"/>
      <c r="DE1413" s="71"/>
      <c r="DF1413" s="170"/>
      <c r="EO1413" s="353" t="str">
        <f t="shared" si="185"/>
        <v>QUINDIO_ARMENIA</v>
      </c>
      <c r="EP1413" s="350"/>
      <c r="EQ1413" s="350"/>
      <c r="ER1413" s="357"/>
      <c r="ES1413" s="350"/>
      <c r="ET1413" s="350"/>
      <c r="EU1413" s="350"/>
    </row>
    <row r="1414" spans="1:151" s="171" customFormat="1" ht="25.5" x14ac:dyDescent="0.2">
      <c r="A1414" s="242">
        <v>40479</v>
      </c>
      <c r="B1414" s="222" t="s">
        <v>2014</v>
      </c>
      <c r="C1414" s="222" t="s">
        <v>1033</v>
      </c>
      <c r="D1414" s="427" t="s">
        <v>2307</v>
      </c>
      <c r="E1414" s="107" t="str">
        <f>VLOOKUP(B1414&amp;C1414,Divipola!$C$2:$F$1138,4,FALSE)</f>
        <v>63130</v>
      </c>
      <c r="F1414" s="330"/>
      <c r="G1414" s="221"/>
      <c r="H1414" s="157"/>
      <c r="I1414" s="157"/>
      <c r="J1414" s="157"/>
      <c r="K1414" s="157"/>
      <c r="L1414" s="157"/>
      <c r="M1414" s="157"/>
      <c r="N1414" s="157">
        <v>1</v>
      </c>
      <c r="O1414" s="157"/>
      <c r="P1414" s="157"/>
      <c r="Q1414" s="157"/>
      <c r="R1414" s="157"/>
      <c r="S1414" s="157"/>
      <c r="T1414" s="157"/>
      <c r="U1414" s="157"/>
      <c r="V1414" s="158"/>
      <c r="W1414" s="182"/>
      <c r="X1414" s="1"/>
      <c r="Y1414" s="78">
        <f t="shared" si="187"/>
        <v>0</v>
      </c>
      <c r="Z1414" s="78">
        <f t="shared" si="188"/>
        <v>0</v>
      </c>
      <c r="AA1414" s="78">
        <f t="shared" si="186"/>
        <v>0</v>
      </c>
      <c r="AB1414" s="78">
        <f t="shared" si="189"/>
        <v>0</v>
      </c>
      <c r="AC1414" s="78"/>
      <c r="AD1414" s="78">
        <v>0</v>
      </c>
      <c r="AE1414" s="80">
        <f t="shared" si="184"/>
        <v>0</v>
      </c>
      <c r="AF1414" s="82">
        <v>0</v>
      </c>
      <c r="AG1414" s="69">
        <v>40482</v>
      </c>
      <c r="AH1414" s="84"/>
      <c r="AI1414" s="69" t="s">
        <v>1984</v>
      </c>
      <c r="AJ1414" s="25" t="s">
        <v>1985</v>
      </c>
      <c r="AK1414" s="65"/>
      <c r="AL1414" s="176" t="s">
        <v>1257</v>
      </c>
      <c r="AM1414" s="173" t="s">
        <v>89</v>
      </c>
      <c r="AN1414" s="159"/>
      <c r="AO1414" s="160"/>
      <c r="AP1414" s="161"/>
      <c r="AQ1414" s="160"/>
      <c r="AR1414" s="160"/>
      <c r="AS1414" s="160"/>
      <c r="AT1414" s="160"/>
      <c r="AU1414" s="160"/>
      <c r="AV1414" s="160"/>
      <c r="AW1414" s="160"/>
      <c r="AX1414" s="160"/>
      <c r="AY1414" s="160"/>
      <c r="AZ1414" s="160"/>
      <c r="BA1414" s="160"/>
      <c r="BB1414" s="160"/>
      <c r="BC1414" s="160"/>
      <c r="BD1414" s="160"/>
      <c r="BE1414" s="160"/>
      <c r="BF1414" s="160"/>
      <c r="BG1414" s="160"/>
      <c r="BH1414" s="160"/>
      <c r="BI1414" s="160"/>
      <c r="BJ1414" s="160"/>
      <c r="BK1414" s="160"/>
      <c r="BL1414" s="160"/>
      <c r="BM1414" s="160"/>
      <c r="BN1414" s="160"/>
      <c r="BO1414" s="160"/>
      <c r="BP1414" s="160"/>
      <c r="BQ1414" s="160"/>
      <c r="BR1414" s="160"/>
      <c r="BS1414" s="160"/>
      <c r="BT1414" s="160"/>
      <c r="BU1414" s="160"/>
      <c r="BV1414" s="160"/>
      <c r="BW1414" s="160"/>
      <c r="BX1414" s="160"/>
      <c r="BY1414" s="160"/>
      <c r="BZ1414" s="160"/>
      <c r="CA1414" s="160"/>
      <c r="CB1414" s="160"/>
      <c r="CC1414" s="160"/>
      <c r="CD1414" s="160"/>
      <c r="CE1414" s="160"/>
      <c r="CF1414" s="160"/>
      <c r="CG1414" s="160"/>
      <c r="CH1414" s="160"/>
      <c r="CI1414" s="160"/>
      <c r="CJ1414" s="160"/>
      <c r="CK1414" s="160"/>
      <c r="CL1414" s="160"/>
      <c r="CM1414" s="160"/>
      <c r="CN1414" s="160"/>
      <c r="CO1414" s="160"/>
      <c r="CP1414" s="162"/>
      <c r="CQ1414" s="163"/>
      <c r="CR1414" s="162"/>
      <c r="CS1414" s="163"/>
      <c r="CT1414" s="162"/>
      <c r="CU1414" s="163"/>
      <c r="CV1414" s="164">
        <f t="shared" si="190"/>
        <v>0</v>
      </c>
      <c r="CW1414" s="165"/>
      <c r="CX1414" s="166"/>
      <c r="CY1414" s="167"/>
      <c r="CZ1414" s="168"/>
      <c r="DA1414" s="169"/>
      <c r="DB1414" s="168"/>
      <c r="DC1414" s="165"/>
      <c r="DD1414" s="166"/>
      <c r="DE1414" s="71"/>
      <c r="DF1414" s="170"/>
      <c r="EO1414" s="353" t="str">
        <f t="shared" si="185"/>
        <v>QUINDIO_CALARCA</v>
      </c>
      <c r="EP1414" s="350"/>
      <c r="EQ1414" s="350"/>
      <c r="ER1414" s="357"/>
      <c r="ES1414" s="350"/>
      <c r="ET1414" s="350"/>
      <c r="EU1414" s="350"/>
    </row>
    <row r="1415" spans="1:151" s="171" customFormat="1" ht="25.5" x14ac:dyDescent="0.2">
      <c r="A1415" s="242">
        <v>40479</v>
      </c>
      <c r="B1415" s="222" t="s">
        <v>2014</v>
      </c>
      <c r="C1415" s="222" t="s">
        <v>1033</v>
      </c>
      <c r="D1415" s="430" t="s">
        <v>837</v>
      </c>
      <c r="E1415" s="107" t="str">
        <f>VLOOKUP(B1415&amp;C1415,Divipola!$C$2:$F$1138,4,FALSE)</f>
        <v>63130</v>
      </c>
      <c r="F1415" s="333"/>
      <c r="G1415" s="221"/>
      <c r="H1415" s="157"/>
      <c r="I1415" s="157"/>
      <c r="J1415" s="157">
        <v>50</v>
      </c>
      <c r="K1415" s="157">
        <v>10</v>
      </c>
      <c r="L1415" s="157"/>
      <c r="M1415" s="157">
        <v>10</v>
      </c>
      <c r="N1415" s="157"/>
      <c r="O1415" s="157"/>
      <c r="P1415" s="157"/>
      <c r="Q1415" s="157"/>
      <c r="R1415" s="157"/>
      <c r="S1415" s="157"/>
      <c r="T1415" s="157"/>
      <c r="U1415" s="157"/>
      <c r="V1415" s="158"/>
      <c r="W1415" s="182"/>
      <c r="X1415" s="1"/>
      <c r="Y1415" s="78">
        <f t="shared" si="187"/>
        <v>0</v>
      </c>
      <c r="Z1415" s="78">
        <f t="shared" si="188"/>
        <v>0</v>
      </c>
      <c r="AA1415" s="78">
        <f t="shared" si="186"/>
        <v>0</v>
      </c>
      <c r="AB1415" s="78">
        <f t="shared" si="189"/>
        <v>0</v>
      </c>
      <c r="AC1415" s="78"/>
      <c r="AD1415" s="78">
        <v>0</v>
      </c>
      <c r="AE1415" s="80">
        <f t="shared" si="184"/>
        <v>0</v>
      </c>
      <c r="AF1415" s="82">
        <v>0</v>
      </c>
      <c r="AG1415" s="69">
        <v>40482</v>
      </c>
      <c r="AH1415" s="84"/>
      <c r="AI1415" s="69" t="s">
        <v>1984</v>
      </c>
      <c r="AJ1415" s="25" t="s">
        <v>1985</v>
      </c>
      <c r="AK1415" s="65"/>
      <c r="AL1415" s="176" t="s">
        <v>1257</v>
      </c>
      <c r="AM1415" s="173" t="s">
        <v>90</v>
      </c>
      <c r="AN1415" s="159"/>
      <c r="AO1415" s="160"/>
      <c r="AP1415" s="161"/>
      <c r="AQ1415" s="160"/>
      <c r="AR1415" s="160"/>
      <c r="AS1415" s="160"/>
      <c r="AT1415" s="160"/>
      <c r="AU1415" s="160"/>
      <c r="AV1415" s="160"/>
      <c r="AW1415" s="160"/>
      <c r="AX1415" s="160"/>
      <c r="AY1415" s="160"/>
      <c r="AZ1415" s="160"/>
      <c r="BA1415" s="160"/>
      <c r="BB1415" s="160"/>
      <c r="BC1415" s="160"/>
      <c r="BD1415" s="160"/>
      <c r="BE1415" s="160"/>
      <c r="BF1415" s="160"/>
      <c r="BG1415" s="160"/>
      <c r="BH1415" s="160"/>
      <c r="BI1415" s="160"/>
      <c r="BJ1415" s="160"/>
      <c r="BK1415" s="160"/>
      <c r="BL1415" s="160"/>
      <c r="BM1415" s="160"/>
      <c r="BN1415" s="160"/>
      <c r="BO1415" s="160"/>
      <c r="BP1415" s="160"/>
      <c r="BQ1415" s="160"/>
      <c r="BR1415" s="160"/>
      <c r="BS1415" s="160"/>
      <c r="BT1415" s="160"/>
      <c r="BU1415" s="160"/>
      <c r="BV1415" s="160"/>
      <c r="BW1415" s="160"/>
      <c r="BX1415" s="160"/>
      <c r="BY1415" s="160"/>
      <c r="BZ1415" s="160"/>
      <c r="CA1415" s="160"/>
      <c r="CB1415" s="160"/>
      <c r="CC1415" s="160"/>
      <c r="CD1415" s="160"/>
      <c r="CE1415" s="160"/>
      <c r="CF1415" s="160"/>
      <c r="CG1415" s="160"/>
      <c r="CH1415" s="160"/>
      <c r="CI1415" s="160"/>
      <c r="CJ1415" s="160"/>
      <c r="CK1415" s="160"/>
      <c r="CL1415" s="160"/>
      <c r="CM1415" s="160"/>
      <c r="CN1415" s="160"/>
      <c r="CO1415" s="160"/>
      <c r="CP1415" s="162"/>
      <c r="CQ1415" s="163"/>
      <c r="CR1415" s="162"/>
      <c r="CS1415" s="163"/>
      <c r="CT1415" s="162"/>
      <c r="CU1415" s="163"/>
      <c r="CV1415" s="164">
        <f t="shared" si="190"/>
        <v>0</v>
      </c>
      <c r="CW1415" s="165"/>
      <c r="CX1415" s="166"/>
      <c r="CY1415" s="167"/>
      <c r="CZ1415" s="168"/>
      <c r="DA1415" s="169"/>
      <c r="DB1415" s="168"/>
      <c r="DC1415" s="165"/>
      <c r="DD1415" s="166"/>
      <c r="DE1415" s="71"/>
      <c r="DF1415" s="170"/>
      <c r="EO1415" s="353" t="str">
        <f t="shared" si="185"/>
        <v>QUINDIO_CALARCA</v>
      </c>
      <c r="EP1415" s="350"/>
      <c r="EQ1415" s="350"/>
      <c r="ER1415" s="357"/>
      <c r="ES1415" s="350"/>
      <c r="ET1415" s="350"/>
      <c r="EU1415" s="350"/>
    </row>
    <row r="1416" spans="1:151" s="171" customFormat="1" ht="25.5" x14ac:dyDescent="0.2">
      <c r="A1416" s="242">
        <v>40479</v>
      </c>
      <c r="B1416" s="222" t="s">
        <v>2014</v>
      </c>
      <c r="C1416" s="222" t="s">
        <v>2217</v>
      </c>
      <c r="D1416" s="430" t="s">
        <v>837</v>
      </c>
      <c r="E1416" s="107" t="str">
        <f>VLOOKUP(B1416&amp;C1416,Divipola!$C$2:$F$1138,4,FALSE)</f>
        <v>63190</v>
      </c>
      <c r="F1416" s="333"/>
      <c r="G1416" s="221"/>
      <c r="H1416" s="157"/>
      <c r="I1416" s="157"/>
      <c r="J1416" s="157">
        <v>257</v>
      </c>
      <c r="K1416" s="157">
        <v>66</v>
      </c>
      <c r="L1416" s="157"/>
      <c r="M1416" s="157">
        <v>1</v>
      </c>
      <c r="N1416" s="157"/>
      <c r="O1416" s="157"/>
      <c r="P1416" s="157"/>
      <c r="Q1416" s="157"/>
      <c r="R1416" s="157"/>
      <c r="S1416" s="157"/>
      <c r="T1416" s="157"/>
      <c r="U1416" s="157"/>
      <c r="V1416" s="158"/>
      <c r="W1416" s="182"/>
      <c r="X1416" s="1"/>
      <c r="Y1416" s="78">
        <f t="shared" si="187"/>
        <v>0</v>
      </c>
      <c r="Z1416" s="78">
        <f t="shared" si="188"/>
        <v>0</v>
      </c>
      <c r="AA1416" s="78">
        <f t="shared" si="186"/>
        <v>0</v>
      </c>
      <c r="AB1416" s="78">
        <f t="shared" si="189"/>
        <v>0</v>
      </c>
      <c r="AC1416" s="78"/>
      <c r="AD1416" s="78">
        <v>0</v>
      </c>
      <c r="AE1416" s="80">
        <f t="shared" si="184"/>
        <v>0</v>
      </c>
      <c r="AF1416" s="82">
        <v>0</v>
      </c>
      <c r="AG1416" s="69">
        <v>40482</v>
      </c>
      <c r="AH1416" s="84"/>
      <c r="AI1416" s="69" t="s">
        <v>1984</v>
      </c>
      <c r="AJ1416" s="25" t="s">
        <v>1985</v>
      </c>
      <c r="AK1416" s="65"/>
      <c r="AL1416" s="176" t="s">
        <v>1257</v>
      </c>
      <c r="AM1416" s="173" t="s">
        <v>88</v>
      </c>
      <c r="AN1416" s="159"/>
      <c r="AO1416" s="160"/>
      <c r="AP1416" s="161"/>
      <c r="AQ1416" s="160"/>
      <c r="AR1416" s="160"/>
      <c r="AS1416" s="160"/>
      <c r="AT1416" s="160"/>
      <c r="AU1416" s="160"/>
      <c r="AV1416" s="160"/>
      <c r="AW1416" s="160"/>
      <c r="AX1416" s="160"/>
      <c r="AY1416" s="160"/>
      <c r="AZ1416" s="160"/>
      <c r="BA1416" s="160"/>
      <c r="BB1416" s="160"/>
      <c r="BC1416" s="160"/>
      <c r="BD1416" s="160"/>
      <c r="BE1416" s="160"/>
      <c r="BF1416" s="160"/>
      <c r="BG1416" s="160"/>
      <c r="BH1416" s="160"/>
      <c r="BI1416" s="160"/>
      <c r="BJ1416" s="160"/>
      <c r="BK1416" s="160"/>
      <c r="BL1416" s="160"/>
      <c r="BM1416" s="160"/>
      <c r="BN1416" s="160"/>
      <c r="BO1416" s="160"/>
      <c r="BP1416" s="160"/>
      <c r="BQ1416" s="160"/>
      <c r="BR1416" s="160"/>
      <c r="BS1416" s="160"/>
      <c r="BT1416" s="160"/>
      <c r="BU1416" s="160"/>
      <c r="BV1416" s="160"/>
      <c r="BW1416" s="160"/>
      <c r="BX1416" s="160"/>
      <c r="BY1416" s="160"/>
      <c r="BZ1416" s="160"/>
      <c r="CA1416" s="160"/>
      <c r="CB1416" s="160"/>
      <c r="CC1416" s="160"/>
      <c r="CD1416" s="160"/>
      <c r="CE1416" s="160"/>
      <c r="CF1416" s="160"/>
      <c r="CG1416" s="160"/>
      <c r="CH1416" s="160"/>
      <c r="CI1416" s="160"/>
      <c r="CJ1416" s="160"/>
      <c r="CK1416" s="160"/>
      <c r="CL1416" s="160"/>
      <c r="CM1416" s="160"/>
      <c r="CN1416" s="160"/>
      <c r="CO1416" s="160"/>
      <c r="CP1416" s="162"/>
      <c r="CQ1416" s="163"/>
      <c r="CR1416" s="162"/>
      <c r="CS1416" s="163"/>
      <c r="CT1416" s="162"/>
      <c r="CU1416" s="163"/>
      <c r="CV1416" s="164">
        <f t="shared" si="190"/>
        <v>0</v>
      </c>
      <c r="CW1416" s="165"/>
      <c r="CX1416" s="166"/>
      <c r="CY1416" s="167"/>
      <c r="CZ1416" s="168"/>
      <c r="DA1416" s="169"/>
      <c r="DB1416" s="168"/>
      <c r="DC1416" s="165"/>
      <c r="DD1416" s="166"/>
      <c r="DE1416" s="71"/>
      <c r="DF1416" s="170"/>
      <c r="EO1416" s="353" t="str">
        <f t="shared" si="185"/>
        <v>QUINDIO_CIRCASIA</v>
      </c>
      <c r="EP1416" s="350"/>
      <c r="EQ1416" s="350"/>
      <c r="ER1416" s="357"/>
      <c r="ES1416" s="350"/>
      <c r="ET1416" s="350"/>
      <c r="EU1416" s="350"/>
    </row>
    <row r="1417" spans="1:151" s="171" customFormat="1" ht="25.5" x14ac:dyDescent="0.2">
      <c r="A1417" s="242">
        <v>40479</v>
      </c>
      <c r="B1417" s="222" t="s">
        <v>2014</v>
      </c>
      <c r="C1417" s="222" t="s">
        <v>1700</v>
      </c>
      <c r="D1417" s="430" t="s">
        <v>837</v>
      </c>
      <c r="E1417" s="107" t="str">
        <f>VLOOKUP(B1417&amp;C1417,Divipola!$C$2:$F$1138,4,FALSE)</f>
        <v>63212</v>
      </c>
      <c r="F1417" s="333"/>
      <c r="G1417" s="221"/>
      <c r="H1417" s="157"/>
      <c r="I1417" s="157"/>
      <c r="J1417" s="157">
        <f>354*5</f>
        <v>1770</v>
      </c>
      <c r="K1417" s="157">
        <f>362-8</f>
        <v>354</v>
      </c>
      <c r="L1417" s="157"/>
      <c r="M1417" s="157"/>
      <c r="N1417" s="157"/>
      <c r="O1417" s="157"/>
      <c r="P1417" s="157"/>
      <c r="Q1417" s="157"/>
      <c r="R1417" s="157"/>
      <c r="S1417" s="157"/>
      <c r="T1417" s="157"/>
      <c r="U1417" s="157"/>
      <c r="V1417" s="158"/>
      <c r="W1417" s="182"/>
      <c r="X1417" s="1"/>
      <c r="Y1417" s="78">
        <f t="shared" si="187"/>
        <v>0</v>
      </c>
      <c r="Z1417" s="78">
        <f t="shared" si="188"/>
        <v>0</v>
      </c>
      <c r="AA1417" s="78">
        <f t="shared" si="186"/>
        <v>0</v>
      </c>
      <c r="AB1417" s="78">
        <f t="shared" si="189"/>
        <v>0</v>
      </c>
      <c r="AC1417" s="78"/>
      <c r="AD1417" s="78">
        <v>0</v>
      </c>
      <c r="AE1417" s="80">
        <f t="shared" ref="AE1417:AE1480" si="191">Y1417+Z1417+AA1417+AB1417+AC1417+AD1417</f>
        <v>0</v>
      </c>
      <c r="AF1417" s="82">
        <v>0</v>
      </c>
      <c r="AG1417" s="69">
        <v>40482</v>
      </c>
      <c r="AH1417" s="84"/>
      <c r="AI1417" s="69" t="s">
        <v>1984</v>
      </c>
      <c r="AJ1417" s="25" t="s">
        <v>1985</v>
      </c>
      <c r="AK1417" s="65"/>
      <c r="AL1417" s="176" t="s">
        <v>1257</v>
      </c>
      <c r="AM1417" s="173" t="s">
        <v>1078</v>
      </c>
      <c r="AN1417" s="159"/>
      <c r="AO1417" s="160"/>
      <c r="AP1417" s="161"/>
      <c r="AQ1417" s="160"/>
      <c r="AR1417" s="160"/>
      <c r="AS1417" s="160"/>
      <c r="AT1417" s="160"/>
      <c r="AU1417" s="160"/>
      <c r="AV1417" s="160"/>
      <c r="AW1417" s="160"/>
      <c r="AX1417" s="160"/>
      <c r="AY1417" s="160"/>
      <c r="AZ1417" s="160"/>
      <c r="BA1417" s="160"/>
      <c r="BB1417" s="160"/>
      <c r="BC1417" s="160"/>
      <c r="BD1417" s="160"/>
      <c r="BE1417" s="160"/>
      <c r="BF1417" s="160"/>
      <c r="BG1417" s="160"/>
      <c r="BH1417" s="160"/>
      <c r="BI1417" s="160"/>
      <c r="BJ1417" s="160"/>
      <c r="BK1417" s="160"/>
      <c r="BL1417" s="160"/>
      <c r="BM1417" s="160"/>
      <c r="BN1417" s="160"/>
      <c r="BO1417" s="160"/>
      <c r="BP1417" s="160"/>
      <c r="BQ1417" s="160"/>
      <c r="BR1417" s="160"/>
      <c r="BS1417" s="160"/>
      <c r="BT1417" s="160"/>
      <c r="BU1417" s="160"/>
      <c r="BV1417" s="160"/>
      <c r="BW1417" s="160"/>
      <c r="BX1417" s="160"/>
      <c r="BY1417" s="160"/>
      <c r="BZ1417" s="160"/>
      <c r="CA1417" s="160"/>
      <c r="CB1417" s="160"/>
      <c r="CC1417" s="160"/>
      <c r="CD1417" s="160"/>
      <c r="CE1417" s="160"/>
      <c r="CF1417" s="160"/>
      <c r="CG1417" s="160"/>
      <c r="CH1417" s="160"/>
      <c r="CI1417" s="160"/>
      <c r="CJ1417" s="160"/>
      <c r="CK1417" s="160"/>
      <c r="CL1417" s="160"/>
      <c r="CM1417" s="160"/>
      <c r="CN1417" s="160"/>
      <c r="CO1417" s="160"/>
      <c r="CP1417" s="162"/>
      <c r="CQ1417" s="163"/>
      <c r="CR1417" s="162"/>
      <c r="CS1417" s="163"/>
      <c r="CT1417" s="162"/>
      <c r="CU1417" s="163"/>
      <c r="CV1417" s="164">
        <f t="shared" si="190"/>
        <v>0</v>
      </c>
      <c r="CW1417" s="165"/>
      <c r="CX1417" s="166"/>
      <c r="CY1417" s="167"/>
      <c r="CZ1417" s="168"/>
      <c r="DA1417" s="169"/>
      <c r="DB1417" s="168"/>
      <c r="DC1417" s="165"/>
      <c r="DD1417" s="166"/>
      <c r="DE1417" s="71"/>
      <c r="DF1417" s="170"/>
      <c r="EO1417" s="353" t="str">
        <f t="shared" si="185"/>
        <v>QUINDIO_CORDOBA</v>
      </c>
      <c r="EP1417" s="350"/>
      <c r="EQ1417" s="350"/>
      <c r="ER1417" s="357"/>
      <c r="ES1417" s="350"/>
      <c r="ET1417" s="350"/>
      <c r="EU1417" s="350"/>
    </row>
    <row r="1418" spans="1:151" s="171" customFormat="1" ht="25.5" x14ac:dyDescent="0.2">
      <c r="A1418" s="242">
        <v>40479</v>
      </c>
      <c r="B1418" s="222" t="s">
        <v>2014</v>
      </c>
      <c r="C1418" s="222" t="s">
        <v>203</v>
      </c>
      <c r="D1418" s="430" t="s">
        <v>837</v>
      </c>
      <c r="E1418" s="107" t="str">
        <f>VLOOKUP(B1418&amp;C1418,Divipola!$C$2:$F$1138,4,FALSE)</f>
        <v>63302</v>
      </c>
      <c r="F1418" s="333"/>
      <c r="G1418" s="221"/>
      <c r="H1418" s="157"/>
      <c r="I1418" s="157"/>
      <c r="J1418" s="157"/>
      <c r="K1418" s="157"/>
      <c r="L1418" s="157"/>
      <c r="M1418" s="157"/>
      <c r="N1418" s="157"/>
      <c r="O1418" s="157"/>
      <c r="P1418" s="157"/>
      <c r="Q1418" s="157">
        <v>1</v>
      </c>
      <c r="R1418" s="157"/>
      <c r="S1418" s="157"/>
      <c r="T1418" s="157"/>
      <c r="U1418" s="157"/>
      <c r="V1418" s="158"/>
      <c r="W1418" s="182"/>
      <c r="X1418" s="1"/>
      <c r="Y1418" s="78">
        <f t="shared" si="187"/>
        <v>0</v>
      </c>
      <c r="Z1418" s="78">
        <f t="shared" si="188"/>
        <v>0</v>
      </c>
      <c r="AA1418" s="78">
        <f t="shared" si="186"/>
        <v>0</v>
      </c>
      <c r="AB1418" s="78">
        <f t="shared" si="189"/>
        <v>0</v>
      </c>
      <c r="AC1418" s="78"/>
      <c r="AD1418" s="78">
        <v>0</v>
      </c>
      <c r="AE1418" s="80">
        <f t="shared" si="191"/>
        <v>0</v>
      </c>
      <c r="AF1418" s="82">
        <v>0</v>
      </c>
      <c r="AG1418" s="69">
        <v>40482</v>
      </c>
      <c r="AH1418" s="84"/>
      <c r="AI1418" s="69" t="s">
        <v>1984</v>
      </c>
      <c r="AJ1418" s="25" t="s">
        <v>1985</v>
      </c>
      <c r="AK1418" s="65"/>
      <c r="AL1418" s="176" t="s">
        <v>1257</v>
      </c>
      <c r="AM1418" s="173" t="s">
        <v>96</v>
      </c>
      <c r="AN1418" s="159"/>
      <c r="AO1418" s="160"/>
      <c r="AP1418" s="161"/>
      <c r="AQ1418" s="160"/>
      <c r="AR1418" s="160"/>
      <c r="AS1418" s="160"/>
      <c r="AT1418" s="160"/>
      <c r="AU1418" s="160"/>
      <c r="AV1418" s="160"/>
      <c r="AW1418" s="160"/>
      <c r="AX1418" s="160"/>
      <c r="AY1418" s="160"/>
      <c r="AZ1418" s="160"/>
      <c r="BA1418" s="160"/>
      <c r="BB1418" s="160"/>
      <c r="BC1418" s="160"/>
      <c r="BD1418" s="160"/>
      <c r="BE1418" s="160"/>
      <c r="BF1418" s="160"/>
      <c r="BG1418" s="160"/>
      <c r="BH1418" s="160"/>
      <c r="BI1418" s="160"/>
      <c r="BJ1418" s="160"/>
      <c r="BK1418" s="160"/>
      <c r="BL1418" s="160"/>
      <c r="BM1418" s="160"/>
      <c r="BN1418" s="160"/>
      <c r="BO1418" s="160"/>
      <c r="BP1418" s="160"/>
      <c r="BQ1418" s="160"/>
      <c r="BR1418" s="160"/>
      <c r="BS1418" s="160"/>
      <c r="BT1418" s="160"/>
      <c r="BU1418" s="160"/>
      <c r="BV1418" s="160"/>
      <c r="BW1418" s="160"/>
      <c r="BX1418" s="160"/>
      <c r="BY1418" s="160"/>
      <c r="BZ1418" s="160"/>
      <c r="CA1418" s="160"/>
      <c r="CB1418" s="160"/>
      <c r="CC1418" s="160"/>
      <c r="CD1418" s="160"/>
      <c r="CE1418" s="160"/>
      <c r="CF1418" s="160"/>
      <c r="CG1418" s="160"/>
      <c r="CH1418" s="160"/>
      <c r="CI1418" s="160"/>
      <c r="CJ1418" s="160"/>
      <c r="CK1418" s="160"/>
      <c r="CL1418" s="160"/>
      <c r="CM1418" s="160"/>
      <c r="CN1418" s="160"/>
      <c r="CO1418" s="160"/>
      <c r="CP1418" s="162"/>
      <c r="CQ1418" s="163"/>
      <c r="CR1418" s="162"/>
      <c r="CS1418" s="163"/>
      <c r="CT1418" s="162"/>
      <c r="CU1418" s="163"/>
      <c r="CV1418" s="164">
        <f t="shared" si="190"/>
        <v>0</v>
      </c>
      <c r="CW1418" s="165"/>
      <c r="CX1418" s="166"/>
      <c r="CY1418" s="167"/>
      <c r="CZ1418" s="168"/>
      <c r="DA1418" s="169"/>
      <c r="DB1418" s="168"/>
      <c r="DC1418" s="165"/>
      <c r="DD1418" s="166"/>
      <c r="DE1418" s="71"/>
      <c r="DF1418" s="170"/>
      <c r="EO1418" s="353" t="str">
        <f t="shared" si="185"/>
        <v>QUINDIO_GENOVA</v>
      </c>
      <c r="EP1418" s="350"/>
      <c r="EQ1418" s="350"/>
      <c r="ER1418" s="357"/>
      <c r="ES1418" s="350"/>
      <c r="ET1418" s="350"/>
      <c r="EU1418" s="350"/>
    </row>
    <row r="1419" spans="1:151" s="171" customFormat="1" ht="25.5" x14ac:dyDescent="0.2">
      <c r="A1419" s="242">
        <v>40479</v>
      </c>
      <c r="B1419" s="222" t="s">
        <v>2791</v>
      </c>
      <c r="C1419" s="222" t="s">
        <v>1945</v>
      </c>
      <c r="D1419" s="430" t="s">
        <v>2352</v>
      </c>
      <c r="E1419" s="107" t="str">
        <f>VLOOKUP(B1419&amp;C1419,Divipola!$C$2:$F$1138,4,FALSE)</f>
        <v>73001</v>
      </c>
      <c r="F1419" s="333"/>
      <c r="G1419" s="221"/>
      <c r="H1419" s="157"/>
      <c r="I1419" s="157"/>
      <c r="J1419" s="157">
        <v>5</v>
      </c>
      <c r="K1419" s="157">
        <v>1</v>
      </c>
      <c r="L1419" s="157">
        <v>1</v>
      </c>
      <c r="M1419" s="157"/>
      <c r="N1419" s="157"/>
      <c r="O1419" s="157"/>
      <c r="P1419" s="157"/>
      <c r="Q1419" s="157"/>
      <c r="R1419" s="157"/>
      <c r="S1419" s="157"/>
      <c r="T1419" s="157"/>
      <c r="U1419" s="157"/>
      <c r="V1419" s="158"/>
      <c r="W1419" s="182"/>
      <c r="X1419" s="1"/>
      <c r="Y1419" s="78">
        <f t="shared" si="187"/>
        <v>0</v>
      </c>
      <c r="Z1419" s="78">
        <f t="shared" si="188"/>
        <v>0</v>
      </c>
      <c r="AA1419" s="78">
        <f t="shared" si="186"/>
        <v>0</v>
      </c>
      <c r="AB1419" s="78">
        <f t="shared" si="189"/>
        <v>0</v>
      </c>
      <c r="AC1419" s="78"/>
      <c r="AD1419" s="78">
        <v>0</v>
      </c>
      <c r="AE1419" s="80">
        <f t="shared" si="191"/>
        <v>0</v>
      </c>
      <c r="AF1419" s="82">
        <v>0</v>
      </c>
      <c r="AG1419" s="69">
        <v>40482</v>
      </c>
      <c r="AH1419" s="84"/>
      <c r="AI1419" s="69" t="s">
        <v>1984</v>
      </c>
      <c r="AJ1419" s="25" t="s">
        <v>1985</v>
      </c>
      <c r="AK1419" s="65"/>
      <c r="AL1419" s="176" t="s">
        <v>1257</v>
      </c>
      <c r="AM1419" s="173" t="s">
        <v>94</v>
      </c>
      <c r="AN1419" s="159"/>
      <c r="AO1419" s="160"/>
      <c r="AP1419" s="161"/>
      <c r="AQ1419" s="160"/>
      <c r="AR1419" s="160"/>
      <c r="AS1419" s="160"/>
      <c r="AT1419" s="160"/>
      <c r="AU1419" s="160"/>
      <c r="AV1419" s="160"/>
      <c r="AW1419" s="160"/>
      <c r="AX1419" s="160"/>
      <c r="AY1419" s="160"/>
      <c r="AZ1419" s="160"/>
      <c r="BA1419" s="160"/>
      <c r="BB1419" s="160"/>
      <c r="BC1419" s="160"/>
      <c r="BD1419" s="160"/>
      <c r="BE1419" s="160"/>
      <c r="BF1419" s="160"/>
      <c r="BG1419" s="160"/>
      <c r="BH1419" s="160"/>
      <c r="BI1419" s="160"/>
      <c r="BJ1419" s="160"/>
      <c r="BK1419" s="160"/>
      <c r="BL1419" s="160"/>
      <c r="BM1419" s="160"/>
      <c r="BN1419" s="160"/>
      <c r="BO1419" s="160"/>
      <c r="BP1419" s="160"/>
      <c r="BQ1419" s="160"/>
      <c r="BR1419" s="160"/>
      <c r="BS1419" s="160"/>
      <c r="BT1419" s="160"/>
      <c r="BU1419" s="160"/>
      <c r="BV1419" s="160"/>
      <c r="BW1419" s="160"/>
      <c r="BX1419" s="160"/>
      <c r="BY1419" s="160"/>
      <c r="BZ1419" s="160"/>
      <c r="CA1419" s="160"/>
      <c r="CB1419" s="160"/>
      <c r="CC1419" s="160"/>
      <c r="CD1419" s="160"/>
      <c r="CE1419" s="160"/>
      <c r="CF1419" s="160"/>
      <c r="CG1419" s="160"/>
      <c r="CH1419" s="160"/>
      <c r="CI1419" s="160"/>
      <c r="CJ1419" s="160"/>
      <c r="CK1419" s="160"/>
      <c r="CL1419" s="160"/>
      <c r="CM1419" s="160"/>
      <c r="CN1419" s="160"/>
      <c r="CO1419" s="160"/>
      <c r="CP1419" s="162"/>
      <c r="CQ1419" s="163"/>
      <c r="CR1419" s="162"/>
      <c r="CS1419" s="163"/>
      <c r="CT1419" s="162"/>
      <c r="CU1419" s="163"/>
      <c r="CV1419" s="164">
        <f t="shared" si="190"/>
        <v>0</v>
      </c>
      <c r="CW1419" s="165"/>
      <c r="CX1419" s="166"/>
      <c r="CY1419" s="167"/>
      <c r="CZ1419" s="168"/>
      <c r="DA1419" s="169"/>
      <c r="DB1419" s="168"/>
      <c r="DC1419" s="165"/>
      <c r="DD1419" s="166"/>
      <c r="DE1419" s="71"/>
      <c r="DF1419" s="170"/>
      <c r="EO1419" s="353" t="str">
        <f t="shared" si="185"/>
        <v>TOLIMA_IBAGUE</v>
      </c>
      <c r="EP1419" s="350"/>
      <c r="EQ1419" s="350"/>
      <c r="ER1419" s="357"/>
      <c r="ES1419" s="350"/>
      <c r="ET1419" s="350"/>
      <c r="EU1419" s="350"/>
    </row>
    <row r="1420" spans="1:151" s="171" customFormat="1" ht="51" x14ac:dyDescent="0.2">
      <c r="A1420" s="242">
        <v>40479</v>
      </c>
      <c r="B1420" s="222" t="s">
        <v>1462</v>
      </c>
      <c r="C1420" s="222" t="s">
        <v>610</v>
      </c>
      <c r="D1420" s="430" t="s">
        <v>1993</v>
      </c>
      <c r="E1420" s="107" t="str">
        <f>VLOOKUP(B1420&amp;C1420,Divipola!$C$2:$F$1138,4,FALSE)</f>
        <v>76520</v>
      </c>
      <c r="F1420" s="333"/>
      <c r="G1420" s="221">
        <v>1</v>
      </c>
      <c r="H1420" s="157">
        <v>3</v>
      </c>
      <c r="I1420" s="157"/>
      <c r="J1420" s="157"/>
      <c r="K1420" s="157"/>
      <c r="L1420" s="157"/>
      <c r="M1420" s="157"/>
      <c r="N1420" s="157"/>
      <c r="O1420" s="157"/>
      <c r="P1420" s="157"/>
      <c r="Q1420" s="157"/>
      <c r="R1420" s="157"/>
      <c r="S1420" s="157"/>
      <c r="T1420" s="157"/>
      <c r="U1420" s="157"/>
      <c r="V1420" s="158"/>
      <c r="W1420" s="182"/>
      <c r="X1420" s="1"/>
      <c r="Y1420" s="78">
        <f t="shared" si="187"/>
        <v>0</v>
      </c>
      <c r="Z1420" s="78">
        <f t="shared" si="188"/>
        <v>0</v>
      </c>
      <c r="AA1420" s="78">
        <f t="shared" si="186"/>
        <v>0</v>
      </c>
      <c r="AB1420" s="78">
        <f t="shared" si="189"/>
        <v>0</v>
      </c>
      <c r="AC1420" s="78"/>
      <c r="AD1420" s="78">
        <v>0</v>
      </c>
      <c r="AE1420" s="80">
        <f t="shared" si="191"/>
        <v>0</v>
      </c>
      <c r="AF1420" s="82">
        <v>0</v>
      </c>
      <c r="AG1420" s="69">
        <v>40482</v>
      </c>
      <c r="AH1420" s="84"/>
      <c r="AI1420" s="69" t="s">
        <v>1984</v>
      </c>
      <c r="AJ1420" s="25" t="s">
        <v>1985</v>
      </c>
      <c r="AK1420" s="65"/>
      <c r="AL1420" s="176" t="s">
        <v>1257</v>
      </c>
      <c r="AM1420" s="173" t="s">
        <v>1086</v>
      </c>
      <c r="AN1420" s="159"/>
      <c r="AO1420" s="160"/>
      <c r="AP1420" s="161"/>
      <c r="AQ1420" s="160"/>
      <c r="AR1420" s="160"/>
      <c r="AS1420" s="160"/>
      <c r="AT1420" s="160"/>
      <c r="AU1420" s="160"/>
      <c r="AV1420" s="160"/>
      <c r="AW1420" s="160"/>
      <c r="AX1420" s="160"/>
      <c r="AY1420" s="160"/>
      <c r="AZ1420" s="160"/>
      <c r="BA1420" s="160"/>
      <c r="BB1420" s="160"/>
      <c r="BC1420" s="160"/>
      <c r="BD1420" s="160"/>
      <c r="BE1420" s="160"/>
      <c r="BF1420" s="160"/>
      <c r="BG1420" s="160"/>
      <c r="BH1420" s="160"/>
      <c r="BI1420" s="160"/>
      <c r="BJ1420" s="160"/>
      <c r="BK1420" s="160"/>
      <c r="BL1420" s="160"/>
      <c r="BM1420" s="160"/>
      <c r="BN1420" s="160"/>
      <c r="BO1420" s="160"/>
      <c r="BP1420" s="160"/>
      <c r="BQ1420" s="160"/>
      <c r="BR1420" s="160"/>
      <c r="BS1420" s="160"/>
      <c r="BT1420" s="160"/>
      <c r="BU1420" s="160"/>
      <c r="BV1420" s="160"/>
      <c r="BW1420" s="160"/>
      <c r="BX1420" s="160"/>
      <c r="BY1420" s="160"/>
      <c r="BZ1420" s="160"/>
      <c r="CA1420" s="160"/>
      <c r="CB1420" s="160"/>
      <c r="CC1420" s="160"/>
      <c r="CD1420" s="160"/>
      <c r="CE1420" s="160"/>
      <c r="CF1420" s="160"/>
      <c r="CG1420" s="160"/>
      <c r="CH1420" s="160"/>
      <c r="CI1420" s="160"/>
      <c r="CJ1420" s="160"/>
      <c r="CK1420" s="160"/>
      <c r="CL1420" s="160"/>
      <c r="CM1420" s="160"/>
      <c r="CN1420" s="160"/>
      <c r="CO1420" s="160"/>
      <c r="CP1420" s="162"/>
      <c r="CQ1420" s="163"/>
      <c r="CR1420" s="162"/>
      <c r="CS1420" s="163"/>
      <c r="CT1420" s="162"/>
      <c r="CU1420" s="163"/>
      <c r="CV1420" s="164">
        <f t="shared" si="190"/>
        <v>0</v>
      </c>
      <c r="CW1420" s="165"/>
      <c r="CX1420" s="166"/>
      <c r="CY1420" s="167"/>
      <c r="CZ1420" s="168"/>
      <c r="DA1420" s="169"/>
      <c r="DB1420" s="168"/>
      <c r="DC1420" s="165"/>
      <c r="DD1420" s="166"/>
      <c r="DE1420" s="71"/>
      <c r="DF1420" s="170"/>
      <c r="EO1420" s="353" t="str">
        <f t="shared" si="185"/>
        <v>VALLE DEL CAUCA_PALMIRA</v>
      </c>
      <c r="EP1420" s="350"/>
      <c r="EQ1420" s="350"/>
      <c r="ER1420" s="357"/>
      <c r="ES1420" s="350"/>
      <c r="ET1420" s="350"/>
      <c r="EU1420" s="350"/>
    </row>
    <row r="1421" spans="1:151" s="171" customFormat="1" ht="38.25" x14ac:dyDescent="0.2">
      <c r="A1421" s="242">
        <v>40480</v>
      </c>
      <c r="B1421" s="222" t="s">
        <v>1836</v>
      </c>
      <c r="C1421" s="222" t="s">
        <v>1875</v>
      </c>
      <c r="D1421" s="430" t="s">
        <v>837</v>
      </c>
      <c r="E1421" s="107" t="str">
        <f>VLOOKUP(B1421&amp;C1421,Divipola!$C$2:$F$1138,4,FALSE)</f>
        <v>47258</v>
      </c>
      <c r="F1421" s="333"/>
      <c r="G1421" s="221"/>
      <c r="H1421" s="157"/>
      <c r="I1421" s="157"/>
      <c r="J1421" s="157"/>
      <c r="K1421" s="157"/>
      <c r="L1421" s="157"/>
      <c r="M1421" s="157"/>
      <c r="N1421" s="157"/>
      <c r="O1421" s="157"/>
      <c r="P1421" s="157"/>
      <c r="Q1421" s="157"/>
      <c r="R1421" s="157"/>
      <c r="S1421" s="157"/>
      <c r="T1421" s="157"/>
      <c r="U1421" s="157"/>
      <c r="V1421" s="158"/>
      <c r="W1421" s="182"/>
      <c r="X1421" s="1">
        <v>40505</v>
      </c>
      <c r="Y1421" s="78">
        <f t="shared" si="187"/>
        <v>2350000</v>
      </c>
      <c r="Z1421" s="78">
        <f t="shared" si="188"/>
        <v>59500000</v>
      </c>
      <c r="AA1421" s="78">
        <f t="shared" si="186"/>
        <v>0</v>
      </c>
      <c r="AB1421" s="78">
        <f t="shared" si="189"/>
        <v>90016000</v>
      </c>
      <c r="AC1421" s="78"/>
      <c r="AD1421" s="78">
        <v>0</v>
      </c>
      <c r="AE1421" s="80">
        <f t="shared" si="191"/>
        <v>151866000</v>
      </c>
      <c r="AF1421" s="82">
        <v>0</v>
      </c>
      <c r="AG1421" s="69">
        <v>40479</v>
      </c>
      <c r="AH1421" s="84">
        <v>59556</v>
      </c>
      <c r="AI1421" s="69" t="s">
        <v>2009</v>
      </c>
      <c r="AJ1421" s="25" t="s">
        <v>2010</v>
      </c>
      <c r="AK1421" s="65">
        <v>24375</v>
      </c>
      <c r="AL1421" s="176" t="s">
        <v>1831</v>
      </c>
      <c r="AM1421" s="173" t="s">
        <v>198</v>
      </c>
      <c r="AN1421" s="159"/>
      <c r="AO1421" s="160"/>
      <c r="AP1421" s="161"/>
      <c r="AQ1421" s="160"/>
      <c r="AR1421" s="160"/>
      <c r="AS1421" s="160"/>
      <c r="AT1421" s="160"/>
      <c r="AU1421" s="160"/>
      <c r="AV1421" s="160"/>
      <c r="AW1421" s="160"/>
      <c r="AX1421" s="160"/>
      <c r="AY1421" s="160"/>
      <c r="AZ1421" s="160"/>
      <c r="BA1421" s="160"/>
      <c r="BB1421" s="160"/>
      <c r="BC1421" s="160"/>
      <c r="BD1421" s="160"/>
      <c r="BE1421" s="160"/>
      <c r="BF1421" s="160"/>
      <c r="BG1421" s="160"/>
      <c r="BH1421" s="160"/>
      <c r="BI1421" s="160"/>
      <c r="BJ1421" s="160"/>
      <c r="BK1421" s="160"/>
      <c r="BL1421" s="160"/>
      <c r="BM1421" s="160"/>
      <c r="BN1421" s="160"/>
      <c r="BO1421" s="160"/>
      <c r="BP1421" s="160"/>
      <c r="BQ1421" s="160"/>
      <c r="BR1421" s="160"/>
      <c r="BS1421" s="160"/>
      <c r="BT1421" s="160"/>
      <c r="BU1421" s="160"/>
      <c r="BV1421" s="160"/>
      <c r="BW1421" s="160"/>
      <c r="BX1421" s="160"/>
      <c r="BY1421" s="160"/>
      <c r="BZ1421" s="160">
        <v>5</v>
      </c>
      <c r="CA1421" s="160">
        <f>5*470000</f>
        <v>2350000</v>
      </c>
      <c r="CB1421" s="160"/>
      <c r="CC1421" s="160"/>
      <c r="CD1421" s="160"/>
      <c r="CE1421" s="160"/>
      <c r="CF1421" s="160"/>
      <c r="CG1421" s="160"/>
      <c r="CH1421" s="160"/>
      <c r="CI1421" s="160"/>
      <c r="CJ1421" s="160"/>
      <c r="CK1421" s="160"/>
      <c r="CL1421" s="160"/>
      <c r="CM1421" s="160"/>
      <c r="CN1421" s="160"/>
      <c r="CO1421" s="160"/>
      <c r="CP1421" s="162"/>
      <c r="CQ1421" s="163"/>
      <c r="CR1421" s="162"/>
      <c r="CS1421" s="163"/>
      <c r="CT1421" s="162"/>
      <c r="CU1421" s="163"/>
      <c r="CV1421" s="164">
        <f t="shared" si="190"/>
        <v>2350000</v>
      </c>
      <c r="CW1421" s="165">
        <v>100000</v>
      </c>
      <c r="CX1421" s="166">
        <f>100000*900.16</f>
        <v>90016000</v>
      </c>
      <c r="CY1421" s="167">
        <v>700</v>
      </c>
      <c r="CZ1421" s="168">
        <f>700*85000</f>
        <v>59500000</v>
      </c>
      <c r="DA1421" s="169"/>
      <c r="DB1421" s="168"/>
      <c r="DC1421" s="165"/>
      <c r="DD1421" s="166"/>
      <c r="DE1421" s="71"/>
      <c r="DF1421" s="170"/>
      <c r="EO1421" s="353" t="str">
        <f t="shared" si="185"/>
        <v>MAGDALENA_EL PIÑON</v>
      </c>
      <c r="EP1421" s="350"/>
      <c r="EQ1421" s="350"/>
      <c r="ER1421" s="357"/>
      <c r="ES1421" s="350"/>
      <c r="ET1421" s="350"/>
      <c r="EU1421" s="350"/>
    </row>
    <row r="1422" spans="1:151" s="171" customFormat="1" ht="51" x14ac:dyDescent="0.2">
      <c r="A1422" s="242">
        <v>40480</v>
      </c>
      <c r="B1422" s="222" t="s">
        <v>1336</v>
      </c>
      <c r="C1422" s="222" t="s">
        <v>1360</v>
      </c>
      <c r="D1422" s="430" t="s">
        <v>2352</v>
      </c>
      <c r="E1422" s="107" t="str">
        <f>VLOOKUP(B1422&amp;C1422,Divipola!$C$2:$F$1138,4,FALSE)</f>
        <v>54099</v>
      </c>
      <c r="F1422" s="333"/>
      <c r="G1422" s="221"/>
      <c r="H1422" s="157"/>
      <c r="I1422" s="157"/>
      <c r="J1422" s="157"/>
      <c r="K1422" s="157"/>
      <c r="L1422" s="157"/>
      <c r="M1422" s="157"/>
      <c r="N1422" s="157"/>
      <c r="O1422" s="157"/>
      <c r="P1422" s="157"/>
      <c r="Q1422" s="157"/>
      <c r="R1422" s="157"/>
      <c r="S1422" s="157"/>
      <c r="T1422" s="157"/>
      <c r="U1422" s="157"/>
      <c r="V1422" s="158"/>
      <c r="W1422" s="182"/>
      <c r="X1422" s="1"/>
      <c r="Y1422" s="78">
        <f t="shared" si="187"/>
        <v>0</v>
      </c>
      <c r="Z1422" s="78">
        <f t="shared" si="188"/>
        <v>0</v>
      </c>
      <c r="AA1422" s="78">
        <f t="shared" si="186"/>
        <v>0</v>
      </c>
      <c r="AB1422" s="78">
        <f t="shared" si="189"/>
        <v>0</v>
      </c>
      <c r="AC1422" s="78"/>
      <c r="AD1422" s="78">
        <v>0</v>
      </c>
      <c r="AE1422" s="80">
        <f t="shared" si="191"/>
        <v>0</v>
      </c>
      <c r="AF1422" s="82">
        <v>0</v>
      </c>
      <c r="AG1422" s="69">
        <v>40482</v>
      </c>
      <c r="AH1422" s="84"/>
      <c r="AI1422" s="69" t="s">
        <v>1984</v>
      </c>
      <c r="AJ1422" s="25" t="s">
        <v>1985</v>
      </c>
      <c r="AK1422" s="65"/>
      <c r="AL1422" s="176" t="s">
        <v>1257</v>
      </c>
      <c r="AM1422" s="173" t="s">
        <v>1084</v>
      </c>
      <c r="AN1422" s="159"/>
      <c r="AO1422" s="160"/>
      <c r="AP1422" s="161"/>
      <c r="AQ1422" s="160"/>
      <c r="AR1422" s="160"/>
      <c r="AS1422" s="160"/>
      <c r="AT1422" s="160"/>
      <c r="AU1422" s="160"/>
      <c r="AV1422" s="160"/>
      <c r="AW1422" s="160"/>
      <c r="AX1422" s="160"/>
      <c r="AY1422" s="160"/>
      <c r="AZ1422" s="160"/>
      <c r="BA1422" s="160"/>
      <c r="BB1422" s="160"/>
      <c r="BC1422" s="160"/>
      <c r="BD1422" s="160"/>
      <c r="BE1422" s="160"/>
      <c r="BF1422" s="160"/>
      <c r="BG1422" s="160"/>
      <c r="BH1422" s="160"/>
      <c r="BI1422" s="160"/>
      <c r="BJ1422" s="160"/>
      <c r="BK1422" s="160"/>
      <c r="BL1422" s="160"/>
      <c r="BM1422" s="160"/>
      <c r="BN1422" s="160"/>
      <c r="BO1422" s="160"/>
      <c r="BP1422" s="160"/>
      <c r="BQ1422" s="160"/>
      <c r="BR1422" s="160"/>
      <c r="BS1422" s="160"/>
      <c r="BT1422" s="160"/>
      <c r="BU1422" s="160"/>
      <c r="BV1422" s="160"/>
      <c r="BW1422" s="160"/>
      <c r="BX1422" s="160"/>
      <c r="BY1422" s="160"/>
      <c r="BZ1422" s="160"/>
      <c r="CA1422" s="160"/>
      <c r="CB1422" s="160"/>
      <c r="CC1422" s="160"/>
      <c r="CD1422" s="160"/>
      <c r="CE1422" s="160"/>
      <c r="CF1422" s="160"/>
      <c r="CG1422" s="160"/>
      <c r="CH1422" s="160"/>
      <c r="CI1422" s="160"/>
      <c r="CJ1422" s="160"/>
      <c r="CK1422" s="160"/>
      <c r="CL1422" s="160"/>
      <c r="CM1422" s="160"/>
      <c r="CN1422" s="160"/>
      <c r="CO1422" s="160"/>
      <c r="CP1422" s="162"/>
      <c r="CQ1422" s="163"/>
      <c r="CR1422" s="162"/>
      <c r="CS1422" s="163"/>
      <c r="CT1422" s="162"/>
      <c r="CU1422" s="163"/>
      <c r="CV1422" s="164">
        <f t="shared" si="190"/>
        <v>0</v>
      </c>
      <c r="CW1422" s="165"/>
      <c r="CX1422" s="166"/>
      <c r="CY1422" s="167"/>
      <c r="CZ1422" s="168"/>
      <c r="DA1422" s="169"/>
      <c r="DB1422" s="168"/>
      <c r="DC1422" s="165"/>
      <c r="DD1422" s="166"/>
      <c r="DE1422" s="71"/>
      <c r="DF1422" s="170"/>
      <c r="EO1422" s="353" t="str">
        <f t="shared" si="185"/>
        <v>NORTE DE SANTANDER_BOCHALEMA</v>
      </c>
      <c r="EP1422" s="350"/>
      <c r="EQ1422" s="350"/>
      <c r="ER1422" s="357"/>
      <c r="ES1422" s="350"/>
      <c r="ET1422" s="350"/>
      <c r="EU1422" s="350"/>
    </row>
    <row r="1423" spans="1:151" s="171" customFormat="1" ht="38.25" x14ac:dyDescent="0.2">
      <c r="A1423" s="242">
        <v>40481</v>
      </c>
      <c r="B1423" s="107" t="s">
        <v>5778</v>
      </c>
      <c r="C1423" s="222" t="s">
        <v>167</v>
      </c>
      <c r="D1423" s="430" t="s">
        <v>837</v>
      </c>
      <c r="E1423" s="107" t="str">
        <f>VLOOKUP(B1423&amp;C1423,Divipola!$C$2:$F$1138,4,FALSE)</f>
        <v>44090</v>
      </c>
      <c r="F1423" s="333"/>
      <c r="G1423" s="221"/>
      <c r="H1423" s="157"/>
      <c r="I1423" s="157"/>
      <c r="J1423" s="157">
        <f>1174*5</f>
        <v>5870</v>
      </c>
      <c r="K1423" s="183">
        <f>1374-15-178-7</f>
        <v>1174</v>
      </c>
      <c r="L1423" s="157"/>
      <c r="M1423" s="157">
        <v>385</v>
      </c>
      <c r="N1423" s="157"/>
      <c r="O1423" s="157"/>
      <c r="P1423" s="157"/>
      <c r="Q1423" s="157"/>
      <c r="R1423" s="157"/>
      <c r="S1423" s="157"/>
      <c r="T1423" s="157"/>
      <c r="U1423" s="157"/>
      <c r="V1423" s="158"/>
      <c r="W1423" s="182"/>
      <c r="X1423" s="1"/>
      <c r="Y1423" s="78">
        <f t="shared" si="187"/>
        <v>0</v>
      </c>
      <c r="Z1423" s="78">
        <f t="shared" si="188"/>
        <v>0</v>
      </c>
      <c r="AA1423" s="78">
        <f t="shared" si="186"/>
        <v>0</v>
      </c>
      <c r="AB1423" s="78">
        <f t="shared" si="189"/>
        <v>0</v>
      </c>
      <c r="AC1423" s="78"/>
      <c r="AD1423" s="78">
        <v>0</v>
      </c>
      <c r="AE1423" s="80">
        <f t="shared" si="191"/>
        <v>0</v>
      </c>
      <c r="AF1423" s="82">
        <v>0</v>
      </c>
      <c r="AG1423" s="69">
        <v>40482</v>
      </c>
      <c r="AH1423" s="84"/>
      <c r="AI1423" s="69" t="s">
        <v>1984</v>
      </c>
      <c r="AJ1423" s="25" t="s">
        <v>1985</v>
      </c>
      <c r="AK1423" s="65"/>
      <c r="AL1423" s="176" t="s">
        <v>1257</v>
      </c>
      <c r="AM1423" s="173" t="s">
        <v>2177</v>
      </c>
      <c r="AN1423" s="159"/>
      <c r="AO1423" s="160"/>
      <c r="AP1423" s="161"/>
      <c r="AQ1423" s="160"/>
      <c r="AR1423" s="160"/>
      <c r="AS1423" s="160"/>
      <c r="AT1423" s="160"/>
      <c r="AU1423" s="160"/>
      <c r="AV1423" s="160"/>
      <c r="AW1423" s="160"/>
      <c r="AX1423" s="160"/>
      <c r="AY1423" s="160"/>
      <c r="AZ1423" s="160"/>
      <c r="BA1423" s="160"/>
      <c r="BB1423" s="160"/>
      <c r="BC1423" s="160"/>
      <c r="BD1423" s="160"/>
      <c r="BE1423" s="160"/>
      <c r="BF1423" s="160"/>
      <c r="BG1423" s="160"/>
      <c r="BH1423" s="160"/>
      <c r="BI1423" s="160"/>
      <c r="BJ1423" s="160"/>
      <c r="BK1423" s="160"/>
      <c r="BL1423" s="160"/>
      <c r="BM1423" s="160"/>
      <c r="BN1423" s="160"/>
      <c r="BO1423" s="160"/>
      <c r="BP1423" s="160"/>
      <c r="BQ1423" s="160"/>
      <c r="BR1423" s="160"/>
      <c r="BS1423" s="160"/>
      <c r="BT1423" s="160"/>
      <c r="BU1423" s="160"/>
      <c r="BV1423" s="160"/>
      <c r="BW1423" s="160"/>
      <c r="BX1423" s="160"/>
      <c r="BY1423" s="160"/>
      <c r="BZ1423" s="160"/>
      <c r="CA1423" s="160"/>
      <c r="CB1423" s="160"/>
      <c r="CC1423" s="160"/>
      <c r="CD1423" s="160"/>
      <c r="CE1423" s="160"/>
      <c r="CF1423" s="160"/>
      <c r="CG1423" s="160"/>
      <c r="CH1423" s="160"/>
      <c r="CI1423" s="160"/>
      <c r="CJ1423" s="160"/>
      <c r="CK1423" s="160"/>
      <c r="CL1423" s="160"/>
      <c r="CM1423" s="160"/>
      <c r="CN1423" s="160"/>
      <c r="CO1423" s="160"/>
      <c r="CP1423" s="162"/>
      <c r="CQ1423" s="163"/>
      <c r="CR1423" s="162"/>
      <c r="CS1423" s="163"/>
      <c r="CT1423" s="162"/>
      <c r="CU1423" s="163"/>
      <c r="CV1423" s="164">
        <f t="shared" si="190"/>
        <v>0</v>
      </c>
      <c r="CW1423" s="165"/>
      <c r="CX1423" s="166"/>
      <c r="CY1423" s="167"/>
      <c r="CZ1423" s="168"/>
      <c r="DA1423" s="169"/>
      <c r="DB1423" s="168"/>
      <c r="DC1423" s="165"/>
      <c r="DD1423" s="166"/>
      <c r="DE1423" s="71"/>
      <c r="DF1423" s="170"/>
      <c r="EO1423" s="353" t="str">
        <f t="shared" si="185"/>
        <v>LA GUAJIRA_DIBULLA</v>
      </c>
      <c r="EP1423" s="350"/>
      <c r="EQ1423" s="350"/>
      <c r="ER1423" s="357"/>
      <c r="ES1423" s="350"/>
      <c r="ET1423" s="350"/>
      <c r="EU1423" s="350"/>
    </row>
    <row r="1424" spans="1:151" s="171" customFormat="1" ht="38.25" x14ac:dyDescent="0.2">
      <c r="A1424" s="242">
        <v>40481</v>
      </c>
      <c r="B1424" s="107" t="s">
        <v>5778</v>
      </c>
      <c r="C1424" s="222" t="s">
        <v>1060</v>
      </c>
      <c r="D1424" s="430" t="s">
        <v>837</v>
      </c>
      <c r="E1424" s="107" t="str">
        <f>VLOOKUP(B1424&amp;C1424,Divipola!$C$2:$F$1138,4,FALSE)</f>
        <v>44001</v>
      </c>
      <c r="F1424" s="333"/>
      <c r="G1424" s="221"/>
      <c r="H1424" s="157"/>
      <c r="I1424" s="157"/>
      <c r="J1424" s="157">
        <f>751*5</f>
        <v>3755</v>
      </c>
      <c r="K1424" s="157">
        <v>751</v>
      </c>
      <c r="L1424" s="157"/>
      <c r="M1424" s="157"/>
      <c r="N1424" s="157"/>
      <c r="O1424" s="157"/>
      <c r="P1424" s="157"/>
      <c r="Q1424" s="157"/>
      <c r="R1424" s="157"/>
      <c r="S1424" s="157"/>
      <c r="T1424" s="157"/>
      <c r="U1424" s="157"/>
      <c r="V1424" s="158"/>
      <c r="W1424" s="182"/>
      <c r="X1424" s="1"/>
      <c r="Y1424" s="78">
        <f t="shared" si="187"/>
        <v>0</v>
      </c>
      <c r="Z1424" s="78">
        <f t="shared" si="188"/>
        <v>0</v>
      </c>
      <c r="AA1424" s="78">
        <f t="shared" si="186"/>
        <v>0</v>
      </c>
      <c r="AB1424" s="78">
        <f t="shared" si="189"/>
        <v>0</v>
      </c>
      <c r="AC1424" s="78"/>
      <c r="AD1424" s="78">
        <v>0</v>
      </c>
      <c r="AE1424" s="80">
        <f t="shared" si="191"/>
        <v>0</v>
      </c>
      <c r="AF1424" s="82">
        <v>0</v>
      </c>
      <c r="AG1424" s="69">
        <v>40482</v>
      </c>
      <c r="AH1424" s="84"/>
      <c r="AI1424" s="69" t="s">
        <v>1984</v>
      </c>
      <c r="AJ1424" s="25" t="s">
        <v>1985</v>
      </c>
      <c r="AK1424" s="65"/>
      <c r="AL1424" s="176" t="s">
        <v>1257</v>
      </c>
      <c r="AM1424" s="173" t="s">
        <v>1088</v>
      </c>
      <c r="AN1424" s="159"/>
      <c r="AO1424" s="160"/>
      <c r="AP1424" s="161"/>
      <c r="AQ1424" s="160"/>
      <c r="AR1424" s="160"/>
      <c r="AS1424" s="160"/>
      <c r="AT1424" s="160"/>
      <c r="AU1424" s="160"/>
      <c r="AV1424" s="160"/>
      <c r="AW1424" s="160"/>
      <c r="AX1424" s="160"/>
      <c r="AY1424" s="160"/>
      <c r="AZ1424" s="160"/>
      <c r="BA1424" s="160"/>
      <c r="BB1424" s="160"/>
      <c r="BC1424" s="160"/>
      <c r="BD1424" s="160"/>
      <c r="BE1424" s="160"/>
      <c r="BF1424" s="160"/>
      <c r="BG1424" s="160"/>
      <c r="BH1424" s="160"/>
      <c r="BI1424" s="160"/>
      <c r="BJ1424" s="160"/>
      <c r="BK1424" s="160"/>
      <c r="BL1424" s="160"/>
      <c r="BM1424" s="160"/>
      <c r="BN1424" s="160"/>
      <c r="BO1424" s="160"/>
      <c r="BP1424" s="160"/>
      <c r="BQ1424" s="160"/>
      <c r="BR1424" s="160"/>
      <c r="BS1424" s="160"/>
      <c r="BT1424" s="160"/>
      <c r="BU1424" s="160"/>
      <c r="BV1424" s="160"/>
      <c r="BW1424" s="160"/>
      <c r="BX1424" s="160"/>
      <c r="BY1424" s="160"/>
      <c r="BZ1424" s="160"/>
      <c r="CA1424" s="160"/>
      <c r="CB1424" s="160"/>
      <c r="CC1424" s="160"/>
      <c r="CD1424" s="160"/>
      <c r="CE1424" s="160"/>
      <c r="CF1424" s="160"/>
      <c r="CG1424" s="160"/>
      <c r="CH1424" s="160"/>
      <c r="CI1424" s="160"/>
      <c r="CJ1424" s="160"/>
      <c r="CK1424" s="160"/>
      <c r="CL1424" s="160"/>
      <c r="CM1424" s="160"/>
      <c r="CN1424" s="160"/>
      <c r="CO1424" s="160"/>
      <c r="CP1424" s="162"/>
      <c r="CQ1424" s="163"/>
      <c r="CR1424" s="162"/>
      <c r="CS1424" s="163"/>
      <c r="CT1424" s="162"/>
      <c r="CU1424" s="163"/>
      <c r="CV1424" s="164">
        <f t="shared" si="190"/>
        <v>0</v>
      </c>
      <c r="CW1424" s="165"/>
      <c r="CX1424" s="166"/>
      <c r="CY1424" s="167"/>
      <c r="CZ1424" s="168"/>
      <c r="DA1424" s="169"/>
      <c r="DB1424" s="168"/>
      <c r="DC1424" s="165"/>
      <c r="DD1424" s="166"/>
      <c r="DE1424" s="71"/>
      <c r="DF1424" s="170"/>
      <c r="EO1424" s="353" t="str">
        <f t="shared" si="185"/>
        <v>LA GUAJIRA_RIOHACHA</v>
      </c>
      <c r="EP1424" s="350"/>
      <c r="EQ1424" s="350"/>
      <c r="ER1424" s="357"/>
      <c r="ES1424" s="350"/>
      <c r="ET1424" s="350"/>
      <c r="EU1424" s="350"/>
    </row>
    <row r="1425" spans="1:151" s="171" customFormat="1" ht="25.5" x14ac:dyDescent="0.2">
      <c r="A1425" s="242">
        <v>40481</v>
      </c>
      <c r="B1425" s="222" t="s">
        <v>2014</v>
      </c>
      <c r="C1425" s="222" t="s">
        <v>1033</v>
      </c>
      <c r="D1425" s="427" t="s">
        <v>2307</v>
      </c>
      <c r="E1425" s="107" t="str">
        <f>VLOOKUP(B1425&amp;C1425,Divipola!$C$2:$F$1138,4,FALSE)</f>
        <v>63130</v>
      </c>
      <c r="F1425" s="330"/>
      <c r="G1425" s="221"/>
      <c r="H1425" s="157"/>
      <c r="I1425" s="157"/>
      <c r="J1425" s="157">
        <v>5</v>
      </c>
      <c r="K1425" s="157">
        <v>1</v>
      </c>
      <c r="L1425" s="157">
        <v>1</v>
      </c>
      <c r="M1425" s="157"/>
      <c r="N1425" s="157"/>
      <c r="O1425" s="157"/>
      <c r="P1425" s="157"/>
      <c r="Q1425" s="157"/>
      <c r="R1425" s="157"/>
      <c r="S1425" s="157"/>
      <c r="T1425" s="157"/>
      <c r="U1425" s="157"/>
      <c r="V1425" s="158"/>
      <c r="W1425" s="182"/>
      <c r="X1425" s="1"/>
      <c r="Y1425" s="78">
        <f t="shared" si="187"/>
        <v>0</v>
      </c>
      <c r="Z1425" s="78">
        <f t="shared" si="188"/>
        <v>0</v>
      </c>
      <c r="AA1425" s="78">
        <f t="shared" si="186"/>
        <v>0</v>
      </c>
      <c r="AB1425" s="78">
        <f t="shared" si="189"/>
        <v>0</v>
      </c>
      <c r="AC1425" s="78"/>
      <c r="AD1425" s="78">
        <v>0</v>
      </c>
      <c r="AE1425" s="80">
        <f t="shared" si="191"/>
        <v>0</v>
      </c>
      <c r="AF1425" s="82">
        <v>0</v>
      </c>
      <c r="AG1425" s="69">
        <v>40482</v>
      </c>
      <c r="AH1425" s="84"/>
      <c r="AI1425" s="69" t="s">
        <v>1984</v>
      </c>
      <c r="AJ1425" s="25" t="s">
        <v>1985</v>
      </c>
      <c r="AK1425" s="65"/>
      <c r="AL1425" s="176" t="s">
        <v>1257</v>
      </c>
      <c r="AM1425" s="173" t="s">
        <v>1087</v>
      </c>
      <c r="AN1425" s="159"/>
      <c r="AO1425" s="160"/>
      <c r="AP1425" s="161"/>
      <c r="AQ1425" s="160"/>
      <c r="AR1425" s="160"/>
      <c r="AS1425" s="160"/>
      <c r="AT1425" s="160"/>
      <c r="AU1425" s="160"/>
      <c r="AV1425" s="160"/>
      <c r="AW1425" s="160"/>
      <c r="AX1425" s="160"/>
      <c r="AY1425" s="160"/>
      <c r="AZ1425" s="160"/>
      <c r="BA1425" s="160"/>
      <c r="BB1425" s="160"/>
      <c r="BC1425" s="160"/>
      <c r="BD1425" s="160"/>
      <c r="BE1425" s="160"/>
      <c r="BF1425" s="160"/>
      <c r="BG1425" s="160"/>
      <c r="BH1425" s="160"/>
      <c r="BI1425" s="160"/>
      <c r="BJ1425" s="160"/>
      <c r="BK1425" s="160"/>
      <c r="BL1425" s="160"/>
      <c r="BM1425" s="160"/>
      <c r="BN1425" s="160"/>
      <c r="BO1425" s="160"/>
      <c r="BP1425" s="160"/>
      <c r="BQ1425" s="160"/>
      <c r="BR1425" s="160"/>
      <c r="BS1425" s="160"/>
      <c r="BT1425" s="160"/>
      <c r="BU1425" s="160"/>
      <c r="BV1425" s="160"/>
      <c r="BW1425" s="160"/>
      <c r="BX1425" s="160"/>
      <c r="BY1425" s="160"/>
      <c r="BZ1425" s="160"/>
      <c r="CA1425" s="160"/>
      <c r="CB1425" s="160"/>
      <c r="CC1425" s="160"/>
      <c r="CD1425" s="160"/>
      <c r="CE1425" s="160"/>
      <c r="CF1425" s="160"/>
      <c r="CG1425" s="160"/>
      <c r="CH1425" s="160"/>
      <c r="CI1425" s="160"/>
      <c r="CJ1425" s="160"/>
      <c r="CK1425" s="160"/>
      <c r="CL1425" s="160"/>
      <c r="CM1425" s="160"/>
      <c r="CN1425" s="160"/>
      <c r="CO1425" s="160"/>
      <c r="CP1425" s="162"/>
      <c r="CQ1425" s="163"/>
      <c r="CR1425" s="162"/>
      <c r="CS1425" s="163"/>
      <c r="CT1425" s="162"/>
      <c r="CU1425" s="163"/>
      <c r="CV1425" s="164">
        <f t="shared" si="190"/>
        <v>0</v>
      </c>
      <c r="CW1425" s="165"/>
      <c r="CX1425" s="166"/>
      <c r="CY1425" s="167"/>
      <c r="CZ1425" s="168"/>
      <c r="DA1425" s="169"/>
      <c r="DB1425" s="168"/>
      <c r="DC1425" s="165"/>
      <c r="DD1425" s="166"/>
      <c r="DE1425" s="71"/>
      <c r="DF1425" s="170"/>
      <c r="EO1425" s="353" t="str">
        <f t="shared" si="185"/>
        <v>QUINDIO_CALARCA</v>
      </c>
      <c r="EP1425" s="350"/>
      <c r="EQ1425" s="350"/>
      <c r="ER1425" s="357"/>
      <c r="ES1425" s="350"/>
      <c r="ET1425" s="350"/>
      <c r="EU1425" s="350"/>
    </row>
    <row r="1426" spans="1:151" s="171" customFormat="1" ht="38.25" x14ac:dyDescent="0.2">
      <c r="A1426" s="242">
        <v>40481</v>
      </c>
      <c r="B1426" s="222" t="s">
        <v>2427</v>
      </c>
      <c r="C1426" s="222" t="s">
        <v>628</v>
      </c>
      <c r="D1426" s="430" t="s">
        <v>2352</v>
      </c>
      <c r="E1426" s="107" t="str">
        <f>VLOOKUP(B1426&amp;C1426,Divipola!$C$2:$F$1138,4,FALSE)</f>
        <v>68001</v>
      </c>
      <c r="F1426" s="333"/>
      <c r="G1426" s="221">
        <v>1</v>
      </c>
      <c r="H1426" s="157">
        <v>2</v>
      </c>
      <c r="I1426" s="157"/>
      <c r="J1426" s="157"/>
      <c r="K1426" s="157"/>
      <c r="L1426" s="157"/>
      <c r="M1426" s="157"/>
      <c r="N1426" s="157"/>
      <c r="O1426" s="157"/>
      <c r="P1426" s="157"/>
      <c r="Q1426" s="157"/>
      <c r="R1426" s="157"/>
      <c r="S1426" s="157"/>
      <c r="T1426" s="157"/>
      <c r="U1426" s="157"/>
      <c r="V1426" s="158"/>
      <c r="W1426" s="182"/>
      <c r="X1426" s="1"/>
      <c r="Y1426" s="78">
        <f t="shared" si="187"/>
        <v>0</v>
      </c>
      <c r="Z1426" s="78">
        <f t="shared" si="188"/>
        <v>0</v>
      </c>
      <c r="AA1426" s="78">
        <f t="shared" si="186"/>
        <v>0</v>
      </c>
      <c r="AB1426" s="78">
        <f t="shared" si="189"/>
        <v>0</v>
      </c>
      <c r="AC1426" s="78"/>
      <c r="AD1426" s="78">
        <v>0</v>
      </c>
      <c r="AE1426" s="80">
        <f t="shared" si="191"/>
        <v>0</v>
      </c>
      <c r="AF1426" s="82">
        <v>0</v>
      </c>
      <c r="AG1426" s="69">
        <v>40484</v>
      </c>
      <c r="AH1426" s="84"/>
      <c r="AI1426" s="69" t="s">
        <v>1984</v>
      </c>
      <c r="AJ1426" s="25" t="s">
        <v>1985</v>
      </c>
      <c r="AK1426" s="109"/>
      <c r="AL1426" s="176" t="s">
        <v>1257</v>
      </c>
      <c r="AM1426" s="173" t="s">
        <v>2052</v>
      </c>
      <c r="AN1426" s="159"/>
      <c r="AO1426" s="160"/>
      <c r="AP1426" s="161"/>
      <c r="AQ1426" s="160"/>
      <c r="AR1426" s="160"/>
      <c r="AS1426" s="160"/>
      <c r="AT1426" s="160"/>
      <c r="AU1426" s="160"/>
      <c r="AV1426" s="160"/>
      <c r="AW1426" s="160"/>
      <c r="AX1426" s="160"/>
      <c r="AY1426" s="160"/>
      <c r="AZ1426" s="160"/>
      <c r="BA1426" s="160"/>
      <c r="BB1426" s="160"/>
      <c r="BC1426" s="160"/>
      <c r="BD1426" s="160"/>
      <c r="BE1426" s="160"/>
      <c r="BF1426" s="160"/>
      <c r="BG1426" s="160"/>
      <c r="BH1426" s="160"/>
      <c r="BI1426" s="160"/>
      <c r="BJ1426" s="160"/>
      <c r="BK1426" s="160"/>
      <c r="BL1426" s="160"/>
      <c r="BM1426" s="160"/>
      <c r="BN1426" s="160"/>
      <c r="BO1426" s="160"/>
      <c r="BP1426" s="160"/>
      <c r="BQ1426" s="160"/>
      <c r="BR1426" s="160"/>
      <c r="BS1426" s="160"/>
      <c r="BT1426" s="160"/>
      <c r="BU1426" s="160"/>
      <c r="BV1426" s="160"/>
      <c r="BW1426" s="160"/>
      <c r="BX1426" s="160"/>
      <c r="BY1426" s="160"/>
      <c r="BZ1426" s="160"/>
      <c r="CA1426" s="160"/>
      <c r="CB1426" s="160"/>
      <c r="CC1426" s="160"/>
      <c r="CD1426" s="160"/>
      <c r="CE1426" s="160"/>
      <c r="CF1426" s="160"/>
      <c r="CG1426" s="160"/>
      <c r="CH1426" s="160"/>
      <c r="CI1426" s="160"/>
      <c r="CJ1426" s="160"/>
      <c r="CK1426" s="160"/>
      <c r="CL1426" s="160"/>
      <c r="CM1426" s="160"/>
      <c r="CN1426" s="160"/>
      <c r="CO1426" s="160"/>
      <c r="CP1426" s="162"/>
      <c r="CQ1426" s="163"/>
      <c r="CR1426" s="162"/>
      <c r="CS1426" s="163"/>
      <c r="CT1426" s="162"/>
      <c r="CU1426" s="163"/>
      <c r="CV1426" s="164">
        <f t="shared" si="190"/>
        <v>0</v>
      </c>
      <c r="CW1426" s="165"/>
      <c r="CX1426" s="166"/>
      <c r="CY1426" s="167"/>
      <c r="CZ1426" s="168"/>
      <c r="DA1426" s="169"/>
      <c r="DB1426" s="168"/>
      <c r="DC1426" s="165"/>
      <c r="DD1426" s="166"/>
      <c r="DE1426" s="71"/>
      <c r="DF1426" s="170"/>
      <c r="EO1426" s="353" t="str">
        <f t="shared" si="185"/>
        <v>SANTANDER_BUCARAMANGA</v>
      </c>
      <c r="EP1426" s="350"/>
      <c r="EQ1426" s="350"/>
      <c r="ER1426" s="357"/>
      <c r="ES1426" s="350"/>
      <c r="ET1426" s="350"/>
      <c r="EU1426" s="350"/>
    </row>
    <row r="1427" spans="1:151" s="171" customFormat="1" ht="48" x14ac:dyDescent="0.2">
      <c r="A1427" s="242">
        <v>40482</v>
      </c>
      <c r="B1427" s="222" t="s">
        <v>289</v>
      </c>
      <c r="C1427" s="222" t="s">
        <v>2939</v>
      </c>
      <c r="D1427" s="427" t="s">
        <v>2307</v>
      </c>
      <c r="E1427" s="107" t="str">
        <f>VLOOKUP(B1427&amp;C1427,Divipola!$C$2:$F$1138,4,FALSE)</f>
        <v>17050</v>
      </c>
      <c r="F1427" s="330"/>
      <c r="G1427" s="221"/>
      <c r="H1427" s="157"/>
      <c r="I1427" s="157"/>
      <c r="J1427" s="157">
        <f>68*5</f>
        <v>340</v>
      </c>
      <c r="K1427" s="157">
        <v>68</v>
      </c>
      <c r="L1427" s="157"/>
      <c r="M1427" s="157">
        <v>68</v>
      </c>
      <c r="N1427" s="157"/>
      <c r="O1427" s="157"/>
      <c r="P1427" s="157"/>
      <c r="Q1427" s="157">
        <v>1</v>
      </c>
      <c r="R1427" s="157"/>
      <c r="S1427" s="157"/>
      <c r="T1427" s="157"/>
      <c r="U1427" s="157"/>
      <c r="V1427" s="158"/>
      <c r="W1427" s="182"/>
      <c r="X1427" s="1"/>
      <c r="Y1427" s="78">
        <f t="shared" si="187"/>
        <v>0</v>
      </c>
      <c r="Z1427" s="78">
        <f t="shared" si="188"/>
        <v>0</v>
      </c>
      <c r="AA1427" s="78">
        <f t="shared" si="186"/>
        <v>0</v>
      </c>
      <c r="AB1427" s="78">
        <f t="shared" si="189"/>
        <v>0</v>
      </c>
      <c r="AC1427" s="78"/>
      <c r="AD1427" s="78">
        <v>0</v>
      </c>
      <c r="AE1427" s="80">
        <f t="shared" si="191"/>
        <v>0</v>
      </c>
      <c r="AF1427" s="82">
        <v>0</v>
      </c>
      <c r="AG1427" s="69">
        <v>40484</v>
      </c>
      <c r="AH1427" s="84"/>
      <c r="AI1427" s="69" t="s">
        <v>2009</v>
      </c>
      <c r="AJ1427" s="25" t="s">
        <v>2010</v>
      </c>
      <c r="AK1427" s="65"/>
      <c r="AL1427" s="184" t="s">
        <v>3833</v>
      </c>
      <c r="AM1427" s="173" t="s">
        <v>2940</v>
      </c>
      <c r="AN1427" s="159"/>
      <c r="AO1427" s="160"/>
      <c r="AP1427" s="161"/>
      <c r="AQ1427" s="160"/>
      <c r="AR1427" s="160"/>
      <c r="AS1427" s="160"/>
      <c r="AT1427" s="160"/>
      <c r="AU1427" s="160"/>
      <c r="AV1427" s="160"/>
      <c r="AW1427" s="160"/>
      <c r="AX1427" s="160"/>
      <c r="AY1427" s="160"/>
      <c r="AZ1427" s="160"/>
      <c r="BA1427" s="160"/>
      <c r="BB1427" s="160"/>
      <c r="BC1427" s="160"/>
      <c r="BD1427" s="160"/>
      <c r="BE1427" s="160"/>
      <c r="BF1427" s="160"/>
      <c r="BG1427" s="160"/>
      <c r="BH1427" s="160"/>
      <c r="BI1427" s="160"/>
      <c r="BJ1427" s="160"/>
      <c r="BK1427" s="160"/>
      <c r="BL1427" s="160"/>
      <c r="BM1427" s="160"/>
      <c r="BN1427" s="160"/>
      <c r="BO1427" s="160"/>
      <c r="BP1427" s="160"/>
      <c r="BQ1427" s="160"/>
      <c r="BR1427" s="160"/>
      <c r="BS1427" s="160"/>
      <c r="BT1427" s="160"/>
      <c r="BU1427" s="160"/>
      <c r="BV1427" s="160"/>
      <c r="BW1427" s="160"/>
      <c r="BX1427" s="160"/>
      <c r="BY1427" s="160"/>
      <c r="BZ1427" s="160"/>
      <c r="CA1427" s="160"/>
      <c r="CB1427" s="160"/>
      <c r="CC1427" s="160"/>
      <c r="CD1427" s="160"/>
      <c r="CE1427" s="160"/>
      <c r="CF1427" s="160"/>
      <c r="CG1427" s="160"/>
      <c r="CH1427" s="160"/>
      <c r="CI1427" s="160"/>
      <c r="CJ1427" s="160"/>
      <c r="CK1427" s="160"/>
      <c r="CL1427" s="160"/>
      <c r="CM1427" s="160"/>
      <c r="CN1427" s="160"/>
      <c r="CO1427" s="160"/>
      <c r="CP1427" s="162"/>
      <c r="CQ1427" s="163"/>
      <c r="CR1427" s="162"/>
      <c r="CS1427" s="163"/>
      <c r="CT1427" s="162"/>
      <c r="CU1427" s="163"/>
      <c r="CV1427" s="164">
        <f t="shared" si="190"/>
        <v>0</v>
      </c>
      <c r="CW1427" s="165"/>
      <c r="CX1427" s="166"/>
      <c r="CY1427" s="167"/>
      <c r="CZ1427" s="168"/>
      <c r="DA1427" s="169"/>
      <c r="DB1427" s="168"/>
      <c r="DC1427" s="165"/>
      <c r="DD1427" s="166"/>
      <c r="DE1427" s="71"/>
      <c r="DF1427" s="170"/>
      <c r="EO1427" s="353" t="str">
        <f t="shared" si="185"/>
        <v>CALDAS_ARANZAZU</v>
      </c>
      <c r="EP1427" s="350"/>
      <c r="EQ1427" s="350"/>
      <c r="ER1427" s="357"/>
      <c r="ES1427" s="350"/>
      <c r="ET1427" s="350"/>
      <c r="EU1427" s="350"/>
    </row>
    <row r="1428" spans="1:151" s="171" customFormat="1" ht="38.25" x14ac:dyDescent="0.2">
      <c r="A1428" s="242">
        <v>40482</v>
      </c>
      <c r="B1428" s="222" t="s">
        <v>2007</v>
      </c>
      <c r="C1428" s="222" t="s">
        <v>3143</v>
      </c>
      <c r="D1428" s="430" t="s">
        <v>837</v>
      </c>
      <c r="E1428" s="107" t="str">
        <f>VLOOKUP(B1428&amp;C1428,Divipola!$C$2:$F$1138,4,FALSE)</f>
        <v>25402</v>
      </c>
      <c r="F1428" s="333"/>
      <c r="G1428" s="221">
        <v>1</v>
      </c>
      <c r="H1428" s="157"/>
      <c r="I1428" s="157"/>
      <c r="J1428" s="157"/>
      <c r="K1428" s="157"/>
      <c r="L1428" s="157"/>
      <c r="M1428" s="157"/>
      <c r="N1428" s="157"/>
      <c r="O1428" s="157"/>
      <c r="P1428" s="157"/>
      <c r="Q1428" s="157"/>
      <c r="R1428" s="157"/>
      <c r="S1428" s="157"/>
      <c r="T1428" s="157"/>
      <c r="U1428" s="157"/>
      <c r="V1428" s="158"/>
      <c r="W1428" s="182"/>
      <c r="X1428" s="1"/>
      <c r="Y1428" s="78">
        <f t="shared" si="187"/>
        <v>0</v>
      </c>
      <c r="Z1428" s="78">
        <f t="shared" si="188"/>
        <v>0</v>
      </c>
      <c r="AA1428" s="78">
        <f t="shared" si="186"/>
        <v>0</v>
      </c>
      <c r="AB1428" s="78">
        <f t="shared" si="189"/>
        <v>0</v>
      </c>
      <c r="AC1428" s="78"/>
      <c r="AD1428" s="78">
        <v>0</v>
      </c>
      <c r="AE1428" s="80">
        <f t="shared" si="191"/>
        <v>0</v>
      </c>
      <c r="AF1428" s="82">
        <v>0</v>
      </c>
      <c r="AG1428" s="69">
        <v>40487</v>
      </c>
      <c r="AH1428" s="84"/>
      <c r="AI1428" s="69" t="s">
        <v>1984</v>
      </c>
      <c r="AJ1428" s="25" t="s">
        <v>1985</v>
      </c>
      <c r="AK1428" s="65"/>
      <c r="AL1428" s="176" t="s">
        <v>1257</v>
      </c>
      <c r="AM1428" s="173" t="s">
        <v>2159</v>
      </c>
      <c r="AN1428" s="159"/>
      <c r="AO1428" s="160"/>
      <c r="AP1428" s="161"/>
      <c r="AQ1428" s="160"/>
      <c r="AR1428" s="160"/>
      <c r="AS1428" s="160"/>
      <c r="AT1428" s="160"/>
      <c r="AU1428" s="160"/>
      <c r="AV1428" s="160"/>
      <c r="AW1428" s="160"/>
      <c r="AX1428" s="160"/>
      <c r="AY1428" s="160"/>
      <c r="AZ1428" s="160"/>
      <c r="BA1428" s="160"/>
      <c r="BB1428" s="160"/>
      <c r="BC1428" s="160"/>
      <c r="BD1428" s="160"/>
      <c r="BE1428" s="160"/>
      <c r="BF1428" s="160"/>
      <c r="BG1428" s="160"/>
      <c r="BH1428" s="160"/>
      <c r="BI1428" s="160"/>
      <c r="BJ1428" s="160"/>
      <c r="BK1428" s="160"/>
      <c r="BL1428" s="160"/>
      <c r="BM1428" s="160"/>
      <c r="BN1428" s="160"/>
      <c r="BO1428" s="160"/>
      <c r="BP1428" s="160"/>
      <c r="BQ1428" s="160"/>
      <c r="BR1428" s="160"/>
      <c r="BS1428" s="160"/>
      <c r="BT1428" s="160"/>
      <c r="BU1428" s="160"/>
      <c r="BV1428" s="160"/>
      <c r="BW1428" s="160"/>
      <c r="BX1428" s="160"/>
      <c r="BY1428" s="160"/>
      <c r="BZ1428" s="160"/>
      <c r="CA1428" s="160"/>
      <c r="CB1428" s="160"/>
      <c r="CC1428" s="160"/>
      <c r="CD1428" s="160"/>
      <c r="CE1428" s="160"/>
      <c r="CF1428" s="160"/>
      <c r="CG1428" s="160"/>
      <c r="CH1428" s="160"/>
      <c r="CI1428" s="160"/>
      <c r="CJ1428" s="160"/>
      <c r="CK1428" s="160"/>
      <c r="CL1428" s="160"/>
      <c r="CM1428" s="160"/>
      <c r="CN1428" s="160"/>
      <c r="CO1428" s="160"/>
      <c r="CP1428" s="162"/>
      <c r="CQ1428" s="163"/>
      <c r="CR1428" s="162"/>
      <c r="CS1428" s="163"/>
      <c r="CT1428" s="162"/>
      <c r="CU1428" s="163"/>
      <c r="CV1428" s="164">
        <f t="shared" si="190"/>
        <v>0</v>
      </c>
      <c r="CW1428" s="165"/>
      <c r="CX1428" s="166"/>
      <c r="CY1428" s="167"/>
      <c r="CZ1428" s="168"/>
      <c r="DA1428" s="169"/>
      <c r="DB1428" s="168"/>
      <c r="DC1428" s="165"/>
      <c r="DD1428" s="166"/>
      <c r="DE1428" s="71"/>
      <c r="DF1428" s="170"/>
      <c r="EO1428" s="353" t="str">
        <f t="shared" si="185"/>
        <v>CUNDINAMARCA_LA VEGA</v>
      </c>
      <c r="EP1428" s="350"/>
      <c r="EQ1428" s="350"/>
      <c r="ER1428" s="357"/>
      <c r="ES1428" s="350"/>
      <c r="ET1428" s="350"/>
      <c r="EU1428" s="350"/>
    </row>
    <row r="1429" spans="1:151" s="171" customFormat="1" ht="38.25" x14ac:dyDescent="0.2">
      <c r="A1429" s="242">
        <v>40482</v>
      </c>
      <c r="B1429" s="222" t="s">
        <v>2007</v>
      </c>
      <c r="C1429" s="222" t="s">
        <v>2157</v>
      </c>
      <c r="D1429" s="427" t="s">
        <v>2307</v>
      </c>
      <c r="E1429" s="107" t="str">
        <f>VLOOKUP(B1429&amp;C1429,Divipola!$C$2:$F$1138,4,FALSE)</f>
        <v>25718</v>
      </c>
      <c r="F1429" s="330"/>
      <c r="G1429" s="221"/>
      <c r="H1429" s="157"/>
      <c r="I1429" s="157"/>
      <c r="J1429" s="157">
        <v>40</v>
      </c>
      <c r="K1429" s="157">
        <v>10</v>
      </c>
      <c r="L1429" s="157"/>
      <c r="M1429" s="157">
        <v>10</v>
      </c>
      <c r="N1429" s="157"/>
      <c r="O1429" s="157"/>
      <c r="P1429" s="157"/>
      <c r="Q1429" s="157"/>
      <c r="R1429" s="157"/>
      <c r="S1429" s="157"/>
      <c r="T1429" s="157"/>
      <c r="U1429" s="157"/>
      <c r="V1429" s="158"/>
      <c r="W1429" s="182"/>
      <c r="X1429" s="1"/>
      <c r="Y1429" s="78">
        <f t="shared" si="187"/>
        <v>0</v>
      </c>
      <c r="Z1429" s="78">
        <f t="shared" si="188"/>
        <v>0</v>
      </c>
      <c r="AA1429" s="78">
        <f t="shared" si="186"/>
        <v>0</v>
      </c>
      <c r="AB1429" s="78">
        <f t="shared" si="189"/>
        <v>0</v>
      </c>
      <c r="AC1429" s="78"/>
      <c r="AD1429" s="78">
        <v>0</v>
      </c>
      <c r="AE1429" s="80">
        <f t="shared" si="191"/>
        <v>0</v>
      </c>
      <c r="AF1429" s="82">
        <v>0</v>
      </c>
      <c r="AG1429" s="69">
        <v>40487</v>
      </c>
      <c r="AH1429" s="84"/>
      <c r="AI1429" s="69" t="s">
        <v>1984</v>
      </c>
      <c r="AJ1429" s="25" t="s">
        <v>1985</v>
      </c>
      <c r="AK1429" s="65"/>
      <c r="AL1429" s="176" t="s">
        <v>1257</v>
      </c>
      <c r="AM1429" s="173" t="s">
        <v>2158</v>
      </c>
      <c r="AN1429" s="159"/>
      <c r="AO1429" s="160"/>
      <c r="AP1429" s="161"/>
      <c r="AQ1429" s="160"/>
      <c r="AR1429" s="160"/>
      <c r="AS1429" s="160"/>
      <c r="AT1429" s="160"/>
      <c r="AU1429" s="160"/>
      <c r="AV1429" s="160"/>
      <c r="AW1429" s="160"/>
      <c r="AX1429" s="160"/>
      <c r="AY1429" s="160"/>
      <c r="AZ1429" s="160"/>
      <c r="BA1429" s="160"/>
      <c r="BB1429" s="160"/>
      <c r="BC1429" s="160"/>
      <c r="BD1429" s="160"/>
      <c r="BE1429" s="160"/>
      <c r="BF1429" s="160"/>
      <c r="BG1429" s="160"/>
      <c r="BH1429" s="160"/>
      <c r="BI1429" s="160"/>
      <c r="BJ1429" s="160"/>
      <c r="BK1429" s="160"/>
      <c r="BL1429" s="160"/>
      <c r="BM1429" s="160"/>
      <c r="BN1429" s="160"/>
      <c r="BO1429" s="160"/>
      <c r="BP1429" s="160"/>
      <c r="BQ1429" s="160"/>
      <c r="BR1429" s="160"/>
      <c r="BS1429" s="160"/>
      <c r="BT1429" s="160"/>
      <c r="BU1429" s="160"/>
      <c r="BV1429" s="160"/>
      <c r="BW1429" s="160"/>
      <c r="BX1429" s="160"/>
      <c r="BY1429" s="160"/>
      <c r="BZ1429" s="160"/>
      <c r="CA1429" s="160"/>
      <c r="CB1429" s="160"/>
      <c r="CC1429" s="160"/>
      <c r="CD1429" s="160"/>
      <c r="CE1429" s="160"/>
      <c r="CF1429" s="160"/>
      <c r="CG1429" s="160"/>
      <c r="CH1429" s="160"/>
      <c r="CI1429" s="160"/>
      <c r="CJ1429" s="160"/>
      <c r="CK1429" s="160"/>
      <c r="CL1429" s="160"/>
      <c r="CM1429" s="160"/>
      <c r="CN1429" s="160"/>
      <c r="CO1429" s="160"/>
      <c r="CP1429" s="162"/>
      <c r="CQ1429" s="163"/>
      <c r="CR1429" s="162"/>
      <c r="CS1429" s="163"/>
      <c r="CT1429" s="162"/>
      <c r="CU1429" s="163"/>
      <c r="CV1429" s="164">
        <f t="shared" si="190"/>
        <v>0</v>
      </c>
      <c r="CW1429" s="165"/>
      <c r="CX1429" s="166"/>
      <c r="CY1429" s="167"/>
      <c r="CZ1429" s="168"/>
      <c r="DA1429" s="169"/>
      <c r="DB1429" s="168"/>
      <c r="DC1429" s="165"/>
      <c r="DD1429" s="166"/>
      <c r="DE1429" s="71"/>
      <c r="DF1429" s="170"/>
      <c r="EO1429" s="353" t="str">
        <f t="shared" ref="EO1429:EO1492" si="192">B1429&amp;"_"&amp;C1429</f>
        <v>CUNDINAMARCA_SASAIMA</v>
      </c>
      <c r="EP1429" s="350"/>
      <c r="EQ1429" s="350"/>
      <c r="ER1429" s="357"/>
      <c r="ES1429" s="350"/>
      <c r="ET1429" s="350"/>
      <c r="EU1429" s="350"/>
    </row>
    <row r="1430" spans="1:151" s="171" customFormat="1" ht="72" x14ac:dyDescent="0.2">
      <c r="A1430" s="242">
        <v>40482</v>
      </c>
      <c r="B1430" s="222" t="s">
        <v>2007</v>
      </c>
      <c r="C1430" s="222" t="s">
        <v>2740</v>
      </c>
      <c r="D1430" s="427" t="s">
        <v>2307</v>
      </c>
      <c r="E1430" s="107" t="str">
        <f>VLOOKUP(B1430&amp;C1430,Divipola!$C$2:$F$1138,4,FALSE)</f>
        <v>25754</v>
      </c>
      <c r="F1430" s="330"/>
      <c r="G1430" s="221"/>
      <c r="H1430" s="157"/>
      <c r="I1430" s="157"/>
      <c r="J1430" s="157">
        <v>590</v>
      </c>
      <c r="K1430" s="157">
        <v>118</v>
      </c>
      <c r="L1430" s="157">
        <v>12</v>
      </c>
      <c r="M1430" s="157">
        <v>20</v>
      </c>
      <c r="N1430" s="157"/>
      <c r="O1430" s="157"/>
      <c r="P1430" s="157"/>
      <c r="Q1430" s="157"/>
      <c r="R1430" s="157"/>
      <c r="S1430" s="157"/>
      <c r="T1430" s="157"/>
      <c r="U1430" s="157"/>
      <c r="V1430" s="158"/>
      <c r="W1430" s="182"/>
      <c r="X1430" s="1"/>
      <c r="Y1430" s="78">
        <f t="shared" si="187"/>
        <v>0</v>
      </c>
      <c r="Z1430" s="78">
        <f t="shared" si="188"/>
        <v>0</v>
      </c>
      <c r="AA1430" s="78">
        <f t="shared" si="186"/>
        <v>0</v>
      </c>
      <c r="AB1430" s="78">
        <f t="shared" si="189"/>
        <v>0</v>
      </c>
      <c r="AC1430" s="78"/>
      <c r="AD1430" s="78">
        <v>0</v>
      </c>
      <c r="AE1430" s="80">
        <f t="shared" si="191"/>
        <v>0</v>
      </c>
      <c r="AF1430" s="82">
        <v>0</v>
      </c>
      <c r="AG1430" s="69">
        <v>40484</v>
      </c>
      <c r="AH1430" s="84"/>
      <c r="AI1430" s="69" t="s">
        <v>1984</v>
      </c>
      <c r="AJ1430" s="25" t="s">
        <v>1985</v>
      </c>
      <c r="AK1430" s="109"/>
      <c r="AL1430" s="176" t="s">
        <v>1257</v>
      </c>
      <c r="AM1430" s="173" t="s">
        <v>2056</v>
      </c>
      <c r="AN1430" s="159"/>
      <c r="AO1430" s="160"/>
      <c r="AP1430" s="161"/>
      <c r="AQ1430" s="160"/>
      <c r="AR1430" s="160"/>
      <c r="AS1430" s="160"/>
      <c r="AT1430" s="160"/>
      <c r="AU1430" s="160"/>
      <c r="AV1430" s="160"/>
      <c r="AW1430" s="160"/>
      <c r="AX1430" s="160"/>
      <c r="AY1430" s="160"/>
      <c r="AZ1430" s="160"/>
      <c r="BA1430" s="160"/>
      <c r="BB1430" s="160"/>
      <c r="BC1430" s="160"/>
      <c r="BD1430" s="160"/>
      <c r="BE1430" s="160"/>
      <c r="BF1430" s="160"/>
      <c r="BG1430" s="160"/>
      <c r="BH1430" s="160"/>
      <c r="BI1430" s="160"/>
      <c r="BJ1430" s="160"/>
      <c r="BK1430" s="160"/>
      <c r="BL1430" s="160"/>
      <c r="BM1430" s="160"/>
      <c r="BN1430" s="160"/>
      <c r="BO1430" s="160"/>
      <c r="BP1430" s="160"/>
      <c r="BQ1430" s="160"/>
      <c r="BR1430" s="160"/>
      <c r="BS1430" s="160"/>
      <c r="BT1430" s="160"/>
      <c r="BU1430" s="160"/>
      <c r="BV1430" s="160"/>
      <c r="BW1430" s="160"/>
      <c r="BX1430" s="160"/>
      <c r="BY1430" s="160"/>
      <c r="BZ1430" s="160"/>
      <c r="CA1430" s="160"/>
      <c r="CB1430" s="160"/>
      <c r="CC1430" s="160"/>
      <c r="CD1430" s="160"/>
      <c r="CE1430" s="160"/>
      <c r="CF1430" s="160"/>
      <c r="CG1430" s="160"/>
      <c r="CH1430" s="160"/>
      <c r="CI1430" s="160"/>
      <c r="CJ1430" s="160"/>
      <c r="CK1430" s="160"/>
      <c r="CL1430" s="160"/>
      <c r="CM1430" s="160"/>
      <c r="CN1430" s="160"/>
      <c r="CO1430" s="160"/>
      <c r="CP1430" s="162"/>
      <c r="CQ1430" s="163"/>
      <c r="CR1430" s="162"/>
      <c r="CS1430" s="163"/>
      <c r="CT1430" s="162"/>
      <c r="CU1430" s="163"/>
      <c r="CV1430" s="164">
        <f t="shared" si="190"/>
        <v>0</v>
      </c>
      <c r="CW1430" s="165"/>
      <c r="CX1430" s="166"/>
      <c r="CY1430" s="167"/>
      <c r="CZ1430" s="168"/>
      <c r="DA1430" s="169"/>
      <c r="DB1430" s="168"/>
      <c r="DC1430" s="165"/>
      <c r="DD1430" s="166"/>
      <c r="DE1430" s="71"/>
      <c r="DF1430" s="170"/>
      <c r="EO1430" s="353" t="str">
        <f t="shared" si="192"/>
        <v>CUNDINAMARCA_SOACHA</v>
      </c>
      <c r="EP1430" s="350"/>
      <c r="EQ1430" s="350"/>
      <c r="ER1430" s="357"/>
      <c r="ES1430" s="350"/>
      <c r="ET1430" s="350"/>
      <c r="EU1430" s="350"/>
    </row>
    <row r="1431" spans="1:151" s="171" customFormat="1" ht="25.5" x14ac:dyDescent="0.2">
      <c r="A1431" s="242">
        <v>40483</v>
      </c>
      <c r="B1431" s="222" t="s">
        <v>2401</v>
      </c>
      <c r="C1431" s="222" t="s">
        <v>1205</v>
      </c>
      <c r="D1431" s="430" t="s">
        <v>2352</v>
      </c>
      <c r="E1431" s="107" t="str">
        <f>VLOOKUP(B1431&amp;C1431,Divipola!$C$2:$F$1138,4,FALSE)</f>
        <v>05040</v>
      </c>
      <c r="F1431" s="333"/>
      <c r="G1431" s="221"/>
      <c r="H1431" s="157">
        <v>4</v>
      </c>
      <c r="I1431" s="157"/>
      <c r="J1431" s="157"/>
      <c r="K1431" s="157"/>
      <c r="L1431" s="157"/>
      <c r="M1431" s="157"/>
      <c r="N1431" s="157"/>
      <c r="O1431" s="157"/>
      <c r="P1431" s="157"/>
      <c r="Q1431" s="157"/>
      <c r="R1431" s="157"/>
      <c r="S1431" s="157"/>
      <c r="T1431" s="157"/>
      <c r="U1431" s="157"/>
      <c r="V1431" s="158"/>
      <c r="W1431" s="182"/>
      <c r="X1431" s="1"/>
      <c r="Y1431" s="78">
        <f t="shared" si="187"/>
        <v>0</v>
      </c>
      <c r="Z1431" s="78">
        <f t="shared" si="188"/>
        <v>0</v>
      </c>
      <c r="AA1431" s="78">
        <f t="shared" si="186"/>
        <v>0</v>
      </c>
      <c r="AB1431" s="78">
        <f t="shared" si="189"/>
        <v>0</v>
      </c>
      <c r="AC1431" s="78"/>
      <c r="AD1431" s="78">
        <v>0</v>
      </c>
      <c r="AE1431" s="80">
        <f t="shared" si="191"/>
        <v>0</v>
      </c>
      <c r="AF1431" s="82">
        <v>0</v>
      </c>
      <c r="AG1431" s="69">
        <v>40484</v>
      </c>
      <c r="AH1431" s="84"/>
      <c r="AI1431" s="69" t="s">
        <v>1984</v>
      </c>
      <c r="AJ1431" s="25" t="s">
        <v>1985</v>
      </c>
      <c r="AK1431" s="109"/>
      <c r="AL1431" s="176" t="s">
        <v>1257</v>
      </c>
      <c r="AM1431" s="173" t="s">
        <v>2081</v>
      </c>
      <c r="AN1431" s="159"/>
      <c r="AO1431" s="160"/>
      <c r="AP1431" s="161"/>
      <c r="AQ1431" s="160"/>
      <c r="AR1431" s="160"/>
      <c r="AS1431" s="160"/>
      <c r="AT1431" s="160"/>
      <c r="AU1431" s="160"/>
      <c r="AV1431" s="160"/>
      <c r="AW1431" s="160"/>
      <c r="AX1431" s="160"/>
      <c r="AY1431" s="160"/>
      <c r="AZ1431" s="160"/>
      <c r="BA1431" s="160"/>
      <c r="BB1431" s="160"/>
      <c r="BC1431" s="160"/>
      <c r="BD1431" s="160"/>
      <c r="BE1431" s="160"/>
      <c r="BF1431" s="160"/>
      <c r="BG1431" s="160"/>
      <c r="BH1431" s="160"/>
      <c r="BI1431" s="160"/>
      <c r="BJ1431" s="160"/>
      <c r="BK1431" s="160"/>
      <c r="BL1431" s="160"/>
      <c r="BM1431" s="160"/>
      <c r="BN1431" s="160"/>
      <c r="BO1431" s="160"/>
      <c r="BP1431" s="160"/>
      <c r="BQ1431" s="160"/>
      <c r="BR1431" s="160"/>
      <c r="BS1431" s="160"/>
      <c r="BT1431" s="160"/>
      <c r="BU1431" s="160"/>
      <c r="BV1431" s="160"/>
      <c r="BW1431" s="160"/>
      <c r="BX1431" s="160"/>
      <c r="BY1431" s="160"/>
      <c r="BZ1431" s="160"/>
      <c r="CA1431" s="160"/>
      <c r="CB1431" s="160"/>
      <c r="CC1431" s="160"/>
      <c r="CD1431" s="160"/>
      <c r="CE1431" s="160"/>
      <c r="CF1431" s="160"/>
      <c r="CG1431" s="160"/>
      <c r="CH1431" s="160"/>
      <c r="CI1431" s="160"/>
      <c r="CJ1431" s="160"/>
      <c r="CK1431" s="160"/>
      <c r="CL1431" s="160"/>
      <c r="CM1431" s="160"/>
      <c r="CN1431" s="160"/>
      <c r="CO1431" s="160"/>
      <c r="CP1431" s="162"/>
      <c r="CQ1431" s="163"/>
      <c r="CR1431" s="162"/>
      <c r="CS1431" s="163"/>
      <c r="CT1431" s="162"/>
      <c r="CU1431" s="163"/>
      <c r="CV1431" s="164">
        <f t="shared" si="190"/>
        <v>0</v>
      </c>
      <c r="CW1431" s="165"/>
      <c r="CX1431" s="166"/>
      <c r="CY1431" s="167"/>
      <c r="CZ1431" s="168"/>
      <c r="DA1431" s="169"/>
      <c r="DB1431" s="168"/>
      <c r="DC1431" s="165"/>
      <c r="DD1431" s="166"/>
      <c r="DE1431" s="71"/>
      <c r="DF1431" s="170"/>
      <c r="EO1431" s="353" t="str">
        <f t="shared" si="192"/>
        <v>ANTIOQUIA_ANORI</v>
      </c>
      <c r="EP1431" s="350"/>
      <c r="EQ1431" s="350"/>
      <c r="ER1431" s="357"/>
      <c r="ES1431" s="350"/>
      <c r="ET1431" s="350"/>
      <c r="EU1431" s="350"/>
    </row>
    <row r="1432" spans="1:151" s="171" customFormat="1" ht="25.5" x14ac:dyDescent="0.2">
      <c r="A1432" s="246">
        <v>40483</v>
      </c>
      <c r="B1432" s="280" t="s">
        <v>2401</v>
      </c>
      <c r="C1432" s="280" t="s">
        <v>856</v>
      </c>
      <c r="D1432" s="432" t="s">
        <v>837</v>
      </c>
      <c r="E1432" s="107" t="str">
        <f>VLOOKUP(B1432&amp;C1432,Divipola!$C$2:$F$1138,4,FALSE)</f>
        <v>05088</v>
      </c>
      <c r="F1432" s="337"/>
      <c r="G1432" s="221"/>
      <c r="H1432" s="157"/>
      <c r="I1432" s="157"/>
      <c r="J1432" s="157">
        <f>8002-250-400-90-10-1250-735</f>
        <v>5267</v>
      </c>
      <c r="K1432" s="157">
        <f>2559-50-80-18-2-250-147</f>
        <v>2012</v>
      </c>
      <c r="L1432" s="157">
        <f>271-44</f>
        <v>227</v>
      </c>
      <c r="M1432" s="157">
        <f>2133-48-80-18-250-107</f>
        <v>1630</v>
      </c>
      <c r="N1432" s="157"/>
      <c r="O1432" s="157"/>
      <c r="P1432" s="157"/>
      <c r="Q1432" s="157"/>
      <c r="R1432" s="157"/>
      <c r="S1432" s="157"/>
      <c r="T1432" s="157"/>
      <c r="U1432" s="157"/>
      <c r="V1432" s="158"/>
      <c r="W1432" s="182"/>
      <c r="X1432" s="1"/>
      <c r="Y1432" s="78">
        <f t="shared" si="187"/>
        <v>0</v>
      </c>
      <c r="Z1432" s="78">
        <f t="shared" si="188"/>
        <v>0</v>
      </c>
      <c r="AA1432" s="78">
        <f t="shared" si="186"/>
        <v>0</v>
      </c>
      <c r="AB1432" s="78">
        <f t="shared" si="189"/>
        <v>0</v>
      </c>
      <c r="AC1432" s="78"/>
      <c r="AD1432" s="78">
        <v>0</v>
      </c>
      <c r="AE1432" s="80">
        <f t="shared" si="191"/>
        <v>0</v>
      </c>
      <c r="AF1432" s="82">
        <v>0</v>
      </c>
      <c r="AG1432" s="69">
        <v>40484</v>
      </c>
      <c r="AH1432" s="84"/>
      <c r="AI1432" s="69" t="s">
        <v>1984</v>
      </c>
      <c r="AJ1432" s="25" t="s">
        <v>1985</v>
      </c>
      <c r="AK1432" s="109"/>
      <c r="AL1432" s="176" t="s">
        <v>1257</v>
      </c>
      <c r="AM1432" s="173" t="s">
        <v>2083</v>
      </c>
      <c r="AN1432" s="159"/>
      <c r="AO1432" s="160"/>
      <c r="AP1432" s="161"/>
      <c r="AQ1432" s="160"/>
      <c r="AR1432" s="160"/>
      <c r="AS1432" s="160"/>
      <c r="AT1432" s="160"/>
      <c r="AU1432" s="160"/>
      <c r="AV1432" s="160"/>
      <c r="AW1432" s="160"/>
      <c r="AX1432" s="160"/>
      <c r="AY1432" s="160"/>
      <c r="AZ1432" s="160"/>
      <c r="BA1432" s="160"/>
      <c r="BB1432" s="160"/>
      <c r="BC1432" s="160"/>
      <c r="BD1432" s="160"/>
      <c r="BE1432" s="160"/>
      <c r="BF1432" s="160"/>
      <c r="BG1432" s="160"/>
      <c r="BH1432" s="160"/>
      <c r="BI1432" s="160"/>
      <c r="BJ1432" s="160"/>
      <c r="BK1432" s="160"/>
      <c r="BL1432" s="160"/>
      <c r="BM1432" s="160"/>
      <c r="BN1432" s="160"/>
      <c r="BO1432" s="160"/>
      <c r="BP1432" s="160"/>
      <c r="BQ1432" s="160"/>
      <c r="BR1432" s="160"/>
      <c r="BS1432" s="160"/>
      <c r="BT1432" s="160"/>
      <c r="BU1432" s="160"/>
      <c r="BV1432" s="160"/>
      <c r="BW1432" s="160"/>
      <c r="BX1432" s="160"/>
      <c r="BY1432" s="160"/>
      <c r="BZ1432" s="160"/>
      <c r="CA1432" s="160"/>
      <c r="CB1432" s="160"/>
      <c r="CC1432" s="160"/>
      <c r="CD1432" s="160"/>
      <c r="CE1432" s="160"/>
      <c r="CF1432" s="160"/>
      <c r="CG1432" s="160"/>
      <c r="CH1432" s="160"/>
      <c r="CI1432" s="160"/>
      <c r="CJ1432" s="160"/>
      <c r="CK1432" s="160"/>
      <c r="CL1432" s="160"/>
      <c r="CM1432" s="160"/>
      <c r="CN1432" s="160"/>
      <c r="CO1432" s="160"/>
      <c r="CP1432" s="162"/>
      <c r="CQ1432" s="163"/>
      <c r="CR1432" s="162"/>
      <c r="CS1432" s="163"/>
      <c r="CT1432" s="162"/>
      <c r="CU1432" s="163"/>
      <c r="CV1432" s="164">
        <f t="shared" si="190"/>
        <v>0</v>
      </c>
      <c r="CW1432" s="165"/>
      <c r="CX1432" s="166"/>
      <c r="CY1432" s="167"/>
      <c r="CZ1432" s="168"/>
      <c r="DA1432" s="169"/>
      <c r="DB1432" s="168"/>
      <c r="DC1432" s="165"/>
      <c r="DD1432" s="166"/>
      <c r="DE1432" s="71"/>
      <c r="DF1432" s="170"/>
      <c r="EO1432" s="353" t="str">
        <f t="shared" si="192"/>
        <v>ANTIOQUIA_BELLO</v>
      </c>
      <c r="EP1432" s="350"/>
      <c r="EQ1432" s="350"/>
      <c r="ER1432" s="357"/>
      <c r="ES1432" s="350"/>
      <c r="ET1432" s="350"/>
      <c r="EU1432" s="350"/>
    </row>
    <row r="1433" spans="1:151" s="171" customFormat="1" ht="38.25" x14ac:dyDescent="0.2">
      <c r="A1433" s="246">
        <v>40483</v>
      </c>
      <c r="B1433" s="280" t="s">
        <v>2401</v>
      </c>
      <c r="C1433" s="280" t="s">
        <v>2655</v>
      </c>
      <c r="D1433" s="432" t="s">
        <v>837</v>
      </c>
      <c r="E1433" s="107" t="str">
        <f>VLOOKUP(B1433&amp;C1433,Divipola!$C$2:$F$1138,4,FALSE)</f>
        <v>05615</v>
      </c>
      <c r="F1433" s="337"/>
      <c r="G1433" s="221"/>
      <c r="H1433" s="157"/>
      <c r="I1433" s="157"/>
      <c r="J1433" s="157">
        <v>1000</v>
      </c>
      <c r="K1433" s="157">
        <v>200</v>
      </c>
      <c r="L1433" s="157"/>
      <c r="M1433" s="157">
        <v>200</v>
      </c>
      <c r="N1433" s="157"/>
      <c r="O1433" s="157"/>
      <c r="P1433" s="157"/>
      <c r="Q1433" s="157"/>
      <c r="R1433" s="157"/>
      <c r="S1433" s="157"/>
      <c r="T1433" s="157"/>
      <c r="U1433" s="157"/>
      <c r="V1433" s="158"/>
      <c r="W1433" s="182"/>
      <c r="X1433" s="1"/>
      <c r="Y1433" s="78">
        <f t="shared" si="187"/>
        <v>0</v>
      </c>
      <c r="Z1433" s="78">
        <f t="shared" si="188"/>
        <v>0</v>
      </c>
      <c r="AA1433" s="78">
        <f t="shared" si="186"/>
        <v>0</v>
      </c>
      <c r="AB1433" s="78">
        <f t="shared" si="189"/>
        <v>0</v>
      </c>
      <c r="AC1433" s="78"/>
      <c r="AD1433" s="78">
        <v>0</v>
      </c>
      <c r="AE1433" s="80">
        <f t="shared" si="191"/>
        <v>0</v>
      </c>
      <c r="AF1433" s="82">
        <v>0</v>
      </c>
      <c r="AG1433" s="69">
        <v>40484</v>
      </c>
      <c r="AH1433" s="84"/>
      <c r="AI1433" s="69" t="s">
        <v>1984</v>
      </c>
      <c r="AJ1433" s="25" t="s">
        <v>1985</v>
      </c>
      <c r="AK1433" s="109"/>
      <c r="AL1433" s="176" t="s">
        <v>1257</v>
      </c>
      <c r="AM1433" s="173" t="s">
        <v>2082</v>
      </c>
      <c r="AN1433" s="159"/>
      <c r="AO1433" s="160"/>
      <c r="AP1433" s="161"/>
      <c r="AQ1433" s="160"/>
      <c r="AR1433" s="160"/>
      <c r="AS1433" s="160"/>
      <c r="AT1433" s="160"/>
      <c r="AU1433" s="160"/>
      <c r="AV1433" s="160"/>
      <c r="AW1433" s="160"/>
      <c r="AX1433" s="160"/>
      <c r="AY1433" s="160"/>
      <c r="AZ1433" s="160"/>
      <c r="BA1433" s="160"/>
      <c r="BB1433" s="160"/>
      <c r="BC1433" s="160"/>
      <c r="BD1433" s="160"/>
      <c r="BE1433" s="160"/>
      <c r="BF1433" s="160"/>
      <c r="BG1433" s="160"/>
      <c r="BH1433" s="160"/>
      <c r="BI1433" s="160"/>
      <c r="BJ1433" s="160"/>
      <c r="BK1433" s="160"/>
      <c r="BL1433" s="160"/>
      <c r="BM1433" s="160"/>
      <c r="BN1433" s="160"/>
      <c r="BO1433" s="160"/>
      <c r="BP1433" s="160"/>
      <c r="BQ1433" s="160"/>
      <c r="BR1433" s="160"/>
      <c r="BS1433" s="160"/>
      <c r="BT1433" s="160"/>
      <c r="BU1433" s="160"/>
      <c r="BV1433" s="160"/>
      <c r="BW1433" s="160"/>
      <c r="BX1433" s="160"/>
      <c r="BY1433" s="160"/>
      <c r="BZ1433" s="160"/>
      <c r="CA1433" s="160"/>
      <c r="CB1433" s="160"/>
      <c r="CC1433" s="160"/>
      <c r="CD1433" s="160"/>
      <c r="CE1433" s="160"/>
      <c r="CF1433" s="160"/>
      <c r="CG1433" s="160"/>
      <c r="CH1433" s="160"/>
      <c r="CI1433" s="160"/>
      <c r="CJ1433" s="160"/>
      <c r="CK1433" s="160"/>
      <c r="CL1433" s="160"/>
      <c r="CM1433" s="160"/>
      <c r="CN1433" s="160"/>
      <c r="CO1433" s="160"/>
      <c r="CP1433" s="162"/>
      <c r="CQ1433" s="163"/>
      <c r="CR1433" s="162"/>
      <c r="CS1433" s="163"/>
      <c r="CT1433" s="162"/>
      <c r="CU1433" s="163"/>
      <c r="CV1433" s="164">
        <f t="shared" si="190"/>
        <v>0</v>
      </c>
      <c r="CW1433" s="165"/>
      <c r="CX1433" s="166"/>
      <c r="CY1433" s="167"/>
      <c r="CZ1433" s="168"/>
      <c r="DA1433" s="169"/>
      <c r="DB1433" s="168"/>
      <c r="DC1433" s="165"/>
      <c r="DD1433" s="166"/>
      <c r="DE1433" s="71"/>
      <c r="DF1433" s="170"/>
      <c r="EO1433" s="353" t="str">
        <f t="shared" si="192"/>
        <v>ANTIOQUIA_RIONEGRO</v>
      </c>
      <c r="EP1433" s="350"/>
      <c r="EQ1433" s="350"/>
      <c r="ER1433" s="357"/>
      <c r="ES1433" s="350"/>
      <c r="ET1433" s="350"/>
      <c r="EU1433" s="350"/>
    </row>
    <row r="1434" spans="1:151" s="171" customFormat="1" ht="25.5" x14ac:dyDescent="0.2">
      <c r="A1434" s="242">
        <v>40483</v>
      </c>
      <c r="B1434" s="222" t="s">
        <v>828</v>
      </c>
      <c r="C1434" s="222" t="s">
        <v>392</v>
      </c>
      <c r="D1434" s="430" t="s">
        <v>2307</v>
      </c>
      <c r="E1434" s="107" t="str">
        <f>VLOOKUP(B1434&amp;C1434,Divipola!$C$2:$F$1138,4,FALSE)</f>
        <v>15114</v>
      </c>
      <c r="F1434" s="333"/>
      <c r="G1434" s="221"/>
      <c r="H1434" s="157"/>
      <c r="I1434" s="157"/>
      <c r="J1434" s="157">
        <v>205</v>
      </c>
      <c r="K1434" s="157">
        <v>41</v>
      </c>
      <c r="L1434" s="157"/>
      <c r="M1434" s="157"/>
      <c r="N1434" s="157"/>
      <c r="O1434" s="157"/>
      <c r="P1434" s="157"/>
      <c r="Q1434" s="157"/>
      <c r="R1434" s="157"/>
      <c r="S1434" s="157"/>
      <c r="T1434" s="157"/>
      <c r="U1434" s="157"/>
      <c r="V1434" s="158"/>
      <c r="W1434" s="182"/>
      <c r="X1434" s="1"/>
      <c r="Y1434" s="78">
        <f t="shared" si="187"/>
        <v>0</v>
      </c>
      <c r="Z1434" s="78">
        <f t="shared" si="188"/>
        <v>0</v>
      </c>
      <c r="AA1434" s="78">
        <f t="shared" si="186"/>
        <v>0</v>
      </c>
      <c r="AB1434" s="78">
        <f t="shared" si="189"/>
        <v>0</v>
      </c>
      <c r="AC1434" s="78"/>
      <c r="AD1434" s="78">
        <v>0</v>
      </c>
      <c r="AE1434" s="80">
        <f t="shared" si="191"/>
        <v>0</v>
      </c>
      <c r="AF1434" s="82">
        <v>0</v>
      </c>
      <c r="AG1434" s="69">
        <v>40589</v>
      </c>
      <c r="AH1434" s="84"/>
      <c r="AI1434" s="69" t="s">
        <v>1984</v>
      </c>
      <c r="AJ1434" s="25" t="s">
        <v>1985</v>
      </c>
      <c r="AK1434" s="65"/>
      <c r="AL1434" s="176" t="s">
        <v>1257</v>
      </c>
      <c r="AM1434" s="173" t="s">
        <v>391</v>
      </c>
      <c r="AN1434" s="159"/>
      <c r="AO1434" s="160"/>
      <c r="AP1434" s="161"/>
      <c r="AQ1434" s="160"/>
      <c r="AR1434" s="160"/>
      <c r="AS1434" s="160"/>
      <c r="AT1434" s="160"/>
      <c r="AU1434" s="160"/>
      <c r="AV1434" s="160"/>
      <c r="AW1434" s="160"/>
      <c r="AX1434" s="160"/>
      <c r="AY1434" s="160"/>
      <c r="AZ1434" s="160"/>
      <c r="BA1434" s="160"/>
      <c r="BB1434" s="160"/>
      <c r="BC1434" s="160"/>
      <c r="BD1434" s="160"/>
      <c r="BE1434" s="160"/>
      <c r="BF1434" s="160"/>
      <c r="BG1434" s="160"/>
      <c r="BH1434" s="160"/>
      <c r="BI1434" s="160"/>
      <c r="BJ1434" s="160"/>
      <c r="BK1434" s="160"/>
      <c r="BL1434" s="160"/>
      <c r="BM1434" s="160"/>
      <c r="BN1434" s="160"/>
      <c r="BO1434" s="160"/>
      <c r="BP1434" s="160"/>
      <c r="BQ1434" s="160"/>
      <c r="BR1434" s="160"/>
      <c r="BS1434" s="160"/>
      <c r="BT1434" s="160"/>
      <c r="BU1434" s="160"/>
      <c r="BV1434" s="160"/>
      <c r="BW1434" s="160"/>
      <c r="BX1434" s="160"/>
      <c r="BY1434" s="160"/>
      <c r="BZ1434" s="160"/>
      <c r="CA1434" s="160"/>
      <c r="CB1434" s="160"/>
      <c r="CC1434" s="160"/>
      <c r="CD1434" s="160"/>
      <c r="CE1434" s="160"/>
      <c r="CF1434" s="160"/>
      <c r="CG1434" s="160"/>
      <c r="CH1434" s="160"/>
      <c r="CI1434" s="160"/>
      <c r="CJ1434" s="160"/>
      <c r="CK1434" s="160"/>
      <c r="CL1434" s="160"/>
      <c r="CM1434" s="160"/>
      <c r="CN1434" s="160"/>
      <c r="CO1434" s="160"/>
      <c r="CP1434" s="162"/>
      <c r="CQ1434" s="163"/>
      <c r="CR1434" s="162"/>
      <c r="CS1434" s="163"/>
      <c r="CT1434" s="162"/>
      <c r="CU1434" s="163"/>
      <c r="CV1434" s="164">
        <f t="shared" si="190"/>
        <v>0</v>
      </c>
      <c r="CW1434" s="165"/>
      <c r="CX1434" s="166"/>
      <c r="CY1434" s="167"/>
      <c r="CZ1434" s="168"/>
      <c r="DA1434" s="169"/>
      <c r="DB1434" s="168"/>
      <c r="DC1434" s="165"/>
      <c r="DD1434" s="166"/>
      <c r="DE1434" s="71"/>
      <c r="DF1434" s="170"/>
      <c r="EO1434" s="353" t="str">
        <f t="shared" si="192"/>
        <v>BOYACA_BUSBANZA</v>
      </c>
      <c r="EP1434" s="350"/>
      <c r="EQ1434" s="350"/>
      <c r="ER1434" s="357"/>
      <c r="ES1434" s="350"/>
      <c r="ET1434" s="350"/>
      <c r="EU1434" s="350"/>
    </row>
    <row r="1435" spans="1:151" s="171" customFormat="1" ht="25.5" x14ac:dyDescent="0.2">
      <c r="A1435" s="242">
        <v>40483</v>
      </c>
      <c r="B1435" s="222" t="s">
        <v>289</v>
      </c>
      <c r="C1435" s="222" t="s">
        <v>3138</v>
      </c>
      <c r="D1435" s="430" t="s">
        <v>2307</v>
      </c>
      <c r="E1435" s="107" t="str">
        <f>VLOOKUP(B1435&amp;C1435,Divipola!$C$2:$F$1138,4,FALSE)</f>
        <v>17442</v>
      </c>
      <c r="F1435" s="333"/>
      <c r="G1435" s="221">
        <v>1</v>
      </c>
      <c r="H1435" s="157">
        <v>1</v>
      </c>
      <c r="I1435" s="157"/>
      <c r="J1435" s="157">
        <f>191*5</f>
        <v>955</v>
      </c>
      <c r="K1435" s="157">
        <v>191</v>
      </c>
      <c r="L1435" s="157">
        <v>1</v>
      </c>
      <c r="M1435" s="157">
        <v>25</v>
      </c>
      <c r="N1435" s="157"/>
      <c r="O1435" s="157"/>
      <c r="P1435" s="157"/>
      <c r="Q1435" s="157"/>
      <c r="R1435" s="157"/>
      <c r="S1435" s="157"/>
      <c r="T1435" s="157"/>
      <c r="U1435" s="157"/>
      <c r="V1435" s="158"/>
      <c r="W1435" s="182"/>
      <c r="X1435" s="1"/>
      <c r="Y1435" s="78">
        <f t="shared" si="187"/>
        <v>0</v>
      </c>
      <c r="Z1435" s="78">
        <f t="shared" si="188"/>
        <v>0</v>
      </c>
      <c r="AA1435" s="78">
        <f t="shared" si="186"/>
        <v>0</v>
      </c>
      <c r="AB1435" s="78">
        <f t="shared" si="189"/>
        <v>0</v>
      </c>
      <c r="AC1435" s="78"/>
      <c r="AD1435" s="78">
        <v>0</v>
      </c>
      <c r="AE1435" s="80">
        <f t="shared" si="191"/>
        <v>0</v>
      </c>
      <c r="AF1435" s="82">
        <v>0</v>
      </c>
      <c r="AG1435" s="69"/>
      <c r="AH1435" s="84"/>
      <c r="AI1435" s="69" t="s">
        <v>2009</v>
      </c>
      <c r="AJ1435" s="25" t="s">
        <v>2010</v>
      </c>
      <c r="AK1435" s="65"/>
      <c r="AL1435" s="184" t="s">
        <v>3833</v>
      </c>
      <c r="AM1435" s="173"/>
      <c r="AN1435" s="159"/>
      <c r="AO1435" s="160"/>
      <c r="AP1435" s="161"/>
      <c r="AQ1435" s="160"/>
      <c r="AR1435" s="160"/>
      <c r="AS1435" s="160"/>
      <c r="AT1435" s="160"/>
      <c r="AU1435" s="160"/>
      <c r="AV1435" s="160"/>
      <c r="AW1435" s="160"/>
      <c r="AX1435" s="160"/>
      <c r="AY1435" s="160"/>
      <c r="AZ1435" s="160"/>
      <c r="BA1435" s="160"/>
      <c r="BB1435" s="160"/>
      <c r="BC1435" s="160"/>
      <c r="BD1435" s="160"/>
      <c r="BE1435" s="160"/>
      <c r="BF1435" s="160"/>
      <c r="BG1435" s="160"/>
      <c r="BH1435" s="160"/>
      <c r="BI1435" s="160"/>
      <c r="BJ1435" s="160"/>
      <c r="BK1435" s="160"/>
      <c r="BL1435" s="160"/>
      <c r="BM1435" s="160"/>
      <c r="BN1435" s="160"/>
      <c r="BO1435" s="160"/>
      <c r="BP1435" s="160"/>
      <c r="BQ1435" s="160"/>
      <c r="BR1435" s="160"/>
      <c r="BS1435" s="160"/>
      <c r="BT1435" s="160"/>
      <c r="BU1435" s="160"/>
      <c r="BV1435" s="160"/>
      <c r="BW1435" s="160"/>
      <c r="BX1435" s="160"/>
      <c r="BY1435" s="160"/>
      <c r="BZ1435" s="160"/>
      <c r="CA1435" s="160"/>
      <c r="CB1435" s="160"/>
      <c r="CC1435" s="160"/>
      <c r="CD1435" s="160"/>
      <c r="CE1435" s="160"/>
      <c r="CF1435" s="160"/>
      <c r="CG1435" s="160"/>
      <c r="CH1435" s="160"/>
      <c r="CI1435" s="160"/>
      <c r="CJ1435" s="160"/>
      <c r="CK1435" s="160"/>
      <c r="CL1435" s="160"/>
      <c r="CM1435" s="160"/>
      <c r="CN1435" s="160"/>
      <c r="CO1435" s="160"/>
      <c r="CP1435" s="162"/>
      <c r="CQ1435" s="163"/>
      <c r="CR1435" s="162"/>
      <c r="CS1435" s="163"/>
      <c r="CT1435" s="162"/>
      <c r="CU1435" s="163"/>
      <c r="CV1435" s="164">
        <f t="shared" si="190"/>
        <v>0</v>
      </c>
      <c r="CW1435" s="165"/>
      <c r="CX1435" s="166"/>
      <c r="CY1435" s="167"/>
      <c r="CZ1435" s="168"/>
      <c r="DA1435" s="169"/>
      <c r="DB1435" s="168"/>
      <c r="DC1435" s="165"/>
      <c r="DD1435" s="166"/>
      <c r="DE1435" s="71"/>
      <c r="DF1435" s="170"/>
      <c r="EO1435" s="353" t="str">
        <f t="shared" si="192"/>
        <v>CALDAS_MARMATO</v>
      </c>
      <c r="EP1435" s="350"/>
      <c r="EQ1435" s="350"/>
      <c r="ER1435" s="357"/>
      <c r="ES1435" s="350"/>
      <c r="ET1435" s="350"/>
      <c r="EU1435" s="350"/>
    </row>
    <row r="1436" spans="1:151" s="171" customFormat="1" ht="96" x14ac:dyDescent="0.2">
      <c r="A1436" s="242">
        <v>40483</v>
      </c>
      <c r="B1436" s="222" t="s">
        <v>289</v>
      </c>
      <c r="C1436" s="222" t="s">
        <v>2584</v>
      </c>
      <c r="D1436" s="430" t="s">
        <v>2307</v>
      </c>
      <c r="E1436" s="107" t="str">
        <f>VLOOKUP(B1436&amp;C1436,Divipola!$C$2:$F$1138,4,FALSE)</f>
        <v>17653</v>
      </c>
      <c r="F1436" s="333"/>
      <c r="G1436" s="221"/>
      <c r="H1436" s="157"/>
      <c r="I1436" s="157"/>
      <c r="J1436" s="157">
        <f>321*5</f>
        <v>1605</v>
      </c>
      <c r="K1436" s="157">
        <f>336-15</f>
        <v>321</v>
      </c>
      <c r="L1436" s="157"/>
      <c r="M1436" s="157">
        <f>26-15</f>
        <v>11</v>
      </c>
      <c r="N1436" s="157">
        <v>2</v>
      </c>
      <c r="O1436" s="157"/>
      <c r="P1436" s="157"/>
      <c r="Q1436" s="157"/>
      <c r="R1436" s="157"/>
      <c r="S1436" s="157"/>
      <c r="T1436" s="157"/>
      <c r="U1436" s="157"/>
      <c r="V1436" s="158"/>
      <c r="W1436" s="182"/>
      <c r="X1436" s="1"/>
      <c r="Y1436" s="78">
        <f t="shared" si="187"/>
        <v>0</v>
      </c>
      <c r="Z1436" s="78">
        <f t="shared" si="188"/>
        <v>0</v>
      </c>
      <c r="AA1436" s="78">
        <f t="shared" si="186"/>
        <v>0</v>
      </c>
      <c r="AB1436" s="78">
        <f t="shared" si="189"/>
        <v>0</v>
      </c>
      <c r="AC1436" s="78"/>
      <c r="AD1436" s="78">
        <v>75000000</v>
      </c>
      <c r="AE1436" s="80">
        <f t="shared" si="191"/>
        <v>75000000</v>
      </c>
      <c r="AF1436" s="82">
        <v>0</v>
      </c>
      <c r="AG1436" s="69">
        <v>40507</v>
      </c>
      <c r="AH1436" s="84">
        <v>67095</v>
      </c>
      <c r="AI1436" s="69" t="s">
        <v>2009</v>
      </c>
      <c r="AJ1436" s="25" t="s">
        <v>2010</v>
      </c>
      <c r="AK1436" s="65"/>
      <c r="AL1436" s="176" t="s">
        <v>3833</v>
      </c>
      <c r="AM1436" s="173" t="s">
        <v>3811</v>
      </c>
      <c r="AN1436" s="159"/>
      <c r="AO1436" s="160"/>
      <c r="AP1436" s="161"/>
      <c r="AQ1436" s="160"/>
      <c r="AR1436" s="160"/>
      <c r="AS1436" s="160"/>
      <c r="AT1436" s="160"/>
      <c r="AU1436" s="160"/>
      <c r="AV1436" s="160"/>
      <c r="AW1436" s="160"/>
      <c r="AX1436" s="160"/>
      <c r="AY1436" s="160"/>
      <c r="AZ1436" s="160"/>
      <c r="BA1436" s="160"/>
      <c r="BB1436" s="160"/>
      <c r="BC1436" s="160"/>
      <c r="BD1436" s="160"/>
      <c r="BE1436" s="160"/>
      <c r="BF1436" s="160"/>
      <c r="BG1436" s="160"/>
      <c r="BH1436" s="160"/>
      <c r="BI1436" s="160"/>
      <c r="BJ1436" s="160"/>
      <c r="BK1436" s="160"/>
      <c r="BL1436" s="160"/>
      <c r="BM1436" s="160"/>
      <c r="BN1436" s="160"/>
      <c r="BO1436" s="160"/>
      <c r="BP1436" s="160"/>
      <c r="BQ1436" s="160"/>
      <c r="BR1436" s="160"/>
      <c r="BS1436" s="160"/>
      <c r="BT1436" s="160"/>
      <c r="BU1436" s="160"/>
      <c r="BV1436" s="160"/>
      <c r="BW1436" s="160"/>
      <c r="BX1436" s="160"/>
      <c r="BY1436" s="160"/>
      <c r="BZ1436" s="160"/>
      <c r="CA1436" s="160"/>
      <c r="CB1436" s="160"/>
      <c r="CC1436" s="160"/>
      <c r="CD1436" s="160"/>
      <c r="CE1436" s="160"/>
      <c r="CF1436" s="160"/>
      <c r="CG1436" s="160"/>
      <c r="CH1436" s="160"/>
      <c r="CI1436" s="160"/>
      <c r="CJ1436" s="160"/>
      <c r="CK1436" s="160"/>
      <c r="CL1436" s="160"/>
      <c r="CM1436" s="160"/>
      <c r="CN1436" s="160"/>
      <c r="CO1436" s="160"/>
      <c r="CP1436" s="162"/>
      <c r="CQ1436" s="163"/>
      <c r="CR1436" s="162"/>
      <c r="CS1436" s="163"/>
      <c r="CT1436" s="162"/>
      <c r="CU1436" s="163"/>
      <c r="CV1436" s="164">
        <f t="shared" si="190"/>
        <v>0</v>
      </c>
      <c r="CW1436" s="165"/>
      <c r="CX1436" s="166"/>
      <c r="CY1436" s="167"/>
      <c r="CZ1436" s="168"/>
      <c r="DA1436" s="169"/>
      <c r="DB1436" s="168"/>
      <c r="DC1436" s="165"/>
      <c r="DD1436" s="166"/>
      <c r="DE1436" s="89" t="s">
        <v>3810</v>
      </c>
      <c r="DF1436" s="170"/>
      <c r="EO1436" s="353" t="str">
        <f t="shared" si="192"/>
        <v>CALDAS_SALAMINA</v>
      </c>
      <c r="EP1436" s="350"/>
      <c r="EQ1436" s="350"/>
      <c r="ER1436" s="357"/>
      <c r="ES1436" s="350"/>
      <c r="ET1436" s="350"/>
      <c r="EU1436" s="350"/>
    </row>
    <row r="1437" spans="1:151" s="171" customFormat="1" ht="38.25" x14ac:dyDescent="0.2">
      <c r="A1437" s="242">
        <v>40483</v>
      </c>
      <c r="B1437" s="222" t="s">
        <v>1719</v>
      </c>
      <c r="C1437" s="222" t="s">
        <v>3828</v>
      </c>
      <c r="D1437" s="430" t="s">
        <v>837</v>
      </c>
      <c r="E1437" s="107" t="str">
        <f>VLOOKUP(B1437&amp;C1437,Divipola!$C$2:$F$1138,4,FALSE)</f>
        <v>19110</v>
      </c>
      <c r="F1437" s="333"/>
      <c r="G1437" s="221"/>
      <c r="H1437" s="157"/>
      <c r="I1437" s="157"/>
      <c r="J1437" s="157">
        <f>382*4</f>
        <v>1528</v>
      </c>
      <c r="K1437" s="157">
        <v>382</v>
      </c>
      <c r="L1437" s="157"/>
      <c r="M1437" s="157">
        <v>382</v>
      </c>
      <c r="N1437" s="157"/>
      <c r="O1437" s="157"/>
      <c r="P1437" s="157"/>
      <c r="Q1437" s="157"/>
      <c r="R1437" s="157"/>
      <c r="S1437" s="157"/>
      <c r="T1437" s="157"/>
      <c r="U1437" s="157"/>
      <c r="V1437" s="158">
        <v>35</v>
      </c>
      <c r="W1437" s="182" t="s">
        <v>746</v>
      </c>
      <c r="X1437" s="1"/>
      <c r="Y1437" s="78">
        <f t="shared" si="187"/>
        <v>0</v>
      </c>
      <c r="Z1437" s="78">
        <f t="shared" si="188"/>
        <v>0</v>
      </c>
      <c r="AA1437" s="78">
        <f t="shared" si="186"/>
        <v>0</v>
      </c>
      <c r="AB1437" s="78">
        <f t="shared" si="189"/>
        <v>0</v>
      </c>
      <c r="AC1437" s="78"/>
      <c r="AD1437" s="78">
        <v>0</v>
      </c>
      <c r="AE1437" s="80">
        <f t="shared" si="191"/>
        <v>0</v>
      </c>
      <c r="AF1437" s="82">
        <v>0</v>
      </c>
      <c r="AG1437" s="69">
        <v>40484</v>
      </c>
      <c r="AH1437" s="84"/>
      <c r="AI1437" s="69" t="s">
        <v>1984</v>
      </c>
      <c r="AJ1437" s="25" t="s">
        <v>1985</v>
      </c>
      <c r="AK1437" s="109"/>
      <c r="AL1437" s="176" t="s">
        <v>1257</v>
      </c>
      <c r="AM1437" s="173" t="s">
        <v>2079</v>
      </c>
      <c r="AN1437" s="159"/>
      <c r="AO1437" s="160"/>
      <c r="AP1437" s="161"/>
      <c r="AQ1437" s="160"/>
      <c r="AR1437" s="160"/>
      <c r="AS1437" s="160"/>
      <c r="AT1437" s="160"/>
      <c r="AU1437" s="160"/>
      <c r="AV1437" s="160"/>
      <c r="AW1437" s="160"/>
      <c r="AX1437" s="160"/>
      <c r="AY1437" s="160"/>
      <c r="AZ1437" s="160"/>
      <c r="BA1437" s="160"/>
      <c r="BB1437" s="160"/>
      <c r="BC1437" s="160"/>
      <c r="BD1437" s="160"/>
      <c r="BE1437" s="160"/>
      <c r="BF1437" s="160"/>
      <c r="BG1437" s="160"/>
      <c r="BH1437" s="160"/>
      <c r="BI1437" s="160"/>
      <c r="BJ1437" s="160"/>
      <c r="BK1437" s="160"/>
      <c r="BL1437" s="160"/>
      <c r="BM1437" s="160"/>
      <c r="BN1437" s="160"/>
      <c r="BO1437" s="160"/>
      <c r="BP1437" s="160"/>
      <c r="BQ1437" s="160"/>
      <c r="BR1437" s="160"/>
      <c r="BS1437" s="160"/>
      <c r="BT1437" s="160"/>
      <c r="BU1437" s="160"/>
      <c r="BV1437" s="160"/>
      <c r="BW1437" s="160"/>
      <c r="BX1437" s="160"/>
      <c r="BY1437" s="160"/>
      <c r="BZ1437" s="160"/>
      <c r="CA1437" s="160"/>
      <c r="CB1437" s="160"/>
      <c r="CC1437" s="160"/>
      <c r="CD1437" s="160"/>
      <c r="CE1437" s="160"/>
      <c r="CF1437" s="160"/>
      <c r="CG1437" s="160"/>
      <c r="CH1437" s="160"/>
      <c r="CI1437" s="160"/>
      <c r="CJ1437" s="160"/>
      <c r="CK1437" s="160"/>
      <c r="CL1437" s="160"/>
      <c r="CM1437" s="160"/>
      <c r="CN1437" s="160"/>
      <c r="CO1437" s="160"/>
      <c r="CP1437" s="162"/>
      <c r="CQ1437" s="163"/>
      <c r="CR1437" s="162"/>
      <c r="CS1437" s="163"/>
      <c r="CT1437" s="162"/>
      <c r="CU1437" s="163"/>
      <c r="CV1437" s="164">
        <f t="shared" si="190"/>
        <v>0</v>
      </c>
      <c r="CW1437" s="165"/>
      <c r="CX1437" s="166"/>
      <c r="CY1437" s="167"/>
      <c r="CZ1437" s="168"/>
      <c r="DA1437" s="169"/>
      <c r="DB1437" s="168"/>
      <c r="DC1437" s="165"/>
      <c r="DD1437" s="166"/>
      <c r="DE1437" s="71"/>
      <c r="DF1437" s="170"/>
      <c r="EO1437" s="353" t="str">
        <f t="shared" si="192"/>
        <v>CAUCA_BUENOS AIRES</v>
      </c>
      <c r="EP1437" s="350"/>
      <c r="EQ1437" s="350"/>
      <c r="ER1437" s="357"/>
      <c r="ES1437" s="350"/>
      <c r="ET1437" s="350"/>
      <c r="EU1437" s="350"/>
    </row>
    <row r="1438" spans="1:151" s="171" customFormat="1" ht="36" x14ac:dyDescent="0.2">
      <c r="A1438" s="242">
        <v>40483</v>
      </c>
      <c r="B1438" s="222" t="s">
        <v>2242</v>
      </c>
      <c r="C1438" s="222" t="s">
        <v>1105</v>
      </c>
      <c r="D1438" s="430" t="s">
        <v>837</v>
      </c>
      <c r="E1438" s="107" t="str">
        <f>VLOOKUP(B1438&amp;C1438,Divipola!$C$2:$F$1138,4,FALSE)</f>
        <v>20032</v>
      </c>
      <c r="F1438" s="333"/>
      <c r="G1438" s="221"/>
      <c r="H1438" s="157"/>
      <c r="I1438" s="157"/>
      <c r="J1438" s="157">
        <f>578*5</f>
        <v>2890</v>
      </c>
      <c r="K1438" s="157">
        <v>578</v>
      </c>
      <c r="L1438" s="157"/>
      <c r="M1438" s="157">
        <v>578</v>
      </c>
      <c r="N1438" s="157"/>
      <c r="O1438" s="157"/>
      <c r="P1438" s="157"/>
      <c r="Q1438" s="157"/>
      <c r="R1438" s="157"/>
      <c r="S1438" s="157"/>
      <c r="T1438" s="157"/>
      <c r="U1438" s="157"/>
      <c r="V1438" s="158"/>
      <c r="W1438" s="182"/>
      <c r="X1438" s="1"/>
      <c r="Y1438" s="78">
        <f t="shared" si="187"/>
        <v>0</v>
      </c>
      <c r="Z1438" s="78">
        <f t="shared" si="188"/>
        <v>0</v>
      </c>
      <c r="AA1438" s="78">
        <f t="shared" si="186"/>
        <v>0</v>
      </c>
      <c r="AB1438" s="78">
        <f t="shared" si="189"/>
        <v>0</v>
      </c>
      <c r="AC1438" s="78"/>
      <c r="AD1438" s="78">
        <v>0</v>
      </c>
      <c r="AE1438" s="80">
        <f t="shared" si="191"/>
        <v>0</v>
      </c>
      <c r="AF1438" s="82">
        <v>0</v>
      </c>
      <c r="AG1438" s="69">
        <v>40484</v>
      </c>
      <c r="AH1438" s="84"/>
      <c r="AI1438" s="69" t="s">
        <v>1984</v>
      </c>
      <c r="AJ1438" s="25" t="s">
        <v>1985</v>
      </c>
      <c r="AK1438" s="109"/>
      <c r="AL1438" s="176" t="s">
        <v>1257</v>
      </c>
      <c r="AM1438" s="173" t="s">
        <v>2087</v>
      </c>
      <c r="AN1438" s="159"/>
      <c r="AO1438" s="160"/>
      <c r="AP1438" s="161"/>
      <c r="AQ1438" s="160"/>
      <c r="AR1438" s="160"/>
      <c r="AS1438" s="160"/>
      <c r="AT1438" s="160"/>
      <c r="AU1438" s="160"/>
      <c r="AV1438" s="160"/>
      <c r="AW1438" s="160"/>
      <c r="AX1438" s="160"/>
      <c r="AY1438" s="160"/>
      <c r="AZ1438" s="160"/>
      <c r="BA1438" s="160"/>
      <c r="BB1438" s="160"/>
      <c r="BC1438" s="160"/>
      <c r="BD1438" s="160"/>
      <c r="BE1438" s="160"/>
      <c r="BF1438" s="160"/>
      <c r="BG1438" s="160"/>
      <c r="BH1438" s="160"/>
      <c r="BI1438" s="160"/>
      <c r="BJ1438" s="160"/>
      <c r="BK1438" s="160"/>
      <c r="BL1438" s="160"/>
      <c r="BM1438" s="160"/>
      <c r="BN1438" s="160"/>
      <c r="BO1438" s="160"/>
      <c r="BP1438" s="160"/>
      <c r="BQ1438" s="160"/>
      <c r="BR1438" s="160"/>
      <c r="BS1438" s="160"/>
      <c r="BT1438" s="160"/>
      <c r="BU1438" s="160"/>
      <c r="BV1438" s="160"/>
      <c r="BW1438" s="160"/>
      <c r="BX1438" s="160"/>
      <c r="BY1438" s="160"/>
      <c r="BZ1438" s="160"/>
      <c r="CA1438" s="160"/>
      <c r="CB1438" s="160"/>
      <c r="CC1438" s="160"/>
      <c r="CD1438" s="160"/>
      <c r="CE1438" s="160"/>
      <c r="CF1438" s="160"/>
      <c r="CG1438" s="160"/>
      <c r="CH1438" s="160"/>
      <c r="CI1438" s="160"/>
      <c r="CJ1438" s="160"/>
      <c r="CK1438" s="160"/>
      <c r="CL1438" s="160"/>
      <c r="CM1438" s="160"/>
      <c r="CN1438" s="160"/>
      <c r="CO1438" s="160"/>
      <c r="CP1438" s="162"/>
      <c r="CQ1438" s="163"/>
      <c r="CR1438" s="162"/>
      <c r="CS1438" s="163"/>
      <c r="CT1438" s="162"/>
      <c r="CU1438" s="163"/>
      <c r="CV1438" s="164">
        <f t="shared" si="190"/>
        <v>0</v>
      </c>
      <c r="CW1438" s="165"/>
      <c r="CX1438" s="166"/>
      <c r="CY1438" s="167"/>
      <c r="CZ1438" s="168"/>
      <c r="DA1438" s="169"/>
      <c r="DB1438" s="168"/>
      <c r="DC1438" s="165"/>
      <c r="DD1438" s="166"/>
      <c r="DE1438" s="71"/>
      <c r="DF1438" s="170"/>
      <c r="EO1438" s="353" t="str">
        <f t="shared" si="192"/>
        <v>CESAR_ASTREA</v>
      </c>
      <c r="EP1438" s="350"/>
      <c r="EQ1438" s="350"/>
      <c r="ER1438" s="357"/>
      <c r="ES1438" s="350"/>
      <c r="ET1438" s="350"/>
      <c r="EU1438" s="350"/>
    </row>
    <row r="1439" spans="1:151" s="171" customFormat="1" ht="84" x14ac:dyDescent="0.2">
      <c r="A1439" s="242">
        <v>40483</v>
      </c>
      <c r="B1439" s="222" t="s">
        <v>2242</v>
      </c>
      <c r="C1439" s="222" t="s">
        <v>193</v>
      </c>
      <c r="D1439" s="430" t="s">
        <v>837</v>
      </c>
      <c r="E1439" s="107" t="str">
        <f>VLOOKUP(B1439&amp;C1439,Divipola!$C$2:$F$1138,4,FALSE)</f>
        <v>20250</v>
      </c>
      <c r="F1439" s="333"/>
      <c r="G1439" s="221"/>
      <c r="H1439" s="157"/>
      <c r="I1439" s="157"/>
      <c r="J1439" s="157">
        <f>1559*5</f>
        <v>7795</v>
      </c>
      <c r="K1439" s="157">
        <f>1795-236</f>
        <v>1559</v>
      </c>
      <c r="L1439" s="157"/>
      <c r="M1439" s="157">
        <v>1164</v>
      </c>
      <c r="N1439" s="157">
        <v>1</v>
      </c>
      <c r="O1439" s="157"/>
      <c r="P1439" s="157"/>
      <c r="Q1439" s="157"/>
      <c r="R1439" s="157"/>
      <c r="S1439" s="157"/>
      <c r="T1439" s="157"/>
      <c r="U1439" s="157"/>
      <c r="V1439" s="158"/>
      <c r="W1439" s="182"/>
      <c r="X1439" s="1">
        <v>40514</v>
      </c>
      <c r="Y1439" s="78">
        <f t="shared" si="187"/>
        <v>14428000</v>
      </c>
      <c r="Z1439" s="78">
        <f t="shared" si="188"/>
        <v>11560000</v>
      </c>
      <c r="AA1439" s="78">
        <f t="shared" si="186"/>
        <v>0</v>
      </c>
      <c r="AB1439" s="78">
        <f t="shared" si="189"/>
        <v>0</v>
      </c>
      <c r="AC1439" s="78">
        <f>70*25520+30*17400</f>
        <v>2308400</v>
      </c>
      <c r="AD1439" s="78">
        <v>0</v>
      </c>
      <c r="AE1439" s="80">
        <f t="shared" si="191"/>
        <v>28296400</v>
      </c>
      <c r="AF1439" s="82">
        <v>0</v>
      </c>
      <c r="AG1439" s="69">
        <v>40484</v>
      </c>
      <c r="AH1439" s="84">
        <v>58953</v>
      </c>
      <c r="AI1439" s="69" t="s">
        <v>2009</v>
      </c>
      <c r="AJ1439" s="25" t="s">
        <v>2010</v>
      </c>
      <c r="AK1439" s="88" t="s">
        <v>1498</v>
      </c>
      <c r="AL1439" s="185" t="s">
        <v>2182</v>
      </c>
      <c r="AM1439" s="173" t="s">
        <v>1501</v>
      </c>
      <c r="AN1439" s="159"/>
      <c r="AO1439" s="160"/>
      <c r="AP1439" s="161"/>
      <c r="AQ1439" s="160"/>
      <c r="AR1439" s="160"/>
      <c r="AS1439" s="160"/>
      <c r="AT1439" s="160"/>
      <c r="AU1439" s="160"/>
      <c r="AV1439" s="160"/>
      <c r="AW1439" s="160"/>
      <c r="AX1439" s="160"/>
      <c r="AY1439" s="160"/>
      <c r="AZ1439" s="160"/>
      <c r="BA1439" s="160"/>
      <c r="BB1439" s="160"/>
      <c r="BC1439" s="160"/>
      <c r="BD1439" s="160"/>
      <c r="BE1439" s="160"/>
      <c r="BF1439" s="160"/>
      <c r="BG1439" s="160"/>
      <c r="BH1439" s="160"/>
      <c r="BI1439" s="160"/>
      <c r="BJ1439" s="160"/>
      <c r="BK1439" s="160"/>
      <c r="BL1439" s="160"/>
      <c r="BM1439" s="160"/>
      <c r="BN1439" s="160"/>
      <c r="BO1439" s="160"/>
      <c r="BP1439" s="160"/>
      <c r="BQ1439" s="160"/>
      <c r="BR1439" s="160"/>
      <c r="BS1439" s="160"/>
      <c r="BT1439" s="160"/>
      <c r="BU1439" s="160"/>
      <c r="BV1439" s="160"/>
      <c r="BW1439" s="160"/>
      <c r="BX1439" s="160"/>
      <c r="BY1439" s="160"/>
      <c r="BZ1439" s="160"/>
      <c r="CA1439" s="160"/>
      <c r="CB1439" s="160"/>
      <c r="CC1439" s="160"/>
      <c r="CD1439" s="160"/>
      <c r="CE1439" s="160"/>
      <c r="CF1439" s="160"/>
      <c r="CG1439" s="160"/>
      <c r="CH1439" s="160"/>
      <c r="CI1439" s="160"/>
      <c r="CJ1439" s="160"/>
      <c r="CK1439" s="160"/>
      <c r="CL1439" s="160"/>
      <c r="CM1439" s="160"/>
      <c r="CN1439" s="160">
        <v>250</v>
      </c>
      <c r="CO1439" s="160">
        <f>+CN1439*18000</f>
        <v>4500000</v>
      </c>
      <c r="CP1439" s="162">
        <v>136</v>
      </c>
      <c r="CQ1439" s="163">
        <f>136*37000</f>
        <v>5032000</v>
      </c>
      <c r="CR1439" s="162">
        <v>136</v>
      </c>
      <c r="CS1439" s="163">
        <f>136*36000</f>
        <v>4896000</v>
      </c>
      <c r="CT1439" s="162"/>
      <c r="CU1439" s="163"/>
      <c r="CV1439" s="164">
        <f t="shared" si="190"/>
        <v>14428000</v>
      </c>
      <c r="CW1439" s="165"/>
      <c r="CX1439" s="166"/>
      <c r="CY1439" s="167">
        <v>136</v>
      </c>
      <c r="CZ1439" s="168">
        <f>136*85000</f>
        <v>11560000</v>
      </c>
      <c r="DA1439" s="169"/>
      <c r="DB1439" s="168"/>
      <c r="DC1439" s="165"/>
      <c r="DD1439" s="166"/>
      <c r="DE1439" s="71"/>
      <c r="DF1439" s="170"/>
      <c r="EO1439" s="353" t="str">
        <f t="shared" si="192"/>
        <v>CESAR_EL PASO</v>
      </c>
      <c r="EP1439" s="350"/>
      <c r="EQ1439" s="350"/>
      <c r="ER1439" s="357"/>
      <c r="ES1439" s="350"/>
      <c r="ET1439" s="350"/>
      <c r="EU1439" s="350"/>
    </row>
    <row r="1440" spans="1:151" s="171" customFormat="1" ht="51" x14ac:dyDescent="0.2">
      <c r="A1440" s="242">
        <v>40483</v>
      </c>
      <c r="B1440" s="222" t="s">
        <v>2425</v>
      </c>
      <c r="C1440" s="222" t="s">
        <v>4416</v>
      </c>
      <c r="D1440" s="430" t="s">
        <v>837</v>
      </c>
      <c r="E1440" s="107" t="str">
        <f>VLOOKUP(B1440&amp;C1440,Divipola!$C$2:$F$1138,4,FALSE)</f>
        <v>27250</v>
      </c>
      <c r="F1440" s="333"/>
      <c r="G1440" s="221"/>
      <c r="H1440" s="157"/>
      <c r="I1440" s="157"/>
      <c r="J1440" s="157">
        <v>9640</v>
      </c>
      <c r="K1440" s="157">
        <v>2102</v>
      </c>
      <c r="L1440" s="157"/>
      <c r="M1440" s="157">
        <v>465</v>
      </c>
      <c r="N1440" s="157"/>
      <c r="O1440" s="157"/>
      <c r="P1440" s="157"/>
      <c r="Q1440" s="157"/>
      <c r="R1440" s="157"/>
      <c r="S1440" s="157"/>
      <c r="T1440" s="157"/>
      <c r="U1440" s="157"/>
      <c r="V1440" s="158"/>
      <c r="W1440" s="182"/>
      <c r="X1440" s="1">
        <v>40515</v>
      </c>
      <c r="Y1440" s="78">
        <f t="shared" si="187"/>
        <v>7349985</v>
      </c>
      <c r="Z1440" s="78">
        <f t="shared" si="188"/>
        <v>96048259.800000012</v>
      </c>
      <c r="AA1440" s="78">
        <f t="shared" si="186"/>
        <v>0</v>
      </c>
      <c r="AB1440" s="78">
        <f t="shared" si="189"/>
        <v>0</v>
      </c>
      <c r="AC1440" s="78"/>
      <c r="AD1440" s="78">
        <v>0</v>
      </c>
      <c r="AE1440" s="80">
        <f t="shared" si="191"/>
        <v>103398244.80000001</v>
      </c>
      <c r="AF1440" s="82">
        <v>0</v>
      </c>
      <c r="AG1440" s="69">
        <v>40484</v>
      </c>
      <c r="AH1440" s="84">
        <v>62748</v>
      </c>
      <c r="AI1440" s="69" t="s">
        <v>2009</v>
      </c>
      <c r="AJ1440" s="25" t="s">
        <v>2010</v>
      </c>
      <c r="AK1440" s="109">
        <v>26019</v>
      </c>
      <c r="AL1440" s="185" t="s">
        <v>2182</v>
      </c>
      <c r="AM1440" s="173" t="s">
        <v>2080</v>
      </c>
      <c r="AN1440" s="159"/>
      <c r="AO1440" s="160"/>
      <c r="AP1440" s="161"/>
      <c r="AQ1440" s="160"/>
      <c r="AR1440" s="160"/>
      <c r="AS1440" s="160"/>
      <c r="AT1440" s="160"/>
      <c r="AU1440" s="160"/>
      <c r="AV1440" s="160"/>
      <c r="AW1440" s="160"/>
      <c r="AX1440" s="160"/>
      <c r="AY1440" s="160"/>
      <c r="AZ1440" s="160"/>
      <c r="BA1440" s="160"/>
      <c r="BB1440" s="160"/>
      <c r="BC1440" s="160"/>
      <c r="BD1440" s="160"/>
      <c r="BE1440" s="160"/>
      <c r="BF1440" s="160"/>
      <c r="BG1440" s="160"/>
      <c r="BH1440" s="160"/>
      <c r="BI1440" s="160"/>
      <c r="BJ1440" s="160"/>
      <c r="BK1440" s="160"/>
      <c r="BL1440" s="160"/>
      <c r="BM1440" s="160"/>
      <c r="BN1440" s="160"/>
      <c r="BO1440" s="160"/>
      <c r="BP1440" s="160"/>
      <c r="BQ1440" s="160"/>
      <c r="BR1440" s="160"/>
      <c r="BS1440" s="160"/>
      <c r="BT1440" s="160"/>
      <c r="BU1440" s="160"/>
      <c r="BV1440" s="160"/>
      <c r="BW1440" s="160"/>
      <c r="BX1440" s="160"/>
      <c r="BY1440" s="160"/>
      <c r="BZ1440" s="160">
        <v>1500</v>
      </c>
      <c r="CA1440" s="160">
        <f>1500*4899.99</f>
        <v>7349985</v>
      </c>
      <c r="CB1440" s="160"/>
      <c r="CC1440" s="160"/>
      <c r="CD1440" s="160"/>
      <c r="CE1440" s="160"/>
      <c r="CF1440" s="160"/>
      <c r="CG1440" s="160"/>
      <c r="CH1440" s="160"/>
      <c r="CI1440" s="160"/>
      <c r="CJ1440" s="160"/>
      <c r="CK1440" s="160"/>
      <c r="CL1440" s="160"/>
      <c r="CM1440" s="160"/>
      <c r="CN1440" s="160"/>
      <c r="CO1440" s="160"/>
      <c r="CP1440" s="162"/>
      <c r="CQ1440" s="163"/>
      <c r="CR1440" s="162"/>
      <c r="CS1440" s="163"/>
      <c r="CT1440" s="162"/>
      <c r="CU1440" s="163"/>
      <c r="CV1440" s="164">
        <f t="shared" si="190"/>
        <v>7349985</v>
      </c>
      <c r="CW1440" s="165"/>
      <c r="CX1440" s="166"/>
      <c r="CY1440" s="167">
        <v>1130</v>
      </c>
      <c r="CZ1440" s="168">
        <f>1130*84998.46</f>
        <v>96048259.800000012</v>
      </c>
      <c r="DA1440" s="169"/>
      <c r="DB1440" s="168"/>
      <c r="DC1440" s="165"/>
      <c r="DD1440" s="166"/>
      <c r="DE1440" s="71"/>
      <c r="DF1440" s="170"/>
      <c r="EO1440" s="353" t="str">
        <f t="shared" si="192"/>
        <v>CHOCO_EL LITORAL DEL SAN JUAN</v>
      </c>
      <c r="EP1440" s="350"/>
      <c r="EQ1440" s="350"/>
      <c r="ER1440" s="357"/>
      <c r="ES1440" s="350"/>
      <c r="ET1440" s="350"/>
      <c r="EU1440" s="350"/>
    </row>
    <row r="1441" spans="1:151" s="171" customFormat="1" ht="51" x14ac:dyDescent="0.2">
      <c r="A1441" s="242">
        <v>40483</v>
      </c>
      <c r="B1441" s="107" t="s">
        <v>5778</v>
      </c>
      <c r="C1441" s="222" t="s">
        <v>3784</v>
      </c>
      <c r="D1441" s="430" t="s">
        <v>837</v>
      </c>
      <c r="E1441" s="107" t="str">
        <f>VLOOKUP(B1441&amp;C1441,Divipola!$C$2:$F$1138,4,FALSE)</f>
        <v>44098</v>
      </c>
      <c r="F1441" s="333"/>
      <c r="G1441" s="221"/>
      <c r="H1441" s="157"/>
      <c r="I1441" s="157"/>
      <c r="J1441" s="157">
        <f>332*5</f>
        <v>1660</v>
      </c>
      <c r="K1441" s="157">
        <v>332</v>
      </c>
      <c r="L1441" s="157"/>
      <c r="M1441" s="157">
        <v>90</v>
      </c>
      <c r="N1441" s="157"/>
      <c r="O1441" s="157"/>
      <c r="P1441" s="157"/>
      <c r="Q1441" s="157"/>
      <c r="R1441" s="157"/>
      <c r="S1441" s="157"/>
      <c r="T1441" s="157"/>
      <c r="U1441" s="157"/>
      <c r="V1441" s="158"/>
      <c r="W1441" s="182"/>
      <c r="X1441" s="1"/>
      <c r="Y1441" s="78">
        <f t="shared" si="187"/>
        <v>0</v>
      </c>
      <c r="Z1441" s="78">
        <f t="shared" si="188"/>
        <v>0</v>
      </c>
      <c r="AA1441" s="78">
        <f t="shared" si="186"/>
        <v>0</v>
      </c>
      <c r="AB1441" s="78">
        <f t="shared" si="189"/>
        <v>0</v>
      </c>
      <c r="AC1441" s="78"/>
      <c r="AD1441" s="78">
        <v>0</v>
      </c>
      <c r="AE1441" s="80">
        <f t="shared" si="191"/>
        <v>0</v>
      </c>
      <c r="AF1441" s="82">
        <v>0</v>
      </c>
      <c r="AG1441" s="69"/>
      <c r="AH1441" s="84"/>
      <c r="AI1441" s="69" t="s">
        <v>2009</v>
      </c>
      <c r="AJ1441" s="276" t="s">
        <v>2010</v>
      </c>
      <c r="AK1441" s="65"/>
      <c r="AL1441" s="272" t="s">
        <v>311</v>
      </c>
      <c r="AM1441" s="173" t="s">
        <v>1268</v>
      </c>
      <c r="AN1441" s="159"/>
      <c r="AO1441" s="160"/>
      <c r="AP1441" s="161"/>
      <c r="AQ1441" s="160"/>
      <c r="AR1441" s="160"/>
      <c r="AS1441" s="160"/>
      <c r="AT1441" s="160"/>
      <c r="AU1441" s="160"/>
      <c r="AV1441" s="160"/>
      <c r="AW1441" s="160"/>
      <c r="AX1441" s="160"/>
      <c r="AY1441" s="160"/>
      <c r="AZ1441" s="160"/>
      <c r="BA1441" s="160"/>
      <c r="BB1441" s="160"/>
      <c r="BC1441" s="160"/>
      <c r="BD1441" s="160"/>
      <c r="BE1441" s="160"/>
      <c r="BF1441" s="160"/>
      <c r="BG1441" s="160"/>
      <c r="BH1441" s="160"/>
      <c r="BI1441" s="160"/>
      <c r="BJ1441" s="160"/>
      <c r="BK1441" s="160"/>
      <c r="BL1441" s="160"/>
      <c r="BM1441" s="160"/>
      <c r="BN1441" s="160"/>
      <c r="BO1441" s="160"/>
      <c r="BP1441" s="160"/>
      <c r="BQ1441" s="160"/>
      <c r="BR1441" s="160"/>
      <c r="BS1441" s="160"/>
      <c r="BT1441" s="160"/>
      <c r="BU1441" s="160"/>
      <c r="BV1441" s="160"/>
      <c r="BW1441" s="160"/>
      <c r="BX1441" s="160"/>
      <c r="BY1441" s="160"/>
      <c r="BZ1441" s="160"/>
      <c r="CA1441" s="160"/>
      <c r="CB1441" s="160"/>
      <c r="CC1441" s="160"/>
      <c r="CD1441" s="160"/>
      <c r="CE1441" s="160"/>
      <c r="CF1441" s="160"/>
      <c r="CG1441" s="160"/>
      <c r="CH1441" s="160"/>
      <c r="CI1441" s="160"/>
      <c r="CJ1441" s="160"/>
      <c r="CK1441" s="160"/>
      <c r="CL1441" s="160"/>
      <c r="CM1441" s="160"/>
      <c r="CN1441" s="160"/>
      <c r="CO1441" s="160"/>
      <c r="CP1441" s="162"/>
      <c r="CQ1441" s="163"/>
      <c r="CR1441" s="162"/>
      <c r="CS1441" s="163"/>
      <c r="CT1441" s="162"/>
      <c r="CU1441" s="163"/>
      <c r="CV1441" s="164">
        <f t="shared" si="190"/>
        <v>0</v>
      </c>
      <c r="CW1441" s="165"/>
      <c r="CX1441" s="166"/>
      <c r="CY1441" s="167"/>
      <c r="CZ1441" s="168"/>
      <c r="DA1441" s="169"/>
      <c r="DB1441" s="168"/>
      <c r="DC1441" s="165"/>
      <c r="DD1441" s="166"/>
      <c r="DE1441" s="71"/>
      <c r="DF1441" s="170"/>
      <c r="EO1441" s="353" t="str">
        <f t="shared" si="192"/>
        <v>LA GUAJIRA_DISTRACCION</v>
      </c>
      <c r="EP1441" s="350"/>
      <c r="EQ1441" s="350"/>
      <c r="ER1441" s="357"/>
      <c r="ES1441" s="350"/>
      <c r="ET1441" s="350"/>
      <c r="EU1441" s="350"/>
    </row>
    <row r="1442" spans="1:151" s="171" customFormat="1" ht="51" x14ac:dyDescent="0.2">
      <c r="A1442" s="242">
        <v>40483</v>
      </c>
      <c r="B1442" s="222" t="s">
        <v>1836</v>
      </c>
      <c r="C1442" s="222" t="s">
        <v>1867</v>
      </c>
      <c r="D1442" s="430" t="s">
        <v>837</v>
      </c>
      <c r="E1442" s="107" t="str">
        <f>VLOOKUP(B1442&amp;C1442,Divipola!$C$2:$F$1138,4,FALSE)</f>
        <v>47660</v>
      </c>
      <c r="F1442" s="333"/>
      <c r="G1442" s="221"/>
      <c r="H1442" s="157"/>
      <c r="I1442" s="157"/>
      <c r="J1442" s="157">
        <v>1040</v>
      </c>
      <c r="K1442" s="157">
        <v>208</v>
      </c>
      <c r="L1442" s="157"/>
      <c r="M1442" s="157">
        <v>174</v>
      </c>
      <c r="N1442" s="157"/>
      <c r="O1442" s="157"/>
      <c r="P1442" s="157"/>
      <c r="Q1442" s="157"/>
      <c r="R1442" s="157"/>
      <c r="S1442" s="157"/>
      <c r="T1442" s="157"/>
      <c r="U1442" s="157"/>
      <c r="V1442" s="158"/>
      <c r="W1442" s="182"/>
      <c r="X1442" s="1"/>
      <c r="Y1442" s="78">
        <f t="shared" si="187"/>
        <v>940000</v>
      </c>
      <c r="Z1442" s="78">
        <f t="shared" si="188"/>
        <v>17000000</v>
      </c>
      <c r="AA1442" s="78">
        <f t="shared" si="186"/>
        <v>0</v>
      </c>
      <c r="AB1442" s="78">
        <f t="shared" si="189"/>
        <v>0</v>
      </c>
      <c r="AC1442" s="78"/>
      <c r="AD1442" s="78">
        <v>0</v>
      </c>
      <c r="AE1442" s="80">
        <f t="shared" si="191"/>
        <v>17940000</v>
      </c>
      <c r="AF1442" s="82">
        <v>0</v>
      </c>
      <c r="AG1442" s="69">
        <v>40508</v>
      </c>
      <c r="AH1442" s="84"/>
      <c r="AI1442" s="69" t="s">
        <v>2009</v>
      </c>
      <c r="AJ1442" s="25" t="s">
        <v>2010</v>
      </c>
      <c r="AK1442" s="109" t="s">
        <v>1871</v>
      </c>
      <c r="AL1442" s="176"/>
      <c r="AM1442" s="173" t="s">
        <v>1868</v>
      </c>
      <c r="AN1442" s="159"/>
      <c r="AO1442" s="160"/>
      <c r="AP1442" s="161"/>
      <c r="AQ1442" s="160"/>
      <c r="AR1442" s="160"/>
      <c r="AS1442" s="160"/>
      <c r="AT1442" s="160"/>
      <c r="AU1442" s="160"/>
      <c r="AV1442" s="160"/>
      <c r="AW1442" s="160"/>
      <c r="AX1442" s="160"/>
      <c r="AY1442" s="160"/>
      <c r="AZ1442" s="160"/>
      <c r="BA1442" s="160"/>
      <c r="BB1442" s="160"/>
      <c r="BC1442" s="160"/>
      <c r="BD1442" s="160"/>
      <c r="BE1442" s="160"/>
      <c r="BF1442" s="160"/>
      <c r="BG1442" s="160"/>
      <c r="BH1442" s="160"/>
      <c r="BI1442" s="160"/>
      <c r="BJ1442" s="160"/>
      <c r="BK1442" s="160"/>
      <c r="BL1442" s="160"/>
      <c r="BM1442" s="160"/>
      <c r="BN1442" s="160"/>
      <c r="BO1442" s="160"/>
      <c r="BP1442" s="160"/>
      <c r="BQ1442" s="160"/>
      <c r="BR1442" s="160"/>
      <c r="BS1442" s="160"/>
      <c r="BT1442" s="160"/>
      <c r="BU1442" s="160"/>
      <c r="BV1442" s="160"/>
      <c r="BW1442" s="160"/>
      <c r="BX1442" s="160"/>
      <c r="BY1442" s="160"/>
      <c r="BZ1442" s="160">
        <v>2</v>
      </c>
      <c r="CA1442" s="160">
        <f>2*470000</f>
        <v>940000</v>
      </c>
      <c r="CB1442" s="160"/>
      <c r="CC1442" s="160"/>
      <c r="CD1442" s="160"/>
      <c r="CE1442" s="160"/>
      <c r="CF1442" s="160"/>
      <c r="CG1442" s="160"/>
      <c r="CH1442" s="160"/>
      <c r="CI1442" s="160"/>
      <c r="CJ1442" s="160"/>
      <c r="CK1442" s="160"/>
      <c r="CL1442" s="160"/>
      <c r="CM1442" s="160"/>
      <c r="CN1442" s="160"/>
      <c r="CO1442" s="160"/>
      <c r="CP1442" s="162"/>
      <c r="CQ1442" s="163"/>
      <c r="CR1442" s="162"/>
      <c r="CS1442" s="163"/>
      <c r="CT1442" s="162"/>
      <c r="CU1442" s="163"/>
      <c r="CV1442" s="164">
        <f t="shared" si="190"/>
        <v>940000</v>
      </c>
      <c r="CW1442" s="165"/>
      <c r="CX1442" s="166"/>
      <c r="CY1442" s="167">
        <v>200</v>
      </c>
      <c r="CZ1442" s="168">
        <f>200*85000</f>
        <v>17000000</v>
      </c>
      <c r="DA1442" s="169"/>
      <c r="DB1442" s="168"/>
      <c r="DC1442" s="165"/>
      <c r="DD1442" s="166"/>
      <c r="DE1442" s="71"/>
      <c r="DF1442" s="170"/>
      <c r="EO1442" s="353" t="str">
        <f t="shared" si="192"/>
        <v>MAGDALENA_SABANAS DE SAN ANGEL</v>
      </c>
      <c r="EP1442" s="350"/>
      <c r="EQ1442" s="350"/>
      <c r="ER1442" s="357"/>
      <c r="ES1442" s="350"/>
      <c r="ET1442" s="350"/>
      <c r="EU1442" s="350"/>
    </row>
    <row r="1443" spans="1:151" s="171" customFormat="1" ht="51" x14ac:dyDescent="0.2">
      <c r="A1443" s="242">
        <v>40483</v>
      </c>
      <c r="B1443" s="222" t="s">
        <v>1336</v>
      </c>
      <c r="C1443" s="222" t="s">
        <v>3786</v>
      </c>
      <c r="D1443" s="430" t="s">
        <v>837</v>
      </c>
      <c r="E1443" s="107" t="str">
        <f>VLOOKUP(B1443&amp;C1443,Divipola!$C$2:$F$1138,4,FALSE)</f>
        <v>54051</v>
      </c>
      <c r="F1443" s="333"/>
      <c r="G1443" s="221"/>
      <c r="H1443" s="157"/>
      <c r="I1443" s="157"/>
      <c r="J1443" s="157">
        <v>2212</v>
      </c>
      <c r="K1443" s="157">
        <v>316</v>
      </c>
      <c r="L1443" s="157">
        <v>10</v>
      </c>
      <c r="M1443" s="157">
        <v>256</v>
      </c>
      <c r="N1443" s="157"/>
      <c r="O1443" s="157"/>
      <c r="P1443" s="157"/>
      <c r="Q1443" s="157"/>
      <c r="R1443" s="157"/>
      <c r="S1443" s="157"/>
      <c r="T1443" s="157"/>
      <c r="U1443" s="157"/>
      <c r="V1443" s="158"/>
      <c r="W1443" s="182"/>
      <c r="X1443" s="1"/>
      <c r="Y1443" s="78">
        <f t="shared" si="187"/>
        <v>0</v>
      </c>
      <c r="Z1443" s="78">
        <f t="shared" si="188"/>
        <v>0</v>
      </c>
      <c r="AA1443" s="78">
        <f t="shared" si="186"/>
        <v>0</v>
      </c>
      <c r="AB1443" s="78">
        <f t="shared" si="189"/>
        <v>0</v>
      </c>
      <c r="AC1443" s="78"/>
      <c r="AD1443" s="78">
        <v>0</v>
      </c>
      <c r="AE1443" s="80">
        <f t="shared" si="191"/>
        <v>0</v>
      </c>
      <c r="AF1443" s="82">
        <v>0</v>
      </c>
      <c r="AG1443" s="69">
        <v>40529</v>
      </c>
      <c r="AH1443" s="84"/>
      <c r="AI1443" s="69" t="s">
        <v>2009</v>
      </c>
      <c r="AJ1443" s="276" t="s">
        <v>2010</v>
      </c>
      <c r="AK1443" s="65"/>
      <c r="AL1443" s="272" t="s">
        <v>311</v>
      </c>
      <c r="AM1443" s="173"/>
      <c r="AN1443" s="159"/>
      <c r="AO1443" s="160"/>
      <c r="AP1443" s="161"/>
      <c r="AQ1443" s="160"/>
      <c r="AR1443" s="160"/>
      <c r="AS1443" s="160"/>
      <c r="AT1443" s="160"/>
      <c r="AU1443" s="160"/>
      <c r="AV1443" s="160"/>
      <c r="AW1443" s="160"/>
      <c r="AX1443" s="160"/>
      <c r="AY1443" s="160"/>
      <c r="AZ1443" s="160"/>
      <c r="BA1443" s="160"/>
      <c r="BB1443" s="160"/>
      <c r="BC1443" s="160"/>
      <c r="BD1443" s="160"/>
      <c r="BE1443" s="160"/>
      <c r="BF1443" s="160"/>
      <c r="BG1443" s="160"/>
      <c r="BH1443" s="160"/>
      <c r="BI1443" s="160"/>
      <c r="BJ1443" s="160"/>
      <c r="BK1443" s="160"/>
      <c r="BL1443" s="160"/>
      <c r="BM1443" s="160"/>
      <c r="BN1443" s="160"/>
      <c r="BO1443" s="160"/>
      <c r="BP1443" s="160"/>
      <c r="BQ1443" s="160"/>
      <c r="BR1443" s="160"/>
      <c r="BS1443" s="160"/>
      <c r="BT1443" s="160"/>
      <c r="BU1443" s="160"/>
      <c r="BV1443" s="160"/>
      <c r="BW1443" s="160"/>
      <c r="BX1443" s="160"/>
      <c r="BY1443" s="160"/>
      <c r="BZ1443" s="160"/>
      <c r="CA1443" s="160"/>
      <c r="CB1443" s="160"/>
      <c r="CC1443" s="160"/>
      <c r="CD1443" s="160"/>
      <c r="CE1443" s="160"/>
      <c r="CF1443" s="160"/>
      <c r="CG1443" s="160"/>
      <c r="CH1443" s="160"/>
      <c r="CI1443" s="160"/>
      <c r="CJ1443" s="160"/>
      <c r="CK1443" s="160"/>
      <c r="CL1443" s="160"/>
      <c r="CM1443" s="160"/>
      <c r="CN1443" s="160"/>
      <c r="CO1443" s="160"/>
      <c r="CP1443" s="162"/>
      <c r="CQ1443" s="163"/>
      <c r="CR1443" s="162"/>
      <c r="CS1443" s="163"/>
      <c r="CT1443" s="162"/>
      <c r="CU1443" s="163"/>
      <c r="CV1443" s="164">
        <f t="shared" si="190"/>
        <v>0</v>
      </c>
      <c r="CW1443" s="165"/>
      <c r="CX1443" s="166"/>
      <c r="CY1443" s="167"/>
      <c r="CZ1443" s="168"/>
      <c r="DA1443" s="169"/>
      <c r="DB1443" s="168"/>
      <c r="DC1443" s="165"/>
      <c r="DD1443" s="166"/>
      <c r="DE1443" s="71"/>
      <c r="DF1443" s="170"/>
      <c r="EO1443" s="353" t="str">
        <f t="shared" si="192"/>
        <v>NORTE DE SANTANDER_ARBOLEDAS</v>
      </c>
      <c r="EP1443" s="350"/>
      <c r="EQ1443" s="350"/>
      <c r="ER1443" s="357"/>
      <c r="ES1443" s="350"/>
      <c r="ET1443" s="350"/>
      <c r="EU1443" s="350"/>
    </row>
    <row r="1444" spans="1:151" s="171" customFormat="1" ht="51" x14ac:dyDescent="0.2">
      <c r="A1444" s="242">
        <v>40483</v>
      </c>
      <c r="B1444" s="222" t="s">
        <v>1336</v>
      </c>
      <c r="C1444" s="222" t="s">
        <v>1075</v>
      </c>
      <c r="D1444" s="430" t="s">
        <v>837</v>
      </c>
      <c r="E1444" s="107" t="str">
        <f>VLOOKUP(B1444&amp;C1444,Divipola!$C$2:$F$1138,4,FALSE)</f>
        <v>54398</v>
      </c>
      <c r="F1444" s="333"/>
      <c r="G1444" s="221"/>
      <c r="H1444" s="157"/>
      <c r="I1444" s="157"/>
      <c r="J1444" s="157">
        <v>2607</v>
      </c>
      <c r="K1444" s="157">
        <v>689</v>
      </c>
      <c r="L1444" s="157">
        <v>2</v>
      </c>
      <c r="M1444" s="157">
        <v>2</v>
      </c>
      <c r="N1444" s="157"/>
      <c r="O1444" s="157"/>
      <c r="P1444" s="157"/>
      <c r="Q1444" s="157"/>
      <c r="R1444" s="157"/>
      <c r="S1444" s="157"/>
      <c r="T1444" s="157"/>
      <c r="U1444" s="157"/>
      <c r="V1444" s="158"/>
      <c r="W1444" s="182"/>
      <c r="X1444" s="1"/>
      <c r="Y1444" s="78">
        <f t="shared" si="187"/>
        <v>0</v>
      </c>
      <c r="Z1444" s="78">
        <f t="shared" si="188"/>
        <v>0</v>
      </c>
      <c r="AA1444" s="78">
        <f t="shared" si="186"/>
        <v>0</v>
      </c>
      <c r="AB1444" s="78">
        <f t="shared" si="189"/>
        <v>0</v>
      </c>
      <c r="AC1444" s="78"/>
      <c r="AD1444" s="78">
        <v>0</v>
      </c>
      <c r="AE1444" s="80">
        <f t="shared" si="191"/>
        <v>0</v>
      </c>
      <c r="AF1444" s="82">
        <v>0</v>
      </c>
      <c r="AG1444" s="69">
        <v>40529</v>
      </c>
      <c r="AH1444" s="84"/>
      <c r="AI1444" s="69" t="s">
        <v>2009</v>
      </c>
      <c r="AJ1444" s="276" t="s">
        <v>2010</v>
      </c>
      <c r="AK1444" s="65"/>
      <c r="AL1444" s="272" t="s">
        <v>311</v>
      </c>
      <c r="AM1444" s="173"/>
      <c r="AN1444" s="159"/>
      <c r="AO1444" s="160"/>
      <c r="AP1444" s="161"/>
      <c r="AQ1444" s="160"/>
      <c r="AR1444" s="160"/>
      <c r="AS1444" s="160"/>
      <c r="AT1444" s="160"/>
      <c r="AU1444" s="160"/>
      <c r="AV1444" s="160"/>
      <c r="AW1444" s="160"/>
      <c r="AX1444" s="160"/>
      <c r="AY1444" s="160"/>
      <c r="AZ1444" s="160"/>
      <c r="BA1444" s="160"/>
      <c r="BB1444" s="160"/>
      <c r="BC1444" s="160"/>
      <c r="BD1444" s="160"/>
      <c r="BE1444" s="160"/>
      <c r="BF1444" s="160"/>
      <c r="BG1444" s="160"/>
      <c r="BH1444" s="160"/>
      <c r="BI1444" s="160"/>
      <c r="BJ1444" s="160"/>
      <c r="BK1444" s="160"/>
      <c r="BL1444" s="160"/>
      <c r="BM1444" s="160"/>
      <c r="BN1444" s="160"/>
      <c r="BO1444" s="160"/>
      <c r="BP1444" s="160"/>
      <c r="BQ1444" s="160"/>
      <c r="BR1444" s="160"/>
      <c r="BS1444" s="160"/>
      <c r="BT1444" s="160"/>
      <c r="BU1444" s="160"/>
      <c r="BV1444" s="160"/>
      <c r="BW1444" s="160"/>
      <c r="BX1444" s="160"/>
      <c r="BY1444" s="160"/>
      <c r="BZ1444" s="160"/>
      <c r="CA1444" s="160"/>
      <c r="CB1444" s="160"/>
      <c r="CC1444" s="160"/>
      <c r="CD1444" s="160"/>
      <c r="CE1444" s="160"/>
      <c r="CF1444" s="160"/>
      <c r="CG1444" s="160"/>
      <c r="CH1444" s="160"/>
      <c r="CI1444" s="160"/>
      <c r="CJ1444" s="160"/>
      <c r="CK1444" s="160"/>
      <c r="CL1444" s="160"/>
      <c r="CM1444" s="160"/>
      <c r="CN1444" s="160"/>
      <c r="CO1444" s="160"/>
      <c r="CP1444" s="162"/>
      <c r="CQ1444" s="163"/>
      <c r="CR1444" s="162"/>
      <c r="CS1444" s="163"/>
      <c r="CT1444" s="162"/>
      <c r="CU1444" s="163"/>
      <c r="CV1444" s="164">
        <f t="shared" si="190"/>
        <v>0</v>
      </c>
      <c r="CW1444" s="165"/>
      <c r="CX1444" s="166"/>
      <c r="CY1444" s="167"/>
      <c r="CZ1444" s="168"/>
      <c r="DA1444" s="169"/>
      <c r="DB1444" s="168"/>
      <c r="DC1444" s="165"/>
      <c r="DD1444" s="166"/>
      <c r="DE1444" s="71"/>
      <c r="DF1444" s="170"/>
      <c r="EO1444" s="353" t="str">
        <f t="shared" si="192"/>
        <v>NORTE DE SANTANDER_LA PLAYA</v>
      </c>
      <c r="EP1444" s="350"/>
      <c r="EQ1444" s="350"/>
      <c r="ER1444" s="357"/>
      <c r="ES1444" s="350"/>
      <c r="ET1444" s="350"/>
      <c r="EU1444" s="350"/>
    </row>
    <row r="1445" spans="1:151" s="171" customFormat="1" ht="51" x14ac:dyDescent="0.2">
      <c r="A1445" s="242">
        <v>40483</v>
      </c>
      <c r="B1445" s="222" t="s">
        <v>1336</v>
      </c>
      <c r="C1445" s="222" t="s">
        <v>1076</v>
      </c>
      <c r="D1445" s="430" t="s">
        <v>837</v>
      </c>
      <c r="E1445" s="107" t="str">
        <f>VLOOKUP(B1445&amp;C1445,Divipola!$C$2:$F$1138,4,FALSE)</f>
        <v>54418</v>
      </c>
      <c r="F1445" s="333"/>
      <c r="G1445" s="221"/>
      <c r="H1445" s="157"/>
      <c r="I1445" s="157"/>
      <c r="J1445" s="157">
        <v>1214</v>
      </c>
      <c r="K1445" s="157">
        <v>265</v>
      </c>
      <c r="L1445" s="157">
        <v>1</v>
      </c>
      <c r="M1445" s="157">
        <v>20</v>
      </c>
      <c r="N1445" s="157"/>
      <c r="O1445" s="157"/>
      <c r="P1445" s="157"/>
      <c r="Q1445" s="157"/>
      <c r="R1445" s="157"/>
      <c r="S1445" s="157"/>
      <c r="T1445" s="157"/>
      <c r="U1445" s="157"/>
      <c r="V1445" s="158"/>
      <c r="W1445" s="182"/>
      <c r="X1445" s="1"/>
      <c r="Y1445" s="78">
        <f t="shared" si="187"/>
        <v>62010000</v>
      </c>
      <c r="Z1445" s="78">
        <f t="shared" si="188"/>
        <v>25500000</v>
      </c>
      <c r="AA1445" s="78">
        <f t="shared" si="186"/>
        <v>0</v>
      </c>
      <c r="AB1445" s="78">
        <f t="shared" si="189"/>
        <v>0</v>
      </c>
      <c r="AC1445" s="78">
        <f>500*18000</f>
        <v>9000000</v>
      </c>
      <c r="AD1445" s="78">
        <v>0</v>
      </c>
      <c r="AE1445" s="80">
        <f t="shared" si="191"/>
        <v>96510000</v>
      </c>
      <c r="AF1445" s="82">
        <v>0</v>
      </c>
      <c r="AG1445" s="69"/>
      <c r="AH1445" s="84"/>
      <c r="AI1445" s="69" t="s">
        <v>2009</v>
      </c>
      <c r="AJ1445" s="25" t="s">
        <v>2010</v>
      </c>
      <c r="AK1445" s="65"/>
      <c r="AL1445" s="272" t="s">
        <v>311</v>
      </c>
      <c r="AM1445" s="173" t="s">
        <v>3872</v>
      </c>
      <c r="AN1445" s="159"/>
      <c r="AO1445" s="160"/>
      <c r="AP1445" s="161"/>
      <c r="AQ1445" s="160"/>
      <c r="AR1445" s="160"/>
      <c r="AS1445" s="160"/>
      <c r="AT1445" s="160"/>
      <c r="AU1445" s="160"/>
      <c r="AV1445" s="160"/>
      <c r="AW1445" s="160"/>
      <c r="AX1445" s="160"/>
      <c r="AY1445" s="160"/>
      <c r="AZ1445" s="160"/>
      <c r="BA1445" s="160"/>
      <c r="BB1445" s="160">
        <v>300</v>
      </c>
      <c r="BC1445" s="160">
        <f>300*85000</f>
        <v>25500000</v>
      </c>
      <c r="BD1445" s="160"/>
      <c r="BE1445" s="160"/>
      <c r="BF1445" s="160"/>
      <c r="BG1445" s="160"/>
      <c r="BH1445" s="160"/>
      <c r="BI1445" s="160"/>
      <c r="BJ1445" s="160"/>
      <c r="BK1445" s="160"/>
      <c r="BL1445" s="160"/>
      <c r="BM1445" s="160"/>
      <c r="BN1445" s="160"/>
      <c r="BO1445" s="160"/>
      <c r="BP1445" s="160"/>
      <c r="BQ1445" s="160"/>
      <c r="BR1445" s="160"/>
      <c r="BS1445" s="160"/>
      <c r="BT1445" s="160"/>
      <c r="BU1445" s="160"/>
      <c r="BV1445" s="160"/>
      <c r="BW1445" s="160"/>
      <c r="BX1445" s="160"/>
      <c r="BY1445" s="160"/>
      <c r="BZ1445" s="160"/>
      <c r="CA1445" s="160"/>
      <c r="CB1445" s="160"/>
      <c r="CC1445" s="160"/>
      <c r="CD1445" s="160"/>
      <c r="CE1445" s="160"/>
      <c r="CF1445" s="160"/>
      <c r="CG1445" s="160"/>
      <c r="CH1445" s="160"/>
      <c r="CI1445" s="160"/>
      <c r="CJ1445" s="160">
        <v>300</v>
      </c>
      <c r="CK1445" s="160">
        <f>300*21000</f>
        <v>6300000</v>
      </c>
      <c r="CL1445" s="160"/>
      <c r="CM1445" s="160"/>
      <c r="CN1445" s="160">
        <v>400</v>
      </c>
      <c r="CO1445" s="160">
        <f>400*18000</f>
        <v>7200000</v>
      </c>
      <c r="CP1445" s="162">
        <v>300</v>
      </c>
      <c r="CQ1445" s="163">
        <f>300*37000</f>
        <v>11100000</v>
      </c>
      <c r="CR1445" s="162">
        <v>300</v>
      </c>
      <c r="CS1445" s="163">
        <f>300*39700</f>
        <v>11910000</v>
      </c>
      <c r="CT1445" s="162"/>
      <c r="CU1445" s="163"/>
      <c r="CV1445" s="164">
        <f t="shared" si="190"/>
        <v>62010000</v>
      </c>
      <c r="CW1445" s="165"/>
      <c r="CX1445" s="166"/>
      <c r="CY1445" s="167">
        <v>300</v>
      </c>
      <c r="CZ1445" s="168">
        <f>300*85000</f>
        <v>25500000</v>
      </c>
      <c r="DA1445" s="169"/>
      <c r="DB1445" s="168"/>
      <c r="DC1445" s="165"/>
      <c r="DD1445" s="166"/>
      <c r="DE1445" s="71"/>
      <c r="DF1445" s="170"/>
      <c r="EO1445" s="353" t="str">
        <f t="shared" si="192"/>
        <v>NORTE DE SANTANDER_LOURDES</v>
      </c>
      <c r="EP1445" s="350"/>
      <c r="EQ1445" s="350"/>
      <c r="ER1445" s="357"/>
      <c r="ES1445" s="350"/>
      <c r="ET1445" s="350"/>
      <c r="EU1445" s="350"/>
    </row>
    <row r="1446" spans="1:151" s="171" customFormat="1" ht="51" x14ac:dyDescent="0.2">
      <c r="A1446" s="242">
        <v>40483</v>
      </c>
      <c r="B1446" s="222" t="s">
        <v>1336</v>
      </c>
      <c r="C1446" s="222" t="s">
        <v>3018</v>
      </c>
      <c r="D1446" s="430" t="s">
        <v>837</v>
      </c>
      <c r="E1446" s="107" t="str">
        <f>VLOOKUP(B1446&amp;C1446,Divipola!$C$2:$F$1138,4,FALSE)</f>
        <v>54720</v>
      </c>
      <c r="F1446" s="333"/>
      <c r="G1446" s="221"/>
      <c r="H1446" s="157"/>
      <c r="I1446" s="157"/>
      <c r="J1446" s="157">
        <v>1495</v>
      </c>
      <c r="K1446" s="157">
        <v>285</v>
      </c>
      <c r="L1446" s="157"/>
      <c r="M1446" s="157">
        <v>273</v>
      </c>
      <c r="N1446" s="157"/>
      <c r="O1446" s="157"/>
      <c r="P1446" s="157"/>
      <c r="Q1446" s="157"/>
      <c r="R1446" s="157"/>
      <c r="S1446" s="157"/>
      <c r="T1446" s="157"/>
      <c r="U1446" s="157"/>
      <c r="V1446" s="158"/>
      <c r="W1446" s="182"/>
      <c r="X1446" s="1"/>
      <c r="Y1446" s="78">
        <f t="shared" si="187"/>
        <v>0</v>
      </c>
      <c r="Z1446" s="78">
        <f t="shared" si="188"/>
        <v>0</v>
      </c>
      <c r="AA1446" s="78">
        <f t="shared" si="186"/>
        <v>0</v>
      </c>
      <c r="AB1446" s="78">
        <f t="shared" si="189"/>
        <v>0</v>
      </c>
      <c r="AC1446" s="78"/>
      <c r="AD1446" s="78">
        <v>0</v>
      </c>
      <c r="AE1446" s="80">
        <f t="shared" si="191"/>
        <v>0</v>
      </c>
      <c r="AF1446" s="82">
        <v>0</v>
      </c>
      <c r="AG1446" s="69">
        <v>40529</v>
      </c>
      <c r="AH1446" s="84"/>
      <c r="AI1446" s="69" t="s">
        <v>2009</v>
      </c>
      <c r="AJ1446" s="276" t="s">
        <v>2010</v>
      </c>
      <c r="AK1446" s="65"/>
      <c r="AL1446" s="272" t="s">
        <v>311</v>
      </c>
      <c r="AM1446" s="173"/>
      <c r="AN1446" s="159"/>
      <c r="AO1446" s="160"/>
      <c r="AP1446" s="161"/>
      <c r="AQ1446" s="160"/>
      <c r="AR1446" s="160"/>
      <c r="AS1446" s="160"/>
      <c r="AT1446" s="160"/>
      <c r="AU1446" s="160"/>
      <c r="AV1446" s="160"/>
      <c r="AW1446" s="160"/>
      <c r="AX1446" s="160"/>
      <c r="AY1446" s="160"/>
      <c r="AZ1446" s="160"/>
      <c r="BA1446" s="160"/>
      <c r="BB1446" s="160"/>
      <c r="BC1446" s="160"/>
      <c r="BD1446" s="160"/>
      <c r="BE1446" s="160"/>
      <c r="BF1446" s="160"/>
      <c r="BG1446" s="160"/>
      <c r="BH1446" s="160"/>
      <c r="BI1446" s="160"/>
      <c r="BJ1446" s="160"/>
      <c r="BK1446" s="160"/>
      <c r="BL1446" s="160"/>
      <c r="BM1446" s="160"/>
      <c r="BN1446" s="160"/>
      <c r="BO1446" s="160"/>
      <c r="BP1446" s="160"/>
      <c r="BQ1446" s="160"/>
      <c r="BR1446" s="160"/>
      <c r="BS1446" s="160"/>
      <c r="BT1446" s="160"/>
      <c r="BU1446" s="160"/>
      <c r="BV1446" s="160"/>
      <c r="BW1446" s="160"/>
      <c r="BX1446" s="160"/>
      <c r="BY1446" s="160"/>
      <c r="BZ1446" s="160"/>
      <c r="CA1446" s="160"/>
      <c r="CB1446" s="160"/>
      <c r="CC1446" s="160"/>
      <c r="CD1446" s="160"/>
      <c r="CE1446" s="160"/>
      <c r="CF1446" s="160"/>
      <c r="CG1446" s="160"/>
      <c r="CH1446" s="160"/>
      <c r="CI1446" s="160"/>
      <c r="CJ1446" s="160"/>
      <c r="CK1446" s="160"/>
      <c r="CL1446" s="160"/>
      <c r="CM1446" s="160"/>
      <c r="CN1446" s="160"/>
      <c r="CO1446" s="160"/>
      <c r="CP1446" s="162"/>
      <c r="CQ1446" s="163"/>
      <c r="CR1446" s="162"/>
      <c r="CS1446" s="163"/>
      <c r="CT1446" s="162"/>
      <c r="CU1446" s="163"/>
      <c r="CV1446" s="164">
        <f t="shared" si="190"/>
        <v>0</v>
      </c>
      <c r="CW1446" s="165"/>
      <c r="CX1446" s="166"/>
      <c r="CY1446" s="167"/>
      <c r="CZ1446" s="168"/>
      <c r="DA1446" s="169"/>
      <c r="DB1446" s="168"/>
      <c r="DC1446" s="165"/>
      <c r="DD1446" s="166"/>
      <c r="DE1446" s="71"/>
      <c r="DF1446" s="170"/>
      <c r="EO1446" s="353" t="str">
        <f t="shared" si="192"/>
        <v>NORTE DE SANTANDER_SARDINATA</v>
      </c>
      <c r="EP1446" s="350"/>
      <c r="EQ1446" s="350"/>
      <c r="ER1446" s="357"/>
      <c r="ES1446" s="350"/>
      <c r="ET1446" s="350"/>
      <c r="EU1446" s="350"/>
    </row>
    <row r="1447" spans="1:151" s="171" customFormat="1" ht="38.25" x14ac:dyDescent="0.2">
      <c r="A1447" s="242">
        <v>40483</v>
      </c>
      <c r="B1447" s="222" t="s">
        <v>2014</v>
      </c>
      <c r="C1447" s="222" t="s">
        <v>239</v>
      </c>
      <c r="D1447" s="430" t="s">
        <v>837</v>
      </c>
      <c r="E1447" s="107" t="str">
        <f>VLOOKUP(B1447&amp;C1447,Divipola!$C$2:$F$1138,4,FALSE)</f>
        <v>63470</v>
      </c>
      <c r="F1447" s="333"/>
      <c r="G1447" s="221"/>
      <c r="H1447" s="157">
        <v>4</v>
      </c>
      <c r="I1447" s="157"/>
      <c r="J1447" s="157"/>
      <c r="K1447" s="157"/>
      <c r="L1447" s="157"/>
      <c r="M1447" s="157"/>
      <c r="N1447" s="157"/>
      <c r="O1447" s="157"/>
      <c r="P1447" s="157"/>
      <c r="Q1447" s="157"/>
      <c r="R1447" s="157"/>
      <c r="S1447" s="157"/>
      <c r="T1447" s="157"/>
      <c r="U1447" s="157"/>
      <c r="V1447" s="158"/>
      <c r="W1447" s="182"/>
      <c r="X1447" s="1"/>
      <c r="Y1447" s="78">
        <f t="shared" si="187"/>
        <v>0</v>
      </c>
      <c r="Z1447" s="78">
        <f t="shared" si="188"/>
        <v>0</v>
      </c>
      <c r="AA1447" s="78">
        <f t="shared" si="186"/>
        <v>0</v>
      </c>
      <c r="AB1447" s="78">
        <f t="shared" si="189"/>
        <v>0</v>
      </c>
      <c r="AC1447" s="78"/>
      <c r="AD1447" s="78">
        <v>0</v>
      </c>
      <c r="AE1447" s="80">
        <f t="shared" si="191"/>
        <v>0</v>
      </c>
      <c r="AF1447" s="82">
        <v>0</v>
      </c>
      <c r="AG1447" s="69">
        <v>40484</v>
      </c>
      <c r="AH1447" s="84"/>
      <c r="AI1447" s="69" t="s">
        <v>1984</v>
      </c>
      <c r="AJ1447" s="25" t="s">
        <v>1985</v>
      </c>
      <c r="AK1447" s="109"/>
      <c r="AL1447" s="176" t="s">
        <v>1257</v>
      </c>
      <c r="AM1447" s="173" t="s">
        <v>2085</v>
      </c>
      <c r="AN1447" s="159"/>
      <c r="AO1447" s="160"/>
      <c r="AP1447" s="161"/>
      <c r="AQ1447" s="160"/>
      <c r="AR1447" s="160"/>
      <c r="AS1447" s="160"/>
      <c r="AT1447" s="160"/>
      <c r="AU1447" s="160"/>
      <c r="AV1447" s="160"/>
      <c r="AW1447" s="160"/>
      <c r="AX1447" s="160"/>
      <c r="AY1447" s="160"/>
      <c r="AZ1447" s="160"/>
      <c r="BA1447" s="160"/>
      <c r="BB1447" s="160"/>
      <c r="BC1447" s="160"/>
      <c r="BD1447" s="160"/>
      <c r="BE1447" s="160"/>
      <c r="BF1447" s="160"/>
      <c r="BG1447" s="160"/>
      <c r="BH1447" s="160"/>
      <c r="BI1447" s="160"/>
      <c r="BJ1447" s="160"/>
      <c r="BK1447" s="160"/>
      <c r="BL1447" s="160"/>
      <c r="BM1447" s="160"/>
      <c r="BN1447" s="160"/>
      <c r="BO1447" s="160"/>
      <c r="BP1447" s="160"/>
      <c r="BQ1447" s="160"/>
      <c r="BR1447" s="160"/>
      <c r="BS1447" s="160"/>
      <c r="BT1447" s="160"/>
      <c r="BU1447" s="160"/>
      <c r="BV1447" s="160"/>
      <c r="BW1447" s="160"/>
      <c r="BX1447" s="160"/>
      <c r="BY1447" s="160"/>
      <c r="BZ1447" s="160"/>
      <c r="CA1447" s="160"/>
      <c r="CB1447" s="160"/>
      <c r="CC1447" s="160"/>
      <c r="CD1447" s="160"/>
      <c r="CE1447" s="160"/>
      <c r="CF1447" s="160"/>
      <c r="CG1447" s="160"/>
      <c r="CH1447" s="160"/>
      <c r="CI1447" s="160"/>
      <c r="CJ1447" s="160"/>
      <c r="CK1447" s="160"/>
      <c r="CL1447" s="160"/>
      <c r="CM1447" s="160"/>
      <c r="CN1447" s="160"/>
      <c r="CO1447" s="160"/>
      <c r="CP1447" s="162"/>
      <c r="CQ1447" s="163"/>
      <c r="CR1447" s="162"/>
      <c r="CS1447" s="163"/>
      <c r="CT1447" s="162"/>
      <c r="CU1447" s="163"/>
      <c r="CV1447" s="164">
        <f t="shared" si="190"/>
        <v>0</v>
      </c>
      <c r="CW1447" s="165"/>
      <c r="CX1447" s="166"/>
      <c r="CY1447" s="167"/>
      <c r="CZ1447" s="168"/>
      <c r="DA1447" s="169"/>
      <c r="DB1447" s="168"/>
      <c r="DC1447" s="165"/>
      <c r="DD1447" s="166"/>
      <c r="DE1447" s="71"/>
      <c r="DF1447" s="170"/>
      <c r="EO1447" s="353" t="str">
        <f t="shared" si="192"/>
        <v>QUINDIO_MONTENEGRO</v>
      </c>
      <c r="EP1447" s="350"/>
      <c r="EQ1447" s="350"/>
      <c r="ER1447" s="357"/>
      <c r="ES1447" s="350"/>
      <c r="ET1447" s="350"/>
      <c r="EU1447" s="350"/>
    </row>
    <row r="1448" spans="1:151" s="171" customFormat="1" ht="25.5" x14ac:dyDescent="0.2">
      <c r="A1448" s="242">
        <v>40483</v>
      </c>
      <c r="B1448" s="222" t="s">
        <v>2014</v>
      </c>
      <c r="C1448" s="222" t="s">
        <v>3121</v>
      </c>
      <c r="D1448" s="430" t="s">
        <v>837</v>
      </c>
      <c r="E1448" s="107" t="str">
        <f>VLOOKUP(B1448&amp;C1448,Divipola!$C$2:$F$1138,4,FALSE)</f>
        <v>63548</v>
      </c>
      <c r="F1448" s="333"/>
      <c r="G1448" s="221"/>
      <c r="H1448" s="157"/>
      <c r="I1448" s="157"/>
      <c r="J1448" s="157">
        <v>10</v>
      </c>
      <c r="K1448" s="157">
        <v>2</v>
      </c>
      <c r="L1448" s="157"/>
      <c r="M1448" s="157">
        <v>2</v>
      </c>
      <c r="N1448" s="157"/>
      <c r="O1448" s="157"/>
      <c r="P1448" s="157"/>
      <c r="Q1448" s="157"/>
      <c r="R1448" s="157"/>
      <c r="S1448" s="157"/>
      <c r="T1448" s="157"/>
      <c r="U1448" s="157"/>
      <c r="V1448" s="158"/>
      <c r="W1448" s="182"/>
      <c r="X1448" s="1"/>
      <c r="Y1448" s="78">
        <f t="shared" si="187"/>
        <v>0</v>
      </c>
      <c r="Z1448" s="78">
        <f t="shared" si="188"/>
        <v>0</v>
      </c>
      <c r="AA1448" s="78">
        <f t="shared" si="186"/>
        <v>0</v>
      </c>
      <c r="AB1448" s="78">
        <f t="shared" si="189"/>
        <v>0</v>
      </c>
      <c r="AC1448" s="78"/>
      <c r="AD1448" s="78">
        <v>0</v>
      </c>
      <c r="AE1448" s="80">
        <f t="shared" si="191"/>
        <v>0</v>
      </c>
      <c r="AF1448" s="82">
        <v>0</v>
      </c>
      <c r="AG1448" s="69">
        <v>40484</v>
      </c>
      <c r="AH1448" s="84"/>
      <c r="AI1448" s="69" t="s">
        <v>1984</v>
      </c>
      <c r="AJ1448" s="25" t="s">
        <v>1985</v>
      </c>
      <c r="AK1448" s="109"/>
      <c r="AL1448" s="176" t="s">
        <v>1257</v>
      </c>
      <c r="AM1448" s="173" t="s">
        <v>2084</v>
      </c>
      <c r="AN1448" s="159"/>
      <c r="AO1448" s="160"/>
      <c r="AP1448" s="161"/>
      <c r="AQ1448" s="160"/>
      <c r="AR1448" s="160"/>
      <c r="AS1448" s="160"/>
      <c r="AT1448" s="160"/>
      <c r="AU1448" s="160"/>
      <c r="AV1448" s="160"/>
      <c r="AW1448" s="160"/>
      <c r="AX1448" s="160"/>
      <c r="AY1448" s="160"/>
      <c r="AZ1448" s="160"/>
      <c r="BA1448" s="160"/>
      <c r="BB1448" s="160"/>
      <c r="BC1448" s="160"/>
      <c r="BD1448" s="160"/>
      <c r="BE1448" s="160"/>
      <c r="BF1448" s="160"/>
      <c r="BG1448" s="160"/>
      <c r="BH1448" s="160"/>
      <c r="BI1448" s="160"/>
      <c r="BJ1448" s="160"/>
      <c r="BK1448" s="160"/>
      <c r="BL1448" s="160"/>
      <c r="BM1448" s="160"/>
      <c r="BN1448" s="160"/>
      <c r="BO1448" s="160"/>
      <c r="BP1448" s="160"/>
      <c r="BQ1448" s="160"/>
      <c r="BR1448" s="160"/>
      <c r="BS1448" s="160"/>
      <c r="BT1448" s="160"/>
      <c r="BU1448" s="160"/>
      <c r="BV1448" s="160"/>
      <c r="BW1448" s="160"/>
      <c r="BX1448" s="160"/>
      <c r="BY1448" s="160"/>
      <c r="BZ1448" s="160"/>
      <c r="CA1448" s="160"/>
      <c r="CB1448" s="160"/>
      <c r="CC1448" s="160"/>
      <c r="CD1448" s="160"/>
      <c r="CE1448" s="160"/>
      <c r="CF1448" s="160"/>
      <c r="CG1448" s="160"/>
      <c r="CH1448" s="160"/>
      <c r="CI1448" s="160"/>
      <c r="CJ1448" s="160"/>
      <c r="CK1448" s="160"/>
      <c r="CL1448" s="160"/>
      <c r="CM1448" s="160"/>
      <c r="CN1448" s="160"/>
      <c r="CO1448" s="160"/>
      <c r="CP1448" s="162"/>
      <c r="CQ1448" s="163"/>
      <c r="CR1448" s="162"/>
      <c r="CS1448" s="163"/>
      <c r="CT1448" s="162"/>
      <c r="CU1448" s="163"/>
      <c r="CV1448" s="164">
        <f t="shared" si="190"/>
        <v>0</v>
      </c>
      <c r="CW1448" s="165"/>
      <c r="CX1448" s="166"/>
      <c r="CY1448" s="167"/>
      <c r="CZ1448" s="168"/>
      <c r="DA1448" s="169"/>
      <c r="DB1448" s="168"/>
      <c r="DC1448" s="165"/>
      <c r="DD1448" s="166"/>
      <c r="DE1448" s="71"/>
      <c r="DF1448" s="170"/>
      <c r="EO1448" s="353" t="str">
        <f t="shared" si="192"/>
        <v>QUINDIO_PIJAO</v>
      </c>
      <c r="EP1448" s="350"/>
      <c r="EQ1448" s="350"/>
      <c r="ER1448" s="357"/>
      <c r="ES1448" s="350"/>
      <c r="ET1448" s="350"/>
      <c r="EU1448" s="350"/>
    </row>
    <row r="1449" spans="1:151" s="171" customFormat="1" ht="25.5" x14ac:dyDescent="0.2">
      <c r="A1449" s="242">
        <v>40483</v>
      </c>
      <c r="B1449" s="222" t="s">
        <v>2427</v>
      </c>
      <c r="C1449" s="222" t="s">
        <v>1543</v>
      </c>
      <c r="D1449" s="430" t="s">
        <v>2307</v>
      </c>
      <c r="E1449" s="107" t="str">
        <f>VLOOKUP(B1449&amp;C1449,Divipola!$C$2:$F$1138,4,FALSE)</f>
        <v>68092</v>
      </c>
      <c r="F1449" s="333"/>
      <c r="G1449" s="275">
        <v>3</v>
      </c>
      <c r="H1449" s="157"/>
      <c r="I1449" s="157">
        <v>1</v>
      </c>
      <c r="J1449" s="157">
        <v>1488</v>
      </c>
      <c r="K1449" s="157">
        <v>341</v>
      </c>
      <c r="L1449" s="157"/>
      <c r="M1449" s="157">
        <v>20</v>
      </c>
      <c r="N1449" s="157"/>
      <c r="O1449" s="157"/>
      <c r="P1449" s="157"/>
      <c r="Q1449" s="157"/>
      <c r="R1449" s="157"/>
      <c r="S1449" s="157"/>
      <c r="T1449" s="157"/>
      <c r="U1449" s="157"/>
      <c r="V1449" s="158">
        <v>150</v>
      </c>
      <c r="W1449" s="182" t="s">
        <v>2180</v>
      </c>
      <c r="X1449" s="1"/>
      <c r="Y1449" s="78">
        <f t="shared" si="187"/>
        <v>0</v>
      </c>
      <c r="Z1449" s="78">
        <f t="shared" si="188"/>
        <v>0</v>
      </c>
      <c r="AA1449" s="78">
        <f t="shared" si="186"/>
        <v>0</v>
      </c>
      <c r="AB1449" s="78">
        <f t="shared" si="189"/>
        <v>0</v>
      </c>
      <c r="AC1449" s="78"/>
      <c r="AD1449" s="78">
        <v>0</v>
      </c>
      <c r="AE1449" s="80">
        <f t="shared" si="191"/>
        <v>0</v>
      </c>
      <c r="AF1449" s="82">
        <v>0</v>
      </c>
      <c r="AG1449" s="69">
        <v>38682</v>
      </c>
      <c r="AH1449" s="84">
        <v>67579</v>
      </c>
      <c r="AI1449" s="69" t="s">
        <v>2009</v>
      </c>
      <c r="AJ1449" s="25" t="s">
        <v>2010</v>
      </c>
      <c r="AK1449" s="65"/>
      <c r="AL1449" s="184" t="s">
        <v>805</v>
      </c>
      <c r="AM1449" s="173" t="s">
        <v>283</v>
      </c>
      <c r="AN1449" s="159"/>
      <c r="AO1449" s="160"/>
      <c r="AP1449" s="161"/>
      <c r="AQ1449" s="160"/>
      <c r="AR1449" s="160"/>
      <c r="AS1449" s="160"/>
      <c r="AT1449" s="160"/>
      <c r="AU1449" s="160"/>
      <c r="AV1449" s="160"/>
      <c r="AW1449" s="160"/>
      <c r="AX1449" s="160"/>
      <c r="AY1449" s="160"/>
      <c r="AZ1449" s="160"/>
      <c r="BA1449" s="160"/>
      <c r="BB1449" s="160"/>
      <c r="BC1449" s="160"/>
      <c r="BD1449" s="160"/>
      <c r="BE1449" s="160"/>
      <c r="BF1449" s="160"/>
      <c r="BG1449" s="160"/>
      <c r="BH1449" s="160"/>
      <c r="BI1449" s="160"/>
      <c r="BJ1449" s="160"/>
      <c r="BK1449" s="160"/>
      <c r="BL1449" s="160"/>
      <c r="BM1449" s="160"/>
      <c r="BN1449" s="160"/>
      <c r="BO1449" s="160"/>
      <c r="BP1449" s="160"/>
      <c r="BQ1449" s="160"/>
      <c r="BR1449" s="160"/>
      <c r="BS1449" s="160"/>
      <c r="BT1449" s="160"/>
      <c r="BU1449" s="160"/>
      <c r="BV1449" s="160"/>
      <c r="BW1449" s="160"/>
      <c r="BX1449" s="160"/>
      <c r="BY1449" s="160"/>
      <c r="BZ1449" s="160"/>
      <c r="CA1449" s="160"/>
      <c r="CB1449" s="160"/>
      <c r="CC1449" s="160"/>
      <c r="CD1449" s="160"/>
      <c r="CE1449" s="160"/>
      <c r="CF1449" s="160"/>
      <c r="CG1449" s="160"/>
      <c r="CH1449" s="160"/>
      <c r="CI1449" s="160"/>
      <c r="CJ1449" s="160"/>
      <c r="CK1449" s="160"/>
      <c r="CL1449" s="160"/>
      <c r="CM1449" s="160"/>
      <c r="CN1449" s="160"/>
      <c r="CO1449" s="160"/>
      <c r="CP1449" s="162"/>
      <c r="CQ1449" s="163"/>
      <c r="CR1449" s="162"/>
      <c r="CS1449" s="163"/>
      <c r="CT1449" s="162"/>
      <c r="CU1449" s="163"/>
      <c r="CV1449" s="164">
        <f t="shared" si="190"/>
        <v>0</v>
      </c>
      <c r="CW1449" s="165"/>
      <c r="CX1449" s="166"/>
      <c r="CY1449" s="167"/>
      <c r="CZ1449" s="168"/>
      <c r="DA1449" s="169"/>
      <c r="DB1449" s="168"/>
      <c r="DC1449" s="165"/>
      <c r="DD1449" s="166"/>
      <c r="DE1449" s="71"/>
      <c r="DF1449" s="170">
        <v>1465</v>
      </c>
      <c r="EO1449" s="353" t="str">
        <f t="shared" si="192"/>
        <v>SANTANDER_BETULIA</v>
      </c>
      <c r="EP1449" s="350"/>
      <c r="EQ1449" s="350"/>
      <c r="ER1449" s="357"/>
      <c r="ES1449" s="350"/>
      <c r="ET1449" s="350"/>
      <c r="EU1449" s="350"/>
    </row>
    <row r="1450" spans="1:151" s="171" customFormat="1" ht="38.25" x14ac:dyDescent="0.2">
      <c r="A1450" s="242">
        <v>40483</v>
      </c>
      <c r="B1450" s="222" t="s">
        <v>2427</v>
      </c>
      <c r="C1450" s="222" t="s">
        <v>1969</v>
      </c>
      <c r="D1450" s="430" t="s">
        <v>837</v>
      </c>
      <c r="E1450" s="107" t="str">
        <f>VLOOKUP(B1450&amp;C1450,Divipola!$C$2:$F$1138,4,FALSE)</f>
        <v>68147</v>
      </c>
      <c r="F1450" s="333"/>
      <c r="G1450" s="275"/>
      <c r="H1450" s="157"/>
      <c r="I1450" s="157"/>
      <c r="J1450" s="157">
        <f>120*5</f>
        <v>600</v>
      </c>
      <c r="K1450" s="157">
        <v>120</v>
      </c>
      <c r="L1450" s="157"/>
      <c r="M1450" s="157">
        <v>4</v>
      </c>
      <c r="N1450" s="157"/>
      <c r="O1450" s="157"/>
      <c r="P1450" s="157"/>
      <c r="Q1450" s="157"/>
      <c r="R1450" s="157"/>
      <c r="S1450" s="157"/>
      <c r="T1450" s="157">
        <v>2</v>
      </c>
      <c r="U1450" s="157"/>
      <c r="V1450" s="158">
        <v>30</v>
      </c>
      <c r="W1450" s="182" t="s">
        <v>2180</v>
      </c>
      <c r="X1450" s="1"/>
      <c r="Y1450" s="78">
        <f t="shared" si="187"/>
        <v>0</v>
      </c>
      <c r="Z1450" s="78">
        <f t="shared" si="188"/>
        <v>0</v>
      </c>
      <c r="AA1450" s="78">
        <f t="shared" si="186"/>
        <v>0</v>
      </c>
      <c r="AB1450" s="78">
        <f t="shared" si="189"/>
        <v>0</v>
      </c>
      <c r="AC1450" s="78"/>
      <c r="AD1450" s="78">
        <v>0</v>
      </c>
      <c r="AE1450" s="80">
        <f t="shared" si="191"/>
        <v>0</v>
      </c>
      <c r="AF1450" s="82">
        <v>0</v>
      </c>
      <c r="AG1450" s="69">
        <v>38682</v>
      </c>
      <c r="AH1450" s="84">
        <v>67579</v>
      </c>
      <c r="AI1450" s="69" t="s">
        <v>2009</v>
      </c>
      <c r="AJ1450" s="25" t="s">
        <v>2010</v>
      </c>
      <c r="AK1450" s="65"/>
      <c r="AL1450" s="184" t="s">
        <v>805</v>
      </c>
      <c r="AM1450" s="173" t="s">
        <v>283</v>
      </c>
      <c r="AN1450" s="159"/>
      <c r="AO1450" s="160"/>
      <c r="AP1450" s="161"/>
      <c r="AQ1450" s="160"/>
      <c r="AR1450" s="160"/>
      <c r="AS1450" s="160"/>
      <c r="AT1450" s="160"/>
      <c r="AU1450" s="160"/>
      <c r="AV1450" s="160"/>
      <c r="AW1450" s="160"/>
      <c r="AX1450" s="160"/>
      <c r="AY1450" s="160"/>
      <c r="AZ1450" s="160"/>
      <c r="BA1450" s="160"/>
      <c r="BB1450" s="160"/>
      <c r="BC1450" s="160"/>
      <c r="BD1450" s="160"/>
      <c r="BE1450" s="160"/>
      <c r="BF1450" s="160"/>
      <c r="BG1450" s="160"/>
      <c r="BH1450" s="160"/>
      <c r="BI1450" s="160"/>
      <c r="BJ1450" s="160"/>
      <c r="BK1450" s="160"/>
      <c r="BL1450" s="160"/>
      <c r="BM1450" s="160"/>
      <c r="BN1450" s="160"/>
      <c r="BO1450" s="160"/>
      <c r="BP1450" s="160"/>
      <c r="BQ1450" s="160"/>
      <c r="BR1450" s="160"/>
      <c r="BS1450" s="160"/>
      <c r="BT1450" s="160"/>
      <c r="BU1450" s="160"/>
      <c r="BV1450" s="160"/>
      <c r="BW1450" s="160"/>
      <c r="BX1450" s="160"/>
      <c r="BY1450" s="160"/>
      <c r="BZ1450" s="160"/>
      <c r="CA1450" s="160"/>
      <c r="CB1450" s="160"/>
      <c r="CC1450" s="160"/>
      <c r="CD1450" s="160"/>
      <c r="CE1450" s="160"/>
      <c r="CF1450" s="160"/>
      <c r="CG1450" s="160"/>
      <c r="CH1450" s="160"/>
      <c r="CI1450" s="160"/>
      <c r="CJ1450" s="160"/>
      <c r="CK1450" s="160"/>
      <c r="CL1450" s="160"/>
      <c r="CM1450" s="160"/>
      <c r="CN1450" s="160"/>
      <c r="CO1450" s="160"/>
      <c r="CP1450" s="162"/>
      <c r="CQ1450" s="163"/>
      <c r="CR1450" s="162"/>
      <c r="CS1450" s="163"/>
      <c r="CT1450" s="162"/>
      <c r="CU1450" s="163"/>
      <c r="CV1450" s="164">
        <f t="shared" si="190"/>
        <v>0</v>
      </c>
      <c r="CW1450" s="165"/>
      <c r="CX1450" s="166"/>
      <c r="CY1450" s="167"/>
      <c r="CZ1450" s="168"/>
      <c r="DA1450" s="169"/>
      <c r="DB1450" s="168"/>
      <c r="DC1450" s="165"/>
      <c r="DD1450" s="166"/>
      <c r="DE1450" s="71"/>
      <c r="DF1450" s="170"/>
      <c r="EO1450" s="353" t="str">
        <f t="shared" si="192"/>
        <v>SANTANDER_CAPITANEJO</v>
      </c>
      <c r="EP1450" s="350"/>
      <c r="EQ1450" s="350"/>
      <c r="ER1450" s="357"/>
      <c r="ES1450" s="350"/>
      <c r="ET1450" s="350"/>
      <c r="EU1450" s="350"/>
    </row>
    <row r="1451" spans="1:151" s="171" customFormat="1" ht="38.25" x14ac:dyDescent="0.2">
      <c r="A1451" s="242">
        <v>40483</v>
      </c>
      <c r="B1451" s="222" t="s">
        <v>2427</v>
      </c>
      <c r="C1451" s="222" t="s">
        <v>3005</v>
      </c>
      <c r="D1451" s="430" t="s">
        <v>2307</v>
      </c>
      <c r="E1451" s="107" t="str">
        <f>VLOOKUP(B1451&amp;C1451,Divipola!$C$2:$F$1138,4,FALSE)</f>
        <v>68167</v>
      </c>
      <c r="F1451" s="333"/>
      <c r="G1451" s="275"/>
      <c r="H1451" s="157"/>
      <c r="I1451" s="157"/>
      <c r="J1451" s="157">
        <f>120*5</f>
        <v>600</v>
      </c>
      <c r="K1451" s="157">
        <v>120</v>
      </c>
      <c r="L1451" s="157"/>
      <c r="M1451" s="157">
        <v>20</v>
      </c>
      <c r="N1451" s="157">
        <v>5</v>
      </c>
      <c r="O1451" s="157"/>
      <c r="P1451" s="157"/>
      <c r="Q1451" s="157"/>
      <c r="R1451" s="157"/>
      <c r="S1451" s="157"/>
      <c r="T1451" s="157"/>
      <c r="U1451" s="157"/>
      <c r="V1451" s="158">
        <v>120</v>
      </c>
      <c r="W1451" s="182" t="s">
        <v>2180</v>
      </c>
      <c r="X1451" s="1"/>
      <c r="Y1451" s="78">
        <f t="shared" si="187"/>
        <v>0</v>
      </c>
      <c r="Z1451" s="78">
        <f t="shared" si="188"/>
        <v>0</v>
      </c>
      <c r="AA1451" s="78">
        <f t="shared" si="186"/>
        <v>0</v>
      </c>
      <c r="AB1451" s="78">
        <f t="shared" si="189"/>
        <v>0</v>
      </c>
      <c r="AC1451" s="78"/>
      <c r="AD1451" s="78">
        <v>0</v>
      </c>
      <c r="AE1451" s="80">
        <f t="shared" si="191"/>
        <v>0</v>
      </c>
      <c r="AF1451" s="82">
        <v>0</v>
      </c>
      <c r="AG1451" s="69">
        <v>38682</v>
      </c>
      <c r="AH1451" s="84">
        <v>67579</v>
      </c>
      <c r="AI1451" s="69" t="s">
        <v>2009</v>
      </c>
      <c r="AJ1451" s="25" t="s">
        <v>2010</v>
      </c>
      <c r="AK1451" s="65"/>
      <c r="AL1451" s="184" t="s">
        <v>805</v>
      </c>
      <c r="AM1451" s="173" t="s">
        <v>283</v>
      </c>
      <c r="AN1451" s="159"/>
      <c r="AO1451" s="160"/>
      <c r="AP1451" s="161"/>
      <c r="AQ1451" s="160"/>
      <c r="AR1451" s="160"/>
      <c r="AS1451" s="160"/>
      <c r="AT1451" s="160"/>
      <c r="AU1451" s="160"/>
      <c r="AV1451" s="160"/>
      <c r="AW1451" s="160"/>
      <c r="AX1451" s="160"/>
      <c r="AY1451" s="160"/>
      <c r="AZ1451" s="160"/>
      <c r="BA1451" s="160"/>
      <c r="BB1451" s="160"/>
      <c r="BC1451" s="160"/>
      <c r="BD1451" s="160"/>
      <c r="BE1451" s="160"/>
      <c r="BF1451" s="160"/>
      <c r="BG1451" s="160"/>
      <c r="BH1451" s="160"/>
      <c r="BI1451" s="160"/>
      <c r="BJ1451" s="160"/>
      <c r="BK1451" s="160"/>
      <c r="BL1451" s="160"/>
      <c r="BM1451" s="160"/>
      <c r="BN1451" s="160"/>
      <c r="BO1451" s="160"/>
      <c r="BP1451" s="160"/>
      <c r="BQ1451" s="160"/>
      <c r="BR1451" s="160"/>
      <c r="BS1451" s="160"/>
      <c r="BT1451" s="160"/>
      <c r="BU1451" s="160"/>
      <c r="BV1451" s="160"/>
      <c r="BW1451" s="160"/>
      <c r="BX1451" s="160"/>
      <c r="BY1451" s="160"/>
      <c r="BZ1451" s="160"/>
      <c r="CA1451" s="160"/>
      <c r="CB1451" s="160"/>
      <c r="CC1451" s="160"/>
      <c r="CD1451" s="160"/>
      <c r="CE1451" s="160"/>
      <c r="CF1451" s="160"/>
      <c r="CG1451" s="160"/>
      <c r="CH1451" s="160"/>
      <c r="CI1451" s="160"/>
      <c r="CJ1451" s="160"/>
      <c r="CK1451" s="160"/>
      <c r="CL1451" s="160"/>
      <c r="CM1451" s="160"/>
      <c r="CN1451" s="160"/>
      <c r="CO1451" s="160"/>
      <c r="CP1451" s="162"/>
      <c r="CQ1451" s="163"/>
      <c r="CR1451" s="162"/>
      <c r="CS1451" s="163"/>
      <c r="CT1451" s="162"/>
      <c r="CU1451" s="163"/>
      <c r="CV1451" s="164">
        <f t="shared" si="190"/>
        <v>0</v>
      </c>
      <c r="CW1451" s="165"/>
      <c r="CX1451" s="166"/>
      <c r="CY1451" s="167"/>
      <c r="CZ1451" s="168"/>
      <c r="DA1451" s="169"/>
      <c r="DB1451" s="168"/>
      <c r="DC1451" s="165"/>
      <c r="DD1451" s="166"/>
      <c r="DE1451" s="71"/>
      <c r="DF1451" s="170"/>
      <c r="EO1451" s="353" t="str">
        <f t="shared" si="192"/>
        <v>SANTANDER_CHARALA</v>
      </c>
      <c r="EP1451" s="350"/>
      <c r="EQ1451" s="350"/>
      <c r="ER1451" s="357"/>
      <c r="ES1451" s="350"/>
      <c r="ET1451" s="350"/>
      <c r="EU1451" s="350"/>
    </row>
    <row r="1452" spans="1:151" s="171" customFormat="1" ht="38.25" x14ac:dyDescent="0.2">
      <c r="A1452" s="242">
        <v>40483</v>
      </c>
      <c r="B1452" s="222" t="s">
        <v>2427</v>
      </c>
      <c r="C1452" s="222" t="s">
        <v>1077</v>
      </c>
      <c r="D1452" s="430" t="s">
        <v>837</v>
      </c>
      <c r="E1452" s="107" t="str">
        <f>VLOOKUP(B1452&amp;C1452,Divipola!$C$2:$F$1138,4,FALSE)</f>
        <v>68255</v>
      </c>
      <c r="F1452" s="333"/>
      <c r="G1452" s="275"/>
      <c r="H1452" s="157"/>
      <c r="I1452" s="157"/>
      <c r="J1452" s="157">
        <f>180*5</f>
        <v>900</v>
      </c>
      <c r="K1452" s="157">
        <v>180</v>
      </c>
      <c r="L1452" s="157">
        <v>95</v>
      </c>
      <c r="M1452" s="157">
        <f>164-70</f>
        <v>94</v>
      </c>
      <c r="N1452" s="157">
        <v>6</v>
      </c>
      <c r="O1452" s="157"/>
      <c r="P1452" s="157"/>
      <c r="Q1452" s="157"/>
      <c r="R1452" s="157"/>
      <c r="S1452" s="157"/>
      <c r="T1452" s="157"/>
      <c r="U1452" s="157"/>
      <c r="V1452" s="158">
        <v>356</v>
      </c>
      <c r="W1452" s="182"/>
      <c r="X1452" s="1"/>
      <c r="Y1452" s="78">
        <f t="shared" si="187"/>
        <v>0</v>
      </c>
      <c r="Z1452" s="78">
        <f t="shared" si="188"/>
        <v>0</v>
      </c>
      <c r="AA1452" s="78">
        <f t="shared" si="186"/>
        <v>0</v>
      </c>
      <c r="AB1452" s="78">
        <f t="shared" si="189"/>
        <v>0</v>
      </c>
      <c r="AC1452" s="78"/>
      <c r="AD1452" s="78">
        <v>0</v>
      </c>
      <c r="AE1452" s="80">
        <f t="shared" si="191"/>
        <v>0</v>
      </c>
      <c r="AF1452" s="82">
        <v>0</v>
      </c>
      <c r="AG1452" s="69"/>
      <c r="AH1452" s="84"/>
      <c r="AI1452" s="69" t="s">
        <v>2009</v>
      </c>
      <c r="AJ1452" s="25" t="s">
        <v>2010</v>
      </c>
      <c r="AK1452" s="65"/>
      <c r="AL1452" s="184" t="s">
        <v>805</v>
      </c>
      <c r="AM1452" s="173"/>
      <c r="AN1452" s="159"/>
      <c r="AO1452" s="160"/>
      <c r="AP1452" s="161"/>
      <c r="AQ1452" s="160"/>
      <c r="AR1452" s="160"/>
      <c r="AS1452" s="160"/>
      <c r="AT1452" s="160"/>
      <c r="AU1452" s="160"/>
      <c r="AV1452" s="160"/>
      <c r="AW1452" s="160"/>
      <c r="AX1452" s="160"/>
      <c r="AY1452" s="160"/>
      <c r="AZ1452" s="160"/>
      <c r="BA1452" s="160"/>
      <c r="BB1452" s="160"/>
      <c r="BC1452" s="160"/>
      <c r="BD1452" s="160"/>
      <c r="BE1452" s="160"/>
      <c r="BF1452" s="160"/>
      <c r="BG1452" s="160"/>
      <c r="BH1452" s="160"/>
      <c r="BI1452" s="160"/>
      <c r="BJ1452" s="160"/>
      <c r="BK1452" s="160"/>
      <c r="BL1452" s="160"/>
      <c r="BM1452" s="160"/>
      <c r="BN1452" s="160"/>
      <c r="BO1452" s="160"/>
      <c r="BP1452" s="160"/>
      <c r="BQ1452" s="160"/>
      <c r="BR1452" s="160"/>
      <c r="BS1452" s="160"/>
      <c r="BT1452" s="160"/>
      <c r="BU1452" s="160"/>
      <c r="BV1452" s="160"/>
      <c r="BW1452" s="160"/>
      <c r="BX1452" s="160"/>
      <c r="BY1452" s="160"/>
      <c r="BZ1452" s="160"/>
      <c r="CA1452" s="160"/>
      <c r="CB1452" s="160"/>
      <c r="CC1452" s="160"/>
      <c r="CD1452" s="160"/>
      <c r="CE1452" s="160"/>
      <c r="CF1452" s="160"/>
      <c r="CG1452" s="160"/>
      <c r="CH1452" s="160"/>
      <c r="CI1452" s="160"/>
      <c r="CJ1452" s="160"/>
      <c r="CK1452" s="160"/>
      <c r="CL1452" s="160"/>
      <c r="CM1452" s="160"/>
      <c r="CN1452" s="160"/>
      <c r="CO1452" s="160"/>
      <c r="CP1452" s="162"/>
      <c r="CQ1452" s="163"/>
      <c r="CR1452" s="162"/>
      <c r="CS1452" s="163"/>
      <c r="CT1452" s="162"/>
      <c r="CU1452" s="163"/>
      <c r="CV1452" s="164">
        <f t="shared" si="190"/>
        <v>0</v>
      </c>
      <c r="CW1452" s="165"/>
      <c r="CX1452" s="166"/>
      <c r="CY1452" s="167"/>
      <c r="CZ1452" s="168"/>
      <c r="DA1452" s="169"/>
      <c r="DB1452" s="168"/>
      <c r="DC1452" s="165"/>
      <c r="DD1452" s="166"/>
      <c r="DE1452" s="71"/>
      <c r="DF1452" s="170"/>
      <c r="EO1452" s="353" t="str">
        <f t="shared" si="192"/>
        <v>SANTANDER_EL PLAYON</v>
      </c>
      <c r="EP1452" s="350"/>
      <c r="EQ1452" s="350"/>
      <c r="ER1452" s="357"/>
      <c r="ES1452" s="350"/>
      <c r="ET1452" s="350"/>
      <c r="EU1452" s="350"/>
    </row>
    <row r="1453" spans="1:151" s="171" customFormat="1" ht="25.5" x14ac:dyDescent="0.2">
      <c r="A1453" s="242">
        <v>40483</v>
      </c>
      <c r="B1453" s="222" t="s">
        <v>2427</v>
      </c>
      <c r="C1453" s="222" t="s">
        <v>3006</v>
      </c>
      <c r="D1453" s="430" t="s">
        <v>837</v>
      </c>
      <c r="E1453" s="107" t="str">
        <f>VLOOKUP(B1453&amp;C1453,Divipola!$C$2:$F$1138,4,FALSE)</f>
        <v>68266</v>
      </c>
      <c r="F1453" s="333"/>
      <c r="G1453" s="275"/>
      <c r="H1453" s="157"/>
      <c r="I1453" s="157"/>
      <c r="J1453" s="157">
        <f>100*5</f>
        <v>500</v>
      </c>
      <c r="K1453" s="157">
        <v>100</v>
      </c>
      <c r="L1453" s="157">
        <v>12</v>
      </c>
      <c r="M1453" s="157">
        <v>50</v>
      </c>
      <c r="N1453" s="157">
        <v>3</v>
      </c>
      <c r="O1453" s="157">
        <v>1</v>
      </c>
      <c r="P1453" s="157"/>
      <c r="Q1453" s="157"/>
      <c r="R1453" s="157"/>
      <c r="S1453" s="157"/>
      <c r="T1453" s="157">
        <v>3</v>
      </c>
      <c r="U1453" s="157"/>
      <c r="V1453" s="158">
        <v>126</v>
      </c>
      <c r="W1453" s="182" t="s">
        <v>2180</v>
      </c>
      <c r="X1453" s="1"/>
      <c r="Y1453" s="78">
        <f t="shared" si="187"/>
        <v>0</v>
      </c>
      <c r="Z1453" s="78">
        <f t="shared" si="188"/>
        <v>0</v>
      </c>
      <c r="AA1453" s="78">
        <f t="shared" si="186"/>
        <v>0</v>
      </c>
      <c r="AB1453" s="78">
        <f t="shared" si="189"/>
        <v>0</v>
      </c>
      <c r="AC1453" s="78"/>
      <c r="AD1453" s="78">
        <v>0</v>
      </c>
      <c r="AE1453" s="80">
        <f t="shared" si="191"/>
        <v>0</v>
      </c>
      <c r="AF1453" s="82">
        <v>0</v>
      </c>
      <c r="AG1453" s="69">
        <v>38682</v>
      </c>
      <c r="AH1453" s="84">
        <v>67579</v>
      </c>
      <c r="AI1453" s="69" t="s">
        <v>2009</v>
      </c>
      <c r="AJ1453" s="25" t="s">
        <v>2010</v>
      </c>
      <c r="AK1453" s="65"/>
      <c r="AL1453" s="184" t="s">
        <v>805</v>
      </c>
      <c r="AM1453" s="173" t="s">
        <v>283</v>
      </c>
      <c r="AN1453" s="159"/>
      <c r="AO1453" s="160"/>
      <c r="AP1453" s="161"/>
      <c r="AQ1453" s="160"/>
      <c r="AR1453" s="160"/>
      <c r="AS1453" s="160"/>
      <c r="AT1453" s="160"/>
      <c r="AU1453" s="160"/>
      <c r="AV1453" s="160"/>
      <c r="AW1453" s="160"/>
      <c r="AX1453" s="160"/>
      <c r="AY1453" s="160"/>
      <c r="AZ1453" s="160"/>
      <c r="BA1453" s="160"/>
      <c r="BB1453" s="160"/>
      <c r="BC1453" s="160"/>
      <c r="BD1453" s="160"/>
      <c r="BE1453" s="160"/>
      <c r="BF1453" s="160"/>
      <c r="BG1453" s="160"/>
      <c r="BH1453" s="160"/>
      <c r="BI1453" s="160"/>
      <c r="BJ1453" s="160"/>
      <c r="BK1453" s="160"/>
      <c r="BL1453" s="160"/>
      <c r="BM1453" s="160"/>
      <c r="BN1453" s="160"/>
      <c r="BO1453" s="160"/>
      <c r="BP1453" s="160"/>
      <c r="BQ1453" s="160"/>
      <c r="BR1453" s="160"/>
      <c r="BS1453" s="160"/>
      <c r="BT1453" s="160"/>
      <c r="BU1453" s="160"/>
      <c r="BV1453" s="160"/>
      <c r="BW1453" s="160"/>
      <c r="BX1453" s="160"/>
      <c r="BY1453" s="160"/>
      <c r="BZ1453" s="160"/>
      <c r="CA1453" s="160"/>
      <c r="CB1453" s="160"/>
      <c r="CC1453" s="160"/>
      <c r="CD1453" s="160"/>
      <c r="CE1453" s="160"/>
      <c r="CF1453" s="160"/>
      <c r="CG1453" s="160"/>
      <c r="CH1453" s="160"/>
      <c r="CI1453" s="160"/>
      <c r="CJ1453" s="160"/>
      <c r="CK1453" s="160"/>
      <c r="CL1453" s="160"/>
      <c r="CM1453" s="160"/>
      <c r="CN1453" s="160"/>
      <c r="CO1453" s="160"/>
      <c r="CP1453" s="162"/>
      <c r="CQ1453" s="163"/>
      <c r="CR1453" s="162"/>
      <c r="CS1453" s="163"/>
      <c r="CT1453" s="162"/>
      <c r="CU1453" s="163"/>
      <c r="CV1453" s="164">
        <f t="shared" si="190"/>
        <v>0</v>
      </c>
      <c r="CW1453" s="165"/>
      <c r="CX1453" s="166"/>
      <c r="CY1453" s="167"/>
      <c r="CZ1453" s="168"/>
      <c r="DA1453" s="169"/>
      <c r="DB1453" s="168"/>
      <c r="DC1453" s="165"/>
      <c r="DD1453" s="166"/>
      <c r="DE1453" s="71"/>
      <c r="DF1453" s="170"/>
      <c r="EO1453" s="353" t="str">
        <f t="shared" si="192"/>
        <v>SANTANDER_ENCISO</v>
      </c>
      <c r="EP1453" s="350"/>
      <c r="EQ1453" s="350"/>
      <c r="ER1453" s="357"/>
      <c r="ES1453" s="350"/>
      <c r="ET1453" s="350"/>
      <c r="EU1453" s="350"/>
    </row>
    <row r="1454" spans="1:151" s="171" customFormat="1" ht="25.5" x14ac:dyDescent="0.2">
      <c r="A1454" s="242">
        <v>40483</v>
      </c>
      <c r="B1454" s="222" t="s">
        <v>2427</v>
      </c>
      <c r="C1454" s="222" t="s">
        <v>3007</v>
      </c>
      <c r="D1454" s="430" t="s">
        <v>837</v>
      </c>
      <c r="E1454" s="107" t="str">
        <f>VLOOKUP(B1454&amp;C1454,Divipola!$C$2:$F$1138,4,FALSE)</f>
        <v>68406</v>
      </c>
      <c r="F1454" s="333"/>
      <c r="G1454" s="275"/>
      <c r="H1454" s="157"/>
      <c r="I1454" s="157"/>
      <c r="J1454" s="157">
        <f>305+64</f>
        <v>369</v>
      </c>
      <c r="K1454" s="157">
        <v>125</v>
      </c>
      <c r="L1454" s="157">
        <v>30</v>
      </c>
      <c r="M1454" s="157">
        <v>50</v>
      </c>
      <c r="N1454" s="157">
        <v>2</v>
      </c>
      <c r="O1454" s="157"/>
      <c r="P1454" s="157"/>
      <c r="Q1454" s="157"/>
      <c r="R1454" s="157"/>
      <c r="S1454" s="157"/>
      <c r="T1454" s="157"/>
      <c r="U1454" s="157"/>
      <c r="V1454" s="158">
        <v>300</v>
      </c>
      <c r="W1454" s="182" t="s">
        <v>2180</v>
      </c>
      <c r="X1454" s="1"/>
      <c r="Y1454" s="78">
        <f t="shared" si="187"/>
        <v>0</v>
      </c>
      <c r="Z1454" s="78">
        <f t="shared" si="188"/>
        <v>0</v>
      </c>
      <c r="AA1454" s="78">
        <f t="shared" si="186"/>
        <v>0</v>
      </c>
      <c r="AB1454" s="78">
        <f t="shared" si="189"/>
        <v>0</v>
      </c>
      <c r="AC1454" s="78"/>
      <c r="AD1454" s="78">
        <v>0</v>
      </c>
      <c r="AE1454" s="80">
        <f t="shared" si="191"/>
        <v>0</v>
      </c>
      <c r="AF1454" s="82">
        <v>0</v>
      </c>
      <c r="AG1454" s="69">
        <v>38682</v>
      </c>
      <c r="AH1454" s="84">
        <v>67579</v>
      </c>
      <c r="AI1454" s="69" t="s">
        <v>2009</v>
      </c>
      <c r="AJ1454" s="25" t="s">
        <v>2010</v>
      </c>
      <c r="AK1454" s="65"/>
      <c r="AL1454" s="184" t="s">
        <v>805</v>
      </c>
      <c r="AM1454" s="173" t="s">
        <v>283</v>
      </c>
      <c r="AN1454" s="159"/>
      <c r="AO1454" s="160"/>
      <c r="AP1454" s="161"/>
      <c r="AQ1454" s="160"/>
      <c r="AR1454" s="160"/>
      <c r="AS1454" s="160"/>
      <c r="AT1454" s="160"/>
      <c r="AU1454" s="160"/>
      <c r="AV1454" s="160"/>
      <c r="AW1454" s="160"/>
      <c r="AX1454" s="160"/>
      <c r="AY1454" s="160"/>
      <c r="AZ1454" s="160"/>
      <c r="BA1454" s="160"/>
      <c r="BB1454" s="160"/>
      <c r="BC1454" s="160"/>
      <c r="BD1454" s="160"/>
      <c r="BE1454" s="160"/>
      <c r="BF1454" s="160"/>
      <c r="BG1454" s="160"/>
      <c r="BH1454" s="160"/>
      <c r="BI1454" s="160"/>
      <c r="BJ1454" s="160"/>
      <c r="BK1454" s="160"/>
      <c r="BL1454" s="160"/>
      <c r="BM1454" s="160"/>
      <c r="BN1454" s="160"/>
      <c r="BO1454" s="160"/>
      <c r="BP1454" s="160"/>
      <c r="BQ1454" s="160"/>
      <c r="BR1454" s="160"/>
      <c r="BS1454" s="160"/>
      <c r="BT1454" s="160"/>
      <c r="BU1454" s="160"/>
      <c r="BV1454" s="160"/>
      <c r="BW1454" s="160"/>
      <c r="BX1454" s="160"/>
      <c r="BY1454" s="160"/>
      <c r="BZ1454" s="160"/>
      <c r="CA1454" s="160"/>
      <c r="CB1454" s="160"/>
      <c r="CC1454" s="160"/>
      <c r="CD1454" s="160"/>
      <c r="CE1454" s="160"/>
      <c r="CF1454" s="160"/>
      <c r="CG1454" s="160"/>
      <c r="CH1454" s="160"/>
      <c r="CI1454" s="160"/>
      <c r="CJ1454" s="160"/>
      <c r="CK1454" s="160"/>
      <c r="CL1454" s="160"/>
      <c r="CM1454" s="160"/>
      <c r="CN1454" s="160"/>
      <c r="CO1454" s="160"/>
      <c r="CP1454" s="162"/>
      <c r="CQ1454" s="163"/>
      <c r="CR1454" s="162"/>
      <c r="CS1454" s="163"/>
      <c r="CT1454" s="162"/>
      <c r="CU1454" s="163"/>
      <c r="CV1454" s="164">
        <f t="shared" si="190"/>
        <v>0</v>
      </c>
      <c r="CW1454" s="165"/>
      <c r="CX1454" s="166"/>
      <c r="CY1454" s="167"/>
      <c r="CZ1454" s="168"/>
      <c r="DA1454" s="169"/>
      <c r="DB1454" s="168"/>
      <c r="DC1454" s="165"/>
      <c r="DD1454" s="166"/>
      <c r="DE1454" s="71"/>
      <c r="DF1454" s="170"/>
      <c r="EO1454" s="353" t="str">
        <f t="shared" si="192"/>
        <v>SANTANDER_LEBRIJA</v>
      </c>
      <c r="EP1454" s="350"/>
      <c r="EQ1454" s="350"/>
      <c r="ER1454" s="357"/>
      <c r="ES1454" s="350"/>
      <c r="ET1454" s="350"/>
      <c r="EU1454" s="350"/>
    </row>
    <row r="1455" spans="1:151" s="171" customFormat="1" ht="38.25" x14ac:dyDescent="0.2">
      <c r="A1455" s="242">
        <v>40483</v>
      </c>
      <c r="B1455" s="222" t="s">
        <v>2427</v>
      </c>
      <c r="C1455" s="222" t="s">
        <v>3008</v>
      </c>
      <c r="D1455" s="430" t="s">
        <v>2307</v>
      </c>
      <c r="E1455" s="107" t="str">
        <f>VLOOKUP(B1455&amp;C1455,Divipola!$C$2:$F$1138,4,FALSE)</f>
        <v>68464</v>
      </c>
      <c r="F1455" s="333"/>
      <c r="G1455" s="275"/>
      <c r="H1455" s="157"/>
      <c r="I1455" s="157"/>
      <c r="J1455" s="157">
        <v>219</v>
      </c>
      <c r="K1455" s="157">
        <v>54</v>
      </c>
      <c r="L1455" s="157"/>
      <c r="M1455" s="157">
        <v>8</v>
      </c>
      <c r="N1455" s="157">
        <v>3</v>
      </c>
      <c r="O1455" s="157"/>
      <c r="P1455" s="157"/>
      <c r="Q1455" s="157"/>
      <c r="R1455" s="157"/>
      <c r="S1455" s="157"/>
      <c r="T1455" s="157"/>
      <c r="U1455" s="157"/>
      <c r="V1455" s="158">
        <v>300</v>
      </c>
      <c r="W1455" s="182" t="s">
        <v>2180</v>
      </c>
      <c r="X1455" s="1"/>
      <c r="Y1455" s="78">
        <f t="shared" si="187"/>
        <v>0</v>
      </c>
      <c r="Z1455" s="78">
        <f t="shared" si="188"/>
        <v>0</v>
      </c>
      <c r="AA1455" s="78">
        <f t="shared" si="186"/>
        <v>0</v>
      </c>
      <c r="AB1455" s="78">
        <f t="shared" si="189"/>
        <v>0</v>
      </c>
      <c r="AC1455" s="78"/>
      <c r="AD1455" s="78">
        <v>0</v>
      </c>
      <c r="AE1455" s="80">
        <f t="shared" si="191"/>
        <v>0</v>
      </c>
      <c r="AF1455" s="82">
        <v>0</v>
      </c>
      <c r="AG1455" s="69">
        <v>38682</v>
      </c>
      <c r="AH1455" s="84">
        <v>67579</v>
      </c>
      <c r="AI1455" s="69" t="s">
        <v>2009</v>
      </c>
      <c r="AJ1455" s="25" t="s">
        <v>2010</v>
      </c>
      <c r="AK1455" s="65"/>
      <c r="AL1455" s="184" t="s">
        <v>805</v>
      </c>
      <c r="AM1455" s="173" t="s">
        <v>283</v>
      </c>
      <c r="AN1455" s="159"/>
      <c r="AO1455" s="160"/>
      <c r="AP1455" s="161"/>
      <c r="AQ1455" s="160"/>
      <c r="AR1455" s="160"/>
      <c r="AS1455" s="160"/>
      <c r="AT1455" s="160"/>
      <c r="AU1455" s="160"/>
      <c r="AV1455" s="160"/>
      <c r="AW1455" s="160"/>
      <c r="AX1455" s="160"/>
      <c r="AY1455" s="160"/>
      <c r="AZ1455" s="160"/>
      <c r="BA1455" s="160"/>
      <c r="BB1455" s="160"/>
      <c r="BC1455" s="160"/>
      <c r="BD1455" s="160"/>
      <c r="BE1455" s="160"/>
      <c r="BF1455" s="160"/>
      <c r="BG1455" s="160"/>
      <c r="BH1455" s="160"/>
      <c r="BI1455" s="160"/>
      <c r="BJ1455" s="160"/>
      <c r="BK1455" s="160"/>
      <c r="BL1455" s="160"/>
      <c r="BM1455" s="160"/>
      <c r="BN1455" s="160"/>
      <c r="BO1455" s="160"/>
      <c r="BP1455" s="160"/>
      <c r="BQ1455" s="160"/>
      <c r="BR1455" s="160"/>
      <c r="BS1455" s="160"/>
      <c r="BT1455" s="160"/>
      <c r="BU1455" s="160"/>
      <c r="BV1455" s="160"/>
      <c r="BW1455" s="160"/>
      <c r="BX1455" s="160"/>
      <c r="BY1455" s="160"/>
      <c r="BZ1455" s="160"/>
      <c r="CA1455" s="160"/>
      <c r="CB1455" s="160"/>
      <c r="CC1455" s="160"/>
      <c r="CD1455" s="160"/>
      <c r="CE1455" s="160"/>
      <c r="CF1455" s="160"/>
      <c r="CG1455" s="160"/>
      <c r="CH1455" s="160"/>
      <c r="CI1455" s="160"/>
      <c r="CJ1455" s="160"/>
      <c r="CK1455" s="160"/>
      <c r="CL1455" s="160"/>
      <c r="CM1455" s="160"/>
      <c r="CN1455" s="160"/>
      <c r="CO1455" s="160"/>
      <c r="CP1455" s="162"/>
      <c r="CQ1455" s="163"/>
      <c r="CR1455" s="162"/>
      <c r="CS1455" s="163"/>
      <c r="CT1455" s="162"/>
      <c r="CU1455" s="163"/>
      <c r="CV1455" s="164">
        <f t="shared" si="190"/>
        <v>0</v>
      </c>
      <c r="CW1455" s="165"/>
      <c r="CX1455" s="166"/>
      <c r="CY1455" s="167"/>
      <c r="CZ1455" s="168"/>
      <c r="DA1455" s="169"/>
      <c r="DB1455" s="168"/>
      <c r="DC1455" s="165"/>
      <c r="DD1455" s="166"/>
      <c r="DE1455" s="71"/>
      <c r="DF1455" s="170"/>
      <c r="EO1455" s="353" t="str">
        <f t="shared" si="192"/>
        <v>SANTANDER_MOGOTES</v>
      </c>
      <c r="EP1455" s="350"/>
      <c r="EQ1455" s="350"/>
      <c r="ER1455" s="357"/>
      <c r="ES1455" s="350"/>
      <c r="ET1455" s="350"/>
      <c r="EU1455" s="350"/>
    </row>
    <row r="1456" spans="1:151" s="171" customFormat="1" ht="38.25" x14ac:dyDescent="0.2">
      <c r="A1456" s="242">
        <v>40483</v>
      </c>
      <c r="B1456" s="222" t="s">
        <v>2427</v>
      </c>
      <c r="C1456" s="222" t="s">
        <v>3009</v>
      </c>
      <c r="D1456" s="430" t="s">
        <v>2307</v>
      </c>
      <c r="E1456" s="107" t="str">
        <f>VLOOKUP(B1456&amp;C1456,Divipola!$C$2:$F$1138,4,FALSE)</f>
        <v>68547</v>
      </c>
      <c r="F1456" s="333"/>
      <c r="G1456" s="275"/>
      <c r="H1456" s="157"/>
      <c r="I1456" s="157"/>
      <c r="J1456" s="157">
        <f>133*5</f>
        <v>665</v>
      </c>
      <c r="K1456" s="157">
        <v>133</v>
      </c>
      <c r="L1456" s="157">
        <v>32</v>
      </c>
      <c r="M1456" s="157">
        <v>74</v>
      </c>
      <c r="N1456" s="157">
        <v>35</v>
      </c>
      <c r="O1456" s="157">
        <v>2</v>
      </c>
      <c r="P1456" s="157"/>
      <c r="Q1456" s="157"/>
      <c r="R1456" s="157"/>
      <c r="S1456" s="157"/>
      <c r="T1456" s="157"/>
      <c r="U1456" s="157"/>
      <c r="V1456" s="158">
        <v>120</v>
      </c>
      <c r="W1456" s="182" t="s">
        <v>2180</v>
      </c>
      <c r="X1456" s="1"/>
      <c r="Y1456" s="78">
        <f t="shared" si="187"/>
        <v>0</v>
      </c>
      <c r="Z1456" s="78">
        <f t="shared" si="188"/>
        <v>0</v>
      </c>
      <c r="AA1456" s="78">
        <f t="shared" si="186"/>
        <v>0</v>
      </c>
      <c r="AB1456" s="78">
        <f t="shared" si="189"/>
        <v>0</v>
      </c>
      <c r="AC1456" s="78"/>
      <c r="AD1456" s="78">
        <v>0</v>
      </c>
      <c r="AE1456" s="80">
        <f t="shared" si="191"/>
        <v>0</v>
      </c>
      <c r="AF1456" s="82">
        <v>0</v>
      </c>
      <c r="AG1456" s="69">
        <v>38682</v>
      </c>
      <c r="AH1456" s="84">
        <v>67579</v>
      </c>
      <c r="AI1456" s="69" t="s">
        <v>2009</v>
      </c>
      <c r="AJ1456" s="25" t="s">
        <v>2010</v>
      </c>
      <c r="AK1456" s="65"/>
      <c r="AL1456" s="184" t="s">
        <v>805</v>
      </c>
      <c r="AM1456" s="173" t="s">
        <v>283</v>
      </c>
      <c r="AN1456" s="159"/>
      <c r="AO1456" s="160"/>
      <c r="AP1456" s="161"/>
      <c r="AQ1456" s="160"/>
      <c r="AR1456" s="160"/>
      <c r="AS1456" s="160"/>
      <c r="AT1456" s="160"/>
      <c r="AU1456" s="160"/>
      <c r="AV1456" s="160"/>
      <c r="AW1456" s="160"/>
      <c r="AX1456" s="160"/>
      <c r="AY1456" s="160"/>
      <c r="AZ1456" s="160"/>
      <c r="BA1456" s="160"/>
      <c r="BB1456" s="160"/>
      <c r="BC1456" s="160"/>
      <c r="BD1456" s="160"/>
      <c r="BE1456" s="160"/>
      <c r="BF1456" s="160"/>
      <c r="BG1456" s="160"/>
      <c r="BH1456" s="160"/>
      <c r="BI1456" s="160"/>
      <c r="BJ1456" s="160"/>
      <c r="BK1456" s="160"/>
      <c r="BL1456" s="160"/>
      <c r="BM1456" s="160"/>
      <c r="BN1456" s="160"/>
      <c r="BO1456" s="160"/>
      <c r="BP1456" s="160"/>
      <c r="BQ1456" s="160"/>
      <c r="BR1456" s="160"/>
      <c r="BS1456" s="160"/>
      <c r="BT1456" s="160"/>
      <c r="BU1456" s="160"/>
      <c r="BV1456" s="160"/>
      <c r="BW1456" s="160"/>
      <c r="BX1456" s="160"/>
      <c r="BY1456" s="160"/>
      <c r="BZ1456" s="160"/>
      <c r="CA1456" s="160"/>
      <c r="CB1456" s="160"/>
      <c r="CC1456" s="160"/>
      <c r="CD1456" s="160"/>
      <c r="CE1456" s="160"/>
      <c r="CF1456" s="160"/>
      <c r="CG1456" s="160"/>
      <c r="CH1456" s="160"/>
      <c r="CI1456" s="160"/>
      <c r="CJ1456" s="160"/>
      <c r="CK1456" s="160"/>
      <c r="CL1456" s="160"/>
      <c r="CM1456" s="160"/>
      <c r="CN1456" s="160"/>
      <c r="CO1456" s="160"/>
      <c r="CP1456" s="162"/>
      <c r="CQ1456" s="163"/>
      <c r="CR1456" s="162"/>
      <c r="CS1456" s="163"/>
      <c r="CT1456" s="162"/>
      <c r="CU1456" s="163"/>
      <c r="CV1456" s="164">
        <f t="shared" si="190"/>
        <v>0</v>
      </c>
      <c r="CW1456" s="165"/>
      <c r="CX1456" s="166"/>
      <c r="CY1456" s="167"/>
      <c r="CZ1456" s="168"/>
      <c r="DA1456" s="169"/>
      <c r="DB1456" s="168"/>
      <c r="DC1456" s="165"/>
      <c r="DD1456" s="166"/>
      <c r="DE1456" s="71"/>
      <c r="DF1456" s="170"/>
      <c r="EO1456" s="353" t="str">
        <f t="shared" si="192"/>
        <v>SANTANDER_PIEDECUESTA</v>
      </c>
      <c r="EP1456" s="350"/>
      <c r="EQ1456" s="350"/>
      <c r="ER1456" s="357"/>
      <c r="ES1456" s="350"/>
      <c r="ET1456" s="350"/>
      <c r="EU1456" s="350"/>
    </row>
    <row r="1457" spans="1:151" s="171" customFormat="1" ht="38.25" x14ac:dyDescent="0.2">
      <c r="A1457" s="242">
        <v>40483</v>
      </c>
      <c r="B1457" s="222" t="s">
        <v>2427</v>
      </c>
      <c r="C1457" s="222" t="s">
        <v>3010</v>
      </c>
      <c r="D1457" s="430" t="s">
        <v>2307</v>
      </c>
      <c r="E1457" s="107" t="str">
        <f>VLOOKUP(B1457&amp;C1457,Divipola!$C$2:$F$1138,4,FALSE)</f>
        <v>68682</v>
      </c>
      <c r="F1457" s="333"/>
      <c r="G1457" s="275"/>
      <c r="H1457" s="157"/>
      <c r="I1457" s="157"/>
      <c r="J1457" s="157">
        <f>150*5</f>
        <v>750</v>
      </c>
      <c r="K1457" s="157">
        <v>150</v>
      </c>
      <c r="L1457" s="157"/>
      <c r="M1457" s="157">
        <v>48</v>
      </c>
      <c r="N1457" s="157">
        <v>3</v>
      </c>
      <c r="O1457" s="157"/>
      <c r="P1457" s="157"/>
      <c r="Q1457" s="157"/>
      <c r="R1457" s="157"/>
      <c r="S1457" s="157"/>
      <c r="T1457" s="157"/>
      <c r="U1457" s="157"/>
      <c r="V1457" s="158">
        <v>250</v>
      </c>
      <c r="W1457" s="182" t="s">
        <v>2180</v>
      </c>
      <c r="X1457" s="1"/>
      <c r="Y1457" s="78">
        <f t="shared" si="187"/>
        <v>0</v>
      </c>
      <c r="Z1457" s="78">
        <f t="shared" si="188"/>
        <v>0</v>
      </c>
      <c r="AA1457" s="78">
        <f t="shared" si="186"/>
        <v>0</v>
      </c>
      <c r="AB1457" s="78">
        <f t="shared" si="189"/>
        <v>0</v>
      </c>
      <c r="AC1457" s="78"/>
      <c r="AD1457" s="78">
        <v>0</v>
      </c>
      <c r="AE1457" s="80">
        <f t="shared" si="191"/>
        <v>0</v>
      </c>
      <c r="AF1457" s="82">
        <v>0</v>
      </c>
      <c r="AG1457" s="69">
        <v>38682</v>
      </c>
      <c r="AH1457" s="84">
        <v>67579</v>
      </c>
      <c r="AI1457" s="69" t="s">
        <v>2009</v>
      </c>
      <c r="AJ1457" s="25" t="s">
        <v>2010</v>
      </c>
      <c r="AK1457" s="65"/>
      <c r="AL1457" s="184" t="s">
        <v>805</v>
      </c>
      <c r="AM1457" s="173" t="s">
        <v>283</v>
      </c>
      <c r="AN1457" s="159"/>
      <c r="AO1457" s="160"/>
      <c r="AP1457" s="161"/>
      <c r="AQ1457" s="160"/>
      <c r="AR1457" s="160"/>
      <c r="AS1457" s="160"/>
      <c r="AT1457" s="160"/>
      <c r="AU1457" s="160"/>
      <c r="AV1457" s="160"/>
      <c r="AW1457" s="160"/>
      <c r="AX1457" s="160"/>
      <c r="AY1457" s="160"/>
      <c r="AZ1457" s="160"/>
      <c r="BA1457" s="160"/>
      <c r="BB1457" s="160"/>
      <c r="BC1457" s="160"/>
      <c r="BD1457" s="160"/>
      <c r="BE1457" s="160"/>
      <c r="BF1457" s="160"/>
      <c r="BG1457" s="160"/>
      <c r="BH1457" s="160"/>
      <c r="BI1457" s="160"/>
      <c r="BJ1457" s="160"/>
      <c r="BK1457" s="160"/>
      <c r="BL1457" s="160"/>
      <c r="BM1457" s="160"/>
      <c r="BN1457" s="160"/>
      <c r="BO1457" s="160"/>
      <c r="BP1457" s="160"/>
      <c r="BQ1457" s="160"/>
      <c r="BR1457" s="160"/>
      <c r="BS1457" s="160"/>
      <c r="BT1457" s="160"/>
      <c r="BU1457" s="160"/>
      <c r="BV1457" s="160"/>
      <c r="BW1457" s="160"/>
      <c r="BX1457" s="160"/>
      <c r="BY1457" s="160"/>
      <c r="BZ1457" s="160"/>
      <c r="CA1457" s="160"/>
      <c r="CB1457" s="160"/>
      <c r="CC1457" s="160"/>
      <c r="CD1457" s="160"/>
      <c r="CE1457" s="160"/>
      <c r="CF1457" s="160"/>
      <c r="CG1457" s="160"/>
      <c r="CH1457" s="160"/>
      <c r="CI1457" s="160"/>
      <c r="CJ1457" s="160"/>
      <c r="CK1457" s="160"/>
      <c r="CL1457" s="160"/>
      <c r="CM1457" s="160"/>
      <c r="CN1457" s="160"/>
      <c r="CO1457" s="160"/>
      <c r="CP1457" s="162"/>
      <c r="CQ1457" s="163"/>
      <c r="CR1457" s="162"/>
      <c r="CS1457" s="163"/>
      <c r="CT1457" s="162"/>
      <c r="CU1457" s="163"/>
      <c r="CV1457" s="164">
        <f t="shared" si="190"/>
        <v>0</v>
      </c>
      <c r="CW1457" s="165"/>
      <c r="CX1457" s="166"/>
      <c r="CY1457" s="167"/>
      <c r="CZ1457" s="168"/>
      <c r="DA1457" s="169"/>
      <c r="DB1457" s="168"/>
      <c r="DC1457" s="165"/>
      <c r="DD1457" s="166"/>
      <c r="DE1457" s="71"/>
      <c r="DF1457" s="170"/>
      <c r="EO1457" s="353" t="str">
        <f t="shared" si="192"/>
        <v>SANTANDER_SAN JOAQUIN</v>
      </c>
      <c r="EP1457" s="350"/>
      <c r="EQ1457" s="350"/>
      <c r="ER1457" s="357"/>
      <c r="ES1457" s="350"/>
      <c r="ET1457" s="350"/>
      <c r="EU1457" s="350"/>
    </row>
    <row r="1458" spans="1:151" s="171" customFormat="1" ht="25.5" x14ac:dyDescent="0.2">
      <c r="A1458" s="242">
        <v>40483</v>
      </c>
      <c r="B1458" s="222" t="s">
        <v>2427</v>
      </c>
      <c r="C1458" s="222" t="s">
        <v>3012</v>
      </c>
      <c r="D1458" s="430" t="s">
        <v>2307</v>
      </c>
      <c r="E1458" s="107" t="str">
        <f>VLOOKUP(B1458&amp;C1458,Divipola!$C$2:$F$1138,4,FALSE)</f>
        <v>68820</v>
      </c>
      <c r="F1458" s="333"/>
      <c r="G1458" s="275"/>
      <c r="H1458" s="157"/>
      <c r="I1458" s="157"/>
      <c r="J1458" s="157">
        <f>140*5</f>
        <v>700</v>
      </c>
      <c r="K1458" s="157">
        <v>140</v>
      </c>
      <c r="L1458" s="157">
        <v>30</v>
      </c>
      <c r="M1458" s="157">
        <v>20</v>
      </c>
      <c r="N1458" s="157">
        <v>4</v>
      </c>
      <c r="O1458" s="157"/>
      <c r="P1458" s="157"/>
      <c r="Q1458" s="157"/>
      <c r="R1458" s="157"/>
      <c r="S1458" s="157"/>
      <c r="T1458" s="157"/>
      <c r="U1458" s="157"/>
      <c r="V1458" s="158">
        <v>100</v>
      </c>
      <c r="W1458" s="182" t="s">
        <v>2180</v>
      </c>
      <c r="X1458" s="1"/>
      <c r="Y1458" s="78">
        <f t="shared" si="187"/>
        <v>0</v>
      </c>
      <c r="Z1458" s="78">
        <f t="shared" si="188"/>
        <v>0</v>
      </c>
      <c r="AA1458" s="78">
        <f t="shared" si="186"/>
        <v>0</v>
      </c>
      <c r="AB1458" s="78">
        <f t="shared" si="189"/>
        <v>0</v>
      </c>
      <c r="AC1458" s="78"/>
      <c r="AD1458" s="78">
        <v>0</v>
      </c>
      <c r="AE1458" s="80">
        <f t="shared" si="191"/>
        <v>0</v>
      </c>
      <c r="AF1458" s="82">
        <v>0</v>
      </c>
      <c r="AG1458" s="69">
        <v>38682</v>
      </c>
      <c r="AH1458" s="84">
        <v>67579</v>
      </c>
      <c r="AI1458" s="69" t="s">
        <v>2009</v>
      </c>
      <c r="AJ1458" s="25" t="s">
        <v>2010</v>
      </c>
      <c r="AK1458" s="65"/>
      <c r="AL1458" s="184" t="s">
        <v>805</v>
      </c>
      <c r="AM1458" s="173" t="s">
        <v>283</v>
      </c>
      <c r="AN1458" s="159"/>
      <c r="AO1458" s="160"/>
      <c r="AP1458" s="161"/>
      <c r="AQ1458" s="160"/>
      <c r="AR1458" s="160"/>
      <c r="AS1458" s="160"/>
      <c r="AT1458" s="160"/>
      <c r="AU1458" s="160"/>
      <c r="AV1458" s="160"/>
      <c r="AW1458" s="160"/>
      <c r="AX1458" s="160"/>
      <c r="AY1458" s="160"/>
      <c r="AZ1458" s="160"/>
      <c r="BA1458" s="160"/>
      <c r="BB1458" s="160"/>
      <c r="BC1458" s="160"/>
      <c r="BD1458" s="160"/>
      <c r="BE1458" s="160"/>
      <c r="BF1458" s="160"/>
      <c r="BG1458" s="160"/>
      <c r="BH1458" s="160"/>
      <c r="BI1458" s="160"/>
      <c r="BJ1458" s="160"/>
      <c r="BK1458" s="160"/>
      <c r="BL1458" s="160"/>
      <c r="BM1458" s="160"/>
      <c r="BN1458" s="160"/>
      <c r="BO1458" s="160"/>
      <c r="BP1458" s="160"/>
      <c r="BQ1458" s="160"/>
      <c r="BR1458" s="160"/>
      <c r="BS1458" s="160"/>
      <c r="BT1458" s="160"/>
      <c r="BU1458" s="160"/>
      <c r="BV1458" s="160"/>
      <c r="BW1458" s="160"/>
      <c r="BX1458" s="160"/>
      <c r="BY1458" s="160"/>
      <c r="BZ1458" s="160"/>
      <c r="CA1458" s="160"/>
      <c r="CB1458" s="160"/>
      <c r="CC1458" s="160"/>
      <c r="CD1458" s="160"/>
      <c r="CE1458" s="160"/>
      <c r="CF1458" s="160"/>
      <c r="CG1458" s="160"/>
      <c r="CH1458" s="160"/>
      <c r="CI1458" s="160"/>
      <c r="CJ1458" s="160"/>
      <c r="CK1458" s="160"/>
      <c r="CL1458" s="160"/>
      <c r="CM1458" s="160"/>
      <c r="CN1458" s="160"/>
      <c r="CO1458" s="160"/>
      <c r="CP1458" s="162"/>
      <c r="CQ1458" s="163"/>
      <c r="CR1458" s="162"/>
      <c r="CS1458" s="163"/>
      <c r="CT1458" s="162"/>
      <c r="CU1458" s="163"/>
      <c r="CV1458" s="164">
        <f t="shared" si="190"/>
        <v>0</v>
      </c>
      <c r="CW1458" s="165"/>
      <c r="CX1458" s="166"/>
      <c r="CY1458" s="167"/>
      <c r="CZ1458" s="168"/>
      <c r="DA1458" s="169"/>
      <c r="DB1458" s="168"/>
      <c r="DC1458" s="165"/>
      <c r="DD1458" s="166"/>
      <c r="DE1458" s="71"/>
      <c r="DF1458" s="170"/>
      <c r="EO1458" s="353" t="str">
        <f t="shared" si="192"/>
        <v>SANTANDER_TONA</v>
      </c>
      <c r="EP1458" s="350"/>
      <c r="EQ1458" s="350"/>
      <c r="ER1458" s="357"/>
      <c r="ES1458" s="350"/>
      <c r="ET1458" s="350"/>
      <c r="EU1458" s="350"/>
    </row>
    <row r="1459" spans="1:151" s="171" customFormat="1" ht="38.25" x14ac:dyDescent="0.2">
      <c r="A1459" s="242">
        <v>40483</v>
      </c>
      <c r="B1459" s="222" t="s">
        <v>2427</v>
      </c>
      <c r="C1459" s="222" t="s">
        <v>3013</v>
      </c>
      <c r="D1459" s="430" t="s">
        <v>837</v>
      </c>
      <c r="E1459" s="107" t="str">
        <f>VLOOKUP(B1459&amp;C1459,Divipola!$C$2:$F$1138,4,FALSE)</f>
        <v>68895</v>
      </c>
      <c r="F1459" s="333"/>
      <c r="G1459" s="275"/>
      <c r="H1459" s="157"/>
      <c r="I1459" s="157"/>
      <c r="J1459" s="157">
        <f>85*5</f>
        <v>425</v>
      </c>
      <c r="K1459" s="157">
        <v>85</v>
      </c>
      <c r="L1459" s="157"/>
      <c r="M1459" s="157">
        <v>10</v>
      </c>
      <c r="N1459" s="157">
        <v>2</v>
      </c>
      <c r="O1459" s="157"/>
      <c r="P1459" s="157"/>
      <c r="Q1459" s="157">
        <v>4</v>
      </c>
      <c r="R1459" s="157"/>
      <c r="S1459" s="157"/>
      <c r="T1459" s="157"/>
      <c r="U1459" s="157"/>
      <c r="V1459" s="158">
        <v>90</v>
      </c>
      <c r="W1459" s="182" t="s">
        <v>2180</v>
      </c>
      <c r="X1459" s="1"/>
      <c r="Y1459" s="78">
        <f t="shared" si="187"/>
        <v>0</v>
      </c>
      <c r="Z1459" s="78">
        <f t="shared" si="188"/>
        <v>0</v>
      </c>
      <c r="AA1459" s="78">
        <f t="shared" si="186"/>
        <v>0</v>
      </c>
      <c r="AB1459" s="78">
        <f t="shared" si="189"/>
        <v>0</v>
      </c>
      <c r="AC1459" s="78"/>
      <c r="AD1459" s="78">
        <v>0</v>
      </c>
      <c r="AE1459" s="80">
        <f t="shared" si="191"/>
        <v>0</v>
      </c>
      <c r="AF1459" s="82">
        <v>0</v>
      </c>
      <c r="AG1459" s="69">
        <v>38682</v>
      </c>
      <c r="AH1459" s="84">
        <v>67579</v>
      </c>
      <c r="AI1459" s="69" t="s">
        <v>2009</v>
      </c>
      <c r="AJ1459" s="25" t="s">
        <v>2010</v>
      </c>
      <c r="AK1459" s="65"/>
      <c r="AL1459" s="184" t="s">
        <v>805</v>
      </c>
      <c r="AM1459" s="173" t="s">
        <v>283</v>
      </c>
      <c r="AN1459" s="159"/>
      <c r="AO1459" s="160"/>
      <c r="AP1459" s="161"/>
      <c r="AQ1459" s="160"/>
      <c r="AR1459" s="160"/>
      <c r="AS1459" s="160"/>
      <c r="AT1459" s="160"/>
      <c r="AU1459" s="160"/>
      <c r="AV1459" s="160"/>
      <c r="AW1459" s="160"/>
      <c r="AX1459" s="160"/>
      <c r="AY1459" s="160"/>
      <c r="AZ1459" s="160"/>
      <c r="BA1459" s="160"/>
      <c r="BB1459" s="160"/>
      <c r="BC1459" s="160"/>
      <c r="BD1459" s="160"/>
      <c r="BE1459" s="160"/>
      <c r="BF1459" s="160"/>
      <c r="BG1459" s="160"/>
      <c r="BH1459" s="160"/>
      <c r="BI1459" s="160"/>
      <c r="BJ1459" s="160"/>
      <c r="BK1459" s="160"/>
      <c r="BL1459" s="160"/>
      <c r="BM1459" s="160"/>
      <c r="BN1459" s="160"/>
      <c r="BO1459" s="160"/>
      <c r="BP1459" s="160"/>
      <c r="BQ1459" s="160"/>
      <c r="BR1459" s="160"/>
      <c r="BS1459" s="160"/>
      <c r="BT1459" s="160"/>
      <c r="BU1459" s="160"/>
      <c r="BV1459" s="160"/>
      <c r="BW1459" s="160"/>
      <c r="BX1459" s="160"/>
      <c r="BY1459" s="160"/>
      <c r="BZ1459" s="160"/>
      <c r="CA1459" s="160"/>
      <c r="CB1459" s="160"/>
      <c r="CC1459" s="160"/>
      <c r="CD1459" s="160"/>
      <c r="CE1459" s="160"/>
      <c r="CF1459" s="160"/>
      <c r="CG1459" s="160"/>
      <c r="CH1459" s="160"/>
      <c r="CI1459" s="160"/>
      <c r="CJ1459" s="160"/>
      <c r="CK1459" s="160"/>
      <c r="CL1459" s="160"/>
      <c r="CM1459" s="160"/>
      <c r="CN1459" s="160"/>
      <c r="CO1459" s="160"/>
      <c r="CP1459" s="162"/>
      <c r="CQ1459" s="163"/>
      <c r="CR1459" s="162"/>
      <c r="CS1459" s="163"/>
      <c r="CT1459" s="162"/>
      <c r="CU1459" s="163"/>
      <c r="CV1459" s="164">
        <f t="shared" si="190"/>
        <v>0</v>
      </c>
      <c r="CW1459" s="165"/>
      <c r="CX1459" s="166"/>
      <c r="CY1459" s="167"/>
      <c r="CZ1459" s="168"/>
      <c r="DA1459" s="169"/>
      <c r="DB1459" s="168"/>
      <c r="DC1459" s="165"/>
      <c r="DD1459" s="166"/>
      <c r="DE1459" s="71"/>
      <c r="DF1459" s="170"/>
      <c r="EO1459" s="353" t="str">
        <f t="shared" si="192"/>
        <v>SANTANDER_ZAPATOCA</v>
      </c>
      <c r="EP1459" s="350"/>
      <c r="EQ1459" s="350"/>
      <c r="ER1459" s="357"/>
      <c r="ES1459" s="350"/>
      <c r="ET1459" s="350"/>
      <c r="EU1459" s="350"/>
    </row>
    <row r="1460" spans="1:151" s="171" customFormat="1" ht="25.5" x14ac:dyDescent="0.2">
      <c r="A1460" s="242">
        <v>40483</v>
      </c>
      <c r="B1460" s="222" t="s">
        <v>2372</v>
      </c>
      <c r="C1460" s="222" t="s">
        <v>103</v>
      </c>
      <c r="D1460" s="430" t="s">
        <v>837</v>
      </c>
      <c r="E1460" s="107" t="str">
        <f>VLOOKUP(B1460&amp;C1460,Divipola!$C$2:$F$1138,4,FALSE)</f>
        <v>70717</v>
      </c>
      <c r="F1460" s="333"/>
      <c r="G1460" s="221"/>
      <c r="H1460" s="157"/>
      <c r="I1460" s="157"/>
      <c r="J1460" s="157">
        <v>1092</v>
      </c>
      <c r="K1460" s="157">
        <v>243</v>
      </c>
      <c r="L1460" s="157"/>
      <c r="M1460" s="157">
        <v>243</v>
      </c>
      <c r="N1460" s="157"/>
      <c r="O1460" s="157"/>
      <c r="P1460" s="157"/>
      <c r="Q1460" s="157"/>
      <c r="R1460" s="157"/>
      <c r="S1460" s="157"/>
      <c r="T1460" s="157"/>
      <c r="U1460" s="157"/>
      <c r="V1460" s="158"/>
      <c r="W1460" s="182"/>
      <c r="X1460" s="1"/>
      <c r="Y1460" s="78">
        <f t="shared" si="187"/>
        <v>8748000</v>
      </c>
      <c r="Z1460" s="78">
        <f t="shared" si="188"/>
        <v>20655000</v>
      </c>
      <c r="AA1460" s="78">
        <f t="shared" si="186"/>
        <v>0</v>
      </c>
      <c r="AB1460" s="78">
        <f t="shared" si="189"/>
        <v>0</v>
      </c>
      <c r="AC1460" s="78"/>
      <c r="AD1460" s="78">
        <v>0</v>
      </c>
      <c r="AE1460" s="80">
        <f t="shared" si="191"/>
        <v>29403000</v>
      </c>
      <c r="AF1460" s="82">
        <v>0</v>
      </c>
      <c r="AG1460" s="69"/>
      <c r="AH1460" s="84"/>
      <c r="AI1460" s="69" t="s">
        <v>2009</v>
      </c>
      <c r="AJ1460" s="25" t="s">
        <v>2010</v>
      </c>
      <c r="AK1460" s="65"/>
      <c r="AL1460" s="176"/>
      <c r="AM1460" s="173"/>
      <c r="AN1460" s="159"/>
      <c r="AO1460" s="160"/>
      <c r="AP1460" s="161"/>
      <c r="AQ1460" s="160"/>
      <c r="AR1460" s="160"/>
      <c r="AS1460" s="160"/>
      <c r="AT1460" s="160"/>
      <c r="AU1460" s="160"/>
      <c r="AV1460" s="160"/>
      <c r="AW1460" s="160"/>
      <c r="AX1460" s="160"/>
      <c r="AY1460" s="160"/>
      <c r="AZ1460" s="160"/>
      <c r="BA1460" s="160"/>
      <c r="BB1460" s="160"/>
      <c r="BC1460" s="160"/>
      <c r="BD1460" s="160"/>
      <c r="BE1460" s="160"/>
      <c r="BF1460" s="160"/>
      <c r="BG1460" s="160"/>
      <c r="BH1460" s="160"/>
      <c r="BI1460" s="160"/>
      <c r="BJ1460" s="160"/>
      <c r="BK1460" s="160"/>
      <c r="BL1460" s="160"/>
      <c r="BM1460" s="160"/>
      <c r="BN1460" s="160"/>
      <c r="BO1460" s="160"/>
      <c r="BP1460" s="160"/>
      <c r="BQ1460" s="160"/>
      <c r="BR1460" s="160"/>
      <c r="BS1460" s="160"/>
      <c r="BT1460" s="160"/>
      <c r="BU1460" s="160"/>
      <c r="BV1460" s="160"/>
      <c r="BW1460" s="160"/>
      <c r="BX1460" s="160"/>
      <c r="BY1460" s="160"/>
      <c r="BZ1460" s="160"/>
      <c r="CA1460" s="160"/>
      <c r="CB1460" s="160"/>
      <c r="CC1460" s="160"/>
      <c r="CD1460" s="160"/>
      <c r="CE1460" s="160"/>
      <c r="CF1460" s="160"/>
      <c r="CG1460" s="160"/>
      <c r="CH1460" s="160"/>
      <c r="CI1460" s="160"/>
      <c r="CJ1460" s="160"/>
      <c r="CK1460" s="160"/>
      <c r="CL1460" s="160"/>
      <c r="CM1460" s="160"/>
      <c r="CN1460" s="160">
        <v>486</v>
      </c>
      <c r="CO1460" s="160">
        <f>486*18000</f>
        <v>8748000</v>
      </c>
      <c r="CP1460" s="162"/>
      <c r="CQ1460" s="163"/>
      <c r="CR1460" s="162"/>
      <c r="CS1460" s="163"/>
      <c r="CT1460" s="162"/>
      <c r="CU1460" s="163"/>
      <c r="CV1460" s="164">
        <f t="shared" si="190"/>
        <v>8748000</v>
      </c>
      <c r="CW1460" s="165"/>
      <c r="CX1460" s="166"/>
      <c r="CY1460" s="167">
        <v>243</v>
      </c>
      <c r="CZ1460" s="168">
        <f>243*85000</f>
        <v>20655000</v>
      </c>
      <c r="DA1460" s="169"/>
      <c r="DB1460" s="168"/>
      <c r="DC1460" s="165"/>
      <c r="DD1460" s="166"/>
      <c r="DE1460" s="71"/>
      <c r="DF1460" s="170"/>
      <c r="EO1460" s="353" t="str">
        <f t="shared" si="192"/>
        <v>SUCRE_SAN PEDRO</v>
      </c>
      <c r="EP1460" s="350"/>
      <c r="EQ1460" s="350"/>
      <c r="ER1460" s="357"/>
      <c r="ES1460" s="350"/>
      <c r="ET1460" s="350"/>
      <c r="EU1460" s="350"/>
    </row>
    <row r="1461" spans="1:151" s="171" customFormat="1" ht="45" x14ac:dyDescent="0.2">
      <c r="A1461" s="242">
        <v>40483</v>
      </c>
      <c r="B1461" s="222" t="s">
        <v>2791</v>
      </c>
      <c r="C1461" s="222" t="s">
        <v>2120</v>
      </c>
      <c r="D1461" s="430" t="s">
        <v>837</v>
      </c>
      <c r="E1461" s="107" t="str">
        <f>VLOOKUP(B1461&amp;C1461,Divipola!$C$2:$F$1138,4,FALSE)</f>
        <v>73585</v>
      </c>
      <c r="F1461" s="333"/>
      <c r="G1461" s="221"/>
      <c r="H1461" s="157"/>
      <c r="I1461" s="157"/>
      <c r="J1461" s="157">
        <v>2588</v>
      </c>
      <c r="K1461" s="157">
        <v>575</v>
      </c>
      <c r="L1461" s="157"/>
      <c r="M1461" s="157"/>
      <c r="N1461" s="157"/>
      <c r="O1461" s="157"/>
      <c r="P1461" s="157">
        <v>1</v>
      </c>
      <c r="Q1461" s="157"/>
      <c r="R1461" s="157"/>
      <c r="S1461" s="157"/>
      <c r="T1461" s="157"/>
      <c r="U1461" s="157"/>
      <c r="V1461" s="158">
        <v>1848.9</v>
      </c>
      <c r="W1461" s="182"/>
      <c r="X1461" s="1"/>
      <c r="Y1461" s="78">
        <f t="shared" si="187"/>
        <v>0</v>
      </c>
      <c r="Z1461" s="78">
        <f t="shared" si="188"/>
        <v>0</v>
      </c>
      <c r="AA1461" s="78">
        <f t="shared" ref="AA1461:AA1524" si="193">DB1461+DD1461</f>
        <v>0</v>
      </c>
      <c r="AB1461" s="78">
        <f t="shared" si="189"/>
        <v>0</v>
      </c>
      <c r="AC1461" s="78"/>
      <c r="AD1461" s="78">
        <v>0</v>
      </c>
      <c r="AE1461" s="80">
        <f t="shared" si="191"/>
        <v>0</v>
      </c>
      <c r="AF1461" s="82">
        <v>0</v>
      </c>
      <c r="AG1461" s="69"/>
      <c r="AH1461" s="84"/>
      <c r="AI1461" s="69" t="s">
        <v>2009</v>
      </c>
      <c r="AJ1461" s="276" t="s">
        <v>2010</v>
      </c>
      <c r="AK1461" s="65"/>
      <c r="AL1461" s="272" t="s">
        <v>311</v>
      </c>
      <c r="AM1461" s="173" t="s">
        <v>321</v>
      </c>
      <c r="AN1461" s="159"/>
      <c r="AO1461" s="160"/>
      <c r="AP1461" s="161"/>
      <c r="AQ1461" s="160"/>
      <c r="AR1461" s="160"/>
      <c r="AS1461" s="160"/>
      <c r="AT1461" s="160"/>
      <c r="AU1461" s="160"/>
      <c r="AV1461" s="160"/>
      <c r="AW1461" s="160"/>
      <c r="AX1461" s="160"/>
      <c r="AY1461" s="160"/>
      <c r="AZ1461" s="160"/>
      <c r="BA1461" s="160"/>
      <c r="BB1461" s="160"/>
      <c r="BC1461" s="160"/>
      <c r="BD1461" s="160"/>
      <c r="BE1461" s="160"/>
      <c r="BF1461" s="160"/>
      <c r="BG1461" s="160"/>
      <c r="BH1461" s="160"/>
      <c r="BI1461" s="160"/>
      <c r="BJ1461" s="160"/>
      <c r="BK1461" s="160"/>
      <c r="BL1461" s="160"/>
      <c r="BM1461" s="160"/>
      <c r="BN1461" s="160"/>
      <c r="BO1461" s="160"/>
      <c r="BP1461" s="160"/>
      <c r="BQ1461" s="160"/>
      <c r="BR1461" s="160"/>
      <c r="BS1461" s="160"/>
      <c r="BT1461" s="160"/>
      <c r="BU1461" s="160"/>
      <c r="BV1461" s="160"/>
      <c r="BW1461" s="160"/>
      <c r="BX1461" s="160"/>
      <c r="BY1461" s="160"/>
      <c r="BZ1461" s="160"/>
      <c r="CA1461" s="160"/>
      <c r="CB1461" s="160"/>
      <c r="CC1461" s="160"/>
      <c r="CD1461" s="160"/>
      <c r="CE1461" s="160"/>
      <c r="CF1461" s="160"/>
      <c r="CG1461" s="160"/>
      <c r="CH1461" s="160"/>
      <c r="CI1461" s="160"/>
      <c r="CJ1461" s="160"/>
      <c r="CK1461" s="160"/>
      <c r="CL1461" s="160"/>
      <c r="CM1461" s="160"/>
      <c r="CN1461" s="160"/>
      <c r="CO1461" s="160"/>
      <c r="CP1461" s="162"/>
      <c r="CQ1461" s="163"/>
      <c r="CR1461" s="162"/>
      <c r="CS1461" s="163"/>
      <c r="CT1461" s="162"/>
      <c r="CU1461" s="163"/>
      <c r="CV1461" s="164">
        <f t="shared" si="190"/>
        <v>0</v>
      </c>
      <c r="CW1461" s="165"/>
      <c r="CX1461" s="166"/>
      <c r="CY1461" s="167"/>
      <c r="CZ1461" s="168"/>
      <c r="DA1461" s="169"/>
      <c r="DB1461" s="168"/>
      <c r="DC1461" s="165"/>
      <c r="DD1461" s="166"/>
      <c r="DE1461" s="71"/>
      <c r="DF1461" s="170"/>
      <c r="EO1461" s="353" t="str">
        <f t="shared" si="192"/>
        <v>TOLIMA_PURIFICACION</v>
      </c>
      <c r="EP1461" s="350"/>
      <c r="EQ1461" s="350"/>
      <c r="ER1461" s="357"/>
      <c r="ES1461" s="350"/>
      <c r="ET1461" s="350"/>
      <c r="EU1461" s="350"/>
    </row>
    <row r="1462" spans="1:151" s="171" customFormat="1" ht="45" x14ac:dyDescent="0.2">
      <c r="A1462" s="242">
        <v>40483</v>
      </c>
      <c r="B1462" s="222" t="s">
        <v>2791</v>
      </c>
      <c r="C1462" s="222" t="s">
        <v>318</v>
      </c>
      <c r="D1462" s="430" t="s">
        <v>837</v>
      </c>
      <c r="E1462" s="107" t="str">
        <f>VLOOKUP(B1462&amp;C1462,Divipola!$C$2:$F$1138,4,FALSE)</f>
        <v>73622</v>
      </c>
      <c r="F1462" s="333"/>
      <c r="G1462" s="221"/>
      <c r="H1462" s="157"/>
      <c r="I1462" s="157"/>
      <c r="J1462" s="421">
        <f>1596*3.7</f>
        <v>5905.2000000000007</v>
      </c>
      <c r="K1462" s="157">
        <v>1596</v>
      </c>
      <c r="L1462" s="157"/>
      <c r="M1462" s="157"/>
      <c r="N1462" s="157"/>
      <c r="O1462" s="157"/>
      <c r="P1462" s="157"/>
      <c r="Q1462" s="157"/>
      <c r="R1462" s="157"/>
      <c r="S1462" s="157"/>
      <c r="T1462" s="157"/>
      <c r="U1462" s="157"/>
      <c r="V1462" s="158">
        <v>8351</v>
      </c>
      <c r="W1462" s="182"/>
      <c r="X1462" s="1"/>
      <c r="Y1462" s="78">
        <f t="shared" si="187"/>
        <v>0</v>
      </c>
      <c r="Z1462" s="78">
        <f t="shared" si="188"/>
        <v>0</v>
      </c>
      <c r="AA1462" s="78">
        <f t="shared" si="193"/>
        <v>0</v>
      </c>
      <c r="AB1462" s="78">
        <f t="shared" si="189"/>
        <v>0</v>
      </c>
      <c r="AC1462" s="78"/>
      <c r="AD1462" s="78">
        <v>0</v>
      </c>
      <c r="AE1462" s="80">
        <f t="shared" si="191"/>
        <v>0</v>
      </c>
      <c r="AF1462" s="82">
        <v>0</v>
      </c>
      <c r="AG1462" s="69"/>
      <c r="AH1462" s="84"/>
      <c r="AI1462" s="69" t="s">
        <v>2009</v>
      </c>
      <c r="AJ1462" s="276" t="s">
        <v>2010</v>
      </c>
      <c r="AK1462" s="65"/>
      <c r="AL1462" s="272" t="s">
        <v>311</v>
      </c>
      <c r="AM1462" s="173" t="s">
        <v>321</v>
      </c>
      <c r="AN1462" s="159"/>
      <c r="AO1462" s="160"/>
      <c r="AP1462" s="161"/>
      <c r="AQ1462" s="160"/>
      <c r="AR1462" s="160"/>
      <c r="AS1462" s="160"/>
      <c r="AT1462" s="160"/>
      <c r="AU1462" s="160"/>
      <c r="AV1462" s="160"/>
      <c r="AW1462" s="160"/>
      <c r="AX1462" s="160"/>
      <c r="AY1462" s="160"/>
      <c r="AZ1462" s="160"/>
      <c r="BA1462" s="160"/>
      <c r="BB1462" s="160"/>
      <c r="BC1462" s="160"/>
      <c r="BD1462" s="160"/>
      <c r="BE1462" s="160"/>
      <c r="BF1462" s="160"/>
      <c r="BG1462" s="160"/>
      <c r="BH1462" s="160"/>
      <c r="BI1462" s="160"/>
      <c r="BJ1462" s="160"/>
      <c r="BK1462" s="160"/>
      <c r="BL1462" s="160"/>
      <c r="BM1462" s="160"/>
      <c r="BN1462" s="160"/>
      <c r="BO1462" s="160"/>
      <c r="BP1462" s="160"/>
      <c r="BQ1462" s="160"/>
      <c r="BR1462" s="160"/>
      <c r="BS1462" s="160"/>
      <c r="BT1462" s="160"/>
      <c r="BU1462" s="160"/>
      <c r="BV1462" s="160"/>
      <c r="BW1462" s="160"/>
      <c r="BX1462" s="160"/>
      <c r="BY1462" s="160"/>
      <c r="BZ1462" s="160"/>
      <c r="CA1462" s="160"/>
      <c r="CB1462" s="160"/>
      <c r="CC1462" s="160"/>
      <c r="CD1462" s="160"/>
      <c r="CE1462" s="160"/>
      <c r="CF1462" s="160"/>
      <c r="CG1462" s="160"/>
      <c r="CH1462" s="160"/>
      <c r="CI1462" s="160"/>
      <c r="CJ1462" s="160"/>
      <c r="CK1462" s="160"/>
      <c r="CL1462" s="160"/>
      <c r="CM1462" s="160"/>
      <c r="CN1462" s="160"/>
      <c r="CO1462" s="160"/>
      <c r="CP1462" s="162"/>
      <c r="CQ1462" s="163"/>
      <c r="CR1462" s="162"/>
      <c r="CS1462" s="163"/>
      <c r="CT1462" s="162"/>
      <c r="CU1462" s="163"/>
      <c r="CV1462" s="164">
        <f t="shared" si="190"/>
        <v>0</v>
      </c>
      <c r="CW1462" s="165"/>
      <c r="CX1462" s="166"/>
      <c r="CY1462" s="167"/>
      <c r="CZ1462" s="168"/>
      <c r="DA1462" s="169"/>
      <c r="DB1462" s="168"/>
      <c r="DC1462" s="165"/>
      <c r="DD1462" s="166"/>
      <c r="DE1462" s="71"/>
      <c r="DF1462" s="170"/>
      <c r="EO1462" s="353" t="str">
        <f t="shared" si="192"/>
        <v>TOLIMA_RONCESVALLES</v>
      </c>
      <c r="EP1462" s="350"/>
      <c r="EQ1462" s="350"/>
      <c r="ER1462" s="357"/>
      <c r="ES1462" s="350"/>
      <c r="ET1462" s="350"/>
      <c r="EU1462" s="350"/>
    </row>
    <row r="1463" spans="1:151" s="171" customFormat="1" ht="45" x14ac:dyDescent="0.2">
      <c r="A1463" s="242">
        <v>40483</v>
      </c>
      <c r="B1463" s="222" t="s">
        <v>2791</v>
      </c>
      <c r="C1463" s="222" t="s">
        <v>319</v>
      </c>
      <c r="D1463" s="430" t="s">
        <v>837</v>
      </c>
      <c r="E1463" s="107" t="str">
        <f>VLOOKUP(B1463&amp;C1463,Divipola!$C$2:$F$1138,4,FALSE)</f>
        <v>73624</v>
      </c>
      <c r="F1463" s="333"/>
      <c r="G1463" s="221"/>
      <c r="H1463" s="157"/>
      <c r="I1463" s="157"/>
      <c r="J1463" s="157">
        <v>2205</v>
      </c>
      <c r="K1463" s="157">
        <v>490</v>
      </c>
      <c r="L1463" s="157">
        <v>2</v>
      </c>
      <c r="M1463" s="157">
        <v>64</v>
      </c>
      <c r="N1463" s="157"/>
      <c r="O1463" s="157"/>
      <c r="P1463" s="157"/>
      <c r="Q1463" s="157"/>
      <c r="R1463" s="157"/>
      <c r="S1463" s="157"/>
      <c r="T1463" s="157"/>
      <c r="U1463" s="157"/>
      <c r="V1463" s="158">
        <v>278.7</v>
      </c>
      <c r="W1463" s="182"/>
      <c r="X1463" s="1"/>
      <c r="Y1463" s="78">
        <f t="shared" si="187"/>
        <v>0</v>
      </c>
      <c r="Z1463" s="78">
        <f t="shared" si="188"/>
        <v>0</v>
      </c>
      <c r="AA1463" s="78">
        <f t="shared" si="193"/>
        <v>0</v>
      </c>
      <c r="AB1463" s="78">
        <f t="shared" si="189"/>
        <v>0</v>
      </c>
      <c r="AC1463" s="78"/>
      <c r="AD1463" s="78">
        <v>0</v>
      </c>
      <c r="AE1463" s="80">
        <f t="shared" si="191"/>
        <v>0</v>
      </c>
      <c r="AF1463" s="82">
        <v>0</v>
      </c>
      <c r="AG1463" s="69"/>
      <c r="AH1463" s="84"/>
      <c r="AI1463" s="69" t="s">
        <v>2009</v>
      </c>
      <c r="AJ1463" s="276" t="s">
        <v>2010</v>
      </c>
      <c r="AK1463" s="65"/>
      <c r="AL1463" s="272" t="s">
        <v>311</v>
      </c>
      <c r="AM1463" s="173" t="s">
        <v>321</v>
      </c>
      <c r="AN1463" s="159"/>
      <c r="AO1463" s="160"/>
      <c r="AP1463" s="161"/>
      <c r="AQ1463" s="160"/>
      <c r="AR1463" s="160"/>
      <c r="AS1463" s="160"/>
      <c r="AT1463" s="160"/>
      <c r="AU1463" s="160"/>
      <c r="AV1463" s="160"/>
      <c r="AW1463" s="160"/>
      <c r="AX1463" s="160"/>
      <c r="AY1463" s="160"/>
      <c r="AZ1463" s="160"/>
      <c r="BA1463" s="160"/>
      <c r="BB1463" s="160"/>
      <c r="BC1463" s="160"/>
      <c r="BD1463" s="160"/>
      <c r="BE1463" s="160"/>
      <c r="BF1463" s="160"/>
      <c r="BG1463" s="160"/>
      <c r="BH1463" s="160"/>
      <c r="BI1463" s="160"/>
      <c r="BJ1463" s="160"/>
      <c r="BK1463" s="160"/>
      <c r="BL1463" s="160"/>
      <c r="BM1463" s="160"/>
      <c r="BN1463" s="160"/>
      <c r="BO1463" s="160"/>
      <c r="BP1463" s="160"/>
      <c r="BQ1463" s="160"/>
      <c r="BR1463" s="160"/>
      <c r="BS1463" s="160"/>
      <c r="BT1463" s="160"/>
      <c r="BU1463" s="160"/>
      <c r="BV1463" s="160"/>
      <c r="BW1463" s="160"/>
      <c r="BX1463" s="160"/>
      <c r="BY1463" s="160"/>
      <c r="BZ1463" s="160"/>
      <c r="CA1463" s="160"/>
      <c r="CB1463" s="160"/>
      <c r="CC1463" s="160"/>
      <c r="CD1463" s="160"/>
      <c r="CE1463" s="160"/>
      <c r="CF1463" s="160"/>
      <c r="CG1463" s="160"/>
      <c r="CH1463" s="160"/>
      <c r="CI1463" s="160"/>
      <c r="CJ1463" s="160"/>
      <c r="CK1463" s="160"/>
      <c r="CL1463" s="160"/>
      <c r="CM1463" s="160"/>
      <c r="CN1463" s="160"/>
      <c r="CO1463" s="160"/>
      <c r="CP1463" s="162"/>
      <c r="CQ1463" s="163"/>
      <c r="CR1463" s="162"/>
      <c r="CS1463" s="163"/>
      <c r="CT1463" s="162"/>
      <c r="CU1463" s="163"/>
      <c r="CV1463" s="164">
        <f t="shared" si="190"/>
        <v>0</v>
      </c>
      <c r="CW1463" s="165"/>
      <c r="CX1463" s="166"/>
      <c r="CY1463" s="167"/>
      <c r="CZ1463" s="168"/>
      <c r="DA1463" s="169"/>
      <c r="DB1463" s="168"/>
      <c r="DC1463" s="165"/>
      <c r="DD1463" s="166"/>
      <c r="DE1463" s="71"/>
      <c r="DF1463" s="170"/>
      <c r="EO1463" s="353" t="str">
        <f t="shared" si="192"/>
        <v>TOLIMA_ROVIRA</v>
      </c>
      <c r="EP1463" s="350"/>
      <c r="EQ1463" s="350"/>
      <c r="ER1463" s="357"/>
      <c r="ES1463" s="350"/>
      <c r="ET1463" s="350"/>
      <c r="EU1463" s="350"/>
    </row>
    <row r="1464" spans="1:151" s="171" customFormat="1" ht="45" x14ac:dyDescent="0.2">
      <c r="A1464" s="242">
        <v>40483</v>
      </c>
      <c r="B1464" s="222" t="s">
        <v>2791</v>
      </c>
      <c r="C1464" s="222" t="s">
        <v>2670</v>
      </c>
      <c r="D1464" s="430" t="s">
        <v>837</v>
      </c>
      <c r="E1464" s="107" t="str">
        <f>VLOOKUP(B1464&amp;C1464,Divipola!$C$2:$F$1138,4,FALSE)</f>
        <v>73678</v>
      </c>
      <c r="F1464" s="333"/>
      <c r="G1464" s="221"/>
      <c r="H1464" s="157"/>
      <c r="I1464" s="157"/>
      <c r="J1464" s="157">
        <f>695*5</f>
        <v>3475</v>
      </c>
      <c r="K1464" s="157">
        <v>695</v>
      </c>
      <c r="L1464" s="157">
        <v>5</v>
      </c>
      <c r="M1464" s="157">
        <f>42+104</f>
        <v>146</v>
      </c>
      <c r="N1464" s="157"/>
      <c r="O1464" s="157"/>
      <c r="P1464" s="157">
        <v>4</v>
      </c>
      <c r="Q1464" s="157"/>
      <c r="R1464" s="157"/>
      <c r="S1464" s="157"/>
      <c r="T1464" s="157"/>
      <c r="U1464" s="157"/>
      <c r="V1464" s="158">
        <v>198.5</v>
      </c>
      <c r="W1464" s="182"/>
      <c r="X1464" s="1"/>
      <c r="Y1464" s="78">
        <f t="shared" si="187"/>
        <v>0</v>
      </c>
      <c r="Z1464" s="78">
        <f t="shared" si="188"/>
        <v>0</v>
      </c>
      <c r="AA1464" s="78">
        <f t="shared" si="193"/>
        <v>0</v>
      </c>
      <c r="AB1464" s="78">
        <f t="shared" si="189"/>
        <v>0</v>
      </c>
      <c r="AC1464" s="78"/>
      <c r="AD1464" s="78">
        <v>0</v>
      </c>
      <c r="AE1464" s="80">
        <f t="shared" si="191"/>
        <v>0</v>
      </c>
      <c r="AF1464" s="82">
        <v>0</v>
      </c>
      <c r="AG1464" s="69"/>
      <c r="AH1464" s="84"/>
      <c r="AI1464" s="69" t="s">
        <v>2009</v>
      </c>
      <c r="AJ1464" s="276" t="s">
        <v>2010</v>
      </c>
      <c r="AK1464" s="65"/>
      <c r="AL1464" s="272" t="s">
        <v>311</v>
      </c>
      <c r="AM1464" s="173" t="s">
        <v>321</v>
      </c>
      <c r="AN1464" s="159"/>
      <c r="AO1464" s="160"/>
      <c r="AP1464" s="161"/>
      <c r="AQ1464" s="160"/>
      <c r="AR1464" s="160"/>
      <c r="AS1464" s="160"/>
      <c r="AT1464" s="160"/>
      <c r="AU1464" s="160"/>
      <c r="AV1464" s="160"/>
      <c r="AW1464" s="160"/>
      <c r="AX1464" s="160"/>
      <c r="AY1464" s="160"/>
      <c r="AZ1464" s="160"/>
      <c r="BA1464" s="160"/>
      <c r="BB1464" s="160"/>
      <c r="BC1464" s="160"/>
      <c r="BD1464" s="160"/>
      <c r="BE1464" s="160"/>
      <c r="BF1464" s="160"/>
      <c r="BG1464" s="160"/>
      <c r="BH1464" s="160"/>
      <c r="BI1464" s="160"/>
      <c r="BJ1464" s="160"/>
      <c r="BK1464" s="160"/>
      <c r="BL1464" s="160"/>
      <c r="BM1464" s="160"/>
      <c r="BN1464" s="160"/>
      <c r="BO1464" s="160"/>
      <c r="BP1464" s="160"/>
      <c r="BQ1464" s="160"/>
      <c r="BR1464" s="160"/>
      <c r="BS1464" s="160"/>
      <c r="BT1464" s="160"/>
      <c r="BU1464" s="160"/>
      <c r="BV1464" s="160"/>
      <c r="BW1464" s="160"/>
      <c r="BX1464" s="160"/>
      <c r="BY1464" s="160"/>
      <c r="BZ1464" s="160"/>
      <c r="CA1464" s="160"/>
      <c r="CB1464" s="160"/>
      <c r="CC1464" s="160"/>
      <c r="CD1464" s="160"/>
      <c r="CE1464" s="160"/>
      <c r="CF1464" s="160"/>
      <c r="CG1464" s="160"/>
      <c r="CH1464" s="160"/>
      <c r="CI1464" s="160"/>
      <c r="CJ1464" s="160"/>
      <c r="CK1464" s="160"/>
      <c r="CL1464" s="160"/>
      <c r="CM1464" s="160"/>
      <c r="CN1464" s="160"/>
      <c r="CO1464" s="160"/>
      <c r="CP1464" s="162"/>
      <c r="CQ1464" s="163"/>
      <c r="CR1464" s="162"/>
      <c r="CS1464" s="163"/>
      <c r="CT1464" s="162"/>
      <c r="CU1464" s="163"/>
      <c r="CV1464" s="164">
        <f t="shared" si="190"/>
        <v>0</v>
      </c>
      <c r="CW1464" s="165"/>
      <c r="CX1464" s="166"/>
      <c r="CY1464" s="167"/>
      <c r="CZ1464" s="168"/>
      <c r="DA1464" s="169"/>
      <c r="DB1464" s="168"/>
      <c r="DC1464" s="165"/>
      <c r="DD1464" s="166"/>
      <c r="DE1464" s="71"/>
      <c r="DF1464" s="170"/>
      <c r="EO1464" s="353" t="str">
        <f t="shared" si="192"/>
        <v>TOLIMA_SAN LUIS</v>
      </c>
      <c r="EP1464" s="350"/>
      <c r="EQ1464" s="350"/>
      <c r="ER1464" s="357"/>
      <c r="ES1464" s="350"/>
      <c r="ET1464" s="350"/>
      <c r="EU1464" s="350"/>
    </row>
    <row r="1465" spans="1:151" s="171" customFormat="1" ht="45" x14ac:dyDescent="0.2">
      <c r="A1465" s="242">
        <v>40483</v>
      </c>
      <c r="B1465" s="222" t="s">
        <v>2791</v>
      </c>
      <c r="C1465" s="222" t="s">
        <v>607</v>
      </c>
      <c r="D1465" s="430" t="s">
        <v>837</v>
      </c>
      <c r="E1465" s="107" t="str">
        <f>VLOOKUP(B1465&amp;C1465,Divipola!$C$2:$F$1138,4,FALSE)</f>
        <v>73686</v>
      </c>
      <c r="F1465" s="333"/>
      <c r="G1465" s="221"/>
      <c r="H1465" s="157"/>
      <c r="I1465" s="157"/>
      <c r="J1465" s="157">
        <v>1935</v>
      </c>
      <c r="K1465" s="157">
        <v>430</v>
      </c>
      <c r="L1465" s="157">
        <v>13</v>
      </c>
      <c r="M1465" s="157">
        <v>123</v>
      </c>
      <c r="N1465" s="157"/>
      <c r="O1465" s="157"/>
      <c r="P1465" s="157">
        <v>9</v>
      </c>
      <c r="Q1465" s="157"/>
      <c r="R1465" s="157"/>
      <c r="S1465" s="157"/>
      <c r="T1465" s="157"/>
      <c r="U1465" s="157"/>
      <c r="V1465" s="158"/>
      <c r="W1465" s="182"/>
      <c r="X1465" s="1"/>
      <c r="Y1465" s="78">
        <f t="shared" si="187"/>
        <v>0</v>
      </c>
      <c r="Z1465" s="78">
        <f t="shared" si="188"/>
        <v>0</v>
      </c>
      <c r="AA1465" s="78">
        <f t="shared" si="193"/>
        <v>0</v>
      </c>
      <c r="AB1465" s="78">
        <f t="shared" si="189"/>
        <v>0</v>
      </c>
      <c r="AC1465" s="78"/>
      <c r="AD1465" s="78">
        <v>0</v>
      </c>
      <c r="AE1465" s="80">
        <f t="shared" si="191"/>
        <v>0</v>
      </c>
      <c r="AF1465" s="82">
        <v>0</v>
      </c>
      <c r="AG1465" s="69"/>
      <c r="AH1465" s="84"/>
      <c r="AI1465" s="69" t="s">
        <v>2009</v>
      </c>
      <c r="AJ1465" s="276" t="s">
        <v>2010</v>
      </c>
      <c r="AK1465" s="65"/>
      <c r="AL1465" s="272" t="s">
        <v>311</v>
      </c>
      <c r="AM1465" s="173" t="s">
        <v>321</v>
      </c>
      <c r="AN1465" s="159"/>
      <c r="AO1465" s="160"/>
      <c r="AP1465" s="161"/>
      <c r="AQ1465" s="160"/>
      <c r="AR1465" s="160"/>
      <c r="AS1465" s="160"/>
      <c r="AT1465" s="160"/>
      <c r="AU1465" s="160"/>
      <c r="AV1465" s="160"/>
      <c r="AW1465" s="160"/>
      <c r="AX1465" s="160"/>
      <c r="AY1465" s="160"/>
      <c r="AZ1465" s="160"/>
      <c r="BA1465" s="160"/>
      <c r="BB1465" s="160"/>
      <c r="BC1465" s="160"/>
      <c r="BD1465" s="160"/>
      <c r="BE1465" s="160"/>
      <c r="BF1465" s="160"/>
      <c r="BG1465" s="160"/>
      <c r="BH1465" s="160"/>
      <c r="BI1465" s="160"/>
      <c r="BJ1465" s="160"/>
      <c r="BK1465" s="160"/>
      <c r="BL1465" s="160"/>
      <c r="BM1465" s="160"/>
      <c r="BN1465" s="160"/>
      <c r="BO1465" s="160"/>
      <c r="BP1465" s="160"/>
      <c r="BQ1465" s="160"/>
      <c r="BR1465" s="160"/>
      <c r="BS1465" s="160"/>
      <c r="BT1465" s="160"/>
      <c r="BU1465" s="160"/>
      <c r="BV1465" s="160"/>
      <c r="BW1465" s="160"/>
      <c r="BX1465" s="160"/>
      <c r="BY1465" s="160"/>
      <c r="BZ1465" s="160"/>
      <c r="CA1465" s="160"/>
      <c r="CB1465" s="160"/>
      <c r="CC1465" s="160"/>
      <c r="CD1465" s="160"/>
      <c r="CE1465" s="160"/>
      <c r="CF1465" s="160"/>
      <c r="CG1465" s="160"/>
      <c r="CH1465" s="160"/>
      <c r="CI1465" s="160"/>
      <c r="CJ1465" s="160"/>
      <c r="CK1465" s="160"/>
      <c r="CL1465" s="160"/>
      <c r="CM1465" s="160"/>
      <c r="CN1465" s="160"/>
      <c r="CO1465" s="160"/>
      <c r="CP1465" s="162"/>
      <c r="CQ1465" s="163"/>
      <c r="CR1465" s="162"/>
      <c r="CS1465" s="163"/>
      <c r="CT1465" s="162"/>
      <c r="CU1465" s="163"/>
      <c r="CV1465" s="164">
        <f t="shared" si="190"/>
        <v>0</v>
      </c>
      <c r="CW1465" s="165"/>
      <c r="CX1465" s="166"/>
      <c r="CY1465" s="167"/>
      <c r="CZ1465" s="168"/>
      <c r="DA1465" s="169"/>
      <c r="DB1465" s="168"/>
      <c r="DC1465" s="165"/>
      <c r="DD1465" s="166"/>
      <c r="DE1465" s="71"/>
      <c r="DF1465" s="170"/>
      <c r="EO1465" s="353" t="str">
        <f t="shared" si="192"/>
        <v>TOLIMA_SANTA ISABEL</v>
      </c>
      <c r="EP1465" s="350"/>
      <c r="EQ1465" s="350"/>
      <c r="ER1465" s="357"/>
      <c r="ES1465" s="350"/>
      <c r="ET1465" s="350"/>
      <c r="EU1465" s="350"/>
    </row>
    <row r="1466" spans="1:151" s="171" customFormat="1" ht="45" x14ac:dyDescent="0.2">
      <c r="A1466" s="242">
        <v>40483</v>
      </c>
      <c r="B1466" s="222" t="s">
        <v>2791</v>
      </c>
      <c r="C1466" s="222" t="s">
        <v>870</v>
      </c>
      <c r="D1466" s="430" t="s">
        <v>837</v>
      </c>
      <c r="E1466" s="107" t="str">
        <f>VLOOKUP(B1466&amp;C1466,Divipola!$C$2:$F$1138,4,FALSE)</f>
        <v>73854</v>
      </c>
      <c r="F1466" s="333"/>
      <c r="G1466" s="221"/>
      <c r="H1466" s="157"/>
      <c r="I1466" s="157"/>
      <c r="J1466" s="157">
        <f>455*5</f>
        <v>2275</v>
      </c>
      <c r="K1466" s="157">
        <v>455</v>
      </c>
      <c r="L1466" s="157"/>
      <c r="M1466" s="157">
        <v>303</v>
      </c>
      <c r="N1466" s="157"/>
      <c r="O1466" s="157"/>
      <c r="P1466" s="157">
        <v>8</v>
      </c>
      <c r="Q1466" s="157"/>
      <c r="R1466" s="157"/>
      <c r="S1466" s="157"/>
      <c r="T1466" s="157">
        <v>10</v>
      </c>
      <c r="U1466" s="157"/>
      <c r="V1466" s="158">
        <v>366</v>
      </c>
      <c r="W1466" s="182"/>
      <c r="X1466" s="1"/>
      <c r="Y1466" s="78">
        <f t="shared" si="187"/>
        <v>0</v>
      </c>
      <c r="Z1466" s="78">
        <f t="shared" si="188"/>
        <v>0</v>
      </c>
      <c r="AA1466" s="78">
        <f t="shared" si="193"/>
        <v>0</v>
      </c>
      <c r="AB1466" s="78">
        <f t="shared" si="189"/>
        <v>0</v>
      </c>
      <c r="AC1466" s="78"/>
      <c r="AD1466" s="78">
        <v>0</v>
      </c>
      <c r="AE1466" s="80">
        <f t="shared" si="191"/>
        <v>0</v>
      </c>
      <c r="AF1466" s="82">
        <v>0</v>
      </c>
      <c r="AG1466" s="69"/>
      <c r="AH1466" s="84"/>
      <c r="AI1466" s="69" t="s">
        <v>2009</v>
      </c>
      <c r="AJ1466" s="276" t="s">
        <v>2010</v>
      </c>
      <c r="AK1466" s="65"/>
      <c r="AL1466" s="272" t="s">
        <v>311</v>
      </c>
      <c r="AM1466" s="173" t="s">
        <v>321</v>
      </c>
      <c r="AN1466" s="159"/>
      <c r="AO1466" s="160"/>
      <c r="AP1466" s="161"/>
      <c r="AQ1466" s="160"/>
      <c r="AR1466" s="160"/>
      <c r="AS1466" s="160"/>
      <c r="AT1466" s="160"/>
      <c r="AU1466" s="160"/>
      <c r="AV1466" s="160"/>
      <c r="AW1466" s="160"/>
      <c r="AX1466" s="160"/>
      <c r="AY1466" s="160"/>
      <c r="AZ1466" s="160"/>
      <c r="BA1466" s="160"/>
      <c r="BB1466" s="160"/>
      <c r="BC1466" s="160"/>
      <c r="BD1466" s="160"/>
      <c r="BE1466" s="160"/>
      <c r="BF1466" s="160"/>
      <c r="BG1466" s="160"/>
      <c r="BH1466" s="160"/>
      <c r="BI1466" s="160"/>
      <c r="BJ1466" s="160"/>
      <c r="BK1466" s="160"/>
      <c r="BL1466" s="160"/>
      <c r="BM1466" s="160"/>
      <c r="BN1466" s="160"/>
      <c r="BO1466" s="160"/>
      <c r="BP1466" s="160"/>
      <c r="BQ1466" s="160"/>
      <c r="BR1466" s="160"/>
      <c r="BS1466" s="160"/>
      <c r="BT1466" s="160"/>
      <c r="BU1466" s="160"/>
      <c r="BV1466" s="160"/>
      <c r="BW1466" s="160"/>
      <c r="BX1466" s="160"/>
      <c r="BY1466" s="160"/>
      <c r="BZ1466" s="160"/>
      <c r="CA1466" s="160"/>
      <c r="CB1466" s="160"/>
      <c r="CC1466" s="160"/>
      <c r="CD1466" s="160"/>
      <c r="CE1466" s="160"/>
      <c r="CF1466" s="160"/>
      <c r="CG1466" s="160"/>
      <c r="CH1466" s="160"/>
      <c r="CI1466" s="160"/>
      <c r="CJ1466" s="160"/>
      <c r="CK1466" s="160"/>
      <c r="CL1466" s="160"/>
      <c r="CM1466" s="160"/>
      <c r="CN1466" s="160"/>
      <c r="CO1466" s="160"/>
      <c r="CP1466" s="162"/>
      <c r="CQ1466" s="163"/>
      <c r="CR1466" s="162"/>
      <c r="CS1466" s="163"/>
      <c r="CT1466" s="162"/>
      <c r="CU1466" s="163"/>
      <c r="CV1466" s="164">
        <f t="shared" si="190"/>
        <v>0</v>
      </c>
      <c r="CW1466" s="165"/>
      <c r="CX1466" s="166"/>
      <c r="CY1466" s="167"/>
      <c r="CZ1466" s="168"/>
      <c r="DA1466" s="169"/>
      <c r="DB1466" s="168"/>
      <c r="DC1466" s="165"/>
      <c r="DD1466" s="166"/>
      <c r="DE1466" s="71"/>
      <c r="DF1466" s="170"/>
      <c r="EO1466" s="353" t="str">
        <f t="shared" si="192"/>
        <v>TOLIMA_VALLE DE SAN JUAN</v>
      </c>
      <c r="EP1466" s="350"/>
      <c r="EQ1466" s="350"/>
      <c r="ER1466" s="357"/>
      <c r="ES1466" s="350"/>
      <c r="ET1466" s="350"/>
      <c r="EU1466" s="350"/>
    </row>
    <row r="1467" spans="1:151" s="171" customFormat="1" ht="45" x14ac:dyDescent="0.2">
      <c r="A1467" s="242">
        <v>40483</v>
      </c>
      <c r="B1467" s="222" t="s">
        <v>2791</v>
      </c>
      <c r="C1467" s="222" t="s">
        <v>320</v>
      </c>
      <c r="D1467" s="430" t="s">
        <v>837</v>
      </c>
      <c r="E1467" s="107" t="str">
        <f>VLOOKUP(B1467&amp;C1467,Divipola!$C$2:$F$1138,4,FALSE)</f>
        <v>73870</v>
      </c>
      <c r="F1467" s="333"/>
      <c r="G1467" s="221"/>
      <c r="H1467" s="157"/>
      <c r="I1467" s="157"/>
      <c r="J1467" s="157">
        <v>1751</v>
      </c>
      <c r="K1467" s="157">
        <v>389</v>
      </c>
      <c r="L1467" s="157"/>
      <c r="M1467" s="157">
        <v>65</v>
      </c>
      <c r="N1467" s="157"/>
      <c r="O1467" s="157"/>
      <c r="P1467" s="157">
        <v>5</v>
      </c>
      <c r="Q1467" s="157"/>
      <c r="R1467" s="157"/>
      <c r="S1467" s="157"/>
      <c r="T1467" s="157"/>
      <c r="U1467" s="157"/>
      <c r="V1467" s="158">
        <v>1502</v>
      </c>
      <c r="W1467" s="182"/>
      <c r="X1467" s="1"/>
      <c r="Y1467" s="78">
        <f t="shared" si="187"/>
        <v>0</v>
      </c>
      <c r="Z1467" s="78">
        <f t="shared" si="188"/>
        <v>0</v>
      </c>
      <c r="AA1467" s="78">
        <f t="shared" si="193"/>
        <v>0</v>
      </c>
      <c r="AB1467" s="78">
        <f t="shared" si="189"/>
        <v>0</v>
      </c>
      <c r="AC1467" s="78"/>
      <c r="AD1467" s="78">
        <v>0</v>
      </c>
      <c r="AE1467" s="80">
        <f t="shared" si="191"/>
        <v>0</v>
      </c>
      <c r="AF1467" s="82">
        <v>0</v>
      </c>
      <c r="AG1467" s="69"/>
      <c r="AH1467" s="84"/>
      <c r="AI1467" s="69" t="s">
        <v>2009</v>
      </c>
      <c r="AJ1467" s="276" t="s">
        <v>2010</v>
      </c>
      <c r="AK1467" s="65"/>
      <c r="AL1467" s="272" t="s">
        <v>311</v>
      </c>
      <c r="AM1467" s="173" t="s">
        <v>321</v>
      </c>
      <c r="AN1467" s="159"/>
      <c r="AO1467" s="160"/>
      <c r="AP1467" s="161"/>
      <c r="AQ1467" s="160"/>
      <c r="AR1467" s="160"/>
      <c r="AS1467" s="160"/>
      <c r="AT1467" s="160"/>
      <c r="AU1467" s="160"/>
      <c r="AV1467" s="160"/>
      <c r="AW1467" s="160"/>
      <c r="AX1467" s="160"/>
      <c r="AY1467" s="160"/>
      <c r="AZ1467" s="160"/>
      <c r="BA1467" s="160"/>
      <c r="BB1467" s="160"/>
      <c r="BC1467" s="160"/>
      <c r="BD1467" s="160"/>
      <c r="BE1467" s="160"/>
      <c r="BF1467" s="160"/>
      <c r="BG1467" s="160"/>
      <c r="BH1467" s="160"/>
      <c r="BI1467" s="160"/>
      <c r="BJ1467" s="160"/>
      <c r="BK1467" s="160"/>
      <c r="BL1467" s="160"/>
      <c r="BM1467" s="160"/>
      <c r="BN1467" s="160"/>
      <c r="BO1467" s="160"/>
      <c r="BP1467" s="160"/>
      <c r="BQ1467" s="160"/>
      <c r="BR1467" s="160"/>
      <c r="BS1467" s="160"/>
      <c r="BT1467" s="160"/>
      <c r="BU1467" s="160"/>
      <c r="BV1467" s="160"/>
      <c r="BW1467" s="160"/>
      <c r="BX1467" s="160"/>
      <c r="BY1467" s="160"/>
      <c r="BZ1467" s="160"/>
      <c r="CA1467" s="160"/>
      <c r="CB1467" s="160"/>
      <c r="CC1467" s="160"/>
      <c r="CD1467" s="160"/>
      <c r="CE1467" s="160"/>
      <c r="CF1467" s="160"/>
      <c r="CG1467" s="160"/>
      <c r="CH1467" s="160"/>
      <c r="CI1467" s="160"/>
      <c r="CJ1467" s="160"/>
      <c r="CK1467" s="160"/>
      <c r="CL1467" s="160"/>
      <c r="CM1467" s="160"/>
      <c r="CN1467" s="160"/>
      <c r="CO1467" s="160"/>
      <c r="CP1467" s="162"/>
      <c r="CQ1467" s="163"/>
      <c r="CR1467" s="162"/>
      <c r="CS1467" s="163"/>
      <c r="CT1467" s="162"/>
      <c r="CU1467" s="163"/>
      <c r="CV1467" s="164">
        <f t="shared" si="190"/>
        <v>0</v>
      </c>
      <c r="CW1467" s="165"/>
      <c r="CX1467" s="166"/>
      <c r="CY1467" s="167"/>
      <c r="CZ1467" s="168"/>
      <c r="DA1467" s="169"/>
      <c r="DB1467" s="168"/>
      <c r="DC1467" s="165"/>
      <c r="DD1467" s="166"/>
      <c r="DE1467" s="71"/>
      <c r="DF1467" s="170"/>
      <c r="EO1467" s="353" t="str">
        <f t="shared" si="192"/>
        <v>TOLIMA_VILLAHERMOSA</v>
      </c>
      <c r="EP1467" s="350"/>
      <c r="EQ1467" s="350"/>
      <c r="ER1467" s="357"/>
      <c r="ES1467" s="350"/>
      <c r="ET1467" s="350"/>
      <c r="EU1467" s="350"/>
    </row>
    <row r="1468" spans="1:151" s="171" customFormat="1" ht="63.75" x14ac:dyDescent="0.2">
      <c r="A1468" s="242">
        <v>40483</v>
      </c>
      <c r="B1468" s="222" t="s">
        <v>1462</v>
      </c>
      <c r="C1468" s="222" t="s">
        <v>1944</v>
      </c>
      <c r="D1468" s="430" t="s">
        <v>837</v>
      </c>
      <c r="E1468" s="107" t="str">
        <f>VLOOKUP(B1468&amp;C1468,Divipola!$C$2:$F$1138,4,FALSE)</f>
        <v>76109</v>
      </c>
      <c r="F1468" s="333"/>
      <c r="G1468" s="221"/>
      <c r="H1468" s="157"/>
      <c r="I1468" s="157"/>
      <c r="J1468" s="157">
        <v>1069</v>
      </c>
      <c r="K1468" s="157">
        <v>263</v>
      </c>
      <c r="L1468" s="157"/>
      <c r="M1468" s="157">
        <v>263</v>
      </c>
      <c r="N1468" s="157"/>
      <c r="O1468" s="157"/>
      <c r="P1468" s="157"/>
      <c r="Q1468" s="157"/>
      <c r="R1468" s="157"/>
      <c r="S1468" s="157"/>
      <c r="T1468" s="157"/>
      <c r="U1468" s="157"/>
      <c r="V1468" s="158"/>
      <c r="W1468" s="182"/>
      <c r="X1468" s="1"/>
      <c r="Y1468" s="78">
        <f t="shared" si="187"/>
        <v>0</v>
      </c>
      <c r="Z1468" s="78">
        <f t="shared" si="188"/>
        <v>0</v>
      </c>
      <c r="AA1468" s="78">
        <f t="shared" si="193"/>
        <v>0</v>
      </c>
      <c r="AB1468" s="78">
        <f t="shared" si="189"/>
        <v>0</v>
      </c>
      <c r="AC1468" s="78"/>
      <c r="AD1468" s="78">
        <v>0</v>
      </c>
      <c r="AE1468" s="80">
        <f t="shared" si="191"/>
        <v>0</v>
      </c>
      <c r="AF1468" s="82">
        <v>0</v>
      </c>
      <c r="AG1468" s="69">
        <v>40494</v>
      </c>
      <c r="AH1468" s="84"/>
      <c r="AI1468" s="69" t="s">
        <v>1984</v>
      </c>
      <c r="AJ1468" s="25" t="s">
        <v>1985</v>
      </c>
      <c r="AK1468" s="65"/>
      <c r="AL1468" s="176" t="s">
        <v>1257</v>
      </c>
      <c r="AM1468" s="173" t="s">
        <v>2517</v>
      </c>
      <c r="AN1468" s="159"/>
      <c r="AO1468" s="160"/>
      <c r="AP1468" s="161"/>
      <c r="AQ1468" s="160"/>
      <c r="AR1468" s="160"/>
      <c r="AS1468" s="160"/>
      <c r="AT1468" s="160"/>
      <c r="AU1468" s="160"/>
      <c r="AV1468" s="160"/>
      <c r="AW1468" s="160"/>
      <c r="AX1468" s="160"/>
      <c r="AY1468" s="160"/>
      <c r="AZ1468" s="160"/>
      <c r="BA1468" s="160"/>
      <c r="BB1468" s="160"/>
      <c r="BC1468" s="160"/>
      <c r="BD1468" s="160"/>
      <c r="BE1468" s="160"/>
      <c r="BF1468" s="160"/>
      <c r="BG1468" s="160"/>
      <c r="BH1468" s="160"/>
      <c r="BI1468" s="160"/>
      <c r="BJ1468" s="160"/>
      <c r="BK1468" s="160"/>
      <c r="BL1468" s="160"/>
      <c r="BM1468" s="160"/>
      <c r="BN1468" s="160"/>
      <c r="BO1468" s="160"/>
      <c r="BP1468" s="160"/>
      <c r="BQ1468" s="160"/>
      <c r="BR1468" s="160"/>
      <c r="BS1468" s="160"/>
      <c r="BT1468" s="160"/>
      <c r="BU1468" s="160"/>
      <c r="BV1468" s="160"/>
      <c r="BW1468" s="160"/>
      <c r="BX1468" s="160"/>
      <c r="BY1468" s="160"/>
      <c r="BZ1468" s="160"/>
      <c r="CA1468" s="160"/>
      <c r="CB1468" s="160"/>
      <c r="CC1468" s="160"/>
      <c r="CD1468" s="160"/>
      <c r="CE1468" s="160"/>
      <c r="CF1468" s="160"/>
      <c r="CG1468" s="160"/>
      <c r="CH1468" s="160"/>
      <c r="CI1468" s="160"/>
      <c r="CJ1468" s="160"/>
      <c r="CK1468" s="160"/>
      <c r="CL1468" s="160"/>
      <c r="CM1468" s="160"/>
      <c r="CN1468" s="160"/>
      <c r="CO1468" s="160"/>
      <c r="CP1468" s="162"/>
      <c r="CQ1468" s="163"/>
      <c r="CR1468" s="162"/>
      <c r="CS1468" s="163"/>
      <c r="CT1468" s="162"/>
      <c r="CU1468" s="163"/>
      <c r="CV1468" s="164">
        <f t="shared" si="190"/>
        <v>0</v>
      </c>
      <c r="CW1468" s="165"/>
      <c r="CX1468" s="166"/>
      <c r="CY1468" s="167"/>
      <c r="CZ1468" s="168"/>
      <c r="DA1468" s="169"/>
      <c r="DB1468" s="168"/>
      <c r="DC1468" s="165"/>
      <c r="DD1468" s="166"/>
      <c r="DE1468" s="71"/>
      <c r="DF1468" s="170"/>
      <c r="EO1468" s="353" t="str">
        <f t="shared" si="192"/>
        <v>VALLE DEL CAUCA_BUENAVENTURA</v>
      </c>
      <c r="EP1468" s="350"/>
      <c r="EQ1468" s="350"/>
      <c r="ER1468" s="357"/>
      <c r="ES1468" s="350"/>
      <c r="ET1468" s="350"/>
      <c r="EU1468" s="350"/>
    </row>
    <row r="1469" spans="1:151" s="171" customFormat="1" ht="38.25" x14ac:dyDescent="0.2">
      <c r="A1469" s="242">
        <v>40483</v>
      </c>
      <c r="B1469" s="222" t="s">
        <v>2401</v>
      </c>
      <c r="C1469" s="222" t="s">
        <v>1304</v>
      </c>
      <c r="D1469" s="430" t="s">
        <v>837</v>
      </c>
      <c r="E1469" s="107" t="str">
        <f>VLOOKUP(B1469&amp;C1469,Divipola!$C$2:$F$1138,4,FALSE)</f>
        <v>05667</v>
      </c>
      <c r="F1469" s="333"/>
      <c r="G1469" s="221"/>
      <c r="H1469" s="157"/>
      <c r="I1469" s="157"/>
      <c r="J1469" s="157">
        <v>100</v>
      </c>
      <c r="K1469" s="157">
        <v>43</v>
      </c>
      <c r="L1469" s="157"/>
      <c r="M1469" s="157"/>
      <c r="N1469" s="157"/>
      <c r="O1469" s="157"/>
      <c r="P1469" s="157"/>
      <c r="Q1469" s="157"/>
      <c r="R1469" s="157"/>
      <c r="S1469" s="157"/>
      <c r="T1469" s="157"/>
      <c r="U1469" s="157"/>
      <c r="V1469" s="158"/>
      <c r="W1469" s="182"/>
      <c r="X1469" s="1"/>
      <c r="Y1469" s="78">
        <f t="shared" si="187"/>
        <v>0</v>
      </c>
      <c r="Z1469" s="78">
        <f t="shared" si="188"/>
        <v>0</v>
      </c>
      <c r="AA1469" s="78">
        <f t="shared" si="193"/>
        <v>0</v>
      </c>
      <c r="AB1469" s="78">
        <f t="shared" si="189"/>
        <v>0</v>
      </c>
      <c r="AC1469" s="78"/>
      <c r="AD1469" s="78">
        <v>0</v>
      </c>
      <c r="AE1469" s="80">
        <f t="shared" si="191"/>
        <v>0</v>
      </c>
      <c r="AF1469" s="82">
        <v>0</v>
      </c>
      <c r="AG1469" s="69"/>
      <c r="AH1469" s="84"/>
      <c r="AI1469" s="69" t="s">
        <v>1984</v>
      </c>
      <c r="AJ1469" s="25" t="s">
        <v>1985</v>
      </c>
      <c r="AK1469" s="65"/>
      <c r="AL1469" s="176" t="s">
        <v>1257</v>
      </c>
      <c r="AM1469" s="173" t="s">
        <v>3782</v>
      </c>
      <c r="AN1469" s="159"/>
      <c r="AO1469" s="160"/>
      <c r="AP1469" s="161"/>
      <c r="AQ1469" s="160"/>
      <c r="AR1469" s="160"/>
      <c r="AS1469" s="160"/>
      <c r="AT1469" s="160"/>
      <c r="AU1469" s="160"/>
      <c r="AV1469" s="160"/>
      <c r="AW1469" s="160"/>
      <c r="AX1469" s="160"/>
      <c r="AY1469" s="160"/>
      <c r="AZ1469" s="160"/>
      <c r="BA1469" s="160"/>
      <c r="BB1469" s="160"/>
      <c r="BC1469" s="160"/>
      <c r="BD1469" s="160"/>
      <c r="BE1469" s="160"/>
      <c r="BF1469" s="160"/>
      <c r="BG1469" s="160"/>
      <c r="BH1469" s="160"/>
      <c r="BI1469" s="160"/>
      <c r="BJ1469" s="160"/>
      <c r="BK1469" s="160"/>
      <c r="BL1469" s="160"/>
      <c r="BM1469" s="160"/>
      <c r="BN1469" s="160"/>
      <c r="BO1469" s="160"/>
      <c r="BP1469" s="160"/>
      <c r="BQ1469" s="160"/>
      <c r="BR1469" s="160"/>
      <c r="BS1469" s="160"/>
      <c r="BT1469" s="160"/>
      <c r="BU1469" s="160"/>
      <c r="BV1469" s="160"/>
      <c r="BW1469" s="160"/>
      <c r="BX1469" s="160"/>
      <c r="BY1469" s="160"/>
      <c r="BZ1469" s="160"/>
      <c r="CA1469" s="160"/>
      <c r="CB1469" s="160"/>
      <c r="CC1469" s="160"/>
      <c r="CD1469" s="160"/>
      <c r="CE1469" s="160"/>
      <c r="CF1469" s="160"/>
      <c r="CG1469" s="160"/>
      <c r="CH1469" s="160"/>
      <c r="CI1469" s="160"/>
      <c r="CJ1469" s="160"/>
      <c r="CK1469" s="160"/>
      <c r="CL1469" s="160"/>
      <c r="CM1469" s="160"/>
      <c r="CN1469" s="160"/>
      <c r="CO1469" s="160"/>
      <c r="CP1469" s="162"/>
      <c r="CQ1469" s="163"/>
      <c r="CR1469" s="162"/>
      <c r="CS1469" s="163"/>
      <c r="CT1469" s="162"/>
      <c r="CU1469" s="163"/>
      <c r="CV1469" s="164">
        <f t="shared" si="190"/>
        <v>0</v>
      </c>
      <c r="CW1469" s="165"/>
      <c r="CX1469" s="166"/>
      <c r="CY1469" s="167"/>
      <c r="CZ1469" s="168"/>
      <c r="DA1469" s="169"/>
      <c r="DB1469" s="168"/>
      <c r="DC1469" s="165"/>
      <c r="DD1469" s="166"/>
      <c r="DE1469" s="71"/>
      <c r="DF1469" s="170"/>
      <c r="EO1469" s="353" t="str">
        <f t="shared" si="192"/>
        <v>ANTIOQUIA_SAN RAFAEL</v>
      </c>
      <c r="EP1469" s="350"/>
      <c r="EQ1469" s="350"/>
      <c r="ER1469" s="357"/>
      <c r="ES1469" s="350"/>
      <c r="ET1469" s="350"/>
      <c r="EU1469" s="350"/>
    </row>
    <row r="1470" spans="1:151" s="171" customFormat="1" ht="38.25" x14ac:dyDescent="0.2">
      <c r="A1470" s="246">
        <v>40484</v>
      </c>
      <c r="B1470" s="280" t="s">
        <v>2401</v>
      </c>
      <c r="C1470" s="280" t="s">
        <v>2503</v>
      </c>
      <c r="D1470" s="432" t="s">
        <v>837</v>
      </c>
      <c r="E1470" s="107" t="str">
        <f>VLOOKUP(B1470&amp;C1470,Divipola!$C$2:$F$1138,4,FALSE)</f>
        <v>05190</v>
      </c>
      <c r="F1470" s="337"/>
      <c r="G1470" s="221"/>
      <c r="H1470" s="157"/>
      <c r="I1470" s="157"/>
      <c r="J1470" s="157">
        <v>200</v>
      </c>
      <c r="K1470" s="157">
        <v>50</v>
      </c>
      <c r="L1470" s="157"/>
      <c r="M1470" s="157">
        <v>50</v>
      </c>
      <c r="N1470" s="157"/>
      <c r="O1470" s="157"/>
      <c r="P1470" s="157"/>
      <c r="Q1470" s="157"/>
      <c r="R1470" s="157"/>
      <c r="S1470" s="157"/>
      <c r="T1470" s="157"/>
      <c r="U1470" s="157"/>
      <c r="V1470" s="158"/>
      <c r="W1470" s="182"/>
      <c r="X1470" s="1"/>
      <c r="Y1470" s="78">
        <f t="shared" si="187"/>
        <v>0</v>
      </c>
      <c r="Z1470" s="78">
        <f t="shared" si="188"/>
        <v>0</v>
      </c>
      <c r="AA1470" s="78">
        <f t="shared" si="193"/>
        <v>0</v>
      </c>
      <c r="AB1470" s="78">
        <f t="shared" si="189"/>
        <v>0</v>
      </c>
      <c r="AC1470" s="78"/>
      <c r="AD1470" s="78">
        <v>0</v>
      </c>
      <c r="AE1470" s="80">
        <f t="shared" si="191"/>
        <v>0</v>
      </c>
      <c r="AF1470" s="82">
        <v>0</v>
      </c>
      <c r="AG1470" s="242">
        <v>40483</v>
      </c>
      <c r="AH1470" s="84"/>
      <c r="AI1470" s="69" t="s">
        <v>1984</v>
      </c>
      <c r="AJ1470" s="25" t="s">
        <v>1985</v>
      </c>
      <c r="AK1470" s="65"/>
      <c r="AL1470" s="176" t="s">
        <v>1257</v>
      </c>
      <c r="AM1470" s="173" t="s">
        <v>499</v>
      </c>
      <c r="AN1470" s="159"/>
      <c r="AO1470" s="160"/>
      <c r="AP1470" s="161"/>
      <c r="AQ1470" s="160"/>
      <c r="AR1470" s="160"/>
      <c r="AS1470" s="160"/>
      <c r="AT1470" s="160"/>
      <c r="AU1470" s="160"/>
      <c r="AV1470" s="160"/>
      <c r="AW1470" s="160"/>
      <c r="AX1470" s="160"/>
      <c r="AY1470" s="160"/>
      <c r="AZ1470" s="160"/>
      <c r="BA1470" s="160"/>
      <c r="BB1470" s="160"/>
      <c r="BC1470" s="160"/>
      <c r="BD1470" s="160"/>
      <c r="BE1470" s="160"/>
      <c r="BF1470" s="160"/>
      <c r="BG1470" s="160"/>
      <c r="BH1470" s="160"/>
      <c r="BI1470" s="160"/>
      <c r="BJ1470" s="160"/>
      <c r="BK1470" s="160"/>
      <c r="BL1470" s="160"/>
      <c r="BM1470" s="160"/>
      <c r="BN1470" s="160"/>
      <c r="BO1470" s="160"/>
      <c r="BP1470" s="160"/>
      <c r="BQ1470" s="160"/>
      <c r="BR1470" s="160"/>
      <c r="BS1470" s="160"/>
      <c r="BT1470" s="160"/>
      <c r="BU1470" s="160"/>
      <c r="BV1470" s="160"/>
      <c r="BW1470" s="160"/>
      <c r="BX1470" s="160"/>
      <c r="BY1470" s="160"/>
      <c r="BZ1470" s="160"/>
      <c r="CA1470" s="160"/>
      <c r="CB1470" s="160"/>
      <c r="CC1470" s="160"/>
      <c r="CD1470" s="160"/>
      <c r="CE1470" s="160"/>
      <c r="CF1470" s="160"/>
      <c r="CG1470" s="160"/>
      <c r="CH1470" s="160"/>
      <c r="CI1470" s="160"/>
      <c r="CJ1470" s="160"/>
      <c r="CK1470" s="160"/>
      <c r="CL1470" s="160"/>
      <c r="CM1470" s="160"/>
      <c r="CN1470" s="160"/>
      <c r="CO1470" s="160"/>
      <c r="CP1470" s="162"/>
      <c r="CQ1470" s="163"/>
      <c r="CR1470" s="162"/>
      <c r="CS1470" s="163"/>
      <c r="CT1470" s="162"/>
      <c r="CU1470" s="163"/>
      <c r="CV1470" s="164">
        <f t="shared" si="190"/>
        <v>0</v>
      </c>
      <c r="CW1470" s="165"/>
      <c r="CX1470" s="166"/>
      <c r="CY1470" s="167"/>
      <c r="CZ1470" s="168"/>
      <c r="DA1470" s="169"/>
      <c r="DB1470" s="168"/>
      <c r="DC1470" s="165"/>
      <c r="DD1470" s="166"/>
      <c r="DE1470" s="71"/>
      <c r="DF1470" s="170"/>
      <c r="EO1470" s="353" t="str">
        <f t="shared" si="192"/>
        <v>ANTIOQUIA_CISNEROS</v>
      </c>
      <c r="EP1470" s="350"/>
      <c r="EQ1470" s="350"/>
      <c r="ER1470" s="357"/>
      <c r="ES1470" s="350"/>
      <c r="ET1470" s="350"/>
      <c r="EU1470" s="350"/>
    </row>
    <row r="1471" spans="1:151" s="171" customFormat="1" ht="72" x14ac:dyDescent="0.2">
      <c r="A1471" s="242">
        <v>40484</v>
      </c>
      <c r="B1471" s="222" t="s">
        <v>2017</v>
      </c>
      <c r="C1471" s="222" t="s">
        <v>1215</v>
      </c>
      <c r="D1471" s="430" t="s">
        <v>837</v>
      </c>
      <c r="E1471" s="107" t="str">
        <f>VLOOKUP(B1471&amp;C1471,Divipola!$C$2:$F$1138,4,FALSE)</f>
        <v>13001</v>
      </c>
      <c r="F1471" s="333"/>
      <c r="G1471" s="221">
        <v>1</v>
      </c>
      <c r="H1471" s="157"/>
      <c r="I1471" s="157"/>
      <c r="J1471" s="157">
        <v>12515</v>
      </c>
      <c r="K1471" s="157">
        <v>2503</v>
      </c>
      <c r="L1471" s="157"/>
      <c r="M1471" s="157">
        <v>2503</v>
      </c>
      <c r="N1471" s="157"/>
      <c r="O1471" s="157"/>
      <c r="P1471" s="157"/>
      <c r="Q1471" s="157"/>
      <c r="R1471" s="157"/>
      <c r="S1471" s="157"/>
      <c r="T1471" s="157"/>
      <c r="U1471" s="157"/>
      <c r="V1471" s="158"/>
      <c r="W1471" s="182"/>
      <c r="X1471" s="1">
        <v>40507</v>
      </c>
      <c r="Y1471" s="78">
        <f t="shared" si="187"/>
        <v>230652000</v>
      </c>
      <c r="Z1471" s="78">
        <f t="shared" si="188"/>
        <v>170000000</v>
      </c>
      <c r="AA1471" s="78">
        <f t="shared" si="193"/>
        <v>0</v>
      </c>
      <c r="AB1471" s="78">
        <f t="shared" si="189"/>
        <v>0</v>
      </c>
      <c r="AC1471" s="78"/>
      <c r="AD1471" s="78">
        <v>0</v>
      </c>
      <c r="AE1471" s="80">
        <f t="shared" si="191"/>
        <v>400652000</v>
      </c>
      <c r="AF1471" s="82">
        <v>0</v>
      </c>
      <c r="AG1471" s="69">
        <v>40484</v>
      </c>
      <c r="AH1471" s="84">
        <v>62474</v>
      </c>
      <c r="AI1471" s="69" t="s">
        <v>2009</v>
      </c>
      <c r="AJ1471" s="25" t="s">
        <v>2010</v>
      </c>
      <c r="AK1471" s="88" t="s">
        <v>1505</v>
      </c>
      <c r="AL1471" s="185" t="s">
        <v>2182</v>
      </c>
      <c r="AM1471" s="173" t="s">
        <v>2178</v>
      </c>
      <c r="AN1471" s="159"/>
      <c r="AO1471" s="160"/>
      <c r="AP1471" s="161"/>
      <c r="AQ1471" s="160"/>
      <c r="AR1471" s="160"/>
      <c r="AS1471" s="160"/>
      <c r="AT1471" s="160"/>
      <c r="AU1471" s="160"/>
      <c r="AV1471" s="160"/>
      <c r="AW1471" s="160"/>
      <c r="AX1471" s="160"/>
      <c r="AY1471" s="160"/>
      <c r="AZ1471" s="160">
        <v>2000</v>
      </c>
      <c r="BA1471" s="160">
        <f>2000*56000</f>
        <v>112000000</v>
      </c>
      <c r="BB1471" s="160"/>
      <c r="BC1471" s="160"/>
      <c r="BD1471" s="160"/>
      <c r="BE1471" s="160"/>
      <c r="BF1471" s="160"/>
      <c r="BG1471" s="160"/>
      <c r="BH1471" s="160"/>
      <c r="BI1471" s="160"/>
      <c r="BJ1471" s="160"/>
      <c r="BK1471" s="160"/>
      <c r="BL1471" s="160"/>
      <c r="BM1471" s="160"/>
      <c r="BN1471" s="160"/>
      <c r="BO1471" s="160"/>
      <c r="BP1471" s="160"/>
      <c r="BQ1471" s="160"/>
      <c r="BR1471" s="160"/>
      <c r="BS1471" s="160"/>
      <c r="BT1471" s="160"/>
      <c r="BU1471" s="160"/>
      <c r="BV1471" s="160"/>
      <c r="BW1471" s="160"/>
      <c r="BX1471" s="160"/>
      <c r="BY1471" s="160"/>
      <c r="BZ1471" s="160"/>
      <c r="CA1471" s="160"/>
      <c r="CB1471" s="160"/>
      <c r="CC1471" s="160"/>
      <c r="CD1471" s="160"/>
      <c r="CE1471" s="160"/>
      <c r="CF1471" s="160"/>
      <c r="CG1471" s="160"/>
      <c r="CH1471" s="160"/>
      <c r="CI1471" s="160"/>
      <c r="CJ1471" s="160">
        <v>2000</v>
      </c>
      <c r="CK1471" s="160">
        <f>2000*21000</f>
        <v>42000000</v>
      </c>
      <c r="CL1471" s="160"/>
      <c r="CM1471" s="160"/>
      <c r="CN1471" s="160"/>
      <c r="CO1471" s="160"/>
      <c r="CP1471" s="162">
        <v>1000</v>
      </c>
      <c r="CQ1471" s="163">
        <f>1000*36952</f>
        <v>36952000</v>
      </c>
      <c r="CR1471" s="162">
        <v>1000</v>
      </c>
      <c r="CS1471" s="163">
        <f>1000*39700</f>
        <v>39700000</v>
      </c>
      <c r="CT1471" s="162"/>
      <c r="CU1471" s="163"/>
      <c r="CV1471" s="164">
        <f t="shared" si="190"/>
        <v>230652000</v>
      </c>
      <c r="CW1471" s="165"/>
      <c r="CX1471" s="166"/>
      <c r="CY1471" s="167">
        <v>2000</v>
      </c>
      <c r="CZ1471" s="168">
        <f>2000*85000</f>
        <v>170000000</v>
      </c>
      <c r="DA1471" s="169"/>
      <c r="DB1471" s="168"/>
      <c r="DC1471" s="165"/>
      <c r="DD1471" s="166"/>
      <c r="DE1471" s="71"/>
      <c r="DF1471" s="170"/>
      <c r="EO1471" s="353" t="str">
        <f t="shared" si="192"/>
        <v>BOLIVAR_CARTAGENA</v>
      </c>
      <c r="EP1471" s="350"/>
      <c r="EQ1471" s="350"/>
      <c r="ER1471" s="357"/>
      <c r="ES1471" s="350"/>
      <c r="ET1471" s="350"/>
      <c r="EU1471" s="350"/>
    </row>
    <row r="1472" spans="1:151" s="171" customFormat="1" ht="38.25" x14ac:dyDescent="0.2">
      <c r="A1472" s="242">
        <v>40484</v>
      </c>
      <c r="B1472" s="222" t="s">
        <v>2007</v>
      </c>
      <c r="C1472" s="222" t="s">
        <v>625</v>
      </c>
      <c r="D1472" s="430" t="s">
        <v>837</v>
      </c>
      <c r="E1472" s="107" t="str">
        <f>VLOOKUP(B1472&amp;C1472,Divipola!$C$2:$F$1138,4,FALSE)</f>
        <v>25438</v>
      </c>
      <c r="F1472" s="333"/>
      <c r="G1472" s="221">
        <v>1</v>
      </c>
      <c r="H1472" s="157"/>
      <c r="I1472" s="157"/>
      <c r="J1472" s="157">
        <f>103-16</f>
        <v>87</v>
      </c>
      <c r="K1472" s="157">
        <v>46</v>
      </c>
      <c r="L1472" s="157"/>
      <c r="M1472" s="157">
        <v>46</v>
      </c>
      <c r="N1472" s="157"/>
      <c r="O1472" s="157"/>
      <c r="P1472" s="157"/>
      <c r="Q1472" s="157"/>
      <c r="R1472" s="157"/>
      <c r="S1472" s="157"/>
      <c r="T1472" s="157"/>
      <c r="U1472" s="157"/>
      <c r="V1472" s="158"/>
      <c r="W1472" s="182"/>
      <c r="X1472" s="1"/>
      <c r="Y1472" s="78">
        <f t="shared" si="187"/>
        <v>0</v>
      </c>
      <c r="Z1472" s="78">
        <f t="shared" si="188"/>
        <v>0</v>
      </c>
      <c r="AA1472" s="78">
        <f t="shared" si="193"/>
        <v>0</v>
      </c>
      <c r="AB1472" s="78">
        <f t="shared" si="189"/>
        <v>0</v>
      </c>
      <c r="AC1472" s="78"/>
      <c r="AD1472" s="78">
        <v>0</v>
      </c>
      <c r="AE1472" s="80">
        <f t="shared" si="191"/>
        <v>0</v>
      </c>
      <c r="AF1472" s="82">
        <v>0</v>
      </c>
      <c r="AG1472" s="69">
        <v>40484</v>
      </c>
      <c r="AH1472" s="84"/>
      <c r="AI1472" s="69" t="s">
        <v>1984</v>
      </c>
      <c r="AJ1472" s="25" t="s">
        <v>1985</v>
      </c>
      <c r="AK1472" s="109"/>
      <c r="AL1472" s="176" t="s">
        <v>1257</v>
      </c>
      <c r="AM1472" s="173" t="s">
        <v>2936</v>
      </c>
      <c r="AN1472" s="159"/>
      <c r="AO1472" s="160"/>
      <c r="AP1472" s="161"/>
      <c r="AQ1472" s="160"/>
      <c r="AR1472" s="160"/>
      <c r="AS1472" s="160"/>
      <c r="AT1472" s="160"/>
      <c r="AU1472" s="160"/>
      <c r="AV1472" s="160"/>
      <c r="AW1472" s="160"/>
      <c r="AX1472" s="160"/>
      <c r="AY1472" s="160"/>
      <c r="AZ1472" s="160"/>
      <c r="BA1472" s="160"/>
      <c r="BB1472" s="160"/>
      <c r="BC1472" s="160"/>
      <c r="BD1472" s="160"/>
      <c r="BE1472" s="160"/>
      <c r="BF1472" s="160"/>
      <c r="BG1472" s="160"/>
      <c r="BH1472" s="160"/>
      <c r="BI1472" s="160"/>
      <c r="BJ1472" s="160"/>
      <c r="BK1472" s="160"/>
      <c r="BL1472" s="160"/>
      <c r="BM1472" s="160"/>
      <c r="BN1472" s="160"/>
      <c r="BO1472" s="160"/>
      <c r="BP1472" s="160"/>
      <c r="BQ1472" s="160"/>
      <c r="BR1472" s="160"/>
      <c r="BS1472" s="160"/>
      <c r="BT1472" s="160"/>
      <c r="BU1472" s="160"/>
      <c r="BV1472" s="160"/>
      <c r="BW1472" s="160"/>
      <c r="BX1472" s="160"/>
      <c r="BY1472" s="160"/>
      <c r="BZ1472" s="160"/>
      <c r="CA1472" s="160"/>
      <c r="CB1472" s="160"/>
      <c r="CC1472" s="160"/>
      <c r="CD1472" s="160"/>
      <c r="CE1472" s="160"/>
      <c r="CF1472" s="160"/>
      <c r="CG1472" s="160"/>
      <c r="CH1472" s="160"/>
      <c r="CI1472" s="160"/>
      <c r="CJ1472" s="160"/>
      <c r="CK1472" s="160"/>
      <c r="CL1472" s="160"/>
      <c r="CM1472" s="160"/>
      <c r="CN1472" s="160"/>
      <c r="CO1472" s="160"/>
      <c r="CP1472" s="162"/>
      <c r="CQ1472" s="163"/>
      <c r="CR1472" s="162"/>
      <c r="CS1472" s="163"/>
      <c r="CT1472" s="162"/>
      <c r="CU1472" s="163"/>
      <c r="CV1472" s="164">
        <f t="shared" si="190"/>
        <v>0</v>
      </c>
      <c r="CW1472" s="165"/>
      <c r="CX1472" s="166"/>
      <c r="CY1472" s="167"/>
      <c r="CZ1472" s="168"/>
      <c r="DA1472" s="169"/>
      <c r="DB1472" s="168"/>
      <c r="DC1472" s="165"/>
      <c r="DD1472" s="166"/>
      <c r="DE1472" s="71"/>
      <c r="DF1472" s="170"/>
      <c r="EO1472" s="353" t="str">
        <f t="shared" si="192"/>
        <v>CUNDINAMARCA_MEDINA</v>
      </c>
      <c r="EP1472" s="350"/>
      <c r="EQ1472" s="350"/>
      <c r="ER1472" s="357"/>
      <c r="ES1472" s="350"/>
      <c r="ET1472" s="350"/>
      <c r="EU1472" s="350"/>
    </row>
    <row r="1473" spans="1:151" s="171" customFormat="1" ht="25.5" x14ac:dyDescent="0.2">
      <c r="A1473" s="242">
        <v>40484</v>
      </c>
      <c r="B1473" s="222" t="s">
        <v>1333</v>
      </c>
      <c r="C1473" s="222" t="s">
        <v>226</v>
      </c>
      <c r="D1473" s="430" t="s">
        <v>1721</v>
      </c>
      <c r="E1473" s="107" t="str">
        <f>VLOOKUP(B1473&amp;C1473,Divipola!$C$2:$F$1138,4,FALSE)</f>
        <v>41001</v>
      </c>
      <c r="F1473" s="333"/>
      <c r="G1473" s="221"/>
      <c r="H1473" s="157"/>
      <c r="I1473" s="157"/>
      <c r="J1473" s="157">
        <v>5</v>
      </c>
      <c r="K1473" s="157">
        <v>1</v>
      </c>
      <c r="L1473" s="157">
        <v>1</v>
      </c>
      <c r="M1473" s="157"/>
      <c r="N1473" s="157"/>
      <c r="O1473" s="157"/>
      <c r="P1473" s="157"/>
      <c r="Q1473" s="157"/>
      <c r="R1473" s="157"/>
      <c r="S1473" s="157"/>
      <c r="T1473" s="157"/>
      <c r="U1473" s="157"/>
      <c r="V1473" s="158"/>
      <c r="W1473" s="182"/>
      <c r="X1473" s="1"/>
      <c r="Y1473" s="78">
        <f t="shared" si="187"/>
        <v>0</v>
      </c>
      <c r="Z1473" s="78">
        <f t="shared" si="188"/>
        <v>0</v>
      </c>
      <c r="AA1473" s="78">
        <f t="shared" si="193"/>
        <v>0</v>
      </c>
      <c r="AB1473" s="78">
        <f t="shared" si="189"/>
        <v>0</v>
      </c>
      <c r="AC1473" s="78"/>
      <c r="AD1473" s="78">
        <v>0</v>
      </c>
      <c r="AE1473" s="80">
        <f t="shared" si="191"/>
        <v>0</v>
      </c>
      <c r="AF1473" s="82">
        <v>0</v>
      </c>
      <c r="AG1473" s="69">
        <v>40484</v>
      </c>
      <c r="AH1473" s="84"/>
      <c r="AI1473" s="69" t="s">
        <v>1984</v>
      </c>
      <c r="AJ1473" s="25" t="s">
        <v>1985</v>
      </c>
      <c r="AK1473" s="109"/>
      <c r="AL1473" s="176" t="s">
        <v>1257</v>
      </c>
      <c r="AM1473" s="173" t="s">
        <v>2086</v>
      </c>
      <c r="AN1473" s="159"/>
      <c r="AO1473" s="160"/>
      <c r="AP1473" s="161"/>
      <c r="AQ1473" s="160"/>
      <c r="AR1473" s="160"/>
      <c r="AS1473" s="160"/>
      <c r="AT1473" s="160"/>
      <c r="AU1473" s="160"/>
      <c r="AV1473" s="160"/>
      <c r="AW1473" s="160"/>
      <c r="AX1473" s="160"/>
      <c r="AY1473" s="160"/>
      <c r="AZ1473" s="160"/>
      <c r="BA1473" s="160"/>
      <c r="BB1473" s="160"/>
      <c r="BC1473" s="160"/>
      <c r="BD1473" s="160"/>
      <c r="BE1473" s="160"/>
      <c r="BF1473" s="160"/>
      <c r="BG1473" s="160"/>
      <c r="BH1473" s="160"/>
      <c r="BI1473" s="160"/>
      <c r="BJ1473" s="160"/>
      <c r="BK1473" s="160"/>
      <c r="BL1473" s="160"/>
      <c r="BM1473" s="160"/>
      <c r="BN1473" s="160"/>
      <c r="BO1473" s="160"/>
      <c r="BP1473" s="160"/>
      <c r="BQ1473" s="160"/>
      <c r="BR1473" s="160"/>
      <c r="BS1473" s="160"/>
      <c r="BT1473" s="160"/>
      <c r="BU1473" s="160"/>
      <c r="BV1473" s="160"/>
      <c r="BW1473" s="160"/>
      <c r="BX1473" s="160"/>
      <c r="BY1473" s="160"/>
      <c r="BZ1473" s="160"/>
      <c r="CA1473" s="160"/>
      <c r="CB1473" s="160"/>
      <c r="CC1473" s="160"/>
      <c r="CD1473" s="160"/>
      <c r="CE1473" s="160"/>
      <c r="CF1473" s="160"/>
      <c r="CG1473" s="160"/>
      <c r="CH1473" s="160"/>
      <c r="CI1473" s="160"/>
      <c r="CJ1473" s="160"/>
      <c r="CK1473" s="160"/>
      <c r="CL1473" s="160"/>
      <c r="CM1473" s="160"/>
      <c r="CN1473" s="160"/>
      <c r="CO1473" s="160"/>
      <c r="CP1473" s="162"/>
      <c r="CQ1473" s="163"/>
      <c r="CR1473" s="162"/>
      <c r="CS1473" s="163"/>
      <c r="CT1473" s="162"/>
      <c r="CU1473" s="163"/>
      <c r="CV1473" s="164">
        <f t="shared" si="190"/>
        <v>0</v>
      </c>
      <c r="CW1473" s="165"/>
      <c r="CX1473" s="166"/>
      <c r="CY1473" s="167"/>
      <c r="CZ1473" s="168"/>
      <c r="DA1473" s="169"/>
      <c r="DB1473" s="168"/>
      <c r="DC1473" s="165"/>
      <c r="DD1473" s="166"/>
      <c r="DE1473" s="71"/>
      <c r="DF1473" s="170"/>
      <c r="EO1473" s="353" t="str">
        <f t="shared" si="192"/>
        <v>HUILA_NEIVA</v>
      </c>
      <c r="EP1473" s="350"/>
      <c r="EQ1473" s="350"/>
      <c r="ER1473" s="357"/>
      <c r="ES1473" s="350"/>
      <c r="ET1473" s="350"/>
      <c r="EU1473" s="350"/>
    </row>
    <row r="1474" spans="1:151" s="171" customFormat="1" ht="25.5" x14ac:dyDescent="0.2">
      <c r="A1474" s="242">
        <v>40484</v>
      </c>
      <c r="B1474" s="222" t="s">
        <v>708</v>
      </c>
      <c r="C1474" s="222" t="s">
        <v>2092</v>
      </c>
      <c r="D1474" s="430" t="s">
        <v>837</v>
      </c>
      <c r="E1474" s="107" t="str">
        <f>VLOOKUP(B1474&amp;C1474,Divipola!$C$2:$F$1138,4,FALSE)</f>
        <v>50006</v>
      </c>
      <c r="F1474" s="333"/>
      <c r="G1474" s="221">
        <v>1</v>
      </c>
      <c r="H1474" s="157"/>
      <c r="I1474" s="157"/>
      <c r="J1474" s="157">
        <v>30</v>
      </c>
      <c r="K1474" s="157">
        <v>8</v>
      </c>
      <c r="L1474" s="157"/>
      <c r="M1474" s="157">
        <v>4</v>
      </c>
      <c r="N1474" s="157"/>
      <c r="O1474" s="157"/>
      <c r="P1474" s="157"/>
      <c r="Q1474" s="157"/>
      <c r="R1474" s="157"/>
      <c r="S1474" s="157"/>
      <c r="T1474" s="157"/>
      <c r="U1474" s="157"/>
      <c r="V1474" s="158"/>
      <c r="W1474" s="182"/>
      <c r="X1474" s="1"/>
      <c r="Y1474" s="78">
        <f t="shared" si="187"/>
        <v>0</v>
      </c>
      <c r="Z1474" s="78">
        <f t="shared" si="188"/>
        <v>0</v>
      </c>
      <c r="AA1474" s="78">
        <f t="shared" si="193"/>
        <v>0</v>
      </c>
      <c r="AB1474" s="78">
        <f t="shared" si="189"/>
        <v>0</v>
      </c>
      <c r="AC1474" s="78"/>
      <c r="AD1474" s="78">
        <v>0</v>
      </c>
      <c r="AE1474" s="80">
        <f t="shared" si="191"/>
        <v>0</v>
      </c>
      <c r="AF1474" s="82">
        <v>0</v>
      </c>
      <c r="AG1474" s="69">
        <v>40484</v>
      </c>
      <c r="AH1474" s="84"/>
      <c r="AI1474" s="69" t="s">
        <v>1984</v>
      </c>
      <c r="AJ1474" s="25" t="s">
        <v>1985</v>
      </c>
      <c r="AK1474" s="109"/>
      <c r="AL1474" s="176" t="s">
        <v>1257</v>
      </c>
      <c r="AM1474" s="173" t="s">
        <v>2093</v>
      </c>
      <c r="AN1474" s="159"/>
      <c r="AO1474" s="160"/>
      <c r="AP1474" s="161"/>
      <c r="AQ1474" s="160"/>
      <c r="AR1474" s="160"/>
      <c r="AS1474" s="160"/>
      <c r="AT1474" s="160"/>
      <c r="AU1474" s="160"/>
      <c r="AV1474" s="160"/>
      <c r="AW1474" s="160"/>
      <c r="AX1474" s="160"/>
      <c r="AY1474" s="160"/>
      <c r="AZ1474" s="160"/>
      <c r="BA1474" s="160"/>
      <c r="BB1474" s="160"/>
      <c r="BC1474" s="160"/>
      <c r="BD1474" s="160"/>
      <c r="BE1474" s="160"/>
      <c r="BF1474" s="160"/>
      <c r="BG1474" s="160"/>
      <c r="BH1474" s="160"/>
      <c r="BI1474" s="160"/>
      <c r="BJ1474" s="160"/>
      <c r="BK1474" s="160"/>
      <c r="BL1474" s="160"/>
      <c r="BM1474" s="160"/>
      <c r="BN1474" s="160"/>
      <c r="BO1474" s="160"/>
      <c r="BP1474" s="160"/>
      <c r="BQ1474" s="160"/>
      <c r="BR1474" s="160"/>
      <c r="BS1474" s="160"/>
      <c r="BT1474" s="160"/>
      <c r="BU1474" s="160"/>
      <c r="BV1474" s="160"/>
      <c r="BW1474" s="160"/>
      <c r="BX1474" s="160"/>
      <c r="BY1474" s="160"/>
      <c r="BZ1474" s="160"/>
      <c r="CA1474" s="160"/>
      <c r="CB1474" s="160"/>
      <c r="CC1474" s="160"/>
      <c r="CD1474" s="160"/>
      <c r="CE1474" s="160"/>
      <c r="CF1474" s="160"/>
      <c r="CG1474" s="160"/>
      <c r="CH1474" s="160"/>
      <c r="CI1474" s="160"/>
      <c r="CJ1474" s="160"/>
      <c r="CK1474" s="160"/>
      <c r="CL1474" s="160"/>
      <c r="CM1474" s="160"/>
      <c r="CN1474" s="160"/>
      <c r="CO1474" s="160"/>
      <c r="CP1474" s="162"/>
      <c r="CQ1474" s="163"/>
      <c r="CR1474" s="162"/>
      <c r="CS1474" s="163"/>
      <c r="CT1474" s="162"/>
      <c r="CU1474" s="163"/>
      <c r="CV1474" s="164">
        <f t="shared" si="190"/>
        <v>0</v>
      </c>
      <c r="CW1474" s="165"/>
      <c r="CX1474" s="166"/>
      <c r="CY1474" s="167"/>
      <c r="CZ1474" s="168"/>
      <c r="DA1474" s="169"/>
      <c r="DB1474" s="168"/>
      <c r="DC1474" s="165"/>
      <c r="DD1474" s="166"/>
      <c r="DE1474" s="71"/>
      <c r="DF1474" s="170"/>
      <c r="EO1474" s="353" t="str">
        <f t="shared" si="192"/>
        <v>META_ACACIAS</v>
      </c>
      <c r="EP1474" s="350"/>
      <c r="EQ1474" s="350"/>
      <c r="ER1474" s="357"/>
      <c r="ES1474" s="350"/>
      <c r="ET1474" s="350"/>
      <c r="EU1474" s="350"/>
    </row>
    <row r="1475" spans="1:151" s="171" customFormat="1" ht="48" x14ac:dyDescent="0.2">
      <c r="A1475" s="242">
        <v>40484</v>
      </c>
      <c r="B1475" s="222" t="s">
        <v>2245</v>
      </c>
      <c r="C1475" s="222" t="s">
        <v>2944</v>
      </c>
      <c r="D1475" s="430" t="s">
        <v>837</v>
      </c>
      <c r="E1475" s="107" t="str">
        <f>VLOOKUP(B1475&amp;C1475,Divipola!$C$2:$F$1138,4,FALSE)</f>
        <v>52683</v>
      </c>
      <c r="F1475" s="333"/>
      <c r="G1475" s="221"/>
      <c r="H1475" s="157"/>
      <c r="I1475" s="157"/>
      <c r="J1475" s="157">
        <f>3372-583-1465</f>
        <v>1324</v>
      </c>
      <c r="K1475" s="157">
        <f>870-152-366</f>
        <v>352</v>
      </c>
      <c r="L1475" s="157"/>
      <c r="M1475" s="157">
        <v>352</v>
      </c>
      <c r="N1475" s="157"/>
      <c r="O1475" s="157"/>
      <c r="P1475" s="157"/>
      <c r="Q1475" s="157"/>
      <c r="R1475" s="157"/>
      <c r="S1475" s="157"/>
      <c r="T1475" s="157"/>
      <c r="U1475" s="157"/>
      <c r="V1475" s="158"/>
      <c r="W1475" s="182"/>
      <c r="X1475" s="1"/>
      <c r="Y1475" s="78">
        <f t="shared" ref="Y1475:Y1538" si="194">CV1475</f>
        <v>0</v>
      </c>
      <c r="Z1475" s="78">
        <f t="shared" ref="Z1475:Z1538" si="195">CZ1475</f>
        <v>0</v>
      </c>
      <c r="AA1475" s="78">
        <f t="shared" si="193"/>
        <v>0</v>
      </c>
      <c r="AB1475" s="78">
        <f t="shared" ref="AB1475:AB1538" si="196">CX1475</f>
        <v>0</v>
      </c>
      <c r="AC1475" s="78"/>
      <c r="AD1475" s="78">
        <v>0</v>
      </c>
      <c r="AE1475" s="80">
        <f t="shared" si="191"/>
        <v>0</v>
      </c>
      <c r="AF1475" s="82">
        <v>0</v>
      </c>
      <c r="AG1475" s="69">
        <v>40484</v>
      </c>
      <c r="AH1475" s="84"/>
      <c r="AI1475" s="69" t="s">
        <v>1984</v>
      </c>
      <c r="AJ1475" s="25" t="s">
        <v>1985</v>
      </c>
      <c r="AK1475" s="109"/>
      <c r="AL1475" s="176" t="s">
        <v>1257</v>
      </c>
      <c r="AM1475" s="173" t="s">
        <v>2946</v>
      </c>
      <c r="AN1475" s="159"/>
      <c r="AO1475" s="160"/>
      <c r="AP1475" s="161"/>
      <c r="AQ1475" s="160"/>
      <c r="AR1475" s="160"/>
      <c r="AS1475" s="160"/>
      <c r="AT1475" s="160"/>
      <c r="AU1475" s="160"/>
      <c r="AV1475" s="160"/>
      <c r="AW1475" s="160"/>
      <c r="AX1475" s="160"/>
      <c r="AY1475" s="160"/>
      <c r="AZ1475" s="160"/>
      <c r="BA1475" s="160"/>
      <c r="BB1475" s="160"/>
      <c r="BC1475" s="160"/>
      <c r="BD1475" s="160"/>
      <c r="BE1475" s="160"/>
      <c r="BF1475" s="160"/>
      <c r="BG1475" s="160"/>
      <c r="BH1475" s="160"/>
      <c r="BI1475" s="160"/>
      <c r="BJ1475" s="160"/>
      <c r="BK1475" s="160"/>
      <c r="BL1475" s="160"/>
      <c r="BM1475" s="160"/>
      <c r="BN1475" s="160"/>
      <c r="BO1475" s="160"/>
      <c r="BP1475" s="160"/>
      <c r="BQ1475" s="160"/>
      <c r="BR1475" s="160"/>
      <c r="BS1475" s="160"/>
      <c r="BT1475" s="160"/>
      <c r="BU1475" s="160"/>
      <c r="BV1475" s="160"/>
      <c r="BW1475" s="160"/>
      <c r="BX1475" s="160"/>
      <c r="BY1475" s="160"/>
      <c r="BZ1475" s="160"/>
      <c r="CA1475" s="160"/>
      <c r="CB1475" s="160"/>
      <c r="CC1475" s="160"/>
      <c r="CD1475" s="160"/>
      <c r="CE1475" s="160"/>
      <c r="CF1475" s="160"/>
      <c r="CG1475" s="160"/>
      <c r="CH1475" s="160"/>
      <c r="CI1475" s="160"/>
      <c r="CJ1475" s="160"/>
      <c r="CK1475" s="160"/>
      <c r="CL1475" s="160"/>
      <c r="CM1475" s="160"/>
      <c r="CN1475" s="160"/>
      <c r="CO1475" s="160"/>
      <c r="CP1475" s="162"/>
      <c r="CQ1475" s="163"/>
      <c r="CR1475" s="162"/>
      <c r="CS1475" s="163"/>
      <c r="CT1475" s="162"/>
      <c r="CU1475" s="163"/>
      <c r="CV1475" s="164">
        <f t="shared" ref="CV1475:CV1538" si="197">AO1475+AQ1475+AS1475+AU1475+AW1475+AY1475+BA1475+BC1475+BE1475+BG1475+BI1475+BK1475+BM1475+BO1475+BQ1475+BS1475+BU1475+BW1475+BY1475+CA1475+CC1475+CE1475+CG1475+CI1475+CK1475+CM1475+CO1475+CQ1475+CS1475+CU1475</f>
        <v>0</v>
      </c>
      <c r="CW1475" s="165"/>
      <c r="CX1475" s="166"/>
      <c r="CY1475" s="167"/>
      <c r="CZ1475" s="168"/>
      <c r="DA1475" s="169"/>
      <c r="DB1475" s="168"/>
      <c r="DC1475" s="165"/>
      <c r="DD1475" s="166"/>
      <c r="DE1475" s="71"/>
      <c r="DF1475" s="170"/>
      <c r="EO1475" s="353" t="str">
        <f t="shared" si="192"/>
        <v>NARIÑO_SANDONA</v>
      </c>
      <c r="EP1475" s="350"/>
      <c r="EQ1475" s="350"/>
      <c r="ER1475" s="357"/>
      <c r="ES1475" s="350"/>
      <c r="ET1475" s="350"/>
      <c r="EU1475" s="350"/>
    </row>
    <row r="1476" spans="1:151" s="171" customFormat="1" ht="38.25" x14ac:dyDescent="0.2">
      <c r="A1476" s="246">
        <v>40485</v>
      </c>
      <c r="B1476" s="280" t="s">
        <v>2401</v>
      </c>
      <c r="C1476" s="280" t="s">
        <v>1583</v>
      </c>
      <c r="D1476" s="432" t="s">
        <v>837</v>
      </c>
      <c r="E1476" s="107" t="str">
        <f>VLOOKUP(B1476&amp;C1476,Divipola!$C$2:$F$1138,4,FALSE)</f>
        <v>05390</v>
      </c>
      <c r="F1476" s="337"/>
      <c r="G1476" s="221"/>
      <c r="H1476" s="157"/>
      <c r="I1476" s="157"/>
      <c r="J1476" s="157">
        <f>439-160-75</f>
        <v>204</v>
      </c>
      <c r="K1476" s="157">
        <f>118-32-15</f>
        <v>71</v>
      </c>
      <c r="L1476" s="157">
        <v>71</v>
      </c>
      <c r="M1476" s="157"/>
      <c r="N1476" s="157"/>
      <c r="O1476" s="157"/>
      <c r="P1476" s="157"/>
      <c r="Q1476" s="157"/>
      <c r="R1476" s="157"/>
      <c r="S1476" s="157"/>
      <c r="T1476" s="157"/>
      <c r="U1476" s="157"/>
      <c r="V1476" s="158"/>
      <c r="W1476" s="182"/>
      <c r="X1476" s="1"/>
      <c r="Y1476" s="78">
        <f t="shared" si="194"/>
        <v>0</v>
      </c>
      <c r="Z1476" s="78">
        <f t="shared" si="195"/>
        <v>0</v>
      </c>
      <c r="AA1476" s="78">
        <f t="shared" si="193"/>
        <v>0</v>
      </c>
      <c r="AB1476" s="78">
        <f t="shared" si="196"/>
        <v>0</v>
      </c>
      <c r="AC1476" s="78"/>
      <c r="AD1476" s="78">
        <v>0</v>
      </c>
      <c r="AE1476" s="80">
        <f t="shared" si="191"/>
        <v>0</v>
      </c>
      <c r="AF1476" s="82">
        <v>0</v>
      </c>
      <c r="AG1476" s="69">
        <v>40484</v>
      </c>
      <c r="AH1476" s="84"/>
      <c r="AI1476" s="69" t="s">
        <v>2009</v>
      </c>
      <c r="AJ1476" s="25" t="s">
        <v>2010</v>
      </c>
      <c r="AK1476" s="109"/>
      <c r="AL1476" s="184" t="s">
        <v>2519</v>
      </c>
      <c r="AM1476" s="173" t="s">
        <v>2138</v>
      </c>
      <c r="AN1476" s="159"/>
      <c r="AO1476" s="160"/>
      <c r="AP1476" s="161"/>
      <c r="AQ1476" s="160"/>
      <c r="AR1476" s="160"/>
      <c r="AS1476" s="160"/>
      <c r="AT1476" s="160"/>
      <c r="AU1476" s="160"/>
      <c r="AV1476" s="160"/>
      <c r="AW1476" s="160"/>
      <c r="AX1476" s="160"/>
      <c r="AY1476" s="160"/>
      <c r="AZ1476" s="160"/>
      <c r="BA1476" s="160"/>
      <c r="BB1476" s="160"/>
      <c r="BC1476" s="160"/>
      <c r="BD1476" s="160"/>
      <c r="BE1476" s="160"/>
      <c r="BF1476" s="160"/>
      <c r="BG1476" s="160"/>
      <c r="BH1476" s="160"/>
      <c r="BI1476" s="160"/>
      <c r="BJ1476" s="160"/>
      <c r="BK1476" s="160"/>
      <c r="BL1476" s="160"/>
      <c r="BM1476" s="160"/>
      <c r="BN1476" s="160"/>
      <c r="BO1476" s="160"/>
      <c r="BP1476" s="160"/>
      <c r="BQ1476" s="160"/>
      <c r="BR1476" s="160"/>
      <c r="BS1476" s="160"/>
      <c r="BT1476" s="160"/>
      <c r="BU1476" s="160"/>
      <c r="BV1476" s="160"/>
      <c r="BW1476" s="160"/>
      <c r="BX1476" s="160"/>
      <c r="BY1476" s="160"/>
      <c r="BZ1476" s="160"/>
      <c r="CA1476" s="160"/>
      <c r="CB1476" s="160"/>
      <c r="CC1476" s="160"/>
      <c r="CD1476" s="160"/>
      <c r="CE1476" s="160"/>
      <c r="CF1476" s="160"/>
      <c r="CG1476" s="160"/>
      <c r="CH1476" s="160"/>
      <c r="CI1476" s="160"/>
      <c r="CJ1476" s="160"/>
      <c r="CK1476" s="160"/>
      <c r="CL1476" s="160"/>
      <c r="CM1476" s="160"/>
      <c r="CN1476" s="160"/>
      <c r="CO1476" s="160"/>
      <c r="CP1476" s="162"/>
      <c r="CQ1476" s="163"/>
      <c r="CR1476" s="162"/>
      <c r="CS1476" s="163"/>
      <c r="CT1476" s="162"/>
      <c r="CU1476" s="163"/>
      <c r="CV1476" s="164">
        <f t="shared" si="197"/>
        <v>0</v>
      </c>
      <c r="CW1476" s="165"/>
      <c r="CX1476" s="166"/>
      <c r="CY1476" s="167"/>
      <c r="CZ1476" s="168"/>
      <c r="DA1476" s="169"/>
      <c r="DB1476" s="168"/>
      <c r="DC1476" s="165"/>
      <c r="DD1476" s="166"/>
      <c r="DE1476" s="71"/>
      <c r="DF1476" s="170"/>
      <c r="EO1476" s="353" t="str">
        <f t="shared" si="192"/>
        <v>ANTIOQUIA_LA PINTADA</v>
      </c>
      <c r="EP1476" s="350"/>
      <c r="EQ1476" s="350"/>
      <c r="ER1476" s="357"/>
      <c r="ES1476" s="350"/>
      <c r="ET1476" s="350"/>
      <c r="EU1476" s="350"/>
    </row>
    <row r="1477" spans="1:151" s="171" customFormat="1" ht="25.5" x14ac:dyDescent="0.2">
      <c r="A1477" s="242">
        <v>40485</v>
      </c>
      <c r="B1477" s="222" t="s">
        <v>2401</v>
      </c>
      <c r="C1477" s="222" t="s">
        <v>2747</v>
      </c>
      <c r="D1477" s="430" t="s">
        <v>2352</v>
      </c>
      <c r="E1477" s="107" t="str">
        <f>VLOOKUP(B1477&amp;C1477,Divipola!$C$2:$F$1138,4,FALSE)</f>
        <v>05001</v>
      </c>
      <c r="F1477" s="333"/>
      <c r="G1477" s="221"/>
      <c r="H1477" s="157"/>
      <c r="I1477" s="157"/>
      <c r="J1477" s="157">
        <v>8</v>
      </c>
      <c r="K1477" s="157">
        <v>1</v>
      </c>
      <c r="L1477" s="157">
        <v>1</v>
      </c>
      <c r="M1477" s="157"/>
      <c r="N1477" s="157"/>
      <c r="O1477" s="157"/>
      <c r="P1477" s="157"/>
      <c r="Q1477" s="157"/>
      <c r="R1477" s="157"/>
      <c r="S1477" s="157"/>
      <c r="T1477" s="157"/>
      <c r="U1477" s="157"/>
      <c r="V1477" s="158"/>
      <c r="W1477" s="182"/>
      <c r="X1477" s="1"/>
      <c r="Y1477" s="78">
        <f t="shared" si="194"/>
        <v>0</v>
      </c>
      <c r="Z1477" s="78">
        <f t="shared" si="195"/>
        <v>0</v>
      </c>
      <c r="AA1477" s="78">
        <f t="shared" si="193"/>
        <v>0</v>
      </c>
      <c r="AB1477" s="78">
        <f t="shared" si="196"/>
        <v>0</v>
      </c>
      <c r="AC1477" s="78"/>
      <c r="AD1477" s="78">
        <v>0</v>
      </c>
      <c r="AE1477" s="80">
        <f t="shared" si="191"/>
        <v>0</v>
      </c>
      <c r="AF1477" s="82">
        <v>0</v>
      </c>
      <c r="AG1477" s="69">
        <v>40484</v>
      </c>
      <c r="AH1477" s="84"/>
      <c r="AI1477" s="69" t="s">
        <v>1984</v>
      </c>
      <c r="AJ1477" s="25" t="s">
        <v>1985</v>
      </c>
      <c r="AK1477" s="109"/>
      <c r="AL1477" s="176" t="s">
        <v>1257</v>
      </c>
      <c r="AM1477" s="173" t="s">
        <v>2091</v>
      </c>
      <c r="AN1477" s="159"/>
      <c r="AO1477" s="160"/>
      <c r="AP1477" s="161"/>
      <c r="AQ1477" s="160"/>
      <c r="AR1477" s="160"/>
      <c r="AS1477" s="160"/>
      <c r="AT1477" s="160"/>
      <c r="AU1477" s="160"/>
      <c r="AV1477" s="160"/>
      <c r="AW1477" s="160"/>
      <c r="AX1477" s="160"/>
      <c r="AY1477" s="160"/>
      <c r="AZ1477" s="160"/>
      <c r="BA1477" s="160"/>
      <c r="BB1477" s="160"/>
      <c r="BC1477" s="160"/>
      <c r="BD1477" s="160"/>
      <c r="BE1477" s="160"/>
      <c r="BF1477" s="160"/>
      <c r="BG1477" s="160"/>
      <c r="BH1477" s="160"/>
      <c r="BI1477" s="160"/>
      <c r="BJ1477" s="160"/>
      <c r="BK1477" s="160"/>
      <c r="BL1477" s="160"/>
      <c r="BM1477" s="160"/>
      <c r="BN1477" s="160"/>
      <c r="BO1477" s="160"/>
      <c r="BP1477" s="160"/>
      <c r="BQ1477" s="160"/>
      <c r="BR1477" s="160"/>
      <c r="BS1477" s="160"/>
      <c r="BT1477" s="160"/>
      <c r="BU1477" s="160"/>
      <c r="BV1477" s="160"/>
      <c r="BW1477" s="160"/>
      <c r="BX1477" s="160"/>
      <c r="BY1477" s="160"/>
      <c r="BZ1477" s="160"/>
      <c r="CA1477" s="160"/>
      <c r="CB1477" s="160"/>
      <c r="CC1477" s="160"/>
      <c r="CD1477" s="160"/>
      <c r="CE1477" s="160"/>
      <c r="CF1477" s="160"/>
      <c r="CG1477" s="160"/>
      <c r="CH1477" s="160"/>
      <c r="CI1477" s="160"/>
      <c r="CJ1477" s="160"/>
      <c r="CK1477" s="160"/>
      <c r="CL1477" s="160"/>
      <c r="CM1477" s="160"/>
      <c r="CN1477" s="160"/>
      <c r="CO1477" s="160"/>
      <c r="CP1477" s="162"/>
      <c r="CQ1477" s="163"/>
      <c r="CR1477" s="162"/>
      <c r="CS1477" s="163"/>
      <c r="CT1477" s="162"/>
      <c r="CU1477" s="163"/>
      <c r="CV1477" s="164">
        <f t="shared" si="197"/>
        <v>0</v>
      </c>
      <c r="CW1477" s="165"/>
      <c r="CX1477" s="166"/>
      <c r="CY1477" s="167"/>
      <c r="CZ1477" s="168"/>
      <c r="DA1477" s="169"/>
      <c r="DB1477" s="168"/>
      <c r="DC1477" s="165"/>
      <c r="DD1477" s="166"/>
      <c r="DE1477" s="71"/>
      <c r="DF1477" s="170"/>
      <c r="EO1477" s="353" t="str">
        <f t="shared" si="192"/>
        <v>ANTIOQUIA_MEDELLIN</v>
      </c>
      <c r="EP1477" s="350"/>
      <c r="EQ1477" s="350"/>
      <c r="ER1477" s="357"/>
      <c r="ES1477" s="350"/>
      <c r="ET1477" s="350"/>
      <c r="EU1477" s="350"/>
    </row>
    <row r="1478" spans="1:151" s="171" customFormat="1" ht="25.5" x14ac:dyDescent="0.2">
      <c r="A1478" s="246">
        <v>40485</v>
      </c>
      <c r="B1478" s="280" t="s">
        <v>2401</v>
      </c>
      <c r="C1478" s="280" t="s">
        <v>2747</v>
      </c>
      <c r="D1478" s="431" t="s">
        <v>2307</v>
      </c>
      <c r="E1478" s="107" t="str">
        <f>VLOOKUP(B1478&amp;C1478,Divipola!$C$2:$F$1138,4,FALSE)</f>
        <v>05001</v>
      </c>
      <c r="F1478" s="334"/>
      <c r="G1478" s="221"/>
      <c r="H1478" s="157"/>
      <c r="I1478" s="157"/>
      <c r="J1478" s="157">
        <v>10</v>
      </c>
      <c r="K1478" s="157">
        <v>2</v>
      </c>
      <c r="L1478" s="157"/>
      <c r="M1478" s="157">
        <v>2</v>
      </c>
      <c r="N1478" s="157"/>
      <c r="O1478" s="157"/>
      <c r="P1478" s="157"/>
      <c r="Q1478" s="157"/>
      <c r="R1478" s="157"/>
      <c r="S1478" s="157"/>
      <c r="T1478" s="157"/>
      <c r="U1478" s="157"/>
      <c r="V1478" s="158"/>
      <c r="W1478" s="182"/>
      <c r="X1478" s="1"/>
      <c r="Y1478" s="78">
        <f t="shared" si="194"/>
        <v>0</v>
      </c>
      <c r="Z1478" s="78">
        <f t="shared" si="195"/>
        <v>0</v>
      </c>
      <c r="AA1478" s="78">
        <f t="shared" si="193"/>
        <v>0</v>
      </c>
      <c r="AB1478" s="78">
        <f t="shared" si="196"/>
        <v>0</v>
      </c>
      <c r="AC1478" s="78"/>
      <c r="AD1478" s="78">
        <v>0</v>
      </c>
      <c r="AE1478" s="80">
        <f t="shared" si="191"/>
        <v>0</v>
      </c>
      <c r="AF1478" s="82">
        <v>0</v>
      </c>
      <c r="AG1478" s="69">
        <v>40484</v>
      </c>
      <c r="AH1478" s="84"/>
      <c r="AI1478" s="69" t="s">
        <v>1984</v>
      </c>
      <c r="AJ1478" s="25" t="s">
        <v>1985</v>
      </c>
      <c r="AK1478" s="109"/>
      <c r="AL1478" s="176" t="s">
        <v>1257</v>
      </c>
      <c r="AM1478" s="173" t="s">
        <v>2140</v>
      </c>
      <c r="AN1478" s="159"/>
      <c r="AO1478" s="160"/>
      <c r="AP1478" s="161"/>
      <c r="AQ1478" s="160"/>
      <c r="AR1478" s="160"/>
      <c r="AS1478" s="160"/>
      <c r="AT1478" s="160"/>
      <c r="AU1478" s="160"/>
      <c r="AV1478" s="160"/>
      <c r="AW1478" s="160"/>
      <c r="AX1478" s="160"/>
      <c r="AY1478" s="160"/>
      <c r="AZ1478" s="160"/>
      <c r="BA1478" s="160"/>
      <c r="BB1478" s="160"/>
      <c r="BC1478" s="160"/>
      <c r="BD1478" s="160"/>
      <c r="BE1478" s="160"/>
      <c r="BF1478" s="160"/>
      <c r="BG1478" s="160"/>
      <c r="BH1478" s="160"/>
      <c r="BI1478" s="160"/>
      <c r="BJ1478" s="160"/>
      <c r="BK1478" s="160"/>
      <c r="BL1478" s="160"/>
      <c r="BM1478" s="160"/>
      <c r="BN1478" s="160"/>
      <c r="BO1478" s="160"/>
      <c r="BP1478" s="160"/>
      <c r="BQ1478" s="160"/>
      <c r="BR1478" s="160"/>
      <c r="BS1478" s="160"/>
      <c r="BT1478" s="160"/>
      <c r="BU1478" s="160"/>
      <c r="BV1478" s="160"/>
      <c r="BW1478" s="160"/>
      <c r="BX1478" s="160"/>
      <c r="BY1478" s="160"/>
      <c r="BZ1478" s="160"/>
      <c r="CA1478" s="160"/>
      <c r="CB1478" s="160"/>
      <c r="CC1478" s="160"/>
      <c r="CD1478" s="160"/>
      <c r="CE1478" s="160"/>
      <c r="CF1478" s="160"/>
      <c r="CG1478" s="160"/>
      <c r="CH1478" s="160"/>
      <c r="CI1478" s="160"/>
      <c r="CJ1478" s="160"/>
      <c r="CK1478" s="160"/>
      <c r="CL1478" s="160"/>
      <c r="CM1478" s="160"/>
      <c r="CN1478" s="160"/>
      <c r="CO1478" s="160"/>
      <c r="CP1478" s="162"/>
      <c r="CQ1478" s="163"/>
      <c r="CR1478" s="162"/>
      <c r="CS1478" s="163"/>
      <c r="CT1478" s="162"/>
      <c r="CU1478" s="163"/>
      <c r="CV1478" s="164">
        <f t="shared" si="197"/>
        <v>0</v>
      </c>
      <c r="CW1478" s="165"/>
      <c r="CX1478" s="166"/>
      <c r="CY1478" s="167"/>
      <c r="CZ1478" s="168"/>
      <c r="DA1478" s="169"/>
      <c r="DB1478" s="168"/>
      <c r="DC1478" s="165"/>
      <c r="DD1478" s="166"/>
      <c r="DE1478" s="71"/>
      <c r="DF1478" s="170"/>
      <c r="EO1478" s="353" t="str">
        <f t="shared" si="192"/>
        <v>ANTIOQUIA_MEDELLIN</v>
      </c>
      <c r="EP1478" s="350"/>
      <c r="EQ1478" s="350"/>
      <c r="ER1478" s="357"/>
      <c r="ES1478" s="350"/>
      <c r="ET1478" s="350"/>
      <c r="EU1478" s="350"/>
    </row>
    <row r="1479" spans="1:151" s="171" customFormat="1" ht="84" x14ac:dyDescent="0.2">
      <c r="A1479" s="246">
        <v>40485</v>
      </c>
      <c r="B1479" s="280" t="s">
        <v>2401</v>
      </c>
      <c r="C1479" s="280" t="s">
        <v>2951</v>
      </c>
      <c r="D1479" s="432" t="s">
        <v>837</v>
      </c>
      <c r="E1479" s="107" t="str">
        <f>VLOOKUP(B1479&amp;C1479,Divipola!$C$2:$F$1138,4,FALSE)</f>
        <v>05480</v>
      </c>
      <c r="F1479" s="337"/>
      <c r="G1479" s="221"/>
      <c r="H1479" s="157"/>
      <c r="I1479" s="157"/>
      <c r="J1479" s="157">
        <v>6880</v>
      </c>
      <c r="K1479" s="157">
        <v>1376</v>
      </c>
      <c r="L1479" s="157"/>
      <c r="M1479" s="157">
        <v>1376</v>
      </c>
      <c r="N1479" s="157"/>
      <c r="O1479" s="157"/>
      <c r="P1479" s="157"/>
      <c r="Q1479" s="157"/>
      <c r="R1479" s="157"/>
      <c r="S1479" s="157"/>
      <c r="T1479" s="157"/>
      <c r="U1479" s="157"/>
      <c r="V1479" s="158"/>
      <c r="W1479" s="182"/>
      <c r="X1479" s="1"/>
      <c r="Y1479" s="78">
        <f t="shared" si="194"/>
        <v>0</v>
      </c>
      <c r="Z1479" s="78">
        <f t="shared" si="195"/>
        <v>0</v>
      </c>
      <c r="AA1479" s="78">
        <f t="shared" si="193"/>
        <v>0</v>
      </c>
      <c r="AB1479" s="78">
        <f t="shared" si="196"/>
        <v>0</v>
      </c>
      <c r="AC1479" s="78"/>
      <c r="AD1479" s="78">
        <v>0</v>
      </c>
      <c r="AE1479" s="80">
        <f t="shared" si="191"/>
        <v>0</v>
      </c>
      <c r="AF1479" s="82">
        <v>0</v>
      </c>
      <c r="AG1479" s="69">
        <v>40484</v>
      </c>
      <c r="AH1479" s="84"/>
      <c r="AI1479" s="69" t="s">
        <v>2009</v>
      </c>
      <c r="AJ1479" s="25" t="s">
        <v>2010</v>
      </c>
      <c r="AK1479" s="109"/>
      <c r="AL1479" s="184" t="s">
        <v>2519</v>
      </c>
      <c r="AM1479" s="173" t="s">
        <v>3834</v>
      </c>
      <c r="AN1479" s="159"/>
      <c r="AO1479" s="160"/>
      <c r="AP1479" s="161"/>
      <c r="AQ1479" s="160"/>
      <c r="AR1479" s="160"/>
      <c r="AS1479" s="160"/>
      <c r="AT1479" s="160"/>
      <c r="AU1479" s="160"/>
      <c r="AV1479" s="160"/>
      <c r="AW1479" s="160"/>
      <c r="AX1479" s="160"/>
      <c r="AY1479" s="160"/>
      <c r="AZ1479" s="160"/>
      <c r="BA1479" s="160"/>
      <c r="BB1479" s="160"/>
      <c r="BC1479" s="160"/>
      <c r="BD1479" s="160"/>
      <c r="BE1479" s="160"/>
      <c r="BF1479" s="160"/>
      <c r="BG1479" s="160"/>
      <c r="BH1479" s="160"/>
      <c r="BI1479" s="160"/>
      <c r="BJ1479" s="160"/>
      <c r="BK1479" s="160"/>
      <c r="BL1479" s="160"/>
      <c r="BM1479" s="160"/>
      <c r="BN1479" s="160"/>
      <c r="BO1479" s="160"/>
      <c r="BP1479" s="160"/>
      <c r="BQ1479" s="160"/>
      <c r="BR1479" s="160"/>
      <c r="BS1479" s="160"/>
      <c r="BT1479" s="160"/>
      <c r="BU1479" s="160"/>
      <c r="BV1479" s="160"/>
      <c r="BW1479" s="160"/>
      <c r="BX1479" s="160"/>
      <c r="BY1479" s="160"/>
      <c r="BZ1479" s="160"/>
      <c r="CA1479" s="160"/>
      <c r="CB1479" s="160"/>
      <c r="CC1479" s="160"/>
      <c r="CD1479" s="160"/>
      <c r="CE1479" s="160"/>
      <c r="CF1479" s="160"/>
      <c r="CG1479" s="160"/>
      <c r="CH1479" s="160"/>
      <c r="CI1479" s="160"/>
      <c r="CJ1479" s="160"/>
      <c r="CK1479" s="160"/>
      <c r="CL1479" s="160"/>
      <c r="CM1479" s="160"/>
      <c r="CN1479" s="160"/>
      <c r="CO1479" s="160"/>
      <c r="CP1479" s="162"/>
      <c r="CQ1479" s="163"/>
      <c r="CR1479" s="162"/>
      <c r="CS1479" s="163"/>
      <c r="CT1479" s="162"/>
      <c r="CU1479" s="163"/>
      <c r="CV1479" s="164">
        <f t="shared" si="197"/>
        <v>0</v>
      </c>
      <c r="CW1479" s="165"/>
      <c r="CX1479" s="166"/>
      <c r="CY1479" s="167"/>
      <c r="CZ1479" s="168"/>
      <c r="DA1479" s="169"/>
      <c r="DB1479" s="168"/>
      <c r="DC1479" s="165"/>
      <c r="DD1479" s="166"/>
      <c r="DE1479" s="71"/>
      <c r="DF1479" s="170"/>
      <c r="EO1479" s="353" t="str">
        <f t="shared" si="192"/>
        <v>ANTIOQUIA_MUTATA</v>
      </c>
      <c r="EP1479" s="350"/>
      <c r="EQ1479" s="350"/>
      <c r="ER1479" s="357"/>
      <c r="ES1479" s="350"/>
      <c r="ET1479" s="350"/>
      <c r="EU1479" s="350"/>
    </row>
    <row r="1480" spans="1:151" s="171" customFormat="1" ht="25.5" x14ac:dyDescent="0.2">
      <c r="A1480" s="246">
        <v>40485</v>
      </c>
      <c r="B1480" s="280" t="s">
        <v>2401</v>
      </c>
      <c r="C1480" s="280" t="s">
        <v>3836</v>
      </c>
      <c r="D1480" s="432" t="s">
        <v>837</v>
      </c>
      <c r="E1480" s="107" t="str">
        <f>VLOOKUP(B1480&amp;C1480,Divipola!$C$2:$F$1138,4,FALSE)</f>
        <v>05642</v>
      </c>
      <c r="F1480" s="337"/>
      <c r="G1480" s="221"/>
      <c r="H1480" s="157"/>
      <c r="I1480" s="157"/>
      <c r="J1480" s="157">
        <v>572</v>
      </c>
      <c r="K1480" s="157">
        <v>137</v>
      </c>
      <c r="L1480" s="157"/>
      <c r="M1480" s="157">
        <v>136</v>
      </c>
      <c r="N1480" s="157"/>
      <c r="O1480" s="157"/>
      <c r="P1480" s="157"/>
      <c r="Q1480" s="157"/>
      <c r="R1480" s="157"/>
      <c r="S1480" s="157"/>
      <c r="T1480" s="157"/>
      <c r="U1480" s="157"/>
      <c r="V1480" s="158"/>
      <c r="W1480" s="182"/>
      <c r="X1480" s="1"/>
      <c r="Y1480" s="78">
        <f t="shared" si="194"/>
        <v>0</v>
      </c>
      <c r="Z1480" s="78">
        <f t="shared" si="195"/>
        <v>0</v>
      </c>
      <c r="AA1480" s="78">
        <f t="shared" si="193"/>
        <v>0</v>
      </c>
      <c r="AB1480" s="78">
        <f t="shared" si="196"/>
        <v>0</v>
      </c>
      <c r="AC1480" s="78"/>
      <c r="AD1480" s="78">
        <v>0</v>
      </c>
      <c r="AE1480" s="80">
        <f t="shared" si="191"/>
        <v>0</v>
      </c>
      <c r="AF1480" s="82">
        <v>0</v>
      </c>
      <c r="AG1480" s="69">
        <v>40485</v>
      </c>
      <c r="AH1480" s="84"/>
      <c r="AI1480" s="69" t="s">
        <v>1984</v>
      </c>
      <c r="AJ1480" s="25" t="s">
        <v>1985</v>
      </c>
      <c r="AK1480" s="65"/>
      <c r="AL1480" s="176" t="s">
        <v>1257</v>
      </c>
      <c r="AM1480" s="173" t="s">
        <v>3837</v>
      </c>
      <c r="AN1480" s="159"/>
      <c r="AO1480" s="160"/>
      <c r="AP1480" s="161"/>
      <c r="AQ1480" s="160"/>
      <c r="AR1480" s="160"/>
      <c r="AS1480" s="160"/>
      <c r="AT1480" s="160"/>
      <c r="AU1480" s="160"/>
      <c r="AV1480" s="160"/>
      <c r="AW1480" s="160"/>
      <c r="AX1480" s="160"/>
      <c r="AY1480" s="160"/>
      <c r="AZ1480" s="160"/>
      <c r="BA1480" s="160"/>
      <c r="BB1480" s="160"/>
      <c r="BC1480" s="160"/>
      <c r="BD1480" s="160"/>
      <c r="BE1480" s="160"/>
      <c r="BF1480" s="160"/>
      <c r="BG1480" s="160"/>
      <c r="BH1480" s="160"/>
      <c r="BI1480" s="160"/>
      <c r="BJ1480" s="160"/>
      <c r="BK1480" s="160"/>
      <c r="BL1480" s="160"/>
      <c r="BM1480" s="160"/>
      <c r="BN1480" s="160"/>
      <c r="BO1480" s="160"/>
      <c r="BP1480" s="160"/>
      <c r="BQ1480" s="160"/>
      <c r="BR1480" s="160"/>
      <c r="BS1480" s="160"/>
      <c r="BT1480" s="160"/>
      <c r="BU1480" s="160"/>
      <c r="BV1480" s="160"/>
      <c r="BW1480" s="160"/>
      <c r="BX1480" s="160"/>
      <c r="BY1480" s="160"/>
      <c r="BZ1480" s="160"/>
      <c r="CA1480" s="160"/>
      <c r="CB1480" s="160"/>
      <c r="CC1480" s="160"/>
      <c r="CD1480" s="160"/>
      <c r="CE1480" s="160"/>
      <c r="CF1480" s="160"/>
      <c r="CG1480" s="160"/>
      <c r="CH1480" s="160"/>
      <c r="CI1480" s="160"/>
      <c r="CJ1480" s="160"/>
      <c r="CK1480" s="160"/>
      <c r="CL1480" s="160"/>
      <c r="CM1480" s="160"/>
      <c r="CN1480" s="160"/>
      <c r="CO1480" s="160"/>
      <c r="CP1480" s="162"/>
      <c r="CQ1480" s="163"/>
      <c r="CR1480" s="162"/>
      <c r="CS1480" s="163"/>
      <c r="CT1480" s="162"/>
      <c r="CU1480" s="163"/>
      <c r="CV1480" s="164">
        <f t="shared" si="197"/>
        <v>0</v>
      </c>
      <c r="CW1480" s="165"/>
      <c r="CX1480" s="166"/>
      <c r="CY1480" s="167"/>
      <c r="CZ1480" s="168"/>
      <c r="DA1480" s="169"/>
      <c r="DB1480" s="168"/>
      <c r="DC1480" s="165"/>
      <c r="DD1480" s="166"/>
      <c r="DE1480" s="71"/>
      <c r="DF1480" s="170"/>
      <c r="EO1480" s="353" t="str">
        <f t="shared" si="192"/>
        <v>ANTIOQUIA_SALGAR</v>
      </c>
      <c r="EP1480" s="350"/>
      <c r="EQ1480" s="350"/>
      <c r="ER1480" s="357"/>
      <c r="ES1480" s="350"/>
      <c r="ET1480" s="350"/>
      <c r="EU1480" s="350"/>
    </row>
    <row r="1481" spans="1:151" s="171" customFormat="1" ht="25.5" x14ac:dyDescent="0.2">
      <c r="A1481" s="246">
        <v>40485</v>
      </c>
      <c r="B1481" s="280" t="s">
        <v>2401</v>
      </c>
      <c r="C1481" s="280" t="s">
        <v>2142</v>
      </c>
      <c r="D1481" s="432" t="s">
        <v>837</v>
      </c>
      <c r="E1481" s="107" t="str">
        <f>VLOOKUP(B1481&amp;C1481,Divipola!$C$2:$F$1138,4,FALSE)</f>
        <v>05809</v>
      </c>
      <c r="F1481" s="337"/>
      <c r="G1481" s="221">
        <v>1</v>
      </c>
      <c r="H1481" s="157"/>
      <c r="I1481" s="157"/>
      <c r="J1481" s="157">
        <v>47</v>
      </c>
      <c r="K1481" s="157">
        <v>15</v>
      </c>
      <c r="L1481" s="157">
        <v>1</v>
      </c>
      <c r="M1481" s="157">
        <v>14</v>
      </c>
      <c r="N1481" s="157"/>
      <c r="O1481" s="157"/>
      <c r="P1481" s="157"/>
      <c r="Q1481" s="157"/>
      <c r="R1481" s="157"/>
      <c r="S1481" s="157"/>
      <c r="T1481" s="157"/>
      <c r="U1481" s="157"/>
      <c r="V1481" s="158"/>
      <c r="W1481" s="182"/>
      <c r="X1481" s="1"/>
      <c r="Y1481" s="78">
        <f t="shared" si="194"/>
        <v>0</v>
      </c>
      <c r="Z1481" s="78">
        <f t="shared" si="195"/>
        <v>0</v>
      </c>
      <c r="AA1481" s="78">
        <f t="shared" si="193"/>
        <v>0</v>
      </c>
      <c r="AB1481" s="78">
        <f t="shared" si="196"/>
        <v>0</v>
      </c>
      <c r="AC1481" s="78"/>
      <c r="AD1481" s="78">
        <v>0</v>
      </c>
      <c r="AE1481" s="80">
        <f t="shared" ref="AE1481:AE1544" si="198">Y1481+Z1481+AA1481+AB1481+AC1481+AD1481</f>
        <v>0</v>
      </c>
      <c r="AF1481" s="82">
        <v>0</v>
      </c>
      <c r="AG1481" s="69">
        <v>40487</v>
      </c>
      <c r="AH1481" s="84"/>
      <c r="AI1481" s="69" t="s">
        <v>1984</v>
      </c>
      <c r="AJ1481" s="25" t="s">
        <v>1985</v>
      </c>
      <c r="AK1481" s="65"/>
      <c r="AL1481" s="176" t="s">
        <v>1257</v>
      </c>
      <c r="AM1481" s="173" t="s">
        <v>2143</v>
      </c>
      <c r="AN1481" s="159"/>
      <c r="AO1481" s="160"/>
      <c r="AP1481" s="161"/>
      <c r="AQ1481" s="160"/>
      <c r="AR1481" s="160"/>
      <c r="AS1481" s="160"/>
      <c r="AT1481" s="160"/>
      <c r="AU1481" s="160"/>
      <c r="AV1481" s="160"/>
      <c r="AW1481" s="160"/>
      <c r="AX1481" s="160"/>
      <c r="AY1481" s="160"/>
      <c r="AZ1481" s="160"/>
      <c r="BA1481" s="160"/>
      <c r="BB1481" s="160"/>
      <c r="BC1481" s="160"/>
      <c r="BD1481" s="160"/>
      <c r="BE1481" s="160"/>
      <c r="BF1481" s="160"/>
      <c r="BG1481" s="160"/>
      <c r="BH1481" s="160"/>
      <c r="BI1481" s="160"/>
      <c r="BJ1481" s="160"/>
      <c r="BK1481" s="160"/>
      <c r="BL1481" s="160"/>
      <c r="BM1481" s="160"/>
      <c r="BN1481" s="160"/>
      <c r="BO1481" s="160"/>
      <c r="BP1481" s="160"/>
      <c r="BQ1481" s="160"/>
      <c r="BR1481" s="160"/>
      <c r="BS1481" s="160"/>
      <c r="BT1481" s="160"/>
      <c r="BU1481" s="160"/>
      <c r="BV1481" s="160"/>
      <c r="BW1481" s="160"/>
      <c r="BX1481" s="160"/>
      <c r="BY1481" s="160"/>
      <c r="BZ1481" s="160"/>
      <c r="CA1481" s="160"/>
      <c r="CB1481" s="160"/>
      <c r="CC1481" s="160"/>
      <c r="CD1481" s="160"/>
      <c r="CE1481" s="160"/>
      <c r="CF1481" s="160"/>
      <c r="CG1481" s="160"/>
      <c r="CH1481" s="160"/>
      <c r="CI1481" s="160"/>
      <c r="CJ1481" s="160"/>
      <c r="CK1481" s="160"/>
      <c r="CL1481" s="160"/>
      <c r="CM1481" s="160"/>
      <c r="CN1481" s="160"/>
      <c r="CO1481" s="160"/>
      <c r="CP1481" s="162"/>
      <c r="CQ1481" s="163"/>
      <c r="CR1481" s="162"/>
      <c r="CS1481" s="163"/>
      <c r="CT1481" s="162"/>
      <c r="CU1481" s="163"/>
      <c r="CV1481" s="164">
        <f t="shared" si="197"/>
        <v>0</v>
      </c>
      <c r="CW1481" s="165"/>
      <c r="CX1481" s="166"/>
      <c r="CY1481" s="167"/>
      <c r="CZ1481" s="168"/>
      <c r="DA1481" s="169"/>
      <c r="DB1481" s="168"/>
      <c r="DC1481" s="165"/>
      <c r="DD1481" s="166"/>
      <c r="DE1481" s="71"/>
      <c r="DF1481" s="170"/>
      <c r="EO1481" s="353" t="str">
        <f t="shared" si="192"/>
        <v>ANTIOQUIA_TITIRIBI</v>
      </c>
      <c r="EP1481" s="350"/>
      <c r="EQ1481" s="350"/>
      <c r="ER1481" s="357"/>
      <c r="ES1481" s="350"/>
      <c r="ET1481" s="350"/>
      <c r="EU1481" s="350"/>
    </row>
    <row r="1482" spans="1:151" s="171" customFormat="1" ht="25.5" x14ac:dyDescent="0.2">
      <c r="A1482" s="246">
        <v>40485</v>
      </c>
      <c r="B1482" s="280" t="s">
        <v>2401</v>
      </c>
      <c r="C1482" s="280" t="s">
        <v>1551</v>
      </c>
      <c r="D1482" s="432" t="s">
        <v>837</v>
      </c>
      <c r="E1482" s="107" t="str">
        <f>VLOOKUP(B1482&amp;C1482,Divipola!$C$2:$F$1138,4,FALSE)</f>
        <v>05854</v>
      </c>
      <c r="F1482" s="337"/>
      <c r="G1482" s="221"/>
      <c r="H1482" s="157"/>
      <c r="I1482" s="157"/>
      <c r="J1482" s="157">
        <f>541-61-50-200</f>
        <v>230</v>
      </c>
      <c r="K1482" s="157">
        <f>124-11-10-40</f>
        <v>63</v>
      </c>
      <c r="L1482" s="157">
        <f>19-3</f>
        <v>16</v>
      </c>
      <c r="M1482" s="157">
        <f>61-40-9-9</f>
        <v>3</v>
      </c>
      <c r="N1482" s="157"/>
      <c r="O1482" s="157"/>
      <c r="P1482" s="157"/>
      <c r="Q1482" s="157"/>
      <c r="R1482" s="157"/>
      <c r="S1482" s="157"/>
      <c r="T1482" s="157"/>
      <c r="U1482" s="157"/>
      <c r="V1482" s="158"/>
      <c r="W1482" s="182"/>
      <c r="X1482" s="1"/>
      <c r="Y1482" s="78">
        <f t="shared" si="194"/>
        <v>0</v>
      </c>
      <c r="Z1482" s="78">
        <f t="shared" si="195"/>
        <v>0</v>
      </c>
      <c r="AA1482" s="78">
        <f t="shared" si="193"/>
        <v>0</v>
      </c>
      <c r="AB1482" s="78">
        <f t="shared" si="196"/>
        <v>0</v>
      </c>
      <c r="AC1482" s="78"/>
      <c r="AD1482" s="78">
        <v>0</v>
      </c>
      <c r="AE1482" s="80">
        <f t="shared" si="198"/>
        <v>0</v>
      </c>
      <c r="AF1482" s="82">
        <v>0</v>
      </c>
      <c r="AG1482" s="69">
        <v>40484</v>
      </c>
      <c r="AH1482" s="84"/>
      <c r="AI1482" s="69" t="s">
        <v>2009</v>
      </c>
      <c r="AJ1482" s="25" t="s">
        <v>2010</v>
      </c>
      <c r="AK1482" s="109"/>
      <c r="AL1482" s="184" t="s">
        <v>2519</v>
      </c>
      <c r="AM1482" s="173" t="s">
        <v>2568</v>
      </c>
      <c r="AN1482" s="159"/>
      <c r="AO1482" s="160"/>
      <c r="AP1482" s="161"/>
      <c r="AQ1482" s="160"/>
      <c r="AR1482" s="160"/>
      <c r="AS1482" s="160"/>
      <c r="AT1482" s="160"/>
      <c r="AU1482" s="160"/>
      <c r="AV1482" s="160"/>
      <c r="AW1482" s="160"/>
      <c r="AX1482" s="160"/>
      <c r="AY1482" s="160"/>
      <c r="AZ1482" s="160"/>
      <c r="BA1482" s="160"/>
      <c r="BB1482" s="160"/>
      <c r="BC1482" s="160"/>
      <c r="BD1482" s="160"/>
      <c r="BE1482" s="160"/>
      <c r="BF1482" s="160"/>
      <c r="BG1482" s="160"/>
      <c r="BH1482" s="160"/>
      <c r="BI1482" s="160"/>
      <c r="BJ1482" s="160"/>
      <c r="BK1482" s="160"/>
      <c r="BL1482" s="160"/>
      <c r="BM1482" s="160"/>
      <c r="BN1482" s="160"/>
      <c r="BO1482" s="160"/>
      <c r="BP1482" s="160"/>
      <c r="BQ1482" s="160"/>
      <c r="BR1482" s="160"/>
      <c r="BS1482" s="160"/>
      <c r="BT1482" s="160"/>
      <c r="BU1482" s="160"/>
      <c r="BV1482" s="160"/>
      <c r="BW1482" s="160"/>
      <c r="BX1482" s="160"/>
      <c r="BY1482" s="160"/>
      <c r="BZ1482" s="160"/>
      <c r="CA1482" s="160"/>
      <c r="CB1482" s="160"/>
      <c r="CC1482" s="160"/>
      <c r="CD1482" s="160"/>
      <c r="CE1482" s="160"/>
      <c r="CF1482" s="160"/>
      <c r="CG1482" s="160"/>
      <c r="CH1482" s="160"/>
      <c r="CI1482" s="160"/>
      <c r="CJ1482" s="160"/>
      <c r="CK1482" s="160"/>
      <c r="CL1482" s="160"/>
      <c r="CM1482" s="160"/>
      <c r="CN1482" s="160"/>
      <c r="CO1482" s="160"/>
      <c r="CP1482" s="162"/>
      <c r="CQ1482" s="163"/>
      <c r="CR1482" s="162"/>
      <c r="CS1482" s="163"/>
      <c r="CT1482" s="162"/>
      <c r="CU1482" s="163"/>
      <c r="CV1482" s="164">
        <f t="shared" si="197"/>
        <v>0</v>
      </c>
      <c r="CW1482" s="165"/>
      <c r="CX1482" s="166"/>
      <c r="CY1482" s="167"/>
      <c r="CZ1482" s="168"/>
      <c r="DA1482" s="169"/>
      <c r="DB1482" s="168"/>
      <c r="DC1482" s="165"/>
      <c r="DD1482" s="166"/>
      <c r="DE1482" s="71"/>
      <c r="DF1482" s="170"/>
      <c r="EO1482" s="353" t="str">
        <f t="shared" si="192"/>
        <v>ANTIOQUIA_VALDIVIA</v>
      </c>
      <c r="EP1482" s="350"/>
      <c r="EQ1482" s="350"/>
      <c r="ER1482" s="357"/>
      <c r="ES1482" s="350"/>
      <c r="ET1482" s="350"/>
      <c r="EU1482" s="350"/>
    </row>
    <row r="1483" spans="1:151" s="171" customFormat="1" ht="25.5" x14ac:dyDescent="0.2">
      <c r="A1483" s="246">
        <v>40485</v>
      </c>
      <c r="B1483" s="280" t="s">
        <v>2401</v>
      </c>
      <c r="C1483" s="280" t="s">
        <v>1201</v>
      </c>
      <c r="D1483" s="432" t="s">
        <v>837</v>
      </c>
      <c r="E1483" s="107" t="str">
        <f>VLOOKUP(B1483&amp;C1483,Divipola!$C$2:$F$1138,4,FALSE)</f>
        <v>05858</v>
      </c>
      <c r="F1483" s="337"/>
      <c r="G1483" s="221"/>
      <c r="H1483" s="157"/>
      <c r="I1483" s="157"/>
      <c r="J1483" s="157">
        <v>200</v>
      </c>
      <c r="K1483" s="157">
        <v>50</v>
      </c>
      <c r="L1483" s="157"/>
      <c r="M1483" s="157">
        <v>50</v>
      </c>
      <c r="N1483" s="157"/>
      <c r="O1483" s="157"/>
      <c r="P1483" s="157"/>
      <c r="Q1483" s="157"/>
      <c r="R1483" s="157"/>
      <c r="S1483" s="157"/>
      <c r="T1483" s="157"/>
      <c r="U1483" s="157"/>
      <c r="V1483" s="158"/>
      <c r="W1483" s="182"/>
      <c r="X1483" s="1"/>
      <c r="Y1483" s="78">
        <f t="shared" si="194"/>
        <v>0</v>
      </c>
      <c r="Z1483" s="78">
        <f t="shared" si="195"/>
        <v>0</v>
      </c>
      <c r="AA1483" s="78">
        <f t="shared" si="193"/>
        <v>0</v>
      </c>
      <c r="AB1483" s="78">
        <f t="shared" si="196"/>
        <v>0</v>
      </c>
      <c r="AC1483" s="78"/>
      <c r="AD1483" s="78">
        <v>0</v>
      </c>
      <c r="AE1483" s="80">
        <f t="shared" si="198"/>
        <v>0</v>
      </c>
      <c r="AF1483" s="82">
        <v>0</v>
      </c>
      <c r="AG1483" s="69">
        <v>40487</v>
      </c>
      <c r="AH1483" s="84"/>
      <c r="AI1483" s="69" t="s">
        <v>1984</v>
      </c>
      <c r="AJ1483" s="25" t="s">
        <v>1985</v>
      </c>
      <c r="AK1483" s="65"/>
      <c r="AL1483" s="176" t="s">
        <v>1257</v>
      </c>
      <c r="AM1483" s="173" t="s">
        <v>2141</v>
      </c>
      <c r="AN1483" s="159"/>
      <c r="AO1483" s="160"/>
      <c r="AP1483" s="161"/>
      <c r="AQ1483" s="160"/>
      <c r="AR1483" s="160"/>
      <c r="AS1483" s="160"/>
      <c r="AT1483" s="160"/>
      <c r="AU1483" s="160"/>
      <c r="AV1483" s="160"/>
      <c r="AW1483" s="160"/>
      <c r="AX1483" s="160"/>
      <c r="AY1483" s="160"/>
      <c r="AZ1483" s="160"/>
      <c r="BA1483" s="160"/>
      <c r="BB1483" s="160"/>
      <c r="BC1483" s="160"/>
      <c r="BD1483" s="160"/>
      <c r="BE1483" s="160"/>
      <c r="BF1483" s="160"/>
      <c r="BG1483" s="160"/>
      <c r="BH1483" s="160"/>
      <c r="BI1483" s="160"/>
      <c r="BJ1483" s="160"/>
      <c r="BK1483" s="160"/>
      <c r="BL1483" s="160"/>
      <c r="BM1483" s="160"/>
      <c r="BN1483" s="160"/>
      <c r="BO1483" s="160"/>
      <c r="BP1483" s="160"/>
      <c r="BQ1483" s="160"/>
      <c r="BR1483" s="160"/>
      <c r="BS1483" s="160"/>
      <c r="BT1483" s="160"/>
      <c r="BU1483" s="160"/>
      <c r="BV1483" s="160"/>
      <c r="BW1483" s="160"/>
      <c r="BX1483" s="160"/>
      <c r="BY1483" s="160"/>
      <c r="BZ1483" s="160"/>
      <c r="CA1483" s="160"/>
      <c r="CB1483" s="160"/>
      <c r="CC1483" s="160"/>
      <c r="CD1483" s="160"/>
      <c r="CE1483" s="160"/>
      <c r="CF1483" s="160"/>
      <c r="CG1483" s="160"/>
      <c r="CH1483" s="160"/>
      <c r="CI1483" s="160"/>
      <c r="CJ1483" s="160"/>
      <c r="CK1483" s="160"/>
      <c r="CL1483" s="160"/>
      <c r="CM1483" s="160"/>
      <c r="CN1483" s="160"/>
      <c r="CO1483" s="160"/>
      <c r="CP1483" s="162"/>
      <c r="CQ1483" s="163"/>
      <c r="CR1483" s="162"/>
      <c r="CS1483" s="163"/>
      <c r="CT1483" s="162"/>
      <c r="CU1483" s="163"/>
      <c r="CV1483" s="164">
        <f t="shared" si="197"/>
        <v>0</v>
      </c>
      <c r="CW1483" s="165"/>
      <c r="CX1483" s="166"/>
      <c r="CY1483" s="167"/>
      <c r="CZ1483" s="168"/>
      <c r="DA1483" s="169"/>
      <c r="DB1483" s="168"/>
      <c r="DC1483" s="165"/>
      <c r="DD1483" s="166"/>
      <c r="DE1483" s="71"/>
      <c r="DF1483" s="178" t="s">
        <v>838</v>
      </c>
      <c r="EO1483" s="353" t="str">
        <f t="shared" si="192"/>
        <v>ANTIOQUIA_VEGACHI</v>
      </c>
      <c r="EP1483" s="350"/>
      <c r="EQ1483" s="350"/>
      <c r="ER1483" s="357"/>
      <c r="ES1483" s="350"/>
      <c r="ET1483" s="350"/>
      <c r="EU1483" s="350"/>
    </row>
    <row r="1484" spans="1:151" s="171" customFormat="1" ht="25.5" x14ac:dyDescent="0.2">
      <c r="A1484" s="246">
        <v>40485</v>
      </c>
      <c r="B1484" s="280" t="s">
        <v>2401</v>
      </c>
      <c r="C1484" s="280" t="s">
        <v>1201</v>
      </c>
      <c r="D1484" s="432" t="s">
        <v>2209</v>
      </c>
      <c r="E1484" s="107" t="str">
        <f>VLOOKUP(B1484&amp;C1484,Divipola!$C$2:$F$1138,4,FALSE)</f>
        <v>05858</v>
      </c>
      <c r="F1484" s="337"/>
      <c r="G1484" s="221"/>
      <c r="H1484" s="157"/>
      <c r="I1484" s="157"/>
      <c r="J1484" s="157">
        <v>50</v>
      </c>
      <c r="K1484" s="157">
        <v>10</v>
      </c>
      <c r="L1484" s="157"/>
      <c r="M1484" s="157">
        <v>10</v>
      </c>
      <c r="N1484" s="157"/>
      <c r="O1484" s="157"/>
      <c r="P1484" s="157"/>
      <c r="Q1484" s="157"/>
      <c r="R1484" s="157"/>
      <c r="S1484" s="157"/>
      <c r="T1484" s="157"/>
      <c r="U1484" s="157"/>
      <c r="V1484" s="158"/>
      <c r="W1484" s="182"/>
      <c r="X1484" s="1"/>
      <c r="Y1484" s="78">
        <f t="shared" si="194"/>
        <v>0</v>
      </c>
      <c r="Z1484" s="78">
        <f t="shared" si="195"/>
        <v>0</v>
      </c>
      <c r="AA1484" s="78">
        <f t="shared" si="193"/>
        <v>0</v>
      </c>
      <c r="AB1484" s="78">
        <f t="shared" si="196"/>
        <v>0</v>
      </c>
      <c r="AC1484" s="78"/>
      <c r="AD1484" s="78">
        <v>0</v>
      </c>
      <c r="AE1484" s="80">
        <f t="shared" si="198"/>
        <v>0</v>
      </c>
      <c r="AF1484" s="82">
        <v>0</v>
      </c>
      <c r="AG1484" s="69">
        <v>40487</v>
      </c>
      <c r="AH1484" s="84"/>
      <c r="AI1484" s="69" t="s">
        <v>1984</v>
      </c>
      <c r="AJ1484" s="25" t="s">
        <v>1985</v>
      </c>
      <c r="AK1484" s="65"/>
      <c r="AL1484" s="176" t="s">
        <v>1257</v>
      </c>
      <c r="AM1484" s="173" t="s">
        <v>2144</v>
      </c>
      <c r="AN1484" s="159"/>
      <c r="AO1484" s="160"/>
      <c r="AP1484" s="161"/>
      <c r="AQ1484" s="160"/>
      <c r="AR1484" s="160"/>
      <c r="AS1484" s="160"/>
      <c r="AT1484" s="160"/>
      <c r="AU1484" s="160"/>
      <c r="AV1484" s="160"/>
      <c r="AW1484" s="160"/>
      <c r="AX1484" s="160"/>
      <c r="AY1484" s="160"/>
      <c r="AZ1484" s="160"/>
      <c r="BA1484" s="160"/>
      <c r="BB1484" s="160"/>
      <c r="BC1484" s="160"/>
      <c r="BD1484" s="160"/>
      <c r="BE1484" s="160"/>
      <c r="BF1484" s="160"/>
      <c r="BG1484" s="160"/>
      <c r="BH1484" s="160"/>
      <c r="BI1484" s="160"/>
      <c r="BJ1484" s="160"/>
      <c r="BK1484" s="160"/>
      <c r="BL1484" s="160"/>
      <c r="BM1484" s="160"/>
      <c r="BN1484" s="160"/>
      <c r="BO1484" s="160"/>
      <c r="BP1484" s="160"/>
      <c r="BQ1484" s="160"/>
      <c r="BR1484" s="160"/>
      <c r="BS1484" s="160"/>
      <c r="BT1484" s="160"/>
      <c r="BU1484" s="160"/>
      <c r="BV1484" s="160"/>
      <c r="BW1484" s="160"/>
      <c r="BX1484" s="160"/>
      <c r="BY1484" s="160"/>
      <c r="BZ1484" s="160"/>
      <c r="CA1484" s="160"/>
      <c r="CB1484" s="160"/>
      <c r="CC1484" s="160"/>
      <c r="CD1484" s="160"/>
      <c r="CE1484" s="160"/>
      <c r="CF1484" s="160"/>
      <c r="CG1484" s="160"/>
      <c r="CH1484" s="160"/>
      <c r="CI1484" s="160"/>
      <c r="CJ1484" s="160"/>
      <c r="CK1484" s="160"/>
      <c r="CL1484" s="160"/>
      <c r="CM1484" s="160"/>
      <c r="CN1484" s="160"/>
      <c r="CO1484" s="160"/>
      <c r="CP1484" s="162"/>
      <c r="CQ1484" s="163"/>
      <c r="CR1484" s="162"/>
      <c r="CS1484" s="163"/>
      <c r="CT1484" s="162"/>
      <c r="CU1484" s="163"/>
      <c r="CV1484" s="164">
        <f t="shared" si="197"/>
        <v>0</v>
      </c>
      <c r="CW1484" s="165"/>
      <c r="CX1484" s="166"/>
      <c r="CY1484" s="167"/>
      <c r="CZ1484" s="168"/>
      <c r="DA1484" s="169"/>
      <c r="DB1484" s="168"/>
      <c r="DC1484" s="165"/>
      <c r="DD1484" s="166"/>
      <c r="DE1484" s="71"/>
      <c r="DF1484" s="170"/>
      <c r="EO1484" s="353" t="str">
        <f t="shared" si="192"/>
        <v>ANTIOQUIA_VEGACHI</v>
      </c>
      <c r="EP1484" s="350"/>
      <c r="EQ1484" s="350"/>
      <c r="ER1484" s="357"/>
      <c r="ES1484" s="350"/>
      <c r="ET1484" s="350"/>
      <c r="EU1484" s="350"/>
    </row>
    <row r="1485" spans="1:151" s="171" customFormat="1" ht="72" x14ac:dyDescent="0.2">
      <c r="A1485" s="246">
        <v>40485</v>
      </c>
      <c r="B1485" s="280" t="s">
        <v>2401</v>
      </c>
      <c r="C1485" s="280" t="s">
        <v>1187</v>
      </c>
      <c r="D1485" s="432" t="s">
        <v>837</v>
      </c>
      <c r="E1485" s="107" t="str">
        <f>VLOOKUP(B1485&amp;C1485,Divipola!$C$2:$F$1138,4,FALSE)</f>
        <v>05861</v>
      </c>
      <c r="F1485" s="337"/>
      <c r="G1485" s="221"/>
      <c r="H1485" s="157"/>
      <c r="I1485" s="157"/>
      <c r="J1485" s="157">
        <v>1154</v>
      </c>
      <c r="K1485" s="157">
        <v>360</v>
      </c>
      <c r="L1485" s="157">
        <v>96</v>
      </c>
      <c r="M1485" s="157">
        <v>259</v>
      </c>
      <c r="N1485" s="157"/>
      <c r="O1485" s="157"/>
      <c r="P1485" s="157"/>
      <c r="Q1485" s="157"/>
      <c r="R1485" s="157"/>
      <c r="S1485" s="157"/>
      <c r="T1485" s="157"/>
      <c r="U1485" s="157"/>
      <c r="V1485" s="158"/>
      <c r="W1485" s="182"/>
      <c r="X1485" s="1"/>
      <c r="Y1485" s="78">
        <f t="shared" si="194"/>
        <v>0</v>
      </c>
      <c r="Z1485" s="78">
        <f t="shared" si="195"/>
        <v>0</v>
      </c>
      <c r="AA1485" s="78">
        <f t="shared" si="193"/>
        <v>0</v>
      </c>
      <c r="AB1485" s="78">
        <f t="shared" si="196"/>
        <v>0</v>
      </c>
      <c r="AC1485" s="78"/>
      <c r="AD1485" s="78">
        <v>0</v>
      </c>
      <c r="AE1485" s="80">
        <f t="shared" si="198"/>
        <v>0</v>
      </c>
      <c r="AF1485" s="82">
        <v>0</v>
      </c>
      <c r="AG1485" s="69">
        <v>40484</v>
      </c>
      <c r="AH1485" s="84"/>
      <c r="AI1485" s="69" t="s">
        <v>2009</v>
      </c>
      <c r="AJ1485" s="25" t="s">
        <v>2010</v>
      </c>
      <c r="AK1485" s="109"/>
      <c r="AL1485" s="184" t="s">
        <v>2519</v>
      </c>
      <c r="AM1485" s="173" t="s">
        <v>3835</v>
      </c>
      <c r="AN1485" s="159"/>
      <c r="AO1485" s="160"/>
      <c r="AP1485" s="161"/>
      <c r="AQ1485" s="160"/>
      <c r="AR1485" s="160"/>
      <c r="AS1485" s="160"/>
      <c r="AT1485" s="160"/>
      <c r="AU1485" s="160"/>
      <c r="AV1485" s="160"/>
      <c r="AW1485" s="160"/>
      <c r="AX1485" s="160"/>
      <c r="AY1485" s="160"/>
      <c r="AZ1485" s="160"/>
      <c r="BA1485" s="160"/>
      <c r="BB1485" s="160"/>
      <c r="BC1485" s="160"/>
      <c r="BD1485" s="160"/>
      <c r="BE1485" s="160"/>
      <c r="BF1485" s="160"/>
      <c r="BG1485" s="160"/>
      <c r="BH1485" s="160"/>
      <c r="BI1485" s="160"/>
      <c r="BJ1485" s="160"/>
      <c r="BK1485" s="160"/>
      <c r="BL1485" s="160"/>
      <c r="BM1485" s="160"/>
      <c r="BN1485" s="160"/>
      <c r="BO1485" s="160"/>
      <c r="BP1485" s="160"/>
      <c r="BQ1485" s="160"/>
      <c r="BR1485" s="160"/>
      <c r="BS1485" s="160"/>
      <c r="BT1485" s="160"/>
      <c r="BU1485" s="160"/>
      <c r="BV1485" s="160"/>
      <c r="BW1485" s="160"/>
      <c r="BX1485" s="160"/>
      <c r="BY1485" s="160"/>
      <c r="BZ1485" s="160"/>
      <c r="CA1485" s="160"/>
      <c r="CB1485" s="160"/>
      <c r="CC1485" s="160"/>
      <c r="CD1485" s="160"/>
      <c r="CE1485" s="160"/>
      <c r="CF1485" s="160"/>
      <c r="CG1485" s="160"/>
      <c r="CH1485" s="160"/>
      <c r="CI1485" s="160"/>
      <c r="CJ1485" s="160"/>
      <c r="CK1485" s="160"/>
      <c r="CL1485" s="160"/>
      <c r="CM1485" s="160"/>
      <c r="CN1485" s="160"/>
      <c r="CO1485" s="160"/>
      <c r="CP1485" s="162"/>
      <c r="CQ1485" s="163"/>
      <c r="CR1485" s="162"/>
      <c r="CS1485" s="163"/>
      <c r="CT1485" s="162"/>
      <c r="CU1485" s="163"/>
      <c r="CV1485" s="164">
        <f t="shared" si="197"/>
        <v>0</v>
      </c>
      <c r="CW1485" s="165"/>
      <c r="CX1485" s="166"/>
      <c r="CY1485" s="167"/>
      <c r="CZ1485" s="168"/>
      <c r="DA1485" s="169"/>
      <c r="DB1485" s="168"/>
      <c r="DC1485" s="165"/>
      <c r="DD1485" s="166"/>
      <c r="DE1485" s="71"/>
      <c r="DF1485" s="170"/>
      <c r="EO1485" s="353" t="str">
        <f t="shared" si="192"/>
        <v>ANTIOQUIA_VENECIA</v>
      </c>
      <c r="EP1485" s="350"/>
      <c r="EQ1485" s="350"/>
      <c r="ER1485" s="357"/>
      <c r="ES1485" s="350"/>
      <c r="ET1485" s="350"/>
      <c r="EU1485" s="350"/>
    </row>
    <row r="1486" spans="1:151" s="171" customFormat="1" ht="72" x14ac:dyDescent="0.2">
      <c r="A1486" s="246">
        <v>40485</v>
      </c>
      <c r="B1486" s="280" t="s">
        <v>2401</v>
      </c>
      <c r="C1486" s="280" t="s">
        <v>2145</v>
      </c>
      <c r="D1486" s="432" t="s">
        <v>837</v>
      </c>
      <c r="E1486" s="107" t="str">
        <f>VLOOKUP(B1486&amp;C1486,Divipola!$C$2:$F$1138,4,FALSE)</f>
        <v>05873</v>
      </c>
      <c r="F1486" s="337"/>
      <c r="G1486" s="221"/>
      <c r="H1486" s="157"/>
      <c r="I1486" s="157"/>
      <c r="J1486" s="157">
        <v>4122</v>
      </c>
      <c r="K1486" s="157">
        <v>1531</v>
      </c>
      <c r="L1486" s="157">
        <v>22</v>
      </c>
      <c r="M1486" s="157">
        <v>1421</v>
      </c>
      <c r="N1486" s="157"/>
      <c r="O1486" s="157"/>
      <c r="P1486" s="157"/>
      <c r="Q1486" s="157"/>
      <c r="R1486" s="157"/>
      <c r="S1486" s="157"/>
      <c r="T1486" s="157"/>
      <c r="U1486" s="157"/>
      <c r="V1486" s="158"/>
      <c r="W1486" s="182"/>
      <c r="X1486" s="1">
        <v>40527</v>
      </c>
      <c r="Y1486" s="78">
        <f t="shared" si="194"/>
        <v>0</v>
      </c>
      <c r="Z1486" s="78">
        <f t="shared" si="195"/>
        <v>0</v>
      </c>
      <c r="AA1486" s="78">
        <f t="shared" si="193"/>
        <v>0</v>
      </c>
      <c r="AB1486" s="78">
        <f t="shared" si="196"/>
        <v>0</v>
      </c>
      <c r="AC1486" s="78"/>
      <c r="AD1486" s="78">
        <v>109900000</v>
      </c>
      <c r="AE1486" s="80">
        <f t="shared" si="198"/>
        <v>109900000</v>
      </c>
      <c r="AF1486" s="82">
        <v>0</v>
      </c>
      <c r="AG1486" s="69">
        <v>40487</v>
      </c>
      <c r="AH1486" s="84">
        <v>68797</v>
      </c>
      <c r="AI1486" s="69" t="s">
        <v>2009</v>
      </c>
      <c r="AJ1486" s="25" t="s">
        <v>2010</v>
      </c>
      <c r="AK1486" s="65">
        <v>47278</v>
      </c>
      <c r="AL1486" s="176" t="s">
        <v>2519</v>
      </c>
      <c r="AM1486" s="173" t="s">
        <v>126</v>
      </c>
      <c r="AN1486" s="159"/>
      <c r="AO1486" s="160"/>
      <c r="AP1486" s="161"/>
      <c r="AQ1486" s="160"/>
      <c r="AR1486" s="160"/>
      <c r="AS1486" s="160"/>
      <c r="AT1486" s="160"/>
      <c r="AU1486" s="160"/>
      <c r="AV1486" s="160"/>
      <c r="AW1486" s="160"/>
      <c r="AX1486" s="160"/>
      <c r="AY1486" s="160"/>
      <c r="AZ1486" s="160"/>
      <c r="BA1486" s="160"/>
      <c r="BB1486" s="160"/>
      <c r="BC1486" s="160"/>
      <c r="BD1486" s="160"/>
      <c r="BE1486" s="160"/>
      <c r="BF1486" s="160"/>
      <c r="BG1486" s="160"/>
      <c r="BH1486" s="160"/>
      <c r="BI1486" s="160"/>
      <c r="BJ1486" s="160"/>
      <c r="BK1486" s="160"/>
      <c r="BL1486" s="160"/>
      <c r="BM1486" s="160"/>
      <c r="BN1486" s="160"/>
      <c r="BO1486" s="160"/>
      <c r="BP1486" s="160"/>
      <c r="BQ1486" s="160"/>
      <c r="BR1486" s="160"/>
      <c r="BS1486" s="160"/>
      <c r="BT1486" s="160"/>
      <c r="BU1486" s="160"/>
      <c r="BV1486" s="160"/>
      <c r="BW1486" s="160"/>
      <c r="BX1486" s="160"/>
      <c r="BY1486" s="160"/>
      <c r="BZ1486" s="160"/>
      <c r="CA1486" s="160"/>
      <c r="CB1486" s="160"/>
      <c r="CC1486" s="160"/>
      <c r="CD1486" s="160"/>
      <c r="CE1486" s="160"/>
      <c r="CF1486" s="160"/>
      <c r="CG1486" s="160"/>
      <c r="CH1486" s="160"/>
      <c r="CI1486" s="160"/>
      <c r="CJ1486" s="160"/>
      <c r="CK1486" s="160"/>
      <c r="CL1486" s="160"/>
      <c r="CM1486" s="160"/>
      <c r="CN1486" s="160"/>
      <c r="CO1486" s="160"/>
      <c r="CP1486" s="162"/>
      <c r="CQ1486" s="163"/>
      <c r="CR1486" s="162"/>
      <c r="CS1486" s="163"/>
      <c r="CT1486" s="162"/>
      <c r="CU1486" s="163"/>
      <c r="CV1486" s="164">
        <f t="shared" si="197"/>
        <v>0</v>
      </c>
      <c r="CW1486" s="165"/>
      <c r="CX1486" s="166"/>
      <c r="CY1486" s="167"/>
      <c r="CZ1486" s="168"/>
      <c r="DA1486" s="169"/>
      <c r="DB1486" s="168"/>
      <c r="DC1486" s="165"/>
      <c r="DD1486" s="166"/>
      <c r="DE1486" s="71">
        <v>2</v>
      </c>
      <c r="DF1486" s="170"/>
      <c r="EO1486" s="353" t="str">
        <f t="shared" si="192"/>
        <v>ANTIOQUIA_VIGIA DEL FUERTE</v>
      </c>
      <c r="EP1486" s="350"/>
      <c r="EQ1486" s="350"/>
      <c r="ER1486" s="357"/>
      <c r="ES1486" s="350"/>
      <c r="ET1486" s="350"/>
      <c r="EU1486" s="350"/>
    </row>
    <row r="1487" spans="1:151" s="171" customFormat="1" ht="25.5" x14ac:dyDescent="0.2">
      <c r="A1487" s="242">
        <v>40485</v>
      </c>
      <c r="B1487" s="222" t="s">
        <v>2017</v>
      </c>
      <c r="C1487" s="222" t="s">
        <v>1956</v>
      </c>
      <c r="D1487" s="430" t="s">
        <v>837</v>
      </c>
      <c r="E1487" s="107" t="str">
        <f>VLOOKUP(B1487&amp;C1487,Divipola!$C$2:$F$1138,4,FALSE)</f>
        <v>13836</v>
      </c>
      <c r="F1487" s="333"/>
      <c r="G1487" s="221"/>
      <c r="H1487" s="157"/>
      <c r="I1487" s="157"/>
      <c r="J1487" s="157"/>
      <c r="K1487" s="157"/>
      <c r="L1487" s="157"/>
      <c r="M1487" s="157"/>
      <c r="N1487" s="157"/>
      <c r="O1487" s="157"/>
      <c r="P1487" s="157"/>
      <c r="Q1487" s="157"/>
      <c r="R1487" s="157"/>
      <c r="S1487" s="157"/>
      <c r="T1487" s="157"/>
      <c r="U1487" s="157"/>
      <c r="V1487" s="158"/>
      <c r="W1487" s="182"/>
      <c r="X1487" s="1"/>
      <c r="Y1487" s="78">
        <f t="shared" si="194"/>
        <v>0</v>
      </c>
      <c r="Z1487" s="78">
        <f t="shared" si="195"/>
        <v>0</v>
      </c>
      <c r="AA1487" s="78">
        <f t="shared" si="193"/>
        <v>0</v>
      </c>
      <c r="AB1487" s="78">
        <f t="shared" si="196"/>
        <v>0</v>
      </c>
      <c r="AC1487" s="78"/>
      <c r="AD1487" s="78">
        <v>0</v>
      </c>
      <c r="AE1487" s="80">
        <f t="shared" si="198"/>
        <v>0</v>
      </c>
      <c r="AF1487" s="82">
        <v>0</v>
      </c>
      <c r="AG1487" s="69">
        <v>40484</v>
      </c>
      <c r="AH1487" s="84"/>
      <c r="AI1487" s="69" t="s">
        <v>1984</v>
      </c>
      <c r="AJ1487" s="25" t="s">
        <v>1985</v>
      </c>
      <c r="AK1487" s="109"/>
      <c r="AL1487" s="176" t="s">
        <v>1257</v>
      </c>
      <c r="AM1487" s="173" t="s">
        <v>2947</v>
      </c>
      <c r="AN1487" s="159"/>
      <c r="AO1487" s="160"/>
      <c r="AP1487" s="161"/>
      <c r="AQ1487" s="160"/>
      <c r="AR1487" s="160"/>
      <c r="AS1487" s="160"/>
      <c r="AT1487" s="160"/>
      <c r="AU1487" s="160"/>
      <c r="AV1487" s="160"/>
      <c r="AW1487" s="160"/>
      <c r="AX1487" s="160"/>
      <c r="AY1487" s="160"/>
      <c r="AZ1487" s="160"/>
      <c r="BA1487" s="160"/>
      <c r="BB1487" s="160"/>
      <c r="BC1487" s="160"/>
      <c r="BD1487" s="160"/>
      <c r="BE1487" s="160"/>
      <c r="BF1487" s="160"/>
      <c r="BG1487" s="160"/>
      <c r="BH1487" s="160"/>
      <c r="BI1487" s="160"/>
      <c r="BJ1487" s="160"/>
      <c r="BK1487" s="160"/>
      <c r="BL1487" s="160"/>
      <c r="BM1487" s="160"/>
      <c r="BN1487" s="160"/>
      <c r="BO1487" s="160"/>
      <c r="BP1487" s="160"/>
      <c r="BQ1487" s="160"/>
      <c r="BR1487" s="160"/>
      <c r="BS1487" s="160"/>
      <c r="BT1487" s="160"/>
      <c r="BU1487" s="160"/>
      <c r="BV1487" s="160"/>
      <c r="BW1487" s="160"/>
      <c r="BX1487" s="160"/>
      <c r="BY1487" s="160"/>
      <c r="BZ1487" s="160"/>
      <c r="CA1487" s="160"/>
      <c r="CB1487" s="160"/>
      <c r="CC1487" s="160"/>
      <c r="CD1487" s="160"/>
      <c r="CE1487" s="160"/>
      <c r="CF1487" s="160"/>
      <c r="CG1487" s="160"/>
      <c r="CH1487" s="160"/>
      <c r="CI1487" s="160"/>
      <c r="CJ1487" s="160"/>
      <c r="CK1487" s="160"/>
      <c r="CL1487" s="160"/>
      <c r="CM1487" s="160"/>
      <c r="CN1487" s="160"/>
      <c r="CO1487" s="160"/>
      <c r="CP1487" s="162"/>
      <c r="CQ1487" s="163"/>
      <c r="CR1487" s="162"/>
      <c r="CS1487" s="163"/>
      <c r="CT1487" s="162"/>
      <c r="CU1487" s="163"/>
      <c r="CV1487" s="164">
        <f t="shared" si="197"/>
        <v>0</v>
      </c>
      <c r="CW1487" s="165"/>
      <c r="CX1487" s="166"/>
      <c r="CY1487" s="167"/>
      <c r="CZ1487" s="168"/>
      <c r="DA1487" s="169"/>
      <c r="DB1487" s="168"/>
      <c r="DC1487" s="165"/>
      <c r="DD1487" s="166"/>
      <c r="DE1487" s="71"/>
      <c r="DF1487" s="170"/>
      <c r="EO1487" s="353" t="str">
        <f t="shared" si="192"/>
        <v>BOLIVAR_TURBACO</v>
      </c>
      <c r="EP1487" s="350"/>
      <c r="EQ1487" s="350"/>
      <c r="ER1487" s="357"/>
      <c r="ES1487" s="350"/>
      <c r="ET1487" s="350"/>
      <c r="EU1487" s="350"/>
    </row>
    <row r="1488" spans="1:151" s="171" customFormat="1" ht="84" x14ac:dyDescent="0.2">
      <c r="A1488" s="242">
        <v>40485</v>
      </c>
      <c r="B1488" s="222" t="s">
        <v>1719</v>
      </c>
      <c r="C1488" s="222" t="s">
        <v>2948</v>
      </c>
      <c r="D1488" s="430" t="s">
        <v>837</v>
      </c>
      <c r="E1488" s="107" t="str">
        <f>VLOOKUP(B1488&amp;C1488,Divipola!$C$2:$F$1138,4,FALSE)</f>
        <v>19130</v>
      </c>
      <c r="F1488" s="333"/>
      <c r="G1488" s="221"/>
      <c r="H1488" s="157"/>
      <c r="I1488" s="157"/>
      <c r="J1488" s="157">
        <f>510*5</f>
        <v>2550</v>
      </c>
      <c r="K1488" s="157">
        <f>555-15-30</f>
        <v>510</v>
      </c>
      <c r="L1488" s="157"/>
      <c r="M1488" s="157">
        <f>332-15-20</f>
        <v>297</v>
      </c>
      <c r="N1488" s="157">
        <v>9</v>
      </c>
      <c r="O1488" s="157"/>
      <c r="P1488" s="157"/>
      <c r="Q1488" s="157">
        <v>3</v>
      </c>
      <c r="R1488" s="157"/>
      <c r="S1488" s="157"/>
      <c r="T1488" s="157"/>
      <c r="U1488" s="157"/>
      <c r="V1488" s="158"/>
      <c r="W1488" s="182"/>
      <c r="X1488" s="1"/>
      <c r="Y1488" s="78">
        <f t="shared" si="194"/>
        <v>0</v>
      </c>
      <c r="Z1488" s="78">
        <f t="shared" si="195"/>
        <v>0</v>
      </c>
      <c r="AA1488" s="78">
        <f t="shared" si="193"/>
        <v>0</v>
      </c>
      <c r="AB1488" s="78">
        <f t="shared" si="196"/>
        <v>0</v>
      </c>
      <c r="AC1488" s="78"/>
      <c r="AD1488" s="78">
        <v>0</v>
      </c>
      <c r="AE1488" s="80">
        <f t="shared" si="198"/>
        <v>0</v>
      </c>
      <c r="AF1488" s="82">
        <v>0</v>
      </c>
      <c r="AG1488" s="69">
        <v>40484</v>
      </c>
      <c r="AH1488" s="84"/>
      <c r="AI1488" s="69" t="s">
        <v>1984</v>
      </c>
      <c r="AJ1488" s="25" t="s">
        <v>1985</v>
      </c>
      <c r="AK1488" s="109"/>
      <c r="AL1488" s="176" t="s">
        <v>1257</v>
      </c>
      <c r="AM1488" s="173" t="s">
        <v>2949</v>
      </c>
      <c r="AN1488" s="159"/>
      <c r="AO1488" s="160"/>
      <c r="AP1488" s="161"/>
      <c r="AQ1488" s="160"/>
      <c r="AR1488" s="160"/>
      <c r="AS1488" s="160"/>
      <c r="AT1488" s="160"/>
      <c r="AU1488" s="160"/>
      <c r="AV1488" s="160"/>
      <c r="AW1488" s="160"/>
      <c r="AX1488" s="160"/>
      <c r="AY1488" s="160"/>
      <c r="AZ1488" s="160"/>
      <c r="BA1488" s="160"/>
      <c r="BB1488" s="160"/>
      <c r="BC1488" s="160"/>
      <c r="BD1488" s="160"/>
      <c r="BE1488" s="160"/>
      <c r="BF1488" s="160"/>
      <c r="BG1488" s="160"/>
      <c r="BH1488" s="160"/>
      <c r="BI1488" s="160"/>
      <c r="BJ1488" s="160"/>
      <c r="BK1488" s="160"/>
      <c r="BL1488" s="160"/>
      <c r="BM1488" s="160"/>
      <c r="BN1488" s="160"/>
      <c r="BO1488" s="160"/>
      <c r="BP1488" s="160"/>
      <c r="BQ1488" s="160"/>
      <c r="BR1488" s="160"/>
      <c r="BS1488" s="160"/>
      <c r="BT1488" s="160"/>
      <c r="BU1488" s="160"/>
      <c r="BV1488" s="160"/>
      <c r="BW1488" s="160"/>
      <c r="BX1488" s="160"/>
      <c r="BY1488" s="160"/>
      <c r="BZ1488" s="160"/>
      <c r="CA1488" s="160"/>
      <c r="CB1488" s="160"/>
      <c r="CC1488" s="160"/>
      <c r="CD1488" s="160"/>
      <c r="CE1488" s="160"/>
      <c r="CF1488" s="160"/>
      <c r="CG1488" s="160"/>
      <c r="CH1488" s="160"/>
      <c r="CI1488" s="160"/>
      <c r="CJ1488" s="160"/>
      <c r="CK1488" s="160"/>
      <c r="CL1488" s="160"/>
      <c r="CM1488" s="160"/>
      <c r="CN1488" s="160"/>
      <c r="CO1488" s="160"/>
      <c r="CP1488" s="162"/>
      <c r="CQ1488" s="163"/>
      <c r="CR1488" s="162"/>
      <c r="CS1488" s="163"/>
      <c r="CT1488" s="162"/>
      <c r="CU1488" s="163"/>
      <c r="CV1488" s="164">
        <f t="shared" si="197"/>
        <v>0</v>
      </c>
      <c r="CW1488" s="165"/>
      <c r="CX1488" s="166"/>
      <c r="CY1488" s="167"/>
      <c r="CZ1488" s="168"/>
      <c r="DA1488" s="169"/>
      <c r="DB1488" s="168"/>
      <c r="DC1488" s="165"/>
      <c r="DD1488" s="166"/>
      <c r="DE1488" s="71"/>
      <c r="DF1488" s="170"/>
      <c r="EO1488" s="353" t="str">
        <f t="shared" si="192"/>
        <v>CAUCA_CAJIBIO</v>
      </c>
      <c r="EP1488" s="350"/>
      <c r="EQ1488" s="350"/>
      <c r="ER1488" s="357"/>
      <c r="ES1488" s="350"/>
      <c r="ET1488" s="350"/>
      <c r="EU1488" s="350"/>
    </row>
    <row r="1489" spans="1:151" s="171" customFormat="1" ht="36" x14ac:dyDescent="0.2">
      <c r="A1489" s="242">
        <v>40485</v>
      </c>
      <c r="B1489" s="222" t="s">
        <v>1719</v>
      </c>
      <c r="C1489" s="222" t="s">
        <v>1999</v>
      </c>
      <c r="D1489" s="430" t="s">
        <v>837</v>
      </c>
      <c r="E1489" s="107" t="str">
        <f>VLOOKUP(B1489&amp;C1489,Divipola!$C$2:$F$1138,4,FALSE)</f>
        <v>19824</v>
      </c>
      <c r="F1489" s="333"/>
      <c r="G1489" s="221"/>
      <c r="H1489" s="157"/>
      <c r="I1489" s="157"/>
      <c r="J1489" s="157">
        <f>142*5</f>
        <v>710</v>
      </c>
      <c r="K1489" s="157">
        <f>146-4</f>
        <v>142</v>
      </c>
      <c r="L1489" s="157"/>
      <c r="M1489" s="157">
        <f>61-4</f>
        <v>57</v>
      </c>
      <c r="N1489" s="157"/>
      <c r="O1489" s="157"/>
      <c r="P1489" s="157"/>
      <c r="Q1489" s="157"/>
      <c r="R1489" s="157"/>
      <c r="S1489" s="157">
        <v>1</v>
      </c>
      <c r="T1489" s="157"/>
      <c r="U1489" s="157">
        <v>1</v>
      </c>
      <c r="V1489" s="158"/>
      <c r="W1489" s="182"/>
      <c r="X1489" s="1"/>
      <c r="Y1489" s="78">
        <f t="shared" si="194"/>
        <v>0</v>
      </c>
      <c r="Z1489" s="78">
        <f t="shared" si="195"/>
        <v>0</v>
      </c>
      <c r="AA1489" s="78">
        <f t="shared" si="193"/>
        <v>0</v>
      </c>
      <c r="AB1489" s="78">
        <f t="shared" si="196"/>
        <v>0</v>
      </c>
      <c r="AC1489" s="78"/>
      <c r="AD1489" s="78">
        <v>0</v>
      </c>
      <c r="AE1489" s="80">
        <f t="shared" si="198"/>
        <v>0</v>
      </c>
      <c r="AF1489" s="82">
        <v>0</v>
      </c>
      <c r="AG1489" s="242">
        <v>40484</v>
      </c>
      <c r="AH1489" s="84"/>
      <c r="AI1489" s="69" t="s">
        <v>1984</v>
      </c>
      <c r="AJ1489" s="25" t="s">
        <v>1985</v>
      </c>
      <c r="AK1489" s="109"/>
      <c r="AL1489" s="176" t="s">
        <v>1257</v>
      </c>
      <c r="AM1489" s="173" t="s">
        <v>2950</v>
      </c>
      <c r="AN1489" s="159"/>
      <c r="AO1489" s="160"/>
      <c r="AP1489" s="161"/>
      <c r="AQ1489" s="160"/>
      <c r="AR1489" s="160"/>
      <c r="AS1489" s="160"/>
      <c r="AT1489" s="160"/>
      <c r="AU1489" s="160"/>
      <c r="AV1489" s="160"/>
      <c r="AW1489" s="160"/>
      <c r="AX1489" s="160"/>
      <c r="AY1489" s="160"/>
      <c r="AZ1489" s="160"/>
      <c r="BA1489" s="160"/>
      <c r="BB1489" s="160"/>
      <c r="BC1489" s="160"/>
      <c r="BD1489" s="160"/>
      <c r="BE1489" s="160"/>
      <c r="BF1489" s="160"/>
      <c r="BG1489" s="160"/>
      <c r="BH1489" s="160"/>
      <c r="BI1489" s="160"/>
      <c r="BJ1489" s="160"/>
      <c r="BK1489" s="160"/>
      <c r="BL1489" s="160"/>
      <c r="BM1489" s="160"/>
      <c r="BN1489" s="160"/>
      <c r="BO1489" s="160"/>
      <c r="BP1489" s="160"/>
      <c r="BQ1489" s="160"/>
      <c r="BR1489" s="160"/>
      <c r="BS1489" s="160"/>
      <c r="BT1489" s="160"/>
      <c r="BU1489" s="160"/>
      <c r="BV1489" s="160"/>
      <c r="BW1489" s="160"/>
      <c r="BX1489" s="160"/>
      <c r="BY1489" s="160"/>
      <c r="BZ1489" s="160"/>
      <c r="CA1489" s="160"/>
      <c r="CB1489" s="160"/>
      <c r="CC1489" s="160"/>
      <c r="CD1489" s="160"/>
      <c r="CE1489" s="160"/>
      <c r="CF1489" s="160"/>
      <c r="CG1489" s="160"/>
      <c r="CH1489" s="160"/>
      <c r="CI1489" s="160"/>
      <c r="CJ1489" s="160"/>
      <c r="CK1489" s="160"/>
      <c r="CL1489" s="160"/>
      <c r="CM1489" s="160"/>
      <c r="CN1489" s="160"/>
      <c r="CO1489" s="160"/>
      <c r="CP1489" s="162"/>
      <c r="CQ1489" s="163"/>
      <c r="CR1489" s="162"/>
      <c r="CS1489" s="163"/>
      <c r="CT1489" s="162"/>
      <c r="CU1489" s="163"/>
      <c r="CV1489" s="164">
        <f t="shared" si="197"/>
        <v>0</v>
      </c>
      <c r="CW1489" s="165"/>
      <c r="CX1489" s="166"/>
      <c r="CY1489" s="167"/>
      <c r="CZ1489" s="168"/>
      <c r="DA1489" s="169"/>
      <c r="DB1489" s="168"/>
      <c r="DC1489" s="165"/>
      <c r="DD1489" s="166"/>
      <c r="DE1489" s="71"/>
      <c r="DF1489" s="170"/>
      <c r="EO1489" s="353" t="str">
        <f t="shared" si="192"/>
        <v>CAUCA_TOTORO</v>
      </c>
      <c r="EP1489" s="350"/>
      <c r="EQ1489" s="350"/>
      <c r="ER1489" s="357"/>
      <c r="ES1489" s="350"/>
      <c r="ET1489" s="350"/>
      <c r="EU1489" s="350"/>
    </row>
    <row r="1490" spans="1:151" s="171" customFormat="1" ht="45" x14ac:dyDescent="0.2">
      <c r="A1490" s="242">
        <v>40485</v>
      </c>
      <c r="B1490" s="222" t="s">
        <v>2425</v>
      </c>
      <c r="C1490" s="222" t="s">
        <v>1218</v>
      </c>
      <c r="D1490" s="430" t="s">
        <v>837</v>
      </c>
      <c r="E1490" s="107" t="str">
        <f>VLOOKUP(B1490&amp;C1490,Divipola!$C$2:$F$1138,4,FALSE)</f>
        <v>27025</v>
      </c>
      <c r="F1490" s="333"/>
      <c r="G1490" s="221">
        <v>1</v>
      </c>
      <c r="H1490" s="157"/>
      <c r="I1490" s="157"/>
      <c r="J1490" s="157">
        <f>4501*5</f>
        <v>22505</v>
      </c>
      <c r="K1490" s="157">
        <v>4501</v>
      </c>
      <c r="L1490" s="157"/>
      <c r="M1490" s="157">
        <v>168</v>
      </c>
      <c r="N1490" s="157"/>
      <c r="O1490" s="157"/>
      <c r="P1490" s="157"/>
      <c r="Q1490" s="157"/>
      <c r="R1490" s="157"/>
      <c r="S1490" s="157"/>
      <c r="T1490" s="157"/>
      <c r="U1490" s="157"/>
      <c r="V1490" s="158"/>
      <c r="W1490" s="182"/>
      <c r="X1490" s="1">
        <v>40529</v>
      </c>
      <c r="Y1490" s="78">
        <f t="shared" si="194"/>
        <v>74330000</v>
      </c>
      <c r="Z1490" s="78">
        <f t="shared" si="195"/>
        <v>293675000</v>
      </c>
      <c r="AA1490" s="78">
        <f t="shared" si="193"/>
        <v>0</v>
      </c>
      <c r="AB1490" s="78">
        <f t="shared" si="196"/>
        <v>0</v>
      </c>
      <c r="AC1490" s="78"/>
      <c r="AD1490" s="78">
        <v>0</v>
      </c>
      <c r="AE1490" s="80">
        <f t="shared" si="198"/>
        <v>368005000</v>
      </c>
      <c r="AF1490" s="82">
        <v>0</v>
      </c>
      <c r="AG1490" s="69">
        <v>40487</v>
      </c>
      <c r="AH1490" s="84">
        <v>62735</v>
      </c>
      <c r="AI1490" s="69" t="s">
        <v>2009</v>
      </c>
      <c r="AJ1490" s="25" t="s">
        <v>2010</v>
      </c>
      <c r="AK1490" s="65">
        <v>26371</v>
      </c>
      <c r="AL1490" s="185" t="s">
        <v>2182</v>
      </c>
      <c r="AM1490" s="173" t="s">
        <v>2150</v>
      </c>
      <c r="AN1490" s="159"/>
      <c r="AO1490" s="160"/>
      <c r="AP1490" s="161"/>
      <c r="AQ1490" s="160"/>
      <c r="AR1490" s="160"/>
      <c r="AS1490" s="160"/>
      <c r="AT1490" s="160"/>
      <c r="AU1490" s="160"/>
      <c r="AV1490" s="160"/>
      <c r="AW1490" s="160"/>
      <c r="AX1490" s="160"/>
      <c r="AY1490" s="160"/>
      <c r="AZ1490" s="160"/>
      <c r="BA1490" s="160"/>
      <c r="BB1490" s="160">
        <v>400</v>
      </c>
      <c r="BC1490" s="160">
        <f>400*56000</f>
        <v>22400000</v>
      </c>
      <c r="BD1490" s="160"/>
      <c r="BE1490" s="160"/>
      <c r="BF1490" s="160"/>
      <c r="BG1490" s="160"/>
      <c r="BH1490" s="160"/>
      <c r="BI1490" s="160"/>
      <c r="BJ1490" s="160"/>
      <c r="BK1490" s="160"/>
      <c r="BL1490" s="160"/>
      <c r="BM1490" s="160"/>
      <c r="BN1490" s="160"/>
      <c r="BO1490" s="160"/>
      <c r="BP1490" s="160"/>
      <c r="BQ1490" s="160"/>
      <c r="BR1490" s="160"/>
      <c r="BS1490" s="160"/>
      <c r="BT1490" s="160"/>
      <c r="BU1490" s="160"/>
      <c r="BV1490" s="160"/>
      <c r="BW1490" s="160"/>
      <c r="BX1490" s="160"/>
      <c r="BY1490" s="160"/>
      <c r="BZ1490" s="160"/>
      <c r="CA1490" s="160"/>
      <c r="CB1490" s="160"/>
      <c r="CC1490" s="160"/>
      <c r="CD1490" s="160"/>
      <c r="CE1490" s="160"/>
      <c r="CF1490" s="160"/>
      <c r="CG1490" s="160"/>
      <c r="CH1490" s="160"/>
      <c r="CI1490" s="160"/>
      <c r="CJ1490" s="160"/>
      <c r="CK1490" s="160"/>
      <c r="CL1490" s="160"/>
      <c r="CM1490" s="160"/>
      <c r="CN1490" s="160">
        <v>2885</v>
      </c>
      <c r="CO1490" s="160">
        <f>2885*18000</f>
        <v>51930000</v>
      </c>
      <c r="CP1490" s="162"/>
      <c r="CQ1490" s="163"/>
      <c r="CR1490" s="162"/>
      <c r="CS1490" s="163"/>
      <c r="CT1490" s="162"/>
      <c r="CU1490" s="163"/>
      <c r="CV1490" s="164">
        <f t="shared" si="197"/>
        <v>74330000</v>
      </c>
      <c r="CW1490" s="165"/>
      <c r="CX1490" s="166"/>
      <c r="CY1490" s="167">
        <f>570+2885</f>
        <v>3455</v>
      </c>
      <c r="CZ1490" s="168">
        <f>570*85000+2885*85000</f>
        <v>293675000</v>
      </c>
      <c r="DA1490" s="169"/>
      <c r="DB1490" s="168"/>
      <c r="DC1490" s="165"/>
      <c r="DD1490" s="166"/>
      <c r="DE1490" s="71"/>
      <c r="DF1490" s="170"/>
      <c r="EO1490" s="353" t="str">
        <f t="shared" si="192"/>
        <v>CHOCO_ALTO BAUDO</v>
      </c>
      <c r="EP1490" s="350"/>
      <c r="EQ1490" s="350"/>
      <c r="ER1490" s="357"/>
      <c r="ES1490" s="350"/>
      <c r="ET1490" s="350"/>
      <c r="EU1490" s="350"/>
    </row>
    <row r="1491" spans="1:151" s="171" customFormat="1" ht="45" x14ac:dyDescent="0.2">
      <c r="A1491" s="242">
        <v>40485</v>
      </c>
      <c r="B1491" s="222" t="s">
        <v>2425</v>
      </c>
      <c r="C1491" s="222" t="s">
        <v>2147</v>
      </c>
      <c r="D1491" s="430" t="s">
        <v>837</v>
      </c>
      <c r="E1491" s="107" t="str">
        <f>VLOOKUP(B1491&amp;C1491,Divipola!$C$2:$F$1138,4,FALSE)</f>
        <v>27099</v>
      </c>
      <c r="F1491" s="333"/>
      <c r="G1491" s="221"/>
      <c r="H1491" s="157"/>
      <c r="I1491" s="157"/>
      <c r="J1491" s="157">
        <v>9364</v>
      </c>
      <c r="K1491" s="157">
        <v>1894</v>
      </c>
      <c r="L1491" s="157"/>
      <c r="M1491" s="157">
        <v>113</v>
      </c>
      <c r="N1491" s="157"/>
      <c r="O1491" s="157"/>
      <c r="P1491" s="157"/>
      <c r="Q1491" s="157"/>
      <c r="R1491" s="157"/>
      <c r="S1491" s="157"/>
      <c r="T1491" s="157"/>
      <c r="U1491" s="157"/>
      <c r="V1491" s="158"/>
      <c r="W1491" s="182"/>
      <c r="X1491" s="1"/>
      <c r="Y1491" s="78">
        <f t="shared" si="194"/>
        <v>33574000</v>
      </c>
      <c r="Z1491" s="78">
        <f t="shared" si="195"/>
        <v>176205000</v>
      </c>
      <c r="AA1491" s="78">
        <f t="shared" si="193"/>
        <v>0</v>
      </c>
      <c r="AB1491" s="78">
        <f t="shared" si="196"/>
        <v>0</v>
      </c>
      <c r="AC1491" s="78"/>
      <c r="AD1491" s="78">
        <v>0</v>
      </c>
      <c r="AE1491" s="80">
        <f t="shared" si="198"/>
        <v>209779000</v>
      </c>
      <c r="AF1491" s="82">
        <v>0</v>
      </c>
      <c r="AG1491" s="69">
        <v>40487</v>
      </c>
      <c r="AH1491" s="84"/>
      <c r="AI1491" s="69" t="s">
        <v>2009</v>
      </c>
      <c r="AJ1491" s="25" t="s">
        <v>2010</v>
      </c>
      <c r="AK1491" s="65"/>
      <c r="AL1491" s="185" t="s">
        <v>2182</v>
      </c>
      <c r="AM1491" s="173" t="s">
        <v>2148</v>
      </c>
      <c r="AN1491" s="159"/>
      <c r="AO1491" s="160"/>
      <c r="AP1491" s="161"/>
      <c r="AQ1491" s="160"/>
      <c r="AR1491" s="160"/>
      <c r="AS1491" s="160"/>
      <c r="AT1491" s="160"/>
      <c r="AU1491" s="160"/>
      <c r="AV1491" s="160"/>
      <c r="AW1491" s="160"/>
      <c r="AX1491" s="160"/>
      <c r="AY1491" s="160"/>
      <c r="AZ1491" s="160"/>
      <c r="BA1491" s="160"/>
      <c r="BB1491" s="160">
        <v>200</v>
      </c>
      <c r="BC1491" s="160">
        <f>200*56000</f>
        <v>11200000</v>
      </c>
      <c r="BD1491" s="160"/>
      <c r="BE1491" s="160"/>
      <c r="BF1491" s="160"/>
      <c r="BG1491" s="160"/>
      <c r="BH1491" s="160"/>
      <c r="BI1491" s="160"/>
      <c r="BJ1491" s="160"/>
      <c r="BK1491" s="160"/>
      <c r="BL1491" s="160"/>
      <c r="BM1491" s="160"/>
      <c r="BN1491" s="160"/>
      <c r="BO1491" s="160"/>
      <c r="BP1491" s="160"/>
      <c r="BQ1491" s="160"/>
      <c r="BR1491" s="160"/>
      <c r="BS1491" s="160"/>
      <c r="BT1491" s="160"/>
      <c r="BU1491" s="160"/>
      <c r="BV1491" s="160"/>
      <c r="BW1491" s="160"/>
      <c r="BX1491" s="160"/>
      <c r="BY1491" s="160"/>
      <c r="BZ1491" s="160"/>
      <c r="CA1491" s="160"/>
      <c r="CB1491" s="160"/>
      <c r="CC1491" s="160"/>
      <c r="CD1491" s="160"/>
      <c r="CE1491" s="160"/>
      <c r="CF1491" s="160"/>
      <c r="CG1491" s="160"/>
      <c r="CH1491" s="160"/>
      <c r="CI1491" s="160"/>
      <c r="CJ1491" s="160"/>
      <c r="CK1491" s="160"/>
      <c r="CL1491" s="160"/>
      <c r="CM1491" s="160"/>
      <c r="CN1491" s="160">
        <v>1243</v>
      </c>
      <c r="CO1491" s="160">
        <f>1243*18000</f>
        <v>22374000</v>
      </c>
      <c r="CP1491" s="162"/>
      <c r="CQ1491" s="163"/>
      <c r="CR1491" s="162"/>
      <c r="CS1491" s="163"/>
      <c r="CT1491" s="162"/>
      <c r="CU1491" s="163"/>
      <c r="CV1491" s="164">
        <f t="shared" si="197"/>
        <v>33574000</v>
      </c>
      <c r="CW1491" s="165"/>
      <c r="CX1491" s="166"/>
      <c r="CY1491" s="167">
        <f>830+1243</f>
        <v>2073</v>
      </c>
      <c r="CZ1491" s="168">
        <f>830*85000+1243*85000</f>
        <v>176205000</v>
      </c>
      <c r="DA1491" s="169"/>
      <c r="DB1491" s="168"/>
      <c r="DC1491" s="165"/>
      <c r="DD1491" s="166"/>
      <c r="DE1491" s="71"/>
      <c r="DF1491" s="170"/>
      <c r="EO1491" s="353" t="str">
        <f t="shared" si="192"/>
        <v>CHOCO_BOJAYA</v>
      </c>
      <c r="EP1491" s="350"/>
      <c r="EQ1491" s="350"/>
      <c r="ER1491" s="357"/>
      <c r="ES1491" s="350"/>
      <c r="ET1491" s="350"/>
      <c r="EU1491" s="350"/>
    </row>
    <row r="1492" spans="1:151" s="171" customFormat="1" ht="45" x14ac:dyDescent="0.2">
      <c r="A1492" s="242">
        <v>40485</v>
      </c>
      <c r="B1492" s="222" t="s">
        <v>2425</v>
      </c>
      <c r="C1492" s="222" t="s">
        <v>3082</v>
      </c>
      <c r="D1492" s="430" t="s">
        <v>837</v>
      </c>
      <c r="E1492" s="107" t="str">
        <f>VLOOKUP(B1492&amp;C1492,Divipola!$C$2:$F$1138,4,FALSE)</f>
        <v>27150</v>
      </c>
      <c r="F1492" s="333"/>
      <c r="G1492" s="221"/>
      <c r="H1492" s="157"/>
      <c r="I1492" s="157"/>
      <c r="J1492" s="421">
        <f>1680*3.3</f>
        <v>5544</v>
      </c>
      <c r="K1492" s="157">
        <v>1680</v>
      </c>
      <c r="L1492" s="157"/>
      <c r="M1492" s="157">
        <v>650</v>
      </c>
      <c r="N1492" s="157"/>
      <c r="O1492" s="157"/>
      <c r="P1492" s="157"/>
      <c r="Q1492" s="157"/>
      <c r="R1492" s="157"/>
      <c r="S1492" s="157"/>
      <c r="T1492" s="157"/>
      <c r="U1492" s="157"/>
      <c r="V1492" s="158"/>
      <c r="W1492" s="182"/>
      <c r="X1492" s="1"/>
      <c r="Y1492" s="78">
        <f t="shared" si="194"/>
        <v>0</v>
      </c>
      <c r="Z1492" s="78">
        <f t="shared" si="195"/>
        <v>86700000</v>
      </c>
      <c r="AA1492" s="78">
        <f t="shared" si="193"/>
        <v>0</v>
      </c>
      <c r="AB1492" s="78">
        <f t="shared" si="196"/>
        <v>0</v>
      </c>
      <c r="AC1492" s="78"/>
      <c r="AD1492" s="78">
        <v>0</v>
      </c>
      <c r="AE1492" s="80">
        <f t="shared" si="198"/>
        <v>86700000</v>
      </c>
      <c r="AF1492" s="82">
        <v>0</v>
      </c>
      <c r="AG1492" s="69">
        <v>40492</v>
      </c>
      <c r="AH1492" s="84"/>
      <c r="AI1492" s="69" t="s">
        <v>2009</v>
      </c>
      <c r="AJ1492" s="25" t="s">
        <v>2010</v>
      </c>
      <c r="AK1492" s="65"/>
      <c r="AL1492" s="185" t="s">
        <v>2182</v>
      </c>
      <c r="AM1492" s="173" t="s">
        <v>2146</v>
      </c>
      <c r="AN1492" s="159"/>
      <c r="AO1492" s="160"/>
      <c r="AP1492" s="161"/>
      <c r="AQ1492" s="160"/>
      <c r="AR1492" s="160"/>
      <c r="AS1492" s="160"/>
      <c r="AT1492" s="160"/>
      <c r="AU1492" s="160"/>
      <c r="AV1492" s="160"/>
      <c r="AW1492" s="160"/>
      <c r="AX1492" s="160"/>
      <c r="AY1492" s="160"/>
      <c r="AZ1492" s="160"/>
      <c r="BA1492" s="160"/>
      <c r="BB1492" s="160"/>
      <c r="BC1492" s="160"/>
      <c r="BD1492" s="160"/>
      <c r="BE1492" s="160"/>
      <c r="BF1492" s="160"/>
      <c r="BG1492" s="160"/>
      <c r="BH1492" s="160"/>
      <c r="BI1492" s="160"/>
      <c r="BJ1492" s="160"/>
      <c r="BK1492" s="160"/>
      <c r="BL1492" s="160"/>
      <c r="BM1492" s="160"/>
      <c r="BN1492" s="160"/>
      <c r="BO1492" s="160"/>
      <c r="BP1492" s="160"/>
      <c r="BQ1492" s="160"/>
      <c r="BR1492" s="160"/>
      <c r="BS1492" s="160"/>
      <c r="BT1492" s="160"/>
      <c r="BU1492" s="160"/>
      <c r="BV1492" s="160"/>
      <c r="BW1492" s="160"/>
      <c r="BX1492" s="160"/>
      <c r="BY1492" s="160"/>
      <c r="BZ1492" s="160"/>
      <c r="CA1492" s="160"/>
      <c r="CB1492" s="160"/>
      <c r="CC1492" s="160"/>
      <c r="CD1492" s="160"/>
      <c r="CE1492" s="160"/>
      <c r="CF1492" s="160"/>
      <c r="CG1492" s="160"/>
      <c r="CH1492" s="160"/>
      <c r="CI1492" s="160"/>
      <c r="CJ1492" s="160"/>
      <c r="CK1492" s="160"/>
      <c r="CL1492" s="160"/>
      <c r="CM1492" s="160"/>
      <c r="CN1492" s="160"/>
      <c r="CO1492" s="160"/>
      <c r="CP1492" s="162"/>
      <c r="CQ1492" s="163"/>
      <c r="CR1492" s="162"/>
      <c r="CS1492" s="163"/>
      <c r="CT1492" s="162"/>
      <c r="CU1492" s="163"/>
      <c r="CV1492" s="164">
        <f t="shared" si="197"/>
        <v>0</v>
      </c>
      <c r="CW1492" s="165"/>
      <c r="CX1492" s="166"/>
      <c r="CY1492" s="167">
        <v>1020</v>
      </c>
      <c r="CZ1492" s="168">
        <f>1020*85000</f>
        <v>86700000</v>
      </c>
      <c r="DA1492" s="169"/>
      <c r="DB1492" s="168"/>
      <c r="DC1492" s="165"/>
      <c r="DD1492" s="166"/>
      <c r="DE1492" s="71"/>
      <c r="DF1492" s="170"/>
      <c r="EO1492" s="353" t="str">
        <f t="shared" si="192"/>
        <v>CHOCO_CARMEN DEL DARIEN</v>
      </c>
      <c r="EP1492" s="350"/>
      <c r="EQ1492" s="350"/>
      <c r="ER1492" s="357"/>
      <c r="ES1492" s="350"/>
      <c r="ET1492" s="350"/>
      <c r="EU1492" s="350"/>
    </row>
    <row r="1493" spans="1:151" s="171" customFormat="1" ht="45" x14ac:dyDescent="0.2">
      <c r="A1493" s="242">
        <v>40485</v>
      </c>
      <c r="B1493" s="222" t="s">
        <v>2425</v>
      </c>
      <c r="C1493" s="222" t="s">
        <v>2330</v>
      </c>
      <c r="D1493" s="430" t="s">
        <v>837</v>
      </c>
      <c r="E1493" s="107" t="str">
        <f>VLOOKUP(B1493&amp;C1493,Divipola!$C$2:$F$1138,4,FALSE)</f>
        <v>27425</v>
      </c>
      <c r="F1493" s="333"/>
      <c r="G1493" s="221"/>
      <c r="H1493" s="157"/>
      <c r="I1493" s="157"/>
      <c r="J1493" s="157">
        <f>2160*5</f>
        <v>10800</v>
      </c>
      <c r="K1493" s="157">
        <v>2160</v>
      </c>
      <c r="L1493" s="157"/>
      <c r="M1493" s="157"/>
      <c r="N1493" s="157"/>
      <c r="O1493" s="157"/>
      <c r="P1493" s="157"/>
      <c r="Q1493" s="157"/>
      <c r="R1493" s="157"/>
      <c r="S1493" s="157"/>
      <c r="T1493" s="157"/>
      <c r="U1493" s="157"/>
      <c r="V1493" s="158"/>
      <c r="W1493" s="182"/>
      <c r="X1493" s="1"/>
      <c r="Y1493" s="78">
        <f t="shared" si="194"/>
        <v>74294000</v>
      </c>
      <c r="Z1493" s="78">
        <f t="shared" si="195"/>
        <v>181645000</v>
      </c>
      <c r="AA1493" s="78">
        <f t="shared" si="193"/>
        <v>0</v>
      </c>
      <c r="AB1493" s="78">
        <f t="shared" si="196"/>
        <v>0</v>
      </c>
      <c r="AC1493" s="78"/>
      <c r="AD1493" s="78">
        <v>0</v>
      </c>
      <c r="AE1493" s="80">
        <f t="shared" si="198"/>
        <v>255939000</v>
      </c>
      <c r="AF1493" s="82">
        <v>0</v>
      </c>
      <c r="AG1493" s="69">
        <v>40487</v>
      </c>
      <c r="AH1493" s="84"/>
      <c r="AI1493" s="69" t="s">
        <v>2009</v>
      </c>
      <c r="AJ1493" s="25" t="s">
        <v>2010</v>
      </c>
      <c r="AK1493" s="65"/>
      <c r="AL1493" s="185" t="s">
        <v>2182</v>
      </c>
      <c r="AM1493" s="173" t="s">
        <v>2148</v>
      </c>
      <c r="AN1493" s="159"/>
      <c r="AO1493" s="160"/>
      <c r="AP1493" s="161"/>
      <c r="AQ1493" s="160"/>
      <c r="AR1493" s="160"/>
      <c r="AS1493" s="160"/>
      <c r="AT1493" s="160"/>
      <c r="AU1493" s="160"/>
      <c r="AV1493" s="160"/>
      <c r="AW1493" s="160"/>
      <c r="AX1493" s="160"/>
      <c r="AY1493" s="160"/>
      <c r="AZ1493" s="160"/>
      <c r="BA1493" s="160"/>
      <c r="BB1493" s="160">
        <v>940</v>
      </c>
      <c r="BC1493" s="160">
        <f>940*56000</f>
        <v>52640000</v>
      </c>
      <c r="BD1493" s="160"/>
      <c r="BE1493" s="160"/>
      <c r="BF1493" s="160"/>
      <c r="BG1493" s="160"/>
      <c r="BH1493" s="160"/>
      <c r="BI1493" s="160"/>
      <c r="BJ1493" s="160"/>
      <c r="BK1493" s="160"/>
      <c r="BL1493" s="160"/>
      <c r="BM1493" s="160"/>
      <c r="BN1493" s="160"/>
      <c r="BO1493" s="160"/>
      <c r="BP1493" s="160"/>
      <c r="BQ1493" s="160"/>
      <c r="BR1493" s="160"/>
      <c r="BS1493" s="160"/>
      <c r="BT1493" s="160"/>
      <c r="BU1493" s="160"/>
      <c r="BV1493" s="160"/>
      <c r="BW1493" s="160"/>
      <c r="BX1493" s="160"/>
      <c r="BY1493" s="160"/>
      <c r="BZ1493" s="160"/>
      <c r="CA1493" s="160"/>
      <c r="CB1493" s="160"/>
      <c r="CC1493" s="160"/>
      <c r="CD1493" s="160"/>
      <c r="CE1493" s="160"/>
      <c r="CF1493" s="160"/>
      <c r="CG1493" s="160"/>
      <c r="CH1493" s="160"/>
      <c r="CI1493" s="160"/>
      <c r="CJ1493" s="160"/>
      <c r="CK1493" s="160"/>
      <c r="CL1493" s="160"/>
      <c r="CM1493" s="160"/>
      <c r="CN1493" s="160">
        <v>1203</v>
      </c>
      <c r="CO1493" s="160">
        <f>1203*18000</f>
        <v>21654000</v>
      </c>
      <c r="CP1493" s="162"/>
      <c r="CQ1493" s="163"/>
      <c r="CR1493" s="162"/>
      <c r="CS1493" s="163"/>
      <c r="CT1493" s="162"/>
      <c r="CU1493" s="163"/>
      <c r="CV1493" s="164">
        <f t="shared" si="197"/>
        <v>74294000</v>
      </c>
      <c r="CW1493" s="165"/>
      <c r="CX1493" s="166"/>
      <c r="CY1493" s="167">
        <f>934+1203</f>
        <v>2137</v>
      </c>
      <c r="CZ1493" s="168">
        <f>934*85000+1203*85000</f>
        <v>181645000</v>
      </c>
      <c r="DA1493" s="169"/>
      <c r="DB1493" s="168"/>
      <c r="DC1493" s="165"/>
      <c r="DD1493" s="166"/>
      <c r="DE1493" s="71"/>
      <c r="DF1493" s="170"/>
      <c r="EO1493" s="353" t="str">
        <f t="shared" ref="EO1493:EO1555" si="199">B1493&amp;"_"&amp;C1493</f>
        <v>CHOCO_MEDIO ATRATO</v>
      </c>
      <c r="EP1493" s="350"/>
      <c r="EQ1493" s="350"/>
      <c r="ER1493" s="357"/>
      <c r="ES1493" s="350"/>
      <c r="ET1493" s="350"/>
      <c r="EU1493" s="350"/>
    </row>
    <row r="1494" spans="1:151" s="171" customFormat="1" ht="45" x14ac:dyDescent="0.2">
      <c r="A1494" s="242">
        <v>40485</v>
      </c>
      <c r="B1494" s="222" t="s">
        <v>2425</v>
      </c>
      <c r="C1494" s="222" t="s">
        <v>1318</v>
      </c>
      <c r="D1494" s="430" t="s">
        <v>837</v>
      </c>
      <c r="E1494" s="107" t="str">
        <f>VLOOKUP(B1494&amp;C1494,Divipola!$C$2:$F$1138,4,FALSE)</f>
        <v>27430</v>
      </c>
      <c r="F1494" s="333"/>
      <c r="G1494" s="221"/>
      <c r="H1494" s="157"/>
      <c r="I1494" s="157"/>
      <c r="J1494" s="157">
        <v>12490</v>
      </c>
      <c r="K1494" s="157">
        <v>3039</v>
      </c>
      <c r="L1494" s="157"/>
      <c r="M1494" s="157">
        <v>222</v>
      </c>
      <c r="N1494" s="157"/>
      <c r="O1494" s="157"/>
      <c r="P1494" s="157"/>
      <c r="Q1494" s="157"/>
      <c r="R1494" s="157"/>
      <c r="S1494" s="157"/>
      <c r="T1494" s="157"/>
      <c r="U1494" s="157"/>
      <c r="V1494" s="158"/>
      <c r="W1494" s="182"/>
      <c r="X1494" s="1"/>
      <c r="Y1494" s="78">
        <f t="shared" si="194"/>
        <v>0</v>
      </c>
      <c r="Z1494" s="78">
        <f t="shared" si="195"/>
        <v>44625000</v>
      </c>
      <c r="AA1494" s="78">
        <f t="shared" si="193"/>
        <v>0</v>
      </c>
      <c r="AB1494" s="78">
        <f t="shared" si="196"/>
        <v>0</v>
      </c>
      <c r="AC1494" s="78"/>
      <c r="AD1494" s="78">
        <v>0</v>
      </c>
      <c r="AE1494" s="80">
        <f t="shared" si="198"/>
        <v>44625000</v>
      </c>
      <c r="AF1494" s="82">
        <v>0</v>
      </c>
      <c r="AG1494" s="69">
        <v>40487</v>
      </c>
      <c r="AH1494" s="84"/>
      <c r="AI1494" s="69" t="s">
        <v>2009</v>
      </c>
      <c r="AJ1494" s="25" t="s">
        <v>2010</v>
      </c>
      <c r="AK1494" s="65"/>
      <c r="AL1494" s="185" t="s">
        <v>2182</v>
      </c>
      <c r="AM1494" s="173" t="s">
        <v>2149</v>
      </c>
      <c r="AN1494" s="159"/>
      <c r="AO1494" s="160"/>
      <c r="AP1494" s="161"/>
      <c r="AQ1494" s="160"/>
      <c r="AR1494" s="160"/>
      <c r="AS1494" s="160"/>
      <c r="AT1494" s="160"/>
      <c r="AU1494" s="160"/>
      <c r="AV1494" s="160"/>
      <c r="AW1494" s="160"/>
      <c r="AX1494" s="160"/>
      <c r="AY1494" s="160"/>
      <c r="AZ1494" s="160"/>
      <c r="BA1494" s="160"/>
      <c r="BB1494" s="160"/>
      <c r="BC1494" s="160"/>
      <c r="BD1494" s="160"/>
      <c r="BE1494" s="160"/>
      <c r="BF1494" s="160"/>
      <c r="BG1494" s="160"/>
      <c r="BH1494" s="160"/>
      <c r="BI1494" s="160"/>
      <c r="BJ1494" s="160"/>
      <c r="BK1494" s="160"/>
      <c r="BL1494" s="160"/>
      <c r="BM1494" s="160"/>
      <c r="BN1494" s="160"/>
      <c r="BO1494" s="160"/>
      <c r="BP1494" s="160"/>
      <c r="BQ1494" s="160"/>
      <c r="BR1494" s="160"/>
      <c r="BS1494" s="160"/>
      <c r="BT1494" s="160"/>
      <c r="BU1494" s="160"/>
      <c r="BV1494" s="160"/>
      <c r="BW1494" s="160"/>
      <c r="BX1494" s="160"/>
      <c r="BY1494" s="160"/>
      <c r="BZ1494" s="160"/>
      <c r="CA1494" s="160"/>
      <c r="CB1494" s="160"/>
      <c r="CC1494" s="160"/>
      <c r="CD1494" s="160"/>
      <c r="CE1494" s="160"/>
      <c r="CF1494" s="160"/>
      <c r="CG1494" s="160"/>
      <c r="CH1494" s="160"/>
      <c r="CI1494" s="160"/>
      <c r="CJ1494" s="160"/>
      <c r="CK1494" s="160"/>
      <c r="CL1494" s="160"/>
      <c r="CM1494" s="160"/>
      <c r="CN1494" s="160"/>
      <c r="CO1494" s="160"/>
      <c r="CP1494" s="162"/>
      <c r="CQ1494" s="163"/>
      <c r="CR1494" s="162"/>
      <c r="CS1494" s="163"/>
      <c r="CT1494" s="162"/>
      <c r="CU1494" s="163"/>
      <c r="CV1494" s="164">
        <f t="shared" si="197"/>
        <v>0</v>
      </c>
      <c r="CW1494" s="165"/>
      <c r="CX1494" s="166"/>
      <c r="CY1494" s="167">
        <v>525</v>
      </c>
      <c r="CZ1494" s="168">
        <f>525*85000</f>
        <v>44625000</v>
      </c>
      <c r="DA1494" s="169"/>
      <c r="DB1494" s="168"/>
      <c r="DC1494" s="165"/>
      <c r="DD1494" s="166"/>
      <c r="DE1494" s="71"/>
      <c r="DF1494" s="170"/>
      <c r="EO1494" s="353" t="str">
        <f t="shared" si="199"/>
        <v>CHOCO_MEDIO BAUDO</v>
      </c>
      <c r="EP1494" s="350"/>
      <c r="EQ1494" s="350"/>
      <c r="ER1494" s="357"/>
      <c r="ES1494" s="350"/>
      <c r="ET1494" s="350"/>
      <c r="EU1494" s="350"/>
    </row>
    <row r="1495" spans="1:151" s="171" customFormat="1" ht="38.25" x14ac:dyDescent="0.2">
      <c r="A1495" s="242">
        <v>40485</v>
      </c>
      <c r="B1495" s="222" t="s">
        <v>2425</v>
      </c>
      <c r="C1495" s="222" t="s">
        <v>2320</v>
      </c>
      <c r="D1495" s="430" t="s">
        <v>837</v>
      </c>
      <c r="E1495" s="107" t="str">
        <f>VLOOKUP(B1495&amp;C1495,Divipola!$C$2:$F$1138,4,FALSE)</f>
        <v>27450</v>
      </c>
      <c r="F1495" s="333"/>
      <c r="G1495" s="221"/>
      <c r="H1495" s="157"/>
      <c r="I1495" s="157"/>
      <c r="J1495" s="157">
        <v>8305</v>
      </c>
      <c r="K1495" s="157">
        <v>1550</v>
      </c>
      <c r="L1495" s="157"/>
      <c r="M1495" s="157">
        <v>426</v>
      </c>
      <c r="N1495" s="157"/>
      <c r="O1495" s="157"/>
      <c r="P1495" s="157"/>
      <c r="Q1495" s="157"/>
      <c r="R1495" s="157"/>
      <c r="S1495" s="157"/>
      <c r="T1495" s="157"/>
      <c r="U1495" s="157"/>
      <c r="V1495" s="158"/>
      <c r="W1495" s="182"/>
      <c r="X1495" s="1">
        <v>40529</v>
      </c>
      <c r="Y1495" s="78">
        <f t="shared" si="194"/>
        <v>50300000</v>
      </c>
      <c r="Z1495" s="78">
        <f t="shared" si="195"/>
        <v>172125000</v>
      </c>
      <c r="AA1495" s="78">
        <f t="shared" si="193"/>
        <v>0</v>
      </c>
      <c r="AB1495" s="78">
        <f t="shared" si="196"/>
        <v>0</v>
      </c>
      <c r="AC1495" s="78"/>
      <c r="AD1495" s="78">
        <v>0</v>
      </c>
      <c r="AE1495" s="80">
        <f t="shared" si="198"/>
        <v>222425000</v>
      </c>
      <c r="AF1495" s="82">
        <v>0</v>
      </c>
      <c r="AG1495" s="69">
        <v>40500</v>
      </c>
      <c r="AH1495" s="84">
        <v>62735</v>
      </c>
      <c r="AI1495" s="69" t="s">
        <v>2009</v>
      </c>
      <c r="AJ1495" s="25" t="s">
        <v>2010</v>
      </c>
      <c r="AK1495" s="65">
        <v>26371</v>
      </c>
      <c r="AL1495" s="176" t="s">
        <v>1831</v>
      </c>
      <c r="AM1495" s="173" t="s">
        <v>283</v>
      </c>
      <c r="AN1495" s="159"/>
      <c r="AO1495" s="160"/>
      <c r="AP1495" s="161"/>
      <c r="AQ1495" s="160"/>
      <c r="AR1495" s="160"/>
      <c r="AS1495" s="160"/>
      <c r="AT1495" s="160"/>
      <c r="AU1495" s="160"/>
      <c r="AV1495" s="160"/>
      <c r="AW1495" s="160"/>
      <c r="AX1495" s="160"/>
      <c r="AY1495" s="160"/>
      <c r="AZ1495" s="160"/>
      <c r="BA1495" s="160"/>
      <c r="BB1495" s="160">
        <v>400</v>
      </c>
      <c r="BC1495" s="160">
        <f>400*56000</f>
        <v>22400000</v>
      </c>
      <c r="BD1495" s="160"/>
      <c r="BE1495" s="160"/>
      <c r="BF1495" s="160"/>
      <c r="BG1495" s="160"/>
      <c r="BH1495" s="160"/>
      <c r="BI1495" s="160"/>
      <c r="BJ1495" s="160"/>
      <c r="BK1495" s="160"/>
      <c r="BL1495" s="160"/>
      <c r="BM1495" s="160"/>
      <c r="BN1495" s="160"/>
      <c r="BO1495" s="160"/>
      <c r="BP1495" s="160"/>
      <c r="BQ1495" s="160"/>
      <c r="BR1495" s="160"/>
      <c r="BS1495" s="160"/>
      <c r="BT1495" s="160"/>
      <c r="BU1495" s="160"/>
      <c r="BV1495" s="160"/>
      <c r="BW1495" s="160"/>
      <c r="BX1495" s="160"/>
      <c r="BY1495" s="160"/>
      <c r="BZ1495" s="160"/>
      <c r="CA1495" s="160"/>
      <c r="CB1495" s="160"/>
      <c r="CC1495" s="160"/>
      <c r="CD1495" s="160"/>
      <c r="CE1495" s="160"/>
      <c r="CF1495" s="160"/>
      <c r="CG1495" s="160"/>
      <c r="CH1495" s="160"/>
      <c r="CI1495" s="160"/>
      <c r="CJ1495" s="160"/>
      <c r="CK1495" s="160"/>
      <c r="CL1495" s="160"/>
      <c r="CM1495" s="160"/>
      <c r="CN1495" s="160">
        <v>1550</v>
      </c>
      <c r="CO1495" s="160">
        <f>1550*18000</f>
        <v>27900000</v>
      </c>
      <c r="CP1495" s="162"/>
      <c r="CQ1495" s="163"/>
      <c r="CR1495" s="162"/>
      <c r="CS1495" s="163"/>
      <c r="CT1495" s="162"/>
      <c r="CU1495" s="163"/>
      <c r="CV1495" s="164">
        <f t="shared" si="197"/>
        <v>50300000</v>
      </c>
      <c r="CW1495" s="165"/>
      <c r="CX1495" s="166"/>
      <c r="CY1495" s="167">
        <f>475+1550</f>
        <v>2025</v>
      </c>
      <c r="CZ1495" s="168">
        <f>475*85000+1550*85000</f>
        <v>172125000</v>
      </c>
      <c r="DA1495" s="169"/>
      <c r="DB1495" s="168"/>
      <c r="DC1495" s="165"/>
      <c r="DD1495" s="166"/>
      <c r="DE1495" s="71"/>
      <c r="DF1495" s="170"/>
      <c r="EO1495" s="353" t="str">
        <f t="shared" si="199"/>
        <v>CHOCO_MEDIO SAN JUAN</v>
      </c>
      <c r="EP1495" s="350"/>
      <c r="EQ1495" s="350"/>
      <c r="ER1495" s="357"/>
      <c r="ES1495" s="350"/>
      <c r="ET1495" s="350"/>
      <c r="EU1495" s="350"/>
    </row>
    <row r="1496" spans="1:151" s="171" customFormat="1" ht="84" x14ac:dyDescent="0.2">
      <c r="A1496" s="242">
        <v>40485</v>
      </c>
      <c r="B1496" s="222" t="s">
        <v>2425</v>
      </c>
      <c r="C1496" s="222" t="s">
        <v>1310</v>
      </c>
      <c r="D1496" s="430" t="s">
        <v>837</v>
      </c>
      <c r="E1496" s="107" t="str">
        <f>VLOOKUP(B1496&amp;C1496,Divipola!$C$2:$F$1138,4,FALSE)</f>
        <v>27491</v>
      </c>
      <c r="F1496" s="333"/>
      <c r="G1496" s="221"/>
      <c r="H1496" s="157"/>
      <c r="I1496" s="157"/>
      <c r="J1496" s="157">
        <f>2360-1250</f>
        <v>1110</v>
      </c>
      <c r="K1496" s="157">
        <f>665-350</f>
        <v>315</v>
      </c>
      <c r="L1496" s="157"/>
      <c r="M1496" s="157">
        <v>125</v>
      </c>
      <c r="N1496" s="157"/>
      <c r="O1496" s="157"/>
      <c r="P1496" s="157"/>
      <c r="Q1496" s="157"/>
      <c r="R1496" s="157"/>
      <c r="S1496" s="157"/>
      <c r="T1496" s="157"/>
      <c r="U1496" s="157"/>
      <c r="V1496" s="158"/>
      <c r="W1496" s="182"/>
      <c r="X1496" s="1">
        <v>40529</v>
      </c>
      <c r="Y1496" s="78">
        <f t="shared" si="194"/>
        <v>0</v>
      </c>
      <c r="Z1496" s="78">
        <f t="shared" si="195"/>
        <v>74800000</v>
      </c>
      <c r="AA1496" s="78">
        <f t="shared" si="193"/>
        <v>0</v>
      </c>
      <c r="AB1496" s="78">
        <f t="shared" si="196"/>
        <v>0</v>
      </c>
      <c r="AC1496" s="78"/>
      <c r="AD1496" s="78">
        <v>0</v>
      </c>
      <c r="AE1496" s="80">
        <f t="shared" si="198"/>
        <v>74800000</v>
      </c>
      <c r="AF1496" s="82">
        <v>0</v>
      </c>
      <c r="AG1496" s="69">
        <v>40484</v>
      </c>
      <c r="AH1496" s="84">
        <v>62735</v>
      </c>
      <c r="AI1496" s="69" t="s">
        <v>2009</v>
      </c>
      <c r="AJ1496" s="25" t="s">
        <v>2010</v>
      </c>
      <c r="AK1496" s="109">
        <v>26371</v>
      </c>
      <c r="AL1496" s="185" t="s">
        <v>2182</v>
      </c>
      <c r="AM1496" s="173" t="s">
        <v>2088</v>
      </c>
      <c r="AN1496" s="159"/>
      <c r="AO1496" s="160"/>
      <c r="AP1496" s="161"/>
      <c r="AQ1496" s="160"/>
      <c r="AR1496" s="160"/>
      <c r="AS1496" s="160"/>
      <c r="AT1496" s="160"/>
      <c r="AU1496" s="160"/>
      <c r="AV1496" s="160"/>
      <c r="AW1496" s="160"/>
      <c r="AX1496" s="160"/>
      <c r="AY1496" s="160"/>
      <c r="AZ1496" s="160"/>
      <c r="BA1496" s="160"/>
      <c r="BB1496" s="160"/>
      <c r="BC1496" s="160"/>
      <c r="BD1496" s="160"/>
      <c r="BE1496" s="160"/>
      <c r="BF1496" s="160"/>
      <c r="BG1496" s="160"/>
      <c r="BH1496" s="160"/>
      <c r="BI1496" s="160"/>
      <c r="BJ1496" s="160"/>
      <c r="BK1496" s="160"/>
      <c r="BL1496" s="160"/>
      <c r="BM1496" s="160"/>
      <c r="BN1496" s="160"/>
      <c r="BO1496" s="160"/>
      <c r="BP1496" s="160"/>
      <c r="BQ1496" s="160"/>
      <c r="BR1496" s="160"/>
      <c r="BS1496" s="160"/>
      <c r="BT1496" s="160"/>
      <c r="BU1496" s="160"/>
      <c r="BV1496" s="160"/>
      <c r="BW1496" s="160"/>
      <c r="BX1496" s="160"/>
      <c r="BY1496" s="160"/>
      <c r="BZ1496" s="160"/>
      <c r="CA1496" s="160"/>
      <c r="CB1496" s="160"/>
      <c r="CC1496" s="160"/>
      <c r="CD1496" s="160"/>
      <c r="CE1496" s="160"/>
      <c r="CF1496" s="160"/>
      <c r="CG1496" s="160"/>
      <c r="CH1496" s="160"/>
      <c r="CI1496" s="160"/>
      <c r="CJ1496" s="160"/>
      <c r="CK1496" s="160"/>
      <c r="CL1496" s="160"/>
      <c r="CM1496" s="160"/>
      <c r="CN1496" s="160"/>
      <c r="CO1496" s="160"/>
      <c r="CP1496" s="162"/>
      <c r="CQ1496" s="163"/>
      <c r="CR1496" s="162"/>
      <c r="CS1496" s="163"/>
      <c r="CT1496" s="162"/>
      <c r="CU1496" s="163"/>
      <c r="CV1496" s="164">
        <f t="shared" si="197"/>
        <v>0</v>
      </c>
      <c r="CW1496" s="165"/>
      <c r="CX1496" s="166"/>
      <c r="CY1496" s="167">
        <v>880</v>
      </c>
      <c r="CZ1496" s="168">
        <f>880*85000</f>
        <v>74800000</v>
      </c>
      <c r="DA1496" s="169"/>
      <c r="DB1496" s="168"/>
      <c r="DC1496" s="165"/>
      <c r="DD1496" s="166"/>
      <c r="DE1496" s="71"/>
      <c r="DF1496" s="170">
        <v>1375</v>
      </c>
      <c r="EO1496" s="353" t="str">
        <f t="shared" si="199"/>
        <v>CHOCO_NOVITA</v>
      </c>
      <c r="EP1496" s="350"/>
      <c r="EQ1496" s="350"/>
      <c r="ER1496" s="357"/>
      <c r="ES1496" s="350"/>
      <c r="ET1496" s="350"/>
      <c r="EU1496" s="350"/>
    </row>
    <row r="1497" spans="1:151" s="171" customFormat="1" ht="45" x14ac:dyDescent="0.2">
      <c r="A1497" s="242">
        <v>40485</v>
      </c>
      <c r="B1497" s="222" t="s">
        <v>2425</v>
      </c>
      <c r="C1497" s="222" t="s">
        <v>2374</v>
      </c>
      <c r="D1497" s="430" t="s">
        <v>837</v>
      </c>
      <c r="E1497" s="107" t="str">
        <f>VLOOKUP(B1497&amp;C1497,Divipola!$C$2:$F$1138,4,FALSE)</f>
        <v>27001</v>
      </c>
      <c r="F1497" s="333"/>
      <c r="G1497" s="221"/>
      <c r="H1497" s="157"/>
      <c r="I1497" s="157"/>
      <c r="J1497" s="157">
        <f>2857*3.7</f>
        <v>10570.9</v>
      </c>
      <c r="K1497" s="157">
        <v>2857</v>
      </c>
      <c r="L1497" s="157"/>
      <c r="M1497" s="157">
        <v>81</v>
      </c>
      <c r="N1497" s="157"/>
      <c r="O1497" s="157"/>
      <c r="P1497" s="157"/>
      <c r="Q1497" s="157"/>
      <c r="R1497" s="157"/>
      <c r="S1497" s="157"/>
      <c r="T1497" s="157"/>
      <c r="U1497" s="157"/>
      <c r="V1497" s="158"/>
      <c r="W1497" s="182"/>
      <c r="X1497" s="1"/>
      <c r="Y1497" s="78">
        <f t="shared" si="194"/>
        <v>0</v>
      </c>
      <c r="Z1497" s="78">
        <f t="shared" si="195"/>
        <v>36975000</v>
      </c>
      <c r="AA1497" s="78">
        <f t="shared" si="193"/>
        <v>0</v>
      </c>
      <c r="AB1497" s="78">
        <f t="shared" si="196"/>
        <v>0</v>
      </c>
      <c r="AC1497" s="78"/>
      <c r="AD1497" s="78">
        <v>0</v>
      </c>
      <c r="AE1497" s="80">
        <f t="shared" si="198"/>
        <v>36975000</v>
      </c>
      <c r="AF1497" s="82">
        <v>0</v>
      </c>
      <c r="AG1497" s="69">
        <v>40487</v>
      </c>
      <c r="AH1497" s="84"/>
      <c r="AI1497" s="69" t="s">
        <v>2009</v>
      </c>
      <c r="AJ1497" s="25" t="s">
        <v>2010</v>
      </c>
      <c r="AK1497" s="65"/>
      <c r="AL1497" s="185" t="s">
        <v>2182</v>
      </c>
      <c r="AM1497" s="173" t="s">
        <v>1249</v>
      </c>
      <c r="AN1497" s="159"/>
      <c r="AO1497" s="160"/>
      <c r="AP1497" s="161"/>
      <c r="AQ1497" s="160"/>
      <c r="AR1497" s="160"/>
      <c r="AS1497" s="160"/>
      <c r="AT1497" s="160"/>
      <c r="AU1497" s="160"/>
      <c r="AV1497" s="160"/>
      <c r="AW1497" s="160"/>
      <c r="AX1497" s="160"/>
      <c r="AY1497" s="160"/>
      <c r="AZ1497" s="160"/>
      <c r="BA1497" s="160"/>
      <c r="BB1497" s="160"/>
      <c r="BC1497" s="160"/>
      <c r="BD1497" s="160"/>
      <c r="BE1497" s="160"/>
      <c r="BF1497" s="160"/>
      <c r="BG1497" s="160"/>
      <c r="BH1497" s="160"/>
      <c r="BI1497" s="160"/>
      <c r="BJ1497" s="160"/>
      <c r="BK1497" s="160"/>
      <c r="BL1497" s="160"/>
      <c r="BM1497" s="160"/>
      <c r="BN1497" s="160"/>
      <c r="BO1497" s="160"/>
      <c r="BP1497" s="160"/>
      <c r="BQ1497" s="160"/>
      <c r="BR1497" s="160"/>
      <c r="BS1497" s="160"/>
      <c r="BT1497" s="160"/>
      <c r="BU1497" s="160"/>
      <c r="BV1497" s="160"/>
      <c r="BW1497" s="160"/>
      <c r="BX1497" s="160"/>
      <c r="BY1497" s="160"/>
      <c r="BZ1497" s="160"/>
      <c r="CA1497" s="160"/>
      <c r="CB1497" s="160"/>
      <c r="CC1497" s="160"/>
      <c r="CD1497" s="160"/>
      <c r="CE1497" s="160"/>
      <c r="CF1497" s="160"/>
      <c r="CG1497" s="160"/>
      <c r="CH1497" s="160"/>
      <c r="CI1497" s="160"/>
      <c r="CJ1497" s="160"/>
      <c r="CK1497" s="160"/>
      <c r="CL1497" s="160"/>
      <c r="CM1497" s="160"/>
      <c r="CN1497" s="160"/>
      <c r="CO1497" s="160"/>
      <c r="CP1497" s="162"/>
      <c r="CQ1497" s="163"/>
      <c r="CR1497" s="162"/>
      <c r="CS1497" s="163"/>
      <c r="CT1497" s="162"/>
      <c r="CU1497" s="163"/>
      <c r="CV1497" s="164">
        <f t="shared" si="197"/>
        <v>0</v>
      </c>
      <c r="CW1497" s="165"/>
      <c r="CX1497" s="166"/>
      <c r="CY1497" s="167">
        <v>435</v>
      </c>
      <c r="CZ1497" s="168">
        <f>435*85000</f>
        <v>36975000</v>
      </c>
      <c r="DA1497" s="169"/>
      <c r="DB1497" s="168"/>
      <c r="DC1497" s="165"/>
      <c r="DD1497" s="166"/>
      <c r="DE1497" s="71"/>
      <c r="DF1497" s="170"/>
      <c r="EO1497" s="353" t="str">
        <f t="shared" si="199"/>
        <v>CHOCO_QUIBDO</v>
      </c>
      <c r="EP1497" s="350"/>
      <c r="EQ1497" s="350"/>
      <c r="ER1497" s="357"/>
      <c r="ES1497" s="350"/>
      <c r="ET1497" s="350"/>
      <c r="EU1497" s="350"/>
    </row>
    <row r="1498" spans="1:151" s="171" customFormat="1" ht="45" x14ac:dyDescent="0.2">
      <c r="A1498" s="242">
        <v>40485</v>
      </c>
      <c r="B1498" s="222" t="s">
        <v>2425</v>
      </c>
      <c r="C1498" s="222" t="s">
        <v>1312</v>
      </c>
      <c r="D1498" s="430" t="s">
        <v>837</v>
      </c>
      <c r="E1498" s="107" t="str">
        <f>VLOOKUP(B1498&amp;C1498,Divipola!$C$2:$F$1138,4,FALSE)</f>
        <v>27580</v>
      </c>
      <c r="F1498" s="333"/>
      <c r="G1498" s="221"/>
      <c r="H1498" s="157"/>
      <c r="I1498" s="157"/>
      <c r="J1498" s="157">
        <f>2869-475-225</f>
        <v>2169</v>
      </c>
      <c r="K1498" s="157">
        <f>555-95-45</f>
        <v>415</v>
      </c>
      <c r="L1498" s="157"/>
      <c r="M1498" s="157"/>
      <c r="N1498" s="157"/>
      <c r="O1498" s="157"/>
      <c r="P1498" s="157"/>
      <c r="Q1498" s="157"/>
      <c r="R1498" s="157"/>
      <c r="S1498" s="157"/>
      <c r="T1498" s="157"/>
      <c r="U1498" s="157"/>
      <c r="V1498" s="158"/>
      <c r="W1498" s="182"/>
      <c r="X1498" s="1"/>
      <c r="Y1498" s="78">
        <f t="shared" si="194"/>
        <v>21190000</v>
      </c>
      <c r="Z1498" s="78">
        <f t="shared" si="195"/>
        <v>72675000</v>
      </c>
      <c r="AA1498" s="78">
        <f t="shared" si="193"/>
        <v>0</v>
      </c>
      <c r="AB1498" s="78">
        <f t="shared" si="196"/>
        <v>0</v>
      </c>
      <c r="AC1498" s="78"/>
      <c r="AD1498" s="78">
        <v>0</v>
      </c>
      <c r="AE1498" s="80">
        <f t="shared" si="198"/>
        <v>93865000</v>
      </c>
      <c r="AF1498" s="82">
        <v>0</v>
      </c>
      <c r="AG1498" s="69">
        <v>40492</v>
      </c>
      <c r="AH1498" s="84"/>
      <c r="AI1498" s="69" t="s">
        <v>2009</v>
      </c>
      <c r="AJ1498" s="25" t="s">
        <v>2010</v>
      </c>
      <c r="AK1498" s="65"/>
      <c r="AL1498" s="185" t="s">
        <v>2182</v>
      </c>
      <c r="AM1498" s="173" t="s">
        <v>3083</v>
      </c>
      <c r="AN1498" s="159"/>
      <c r="AO1498" s="160"/>
      <c r="AP1498" s="161"/>
      <c r="AQ1498" s="160"/>
      <c r="AR1498" s="160"/>
      <c r="AS1498" s="160"/>
      <c r="AT1498" s="160"/>
      <c r="AU1498" s="160"/>
      <c r="AV1498" s="160"/>
      <c r="AW1498" s="160"/>
      <c r="AX1498" s="160"/>
      <c r="AY1498" s="160"/>
      <c r="AZ1498" s="160"/>
      <c r="BA1498" s="160"/>
      <c r="BB1498" s="160">
        <v>200</v>
      </c>
      <c r="BC1498" s="160">
        <f>200*56000</f>
        <v>11200000</v>
      </c>
      <c r="BD1498" s="160"/>
      <c r="BE1498" s="160"/>
      <c r="BF1498" s="160"/>
      <c r="BG1498" s="160"/>
      <c r="BH1498" s="160"/>
      <c r="BI1498" s="160"/>
      <c r="BJ1498" s="160"/>
      <c r="BK1498" s="160"/>
      <c r="BL1498" s="160"/>
      <c r="BM1498" s="160"/>
      <c r="BN1498" s="160"/>
      <c r="BO1498" s="160"/>
      <c r="BP1498" s="160"/>
      <c r="BQ1498" s="160"/>
      <c r="BR1498" s="160"/>
      <c r="BS1498" s="160"/>
      <c r="BT1498" s="160"/>
      <c r="BU1498" s="160"/>
      <c r="BV1498" s="160"/>
      <c r="BW1498" s="160"/>
      <c r="BX1498" s="160"/>
      <c r="BY1498" s="160"/>
      <c r="BZ1498" s="160"/>
      <c r="CA1498" s="160"/>
      <c r="CB1498" s="160"/>
      <c r="CC1498" s="160"/>
      <c r="CD1498" s="160"/>
      <c r="CE1498" s="160"/>
      <c r="CF1498" s="160"/>
      <c r="CG1498" s="160"/>
      <c r="CH1498" s="160"/>
      <c r="CI1498" s="160"/>
      <c r="CJ1498" s="160"/>
      <c r="CK1498" s="160"/>
      <c r="CL1498" s="160"/>
      <c r="CM1498" s="160"/>
      <c r="CN1498" s="160">
        <v>555</v>
      </c>
      <c r="CO1498" s="160">
        <f>555*18000</f>
        <v>9990000</v>
      </c>
      <c r="CP1498" s="162"/>
      <c r="CQ1498" s="163"/>
      <c r="CR1498" s="162"/>
      <c r="CS1498" s="163"/>
      <c r="CT1498" s="162"/>
      <c r="CU1498" s="163"/>
      <c r="CV1498" s="164">
        <f t="shared" si="197"/>
        <v>21190000</v>
      </c>
      <c r="CW1498" s="165"/>
      <c r="CX1498" s="166"/>
      <c r="CY1498" s="167">
        <f>300+555</f>
        <v>855</v>
      </c>
      <c r="CZ1498" s="168">
        <f>300*85000+555*85000</f>
        <v>72675000</v>
      </c>
      <c r="DA1498" s="169"/>
      <c r="DB1498" s="168"/>
      <c r="DC1498" s="165"/>
      <c r="DD1498" s="166"/>
      <c r="DE1498" s="71"/>
      <c r="DF1498" s="170"/>
      <c r="EO1498" s="353" t="str">
        <f t="shared" si="199"/>
        <v>CHOCO_RIO IRO</v>
      </c>
      <c r="EP1498" s="350"/>
      <c r="EQ1498" s="350"/>
      <c r="ER1498" s="357"/>
      <c r="ES1498" s="350"/>
      <c r="ET1498" s="350"/>
      <c r="EU1498" s="350"/>
    </row>
    <row r="1499" spans="1:151" s="171" customFormat="1" ht="45" x14ac:dyDescent="0.2">
      <c r="A1499" s="242">
        <v>40485</v>
      </c>
      <c r="B1499" s="222" t="s">
        <v>2425</v>
      </c>
      <c r="C1499" s="222" t="s">
        <v>3084</v>
      </c>
      <c r="D1499" s="430" t="s">
        <v>837</v>
      </c>
      <c r="E1499" s="107" t="str">
        <f>VLOOKUP(B1499&amp;C1499,Divipola!$C$2:$F$1138,4,FALSE)</f>
        <v>27745</v>
      </c>
      <c r="F1499" s="333"/>
      <c r="G1499" s="221"/>
      <c r="H1499" s="157"/>
      <c r="I1499" s="157"/>
      <c r="J1499" s="157">
        <v>1448</v>
      </c>
      <c r="K1499" s="157">
        <v>323</v>
      </c>
      <c r="L1499" s="157"/>
      <c r="M1499" s="157"/>
      <c r="N1499" s="157"/>
      <c r="O1499" s="157"/>
      <c r="P1499" s="157"/>
      <c r="Q1499" s="157"/>
      <c r="R1499" s="157"/>
      <c r="S1499" s="157"/>
      <c r="T1499" s="157"/>
      <c r="U1499" s="157"/>
      <c r="V1499" s="158"/>
      <c r="W1499" s="182"/>
      <c r="X1499" s="1"/>
      <c r="Y1499" s="78">
        <f t="shared" si="194"/>
        <v>11414000</v>
      </c>
      <c r="Z1499" s="78">
        <f t="shared" si="195"/>
        <v>52955000</v>
      </c>
      <c r="AA1499" s="78">
        <f t="shared" si="193"/>
        <v>0</v>
      </c>
      <c r="AB1499" s="78">
        <f t="shared" si="196"/>
        <v>0</v>
      </c>
      <c r="AC1499" s="78"/>
      <c r="AD1499" s="78">
        <v>0</v>
      </c>
      <c r="AE1499" s="80">
        <f t="shared" si="198"/>
        <v>64369000</v>
      </c>
      <c r="AF1499" s="82">
        <v>0</v>
      </c>
      <c r="AG1499" s="69">
        <v>40492</v>
      </c>
      <c r="AH1499" s="84"/>
      <c r="AI1499" s="69" t="s">
        <v>2009</v>
      </c>
      <c r="AJ1499" s="25" t="s">
        <v>2010</v>
      </c>
      <c r="AK1499" s="65"/>
      <c r="AL1499" s="185" t="s">
        <v>2182</v>
      </c>
      <c r="AM1499" s="173" t="s">
        <v>3085</v>
      </c>
      <c r="AN1499" s="159"/>
      <c r="AO1499" s="160"/>
      <c r="AP1499" s="161"/>
      <c r="AQ1499" s="160"/>
      <c r="AR1499" s="160"/>
      <c r="AS1499" s="160"/>
      <c r="AT1499" s="160"/>
      <c r="AU1499" s="160"/>
      <c r="AV1499" s="160"/>
      <c r="AW1499" s="160"/>
      <c r="AX1499" s="160"/>
      <c r="AY1499" s="160"/>
      <c r="AZ1499" s="160"/>
      <c r="BA1499" s="160"/>
      <c r="BB1499" s="160">
        <v>100</v>
      </c>
      <c r="BC1499" s="160">
        <f>100*56000</f>
        <v>5600000</v>
      </c>
      <c r="BD1499" s="160"/>
      <c r="BE1499" s="160"/>
      <c r="BF1499" s="160"/>
      <c r="BG1499" s="160"/>
      <c r="BH1499" s="160"/>
      <c r="BI1499" s="160"/>
      <c r="BJ1499" s="160"/>
      <c r="BK1499" s="160"/>
      <c r="BL1499" s="160"/>
      <c r="BM1499" s="160"/>
      <c r="BN1499" s="160"/>
      <c r="BO1499" s="160"/>
      <c r="BP1499" s="160"/>
      <c r="BQ1499" s="160"/>
      <c r="BR1499" s="160"/>
      <c r="BS1499" s="160"/>
      <c r="BT1499" s="160"/>
      <c r="BU1499" s="160"/>
      <c r="BV1499" s="160"/>
      <c r="BW1499" s="160"/>
      <c r="BX1499" s="160"/>
      <c r="BY1499" s="160"/>
      <c r="BZ1499" s="160"/>
      <c r="CA1499" s="160"/>
      <c r="CB1499" s="160"/>
      <c r="CC1499" s="160"/>
      <c r="CD1499" s="160"/>
      <c r="CE1499" s="160"/>
      <c r="CF1499" s="160"/>
      <c r="CG1499" s="160"/>
      <c r="CH1499" s="160"/>
      <c r="CI1499" s="160"/>
      <c r="CJ1499" s="160"/>
      <c r="CK1499" s="160"/>
      <c r="CL1499" s="160"/>
      <c r="CM1499" s="160"/>
      <c r="CN1499" s="160">
        <v>323</v>
      </c>
      <c r="CO1499" s="160">
        <f>323*18000</f>
        <v>5814000</v>
      </c>
      <c r="CP1499" s="162"/>
      <c r="CQ1499" s="163"/>
      <c r="CR1499" s="162"/>
      <c r="CS1499" s="163"/>
      <c r="CT1499" s="162"/>
      <c r="CU1499" s="163"/>
      <c r="CV1499" s="164">
        <f t="shared" si="197"/>
        <v>11414000</v>
      </c>
      <c r="CW1499" s="165"/>
      <c r="CX1499" s="166"/>
      <c r="CY1499" s="167">
        <f>300+323</f>
        <v>623</v>
      </c>
      <c r="CZ1499" s="168">
        <f>300*85000+323*85000</f>
        <v>52955000</v>
      </c>
      <c r="DA1499" s="169"/>
      <c r="DB1499" s="168"/>
      <c r="DC1499" s="165"/>
      <c r="DD1499" s="166"/>
      <c r="DE1499" s="71"/>
      <c r="DF1499" s="170"/>
      <c r="EO1499" s="353" t="str">
        <f t="shared" si="199"/>
        <v>CHOCO_SIPI</v>
      </c>
      <c r="EP1499" s="350"/>
      <c r="EQ1499" s="350"/>
      <c r="ER1499" s="357"/>
      <c r="ES1499" s="350"/>
      <c r="ET1499" s="350"/>
      <c r="EU1499" s="350"/>
    </row>
    <row r="1500" spans="1:151" s="171" customFormat="1" ht="25.5" x14ac:dyDescent="0.2">
      <c r="A1500" s="242">
        <v>40485</v>
      </c>
      <c r="B1500" s="222" t="s">
        <v>1333</v>
      </c>
      <c r="C1500" s="222" t="s">
        <v>1538</v>
      </c>
      <c r="D1500" s="430" t="s">
        <v>2209</v>
      </c>
      <c r="E1500" s="107" t="str">
        <f>VLOOKUP(B1500&amp;C1500,Divipola!$C$2:$F$1138,4,FALSE)</f>
        <v>41396</v>
      </c>
      <c r="F1500" s="333"/>
      <c r="G1500" s="221"/>
      <c r="H1500" s="157"/>
      <c r="I1500" s="157"/>
      <c r="J1500" s="157">
        <v>5</v>
      </c>
      <c r="K1500" s="157">
        <v>1</v>
      </c>
      <c r="L1500" s="157"/>
      <c r="M1500" s="157"/>
      <c r="N1500" s="157"/>
      <c r="O1500" s="157"/>
      <c r="P1500" s="157"/>
      <c r="Q1500" s="157"/>
      <c r="R1500" s="157"/>
      <c r="S1500" s="157"/>
      <c r="T1500" s="157"/>
      <c r="U1500" s="157"/>
      <c r="V1500" s="158"/>
      <c r="W1500" s="182"/>
      <c r="X1500" s="1"/>
      <c r="Y1500" s="78">
        <f t="shared" si="194"/>
        <v>0</v>
      </c>
      <c r="Z1500" s="78">
        <f t="shared" si="195"/>
        <v>0</v>
      </c>
      <c r="AA1500" s="78">
        <f t="shared" si="193"/>
        <v>0</v>
      </c>
      <c r="AB1500" s="78">
        <f t="shared" si="196"/>
        <v>0</v>
      </c>
      <c r="AC1500" s="78"/>
      <c r="AD1500" s="78">
        <v>0</v>
      </c>
      <c r="AE1500" s="80">
        <f t="shared" si="198"/>
        <v>0</v>
      </c>
      <c r="AF1500" s="82">
        <v>0</v>
      </c>
      <c r="AG1500" s="69">
        <v>40484</v>
      </c>
      <c r="AH1500" s="84"/>
      <c r="AI1500" s="69" t="s">
        <v>1984</v>
      </c>
      <c r="AJ1500" s="25" t="s">
        <v>1985</v>
      </c>
      <c r="AK1500" s="109"/>
      <c r="AL1500" s="176" t="s">
        <v>1257</v>
      </c>
      <c r="AM1500" s="173" t="s">
        <v>1268</v>
      </c>
      <c r="AN1500" s="159"/>
      <c r="AO1500" s="160"/>
      <c r="AP1500" s="161"/>
      <c r="AQ1500" s="160"/>
      <c r="AR1500" s="160"/>
      <c r="AS1500" s="160"/>
      <c r="AT1500" s="160"/>
      <c r="AU1500" s="160"/>
      <c r="AV1500" s="160"/>
      <c r="AW1500" s="160"/>
      <c r="AX1500" s="160"/>
      <c r="AY1500" s="160"/>
      <c r="AZ1500" s="160"/>
      <c r="BA1500" s="160"/>
      <c r="BB1500" s="160"/>
      <c r="BC1500" s="160"/>
      <c r="BD1500" s="160"/>
      <c r="BE1500" s="160"/>
      <c r="BF1500" s="160"/>
      <c r="BG1500" s="160"/>
      <c r="BH1500" s="160"/>
      <c r="BI1500" s="160"/>
      <c r="BJ1500" s="160"/>
      <c r="BK1500" s="160"/>
      <c r="BL1500" s="160"/>
      <c r="BM1500" s="160"/>
      <c r="BN1500" s="160"/>
      <c r="BO1500" s="160"/>
      <c r="BP1500" s="160"/>
      <c r="BQ1500" s="160"/>
      <c r="BR1500" s="160"/>
      <c r="BS1500" s="160"/>
      <c r="BT1500" s="160"/>
      <c r="BU1500" s="160"/>
      <c r="BV1500" s="160"/>
      <c r="BW1500" s="160"/>
      <c r="BX1500" s="160"/>
      <c r="BY1500" s="160"/>
      <c r="BZ1500" s="160"/>
      <c r="CA1500" s="160"/>
      <c r="CB1500" s="160"/>
      <c r="CC1500" s="160"/>
      <c r="CD1500" s="160"/>
      <c r="CE1500" s="160"/>
      <c r="CF1500" s="160"/>
      <c r="CG1500" s="160"/>
      <c r="CH1500" s="160"/>
      <c r="CI1500" s="160"/>
      <c r="CJ1500" s="160"/>
      <c r="CK1500" s="160"/>
      <c r="CL1500" s="160"/>
      <c r="CM1500" s="160"/>
      <c r="CN1500" s="160"/>
      <c r="CO1500" s="160"/>
      <c r="CP1500" s="162"/>
      <c r="CQ1500" s="163"/>
      <c r="CR1500" s="162"/>
      <c r="CS1500" s="163"/>
      <c r="CT1500" s="162"/>
      <c r="CU1500" s="163"/>
      <c r="CV1500" s="164">
        <f t="shared" si="197"/>
        <v>0</v>
      </c>
      <c r="CW1500" s="165"/>
      <c r="CX1500" s="166"/>
      <c r="CY1500" s="167"/>
      <c r="CZ1500" s="168"/>
      <c r="DA1500" s="169"/>
      <c r="DB1500" s="168"/>
      <c r="DC1500" s="165"/>
      <c r="DD1500" s="166"/>
      <c r="DE1500" s="71"/>
      <c r="DF1500" s="170"/>
      <c r="EO1500" s="353" t="str">
        <f t="shared" si="199"/>
        <v>HUILA_LA PLATA</v>
      </c>
      <c r="EP1500" s="350"/>
      <c r="EQ1500" s="350"/>
      <c r="ER1500" s="357"/>
      <c r="ES1500" s="350"/>
      <c r="ET1500" s="350"/>
      <c r="EU1500" s="350"/>
    </row>
    <row r="1501" spans="1:151" s="171" customFormat="1" ht="25.5" x14ac:dyDescent="0.2">
      <c r="A1501" s="242">
        <v>40485</v>
      </c>
      <c r="B1501" s="222" t="s">
        <v>1333</v>
      </c>
      <c r="C1501" s="222" t="s">
        <v>4434</v>
      </c>
      <c r="D1501" s="430" t="s">
        <v>1721</v>
      </c>
      <c r="E1501" s="107" t="str">
        <f>VLOOKUP(B1501&amp;C1501,Divipola!$C$2:$F$1138,4,FALSE)</f>
        <v>41548</v>
      </c>
      <c r="F1501" s="333"/>
      <c r="G1501" s="221"/>
      <c r="H1501" s="157"/>
      <c r="I1501" s="157"/>
      <c r="J1501" s="157"/>
      <c r="K1501" s="157"/>
      <c r="L1501" s="157"/>
      <c r="M1501" s="157"/>
      <c r="N1501" s="157"/>
      <c r="O1501" s="157"/>
      <c r="P1501" s="157"/>
      <c r="Q1501" s="157"/>
      <c r="R1501" s="157"/>
      <c r="S1501" s="157"/>
      <c r="T1501" s="157"/>
      <c r="U1501" s="157"/>
      <c r="V1501" s="158"/>
      <c r="W1501" s="182" t="s">
        <v>2938</v>
      </c>
      <c r="X1501" s="1"/>
      <c r="Y1501" s="78">
        <f t="shared" si="194"/>
        <v>0</v>
      </c>
      <c r="Z1501" s="78">
        <f t="shared" si="195"/>
        <v>0</v>
      </c>
      <c r="AA1501" s="78">
        <f t="shared" si="193"/>
        <v>0</v>
      </c>
      <c r="AB1501" s="78">
        <f t="shared" si="196"/>
        <v>0</v>
      </c>
      <c r="AC1501" s="78"/>
      <c r="AD1501" s="78">
        <v>0</v>
      </c>
      <c r="AE1501" s="80">
        <f t="shared" si="198"/>
        <v>0</v>
      </c>
      <c r="AF1501" s="82">
        <v>0</v>
      </c>
      <c r="AG1501" s="69">
        <v>40484</v>
      </c>
      <c r="AH1501" s="84"/>
      <c r="AI1501" s="69" t="s">
        <v>1984</v>
      </c>
      <c r="AJ1501" s="25" t="s">
        <v>1985</v>
      </c>
      <c r="AK1501" s="109"/>
      <c r="AL1501" s="176" t="s">
        <v>1257</v>
      </c>
      <c r="AM1501" s="173" t="s">
        <v>2937</v>
      </c>
      <c r="AN1501" s="159"/>
      <c r="AO1501" s="160"/>
      <c r="AP1501" s="161"/>
      <c r="AQ1501" s="160"/>
      <c r="AR1501" s="160"/>
      <c r="AS1501" s="160"/>
      <c r="AT1501" s="160"/>
      <c r="AU1501" s="160"/>
      <c r="AV1501" s="160"/>
      <c r="AW1501" s="160"/>
      <c r="AX1501" s="160"/>
      <c r="AY1501" s="160"/>
      <c r="AZ1501" s="160"/>
      <c r="BA1501" s="160"/>
      <c r="BB1501" s="160"/>
      <c r="BC1501" s="160"/>
      <c r="BD1501" s="160"/>
      <c r="BE1501" s="160"/>
      <c r="BF1501" s="160"/>
      <c r="BG1501" s="160"/>
      <c r="BH1501" s="160"/>
      <c r="BI1501" s="160"/>
      <c r="BJ1501" s="160"/>
      <c r="BK1501" s="160"/>
      <c r="BL1501" s="160"/>
      <c r="BM1501" s="160"/>
      <c r="BN1501" s="160"/>
      <c r="BO1501" s="160"/>
      <c r="BP1501" s="160"/>
      <c r="BQ1501" s="160"/>
      <c r="BR1501" s="160"/>
      <c r="BS1501" s="160"/>
      <c r="BT1501" s="160"/>
      <c r="BU1501" s="160"/>
      <c r="BV1501" s="160"/>
      <c r="BW1501" s="160"/>
      <c r="BX1501" s="160"/>
      <c r="BY1501" s="160"/>
      <c r="BZ1501" s="160"/>
      <c r="CA1501" s="160"/>
      <c r="CB1501" s="160"/>
      <c r="CC1501" s="160"/>
      <c r="CD1501" s="160"/>
      <c r="CE1501" s="160"/>
      <c r="CF1501" s="160"/>
      <c r="CG1501" s="160"/>
      <c r="CH1501" s="160"/>
      <c r="CI1501" s="160"/>
      <c r="CJ1501" s="160"/>
      <c r="CK1501" s="160"/>
      <c r="CL1501" s="160"/>
      <c r="CM1501" s="160"/>
      <c r="CN1501" s="160"/>
      <c r="CO1501" s="160"/>
      <c r="CP1501" s="162"/>
      <c r="CQ1501" s="163"/>
      <c r="CR1501" s="162"/>
      <c r="CS1501" s="163"/>
      <c r="CT1501" s="162"/>
      <c r="CU1501" s="163"/>
      <c r="CV1501" s="164">
        <f t="shared" si="197"/>
        <v>0</v>
      </c>
      <c r="CW1501" s="165"/>
      <c r="CX1501" s="166"/>
      <c r="CY1501" s="167"/>
      <c r="CZ1501" s="168"/>
      <c r="DA1501" s="169"/>
      <c r="DB1501" s="168"/>
      <c r="DC1501" s="165"/>
      <c r="DD1501" s="166"/>
      <c r="DE1501" s="71"/>
      <c r="DF1501" s="170"/>
      <c r="EO1501" s="353" t="str">
        <f t="shared" si="199"/>
        <v>HUILA_PITAL</v>
      </c>
      <c r="EP1501" s="350"/>
      <c r="EQ1501" s="350"/>
      <c r="ER1501" s="357"/>
      <c r="ES1501" s="350"/>
      <c r="ET1501" s="350"/>
      <c r="EU1501" s="350"/>
    </row>
    <row r="1502" spans="1:151" s="171" customFormat="1" ht="25.5" x14ac:dyDescent="0.2">
      <c r="A1502" s="242">
        <v>40485</v>
      </c>
      <c r="B1502" s="222" t="s">
        <v>2014</v>
      </c>
      <c r="C1502" s="222" t="s">
        <v>2015</v>
      </c>
      <c r="D1502" s="430" t="s">
        <v>1721</v>
      </c>
      <c r="E1502" s="107" t="str">
        <f>VLOOKUP(B1502&amp;C1502,Divipola!$C$2:$F$1138,4,FALSE)</f>
        <v>63001</v>
      </c>
      <c r="F1502" s="333"/>
      <c r="G1502" s="221"/>
      <c r="H1502" s="157">
        <v>1</v>
      </c>
      <c r="I1502" s="157"/>
      <c r="J1502" s="157">
        <v>5</v>
      </c>
      <c r="K1502" s="157">
        <v>1</v>
      </c>
      <c r="L1502" s="157"/>
      <c r="M1502" s="157">
        <v>1</v>
      </c>
      <c r="N1502" s="157"/>
      <c r="O1502" s="157"/>
      <c r="P1502" s="157"/>
      <c r="Q1502" s="157"/>
      <c r="R1502" s="157"/>
      <c r="S1502" s="157"/>
      <c r="T1502" s="157"/>
      <c r="U1502" s="157"/>
      <c r="V1502" s="158"/>
      <c r="W1502" s="182"/>
      <c r="X1502" s="1"/>
      <c r="Y1502" s="78">
        <f t="shared" si="194"/>
        <v>0</v>
      </c>
      <c r="Z1502" s="78">
        <f t="shared" si="195"/>
        <v>0</v>
      </c>
      <c r="AA1502" s="78">
        <f t="shared" si="193"/>
        <v>0</v>
      </c>
      <c r="AB1502" s="78">
        <f t="shared" si="196"/>
        <v>0</v>
      </c>
      <c r="AC1502" s="78"/>
      <c r="AD1502" s="78">
        <v>0</v>
      </c>
      <c r="AE1502" s="80">
        <f t="shared" si="198"/>
        <v>0</v>
      </c>
      <c r="AF1502" s="82">
        <v>0</v>
      </c>
      <c r="AG1502" s="69">
        <v>40487</v>
      </c>
      <c r="AH1502" s="84"/>
      <c r="AI1502" s="69" t="s">
        <v>1984</v>
      </c>
      <c r="AJ1502" s="25" t="s">
        <v>1985</v>
      </c>
      <c r="AK1502" s="65"/>
      <c r="AL1502" s="176" t="s">
        <v>1257</v>
      </c>
      <c r="AM1502" s="173" t="s">
        <v>2152</v>
      </c>
      <c r="AN1502" s="159"/>
      <c r="AO1502" s="160"/>
      <c r="AP1502" s="161"/>
      <c r="AQ1502" s="160"/>
      <c r="AR1502" s="160"/>
      <c r="AS1502" s="160"/>
      <c r="AT1502" s="160"/>
      <c r="AU1502" s="160"/>
      <c r="AV1502" s="160"/>
      <c r="AW1502" s="160"/>
      <c r="AX1502" s="160"/>
      <c r="AY1502" s="160"/>
      <c r="AZ1502" s="160"/>
      <c r="BA1502" s="160"/>
      <c r="BB1502" s="160"/>
      <c r="BC1502" s="160"/>
      <c r="BD1502" s="160"/>
      <c r="BE1502" s="160"/>
      <c r="BF1502" s="160"/>
      <c r="BG1502" s="160"/>
      <c r="BH1502" s="160"/>
      <c r="BI1502" s="160"/>
      <c r="BJ1502" s="160"/>
      <c r="BK1502" s="160"/>
      <c r="BL1502" s="160"/>
      <c r="BM1502" s="160"/>
      <c r="BN1502" s="160"/>
      <c r="BO1502" s="160"/>
      <c r="BP1502" s="160"/>
      <c r="BQ1502" s="160"/>
      <c r="BR1502" s="160"/>
      <c r="BS1502" s="160"/>
      <c r="BT1502" s="160"/>
      <c r="BU1502" s="160"/>
      <c r="BV1502" s="160"/>
      <c r="BW1502" s="160"/>
      <c r="BX1502" s="160"/>
      <c r="BY1502" s="160"/>
      <c r="BZ1502" s="160"/>
      <c r="CA1502" s="160"/>
      <c r="CB1502" s="160"/>
      <c r="CC1502" s="160"/>
      <c r="CD1502" s="160"/>
      <c r="CE1502" s="160"/>
      <c r="CF1502" s="160"/>
      <c r="CG1502" s="160"/>
      <c r="CH1502" s="160"/>
      <c r="CI1502" s="160"/>
      <c r="CJ1502" s="160"/>
      <c r="CK1502" s="160"/>
      <c r="CL1502" s="160"/>
      <c r="CM1502" s="160"/>
      <c r="CN1502" s="160"/>
      <c r="CO1502" s="160"/>
      <c r="CP1502" s="162"/>
      <c r="CQ1502" s="163"/>
      <c r="CR1502" s="162"/>
      <c r="CS1502" s="163"/>
      <c r="CT1502" s="162"/>
      <c r="CU1502" s="163"/>
      <c r="CV1502" s="164">
        <f t="shared" si="197"/>
        <v>0</v>
      </c>
      <c r="CW1502" s="165"/>
      <c r="CX1502" s="166"/>
      <c r="CY1502" s="167"/>
      <c r="CZ1502" s="168"/>
      <c r="DA1502" s="169"/>
      <c r="DB1502" s="168"/>
      <c r="DC1502" s="165"/>
      <c r="DD1502" s="166"/>
      <c r="DE1502" s="71"/>
      <c r="DF1502" s="170"/>
      <c r="EO1502" s="353" t="str">
        <f t="shared" si="199"/>
        <v>QUINDIO_ARMENIA</v>
      </c>
      <c r="EP1502" s="350"/>
      <c r="EQ1502" s="350"/>
      <c r="ER1502" s="357"/>
      <c r="ES1502" s="350"/>
      <c r="ET1502" s="350"/>
      <c r="EU1502" s="350"/>
    </row>
    <row r="1503" spans="1:151" s="171" customFormat="1" ht="25.5" x14ac:dyDescent="0.2">
      <c r="A1503" s="242">
        <v>40485</v>
      </c>
      <c r="B1503" s="222" t="s">
        <v>2014</v>
      </c>
      <c r="C1503" s="222" t="s">
        <v>3121</v>
      </c>
      <c r="D1503" s="427" t="s">
        <v>2307</v>
      </c>
      <c r="E1503" s="107" t="str">
        <f>VLOOKUP(B1503&amp;C1503,Divipola!$C$2:$F$1138,4,FALSE)</f>
        <v>63548</v>
      </c>
      <c r="F1503" s="330"/>
      <c r="G1503" s="221"/>
      <c r="H1503" s="157"/>
      <c r="I1503" s="157"/>
      <c r="J1503" s="157"/>
      <c r="K1503" s="157"/>
      <c r="L1503" s="157"/>
      <c r="M1503" s="157"/>
      <c r="N1503" s="157">
        <v>2</v>
      </c>
      <c r="O1503" s="157"/>
      <c r="P1503" s="157"/>
      <c r="Q1503" s="157"/>
      <c r="R1503" s="157"/>
      <c r="S1503" s="157"/>
      <c r="T1503" s="157"/>
      <c r="U1503" s="157"/>
      <c r="V1503" s="158"/>
      <c r="W1503" s="182"/>
      <c r="X1503" s="1"/>
      <c r="Y1503" s="78">
        <f t="shared" si="194"/>
        <v>0</v>
      </c>
      <c r="Z1503" s="78">
        <f t="shared" si="195"/>
        <v>0</v>
      </c>
      <c r="AA1503" s="78">
        <f t="shared" si="193"/>
        <v>0</v>
      </c>
      <c r="AB1503" s="78">
        <f t="shared" si="196"/>
        <v>0</v>
      </c>
      <c r="AC1503" s="78"/>
      <c r="AD1503" s="78">
        <v>0</v>
      </c>
      <c r="AE1503" s="80">
        <f t="shared" si="198"/>
        <v>0</v>
      </c>
      <c r="AF1503" s="82">
        <v>0</v>
      </c>
      <c r="AG1503" s="69">
        <v>40484</v>
      </c>
      <c r="AH1503" s="84"/>
      <c r="AI1503" s="69" t="s">
        <v>1984</v>
      </c>
      <c r="AJ1503" s="25" t="s">
        <v>1985</v>
      </c>
      <c r="AK1503" s="109"/>
      <c r="AL1503" s="176" t="s">
        <v>1257</v>
      </c>
      <c r="AM1503" s="173" t="s">
        <v>2945</v>
      </c>
      <c r="AN1503" s="159"/>
      <c r="AO1503" s="160"/>
      <c r="AP1503" s="161"/>
      <c r="AQ1503" s="160"/>
      <c r="AR1503" s="160"/>
      <c r="AS1503" s="160"/>
      <c r="AT1503" s="160"/>
      <c r="AU1503" s="160"/>
      <c r="AV1503" s="160"/>
      <c r="AW1503" s="160"/>
      <c r="AX1503" s="160"/>
      <c r="AY1503" s="160"/>
      <c r="AZ1503" s="160"/>
      <c r="BA1503" s="160"/>
      <c r="BB1503" s="160"/>
      <c r="BC1503" s="160"/>
      <c r="BD1503" s="160"/>
      <c r="BE1503" s="160"/>
      <c r="BF1503" s="160"/>
      <c r="BG1503" s="160"/>
      <c r="BH1503" s="160"/>
      <c r="BI1503" s="160"/>
      <c r="BJ1503" s="160"/>
      <c r="BK1503" s="160"/>
      <c r="BL1503" s="160"/>
      <c r="BM1503" s="160"/>
      <c r="BN1503" s="160"/>
      <c r="BO1503" s="160"/>
      <c r="BP1503" s="160"/>
      <c r="BQ1503" s="160"/>
      <c r="BR1503" s="160"/>
      <c r="BS1503" s="160"/>
      <c r="BT1503" s="160"/>
      <c r="BU1503" s="160"/>
      <c r="BV1503" s="160"/>
      <c r="BW1503" s="160"/>
      <c r="BX1503" s="160"/>
      <c r="BY1503" s="160"/>
      <c r="BZ1503" s="160"/>
      <c r="CA1503" s="160"/>
      <c r="CB1503" s="160"/>
      <c r="CC1503" s="160"/>
      <c r="CD1503" s="160"/>
      <c r="CE1503" s="160"/>
      <c r="CF1503" s="160"/>
      <c r="CG1503" s="160"/>
      <c r="CH1503" s="160"/>
      <c r="CI1503" s="160"/>
      <c r="CJ1503" s="160"/>
      <c r="CK1503" s="160"/>
      <c r="CL1503" s="160"/>
      <c r="CM1503" s="160"/>
      <c r="CN1503" s="160"/>
      <c r="CO1503" s="160"/>
      <c r="CP1503" s="162"/>
      <c r="CQ1503" s="163"/>
      <c r="CR1503" s="162"/>
      <c r="CS1503" s="163"/>
      <c r="CT1503" s="162"/>
      <c r="CU1503" s="163"/>
      <c r="CV1503" s="164">
        <f t="shared" si="197"/>
        <v>0</v>
      </c>
      <c r="CW1503" s="165"/>
      <c r="CX1503" s="166"/>
      <c r="CY1503" s="167"/>
      <c r="CZ1503" s="168"/>
      <c r="DA1503" s="169"/>
      <c r="DB1503" s="168"/>
      <c r="DC1503" s="165"/>
      <c r="DD1503" s="166"/>
      <c r="DE1503" s="71"/>
      <c r="DF1503" s="170"/>
      <c r="EO1503" s="353" t="str">
        <f t="shared" si="199"/>
        <v>QUINDIO_PIJAO</v>
      </c>
      <c r="EP1503" s="350"/>
      <c r="EQ1503" s="350"/>
      <c r="ER1503" s="357"/>
      <c r="ES1503" s="350"/>
      <c r="ET1503" s="350"/>
      <c r="EU1503" s="350"/>
    </row>
    <row r="1504" spans="1:151" s="171" customFormat="1" ht="25.5" x14ac:dyDescent="0.2">
      <c r="A1504" s="242">
        <v>40485</v>
      </c>
      <c r="B1504" s="222" t="s">
        <v>2014</v>
      </c>
      <c r="C1504" s="222" t="s">
        <v>1526</v>
      </c>
      <c r="D1504" s="427" t="s">
        <v>2307</v>
      </c>
      <c r="E1504" s="107" t="str">
        <f>VLOOKUP(B1504&amp;C1504,Divipola!$C$2:$F$1138,4,FALSE)</f>
        <v>63690</v>
      </c>
      <c r="F1504" s="330"/>
      <c r="G1504" s="221"/>
      <c r="H1504" s="157"/>
      <c r="I1504" s="157"/>
      <c r="J1504" s="157">
        <v>25</v>
      </c>
      <c r="K1504" s="157">
        <v>5</v>
      </c>
      <c r="L1504" s="157">
        <v>2</v>
      </c>
      <c r="M1504" s="157">
        <v>3</v>
      </c>
      <c r="N1504" s="157"/>
      <c r="O1504" s="157"/>
      <c r="P1504" s="157"/>
      <c r="Q1504" s="157"/>
      <c r="R1504" s="157"/>
      <c r="S1504" s="157"/>
      <c r="T1504" s="157"/>
      <c r="U1504" s="157"/>
      <c r="V1504" s="158"/>
      <c r="W1504" s="182"/>
      <c r="X1504" s="1"/>
      <c r="Y1504" s="78">
        <f t="shared" si="194"/>
        <v>0</v>
      </c>
      <c r="Z1504" s="78">
        <f t="shared" si="195"/>
        <v>0</v>
      </c>
      <c r="AA1504" s="78">
        <f t="shared" si="193"/>
        <v>0</v>
      </c>
      <c r="AB1504" s="78">
        <f t="shared" si="196"/>
        <v>0</v>
      </c>
      <c r="AC1504" s="78"/>
      <c r="AD1504" s="78">
        <v>0</v>
      </c>
      <c r="AE1504" s="80">
        <f t="shared" si="198"/>
        <v>0</v>
      </c>
      <c r="AF1504" s="82">
        <v>0</v>
      </c>
      <c r="AG1504" s="69">
        <v>40487</v>
      </c>
      <c r="AH1504" s="84"/>
      <c r="AI1504" s="69" t="s">
        <v>1984</v>
      </c>
      <c r="AJ1504" s="25" t="s">
        <v>1985</v>
      </c>
      <c r="AK1504" s="65"/>
      <c r="AL1504" s="176" t="s">
        <v>1257</v>
      </c>
      <c r="AM1504" s="173" t="s">
        <v>2151</v>
      </c>
      <c r="AN1504" s="159"/>
      <c r="AO1504" s="160"/>
      <c r="AP1504" s="161"/>
      <c r="AQ1504" s="160"/>
      <c r="AR1504" s="160"/>
      <c r="AS1504" s="160"/>
      <c r="AT1504" s="160"/>
      <c r="AU1504" s="160"/>
      <c r="AV1504" s="160"/>
      <c r="AW1504" s="160"/>
      <c r="AX1504" s="160"/>
      <c r="AY1504" s="160"/>
      <c r="AZ1504" s="160"/>
      <c r="BA1504" s="160"/>
      <c r="BB1504" s="160"/>
      <c r="BC1504" s="160"/>
      <c r="BD1504" s="160"/>
      <c r="BE1504" s="160"/>
      <c r="BF1504" s="160"/>
      <c r="BG1504" s="160"/>
      <c r="BH1504" s="160"/>
      <c r="BI1504" s="160"/>
      <c r="BJ1504" s="160"/>
      <c r="BK1504" s="160"/>
      <c r="BL1504" s="160"/>
      <c r="BM1504" s="160"/>
      <c r="BN1504" s="160"/>
      <c r="BO1504" s="160"/>
      <c r="BP1504" s="160"/>
      <c r="BQ1504" s="160"/>
      <c r="BR1504" s="160"/>
      <c r="BS1504" s="160"/>
      <c r="BT1504" s="160"/>
      <c r="BU1504" s="160"/>
      <c r="BV1504" s="160"/>
      <c r="BW1504" s="160"/>
      <c r="BX1504" s="160"/>
      <c r="BY1504" s="160"/>
      <c r="BZ1504" s="160"/>
      <c r="CA1504" s="160"/>
      <c r="CB1504" s="160"/>
      <c r="CC1504" s="160"/>
      <c r="CD1504" s="160"/>
      <c r="CE1504" s="160"/>
      <c r="CF1504" s="160"/>
      <c r="CG1504" s="160"/>
      <c r="CH1504" s="160"/>
      <c r="CI1504" s="160"/>
      <c r="CJ1504" s="160"/>
      <c r="CK1504" s="160"/>
      <c r="CL1504" s="160"/>
      <c r="CM1504" s="160"/>
      <c r="CN1504" s="160"/>
      <c r="CO1504" s="160"/>
      <c r="CP1504" s="162"/>
      <c r="CQ1504" s="163"/>
      <c r="CR1504" s="162"/>
      <c r="CS1504" s="163"/>
      <c r="CT1504" s="162"/>
      <c r="CU1504" s="163"/>
      <c r="CV1504" s="164">
        <f t="shared" si="197"/>
        <v>0</v>
      </c>
      <c r="CW1504" s="165"/>
      <c r="CX1504" s="166"/>
      <c r="CY1504" s="167"/>
      <c r="CZ1504" s="168"/>
      <c r="DA1504" s="169"/>
      <c r="DB1504" s="168"/>
      <c r="DC1504" s="165"/>
      <c r="DD1504" s="166"/>
      <c r="DE1504" s="71"/>
      <c r="DF1504" s="170"/>
      <c r="EO1504" s="353" t="str">
        <f t="shared" si="199"/>
        <v>QUINDIO_SALENTO</v>
      </c>
      <c r="EP1504" s="350"/>
      <c r="EQ1504" s="350"/>
      <c r="ER1504" s="357"/>
      <c r="ES1504" s="350"/>
      <c r="ET1504" s="350"/>
      <c r="EU1504" s="350"/>
    </row>
    <row r="1505" spans="1:151" s="171" customFormat="1" ht="38.25" x14ac:dyDescent="0.2">
      <c r="A1505" s="242">
        <v>40485</v>
      </c>
      <c r="B1505" s="222" t="s">
        <v>2012</v>
      </c>
      <c r="C1505" s="222" t="s">
        <v>2766</v>
      </c>
      <c r="D1505" s="430" t="s">
        <v>2209</v>
      </c>
      <c r="E1505" s="107" t="str">
        <f>VLOOKUP(B1505&amp;C1505,Divipola!$C$2:$F$1138,4,FALSE)</f>
        <v>66440</v>
      </c>
      <c r="F1505" s="333"/>
      <c r="G1505" s="221"/>
      <c r="H1505" s="157"/>
      <c r="I1505" s="157"/>
      <c r="J1505" s="157">
        <v>270</v>
      </c>
      <c r="K1505" s="157">
        <v>54</v>
      </c>
      <c r="L1505" s="157"/>
      <c r="M1505" s="157"/>
      <c r="N1505" s="157"/>
      <c r="O1505" s="157"/>
      <c r="P1505" s="157"/>
      <c r="Q1505" s="157"/>
      <c r="R1505" s="157"/>
      <c r="S1505" s="157"/>
      <c r="T1505" s="157"/>
      <c r="U1505" s="157"/>
      <c r="V1505" s="158"/>
      <c r="W1505" s="182"/>
      <c r="X1505" s="1"/>
      <c r="Y1505" s="78">
        <f t="shared" si="194"/>
        <v>0</v>
      </c>
      <c r="Z1505" s="78">
        <f t="shared" si="195"/>
        <v>0</v>
      </c>
      <c r="AA1505" s="78">
        <f t="shared" si="193"/>
        <v>0</v>
      </c>
      <c r="AB1505" s="78">
        <f t="shared" si="196"/>
        <v>0</v>
      </c>
      <c r="AC1505" s="78"/>
      <c r="AD1505" s="78">
        <v>0</v>
      </c>
      <c r="AE1505" s="80">
        <f t="shared" si="198"/>
        <v>0</v>
      </c>
      <c r="AF1505" s="82">
        <v>0</v>
      </c>
      <c r="AG1505" s="69">
        <v>40624</v>
      </c>
      <c r="AH1505" s="84"/>
      <c r="AI1505" s="69" t="s">
        <v>1984</v>
      </c>
      <c r="AJ1505" s="25" t="s">
        <v>1985</v>
      </c>
      <c r="AK1505" s="65"/>
      <c r="AL1505" s="176" t="s">
        <v>1257</v>
      </c>
      <c r="AM1505" s="173" t="s">
        <v>457</v>
      </c>
      <c r="AN1505" s="159"/>
      <c r="AO1505" s="160"/>
      <c r="AP1505" s="161"/>
      <c r="AQ1505" s="160"/>
      <c r="AR1505" s="160"/>
      <c r="AS1505" s="160"/>
      <c r="AT1505" s="160"/>
      <c r="AU1505" s="160"/>
      <c r="AV1505" s="160"/>
      <c r="AW1505" s="160"/>
      <c r="AX1505" s="160"/>
      <c r="AY1505" s="160"/>
      <c r="AZ1505" s="160"/>
      <c r="BA1505" s="160"/>
      <c r="BB1505" s="160"/>
      <c r="BC1505" s="160"/>
      <c r="BD1505" s="160"/>
      <c r="BE1505" s="160"/>
      <c r="BF1505" s="160"/>
      <c r="BG1505" s="160"/>
      <c r="BH1505" s="160"/>
      <c r="BI1505" s="160"/>
      <c r="BJ1505" s="160"/>
      <c r="BK1505" s="160"/>
      <c r="BL1505" s="160"/>
      <c r="BM1505" s="160"/>
      <c r="BN1505" s="160"/>
      <c r="BO1505" s="160"/>
      <c r="BP1505" s="160"/>
      <c r="BQ1505" s="160"/>
      <c r="BR1505" s="160"/>
      <c r="BS1505" s="160"/>
      <c r="BT1505" s="160"/>
      <c r="BU1505" s="160"/>
      <c r="BV1505" s="160"/>
      <c r="BW1505" s="160"/>
      <c r="BX1505" s="160"/>
      <c r="BY1505" s="160"/>
      <c r="BZ1505" s="160"/>
      <c r="CA1505" s="160"/>
      <c r="CB1505" s="160"/>
      <c r="CC1505" s="160"/>
      <c r="CD1505" s="160"/>
      <c r="CE1505" s="160"/>
      <c r="CF1505" s="160"/>
      <c r="CG1505" s="160"/>
      <c r="CH1505" s="160"/>
      <c r="CI1505" s="160"/>
      <c r="CJ1505" s="160"/>
      <c r="CK1505" s="160"/>
      <c r="CL1505" s="160"/>
      <c r="CM1505" s="160"/>
      <c r="CN1505" s="160"/>
      <c r="CO1505" s="160"/>
      <c r="CP1505" s="162"/>
      <c r="CQ1505" s="163"/>
      <c r="CR1505" s="162"/>
      <c r="CS1505" s="163"/>
      <c r="CT1505" s="162"/>
      <c r="CU1505" s="163"/>
      <c r="CV1505" s="164">
        <f t="shared" si="197"/>
        <v>0</v>
      </c>
      <c r="CW1505" s="165"/>
      <c r="CX1505" s="166"/>
      <c r="CY1505" s="167"/>
      <c r="CZ1505" s="168"/>
      <c r="DA1505" s="169"/>
      <c r="DB1505" s="168"/>
      <c r="DC1505" s="165"/>
      <c r="DD1505" s="166"/>
      <c r="DE1505" s="71"/>
      <c r="DF1505" s="170"/>
      <c r="EO1505" s="353" t="str">
        <f t="shared" si="199"/>
        <v>RISARALDA_MARSELLA</v>
      </c>
      <c r="EP1505" s="350"/>
      <c r="EQ1505" s="350"/>
      <c r="ER1505" s="357"/>
      <c r="ES1505" s="350"/>
      <c r="ET1505" s="350"/>
      <c r="EU1505" s="350"/>
    </row>
    <row r="1506" spans="1:151" s="171" customFormat="1" ht="120" x14ac:dyDescent="0.2">
      <c r="A1506" s="242">
        <v>40485</v>
      </c>
      <c r="B1506" s="222" t="s">
        <v>1462</v>
      </c>
      <c r="C1506" s="222" t="s">
        <v>2017</v>
      </c>
      <c r="D1506" s="430" t="s">
        <v>837</v>
      </c>
      <c r="E1506" s="107" t="str">
        <f>VLOOKUP(B1506&amp;C1506,Divipola!$C$2:$F$1138,4,FALSE)</f>
        <v>76100</v>
      </c>
      <c r="F1506" s="333"/>
      <c r="G1506" s="221"/>
      <c r="H1506" s="157"/>
      <c r="I1506" s="157"/>
      <c r="J1506" s="157">
        <f>326*5</f>
        <v>1630</v>
      </c>
      <c r="K1506" s="157">
        <v>326</v>
      </c>
      <c r="L1506" s="157"/>
      <c r="M1506" s="157">
        <v>326</v>
      </c>
      <c r="N1506" s="157"/>
      <c r="O1506" s="157"/>
      <c r="P1506" s="157"/>
      <c r="Q1506" s="157"/>
      <c r="R1506" s="157"/>
      <c r="S1506" s="157"/>
      <c r="T1506" s="157"/>
      <c r="U1506" s="157"/>
      <c r="V1506" s="158"/>
      <c r="W1506" s="182"/>
      <c r="X1506" s="1"/>
      <c r="Y1506" s="78">
        <f t="shared" si="194"/>
        <v>21018000</v>
      </c>
      <c r="Z1506" s="78">
        <f t="shared" si="195"/>
        <v>19210000</v>
      </c>
      <c r="AA1506" s="78">
        <f t="shared" si="193"/>
        <v>0</v>
      </c>
      <c r="AB1506" s="78">
        <f t="shared" si="196"/>
        <v>0</v>
      </c>
      <c r="AC1506" s="78"/>
      <c r="AD1506" s="78">
        <v>0</v>
      </c>
      <c r="AE1506" s="80">
        <f t="shared" si="198"/>
        <v>40228000</v>
      </c>
      <c r="AF1506" s="82">
        <v>0</v>
      </c>
      <c r="AG1506" s="69">
        <v>40484</v>
      </c>
      <c r="AH1506" s="84"/>
      <c r="AI1506" s="69" t="s">
        <v>2009</v>
      </c>
      <c r="AJ1506" s="25" t="s">
        <v>2010</v>
      </c>
      <c r="AK1506" s="109"/>
      <c r="AL1506" s="176" t="s">
        <v>1257</v>
      </c>
      <c r="AM1506" s="173" t="s">
        <v>2461</v>
      </c>
      <c r="AN1506" s="159"/>
      <c r="AO1506" s="160"/>
      <c r="AP1506" s="161"/>
      <c r="AQ1506" s="160"/>
      <c r="AR1506" s="160"/>
      <c r="AS1506" s="160"/>
      <c r="AT1506" s="160"/>
      <c r="AU1506" s="160"/>
      <c r="AV1506" s="160"/>
      <c r="AW1506" s="160"/>
      <c r="AX1506" s="160"/>
      <c r="AY1506" s="160"/>
      <c r="AZ1506" s="160">
        <v>226</v>
      </c>
      <c r="BA1506" s="160">
        <f>226*56000</f>
        <v>12656000</v>
      </c>
      <c r="BB1506" s="160"/>
      <c r="BC1506" s="160"/>
      <c r="BD1506" s="160"/>
      <c r="BE1506" s="160"/>
      <c r="BF1506" s="160"/>
      <c r="BG1506" s="160"/>
      <c r="BH1506" s="160"/>
      <c r="BI1506" s="160"/>
      <c r="BJ1506" s="160"/>
      <c r="BK1506" s="160"/>
      <c r="BL1506" s="160"/>
      <c r="BM1506" s="160"/>
      <c r="BN1506" s="160"/>
      <c r="BO1506" s="160"/>
      <c r="BP1506" s="160"/>
      <c r="BQ1506" s="160"/>
      <c r="BR1506" s="160"/>
      <c r="BS1506" s="160"/>
      <c r="BT1506" s="160"/>
      <c r="BU1506" s="160"/>
      <c r="BV1506" s="160"/>
      <c r="BW1506" s="160"/>
      <c r="BX1506" s="160"/>
      <c r="BY1506" s="160"/>
      <c r="BZ1506" s="160"/>
      <c r="CA1506" s="160"/>
      <c r="CB1506" s="160"/>
      <c r="CC1506" s="160"/>
      <c r="CD1506" s="160"/>
      <c r="CE1506" s="160"/>
      <c r="CF1506" s="160"/>
      <c r="CG1506" s="160"/>
      <c r="CH1506" s="160"/>
      <c r="CI1506" s="160"/>
      <c r="CJ1506" s="160"/>
      <c r="CK1506" s="160"/>
      <c r="CL1506" s="160"/>
      <c r="CM1506" s="160"/>
      <c r="CN1506" s="160"/>
      <c r="CO1506" s="160"/>
      <c r="CP1506" s="162">
        <v>226</v>
      </c>
      <c r="CQ1506" s="163">
        <f>226*37000</f>
        <v>8362000</v>
      </c>
      <c r="CR1506" s="162"/>
      <c r="CS1506" s="163"/>
      <c r="CT1506" s="162"/>
      <c r="CU1506" s="163"/>
      <c r="CV1506" s="164">
        <f t="shared" si="197"/>
        <v>21018000</v>
      </c>
      <c r="CW1506" s="165"/>
      <c r="CX1506" s="166"/>
      <c r="CY1506" s="167">
        <v>226</v>
      </c>
      <c r="CZ1506" s="168">
        <f>226*85000</f>
        <v>19210000</v>
      </c>
      <c r="DA1506" s="169"/>
      <c r="DB1506" s="168"/>
      <c r="DC1506" s="165"/>
      <c r="DD1506" s="166"/>
      <c r="DE1506" s="71"/>
      <c r="DF1506" s="170"/>
      <c r="EO1506" s="353" t="str">
        <f t="shared" si="199"/>
        <v>VALLE DEL CAUCA_BOLIVAR</v>
      </c>
      <c r="EP1506" s="350"/>
      <c r="EQ1506" s="350"/>
      <c r="ER1506" s="357"/>
      <c r="ES1506" s="350"/>
      <c r="ET1506" s="350"/>
      <c r="EU1506" s="350"/>
    </row>
    <row r="1507" spans="1:151" s="171" customFormat="1" ht="63.75" x14ac:dyDescent="0.2">
      <c r="A1507" s="242">
        <v>40485</v>
      </c>
      <c r="B1507" s="222" t="s">
        <v>1462</v>
      </c>
      <c r="C1507" s="222" t="s">
        <v>1944</v>
      </c>
      <c r="D1507" s="430" t="s">
        <v>837</v>
      </c>
      <c r="E1507" s="107" t="str">
        <f>VLOOKUP(B1507&amp;C1507,Divipola!$C$2:$F$1138,4,FALSE)</f>
        <v>76109</v>
      </c>
      <c r="F1507" s="333"/>
      <c r="G1507" s="221"/>
      <c r="H1507" s="157"/>
      <c r="I1507" s="157"/>
      <c r="J1507" s="157">
        <v>33</v>
      </c>
      <c r="K1507" s="157">
        <v>9</v>
      </c>
      <c r="L1507" s="157">
        <v>1</v>
      </c>
      <c r="M1507" s="157">
        <v>8</v>
      </c>
      <c r="N1507" s="157"/>
      <c r="O1507" s="157"/>
      <c r="P1507" s="157"/>
      <c r="Q1507" s="157"/>
      <c r="R1507" s="157"/>
      <c r="S1507" s="157"/>
      <c r="T1507" s="157"/>
      <c r="U1507" s="157"/>
      <c r="V1507" s="158"/>
      <c r="W1507" s="182"/>
      <c r="X1507" s="1"/>
      <c r="Y1507" s="78">
        <f t="shared" si="194"/>
        <v>0</v>
      </c>
      <c r="Z1507" s="78">
        <f t="shared" si="195"/>
        <v>0</v>
      </c>
      <c r="AA1507" s="78">
        <f t="shared" si="193"/>
        <v>0</v>
      </c>
      <c r="AB1507" s="78">
        <f t="shared" si="196"/>
        <v>0</v>
      </c>
      <c r="AC1507" s="78"/>
      <c r="AD1507" s="78">
        <v>0</v>
      </c>
      <c r="AE1507" s="80">
        <f t="shared" si="198"/>
        <v>0</v>
      </c>
      <c r="AF1507" s="82">
        <v>0</v>
      </c>
      <c r="AG1507" s="69">
        <v>40487</v>
      </c>
      <c r="AH1507" s="84"/>
      <c r="AI1507" s="69" t="s">
        <v>1984</v>
      </c>
      <c r="AJ1507" s="25" t="s">
        <v>1985</v>
      </c>
      <c r="AK1507" s="65"/>
      <c r="AL1507" s="176" t="s">
        <v>1257</v>
      </c>
      <c r="AM1507" s="173" t="s">
        <v>2153</v>
      </c>
      <c r="AN1507" s="159"/>
      <c r="AO1507" s="160"/>
      <c r="AP1507" s="161"/>
      <c r="AQ1507" s="160"/>
      <c r="AR1507" s="160"/>
      <c r="AS1507" s="160"/>
      <c r="AT1507" s="160"/>
      <c r="AU1507" s="160"/>
      <c r="AV1507" s="160"/>
      <c r="AW1507" s="160"/>
      <c r="AX1507" s="160"/>
      <c r="AY1507" s="160"/>
      <c r="AZ1507" s="160"/>
      <c r="BA1507" s="160"/>
      <c r="BB1507" s="160"/>
      <c r="BC1507" s="160"/>
      <c r="BD1507" s="160"/>
      <c r="BE1507" s="160"/>
      <c r="BF1507" s="160"/>
      <c r="BG1507" s="160"/>
      <c r="BH1507" s="160"/>
      <c r="BI1507" s="160"/>
      <c r="BJ1507" s="160"/>
      <c r="BK1507" s="160"/>
      <c r="BL1507" s="160"/>
      <c r="BM1507" s="160"/>
      <c r="BN1507" s="160"/>
      <c r="BO1507" s="160"/>
      <c r="BP1507" s="160"/>
      <c r="BQ1507" s="160"/>
      <c r="BR1507" s="160"/>
      <c r="BS1507" s="160"/>
      <c r="BT1507" s="160"/>
      <c r="BU1507" s="160"/>
      <c r="BV1507" s="160"/>
      <c r="BW1507" s="160"/>
      <c r="BX1507" s="160"/>
      <c r="BY1507" s="160"/>
      <c r="BZ1507" s="160"/>
      <c r="CA1507" s="160"/>
      <c r="CB1507" s="160"/>
      <c r="CC1507" s="160"/>
      <c r="CD1507" s="160"/>
      <c r="CE1507" s="160"/>
      <c r="CF1507" s="160"/>
      <c r="CG1507" s="160"/>
      <c r="CH1507" s="160"/>
      <c r="CI1507" s="160"/>
      <c r="CJ1507" s="160"/>
      <c r="CK1507" s="160"/>
      <c r="CL1507" s="160"/>
      <c r="CM1507" s="160"/>
      <c r="CN1507" s="160"/>
      <c r="CO1507" s="160"/>
      <c r="CP1507" s="162"/>
      <c r="CQ1507" s="163"/>
      <c r="CR1507" s="162"/>
      <c r="CS1507" s="163"/>
      <c r="CT1507" s="162"/>
      <c r="CU1507" s="163"/>
      <c r="CV1507" s="164">
        <f t="shared" si="197"/>
        <v>0</v>
      </c>
      <c r="CW1507" s="165"/>
      <c r="CX1507" s="166"/>
      <c r="CY1507" s="167"/>
      <c r="CZ1507" s="168"/>
      <c r="DA1507" s="169"/>
      <c r="DB1507" s="168"/>
      <c r="DC1507" s="165"/>
      <c r="DD1507" s="166"/>
      <c r="DE1507" s="71"/>
      <c r="DF1507" s="170"/>
      <c r="EO1507" s="353" t="str">
        <f t="shared" si="199"/>
        <v>VALLE DEL CAUCA_BUENAVENTURA</v>
      </c>
      <c r="EP1507" s="350"/>
      <c r="EQ1507" s="350"/>
      <c r="ER1507" s="357"/>
      <c r="ES1507" s="350"/>
      <c r="ET1507" s="350"/>
      <c r="EU1507" s="350"/>
    </row>
    <row r="1508" spans="1:151" s="171" customFormat="1" ht="84" x14ac:dyDescent="0.2">
      <c r="A1508" s="242">
        <v>40485</v>
      </c>
      <c r="B1508" s="222" t="s">
        <v>1462</v>
      </c>
      <c r="C1508" s="222" t="s">
        <v>884</v>
      </c>
      <c r="D1508" s="430" t="s">
        <v>837</v>
      </c>
      <c r="E1508" s="107" t="str">
        <f>VLOOKUP(B1508&amp;C1508,Divipola!$C$2:$F$1138,4,FALSE)</f>
        <v>76113</v>
      </c>
      <c r="F1508" s="333"/>
      <c r="G1508" s="221"/>
      <c r="H1508" s="157"/>
      <c r="I1508" s="157"/>
      <c r="J1508" s="157">
        <f>415*5</f>
        <v>2075</v>
      </c>
      <c r="K1508" s="157">
        <v>415</v>
      </c>
      <c r="L1508" s="157"/>
      <c r="M1508" s="157">
        <v>415</v>
      </c>
      <c r="N1508" s="157"/>
      <c r="O1508" s="157"/>
      <c r="P1508" s="157"/>
      <c r="Q1508" s="157"/>
      <c r="R1508" s="157"/>
      <c r="S1508" s="157"/>
      <c r="T1508" s="157"/>
      <c r="U1508" s="157"/>
      <c r="V1508" s="158"/>
      <c r="W1508" s="182"/>
      <c r="X1508" s="1"/>
      <c r="Y1508" s="78">
        <f t="shared" si="194"/>
        <v>38595000</v>
      </c>
      <c r="Z1508" s="78">
        <f t="shared" si="195"/>
        <v>35275000</v>
      </c>
      <c r="AA1508" s="78">
        <f t="shared" si="193"/>
        <v>0</v>
      </c>
      <c r="AB1508" s="78">
        <f t="shared" si="196"/>
        <v>0</v>
      </c>
      <c r="AC1508" s="78"/>
      <c r="AD1508" s="78">
        <v>0</v>
      </c>
      <c r="AE1508" s="80">
        <f t="shared" si="198"/>
        <v>73870000</v>
      </c>
      <c r="AF1508" s="82">
        <v>0</v>
      </c>
      <c r="AG1508" s="69">
        <v>40484</v>
      </c>
      <c r="AH1508" s="84"/>
      <c r="AI1508" s="69" t="s">
        <v>2009</v>
      </c>
      <c r="AJ1508" s="25" t="s">
        <v>2010</v>
      </c>
      <c r="AK1508" s="109"/>
      <c r="AL1508" s="176" t="s">
        <v>1257</v>
      </c>
      <c r="AM1508" s="173" t="s">
        <v>2463</v>
      </c>
      <c r="AN1508" s="159"/>
      <c r="AO1508" s="160"/>
      <c r="AP1508" s="161"/>
      <c r="AQ1508" s="160"/>
      <c r="AR1508" s="160"/>
      <c r="AS1508" s="160"/>
      <c r="AT1508" s="160"/>
      <c r="AU1508" s="160"/>
      <c r="AV1508" s="160"/>
      <c r="AW1508" s="160"/>
      <c r="AX1508" s="160"/>
      <c r="AY1508" s="160"/>
      <c r="AZ1508" s="160">
        <v>415</v>
      </c>
      <c r="BA1508" s="160">
        <f>415*56000</f>
        <v>23240000</v>
      </c>
      <c r="BB1508" s="160"/>
      <c r="BC1508" s="160"/>
      <c r="BD1508" s="160"/>
      <c r="BE1508" s="160"/>
      <c r="BF1508" s="160"/>
      <c r="BG1508" s="160"/>
      <c r="BH1508" s="160"/>
      <c r="BI1508" s="160"/>
      <c r="BJ1508" s="160"/>
      <c r="BK1508" s="160"/>
      <c r="BL1508" s="160"/>
      <c r="BM1508" s="160"/>
      <c r="BN1508" s="160"/>
      <c r="BO1508" s="160"/>
      <c r="BP1508" s="160"/>
      <c r="BQ1508" s="160"/>
      <c r="BR1508" s="160"/>
      <c r="BS1508" s="160"/>
      <c r="BT1508" s="160"/>
      <c r="BU1508" s="160"/>
      <c r="BV1508" s="160"/>
      <c r="BW1508" s="160"/>
      <c r="BX1508" s="160"/>
      <c r="BY1508" s="160"/>
      <c r="BZ1508" s="160"/>
      <c r="CA1508" s="160"/>
      <c r="CB1508" s="160"/>
      <c r="CC1508" s="160"/>
      <c r="CD1508" s="160"/>
      <c r="CE1508" s="160"/>
      <c r="CF1508" s="160"/>
      <c r="CG1508" s="160"/>
      <c r="CH1508" s="160"/>
      <c r="CI1508" s="160"/>
      <c r="CJ1508" s="160"/>
      <c r="CK1508" s="160"/>
      <c r="CL1508" s="160"/>
      <c r="CM1508" s="160"/>
      <c r="CN1508" s="160"/>
      <c r="CO1508" s="160"/>
      <c r="CP1508" s="162">
        <v>415</v>
      </c>
      <c r="CQ1508" s="163">
        <f>415*37000</f>
        <v>15355000</v>
      </c>
      <c r="CR1508" s="162"/>
      <c r="CS1508" s="163"/>
      <c r="CT1508" s="162"/>
      <c r="CU1508" s="163"/>
      <c r="CV1508" s="164">
        <f t="shared" si="197"/>
        <v>38595000</v>
      </c>
      <c r="CW1508" s="165"/>
      <c r="CX1508" s="166"/>
      <c r="CY1508" s="167">
        <v>415</v>
      </c>
      <c r="CZ1508" s="168">
        <f>415*85000</f>
        <v>35275000</v>
      </c>
      <c r="DA1508" s="169"/>
      <c r="DB1508" s="168"/>
      <c r="DC1508" s="165"/>
      <c r="DD1508" s="166"/>
      <c r="DE1508" s="71"/>
      <c r="DF1508" s="170"/>
      <c r="EO1508" s="353" t="str">
        <f t="shared" si="199"/>
        <v>VALLE DEL CAUCA_BUGALAGRANDE</v>
      </c>
      <c r="EP1508" s="350"/>
      <c r="EQ1508" s="350"/>
      <c r="ER1508" s="357"/>
      <c r="ES1508" s="350"/>
      <c r="ET1508" s="350"/>
      <c r="EU1508" s="350"/>
    </row>
    <row r="1509" spans="1:151" s="171" customFormat="1" ht="51" x14ac:dyDescent="0.2">
      <c r="A1509" s="242">
        <v>40485</v>
      </c>
      <c r="B1509" s="222" t="s">
        <v>1462</v>
      </c>
      <c r="C1509" s="222" t="s">
        <v>2942</v>
      </c>
      <c r="D1509" s="427" t="s">
        <v>2307</v>
      </c>
      <c r="E1509" s="107" t="str">
        <f>VLOOKUP(B1509&amp;C1509,Divipola!$C$2:$F$1138,4,FALSE)</f>
        <v>76233</v>
      </c>
      <c r="F1509" s="330"/>
      <c r="G1509" s="221"/>
      <c r="H1509" s="157"/>
      <c r="I1509" s="157"/>
      <c r="J1509" s="157">
        <v>25</v>
      </c>
      <c r="K1509" s="157">
        <v>5</v>
      </c>
      <c r="L1509" s="157"/>
      <c r="M1509" s="157">
        <v>5</v>
      </c>
      <c r="N1509" s="157"/>
      <c r="O1509" s="157"/>
      <c r="P1509" s="157"/>
      <c r="Q1509" s="157"/>
      <c r="R1509" s="157"/>
      <c r="S1509" s="157"/>
      <c r="T1509" s="157"/>
      <c r="U1509" s="157"/>
      <c r="V1509" s="158"/>
      <c r="W1509" s="182"/>
      <c r="X1509" s="1"/>
      <c r="Y1509" s="78">
        <f t="shared" si="194"/>
        <v>0</v>
      </c>
      <c r="Z1509" s="78">
        <f t="shared" si="195"/>
        <v>0</v>
      </c>
      <c r="AA1509" s="78">
        <f t="shared" si="193"/>
        <v>0</v>
      </c>
      <c r="AB1509" s="78">
        <f t="shared" si="196"/>
        <v>0</v>
      </c>
      <c r="AC1509" s="78"/>
      <c r="AD1509" s="78">
        <v>0</v>
      </c>
      <c r="AE1509" s="80">
        <f t="shared" si="198"/>
        <v>0</v>
      </c>
      <c r="AF1509" s="82">
        <v>0</v>
      </c>
      <c r="AG1509" s="69">
        <v>40484</v>
      </c>
      <c r="AH1509" s="84"/>
      <c r="AI1509" s="69" t="s">
        <v>1984</v>
      </c>
      <c r="AJ1509" s="25" t="s">
        <v>1985</v>
      </c>
      <c r="AK1509" s="109"/>
      <c r="AL1509" s="176" t="s">
        <v>1257</v>
      </c>
      <c r="AM1509" s="173" t="s">
        <v>2943</v>
      </c>
      <c r="AN1509" s="159"/>
      <c r="AO1509" s="160"/>
      <c r="AP1509" s="161"/>
      <c r="AQ1509" s="160"/>
      <c r="AR1509" s="160"/>
      <c r="AS1509" s="160"/>
      <c r="AT1509" s="160"/>
      <c r="AU1509" s="160"/>
      <c r="AV1509" s="160"/>
      <c r="AW1509" s="160"/>
      <c r="AX1509" s="160"/>
      <c r="AY1509" s="160"/>
      <c r="AZ1509" s="160"/>
      <c r="BA1509" s="160"/>
      <c r="BB1509" s="160"/>
      <c r="BC1509" s="160"/>
      <c r="BD1509" s="160"/>
      <c r="BE1509" s="160"/>
      <c r="BF1509" s="160"/>
      <c r="BG1509" s="160"/>
      <c r="BH1509" s="160"/>
      <c r="BI1509" s="160"/>
      <c r="BJ1509" s="160"/>
      <c r="BK1509" s="160"/>
      <c r="BL1509" s="160"/>
      <c r="BM1509" s="160"/>
      <c r="BN1509" s="160"/>
      <c r="BO1509" s="160"/>
      <c r="BP1509" s="160"/>
      <c r="BQ1509" s="160"/>
      <c r="BR1509" s="160"/>
      <c r="BS1509" s="160"/>
      <c r="BT1509" s="160"/>
      <c r="BU1509" s="160"/>
      <c r="BV1509" s="160"/>
      <c r="BW1509" s="160"/>
      <c r="BX1509" s="160"/>
      <c r="BY1509" s="160"/>
      <c r="BZ1509" s="160"/>
      <c r="CA1509" s="160"/>
      <c r="CB1509" s="160"/>
      <c r="CC1509" s="160"/>
      <c r="CD1509" s="160"/>
      <c r="CE1509" s="160"/>
      <c r="CF1509" s="160"/>
      <c r="CG1509" s="160"/>
      <c r="CH1509" s="160"/>
      <c r="CI1509" s="160"/>
      <c r="CJ1509" s="160"/>
      <c r="CK1509" s="160"/>
      <c r="CL1509" s="160"/>
      <c r="CM1509" s="160"/>
      <c r="CN1509" s="160"/>
      <c r="CO1509" s="160"/>
      <c r="CP1509" s="162"/>
      <c r="CQ1509" s="163"/>
      <c r="CR1509" s="162"/>
      <c r="CS1509" s="163"/>
      <c r="CT1509" s="162"/>
      <c r="CU1509" s="163"/>
      <c r="CV1509" s="164">
        <f t="shared" si="197"/>
        <v>0</v>
      </c>
      <c r="CW1509" s="165"/>
      <c r="CX1509" s="166"/>
      <c r="CY1509" s="167"/>
      <c r="CZ1509" s="168"/>
      <c r="DA1509" s="169"/>
      <c r="DB1509" s="168"/>
      <c r="DC1509" s="165"/>
      <c r="DD1509" s="166"/>
      <c r="DE1509" s="71"/>
      <c r="DF1509" s="170"/>
      <c r="EO1509" s="353" t="str">
        <f t="shared" si="199"/>
        <v>VALLE DEL CAUCA_DAGUA</v>
      </c>
      <c r="EP1509" s="350"/>
      <c r="EQ1509" s="350"/>
      <c r="ER1509" s="357"/>
      <c r="ES1509" s="350"/>
      <c r="ET1509" s="350"/>
      <c r="EU1509" s="350"/>
    </row>
    <row r="1510" spans="1:151" s="171" customFormat="1" ht="72" x14ac:dyDescent="0.2">
      <c r="A1510" s="242">
        <v>40485</v>
      </c>
      <c r="B1510" s="222" t="s">
        <v>1462</v>
      </c>
      <c r="C1510" s="222" t="s">
        <v>2941</v>
      </c>
      <c r="D1510" s="430" t="s">
        <v>837</v>
      </c>
      <c r="E1510" s="107" t="str">
        <f>VLOOKUP(B1510&amp;C1510,Divipola!$C$2:$F$1138,4,FALSE)</f>
        <v>76318</v>
      </c>
      <c r="F1510" s="333"/>
      <c r="G1510" s="221"/>
      <c r="H1510" s="157"/>
      <c r="I1510" s="157"/>
      <c r="J1510" s="157">
        <f>330*5</f>
        <v>1650</v>
      </c>
      <c r="K1510" s="157">
        <v>330</v>
      </c>
      <c r="L1510" s="157"/>
      <c r="M1510" s="157">
        <v>330</v>
      </c>
      <c r="N1510" s="157"/>
      <c r="O1510" s="157"/>
      <c r="P1510" s="157"/>
      <c r="Q1510" s="157"/>
      <c r="R1510" s="157"/>
      <c r="S1510" s="157"/>
      <c r="T1510" s="157"/>
      <c r="U1510" s="157"/>
      <c r="V1510" s="158"/>
      <c r="W1510" s="182"/>
      <c r="X1510" s="1"/>
      <c r="Y1510" s="78">
        <f t="shared" si="194"/>
        <v>27528000</v>
      </c>
      <c r="Z1510" s="78">
        <f t="shared" si="195"/>
        <v>25160000</v>
      </c>
      <c r="AA1510" s="78">
        <f t="shared" si="193"/>
        <v>0</v>
      </c>
      <c r="AB1510" s="78">
        <f t="shared" si="196"/>
        <v>0</v>
      </c>
      <c r="AC1510" s="78"/>
      <c r="AD1510" s="78">
        <v>0</v>
      </c>
      <c r="AE1510" s="80">
        <f t="shared" si="198"/>
        <v>52688000</v>
      </c>
      <c r="AF1510" s="82">
        <v>0</v>
      </c>
      <c r="AG1510" s="69">
        <v>40484</v>
      </c>
      <c r="AH1510" s="84"/>
      <c r="AI1510" s="69" t="s">
        <v>2009</v>
      </c>
      <c r="AJ1510" s="25" t="s">
        <v>2010</v>
      </c>
      <c r="AK1510" s="109"/>
      <c r="AL1510" s="176" t="s">
        <v>1257</v>
      </c>
      <c r="AM1510" s="173" t="s">
        <v>2464</v>
      </c>
      <c r="AN1510" s="159"/>
      <c r="AO1510" s="160"/>
      <c r="AP1510" s="161"/>
      <c r="AQ1510" s="160"/>
      <c r="AR1510" s="160"/>
      <c r="AS1510" s="160"/>
      <c r="AT1510" s="160"/>
      <c r="AU1510" s="160"/>
      <c r="AV1510" s="160"/>
      <c r="AW1510" s="160"/>
      <c r="AX1510" s="160"/>
      <c r="AY1510" s="160"/>
      <c r="AZ1510" s="160">
        <v>296</v>
      </c>
      <c r="BA1510" s="160">
        <f>296*56000</f>
        <v>16576000</v>
      </c>
      <c r="BB1510" s="160"/>
      <c r="BC1510" s="160"/>
      <c r="BD1510" s="160"/>
      <c r="BE1510" s="160"/>
      <c r="BF1510" s="160"/>
      <c r="BG1510" s="160"/>
      <c r="BH1510" s="160"/>
      <c r="BI1510" s="160"/>
      <c r="BJ1510" s="160"/>
      <c r="BK1510" s="160"/>
      <c r="BL1510" s="160"/>
      <c r="BM1510" s="160"/>
      <c r="BN1510" s="160"/>
      <c r="BO1510" s="160"/>
      <c r="BP1510" s="160"/>
      <c r="BQ1510" s="160"/>
      <c r="BR1510" s="160"/>
      <c r="BS1510" s="160"/>
      <c r="BT1510" s="160"/>
      <c r="BU1510" s="160"/>
      <c r="BV1510" s="160"/>
      <c r="BW1510" s="160"/>
      <c r="BX1510" s="160"/>
      <c r="BY1510" s="160"/>
      <c r="BZ1510" s="160"/>
      <c r="CA1510" s="160"/>
      <c r="CB1510" s="160"/>
      <c r="CC1510" s="160"/>
      <c r="CD1510" s="160"/>
      <c r="CE1510" s="160"/>
      <c r="CF1510" s="160"/>
      <c r="CG1510" s="160"/>
      <c r="CH1510" s="160"/>
      <c r="CI1510" s="160"/>
      <c r="CJ1510" s="160"/>
      <c r="CK1510" s="160"/>
      <c r="CL1510" s="160"/>
      <c r="CM1510" s="160"/>
      <c r="CN1510" s="160"/>
      <c r="CO1510" s="160"/>
      <c r="CP1510" s="162">
        <v>296</v>
      </c>
      <c r="CQ1510" s="163">
        <f>296*37000</f>
        <v>10952000</v>
      </c>
      <c r="CR1510" s="162"/>
      <c r="CS1510" s="163"/>
      <c r="CT1510" s="162"/>
      <c r="CU1510" s="163"/>
      <c r="CV1510" s="164">
        <f t="shared" si="197"/>
        <v>27528000</v>
      </c>
      <c r="CW1510" s="165"/>
      <c r="CX1510" s="166"/>
      <c r="CY1510" s="167">
        <v>296</v>
      </c>
      <c r="CZ1510" s="168">
        <f>296*85000</f>
        <v>25160000</v>
      </c>
      <c r="DA1510" s="169"/>
      <c r="DB1510" s="168"/>
      <c r="DC1510" s="165"/>
      <c r="DD1510" s="166"/>
      <c r="DE1510" s="71"/>
      <c r="DF1510" s="170"/>
      <c r="EO1510" s="353" t="str">
        <f t="shared" si="199"/>
        <v>VALLE DEL CAUCA_GUACARI</v>
      </c>
      <c r="EP1510" s="350"/>
      <c r="EQ1510" s="350"/>
      <c r="ER1510" s="357"/>
      <c r="ES1510" s="350"/>
      <c r="ET1510" s="350"/>
      <c r="EU1510" s="350"/>
    </row>
    <row r="1511" spans="1:151" s="171" customFormat="1" ht="60" x14ac:dyDescent="0.2">
      <c r="A1511" s="242">
        <v>40485</v>
      </c>
      <c r="B1511" s="222" t="s">
        <v>1462</v>
      </c>
      <c r="C1511" s="222" t="s">
        <v>113</v>
      </c>
      <c r="D1511" s="430" t="s">
        <v>837</v>
      </c>
      <c r="E1511" s="107" t="str">
        <f>VLOOKUP(B1511&amp;C1511,Divipola!$C$2:$F$1138,4,FALSE)</f>
        <v>76400</v>
      </c>
      <c r="F1511" s="333"/>
      <c r="G1511" s="221"/>
      <c r="H1511" s="157"/>
      <c r="I1511" s="157"/>
      <c r="J1511" s="157">
        <f>550*5</f>
        <v>2750</v>
      </c>
      <c r="K1511" s="157">
        <v>550</v>
      </c>
      <c r="L1511" s="157"/>
      <c r="M1511" s="157">
        <v>355</v>
      </c>
      <c r="N1511" s="157"/>
      <c r="O1511" s="157"/>
      <c r="P1511" s="157"/>
      <c r="Q1511" s="157"/>
      <c r="R1511" s="157"/>
      <c r="S1511" s="157"/>
      <c r="T1511" s="157"/>
      <c r="U1511" s="157"/>
      <c r="V1511" s="158"/>
      <c r="W1511" s="182"/>
      <c r="X1511" s="1">
        <v>40498</v>
      </c>
      <c r="Y1511" s="78">
        <f t="shared" si="194"/>
        <v>0</v>
      </c>
      <c r="Z1511" s="78">
        <f t="shared" si="195"/>
        <v>0</v>
      </c>
      <c r="AA1511" s="78">
        <f t="shared" si="193"/>
        <v>0</v>
      </c>
      <c r="AB1511" s="78">
        <f t="shared" si="196"/>
        <v>0</v>
      </c>
      <c r="AC1511" s="78"/>
      <c r="AD1511" s="78">
        <v>15000000</v>
      </c>
      <c r="AE1511" s="80">
        <f t="shared" si="198"/>
        <v>15000000</v>
      </c>
      <c r="AF1511" s="82">
        <v>0</v>
      </c>
      <c r="AG1511" s="69">
        <v>40494</v>
      </c>
      <c r="AH1511" s="84">
        <v>63901</v>
      </c>
      <c r="AI1511" s="69" t="s">
        <v>2009</v>
      </c>
      <c r="AJ1511" s="25" t="s">
        <v>2010</v>
      </c>
      <c r="AK1511" s="65">
        <v>42881</v>
      </c>
      <c r="AL1511" s="176" t="s">
        <v>2846</v>
      </c>
      <c r="AM1511" s="177" t="s">
        <v>2847</v>
      </c>
      <c r="AN1511" s="159"/>
      <c r="AO1511" s="160"/>
      <c r="AP1511" s="161"/>
      <c r="AQ1511" s="160"/>
      <c r="AR1511" s="160"/>
      <c r="AS1511" s="160"/>
      <c r="AT1511" s="160"/>
      <c r="AU1511" s="160"/>
      <c r="AV1511" s="160"/>
      <c r="AW1511" s="160"/>
      <c r="AX1511" s="160"/>
      <c r="AY1511" s="160"/>
      <c r="AZ1511" s="160"/>
      <c r="BA1511" s="160"/>
      <c r="BB1511" s="160"/>
      <c r="BC1511" s="160"/>
      <c r="BD1511" s="160"/>
      <c r="BE1511" s="160"/>
      <c r="BF1511" s="160"/>
      <c r="BG1511" s="160"/>
      <c r="BH1511" s="160"/>
      <c r="BI1511" s="160"/>
      <c r="BJ1511" s="160"/>
      <c r="BK1511" s="160"/>
      <c r="BL1511" s="160"/>
      <c r="BM1511" s="160"/>
      <c r="BN1511" s="160"/>
      <c r="BO1511" s="160"/>
      <c r="BP1511" s="160"/>
      <c r="BQ1511" s="160"/>
      <c r="BR1511" s="160"/>
      <c r="BS1511" s="160"/>
      <c r="BT1511" s="160"/>
      <c r="BU1511" s="160"/>
      <c r="BV1511" s="160"/>
      <c r="BW1511" s="160"/>
      <c r="BX1511" s="160"/>
      <c r="BY1511" s="160"/>
      <c r="BZ1511" s="160"/>
      <c r="CA1511" s="160"/>
      <c r="CB1511" s="160"/>
      <c r="CC1511" s="160"/>
      <c r="CD1511" s="160"/>
      <c r="CE1511" s="160"/>
      <c r="CF1511" s="160"/>
      <c r="CG1511" s="160"/>
      <c r="CH1511" s="160"/>
      <c r="CI1511" s="160"/>
      <c r="CJ1511" s="160"/>
      <c r="CK1511" s="160"/>
      <c r="CL1511" s="160"/>
      <c r="CM1511" s="160"/>
      <c r="CN1511" s="160"/>
      <c r="CO1511" s="160"/>
      <c r="CP1511" s="162"/>
      <c r="CQ1511" s="163"/>
      <c r="CR1511" s="162"/>
      <c r="CS1511" s="163"/>
      <c r="CT1511" s="162"/>
      <c r="CU1511" s="163"/>
      <c r="CV1511" s="164">
        <f t="shared" si="197"/>
        <v>0</v>
      </c>
      <c r="CW1511" s="165"/>
      <c r="CX1511" s="166"/>
      <c r="CY1511" s="167"/>
      <c r="CZ1511" s="168"/>
      <c r="DA1511" s="169"/>
      <c r="DB1511" s="168"/>
      <c r="DC1511" s="165"/>
      <c r="DD1511" s="166"/>
      <c r="DE1511" s="71">
        <v>2</v>
      </c>
      <c r="DF1511" s="170"/>
      <c r="EO1511" s="353" t="str">
        <f t="shared" si="199"/>
        <v>VALLE DEL CAUCA_LA UNION</v>
      </c>
      <c r="EP1511" s="350"/>
      <c r="EQ1511" s="350"/>
      <c r="ER1511" s="357"/>
      <c r="ES1511" s="350"/>
      <c r="ET1511" s="350"/>
      <c r="EU1511" s="350"/>
    </row>
    <row r="1512" spans="1:151" s="171" customFormat="1" ht="108" x14ac:dyDescent="0.2">
      <c r="A1512" s="242">
        <v>40485</v>
      </c>
      <c r="B1512" s="222" t="s">
        <v>1462</v>
      </c>
      <c r="C1512" s="222" t="s">
        <v>2579</v>
      </c>
      <c r="D1512" s="430" t="s">
        <v>837</v>
      </c>
      <c r="E1512" s="107" t="str">
        <f>VLOOKUP(B1512&amp;C1512,Divipola!$C$2:$F$1138,4,FALSE)</f>
        <v>76622</v>
      </c>
      <c r="F1512" s="333"/>
      <c r="G1512" s="221"/>
      <c r="H1512" s="157"/>
      <c r="I1512" s="157"/>
      <c r="J1512" s="157">
        <f>555*5</f>
        <v>2775</v>
      </c>
      <c r="K1512" s="157">
        <f>665-110</f>
        <v>555</v>
      </c>
      <c r="L1512" s="157"/>
      <c r="M1512" s="157">
        <v>555</v>
      </c>
      <c r="N1512" s="157"/>
      <c r="O1512" s="157"/>
      <c r="P1512" s="157"/>
      <c r="Q1512" s="157"/>
      <c r="R1512" s="157"/>
      <c r="S1512" s="157"/>
      <c r="T1512" s="157"/>
      <c r="U1512" s="157"/>
      <c r="V1512" s="158"/>
      <c r="W1512" s="182"/>
      <c r="X1512" s="1">
        <v>40498</v>
      </c>
      <c r="Y1512" s="78">
        <f t="shared" si="194"/>
        <v>4700000</v>
      </c>
      <c r="Z1512" s="78">
        <f t="shared" si="195"/>
        <v>25500000</v>
      </c>
      <c r="AA1512" s="78">
        <f t="shared" si="193"/>
        <v>0</v>
      </c>
      <c r="AB1512" s="78">
        <f t="shared" si="196"/>
        <v>19000000</v>
      </c>
      <c r="AC1512" s="78"/>
      <c r="AD1512" s="78">
        <f>25000000+50000000</f>
        <v>75000000</v>
      </c>
      <c r="AE1512" s="80">
        <f t="shared" si="198"/>
        <v>124200000</v>
      </c>
      <c r="AF1512" s="82">
        <v>0</v>
      </c>
      <c r="AG1512" s="69">
        <v>40494</v>
      </c>
      <c r="AH1512" s="84">
        <v>63924</v>
      </c>
      <c r="AI1512" s="69" t="s">
        <v>2009</v>
      </c>
      <c r="AJ1512" s="25" t="s">
        <v>2010</v>
      </c>
      <c r="AK1512" s="88" t="s">
        <v>1130</v>
      </c>
      <c r="AL1512" s="176" t="s">
        <v>2846</v>
      </c>
      <c r="AM1512" s="177" t="s">
        <v>1131</v>
      </c>
      <c r="AN1512" s="159"/>
      <c r="AO1512" s="160"/>
      <c r="AP1512" s="161"/>
      <c r="AQ1512" s="160"/>
      <c r="AR1512" s="160"/>
      <c r="AS1512" s="160"/>
      <c r="AT1512" s="160"/>
      <c r="AU1512" s="160"/>
      <c r="AV1512" s="160"/>
      <c r="AW1512" s="160"/>
      <c r="AX1512" s="160"/>
      <c r="AY1512" s="160"/>
      <c r="AZ1512" s="160"/>
      <c r="BA1512" s="160"/>
      <c r="BB1512" s="160"/>
      <c r="BC1512" s="160"/>
      <c r="BD1512" s="160"/>
      <c r="BE1512" s="160"/>
      <c r="BF1512" s="160"/>
      <c r="BG1512" s="160"/>
      <c r="BH1512" s="160"/>
      <c r="BI1512" s="160"/>
      <c r="BJ1512" s="160"/>
      <c r="BK1512" s="160"/>
      <c r="BL1512" s="160"/>
      <c r="BM1512" s="160"/>
      <c r="BN1512" s="160"/>
      <c r="BO1512" s="160"/>
      <c r="BP1512" s="160"/>
      <c r="BQ1512" s="160"/>
      <c r="BR1512" s="160"/>
      <c r="BS1512" s="160"/>
      <c r="BT1512" s="160"/>
      <c r="BU1512" s="160"/>
      <c r="BV1512" s="160"/>
      <c r="BW1512" s="160"/>
      <c r="BX1512" s="160"/>
      <c r="BY1512" s="160"/>
      <c r="BZ1512" s="160">
        <v>10</v>
      </c>
      <c r="CA1512" s="160">
        <f>10*470000</f>
        <v>4700000</v>
      </c>
      <c r="CB1512" s="160"/>
      <c r="CC1512" s="160"/>
      <c r="CD1512" s="160"/>
      <c r="CE1512" s="160"/>
      <c r="CF1512" s="160"/>
      <c r="CG1512" s="160"/>
      <c r="CH1512" s="160"/>
      <c r="CI1512" s="160"/>
      <c r="CJ1512" s="160"/>
      <c r="CK1512" s="160"/>
      <c r="CL1512" s="160"/>
      <c r="CM1512" s="160"/>
      <c r="CN1512" s="160"/>
      <c r="CO1512" s="160"/>
      <c r="CP1512" s="162"/>
      <c r="CQ1512" s="163"/>
      <c r="CR1512" s="162"/>
      <c r="CS1512" s="163"/>
      <c r="CT1512" s="162"/>
      <c r="CU1512" s="163"/>
      <c r="CV1512" s="164">
        <f t="shared" si="197"/>
        <v>4700000</v>
      </c>
      <c r="CW1512" s="165">
        <v>20000</v>
      </c>
      <c r="CX1512" s="166">
        <f>20000*950</f>
        <v>19000000</v>
      </c>
      <c r="CY1512" s="167">
        <v>300</v>
      </c>
      <c r="CZ1512" s="168">
        <f>300*85000</f>
        <v>25500000</v>
      </c>
      <c r="DA1512" s="169"/>
      <c r="DB1512" s="168"/>
      <c r="DC1512" s="165"/>
      <c r="DD1512" s="166"/>
      <c r="DE1512" s="71">
        <v>2</v>
      </c>
      <c r="DF1512" s="170">
        <v>1407</v>
      </c>
      <c r="EO1512" s="353" t="str">
        <f t="shared" si="199"/>
        <v>VALLE DEL CAUCA_ROLDANILLO</v>
      </c>
      <c r="EP1512" s="350"/>
      <c r="EQ1512" s="350"/>
      <c r="ER1512" s="357"/>
      <c r="ES1512" s="350"/>
      <c r="ET1512" s="350"/>
      <c r="EU1512" s="350"/>
    </row>
    <row r="1513" spans="1:151" s="171" customFormat="1" ht="25.5" x14ac:dyDescent="0.2">
      <c r="A1513" s="242">
        <v>40486</v>
      </c>
      <c r="B1513" s="222" t="s">
        <v>289</v>
      </c>
      <c r="C1513" s="222" t="s">
        <v>711</v>
      </c>
      <c r="D1513" s="427" t="s">
        <v>2307</v>
      </c>
      <c r="E1513" s="107" t="str">
        <f>VLOOKUP(B1513&amp;C1513,Divipola!$C$2:$F$1138,4,FALSE)</f>
        <v>17001</v>
      </c>
      <c r="F1513" s="330"/>
      <c r="G1513" s="221"/>
      <c r="H1513" s="157">
        <v>4</v>
      </c>
      <c r="I1513" s="157"/>
      <c r="J1513" s="157"/>
      <c r="K1513" s="157"/>
      <c r="L1513" s="157"/>
      <c r="M1513" s="157"/>
      <c r="N1513" s="157">
        <v>1</v>
      </c>
      <c r="O1513" s="157"/>
      <c r="P1513" s="157"/>
      <c r="Q1513" s="157"/>
      <c r="R1513" s="157"/>
      <c r="S1513" s="157"/>
      <c r="T1513" s="157"/>
      <c r="U1513" s="157"/>
      <c r="V1513" s="158"/>
      <c r="W1513" s="182" t="s">
        <v>2155</v>
      </c>
      <c r="X1513" s="1"/>
      <c r="Y1513" s="78">
        <f t="shared" si="194"/>
        <v>0</v>
      </c>
      <c r="Z1513" s="78">
        <f t="shared" si="195"/>
        <v>0</v>
      </c>
      <c r="AA1513" s="78">
        <f t="shared" si="193"/>
        <v>0</v>
      </c>
      <c r="AB1513" s="78">
        <f t="shared" si="196"/>
        <v>0</v>
      </c>
      <c r="AC1513" s="78"/>
      <c r="AD1513" s="78">
        <v>0</v>
      </c>
      <c r="AE1513" s="80">
        <f t="shared" si="198"/>
        <v>0</v>
      </c>
      <c r="AF1513" s="82">
        <v>0</v>
      </c>
      <c r="AG1513" s="69">
        <v>40487</v>
      </c>
      <c r="AH1513" s="84"/>
      <c r="AI1513" s="69" t="s">
        <v>2009</v>
      </c>
      <c r="AJ1513" s="25" t="s">
        <v>2010</v>
      </c>
      <c r="AK1513" s="65"/>
      <c r="AL1513" s="184" t="s">
        <v>3833</v>
      </c>
      <c r="AM1513" s="173" t="s">
        <v>2154</v>
      </c>
      <c r="AN1513" s="159"/>
      <c r="AO1513" s="160"/>
      <c r="AP1513" s="161"/>
      <c r="AQ1513" s="160"/>
      <c r="AR1513" s="160"/>
      <c r="AS1513" s="160"/>
      <c r="AT1513" s="160"/>
      <c r="AU1513" s="160"/>
      <c r="AV1513" s="160"/>
      <c r="AW1513" s="160"/>
      <c r="AX1513" s="160"/>
      <c r="AY1513" s="160"/>
      <c r="AZ1513" s="160"/>
      <c r="BA1513" s="160"/>
      <c r="BB1513" s="160"/>
      <c r="BC1513" s="160"/>
      <c r="BD1513" s="160"/>
      <c r="BE1513" s="160"/>
      <c r="BF1513" s="160"/>
      <c r="BG1513" s="160"/>
      <c r="BH1513" s="160"/>
      <c r="BI1513" s="160"/>
      <c r="BJ1513" s="160"/>
      <c r="BK1513" s="160"/>
      <c r="BL1513" s="160"/>
      <c r="BM1513" s="160"/>
      <c r="BN1513" s="160"/>
      <c r="BO1513" s="160"/>
      <c r="BP1513" s="160"/>
      <c r="BQ1513" s="160"/>
      <c r="BR1513" s="160"/>
      <c r="BS1513" s="160"/>
      <c r="BT1513" s="160"/>
      <c r="BU1513" s="160"/>
      <c r="BV1513" s="160"/>
      <c r="BW1513" s="160"/>
      <c r="BX1513" s="160"/>
      <c r="BY1513" s="160"/>
      <c r="BZ1513" s="160"/>
      <c r="CA1513" s="160"/>
      <c r="CB1513" s="160"/>
      <c r="CC1513" s="160"/>
      <c r="CD1513" s="160"/>
      <c r="CE1513" s="160"/>
      <c r="CF1513" s="160"/>
      <c r="CG1513" s="160"/>
      <c r="CH1513" s="160"/>
      <c r="CI1513" s="160"/>
      <c r="CJ1513" s="160"/>
      <c r="CK1513" s="160"/>
      <c r="CL1513" s="160"/>
      <c r="CM1513" s="160"/>
      <c r="CN1513" s="160"/>
      <c r="CO1513" s="160"/>
      <c r="CP1513" s="162"/>
      <c r="CQ1513" s="163"/>
      <c r="CR1513" s="162"/>
      <c r="CS1513" s="163"/>
      <c r="CT1513" s="162"/>
      <c r="CU1513" s="163"/>
      <c r="CV1513" s="164">
        <f t="shared" si="197"/>
        <v>0</v>
      </c>
      <c r="CW1513" s="165"/>
      <c r="CX1513" s="166"/>
      <c r="CY1513" s="167"/>
      <c r="CZ1513" s="168"/>
      <c r="DA1513" s="169"/>
      <c r="DB1513" s="168"/>
      <c r="DC1513" s="165"/>
      <c r="DD1513" s="166"/>
      <c r="DE1513" s="71"/>
      <c r="DF1513" s="170"/>
      <c r="EO1513" s="353" t="str">
        <f t="shared" si="199"/>
        <v>CALDAS_MANIZALES</v>
      </c>
      <c r="EP1513" s="350"/>
      <c r="EQ1513" s="350"/>
      <c r="ER1513" s="357"/>
      <c r="ES1513" s="350"/>
      <c r="ET1513" s="350"/>
      <c r="EU1513" s="350"/>
    </row>
    <row r="1514" spans="1:151" s="171" customFormat="1" ht="36" x14ac:dyDescent="0.2">
      <c r="A1514" s="242">
        <v>40486</v>
      </c>
      <c r="B1514" s="222" t="s">
        <v>1719</v>
      </c>
      <c r="C1514" s="222" t="s">
        <v>985</v>
      </c>
      <c r="D1514" s="430" t="s">
        <v>2209</v>
      </c>
      <c r="E1514" s="107" t="str">
        <f>VLOOKUP(B1514&amp;C1514,Divipola!$C$2:$F$1138,4,FALSE)</f>
        <v>19473</v>
      </c>
      <c r="F1514" s="333"/>
      <c r="G1514" s="221"/>
      <c r="H1514" s="157"/>
      <c r="I1514" s="157"/>
      <c r="J1514" s="157">
        <v>1860</v>
      </c>
      <c r="K1514" s="157">
        <v>372</v>
      </c>
      <c r="L1514" s="157"/>
      <c r="M1514" s="157">
        <v>372</v>
      </c>
      <c r="N1514" s="157">
        <v>1</v>
      </c>
      <c r="O1514" s="157"/>
      <c r="P1514" s="157"/>
      <c r="Q1514" s="157"/>
      <c r="R1514" s="157"/>
      <c r="S1514" s="157"/>
      <c r="T1514" s="157"/>
      <c r="U1514" s="157"/>
      <c r="V1514" s="158"/>
      <c r="W1514" s="182"/>
      <c r="X1514" s="1"/>
      <c r="Y1514" s="78">
        <f t="shared" si="194"/>
        <v>0</v>
      </c>
      <c r="Z1514" s="78">
        <f t="shared" si="195"/>
        <v>0</v>
      </c>
      <c r="AA1514" s="78">
        <f t="shared" si="193"/>
        <v>0</v>
      </c>
      <c r="AB1514" s="78">
        <f t="shared" si="196"/>
        <v>0</v>
      </c>
      <c r="AC1514" s="78"/>
      <c r="AD1514" s="78">
        <v>0</v>
      </c>
      <c r="AE1514" s="80">
        <f t="shared" si="198"/>
        <v>0</v>
      </c>
      <c r="AF1514" s="82">
        <v>0</v>
      </c>
      <c r="AG1514" s="69">
        <v>40490</v>
      </c>
      <c r="AH1514" s="84"/>
      <c r="AI1514" s="69" t="s">
        <v>1984</v>
      </c>
      <c r="AJ1514" s="25" t="s">
        <v>1985</v>
      </c>
      <c r="AK1514" s="65"/>
      <c r="AL1514" s="69" t="s">
        <v>1257</v>
      </c>
      <c r="AM1514" s="173" t="s">
        <v>2174</v>
      </c>
      <c r="AN1514" s="159"/>
      <c r="AO1514" s="160"/>
      <c r="AP1514" s="161"/>
      <c r="AQ1514" s="160"/>
      <c r="AR1514" s="160"/>
      <c r="AS1514" s="160"/>
      <c r="AT1514" s="160"/>
      <c r="AU1514" s="160"/>
      <c r="AV1514" s="160"/>
      <c r="AW1514" s="160"/>
      <c r="AX1514" s="160"/>
      <c r="AY1514" s="160"/>
      <c r="AZ1514" s="160"/>
      <c r="BA1514" s="160"/>
      <c r="BB1514" s="160"/>
      <c r="BC1514" s="160"/>
      <c r="BD1514" s="160"/>
      <c r="BE1514" s="160"/>
      <c r="BF1514" s="160"/>
      <c r="BG1514" s="160"/>
      <c r="BH1514" s="160"/>
      <c r="BI1514" s="160"/>
      <c r="BJ1514" s="160"/>
      <c r="BK1514" s="160"/>
      <c r="BL1514" s="160"/>
      <c r="BM1514" s="160"/>
      <c r="BN1514" s="160"/>
      <c r="BO1514" s="160"/>
      <c r="BP1514" s="160"/>
      <c r="BQ1514" s="160"/>
      <c r="BR1514" s="160"/>
      <c r="BS1514" s="160"/>
      <c r="BT1514" s="160"/>
      <c r="BU1514" s="160"/>
      <c r="BV1514" s="160"/>
      <c r="BW1514" s="160"/>
      <c r="BX1514" s="160"/>
      <c r="BY1514" s="160"/>
      <c r="BZ1514" s="160"/>
      <c r="CA1514" s="160"/>
      <c r="CB1514" s="160"/>
      <c r="CC1514" s="160"/>
      <c r="CD1514" s="160"/>
      <c r="CE1514" s="160"/>
      <c r="CF1514" s="160"/>
      <c r="CG1514" s="160"/>
      <c r="CH1514" s="160"/>
      <c r="CI1514" s="160"/>
      <c r="CJ1514" s="160"/>
      <c r="CK1514" s="160"/>
      <c r="CL1514" s="160"/>
      <c r="CM1514" s="160"/>
      <c r="CN1514" s="160"/>
      <c r="CO1514" s="160"/>
      <c r="CP1514" s="162"/>
      <c r="CQ1514" s="163"/>
      <c r="CR1514" s="162"/>
      <c r="CS1514" s="163"/>
      <c r="CT1514" s="162"/>
      <c r="CU1514" s="163"/>
      <c r="CV1514" s="164">
        <f t="shared" si="197"/>
        <v>0</v>
      </c>
      <c r="CW1514" s="165"/>
      <c r="CX1514" s="166"/>
      <c r="CY1514" s="167"/>
      <c r="CZ1514" s="168"/>
      <c r="DA1514" s="169"/>
      <c r="DB1514" s="168"/>
      <c r="DC1514" s="165"/>
      <c r="DD1514" s="166"/>
      <c r="DE1514" s="71"/>
      <c r="DF1514" s="170"/>
      <c r="EO1514" s="353" t="str">
        <f t="shared" si="199"/>
        <v>CAUCA_MORALES</v>
      </c>
      <c r="EP1514" s="350"/>
      <c r="EQ1514" s="350"/>
      <c r="ER1514" s="357"/>
      <c r="ES1514" s="350"/>
      <c r="ET1514" s="350"/>
      <c r="EU1514" s="350"/>
    </row>
    <row r="1515" spans="1:151" s="171" customFormat="1" ht="48" x14ac:dyDescent="0.2">
      <c r="A1515" s="242">
        <v>40486</v>
      </c>
      <c r="B1515" s="222" t="s">
        <v>1719</v>
      </c>
      <c r="C1515" s="107" t="s">
        <v>1720</v>
      </c>
      <c r="D1515" s="427" t="s">
        <v>2307</v>
      </c>
      <c r="E1515" s="107" t="str">
        <f>VLOOKUP(B1515&amp;C1515,Divipola!$C$2:$F$1138,4,FALSE)</f>
        <v>19001</v>
      </c>
      <c r="F1515" s="330"/>
      <c r="G1515" s="221"/>
      <c r="H1515" s="157"/>
      <c r="I1515" s="157"/>
      <c r="J1515" s="157">
        <v>655</v>
      </c>
      <c r="K1515" s="157">
        <f>18+113</f>
        <v>131</v>
      </c>
      <c r="L1515" s="157">
        <v>18</v>
      </c>
      <c r="M1515" s="157">
        <v>113</v>
      </c>
      <c r="N1515" s="157"/>
      <c r="O1515" s="157"/>
      <c r="P1515" s="157"/>
      <c r="Q1515" s="157"/>
      <c r="R1515" s="157"/>
      <c r="S1515" s="157"/>
      <c r="T1515" s="157"/>
      <c r="U1515" s="157"/>
      <c r="V1515" s="158">
        <v>243.26</v>
      </c>
      <c r="W1515" s="182" t="s">
        <v>766</v>
      </c>
      <c r="X1515" s="1"/>
      <c r="Y1515" s="78">
        <f t="shared" si="194"/>
        <v>0</v>
      </c>
      <c r="Z1515" s="78">
        <f t="shared" si="195"/>
        <v>0</v>
      </c>
      <c r="AA1515" s="78">
        <f t="shared" si="193"/>
        <v>0</v>
      </c>
      <c r="AB1515" s="78">
        <f t="shared" si="196"/>
        <v>0</v>
      </c>
      <c r="AC1515" s="78"/>
      <c r="AD1515" s="78">
        <v>0</v>
      </c>
      <c r="AE1515" s="80">
        <f t="shared" si="198"/>
        <v>0</v>
      </c>
      <c r="AF1515" s="82">
        <v>0</v>
      </c>
      <c r="AG1515" s="69">
        <v>40487</v>
      </c>
      <c r="AH1515" s="84"/>
      <c r="AI1515" s="69" t="s">
        <v>1984</v>
      </c>
      <c r="AJ1515" s="25" t="s">
        <v>1985</v>
      </c>
      <c r="AK1515" s="65"/>
      <c r="AL1515" s="176" t="s">
        <v>1257</v>
      </c>
      <c r="AM1515" s="173" t="s">
        <v>2156</v>
      </c>
      <c r="AN1515" s="159"/>
      <c r="AO1515" s="160"/>
      <c r="AP1515" s="161"/>
      <c r="AQ1515" s="160"/>
      <c r="AR1515" s="160"/>
      <c r="AS1515" s="160"/>
      <c r="AT1515" s="160"/>
      <c r="AU1515" s="160"/>
      <c r="AV1515" s="160"/>
      <c r="AW1515" s="160"/>
      <c r="AX1515" s="160"/>
      <c r="AY1515" s="160"/>
      <c r="AZ1515" s="160"/>
      <c r="BA1515" s="160"/>
      <c r="BB1515" s="160"/>
      <c r="BC1515" s="160"/>
      <c r="BD1515" s="160"/>
      <c r="BE1515" s="160"/>
      <c r="BF1515" s="160"/>
      <c r="BG1515" s="160"/>
      <c r="BH1515" s="160"/>
      <c r="BI1515" s="160"/>
      <c r="BJ1515" s="160"/>
      <c r="BK1515" s="160"/>
      <c r="BL1515" s="160"/>
      <c r="BM1515" s="160"/>
      <c r="BN1515" s="160"/>
      <c r="BO1515" s="160"/>
      <c r="BP1515" s="160"/>
      <c r="BQ1515" s="160"/>
      <c r="BR1515" s="160"/>
      <c r="BS1515" s="160"/>
      <c r="BT1515" s="160"/>
      <c r="BU1515" s="160"/>
      <c r="BV1515" s="160"/>
      <c r="BW1515" s="160"/>
      <c r="BX1515" s="160"/>
      <c r="BY1515" s="160"/>
      <c r="BZ1515" s="160"/>
      <c r="CA1515" s="160"/>
      <c r="CB1515" s="160"/>
      <c r="CC1515" s="160"/>
      <c r="CD1515" s="160"/>
      <c r="CE1515" s="160"/>
      <c r="CF1515" s="160"/>
      <c r="CG1515" s="160"/>
      <c r="CH1515" s="160"/>
      <c r="CI1515" s="160"/>
      <c r="CJ1515" s="160"/>
      <c r="CK1515" s="160"/>
      <c r="CL1515" s="160"/>
      <c r="CM1515" s="160"/>
      <c r="CN1515" s="160"/>
      <c r="CO1515" s="160"/>
      <c r="CP1515" s="162"/>
      <c r="CQ1515" s="163"/>
      <c r="CR1515" s="162"/>
      <c r="CS1515" s="163"/>
      <c r="CT1515" s="162"/>
      <c r="CU1515" s="163"/>
      <c r="CV1515" s="164">
        <f t="shared" si="197"/>
        <v>0</v>
      </c>
      <c r="CW1515" s="165"/>
      <c r="CX1515" s="166"/>
      <c r="CY1515" s="167"/>
      <c r="CZ1515" s="168"/>
      <c r="DA1515" s="169"/>
      <c r="DB1515" s="168"/>
      <c r="DC1515" s="165"/>
      <c r="DD1515" s="166"/>
      <c r="DE1515" s="71"/>
      <c r="DF1515" s="170"/>
      <c r="EO1515" s="353" t="str">
        <f t="shared" si="199"/>
        <v>CAUCA_POPAYAN</v>
      </c>
      <c r="EP1515" s="350"/>
      <c r="EQ1515" s="350"/>
      <c r="ER1515" s="357"/>
      <c r="ES1515" s="350"/>
      <c r="ET1515" s="350"/>
      <c r="EU1515" s="350"/>
    </row>
    <row r="1516" spans="1:151" s="171" customFormat="1" ht="216" x14ac:dyDescent="0.2">
      <c r="A1516" s="242">
        <v>40486</v>
      </c>
      <c r="B1516" s="222" t="s">
        <v>1719</v>
      </c>
      <c r="C1516" s="222" t="s">
        <v>2175</v>
      </c>
      <c r="D1516" s="430" t="s">
        <v>837</v>
      </c>
      <c r="E1516" s="107" t="str">
        <f>VLOOKUP(B1516&amp;C1516,Divipola!$C$2:$F$1138,4,FALSE)</f>
        <v>19622</v>
      </c>
      <c r="F1516" s="333"/>
      <c r="G1516" s="221"/>
      <c r="H1516" s="157"/>
      <c r="I1516" s="157"/>
      <c r="J1516" s="157">
        <f>2168*5</f>
        <v>10840</v>
      </c>
      <c r="K1516" s="157">
        <f>2177-9</f>
        <v>2168</v>
      </c>
      <c r="L1516" s="157"/>
      <c r="M1516" s="157">
        <v>1887</v>
      </c>
      <c r="N1516" s="157">
        <v>5</v>
      </c>
      <c r="O1516" s="157"/>
      <c r="P1516" s="157"/>
      <c r="Q1516" s="157">
        <v>5</v>
      </c>
      <c r="R1516" s="157"/>
      <c r="S1516" s="157"/>
      <c r="T1516" s="157">
        <v>2</v>
      </c>
      <c r="U1516" s="157"/>
      <c r="V1516" s="158"/>
      <c r="W1516" s="182"/>
      <c r="X1516" s="1"/>
      <c r="Y1516" s="78">
        <f t="shared" si="194"/>
        <v>0</v>
      </c>
      <c r="Z1516" s="78">
        <f t="shared" si="195"/>
        <v>0</v>
      </c>
      <c r="AA1516" s="78">
        <f t="shared" si="193"/>
        <v>0</v>
      </c>
      <c r="AB1516" s="78">
        <f t="shared" si="196"/>
        <v>0</v>
      </c>
      <c r="AC1516" s="78"/>
      <c r="AD1516" s="78">
        <v>0</v>
      </c>
      <c r="AE1516" s="80">
        <f t="shared" si="198"/>
        <v>0</v>
      </c>
      <c r="AF1516" s="82">
        <v>0</v>
      </c>
      <c r="AG1516" s="69">
        <v>40490</v>
      </c>
      <c r="AH1516" s="84"/>
      <c r="AI1516" s="69" t="s">
        <v>1984</v>
      </c>
      <c r="AJ1516" s="25" t="s">
        <v>1985</v>
      </c>
      <c r="AK1516" s="65"/>
      <c r="AL1516" s="176" t="s">
        <v>1257</v>
      </c>
      <c r="AM1516" s="173" t="s">
        <v>2642</v>
      </c>
      <c r="AN1516" s="159"/>
      <c r="AO1516" s="160"/>
      <c r="AP1516" s="161"/>
      <c r="AQ1516" s="160"/>
      <c r="AR1516" s="160"/>
      <c r="AS1516" s="160"/>
      <c r="AT1516" s="160"/>
      <c r="AU1516" s="160"/>
      <c r="AV1516" s="160"/>
      <c r="AW1516" s="160"/>
      <c r="AX1516" s="160"/>
      <c r="AY1516" s="160"/>
      <c r="AZ1516" s="160"/>
      <c r="BA1516" s="160"/>
      <c r="BB1516" s="160"/>
      <c r="BC1516" s="160"/>
      <c r="BD1516" s="160"/>
      <c r="BE1516" s="160"/>
      <c r="BF1516" s="160"/>
      <c r="BG1516" s="160"/>
      <c r="BH1516" s="160"/>
      <c r="BI1516" s="160"/>
      <c r="BJ1516" s="160"/>
      <c r="BK1516" s="160"/>
      <c r="BL1516" s="160"/>
      <c r="BM1516" s="160"/>
      <c r="BN1516" s="160"/>
      <c r="BO1516" s="160"/>
      <c r="BP1516" s="160"/>
      <c r="BQ1516" s="160"/>
      <c r="BR1516" s="160"/>
      <c r="BS1516" s="160"/>
      <c r="BT1516" s="160"/>
      <c r="BU1516" s="160"/>
      <c r="BV1516" s="160"/>
      <c r="BW1516" s="160"/>
      <c r="BX1516" s="160"/>
      <c r="BY1516" s="160"/>
      <c r="BZ1516" s="160"/>
      <c r="CA1516" s="160"/>
      <c r="CB1516" s="160"/>
      <c r="CC1516" s="160"/>
      <c r="CD1516" s="160"/>
      <c r="CE1516" s="160"/>
      <c r="CF1516" s="160"/>
      <c r="CG1516" s="160"/>
      <c r="CH1516" s="160"/>
      <c r="CI1516" s="160"/>
      <c r="CJ1516" s="160"/>
      <c r="CK1516" s="160"/>
      <c r="CL1516" s="160"/>
      <c r="CM1516" s="160"/>
      <c r="CN1516" s="160"/>
      <c r="CO1516" s="160"/>
      <c r="CP1516" s="162"/>
      <c r="CQ1516" s="163"/>
      <c r="CR1516" s="162"/>
      <c r="CS1516" s="163"/>
      <c r="CT1516" s="162"/>
      <c r="CU1516" s="163"/>
      <c r="CV1516" s="164">
        <f t="shared" si="197"/>
        <v>0</v>
      </c>
      <c r="CW1516" s="165"/>
      <c r="CX1516" s="166"/>
      <c r="CY1516" s="167"/>
      <c r="CZ1516" s="168"/>
      <c r="DA1516" s="169"/>
      <c r="DB1516" s="168"/>
      <c r="DC1516" s="165"/>
      <c r="DD1516" s="166"/>
      <c r="DE1516" s="71"/>
      <c r="DF1516" s="170"/>
      <c r="EO1516" s="353" t="str">
        <f t="shared" si="199"/>
        <v>CAUCA_ROSAS</v>
      </c>
      <c r="EP1516" s="350"/>
      <c r="EQ1516" s="350"/>
      <c r="ER1516" s="357"/>
      <c r="ES1516" s="350"/>
      <c r="ET1516" s="350"/>
      <c r="EU1516" s="350"/>
    </row>
    <row r="1517" spans="1:151" s="171" customFormat="1" ht="38.25" x14ac:dyDescent="0.2">
      <c r="A1517" s="242">
        <v>40486</v>
      </c>
      <c r="B1517" s="222" t="s">
        <v>2007</v>
      </c>
      <c r="C1517" s="222" t="s">
        <v>220</v>
      </c>
      <c r="D1517" s="430" t="s">
        <v>837</v>
      </c>
      <c r="E1517" s="107" t="str">
        <f>VLOOKUP(B1517&amp;C1517,Divipola!$C$2:$F$1138,4,FALSE)</f>
        <v>25377</v>
      </c>
      <c r="F1517" s="333"/>
      <c r="G1517" s="221"/>
      <c r="H1517" s="157"/>
      <c r="I1517" s="157"/>
      <c r="J1517" s="157">
        <v>5</v>
      </c>
      <c r="K1517" s="157">
        <v>1</v>
      </c>
      <c r="L1517" s="157"/>
      <c r="M1517" s="157">
        <v>1</v>
      </c>
      <c r="N1517" s="157"/>
      <c r="O1517" s="157"/>
      <c r="P1517" s="157"/>
      <c r="Q1517" s="157"/>
      <c r="R1517" s="157"/>
      <c r="S1517" s="157"/>
      <c r="T1517" s="157"/>
      <c r="U1517" s="157"/>
      <c r="V1517" s="158"/>
      <c r="W1517" s="182"/>
      <c r="X1517" s="1"/>
      <c r="Y1517" s="78">
        <f t="shared" si="194"/>
        <v>0</v>
      </c>
      <c r="Z1517" s="78">
        <f t="shared" si="195"/>
        <v>0</v>
      </c>
      <c r="AA1517" s="78">
        <f t="shared" si="193"/>
        <v>0</v>
      </c>
      <c r="AB1517" s="78">
        <f t="shared" si="196"/>
        <v>0</v>
      </c>
      <c r="AC1517" s="78"/>
      <c r="AD1517" s="78">
        <v>0</v>
      </c>
      <c r="AE1517" s="80">
        <f t="shared" si="198"/>
        <v>0</v>
      </c>
      <c r="AF1517" s="82">
        <v>0</v>
      </c>
      <c r="AG1517" s="69">
        <v>40492</v>
      </c>
      <c r="AH1517" s="84"/>
      <c r="AI1517" s="69" t="s">
        <v>1984</v>
      </c>
      <c r="AJ1517" s="25" t="s">
        <v>1985</v>
      </c>
      <c r="AK1517" s="65"/>
      <c r="AL1517" s="176" t="s">
        <v>1257</v>
      </c>
      <c r="AM1517" s="173" t="s">
        <v>3094</v>
      </c>
      <c r="AN1517" s="159"/>
      <c r="AO1517" s="160"/>
      <c r="AP1517" s="161"/>
      <c r="AQ1517" s="160"/>
      <c r="AR1517" s="160"/>
      <c r="AS1517" s="160"/>
      <c r="AT1517" s="160"/>
      <c r="AU1517" s="160"/>
      <c r="AV1517" s="160"/>
      <c r="AW1517" s="160"/>
      <c r="AX1517" s="160"/>
      <c r="AY1517" s="160"/>
      <c r="AZ1517" s="160"/>
      <c r="BA1517" s="160"/>
      <c r="BB1517" s="160"/>
      <c r="BC1517" s="160"/>
      <c r="BD1517" s="160"/>
      <c r="BE1517" s="160"/>
      <c r="BF1517" s="160"/>
      <c r="BG1517" s="160"/>
      <c r="BH1517" s="160"/>
      <c r="BI1517" s="160"/>
      <c r="BJ1517" s="160"/>
      <c r="BK1517" s="160"/>
      <c r="BL1517" s="160"/>
      <c r="BM1517" s="160"/>
      <c r="BN1517" s="160"/>
      <c r="BO1517" s="160"/>
      <c r="BP1517" s="160"/>
      <c r="BQ1517" s="160"/>
      <c r="BR1517" s="160"/>
      <c r="BS1517" s="160"/>
      <c r="BT1517" s="160"/>
      <c r="BU1517" s="160"/>
      <c r="BV1517" s="160"/>
      <c r="BW1517" s="160"/>
      <c r="BX1517" s="160"/>
      <c r="BY1517" s="160"/>
      <c r="BZ1517" s="160"/>
      <c r="CA1517" s="160"/>
      <c r="CB1517" s="160"/>
      <c r="CC1517" s="160"/>
      <c r="CD1517" s="160"/>
      <c r="CE1517" s="160"/>
      <c r="CF1517" s="160"/>
      <c r="CG1517" s="160"/>
      <c r="CH1517" s="160"/>
      <c r="CI1517" s="160"/>
      <c r="CJ1517" s="160"/>
      <c r="CK1517" s="160"/>
      <c r="CL1517" s="160"/>
      <c r="CM1517" s="160"/>
      <c r="CN1517" s="160"/>
      <c r="CO1517" s="160"/>
      <c r="CP1517" s="162"/>
      <c r="CQ1517" s="163"/>
      <c r="CR1517" s="162"/>
      <c r="CS1517" s="163"/>
      <c r="CT1517" s="162"/>
      <c r="CU1517" s="163"/>
      <c r="CV1517" s="164">
        <f t="shared" si="197"/>
        <v>0</v>
      </c>
      <c r="CW1517" s="165"/>
      <c r="CX1517" s="166"/>
      <c r="CY1517" s="167"/>
      <c r="CZ1517" s="168"/>
      <c r="DA1517" s="169"/>
      <c r="DB1517" s="168"/>
      <c r="DC1517" s="165"/>
      <c r="DD1517" s="166"/>
      <c r="DE1517" s="71"/>
      <c r="DF1517" s="170"/>
      <c r="EO1517" s="353" t="str">
        <f t="shared" si="199"/>
        <v>CUNDINAMARCA_LA CALERA</v>
      </c>
      <c r="EP1517" s="350"/>
      <c r="EQ1517" s="350"/>
      <c r="ER1517" s="357"/>
      <c r="ES1517" s="350"/>
      <c r="ET1517" s="350"/>
      <c r="EU1517" s="350"/>
    </row>
    <row r="1518" spans="1:151" s="171" customFormat="1" ht="38.25" x14ac:dyDescent="0.2">
      <c r="A1518" s="242">
        <v>40486</v>
      </c>
      <c r="B1518" s="222" t="s">
        <v>2007</v>
      </c>
      <c r="C1518" s="222" t="s">
        <v>2219</v>
      </c>
      <c r="D1518" s="430" t="s">
        <v>2209</v>
      </c>
      <c r="E1518" s="107" t="str">
        <f>VLOOKUP(B1518&amp;C1518,Divipola!$C$2:$F$1138,4,FALSE)</f>
        <v>25489</v>
      </c>
      <c r="F1518" s="333"/>
      <c r="G1518" s="221"/>
      <c r="H1518" s="157"/>
      <c r="I1518" s="157"/>
      <c r="J1518" s="157">
        <v>91</v>
      </c>
      <c r="K1518" s="157">
        <v>27</v>
      </c>
      <c r="L1518" s="157"/>
      <c r="M1518" s="157">
        <v>27</v>
      </c>
      <c r="N1518" s="157"/>
      <c r="O1518" s="157"/>
      <c r="P1518" s="157"/>
      <c r="Q1518" s="157"/>
      <c r="R1518" s="157"/>
      <c r="S1518" s="157"/>
      <c r="T1518" s="157"/>
      <c r="U1518" s="157"/>
      <c r="V1518" s="158"/>
      <c r="W1518" s="182"/>
      <c r="X1518" s="1"/>
      <c r="Y1518" s="78">
        <f t="shared" si="194"/>
        <v>0</v>
      </c>
      <c r="Z1518" s="78">
        <f t="shared" si="195"/>
        <v>0</v>
      </c>
      <c r="AA1518" s="78">
        <f t="shared" si="193"/>
        <v>0</v>
      </c>
      <c r="AB1518" s="78">
        <f t="shared" si="196"/>
        <v>0</v>
      </c>
      <c r="AC1518" s="78"/>
      <c r="AD1518" s="78">
        <v>0</v>
      </c>
      <c r="AE1518" s="80">
        <f t="shared" si="198"/>
        <v>0</v>
      </c>
      <c r="AF1518" s="82">
        <v>0</v>
      </c>
      <c r="AG1518" s="69">
        <v>40492</v>
      </c>
      <c r="AH1518" s="84"/>
      <c r="AI1518" s="69" t="s">
        <v>1984</v>
      </c>
      <c r="AJ1518" s="25" t="s">
        <v>1985</v>
      </c>
      <c r="AK1518" s="65"/>
      <c r="AL1518" s="176" t="s">
        <v>1257</v>
      </c>
      <c r="AM1518" s="173" t="s">
        <v>3093</v>
      </c>
      <c r="AN1518" s="159"/>
      <c r="AO1518" s="160"/>
      <c r="AP1518" s="161"/>
      <c r="AQ1518" s="160"/>
      <c r="AR1518" s="160"/>
      <c r="AS1518" s="160"/>
      <c r="AT1518" s="160"/>
      <c r="AU1518" s="160"/>
      <c r="AV1518" s="160"/>
      <c r="AW1518" s="160"/>
      <c r="AX1518" s="160"/>
      <c r="AY1518" s="160"/>
      <c r="AZ1518" s="160"/>
      <c r="BA1518" s="160"/>
      <c r="BB1518" s="160"/>
      <c r="BC1518" s="160"/>
      <c r="BD1518" s="160"/>
      <c r="BE1518" s="160"/>
      <c r="BF1518" s="160"/>
      <c r="BG1518" s="160"/>
      <c r="BH1518" s="160"/>
      <c r="BI1518" s="160"/>
      <c r="BJ1518" s="160"/>
      <c r="BK1518" s="160"/>
      <c r="BL1518" s="160"/>
      <c r="BM1518" s="160"/>
      <c r="BN1518" s="160"/>
      <c r="BO1518" s="160"/>
      <c r="BP1518" s="160"/>
      <c r="BQ1518" s="160"/>
      <c r="BR1518" s="160"/>
      <c r="BS1518" s="160"/>
      <c r="BT1518" s="160"/>
      <c r="BU1518" s="160"/>
      <c r="BV1518" s="160"/>
      <c r="BW1518" s="160"/>
      <c r="BX1518" s="160"/>
      <c r="BY1518" s="160"/>
      <c r="BZ1518" s="160"/>
      <c r="CA1518" s="160"/>
      <c r="CB1518" s="160"/>
      <c r="CC1518" s="160"/>
      <c r="CD1518" s="160"/>
      <c r="CE1518" s="160"/>
      <c r="CF1518" s="160"/>
      <c r="CG1518" s="160"/>
      <c r="CH1518" s="160"/>
      <c r="CI1518" s="160"/>
      <c r="CJ1518" s="160"/>
      <c r="CK1518" s="160"/>
      <c r="CL1518" s="160"/>
      <c r="CM1518" s="160"/>
      <c r="CN1518" s="160"/>
      <c r="CO1518" s="160"/>
      <c r="CP1518" s="162"/>
      <c r="CQ1518" s="163"/>
      <c r="CR1518" s="162"/>
      <c r="CS1518" s="163"/>
      <c r="CT1518" s="162"/>
      <c r="CU1518" s="163"/>
      <c r="CV1518" s="164">
        <f t="shared" si="197"/>
        <v>0</v>
      </c>
      <c r="CW1518" s="165"/>
      <c r="CX1518" s="166"/>
      <c r="CY1518" s="167"/>
      <c r="CZ1518" s="168"/>
      <c r="DA1518" s="169"/>
      <c r="DB1518" s="168"/>
      <c r="DC1518" s="165"/>
      <c r="DD1518" s="166"/>
      <c r="DE1518" s="71"/>
      <c r="DF1518" s="170"/>
      <c r="EO1518" s="353" t="str">
        <f t="shared" si="199"/>
        <v>CUNDINAMARCA_NIMAIMA</v>
      </c>
      <c r="EP1518" s="350"/>
      <c r="EQ1518" s="350"/>
      <c r="ER1518" s="357"/>
      <c r="ES1518" s="350"/>
      <c r="ET1518" s="350"/>
      <c r="EU1518" s="350"/>
    </row>
    <row r="1519" spans="1:151" s="171" customFormat="1" ht="25.5" x14ac:dyDescent="0.2">
      <c r="A1519" s="242">
        <v>40486</v>
      </c>
      <c r="B1519" s="222" t="s">
        <v>1333</v>
      </c>
      <c r="C1519" s="222" t="s">
        <v>1597</v>
      </c>
      <c r="D1519" s="430" t="s">
        <v>2209</v>
      </c>
      <c r="E1519" s="107" t="str">
        <f>VLOOKUP(B1519&amp;C1519,Divipola!$C$2:$F$1138,4,FALSE)</f>
        <v>41551</v>
      </c>
      <c r="F1519" s="333"/>
      <c r="G1519" s="221"/>
      <c r="H1519" s="157"/>
      <c r="I1519" s="157"/>
      <c r="J1519" s="157">
        <v>75</v>
      </c>
      <c r="K1519" s="157">
        <v>15</v>
      </c>
      <c r="L1519" s="157"/>
      <c r="M1519" s="157"/>
      <c r="N1519" s="157"/>
      <c r="O1519" s="157"/>
      <c r="P1519" s="157"/>
      <c r="Q1519" s="157"/>
      <c r="R1519" s="157"/>
      <c r="S1519" s="157"/>
      <c r="T1519" s="157"/>
      <c r="U1519" s="157"/>
      <c r="V1519" s="158"/>
      <c r="W1519" s="182"/>
      <c r="X1519" s="1"/>
      <c r="Y1519" s="78">
        <f t="shared" si="194"/>
        <v>0</v>
      </c>
      <c r="Z1519" s="78">
        <f t="shared" si="195"/>
        <v>0</v>
      </c>
      <c r="AA1519" s="78">
        <f t="shared" si="193"/>
        <v>0</v>
      </c>
      <c r="AB1519" s="78">
        <f t="shared" si="196"/>
        <v>0</v>
      </c>
      <c r="AC1519" s="78"/>
      <c r="AD1519" s="78">
        <v>0</v>
      </c>
      <c r="AE1519" s="80">
        <f t="shared" si="198"/>
        <v>0</v>
      </c>
      <c r="AF1519" s="82">
        <v>0</v>
      </c>
      <c r="AG1519" s="69">
        <v>40490</v>
      </c>
      <c r="AH1519" s="84"/>
      <c r="AI1519" s="69" t="s">
        <v>1984</v>
      </c>
      <c r="AJ1519" s="25" t="s">
        <v>1985</v>
      </c>
      <c r="AK1519" s="65"/>
      <c r="AL1519" s="176" t="s">
        <v>1257</v>
      </c>
      <c r="AM1519" s="173" t="s">
        <v>3036</v>
      </c>
      <c r="AN1519" s="159"/>
      <c r="AO1519" s="160"/>
      <c r="AP1519" s="161"/>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2"/>
      <c r="CQ1519" s="163"/>
      <c r="CR1519" s="162"/>
      <c r="CS1519" s="163"/>
      <c r="CT1519" s="162"/>
      <c r="CU1519" s="163"/>
      <c r="CV1519" s="164">
        <f t="shared" si="197"/>
        <v>0</v>
      </c>
      <c r="CW1519" s="165"/>
      <c r="CX1519" s="166"/>
      <c r="CY1519" s="167"/>
      <c r="CZ1519" s="168"/>
      <c r="DA1519" s="169"/>
      <c r="DB1519" s="168"/>
      <c r="DC1519" s="165"/>
      <c r="DD1519" s="166"/>
      <c r="DE1519" s="71"/>
      <c r="DF1519" s="170"/>
      <c r="EO1519" s="353" t="str">
        <f t="shared" si="199"/>
        <v>HUILA_PITALITO</v>
      </c>
      <c r="EP1519" s="350"/>
      <c r="EQ1519" s="350"/>
      <c r="ER1519" s="357"/>
      <c r="ES1519" s="350"/>
      <c r="ET1519" s="350"/>
      <c r="EU1519" s="350"/>
    </row>
    <row r="1520" spans="1:151" s="171" customFormat="1" ht="25.5" x14ac:dyDescent="0.2">
      <c r="A1520" s="242">
        <v>40486</v>
      </c>
      <c r="B1520" s="222" t="s">
        <v>2245</v>
      </c>
      <c r="C1520" s="222" t="s">
        <v>2531</v>
      </c>
      <c r="D1520" s="430" t="s">
        <v>2307</v>
      </c>
      <c r="E1520" s="107" t="str">
        <f>VLOOKUP(B1520&amp;C1520,Divipola!$C$2:$F$1138,4,FALSE)</f>
        <v>52083</v>
      </c>
      <c r="F1520" s="333"/>
      <c r="G1520" s="221"/>
      <c r="H1520" s="157"/>
      <c r="I1520" s="157"/>
      <c r="J1520" s="157"/>
      <c r="K1520" s="157"/>
      <c r="L1520" s="157"/>
      <c r="M1520" s="157"/>
      <c r="N1520" s="157">
        <v>1</v>
      </c>
      <c r="O1520" s="157"/>
      <c r="P1520" s="157"/>
      <c r="Q1520" s="157"/>
      <c r="R1520" s="157"/>
      <c r="S1520" s="157"/>
      <c r="T1520" s="157"/>
      <c r="U1520" s="157"/>
      <c r="V1520" s="158"/>
      <c r="W1520" s="182"/>
      <c r="X1520" s="1"/>
      <c r="Y1520" s="78">
        <f t="shared" si="194"/>
        <v>0</v>
      </c>
      <c r="Z1520" s="78">
        <f t="shared" si="195"/>
        <v>0</v>
      </c>
      <c r="AA1520" s="78">
        <f t="shared" si="193"/>
        <v>0</v>
      </c>
      <c r="AB1520" s="78">
        <f t="shared" si="196"/>
        <v>0</v>
      </c>
      <c r="AC1520" s="78"/>
      <c r="AD1520" s="78">
        <v>0</v>
      </c>
      <c r="AE1520" s="80">
        <f t="shared" si="198"/>
        <v>0</v>
      </c>
      <c r="AF1520" s="82">
        <v>0</v>
      </c>
      <c r="AG1520" s="69">
        <v>40486</v>
      </c>
      <c r="AH1520" s="84"/>
      <c r="AI1520" s="69" t="s">
        <v>1984</v>
      </c>
      <c r="AJ1520" s="70" t="s">
        <v>1985</v>
      </c>
      <c r="AK1520" s="65"/>
      <c r="AL1520" s="176" t="s">
        <v>1257</v>
      </c>
      <c r="AM1520" s="173" t="s">
        <v>2995</v>
      </c>
      <c r="AN1520" s="159"/>
      <c r="AO1520" s="160"/>
      <c r="AP1520" s="161"/>
      <c r="AQ1520" s="160"/>
      <c r="AR1520" s="160"/>
      <c r="AS1520" s="160"/>
      <c r="AT1520" s="160"/>
      <c r="AU1520" s="160"/>
      <c r="AV1520" s="160"/>
      <c r="AW1520" s="160"/>
      <c r="AX1520" s="160"/>
      <c r="AY1520" s="160"/>
      <c r="AZ1520" s="160"/>
      <c r="BA1520" s="160"/>
      <c r="BB1520" s="160"/>
      <c r="BC1520" s="160"/>
      <c r="BD1520" s="160"/>
      <c r="BE1520" s="160"/>
      <c r="BF1520" s="160"/>
      <c r="BG1520" s="160"/>
      <c r="BH1520" s="160"/>
      <c r="BI1520" s="160"/>
      <c r="BJ1520" s="160"/>
      <c r="BK1520" s="160"/>
      <c r="BL1520" s="160"/>
      <c r="BM1520" s="160"/>
      <c r="BN1520" s="160"/>
      <c r="BO1520" s="160"/>
      <c r="BP1520" s="160"/>
      <c r="BQ1520" s="160"/>
      <c r="BR1520" s="160"/>
      <c r="BS1520" s="160"/>
      <c r="BT1520" s="160"/>
      <c r="BU1520" s="160"/>
      <c r="BV1520" s="160"/>
      <c r="BW1520" s="160"/>
      <c r="BX1520" s="160"/>
      <c r="BY1520" s="160"/>
      <c r="BZ1520" s="160"/>
      <c r="CA1520" s="160"/>
      <c r="CB1520" s="160"/>
      <c r="CC1520" s="160"/>
      <c r="CD1520" s="160"/>
      <c r="CE1520" s="160"/>
      <c r="CF1520" s="160"/>
      <c r="CG1520" s="160"/>
      <c r="CH1520" s="160"/>
      <c r="CI1520" s="160"/>
      <c r="CJ1520" s="160"/>
      <c r="CK1520" s="160"/>
      <c r="CL1520" s="160"/>
      <c r="CM1520" s="160"/>
      <c r="CN1520" s="160"/>
      <c r="CO1520" s="160"/>
      <c r="CP1520" s="162"/>
      <c r="CQ1520" s="163"/>
      <c r="CR1520" s="162"/>
      <c r="CS1520" s="163"/>
      <c r="CT1520" s="162"/>
      <c r="CU1520" s="163"/>
      <c r="CV1520" s="164">
        <f t="shared" si="197"/>
        <v>0</v>
      </c>
      <c r="CW1520" s="165"/>
      <c r="CX1520" s="166"/>
      <c r="CY1520" s="167"/>
      <c r="CZ1520" s="168"/>
      <c r="DA1520" s="169"/>
      <c r="DB1520" s="168"/>
      <c r="DC1520" s="165"/>
      <c r="DD1520" s="166"/>
      <c r="DE1520" s="71"/>
      <c r="DF1520" s="170"/>
      <c r="EO1520" s="353" t="str">
        <f t="shared" si="199"/>
        <v>NARIÑO_BELEN</v>
      </c>
      <c r="EP1520" s="350"/>
      <c r="EQ1520" s="350"/>
      <c r="ER1520" s="357"/>
      <c r="ES1520" s="350"/>
      <c r="ET1520" s="350"/>
      <c r="EU1520" s="350"/>
    </row>
    <row r="1521" spans="1:151" s="171" customFormat="1" ht="38.25" x14ac:dyDescent="0.2">
      <c r="A1521" s="242">
        <v>40486</v>
      </c>
      <c r="B1521" s="107" t="s">
        <v>2012</v>
      </c>
      <c r="C1521" s="222" t="s">
        <v>2260</v>
      </c>
      <c r="D1521" s="430" t="s">
        <v>1721</v>
      </c>
      <c r="E1521" s="107" t="str">
        <f>VLOOKUP(B1521&amp;C1521,Divipola!$C$2:$F$1138,4,FALSE)</f>
        <v>66170</v>
      </c>
      <c r="F1521" s="333"/>
      <c r="G1521" s="221"/>
      <c r="H1521" s="157"/>
      <c r="I1521" s="157"/>
      <c r="J1521" s="157"/>
      <c r="K1521" s="157"/>
      <c r="L1521" s="157"/>
      <c r="M1521" s="157"/>
      <c r="N1521" s="157"/>
      <c r="O1521" s="157"/>
      <c r="P1521" s="157"/>
      <c r="Q1521" s="157"/>
      <c r="R1521" s="157"/>
      <c r="S1521" s="157"/>
      <c r="T1521" s="157"/>
      <c r="U1521" s="157"/>
      <c r="V1521" s="158"/>
      <c r="W1521" s="182" t="s">
        <v>2173</v>
      </c>
      <c r="X1521" s="1"/>
      <c r="Y1521" s="78">
        <f t="shared" si="194"/>
        <v>0</v>
      </c>
      <c r="Z1521" s="78">
        <f t="shared" si="195"/>
        <v>0</v>
      </c>
      <c r="AA1521" s="78">
        <f t="shared" si="193"/>
        <v>0</v>
      </c>
      <c r="AB1521" s="78">
        <f t="shared" si="196"/>
        <v>0</v>
      </c>
      <c r="AC1521" s="78"/>
      <c r="AD1521" s="78">
        <v>0</v>
      </c>
      <c r="AE1521" s="80">
        <f t="shared" si="198"/>
        <v>0</v>
      </c>
      <c r="AF1521" s="82">
        <v>0</v>
      </c>
      <c r="AG1521" s="69">
        <v>40490</v>
      </c>
      <c r="AH1521" s="84"/>
      <c r="AI1521" s="69" t="s">
        <v>1984</v>
      </c>
      <c r="AJ1521" s="25" t="s">
        <v>1985</v>
      </c>
      <c r="AK1521" s="65"/>
      <c r="AL1521" s="176" t="s">
        <v>1257</v>
      </c>
      <c r="AM1521" s="173" t="s">
        <v>2172</v>
      </c>
      <c r="AN1521" s="159"/>
      <c r="AO1521" s="160"/>
      <c r="AP1521" s="161"/>
      <c r="AQ1521" s="160"/>
      <c r="AR1521" s="160"/>
      <c r="AS1521" s="160"/>
      <c r="AT1521" s="160"/>
      <c r="AU1521" s="160"/>
      <c r="AV1521" s="160"/>
      <c r="AW1521" s="160"/>
      <c r="AX1521" s="160"/>
      <c r="AY1521" s="160"/>
      <c r="AZ1521" s="160"/>
      <c r="BA1521" s="160"/>
      <c r="BB1521" s="160"/>
      <c r="BC1521" s="160"/>
      <c r="BD1521" s="160"/>
      <c r="BE1521" s="160"/>
      <c r="BF1521" s="160"/>
      <c r="BG1521" s="160"/>
      <c r="BH1521" s="160"/>
      <c r="BI1521" s="160"/>
      <c r="BJ1521" s="160"/>
      <c r="BK1521" s="160"/>
      <c r="BL1521" s="160"/>
      <c r="BM1521" s="160"/>
      <c r="BN1521" s="160"/>
      <c r="BO1521" s="160"/>
      <c r="BP1521" s="160"/>
      <c r="BQ1521" s="160"/>
      <c r="BR1521" s="160"/>
      <c r="BS1521" s="160"/>
      <c r="BT1521" s="160"/>
      <c r="BU1521" s="160"/>
      <c r="BV1521" s="160"/>
      <c r="BW1521" s="160"/>
      <c r="BX1521" s="160"/>
      <c r="BY1521" s="160"/>
      <c r="BZ1521" s="160"/>
      <c r="CA1521" s="160"/>
      <c r="CB1521" s="160"/>
      <c r="CC1521" s="160"/>
      <c r="CD1521" s="160"/>
      <c r="CE1521" s="160"/>
      <c r="CF1521" s="160"/>
      <c r="CG1521" s="160"/>
      <c r="CH1521" s="160"/>
      <c r="CI1521" s="160"/>
      <c r="CJ1521" s="160"/>
      <c r="CK1521" s="160"/>
      <c r="CL1521" s="160"/>
      <c r="CM1521" s="160"/>
      <c r="CN1521" s="160"/>
      <c r="CO1521" s="160"/>
      <c r="CP1521" s="162"/>
      <c r="CQ1521" s="163"/>
      <c r="CR1521" s="162"/>
      <c r="CS1521" s="163"/>
      <c r="CT1521" s="162"/>
      <c r="CU1521" s="163"/>
      <c r="CV1521" s="164">
        <f t="shared" si="197"/>
        <v>0</v>
      </c>
      <c r="CW1521" s="165"/>
      <c r="CX1521" s="166"/>
      <c r="CY1521" s="167"/>
      <c r="CZ1521" s="168"/>
      <c r="DA1521" s="169"/>
      <c r="DB1521" s="168"/>
      <c r="DC1521" s="165"/>
      <c r="DD1521" s="166"/>
      <c r="DE1521" s="71"/>
      <c r="DF1521" s="170"/>
      <c r="EO1521" s="353" t="str">
        <f t="shared" si="199"/>
        <v>RISARALDA_DOSQUEBRADAS</v>
      </c>
      <c r="EP1521" s="350"/>
      <c r="EQ1521" s="350"/>
      <c r="ER1521" s="357"/>
      <c r="ES1521" s="350"/>
      <c r="ET1521" s="350"/>
      <c r="EU1521" s="350"/>
    </row>
    <row r="1522" spans="1:151" s="171" customFormat="1" ht="132" x14ac:dyDescent="0.2">
      <c r="A1522" s="242">
        <v>40486</v>
      </c>
      <c r="B1522" s="222" t="s">
        <v>2427</v>
      </c>
      <c r="C1522" s="222" t="s">
        <v>1022</v>
      </c>
      <c r="D1522" s="430" t="s">
        <v>837</v>
      </c>
      <c r="E1522" s="107" t="str">
        <f>VLOOKUP(B1522&amp;C1522,Divipola!$C$2:$F$1138,4,FALSE)</f>
        <v>68276</v>
      </c>
      <c r="F1522" s="333"/>
      <c r="G1522" s="275"/>
      <c r="H1522" s="157">
        <v>2</v>
      </c>
      <c r="I1522" s="157"/>
      <c r="J1522" s="157">
        <v>1061</v>
      </c>
      <c r="K1522" s="157">
        <v>262</v>
      </c>
      <c r="L1522" s="157">
        <v>25</v>
      </c>
      <c r="M1522" s="157"/>
      <c r="N1522" s="157">
        <v>1</v>
      </c>
      <c r="O1522" s="157"/>
      <c r="P1522" s="157"/>
      <c r="Q1522" s="157">
        <v>1</v>
      </c>
      <c r="R1522" s="157"/>
      <c r="S1522" s="157"/>
      <c r="T1522" s="157">
        <v>2</v>
      </c>
      <c r="U1522" s="157"/>
      <c r="V1522" s="158">
        <v>300</v>
      </c>
      <c r="W1522" s="182"/>
      <c r="X1522" s="1"/>
      <c r="Y1522" s="78">
        <f t="shared" si="194"/>
        <v>0</v>
      </c>
      <c r="Z1522" s="78">
        <f t="shared" si="195"/>
        <v>0</v>
      </c>
      <c r="AA1522" s="78">
        <f t="shared" si="193"/>
        <v>0</v>
      </c>
      <c r="AB1522" s="78">
        <f t="shared" si="196"/>
        <v>0</v>
      </c>
      <c r="AC1522" s="78"/>
      <c r="AD1522" s="78">
        <v>0</v>
      </c>
      <c r="AE1522" s="80">
        <f t="shared" si="198"/>
        <v>0</v>
      </c>
      <c r="AF1522" s="82">
        <v>0</v>
      </c>
      <c r="AG1522" s="69">
        <v>40492</v>
      </c>
      <c r="AH1522" s="84"/>
      <c r="AI1522" s="69" t="s">
        <v>1984</v>
      </c>
      <c r="AJ1522" s="25" t="s">
        <v>1985</v>
      </c>
      <c r="AK1522" s="65"/>
      <c r="AL1522" s="176" t="s">
        <v>1257</v>
      </c>
      <c r="AM1522" s="173" t="s">
        <v>1064</v>
      </c>
      <c r="AN1522" s="159"/>
      <c r="AO1522" s="160"/>
      <c r="AP1522" s="161"/>
      <c r="AQ1522" s="160"/>
      <c r="AR1522" s="160"/>
      <c r="AS1522" s="160"/>
      <c r="AT1522" s="160"/>
      <c r="AU1522" s="160"/>
      <c r="AV1522" s="160"/>
      <c r="AW1522" s="160"/>
      <c r="AX1522" s="160"/>
      <c r="AY1522" s="160"/>
      <c r="AZ1522" s="160"/>
      <c r="BA1522" s="160"/>
      <c r="BB1522" s="160"/>
      <c r="BC1522" s="160"/>
      <c r="BD1522" s="160"/>
      <c r="BE1522" s="160"/>
      <c r="BF1522" s="160"/>
      <c r="BG1522" s="160"/>
      <c r="BH1522" s="160"/>
      <c r="BI1522" s="160"/>
      <c r="BJ1522" s="160"/>
      <c r="BK1522" s="160"/>
      <c r="BL1522" s="160"/>
      <c r="BM1522" s="160"/>
      <c r="BN1522" s="160"/>
      <c r="BO1522" s="160"/>
      <c r="BP1522" s="160"/>
      <c r="BQ1522" s="160"/>
      <c r="BR1522" s="160"/>
      <c r="BS1522" s="160"/>
      <c r="BT1522" s="160"/>
      <c r="BU1522" s="160"/>
      <c r="BV1522" s="160"/>
      <c r="BW1522" s="160"/>
      <c r="BX1522" s="160"/>
      <c r="BY1522" s="160"/>
      <c r="BZ1522" s="160"/>
      <c r="CA1522" s="160"/>
      <c r="CB1522" s="160"/>
      <c r="CC1522" s="160"/>
      <c r="CD1522" s="160"/>
      <c r="CE1522" s="160"/>
      <c r="CF1522" s="160"/>
      <c r="CG1522" s="160"/>
      <c r="CH1522" s="160"/>
      <c r="CI1522" s="160"/>
      <c r="CJ1522" s="160"/>
      <c r="CK1522" s="160"/>
      <c r="CL1522" s="160"/>
      <c r="CM1522" s="160"/>
      <c r="CN1522" s="160"/>
      <c r="CO1522" s="160"/>
      <c r="CP1522" s="162"/>
      <c r="CQ1522" s="163"/>
      <c r="CR1522" s="162"/>
      <c r="CS1522" s="163"/>
      <c r="CT1522" s="162"/>
      <c r="CU1522" s="163"/>
      <c r="CV1522" s="164">
        <f t="shared" si="197"/>
        <v>0</v>
      </c>
      <c r="CW1522" s="165"/>
      <c r="CX1522" s="166"/>
      <c r="CY1522" s="167"/>
      <c r="CZ1522" s="168"/>
      <c r="DA1522" s="169"/>
      <c r="DB1522" s="168"/>
      <c r="DC1522" s="165"/>
      <c r="DD1522" s="166"/>
      <c r="DE1522" s="71"/>
      <c r="DF1522" s="170">
        <v>1440</v>
      </c>
      <c r="EO1522" s="353" t="str">
        <f t="shared" si="199"/>
        <v>SANTANDER_FLORIDABLANCA</v>
      </c>
      <c r="EP1522" s="350"/>
      <c r="EQ1522" s="350"/>
      <c r="ER1522" s="357"/>
      <c r="ES1522" s="350"/>
      <c r="ET1522" s="350"/>
      <c r="EU1522" s="350"/>
    </row>
    <row r="1523" spans="1:151" s="171" customFormat="1" ht="120" x14ac:dyDescent="0.2">
      <c r="A1523" s="242">
        <v>40486</v>
      </c>
      <c r="B1523" s="222" t="s">
        <v>1462</v>
      </c>
      <c r="C1523" s="222" t="s">
        <v>2619</v>
      </c>
      <c r="D1523" s="430" t="s">
        <v>837</v>
      </c>
      <c r="E1523" s="107" t="str">
        <f>VLOOKUP(B1523&amp;C1523,Divipola!$C$2:$F$1138,4,FALSE)</f>
        <v>76616</v>
      </c>
      <c r="F1523" s="333"/>
      <c r="G1523" s="221"/>
      <c r="H1523" s="157"/>
      <c r="I1523" s="157"/>
      <c r="J1523" s="157">
        <f>677*5</f>
        <v>3385</v>
      </c>
      <c r="K1523" s="157">
        <v>677</v>
      </c>
      <c r="L1523" s="157"/>
      <c r="M1523" s="157">
        <v>677</v>
      </c>
      <c r="N1523" s="157"/>
      <c r="O1523" s="157"/>
      <c r="P1523" s="157"/>
      <c r="Q1523" s="157"/>
      <c r="R1523" s="157"/>
      <c r="S1523" s="157"/>
      <c r="T1523" s="157"/>
      <c r="U1523" s="157"/>
      <c r="V1523" s="158"/>
      <c r="W1523" s="182"/>
      <c r="X1523" s="1">
        <v>40520</v>
      </c>
      <c r="Y1523" s="78">
        <f t="shared" si="194"/>
        <v>19623000</v>
      </c>
      <c r="Z1523" s="78">
        <f t="shared" si="195"/>
        <v>17935000</v>
      </c>
      <c r="AA1523" s="78">
        <f t="shared" si="193"/>
        <v>0</v>
      </c>
      <c r="AB1523" s="78">
        <f t="shared" si="196"/>
        <v>0</v>
      </c>
      <c r="AC1523" s="78"/>
      <c r="AD1523" s="78">
        <v>0</v>
      </c>
      <c r="AE1523" s="80">
        <f t="shared" si="198"/>
        <v>37558000</v>
      </c>
      <c r="AF1523" s="82">
        <v>0</v>
      </c>
      <c r="AG1523" s="69">
        <v>40483</v>
      </c>
      <c r="AH1523" s="84"/>
      <c r="AI1523" s="69" t="s">
        <v>2009</v>
      </c>
      <c r="AJ1523" s="25" t="s">
        <v>2010</v>
      </c>
      <c r="AK1523" s="65">
        <v>26384</v>
      </c>
      <c r="AL1523" s="176" t="s">
        <v>1831</v>
      </c>
      <c r="AM1523" s="173" t="s">
        <v>2620</v>
      </c>
      <c r="AN1523" s="159"/>
      <c r="AO1523" s="160"/>
      <c r="AP1523" s="161"/>
      <c r="AQ1523" s="160"/>
      <c r="AR1523" s="160"/>
      <c r="AS1523" s="160"/>
      <c r="AT1523" s="160"/>
      <c r="AU1523" s="160"/>
      <c r="AV1523" s="160"/>
      <c r="AW1523" s="160"/>
      <c r="AX1523" s="160"/>
      <c r="AY1523" s="160"/>
      <c r="AZ1523" s="160">
        <v>211</v>
      </c>
      <c r="BA1523" s="160">
        <f>211*56000</f>
        <v>11816000</v>
      </c>
      <c r="BB1523" s="160"/>
      <c r="BC1523" s="160"/>
      <c r="BD1523" s="160"/>
      <c r="BE1523" s="160"/>
      <c r="BF1523" s="160"/>
      <c r="BG1523" s="160"/>
      <c r="BH1523" s="160"/>
      <c r="BI1523" s="160"/>
      <c r="BJ1523" s="160"/>
      <c r="BK1523" s="160"/>
      <c r="BL1523" s="160"/>
      <c r="BM1523" s="160"/>
      <c r="BN1523" s="160"/>
      <c r="BO1523" s="160"/>
      <c r="BP1523" s="160"/>
      <c r="BQ1523" s="160"/>
      <c r="BR1523" s="160"/>
      <c r="BS1523" s="160"/>
      <c r="BT1523" s="160"/>
      <c r="BU1523" s="160"/>
      <c r="BV1523" s="160"/>
      <c r="BW1523" s="160"/>
      <c r="BX1523" s="160"/>
      <c r="BY1523" s="160"/>
      <c r="BZ1523" s="160"/>
      <c r="CA1523" s="160"/>
      <c r="CB1523" s="160"/>
      <c r="CC1523" s="160"/>
      <c r="CD1523" s="160"/>
      <c r="CE1523" s="160"/>
      <c r="CF1523" s="160"/>
      <c r="CG1523" s="160"/>
      <c r="CH1523" s="160"/>
      <c r="CI1523" s="160"/>
      <c r="CJ1523" s="160"/>
      <c r="CK1523" s="160"/>
      <c r="CL1523" s="160"/>
      <c r="CM1523" s="160"/>
      <c r="CN1523" s="160"/>
      <c r="CO1523" s="160"/>
      <c r="CP1523" s="162">
        <v>211</v>
      </c>
      <c r="CQ1523" s="163">
        <f>211*37000</f>
        <v>7807000</v>
      </c>
      <c r="CR1523" s="162"/>
      <c r="CS1523" s="163"/>
      <c r="CT1523" s="162"/>
      <c r="CU1523" s="163"/>
      <c r="CV1523" s="164">
        <f t="shared" si="197"/>
        <v>19623000</v>
      </c>
      <c r="CW1523" s="165"/>
      <c r="CX1523" s="166"/>
      <c r="CY1523" s="167">
        <v>211</v>
      </c>
      <c r="CZ1523" s="168">
        <f>211*85000</f>
        <v>17935000</v>
      </c>
      <c r="DA1523" s="169"/>
      <c r="DB1523" s="168"/>
      <c r="DC1523" s="165"/>
      <c r="DD1523" s="166"/>
      <c r="DE1523" s="71"/>
      <c r="DF1523" s="170"/>
      <c r="EO1523" s="353" t="str">
        <f t="shared" si="199"/>
        <v>VALLE DEL CAUCA_RIOFRIO</v>
      </c>
      <c r="EP1523" s="350"/>
      <c r="EQ1523" s="350"/>
      <c r="ER1523" s="357"/>
      <c r="ES1523" s="350"/>
      <c r="ET1523" s="350"/>
      <c r="EU1523" s="350"/>
    </row>
    <row r="1524" spans="1:151" s="171" customFormat="1" ht="144" x14ac:dyDescent="0.2">
      <c r="A1524" s="246">
        <v>40487</v>
      </c>
      <c r="B1524" s="280" t="s">
        <v>2401</v>
      </c>
      <c r="C1524" s="280" t="s">
        <v>1590</v>
      </c>
      <c r="D1524" s="432" t="s">
        <v>837</v>
      </c>
      <c r="E1524" s="107" t="str">
        <f>VLOOKUP(B1524&amp;C1524,Divipola!$C$2:$F$1138,4,FALSE)</f>
        <v>05154</v>
      </c>
      <c r="F1524" s="337"/>
      <c r="G1524" s="221"/>
      <c r="H1524" s="157"/>
      <c r="I1524" s="157"/>
      <c r="J1524" s="157">
        <v>4942</v>
      </c>
      <c r="K1524" s="157">
        <v>1266</v>
      </c>
      <c r="L1524" s="157"/>
      <c r="M1524" s="157">
        <v>34</v>
      </c>
      <c r="N1524" s="157"/>
      <c r="O1524" s="157"/>
      <c r="P1524" s="157"/>
      <c r="Q1524" s="157"/>
      <c r="R1524" s="157"/>
      <c r="S1524" s="157"/>
      <c r="T1524" s="157"/>
      <c r="U1524" s="157"/>
      <c r="V1524" s="158"/>
      <c r="W1524" s="182"/>
      <c r="X1524" s="1"/>
      <c r="Y1524" s="78">
        <f t="shared" si="194"/>
        <v>0</v>
      </c>
      <c r="Z1524" s="78">
        <f t="shared" si="195"/>
        <v>0</v>
      </c>
      <c r="AA1524" s="78">
        <f t="shared" si="193"/>
        <v>0</v>
      </c>
      <c r="AB1524" s="78">
        <f t="shared" si="196"/>
        <v>0</v>
      </c>
      <c r="AC1524" s="78"/>
      <c r="AD1524" s="78">
        <v>0</v>
      </c>
      <c r="AE1524" s="80">
        <f t="shared" si="198"/>
        <v>0</v>
      </c>
      <c r="AF1524" s="82">
        <v>0</v>
      </c>
      <c r="AG1524" s="69">
        <v>40490</v>
      </c>
      <c r="AH1524" s="84"/>
      <c r="AI1524" s="69" t="s">
        <v>2009</v>
      </c>
      <c r="AJ1524" s="25" t="s">
        <v>2010</v>
      </c>
      <c r="AK1524" s="65"/>
      <c r="AL1524" s="184" t="s">
        <v>2519</v>
      </c>
      <c r="AM1524" s="173" t="s">
        <v>530</v>
      </c>
      <c r="AN1524" s="159"/>
      <c r="AO1524" s="160"/>
      <c r="AP1524" s="161"/>
      <c r="AQ1524" s="160"/>
      <c r="AR1524" s="160"/>
      <c r="AS1524" s="160"/>
      <c r="AT1524" s="160"/>
      <c r="AU1524" s="160"/>
      <c r="AV1524" s="160"/>
      <c r="AW1524" s="160"/>
      <c r="AX1524" s="160"/>
      <c r="AY1524" s="160"/>
      <c r="AZ1524" s="160"/>
      <c r="BA1524" s="160"/>
      <c r="BB1524" s="160"/>
      <c r="BC1524" s="160"/>
      <c r="BD1524" s="160"/>
      <c r="BE1524" s="160"/>
      <c r="BF1524" s="160"/>
      <c r="BG1524" s="160"/>
      <c r="BH1524" s="160"/>
      <c r="BI1524" s="160"/>
      <c r="BJ1524" s="160"/>
      <c r="BK1524" s="160"/>
      <c r="BL1524" s="160"/>
      <c r="BM1524" s="160"/>
      <c r="BN1524" s="160"/>
      <c r="BO1524" s="160"/>
      <c r="BP1524" s="160"/>
      <c r="BQ1524" s="160"/>
      <c r="BR1524" s="160"/>
      <c r="BS1524" s="160"/>
      <c r="BT1524" s="160"/>
      <c r="BU1524" s="160"/>
      <c r="BV1524" s="160"/>
      <c r="BW1524" s="160"/>
      <c r="BX1524" s="160"/>
      <c r="BY1524" s="160"/>
      <c r="BZ1524" s="160"/>
      <c r="CA1524" s="160"/>
      <c r="CB1524" s="160"/>
      <c r="CC1524" s="160"/>
      <c r="CD1524" s="160"/>
      <c r="CE1524" s="160"/>
      <c r="CF1524" s="160"/>
      <c r="CG1524" s="160"/>
      <c r="CH1524" s="160"/>
      <c r="CI1524" s="160"/>
      <c r="CJ1524" s="160"/>
      <c r="CK1524" s="160"/>
      <c r="CL1524" s="160"/>
      <c r="CM1524" s="160"/>
      <c r="CN1524" s="160"/>
      <c r="CO1524" s="160"/>
      <c r="CP1524" s="162"/>
      <c r="CQ1524" s="163"/>
      <c r="CR1524" s="162"/>
      <c r="CS1524" s="163"/>
      <c r="CT1524" s="162"/>
      <c r="CU1524" s="163"/>
      <c r="CV1524" s="164">
        <f t="shared" si="197"/>
        <v>0</v>
      </c>
      <c r="CW1524" s="165"/>
      <c r="CX1524" s="166"/>
      <c r="CY1524" s="167"/>
      <c r="CZ1524" s="168"/>
      <c r="DA1524" s="169"/>
      <c r="DB1524" s="168"/>
      <c r="DC1524" s="165"/>
      <c r="DD1524" s="166"/>
      <c r="DE1524" s="71"/>
      <c r="DF1524" s="170"/>
      <c r="EO1524" s="353" t="str">
        <f t="shared" si="199"/>
        <v>ANTIOQUIA_CAUCASIA</v>
      </c>
      <c r="EP1524" s="350"/>
      <c r="EQ1524" s="350"/>
      <c r="ER1524" s="357"/>
      <c r="ES1524" s="350"/>
      <c r="ET1524" s="350"/>
      <c r="EU1524" s="350"/>
    </row>
    <row r="1525" spans="1:151" s="171" customFormat="1" ht="48" x14ac:dyDescent="0.2">
      <c r="A1525" s="246">
        <v>40487</v>
      </c>
      <c r="B1525" s="280" t="s">
        <v>2401</v>
      </c>
      <c r="C1525" s="280" t="s">
        <v>3040</v>
      </c>
      <c r="D1525" s="432" t="s">
        <v>837</v>
      </c>
      <c r="E1525" s="107" t="str">
        <f>VLOOKUP(B1525&amp;C1525,Divipola!$C$2:$F$1138,4,FALSE)</f>
        <v>05234</v>
      </c>
      <c r="F1525" s="337"/>
      <c r="G1525" s="221">
        <v>1</v>
      </c>
      <c r="H1525" s="157"/>
      <c r="I1525" s="157"/>
      <c r="J1525" s="157">
        <v>437</v>
      </c>
      <c r="K1525" s="157">
        <v>107</v>
      </c>
      <c r="L1525" s="157">
        <v>9</v>
      </c>
      <c r="M1525" s="157">
        <v>71</v>
      </c>
      <c r="N1525" s="157"/>
      <c r="O1525" s="157"/>
      <c r="P1525" s="157"/>
      <c r="Q1525" s="157"/>
      <c r="R1525" s="157"/>
      <c r="S1525" s="157"/>
      <c r="T1525" s="157"/>
      <c r="U1525" s="157"/>
      <c r="V1525" s="158"/>
      <c r="W1525" s="182"/>
      <c r="X1525" s="1"/>
      <c r="Y1525" s="78">
        <f t="shared" si="194"/>
        <v>0</v>
      </c>
      <c r="Z1525" s="78">
        <f t="shared" si="195"/>
        <v>0</v>
      </c>
      <c r="AA1525" s="78">
        <f t="shared" ref="AA1525:AA1588" si="200">DB1525+DD1525</f>
        <v>0</v>
      </c>
      <c r="AB1525" s="78">
        <f t="shared" si="196"/>
        <v>0</v>
      </c>
      <c r="AC1525" s="78"/>
      <c r="AD1525" s="78">
        <v>0</v>
      </c>
      <c r="AE1525" s="80">
        <f t="shared" si="198"/>
        <v>0</v>
      </c>
      <c r="AF1525" s="82">
        <v>0</v>
      </c>
      <c r="AG1525" s="69">
        <v>40490</v>
      </c>
      <c r="AH1525" s="84"/>
      <c r="AI1525" s="69" t="s">
        <v>2009</v>
      </c>
      <c r="AJ1525" s="25" t="s">
        <v>2010</v>
      </c>
      <c r="AK1525" s="65"/>
      <c r="AL1525" s="184" t="s">
        <v>2519</v>
      </c>
      <c r="AM1525" s="173" t="s">
        <v>3041</v>
      </c>
      <c r="AN1525" s="159"/>
      <c r="AO1525" s="160"/>
      <c r="AP1525" s="161"/>
      <c r="AQ1525" s="160"/>
      <c r="AR1525" s="160"/>
      <c r="AS1525" s="160"/>
      <c r="AT1525" s="160"/>
      <c r="AU1525" s="160"/>
      <c r="AV1525" s="160"/>
      <c r="AW1525" s="160"/>
      <c r="AX1525" s="160"/>
      <c r="AY1525" s="160"/>
      <c r="AZ1525" s="160"/>
      <c r="BA1525" s="160"/>
      <c r="BB1525" s="160"/>
      <c r="BC1525" s="160"/>
      <c r="BD1525" s="160"/>
      <c r="BE1525" s="160"/>
      <c r="BF1525" s="160"/>
      <c r="BG1525" s="160"/>
      <c r="BH1525" s="160"/>
      <c r="BI1525" s="160"/>
      <c r="BJ1525" s="160"/>
      <c r="BK1525" s="160"/>
      <c r="BL1525" s="160"/>
      <c r="BM1525" s="160"/>
      <c r="BN1525" s="160"/>
      <c r="BO1525" s="160"/>
      <c r="BP1525" s="160"/>
      <c r="BQ1525" s="160"/>
      <c r="BR1525" s="160"/>
      <c r="BS1525" s="160"/>
      <c r="BT1525" s="160"/>
      <c r="BU1525" s="160"/>
      <c r="BV1525" s="160"/>
      <c r="BW1525" s="160"/>
      <c r="BX1525" s="160"/>
      <c r="BY1525" s="160"/>
      <c r="BZ1525" s="160"/>
      <c r="CA1525" s="160"/>
      <c r="CB1525" s="160"/>
      <c r="CC1525" s="160"/>
      <c r="CD1525" s="160"/>
      <c r="CE1525" s="160"/>
      <c r="CF1525" s="160"/>
      <c r="CG1525" s="160"/>
      <c r="CH1525" s="160"/>
      <c r="CI1525" s="160"/>
      <c r="CJ1525" s="160"/>
      <c r="CK1525" s="160"/>
      <c r="CL1525" s="160"/>
      <c r="CM1525" s="160"/>
      <c r="CN1525" s="160"/>
      <c r="CO1525" s="160"/>
      <c r="CP1525" s="162"/>
      <c r="CQ1525" s="163"/>
      <c r="CR1525" s="162"/>
      <c r="CS1525" s="163"/>
      <c r="CT1525" s="162"/>
      <c r="CU1525" s="163"/>
      <c r="CV1525" s="164">
        <f t="shared" si="197"/>
        <v>0</v>
      </c>
      <c r="CW1525" s="165"/>
      <c r="CX1525" s="166"/>
      <c r="CY1525" s="167"/>
      <c r="CZ1525" s="168"/>
      <c r="DA1525" s="169"/>
      <c r="DB1525" s="168"/>
      <c r="DC1525" s="165"/>
      <c r="DD1525" s="166"/>
      <c r="DE1525" s="71"/>
      <c r="DF1525" s="170"/>
      <c r="EO1525" s="353" t="str">
        <f t="shared" si="199"/>
        <v>ANTIOQUIA_DABEIBA</v>
      </c>
      <c r="EP1525" s="350"/>
      <c r="EQ1525" s="350"/>
      <c r="ER1525" s="357"/>
      <c r="ES1525" s="350"/>
      <c r="ET1525" s="350"/>
      <c r="EU1525" s="350"/>
    </row>
    <row r="1526" spans="1:151" s="171" customFormat="1" ht="72" x14ac:dyDescent="0.2">
      <c r="A1526" s="242">
        <v>40487</v>
      </c>
      <c r="B1526" s="222" t="s">
        <v>1719</v>
      </c>
      <c r="C1526" s="222" t="s">
        <v>3143</v>
      </c>
      <c r="D1526" s="430" t="s">
        <v>837</v>
      </c>
      <c r="E1526" s="107" t="str">
        <f>VLOOKUP(B1526&amp;C1526,Divipola!$C$2:$F$1138,4,FALSE)</f>
        <v>19397</v>
      </c>
      <c r="F1526" s="333"/>
      <c r="G1526" s="221"/>
      <c r="H1526" s="157"/>
      <c r="I1526" s="157"/>
      <c r="J1526" s="157">
        <f>2048*5</f>
        <v>10240</v>
      </c>
      <c r="K1526" s="157">
        <f>2110-62</f>
        <v>2048</v>
      </c>
      <c r="L1526" s="157"/>
      <c r="M1526" s="157">
        <v>100</v>
      </c>
      <c r="N1526" s="157">
        <v>4</v>
      </c>
      <c r="O1526" s="157">
        <v>7</v>
      </c>
      <c r="P1526" s="157"/>
      <c r="Q1526" s="157">
        <v>3</v>
      </c>
      <c r="R1526" s="157"/>
      <c r="S1526" s="157"/>
      <c r="T1526" s="157">
        <v>2</v>
      </c>
      <c r="U1526" s="157"/>
      <c r="V1526" s="158">
        <v>630</v>
      </c>
      <c r="W1526" s="182" t="s">
        <v>2639</v>
      </c>
      <c r="X1526" s="1"/>
      <c r="Y1526" s="78">
        <f t="shared" si="194"/>
        <v>0</v>
      </c>
      <c r="Z1526" s="78">
        <f t="shared" si="195"/>
        <v>0</v>
      </c>
      <c r="AA1526" s="78">
        <f t="shared" si="200"/>
        <v>0</v>
      </c>
      <c r="AB1526" s="78">
        <f t="shared" si="196"/>
        <v>0</v>
      </c>
      <c r="AC1526" s="78"/>
      <c r="AD1526" s="78">
        <v>0</v>
      </c>
      <c r="AE1526" s="80">
        <f t="shared" si="198"/>
        <v>0</v>
      </c>
      <c r="AF1526" s="82">
        <v>0</v>
      </c>
      <c r="AG1526" s="69"/>
      <c r="AH1526" s="84"/>
      <c r="AI1526" s="69" t="s">
        <v>2009</v>
      </c>
      <c r="AJ1526" s="276" t="s">
        <v>2010</v>
      </c>
      <c r="AK1526" s="65"/>
      <c r="AL1526" s="272" t="s">
        <v>311</v>
      </c>
      <c r="AM1526" s="173" t="s">
        <v>2638</v>
      </c>
      <c r="AN1526" s="159"/>
      <c r="AO1526" s="160"/>
      <c r="AP1526" s="161"/>
      <c r="AQ1526" s="160"/>
      <c r="AR1526" s="160"/>
      <c r="AS1526" s="160"/>
      <c r="AT1526" s="160"/>
      <c r="AU1526" s="160"/>
      <c r="AV1526" s="160"/>
      <c r="AW1526" s="160"/>
      <c r="AX1526" s="160"/>
      <c r="AY1526" s="160"/>
      <c r="AZ1526" s="160"/>
      <c r="BA1526" s="160"/>
      <c r="BB1526" s="160"/>
      <c r="BC1526" s="160"/>
      <c r="BD1526" s="160"/>
      <c r="BE1526" s="160"/>
      <c r="BF1526" s="160"/>
      <c r="BG1526" s="160"/>
      <c r="BH1526" s="160"/>
      <c r="BI1526" s="160"/>
      <c r="BJ1526" s="160"/>
      <c r="BK1526" s="160"/>
      <c r="BL1526" s="160"/>
      <c r="BM1526" s="160"/>
      <c r="BN1526" s="160"/>
      <c r="BO1526" s="160"/>
      <c r="BP1526" s="160"/>
      <c r="BQ1526" s="160"/>
      <c r="BR1526" s="160"/>
      <c r="BS1526" s="160"/>
      <c r="BT1526" s="160"/>
      <c r="BU1526" s="160"/>
      <c r="BV1526" s="160"/>
      <c r="BW1526" s="160"/>
      <c r="BX1526" s="160"/>
      <c r="BY1526" s="160"/>
      <c r="BZ1526" s="160"/>
      <c r="CA1526" s="160"/>
      <c r="CB1526" s="160"/>
      <c r="CC1526" s="160"/>
      <c r="CD1526" s="160"/>
      <c r="CE1526" s="160"/>
      <c r="CF1526" s="160"/>
      <c r="CG1526" s="160"/>
      <c r="CH1526" s="160"/>
      <c r="CI1526" s="160"/>
      <c r="CJ1526" s="160"/>
      <c r="CK1526" s="160"/>
      <c r="CL1526" s="160"/>
      <c r="CM1526" s="160"/>
      <c r="CN1526" s="160"/>
      <c r="CO1526" s="160"/>
      <c r="CP1526" s="162"/>
      <c r="CQ1526" s="163"/>
      <c r="CR1526" s="162"/>
      <c r="CS1526" s="163"/>
      <c r="CT1526" s="162"/>
      <c r="CU1526" s="163"/>
      <c r="CV1526" s="164">
        <f t="shared" si="197"/>
        <v>0</v>
      </c>
      <c r="CW1526" s="165"/>
      <c r="CX1526" s="166"/>
      <c r="CY1526" s="167"/>
      <c r="CZ1526" s="168"/>
      <c r="DA1526" s="169"/>
      <c r="DB1526" s="168"/>
      <c r="DC1526" s="165"/>
      <c r="DD1526" s="166"/>
      <c r="DE1526" s="71"/>
      <c r="DF1526" s="170"/>
      <c r="EO1526" s="353" t="str">
        <f t="shared" si="199"/>
        <v>CAUCA_LA VEGA</v>
      </c>
      <c r="EP1526" s="350"/>
      <c r="EQ1526" s="350"/>
      <c r="ER1526" s="357"/>
      <c r="ES1526" s="350"/>
      <c r="ET1526" s="350"/>
      <c r="EU1526" s="350"/>
    </row>
    <row r="1527" spans="1:151" s="171" customFormat="1" ht="36" x14ac:dyDescent="0.2">
      <c r="A1527" s="242">
        <v>40487</v>
      </c>
      <c r="B1527" s="222" t="s">
        <v>2242</v>
      </c>
      <c r="C1527" s="222" t="s">
        <v>2243</v>
      </c>
      <c r="D1527" s="430" t="s">
        <v>837</v>
      </c>
      <c r="E1527" s="107" t="str">
        <f>VLOOKUP(B1527&amp;C1527,Divipola!$C$2:$F$1138,4,FALSE)</f>
        <v>20517</v>
      </c>
      <c r="F1527" s="333"/>
      <c r="G1527" s="221"/>
      <c r="H1527" s="157"/>
      <c r="I1527" s="157"/>
      <c r="J1527" s="157"/>
      <c r="K1527" s="157"/>
      <c r="L1527" s="157"/>
      <c r="M1527" s="157"/>
      <c r="N1527" s="157"/>
      <c r="O1527" s="157"/>
      <c r="P1527" s="157"/>
      <c r="Q1527" s="157"/>
      <c r="R1527" s="157"/>
      <c r="S1527" s="157"/>
      <c r="T1527" s="157"/>
      <c r="U1527" s="157"/>
      <c r="V1527" s="158"/>
      <c r="W1527" s="182"/>
      <c r="X1527" s="1"/>
      <c r="Y1527" s="78">
        <f t="shared" si="194"/>
        <v>0</v>
      </c>
      <c r="Z1527" s="78">
        <f t="shared" si="195"/>
        <v>0</v>
      </c>
      <c r="AA1527" s="78">
        <f t="shared" si="200"/>
        <v>0</v>
      </c>
      <c r="AB1527" s="78">
        <f t="shared" si="196"/>
        <v>0</v>
      </c>
      <c r="AC1527" s="78"/>
      <c r="AD1527" s="78">
        <v>0</v>
      </c>
      <c r="AE1527" s="80">
        <f t="shared" si="198"/>
        <v>0</v>
      </c>
      <c r="AF1527" s="82">
        <v>0</v>
      </c>
      <c r="AG1527" s="69">
        <v>40490</v>
      </c>
      <c r="AH1527" s="84"/>
      <c r="AI1527" s="69" t="s">
        <v>1984</v>
      </c>
      <c r="AJ1527" s="25" t="s">
        <v>1985</v>
      </c>
      <c r="AK1527" s="65"/>
      <c r="AL1527" s="176" t="s">
        <v>1257</v>
      </c>
      <c r="AM1527" s="173" t="s">
        <v>3035</v>
      </c>
      <c r="AN1527" s="159"/>
      <c r="AO1527" s="160"/>
      <c r="AP1527" s="161"/>
      <c r="AQ1527" s="160"/>
      <c r="AR1527" s="160"/>
      <c r="AS1527" s="160"/>
      <c r="AT1527" s="160"/>
      <c r="AU1527" s="160"/>
      <c r="AV1527" s="160"/>
      <c r="AW1527" s="160"/>
      <c r="AX1527" s="160"/>
      <c r="AY1527" s="160"/>
      <c r="AZ1527" s="160"/>
      <c r="BA1527" s="160"/>
      <c r="BB1527" s="160"/>
      <c r="BC1527" s="160"/>
      <c r="BD1527" s="160"/>
      <c r="BE1527" s="160"/>
      <c r="BF1527" s="160"/>
      <c r="BG1527" s="160"/>
      <c r="BH1527" s="160"/>
      <c r="BI1527" s="160"/>
      <c r="BJ1527" s="160"/>
      <c r="BK1527" s="160"/>
      <c r="BL1527" s="160"/>
      <c r="BM1527" s="160"/>
      <c r="BN1527" s="160"/>
      <c r="BO1527" s="160"/>
      <c r="BP1527" s="160"/>
      <c r="BQ1527" s="160"/>
      <c r="BR1527" s="160"/>
      <c r="BS1527" s="160"/>
      <c r="BT1527" s="160"/>
      <c r="BU1527" s="160"/>
      <c r="BV1527" s="160"/>
      <c r="BW1527" s="160"/>
      <c r="BX1527" s="160"/>
      <c r="BY1527" s="160"/>
      <c r="BZ1527" s="160"/>
      <c r="CA1527" s="160"/>
      <c r="CB1527" s="160"/>
      <c r="CC1527" s="160"/>
      <c r="CD1527" s="160"/>
      <c r="CE1527" s="160"/>
      <c r="CF1527" s="160"/>
      <c r="CG1527" s="160"/>
      <c r="CH1527" s="160"/>
      <c r="CI1527" s="160"/>
      <c r="CJ1527" s="160"/>
      <c r="CK1527" s="160"/>
      <c r="CL1527" s="160"/>
      <c r="CM1527" s="160"/>
      <c r="CN1527" s="160"/>
      <c r="CO1527" s="160"/>
      <c r="CP1527" s="162"/>
      <c r="CQ1527" s="163"/>
      <c r="CR1527" s="162"/>
      <c r="CS1527" s="163"/>
      <c r="CT1527" s="162"/>
      <c r="CU1527" s="163"/>
      <c r="CV1527" s="164">
        <f t="shared" si="197"/>
        <v>0</v>
      </c>
      <c r="CW1527" s="165"/>
      <c r="CX1527" s="166"/>
      <c r="CY1527" s="167"/>
      <c r="CZ1527" s="168"/>
      <c r="DA1527" s="169"/>
      <c r="DB1527" s="168"/>
      <c r="DC1527" s="165"/>
      <c r="DD1527" s="166"/>
      <c r="DE1527" s="71"/>
      <c r="DF1527" s="170"/>
      <c r="EO1527" s="353" t="str">
        <f t="shared" si="199"/>
        <v>CESAR_PAILITAS</v>
      </c>
      <c r="EP1527" s="350"/>
      <c r="EQ1527" s="350"/>
      <c r="ER1527" s="357"/>
      <c r="ES1527" s="350"/>
      <c r="ET1527" s="350"/>
      <c r="EU1527" s="350"/>
    </row>
    <row r="1528" spans="1:151" s="171" customFormat="1" ht="25.5" x14ac:dyDescent="0.2">
      <c r="A1528" s="242">
        <v>40487</v>
      </c>
      <c r="B1528" s="222" t="s">
        <v>2242</v>
      </c>
      <c r="C1528" s="222" t="s">
        <v>905</v>
      </c>
      <c r="D1528" s="430" t="s">
        <v>837</v>
      </c>
      <c r="E1528" s="107" t="str">
        <f>VLOOKUP(B1528&amp;C1528,Divipola!$C$2:$F$1138,4,FALSE)</f>
        <v>20750</v>
      </c>
      <c r="F1528" s="333"/>
      <c r="G1528" s="221"/>
      <c r="H1528" s="157"/>
      <c r="I1528" s="157"/>
      <c r="J1528" s="157">
        <f>108*5</f>
        <v>540</v>
      </c>
      <c r="K1528" s="157">
        <v>108</v>
      </c>
      <c r="L1528" s="157"/>
      <c r="M1528" s="157">
        <v>73</v>
      </c>
      <c r="N1528" s="157"/>
      <c r="O1528" s="157"/>
      <c r="P1528" s="157"/>
      <c r="Q1528" s="157"/>
      <c r="R1528" s="157"/>
      <c r="S1528" s="157"/>
      <c r="T1528" s="157"/>
      <c r="U1528" s="157"/>
      <c r="V1528" s="158"/>
      <c r="W1528" s="182"/>
      <c r="X1528" s="1"/>
      <c r="Y1528" s="78">
        <f t="shared" si="194"/>
        <v>0</v>
      </c>
      <c r="Z1528" s="78">
        <f t="shared" si="195"/>
        <v>0</v>
      </c>
      <c r="AA1528" s="78">
        <f t="shared" si="200"/>
        <v>0</v>
      </c>
      <c r="AB1528" s="78">
        <f t="shared" si="196"/>
        <v>0</v>
      </c>
      <c r="AC1528" s="78"/>
      <c r="AD1528" s="78">
        <v>0</v>
      </c>
      <c r="AE1528" s="80">
        <f t="shared" si="198"/>
        <v>0</v>
      </c>
      <c r="AF1528" s="82">
        <v>0</v>
      </c>
      <c r="AG1528" s="69">
        <v>40490</v>
      </c>
      <c r="AH1528" s="84"/>
      <c r="AI1528" s="69" t="s">
        <v>1984</v>
      </c>
      <c r="AJ1528" s="25" t="s">
        <v>1985</v>
      </c>
      <c r="AK1528" s="65"/>
      <c r="AL1528" s="176" t="s">
        <v>1257</v>
      </c>
      <c r="AM1528" s="173" t="s">
        <v>3053</v>
      </c>
      <c r="AN1528" s="159"/>
      <c r="AO1528" s="160"/>
      <c r="AP1528" s="161"/>
      <c r="AQ1528" s="160"/>
      <c r="AR1528" s="160"/>
      <c r="AS1528" s="160"/>
      <c r="AT1528" s="160"/>
      <c r="AU1528" s="160"/>
      <c r="AV1528" s="160"/>
      <c r="AW1528" s="160"/>
      <c r="AX1528" s="160"/>
      <c r="AY1528" s="160"/>
      <c r="AZ1528" s="160"/>
      <c r="BA1528" s="160"/>
      <c r="BB1528" s="160"/>
      <c r="BC1528" s="160"/>
      <c r="BD1528" s="160"/>
      <c r="BE1528" s="160"/>
      <c r="BF1528" s="160"/>
      <c r="BG1528" s="160"/>
      <c r="BH1528" s="160"/>
      <c r="BI1528" s="160"/>
      <c r="BJ1528" s="160"/>
      <c r="BK1528" s="160"/>
      <c r="BL1528" s="160"/>
      <c r="BM1528" s="160"/>
      <c r="BN1528" s="160"/>
      <c r="BO1528" s="160"/>
      <c r="BP1528" s="160"/>
      <c r="BQ1528" s="160"/>
      <c r="BR1528" s="160"/>
      <c r="BS1528" s="160"/>
      <c r="BT1528" s="160"/>
      <c r="BU1528" s="160"/>
      <c r="BV1528" s="160"/>
      <c r="BW1528" s="160"/>
      <c r="BX1528" s="160"/>
      <c r="BY1528" s="160"/>
      <c r="BZ1528" s="160"/>
      <c r="CA1528" s="160"/>
      <c r="CB1528" s="160"/>
      <c r="CC1528" s="160"/>
      <c r="CD1528" s="160"/>
      <c r="CE1528" s="160"/>
      <c r="CF1528" s="160"/>
      <c r="CG1528" s="160"/>
      <c r="CH1528" s="160"/>
      <c r="CI1528" s="160"/>
      <c r="CJ1528" s="160"/>
      <c r="CK1528" s="160"/>
      <c r="CL1528" s="160"/>
      <c r="CM1528" s="160"/>
      <c r="CN1528" s="160"/>
      <c r="CO1528" s="160"/>
      <c r="CP1528" s="162"/>
      <c r="CQ1528" s="163"/>
      <c r="CR1528" s="162"/>
      <c r="CS1528" s="163"/>
      <c r="CT1528" s="162"/>
      <c r="CU1528" s="163"/>
      <c r="CV1528" s="164">
        <f t="shared" si="197"/>
        <v>0</v>
      </c>
      <c r="CW1528" s="165"/>
      <c r="CX1528" s="166"/>
      <c r="CY1528" s="167"/>
      <c r="CZ1528" s="168"/>
      <c r="DA1528" s="169"/>
      <c r="DB1528" s="168"/>
      <c r="DC1528" s="165"/>
      <c r="DD1528" s="166"/>
      <c r="DE1528" s="71"/>
      <c r="DF1528" s="170"/>
      <c r="EO1528" s="353" t="str">
        <f t="shared" si="199"/>
        <v>CESAR_SAN DIEGO</v>
      </c>
      <c r="EP1528" s="350"/>
      <c r="EQ1528" s="350"/>
      <c r="ER1528" s="357"/>
      <c r="ES1528" s="350"/>
      <c r="ET1528" s="350"/>
      <c r="EU1528" s="350"/>
    </row>
    <row r="1529" spans="1:151" s="171" customFormat="1" ht="36" x14ac:dyDescent="0.2">
      <c r="A1529" s="242">
        <v>40487</v>
      </c>
      <c r="B1529" s="222" t="s">
        <v>2242</v>
      </c>
      <c r="C1529" s="222" t="s">
        <v>2188</v>
      </c>
      <c r="D1529" s="430" t="s">
        <v>837</v>
      </c>
      <c r="E1529" s="107" t="str">
        <f>VLOOKUP(B1529&amp;C1529,Divipola!$C$2:$F$1138,4,FALSE)</f>
        <v>20770</v>
      </c>
      <c r="F1529" s="333"/>
      <c r="G1529" s="221"/>
      <c r="H1529" s="157"/>
      <c r="I1529" s="157"/>
      <c r="J1529" s="157">
        <f>584*5</f>
        <v>2920</v>
      </c>
      <c r="K1529" s="157">
        <f>602-18</f>
        <v>584</v>
      </c>
      <c r="L1529" s="157"/>
      <c r="M1529" s="157">
        <v>302</v>
      </c>
      <c r="N1529" s="157"/>
      <c r="O1529" s="157"/>
      <c r="P1529" s="157"/>
      <c r="Q1529" s="157"/>
      <c r="R1529" s="157"/>
      <c r="S1529" s="157"/>
      <c r="T1529" s="157"/>
      <c r="U1529" s="157"/>
      <c r="V1529" s="158"/>
      <c r="W1529" s="182"/>
      <c r="X1529" s="1"/>
      <c r="Y1529" s="78">
        <f t="shared" si="194"/>
        <v>0</v>
      </c>
      <c r="Z1529" s="78">
        <f t="shared" si="195"/>
        <v>0</v>
      </c>
      <c r="AA1529" s="78">
        <f t="shared" si="200"/>
        <v>0</v>
      </c>
      <c r="AB1529" s="78">
        <f t="shared" si="196"/>
        <v>0</v>
      </c>
      <c r="AC1529" s="78"/>
      <c r="AD1529" s="78">
        <v>0</v>
      </c>
      <c r="AE1529" s="80">
        <f t="shared" si="198"/>
        <v>0</v>
      </c>
      <c r="AF1529" s="82">
        <v>0</v>
      </c>
      <c r="AG1529" s="69">
        <v>40490</v>
      </c>
      <c r="AH1529" s="84"/>
      <c r="AI1529" s="69" t="s">
        <v>1984</v>
      </c>
      <c r="AJ1529" s="25" t="s">
        <v>1985</v>
      </c>
      <c r="AK1529" s="65"/>
      <c r="AL1529" s="176" t="s">
        <v>1257</v>
      </c>
      <c r="AM1529" s="173" t="s">
        <v>3043</v>
      </c>
      <c r="AN1529" s="159"/>
      <c r="AO1529" s="160"/>
      <c r="AP1529" s="161"/>
      <c r="AQ1529" s="160"/>
      <c r="AR1529" s="160"/>
      <c r="AS1529" s="160"/>
      <c r="AT1529" s="160"/>
      <c r="AU1529" s="160"/>
      <c r="AV1529" s="160"/>
      <c r="AW1529" s="160"/>
      <c r="AX1529" s="160"/>
      <c r="AY1529" s="160"/>
      <c r="AZ1529" s="160"/>
      <c r="BA1529" s="160"/>
      <c r="BB1529" s="160"/>
      <c r="BC1529" s="160"/>
      <c r="BD1529" s="160"/>
      <c r="BE1529" s="160"/>
      <c r="BF1529" s="160"/>
      <c r="BG1529" s="160"/>
      <c r="BH1529" s="160"/>
      <c r="BI1529" s="160"/>
      <c r="BJ1529" s="160"/>
      <c r="BK1529" s="160"/>
      <c r="BL1529" s="160"/>
      <c r="BM1529" s="160"/>
      <c r="BN1529" s="160"/>
      <c r="BO1529" s="160"/>
      <c r="BP1529" s="160"/>
      <c r="BQ1529" s="160"/>
      <c r="BR1529" s="160"/>
      <c r="BS1529" s="160"/>
      <c r="BT1529" s="160"/>
      <c r="BU1529" s="160"/>
      <c r="BV1529" s="160"/>
      <c r="BW1529" s="160"/>
      <c r="BX1529" s="160"/>
      <c r="BY1529" s="160"/>
      <c r="BZ1529" s="160"/>
      <c r="CA1529" s="160"/>
      <c r="CB1529" s="160"/>
      <c r="CC1529" s="160"/>
      <c r="CD1529" s="160"/>
      <c r="CE1529" s="160"/>
      <c r="CF1529" s="160"/>
      <c r="CG1529" s="160"/>
      <c r="CH1529" s="160"/>
      <c r="CI1529" s="160"/>
      <c r="CJ1529" s="160"/>
      <c r="CK1529" s="160"/>
      <c r="CL1529" s="160"/>
      <c r="CM1529" s="160"/>
      <c r="CN1529" s="160"/>
      <c r="CO1529" s="160"/>
      <c r="CP1529" s="162"/>
      <c r="CQ1529" s="163"/>
      <c r="CR1529" s="162"/>
      <c r="CS1529" s="163"/>
      <c r="CT1529" s="162"/>
      <c r="CU1529" s="163"/>
      <c r="CV1529" s="164">
        <f t="shared" si="197"/>
        <v>0</v>
      </c>
      <c r="CW1529" s="165"/>
      <c r="CX1529" s="166"/>
      <c r="CY1529" s="167"/>
      <c r="CZ1529" s="168"/>
      <c r="DA1529" s="169"/>
      <c r="DB1529" s="168"/>
      <c r="DC1529" s="165"/>
      <c r="DD1529" s="166"/>
      <c r="DE1529" s="71"/>
      <c r="DF1529" s="170"/>
      <c r="EO1529" s="353" t="str">
        <f t="shared" si="199"/>
        <v>CESAR_SAN MARTIN</v>
      </c>
      <c r="EP1529" s="350"/>
      <c r="EQ1529" s="350"/>
      <c r="ER1529" s="357"/>
      <c r="ES1529" s="350"/>
      <c r="ET1529" s="350"/>
      <c r="EU1529" s="350"/>
    </row>
    <row r="1530" spans="1:151" s="171" customFormat="1" ht="84" x14ac:dyDescent="0.2">
      <c r="A1530" s="242">
        <v>40487</v>
      </c>
      <c r="B1530" s="222" t="s">
        <v>2007</v>
      </c>
      <c r="C1530" s="222" t="s">
        <v>1100</v>
      </c>
      <c r="D1530" s="430" t="s">
        <v>837</v>
      </c>
      <c r="E1530" s="107" t="str">
        <f>VLOOKUP(B1530&amp;C1530,Divipola!$C$2:$F$1138,4,FALSE)</f>
        <v>25320</v>
      </c>
      <c r="F1530" s="333"/>
      <c r="G1530" s="221"/>
      <c r="H1530" s="157"/>
      <c r="I1530" s="157"/>
      <c r="J1530" s="157">
        <f>921-200-28</f>
        <v>693</v>
      </c>
      <c r="K1530" s="157">
        <f>296-50-6</f>
        <v>240</v>
      </c>
      <c r="L1530" s="157"/>
      <c r="M1530" s="157">
        <f>265-50-6</f>
        <v>209</v>
      </c>
      <c r="N1530" s="157">
        <v>1</v>
      </c>
      <c r="O1530" s="157"/>
      <c r="P1530" s="157"/>
      <c r="Q1530" s="157"/>
      <c r="R1530" s="157"/>
      <c r="S1530" s="157"/>
      <c r="T1530" s="157"/>
      <c r="U1530" s="157"/>
      <c r="V1530" s="158"/>
      <c r="W1530" s="182"/>
      <c r="X1530" s="1"/>
      <c r="Y1530" s="78">
        <f t="shared" si="194"/>
        <v>0</v>
      </c>
      <c r="Z1530" s="78">
        <f t="shared" si="195"/>
        <v>0</v>
      </c>
      <c r="AA1530" s="78">
        <f t="shared" si="200"/>
        <v>0</v>
      </c>
      <c r="AB1530" s="78">
        <f t="shared" si="196"/>
        <v>0</v>
      </c>
      <c r="AC1530" s="78"/>
      <c r="AD1530" s="78">
        <v>0</v>
      </c>
      <c r="AE1530" s="80">
        <f t="shared" si="198"/>
        <v>0</v>
      </c>
      <c r="AF1530" s="82">
        <v>0</v>
      </c>
      <c r="AG1530" s="69">
        <v>40490</v>
      </c>
      <c r="AH1530" s="84"/>
      <c r="AI1530" s="69" t="s">
        <v>1984</v>
      </c>
      <c r="AJ1530" s="25" t="s">
        <v>1985</v>
      </c>
      <c r="AK1530" s="65"/>
      <c r="AL1530" s="176" t="s">
        <v>1257</v>
      </c>
      <c r="AM1530" s="173" t="s">
        <v>2832</v>
      </c>
      <c r="AN1530" s="159"/>
      <c r="AO1530" s="160"/>
      <c r="AP1530" s="161"/>
      <c r="AQ1530" s="160"/>
      <c r="AR1530" s="160"/>
      <c r="AS1530" s="160"/>
      <c r="AT1530" s="160"/>
      <c r="AU1530" s="160"/>
      <c r="AV1530" s="160"/>
      <c r="AW1530" s="160"/>
      <c r="AX1530" s="160"/>
      <c r="AY1530" s="160"/>
      <c r="AZ1530" s="160"/>
      <c r="BA1530" s="160"/>
      <c r="BB1530" s="160"/>
      <c r="BC1530" s="160"/>
      <c r="BD1530" s="160"/>
      <c r="BE1530" s="160"/>
      <c r="BF1530" s="160"/>
      <c r="BG1530" s="160"/>
      <c r="BH1530" s="160"/>
      <c r="BI1530" s="160"/>
      <c r="BJ1530" s="160"/>
      <c r="BK1530" s="160"/>
      <c r="BL1530" s="160"/>
      <c r="BM1530" s="160"/>
      <c r="BN1530" s="160"/>
      <c r="BO1530" s="160"/>
      <c r="BP1530" s="160"/>
      <c r="BQ1530" s="160"/>
      <c r="BR1530" s="160"/>
      <c r="BS1530" s="160"/>
      <c r="BT1530" s="160"/>
      <c r="BU1530" s="160"/>
      <c r="BV1530" s="160"/>
      <c r="BW1530" s="160"/>
      <c r="BX1530" s="160"/>
      <c r="BY1530" s="160"/>
      <c r="BZ1530" s="160"/>
      <c r="CA1530" s="160"/>
      <c r="CB1530" s="160"/>
      <c r="CC1530" s="160"/>
      <c r="CD1530" s="160"/>
      <c r="CE1530" s="160"/>
      <c r="CF1530" s="160"/>
      <c r="CG1530" s="160"/>
      <c r="CH1530" s="160"/>
      <c r="CI1530" s="160"/>
      <c r="CJ1530" s="160"/>
      <c r="CK1530" s="160"/>
      <c r="CL1530" s="160"/>
      <c r="CM1530" s="160"/>
      <c r="CN1530" s="160"/>
      <c r="CO1530" s="160"/>
      <c r="CP1530" s="162"/>
      <c r="CQ1530" s="163"/>
      <c r="CR1530" s="162"/>
      <c r="CS1530" s="163"/>
      <c r="CT1530" s="162"/>
      <c r="CU1530" s="163"/>
      <c r="CV1530" s="164">
        <f t="shared" si="197"/>
        <v>0</v>
      </c>
      <c r="CW1530" s="165"/>
      <c r="CX1530" s="166"/>
      <c r="CY1530" s="167"/>
      <c r="CZ1530" s="168"/>
      <c r="DA1530" s="169"/>
      <c r="DB1530" s="168"/>
      <c r="DC1530" s="165"/>
      <c r="DD1530" s="166"/>
      <c r="DE1530" s="71"/>
      <c r="DF1530" s="170"/>
      <c r="EO1530" s="353" t="str">
        <f t="shared" si="199"/>
        <v>CUNDINAMARCA_GUADUAS</v>
      </c>
      <c r="EP1530" s="350"/>
      <c r="EQ1530" s="350"/>
      <c r="ER1530" s="357"/>
      <c r="ES1530" s="350"/>
      <c r="ET1530" s="350"/>
      <c r="EU1530" s="350"/>
    </row>
    <row r="1531" spans="1:151" s="171" customFormat="1" ht="38.25" x14ac:dyDescent="0.2">
      <c r="A1531" s="242">
        <v>40487</v>
      </c>
      <c r="B1531" s="222" t="s">
        <v>2007</v>
      </c>
      <c r="C1531" s="222" t="s">
        <v>2608</v>
      </c>
      <c r="D1531" s="430" t="s">
        <v>837</v>
      </c>
      <c r="E1531" s="107" t="str">
        <f>VLOOKUP(B1531&amp;C1531,Divipola!$C$2:$F$1138,4,FALSE)</f>
        <v>25817</v>
      </c>
      <c r="F1531" s="333"/>
      <c r="G1531" s="221"/>
      <c r="H1531" s="157"/>
      <c r="I1531" s="157"/>
      <c r="J1531" s="157">
        <v>9</v>
      </c>
      <c r="K1531" s="157">
        <v>3</v>
      </c>
      <c r="L1531" s="157"/>
      <c r="M1531" s="157">
        <v>3</v>
      </c>
      <c r="N1531" s="157"/>
      <c r="O1531" s="157"/>
      <c r="P1531" s="157"/>
      <c r="Q1531" s="157"/>
      <c r="R1531" s="157"/>
      <c r="S1531" s="157"/>
      <c r="T1531" s="157"/>
      <c r="U1531" s="157"/>
      <c r="V1531" s="158"/>
      <c r="W1531" s="182"/>
      <c r="X1531" s="1"/>
      <c r="Y1531" s="78">
        <f t="shared" si="194"/>
        <v>0</v>
      </c>
      <c r="Z1531" s="78">
        <f t="shared" si="195"/>
        <v>0</v>
      </c>
      <c r="AA1531" s="78">
        <f t="shared" si="200"/>
        <v>0</v>
      </c>
      <c r="AB1531" s="78">
        <f t="shared" si="196"/>
        <v>0</v>
      </c>
      <c r="AC1531" s="78"/>
      <c r="AD1531" s="78">
        <v>0</v>
      </c>
      <c r="AE1531" s="80">
        <f t="shared" si="198"/>
        <v>0</v>
      </c>
      <c r="AF1531" s="82">
        <v>0</v>
      </c>
      <c r="AG1531" s="69">
        <v>40483</v>
      </c>
      <c r="AH1531" s="84"/>
      <c r="AI1531" s="69" t="s">
        <v>1984</v>
      </c>
      <c r="AJ1531" s="25" t="s">
        <v>1985</v>
      </c>
      <c r="AK1531" s="65"/>
      <c r="AL1531" s="176" t="s">
        <v>1257</v>
      </c>
      <c r="AM1531" s="173" t="s">
        <v>2841</v>
      </c>
      <c r="AN1531" s="159"/>
      <c r="AO1531" s="160"/>
      <c r="AP1531" s="161"/>
      <c r="AQ1531" s="160"/>
      <c r="AR1531" s="160"/>
      <c r="AS1531" s="160"/>
      <c r="AT1531" s="160"/>
      <c r="AU1531" s="160"/>
      <c r="AV1531" s="160"/>
      <c r="AW1531" s="160"/>
      <c r="AX1531" s="160"/>
      <c r="AY1531" s="160"/>
      <c r="AZ1531" s="160"/>
      <c r="BA1531" s="160"/>
      <c r="BB1531" s="160"/>
      <c r="BC1531" s="160"/>
      <c r="BD1531" s="160"/>
      <c r="BE1531" s="160"/>
      <c r="BF1531" s="160"/>
      <c r="BG1531" s="160"/>
      <c r="BH1531" s="160"/>
      <c r="BI1531" s="160"/>
      <c r="BJ1531" s="160"/>
      <c r="BK1531" s="160"/>
      <c r="BL1531" s="160"/>
      <c r="BM1531" s="160"/>
      <c r="BN1531" s="160"/>
      <c r="BO1531" s="160"/>
      <c r="BP1531" s="160"/>
      <c r="BQ1531" s="160"/>
      <c r="BR1531" s="160"/>
      <c r="BS1531" s="160"/>
      <c r="BT1531" s="160"/>
      <c r="BU1531" s="160"/>
      <c r="BV1531" s="160"/>
      <c r="BW1531" s="160"/>
      <c r="BX1531" s="160"/>
      <c r="BY1531" s="160"/>
      <c r="BZ1531" s="160"/>
      <c r="CA1531" s="160"/>
      <c r="CB1531" s="160"/>
      <c r="CC1531" s="160"/>
      <c r="CD1531" s="160"/>
      <c r="CE1531" s="160"/>
      <c r="CF1531" s="160"/>
      <c r="CG1531" s="160"/>
      <c r="CH1531" s="160"/>
      <c r="CI1531" s="160"/>
      <c r="CJ1531" s="160"/>
      <c r="CK1531" s="160"/>
      <c r="CL1531" s="160"/>
      <c r="CM1531" s="160"/>
      <c r="CN1531" s="160"/>
      <c r="CO1531" s="160"/>
      <c r="CP1531" s="162"/>
      <c r="CQ1531" s="163"/>
      <c r="CR1531" s="162"/>
      <c r="CS1531" s="163"/>
      <c r="CT1531" s="162"/>
      <c r="CU1531" s="163"/>
      <c r="CV1531" s="164">
        <f t="shared" si="197"/>
        <v>0</v>
      </c>
      <c r="CW1531" s="165"/>
      <c r="CX1531" s="166"/>
      <c r="CY1531" s="167"/>
      <c r="CZ1531" s="168"/>
      <c r="DA1531" s="169"/>
      <c r="DB1531" s="168"/>
      <c r="DC1531" s="165"/>
      <c r="DD1531" s="166"/>
      <c r="DE1531" s="71"/>
      <c r="DF1531" s="170"/>
      <c r="EO1531" s="353" t="str">
        <f t="shared" si="199"/>
        <v>CUNDINAMARCA_TOCANCIPA</v>
      </c>
      <c r="EP1531" s="350"/>
      <c r="EQ1531" s="350"/>
      <c r="ER1531" s="357"/>
      <c r="ES1531" s="350"/>
      <c r="ET1531" s="350"/>
      <c r="EU1531" s="350"/>
    </row>
    <row r="1532" spans="1:151" s="171" customFormat="1" ht="38.25" x14ac:dyDescent="0.2">
      <c r="A1532" s="242">
        <v>40487</v>
      </c>
      <c r="B1532" s="222" t="s">
        <v>2007</v>
      </c>
      <c r="C1532" s="222" t="s">
        <v>1329</v>
      </c>
      <c r="D1532" s="430" t="s">
        <v>837</v>
      </c>
      <c r="E1532" s="107" t="str">
        <f>VLOOKUP(B1532&amp;C1532,Divipola!$C$2:$F$1138,4,FALSE)</f>
        <v>25885</v>
      </c>
      <c r="F1532" s="333"/>
      <c r="G1532" s="221"/>
      <c r="H1532" s="157"/>
      <c r="I1532" s="157"/>
      <c r="J1532" s="157">
        <v>442</v>
      </c>
      <c r="K1532" s="157">
        <v>126</v>
      </c>
      <c r="L1532" s="157"/>
      <c r="M1532" s="157"/>
      <c r="N1532" s="157"/>
      <c r="O1532" s="157"/>
      <c r="P1532" s="157"/>
      <c r="Q1532" s="157"/>
      <c r="R1532" s="157"/>
      <c r="S1532" s="157"/>
      <c r="T1532" s="157"/>
      <c r="U1532" s="157"/>
      <c r="V1532" s="158"/>
      <c r="W1532" s="182"/>
      <c r="X1532" s="1"/>
      <c r="Y1532" s="78">
        <f t="shared" si="194"/>
        <v>0</v>
      </c>
      <c r="Z1532" s="78">
        <f t="shared" si="195"/>
        <v>0</v>
      </c>
      <c r="AA1532" s="78">
        <f t="shared" si="200"/>
        <v>0</v>
      </c>
      <c r="AB1532" s="78">
        <f t="shared" si="196"/>
        <v>0</v>
      </c>
      <c r="AC1532" s="78"/>
      <c r="AD1532" s="78">
        <v>0</v>
      </c>
      <c r="AE1532" s="80">
        <f t="shared" si="198"/>
        <v>0</v>
      </c>
      <c r="AF1532" s="82">
        <v>0</v>
      </c>
      <c r="AG1532" s="69">
        <v>40612</v>
      </c>
      <c r="AH1532" s="84"/>
      <c r="AI1532" s="69" t="s">
        <v>1984</v>
      </c>
      <c r="AJ1532" s="25" t="s">
        <v>1985</v>
      </c>
      <c r="AK1532" s="65"/>
      <c r="AL1532" s="176" t="s">
        <v>1257</v>
      </c>
      <c r="AM1532" s="173" t="s">
        <v>457</v>
      </c>
      <c r="AN1532" s="159"/>
      <c r="AO1532" s="160"/>
      <c r="AP1532" s="161"/>
      <c r="AQ1532" s="160"/>
      <c r="AR1532" s="160"/>
      <c r="AS1532" s="160"/>
      <c r="AT1532" s="160"/>
      <c r="AU1532" s="160"/>
      <c r="AV1532" s="160"/>
      <c r="AW1532" s="160"/>
      <c r="AX1532" s="160"/>
      <c r="AY1532" s="160"/>
      <c r="AZ1532" s="160"/>
      <c r="BA1532" s="160"/>
      <c r="BB1532" s="160"/>
      <c r="BC1532" s="160"/>
      <c r="BD1532" s="160"/>
      <c r="BE1532" s="160"/>
      <c r="BF1532" s="160"/>
      <c r="BG1532" s="160"/>
      <c r="BH1532" s="160"/>
      <c r="BI1532" s="160"/>
      <c r="BJ1532" s="160"/>
      <c r="BK1532" s="160"/>
      <c r="BL1532" s="160"/>
      <c r="BM1532" s="160"/>
      <c r="BN1532" s="160"/>
      <c r="BO1532" s="160"/>
      <c r="BP1532" s="160"/>
      <c r="BQ1532" s="160"/>
      <c r="BR1532" s="160"/>
      <c r="BS1532" s="160"/>
      <c r="BT1532" s="160"/>
      <c r="BU1532" s="160"/>
      <c r="BV1532" s="160"/>
      <c r="BW1532" s="160"/>
      <c r="BX1532" s="160"/>
      <c r="BY1532" s="160"/>
      <c r="BZ1532" s="160"/>
      <c r="CA1532" s="160"/>
      <c r="CB1532" s="160"/>
      <c r="CC1532" s="160"/>
      <c r="CD1532" s="160"/>
      <c r="CE1532" s="160"/>
      <c r="CF1532" s="160"/>
      <c r="CG1532" s="160"/>
      <c r="CH1532" s="160"/>
      <c r="CI1532" s="160"/>
      <c r="CJ1532" s="160"/>
      <c r="CK1532" s="160"/>
      <c r="CL1532" s="160"/>
      <c r="CM1532" s="160"/>
      <c r="CN1532" s="160"/>
      <c r="CO1532" s="160"/>
      <c r="CP1532" s="162"/>
      <c r="CQ1532" s="163"/>
      <c r="CR1532" s="162"/>
      <c r="CS1532" s="163"/>
      <c r="CT1532" s="162"/>
      <c r="CU1532" s="163"/>
      <c r="CV1532" s="164">
        <f t="shared" si="197"/>
        <v>0</v>
      </c>
      <c r="CW1532" s="165"/>
      <c r="CX1532" s="166"/>
      <c r="CY1532" s="167"/>
      <c r="CZ1532" s="168"/>
      <c r="DA1532" s="169"/>
      <c r="DB1532" s="168"/>
      <c r="DC1532" s="165"/>
      <c r="DD1532" s="166"/>
      <c r="DE1532" s="71"/>
      <c r="DF1532" s="170"/>
      <c r="EO1532" s="353" t="str">
        <f t="shared" si="199"/>
        <v>CUNDINAMARCA_YACOPI</v>
      </c>
      <c r="EP1532" s="350"/>
      <c r="EQ1532" s="350"/>
      <c r="ER1532" s="357"/>
      <c r="ES1532" s="350"/>
      <c r="ET1532" s="350"/>
      <c r="EU1532" s="350"/>
    </row>
    <row r="1533" spans="1:151" s="171" customFormat="1" ht="25.5" x14ac:dyDescent="0.2">
      <c r="A1533" s="242">
        <v>40487</v>
      </c>
      <c r="B1533" s="222" t="s">
        <v>1333</v>
      </c>
      <c r="C1533" s="222" t="s">
        <v>3037</v>
      </c>
      <c r="D1533" s="427" t="s">
        <v>2307</v>
      </c>
      <c r="E1533" s="107" t="str">
        <f>VLOOKUP(B1533&amp;C1533,Divipola!$C$2:$F$1138,4,FALSE)</f>
        <v>41349</v>
      </c>
      <c r="F1533" s="330"/>
      <c r="G1533" s="221"/>
      <c r="H1533" s="157"/>
      <c r="I1533" s="157"/>
      <c r="J1533" s="157">
        <v>175</v>
      </c>
      <c r="K1533" s="157">
        <v>35</v>
      </c>
      <c r="L1533" s="157"/>
      <c r="M1533" s="157"/>
      <c r="N1533" s="157"/>
      <c r="O1533" s="157"/>
      <c r="P1533" s="157"/>
      <c r="Q1533" s="157"/>
      <c r="R1533" s="157"/>
      <c r="S1533" s="157"/>
      <c r="T1533" s="157"/>
      <c r="U1533" s="157"/>
      <c r="V1533" s="158"/>
      <c r="W1533" s="182"/>
      <c r="X1533" s="1"/>
      <c r="Y1533" s="78">
        <f t="shared" si="194"/>
        <v>0</v>
      </c>
      <c r="Z1533" s="78">
        <f t="shared" si="195"/>
        <v>0</v>
      </c>
      <c r="AA1533" s="78">
        <f t="shared" si="200"/>
        <v>0</v>
      </c>
      <c r="AB1533" s="78">
        <f t="shared" si="196"/>
        <v>0</v>
      </c>
      <c r="AC1533" s="78"/>
      <c r="AD1533" s="78">
        <v>0</v>
      </c>
      <c r="AE1533" s="80">
        <f t="shared" si="198"/>
        <v>0</v>
      </c>
      <c r="AF1533" s="82">
        <v>0</v>
      </c>
      <c r="AG1533" s="69">
        <v>40490</v>
      </c>
      <c r="AH1533" s="84"/>
      <c r="AI1533" s="69" t="s">
        <v>1984</v>
      </c>
      <c r="AJ1533" s="25" t="s">
        <v>1985</v>
      </c>
      <c r="AK1533" s="65"/>
      <c r="AL1533" s="176" t="s">
        <v>1257</v>
      </c>
      <c r="AM1533" s="173" t="s">
        <v>3038</v>
      </c>
      <c r="AN1533" s="159"/>
      <c r="AO1533" s="160"/>
      <c r="AP1533" s="161"/>
      <c r="AQ1533" s="160"/>
      <c r="AR1533" s="160"/>
      <c r="AS1533" s="160"/>
      <c r="AT1533" s="160"/>
      <c r="AU1533" s="160"/>
      <c r="AV1533" s="160"/>
      <c r="AW1533" s="160"/>
      <c r="AX1533" s="160"/>
      <c r="AY1533" s="160"/>
      <c r="AZ1533" s="160"/>
      <c r="BA1533" s="160"/>
      <c r="BB1533" s="160"/>
      <c r="BC1533" s="160"/>
      <c r="BD1533" s="160"/>
      <c r="BE1533" s="160"/>
      <c r="BF1533" s="160"/>
      <c r="BG1533" s="160"/>
      <c r="BH1533" s="160"/>
      <c r="BI1533" s="160"/>
      <c r="BJ1533" s="160"/>
      <c r="BK1533" s="160"/>
      <c r="BL1533" s="160"/>
      <c r="BM1533" s="160"/>
      <c r="BN1533" s="160"/>
      <c r="BO1533" s="160"/>
      <c r="BP1533" s="160"/>
      <c r="BQ1533" s="160"/>
      <c r="BR1533" s="160"/>
      <c r="BS1533" s="160"/>
      <c r="BT1533" s="160"/>
      <c r="BU1533" s="160"/>
      <c r="BV1533" s="160"/>
      <c r="BW1533" s="160"/>
      <c r="BX1533" s="160"/>
      <c r="BY1533" s="160"/>
      <c r="BZ1533" s="160"/>
      <c r="CA1533" s="160"/>
      <c r="CB1533" s="160"/>
      <c r="CC1533" s="160"/>
      <c r="CD1533" s="160"/>
      <c r="CE1533" s="160"/>
      <c r="CF1533" s="160"/>
      <c r="CG1533" s="160"/>
      <c r="CH1533" s="160"/>
      <c r="CI1533" s="160"/>
      <c r="CJ1533" s="160"/>
      <c r="CK1533" s="160"/>
      <c r="CL1533" s="160"/>
      <c r="CM1533" s="160"/>
      <c r="CN1533" s="160"/>
      <c r="CO1533" s="160"/>
      <c r="CP1533" s="162"/>
      <c r="CQ1533" s="163"/>
      <c r="CR1533" s="162"/>
      <c r="CS1533" s="163"/>
      <c r="CT1533" s="162"/>
      <c r="CU1533" s="163"/>
      <c r="CV1533" s="164">
        <f t="shared" si="197"/>
        <v>0</v>
      </c>
      <c r="CW1533" s="165"/>
      <c r="CX1533" s="166"/>
      <c r="CY1533" s="167"/>
      <c r="CZ1533" s="168"/>
      <c r="DA1533" s="169"/>
      <c r="DB1533" s="168"/>
      <c r="DC1533" s="165"/>
      <c r="DD1533" s="166"/>
      <c r="DE1533" s="71"/>
      <c r="DF1533" s="170"/>
      <c r="EO1533" s="353" t="str">
        <f t="shared" si="199"/>
        <v>HUILA_HOBO</v>
      </c>
      <c r="EP1533" s="350"/>
      <c r="EQ1533" s="350"/>
      <c r="ER1533" s="357"/>
      <c r="ES1533" s="350"/>
      <c r="ET1533" s="350"/>
      <c r="EU1533" s="350"/>
    </row>
    <row r="1534" spans="1:151" s="171" customFormat="1" ht="72" x14ac:dyDescent="0.2">
      <c r="A1534" s="242">
        <v>40487</v>
      </c>
      <c r="B1534" s="107" t="s">
        <v>2012</v>
      </c>
      <c r="C1534" s="222" t="s">
        <v>1103</v>
      </c>
      <c r="D1534" s="427" t="s">
        <v>2307</v>
      </c>
      <c r="E1534" s="107" t="str">
        <f>VLOOKUP(B1534&amp;C1534,Divipola!$C$2:$F$1138,4,FALSE)</f>
        <v>66075</v>
      </c>
      <c r="F1534" s="330"/>
      <c r="G1534" s="221"/>
      <c r="H1534" s="157"/>
      <c r="I1534" s="157"/>
      <c r="J1534" s="157"/>
      <c r="K1534" s="157"/>
      <c r="L1534" s="157"/>
      <c r="M1534" s="157"/>
      <c r="N1534" s="157">
        <v>2</v>
      </c>
      <c r="O1534" s="157">
        <v>2</v>
      </c>
      <c r="P1534" s="157"/>
      <c r="Q1534" s="157">
        <v>2</v>
      </c>
      <c r="R1534" s="157"/>
      <c r="S1534" s="157">
        <v>1</v>
      </c>
      <c r="T1534" s="157">
        <v>2</v>
      </c>
      <c r="U1534" s="157"/>
      <c r="V1534" s="158"/>
      <c r="W1534" s="182"/>
      <c r="X1534" s="1"/>
      <c r="Y1534" s="78">
        <f t="shared" si="194"/>
        <v>0</v>
      </c>
      <c r="Z1534" s="78">
        <f t="shared" si="195"/>
        <v>0</v>
      </c>
      <c r="AA1534" s="78">
        <f t="shared" si="200"/>
        <v>0</v>
      </c>
      <c r="AB1534" s="78">
        <f t="shared" si="196"/>
        <v>0</v>
      </c>
      <c r="AC1534" s="78">
        <f>8*371200+2*730800</f>
        <v>4431200</v>
      </c>
      <c r="AD1534" s="78">
        <v>0</v>
      </c>
      <c r="AE1534" s="80">
        <f t="shared" si="198"/>
        <v>4431200</v>
      </c>
      <c r="AF1534" s="82">
        <v>0</v>
      </c>
      <c r="AG1534" s="69">
        <v>40490</v>
      </c>
      <c r="AH1534" s="84"/>
      <c r="AI1534" s="69" t="s">
        <v>2009</v>
      </c>
      <c r="AJ1534" s="25" t="s">
        <v>2010</v>
      </c>
      <c r="AK1534" s="65"/>
      <c r="AL1534" s="185" t="s">
        <v>2182</v>
      </c>
      <c r="AM1534" s="173" t="s">
        <v>312</v>
      </c>
      <c r="AN1534" s="159"/>
      <c r="AO1534" s="160"/>
      <c r="AP1534" s="161"/>
      <c r="AQ1534" s="160"/>
      <c r="AR1534" s="160"/>
      <c r="AS1534" s="160"/>
      <c r="AT1534" s="160"/>
      <c r="AU1534" s="160"/>
      <c r="AV1534" s="160"/>
      <c r="AW1534" s="160"/>
      <c r="AX1534" s="160"/>
      <c r="AY1534" s="160"/>
      <c r="AZ1534" s="160"/>
      <c r="BA1534" s="160"/>
      <c r="BB1534" s="160"/>
      <c r="BC1534" s="160"/>
      <c r="BD1534" s="160"/>
      <c r="BE1534" s="160"/>
      <c r="BF1534" s="160"/>
      <c r="BG1534" s="160"/>
      <c r="BH1534" s="160"/>
      <c r="BI1534" s="160"/>
      <c r="BJ1534" s="160"/>
      <c r="BK1534" s="160"/>
      <c r="BL1534" s="160"/>
      <c r="BM1534" s="160"/>
      <c r="BN1534" s="160"/>
      <c r="BO1534" s="160"/>
      <c r="BP1534" s="160"/>
      <c r="BQ1534" s="160"/>
      <c r="BR1534" s="160"/>
      <c r="BS1534" s="160"/>
      <c r="BT1534" s="160"/>
      <c r="BU1534" s="160"/>
      <c r="BV1534" s="160"/>
      <c r="BW1534" s="160"/>
      <c r="BX1534" s="160"/>
      <c r="BY1534" s="160"/>
      <c r="BZ1534" s="160"/>
      <c r="CA1534" s="160"/>
      <c r="CB1534" s="160"/>
      <c r="CC1534" s="160"/>
      <c r="CD1534" s="160"/>
      <c r="CE1534" s="160"/>
      <c r="CF1534" s="160"/>
      <c r="CG1534" s="160"/>
      <c r="CH1534" s="160"/>
      <c r="CI1534" s="160"/>
      <c r="CJ1534" s="160"/>
      <c r="CK1534" s="160"/>
      <c r="CL1534" s="160"/>
      <c r="CM1534" s="160"/>
      <c r="CN1534" s="160"/>
      <c r="CO1534" s="160"/>
      <c r="CP1534" s="162"/>
      <c r="CQ1534" s="163"/>
      <c r="CR1534" s="162"/>
      <c r="CS1534" s="163"/>
      <c r="CT1534" s="162"/>
      <c r="CU1534" s="163"/>
      <c r="CV1534" s="164">
        <f t="shared" si="197"/>
        <v>0</v>
      </c>
      <c r="CW1534" s="165"/>
      <c r="CX1534" s="166"/>
      <c r="CY1534" s="167"/>
      <c r="CZ1534" s="168"/>
      <c r="DA1534" s="169"/>
      <c r="DB1534" s="168"/>
      <c r="DC1534" s="165"/>
      <c r="DD1534" s="166"/>
      <c r="DE1534" s="71"/>
      <c r="DF1534" s="170"/>
      <c r="EO1534" s="353" t="str">
        <f t="shared" si="199"/>
        <v>RISARALDA_BALBOA</v>
      </c>
      <c r="EP1534" s="350"/>
      <c r="EQ1534" s="350"/>
      <c r="ER1534" s="357"/>
      <c r="ES1534" s="350"/>
      <c r="ET1534" s="350"/>
      <c r="EU1534" s="350"/>
    </row>
    <row r="1535" spans="1:151" s="171" customFormat="1" ht="51" x14ac:dyDescent="0.2">
      <c r="A1535" s="242">
        <v>40487</v>
      </c>
      <c r="B1535" s="107" t="s">
        <v>2012</v>
      </c>
      <c r="C1535" s="222" t="s">
        <v>2118</v>
      </c>
      <c r="D1535" s="430" t="s">
        <v>2209</v>
      </c>
      <c r="E1535" s="107" t="str">
        <f>VLOOKUP(B1535&amp;C1535,Divipola!$C$2:$F$1138,4,FALSE)</f>
        <v>66682</v>
      </c>
      <c r="F1535" s="333"/>
      <c r="G1535" s="221"/>
      <c r="H1535" s="157"/>
      <c r="I1535" s="157"/>
      <c r="J1535" s="157">
        <v>15</v>
      </c>
      <c r="K1535" s="157">
        <v>3</v>
      </c>
      <c r="L1535" s="157">
        <v>3</v>
      </c>
      <c r="M1535" s="157"/>
      <c r="N1535" s="157"/>
      <c r="O1535" s="157"/>
      <c r="P1535" s="157"/>
      <c r="Q1535" s="157"/>
      <c r="R1535" s="157"/>
      <c r="S1535" s="157"/>
      <c r="T1535" s="157"/>
      <c r="U1535" s="157"/>
      <c r="V1535" s="158"/>
      <c r="W1535" s="182"/>
      <c r="X1535" s="1"/>
      <c r="Y1535" s="78">
        <f t="shared" si="194"/>
        <v>0</v>
      </c>
      <c r="Z1535" s="78">
        <f t="shared" si="195"/>
        <v>0</v>
      </c>
      <c r="AA1535" s="78">
        <f t="shared" si="200"/>
        <v>0</v>
      </c>
      <c r="AB1535" s="78">
        <f t="shared" si="196"/>
        <v>0</v>
      </c>
      <c r="AC1535" s="78"/>
      <c r="AD1535" s="78">
        <v>0</v>
      </c>
      <c r="AE1535" s="80">
        <f t="shared" si="198"/>
        <v>0</v>
      </c>
      <c r="AF1535" s="82">
        <v>0</v>
      </c>
      <c r="AG1535" s="69">
        <v>40490</v>
      </c>
      <c r="AH1535" s="84"/>
      <c r="AI1535" s="69" t="s">
        <v>1984</v>
      </c>
      <c r="AJ1535" s="25" t="s">
        <v>1985</v>
      </c>
      <c r="AK1535" s="65"/>
      <c r="AL1535" s="176" t="s">
        <v>1257</v>
      </c>
      <c r="AM1535" s="173" t="s">
        <v>3039</v>
      </c>
      <c r="AN1535" s="159"/>
      <c r="AO1535" s="160"/>
      <c r="AP1535" s="161"/>
      <c r="AQ1535" s="160"/>
      <c r="AR1535" s="160"/>
      <c r="AS1535" s="160"/>
      <c r="AT1535" s="160"/>
      <c r="AU1535" s="160"/>
      <c r="AV1535" s="160"/>
      <c r="AW1535" s="160"/>
      <c r="AX1535" s="160"/>
      <c r="AY1535" s="160"/>
      <c r="AZ1535" s="160"/>
      <c r="BA1535" s="160"/>
      <c r="BB1535" s="160"/>
      <c r="BC1535" s="160"/>
      <c r="BD1535" s="160"/>
      <c r="BE1535" s="160"/>
      <c r="BF1535" s="160"/>
      <c r="BG1535" s="160"/>
      <c r="BH1535" s="160"/>
      <c r="BI1535" s="160"/>
      <c r="BJ1535" s="160"/>
      <c r="BK1535" s="160"/>
      <c r="BL1535" s="160"/>
      <c r="BM1535" s="160"/>
      <c r="BN1535" s="160"/>
      <c r="BO1535" s="160"/>
      <c r="BP1535" s="160"/>
      <c r="BQ1535" s="160"/>
      <c r="BR1535" s="160"/>
      <c r="BS1535" s="160"/>
      <c r="BT1535" s="160"/>
      <c r="BU1535" s="160"/>
      <c r="BV1535" s="160"/>
      <c r="BW1535" s="160"/>
      <c r="BX1535" s="160"/>
      <c r="BY1535" s="160"/>
      <c r="BZ1535" s="160"/>
      <c r="CA1535" s="160"/>
      <c r="CB1535" s="160"/>
      <c r="CC1535" s="160"/>
      <c r="CD1535" s="160"/>
      <c r="CE1535" s="160"/>
      <c r="CF1535" s="160"/>
      <c r="CG1535" s="160"/>
      <c r="CH1535" s="160"/>
      <c r="CI1535" s="160"/>
      <c r="CJ1535" s="160"/>
      <c r="CK1535" s="160"/>
      <c r="CL1535" s="160"/>
      <c r="CM1535" s="160"/>
      <c r="CN1535" s="160"/>
      <c r="CO1535" s="160"/>
      <c r="CP1535" s="162"/>
      <c r="CQ1535" s="163"/>
      <c r="CR1535" s="162"/>
      <c r="CS1535" s="163"/>
      <c r="CT1535" s="162"/>
      <c r="CU1535" s="163"/>
      <c r="CV1535" s="164">
        <f t="shared" si="197"/>
        <v>0</v>
      </c>
      <c r="CW1535" s="165"/>
      <c r="CX1535" s="166"/>
      <c r="CY1535" s="167"/>
      <c r="CZ1535" s="168"/>
      <c r="DA1535" s="169"/>
      <c r="DB1535" s="168"/>
      <c r="DC1535" s="165"/>
      <c r="DD1535" s="166"/>
      <c r="DE1535" s="71"/>
      <c r="DF1535" s="170"/>
      <c r="EO1535" s="353" t="str">
        <f t="shared" si="199"/>
        <v>RISARALDA_SANTA ROSA DE CABAL</v>
      </c>
      <c r="EP1535" s="350"/>
      <c r="EQ1535" s="350"/>
      <c r="ER1535" s="357"/>
      <c r="ES1535" s="350"/>
      <c r="ET1535" s="350"/>
      <c r="EU1535" s="350"/>
    </row>
    <row r="1536" spans="1:151" s="171" customFormat="1" ht="108" x14ac:dyDescent="0.2">
      <c r="A1536" s="242">
        <v>40488</v>
      </c>
      <c r="B1536" s="222" t="s">
        <v>1719</v>
      </c>
      <c r="C1536" s="222" t="s">
        <v>1103</v>
      </c>
      <c r="D1536" s="430" t="s">
        <v>837</v>
      </c>
      <c r="E1536" s="107" t="str">
        <f>VLOOKUP(B1536&amp;C1536,Divipola!$C$2:$F$1138,4,FALSE)</f>
        <v>19075</v>
      </c>
      <c r="F1536" s="333"/>
      <c r="G1536" s="221"/>
      <c r="H1536" s="157"/>
      <c r="I1536" s="157"/>
      <c r="J1536" s="157">
        <f>108*5</f>
        <v>540</v>
      </c>
      <c r="K1536" s="157">
        <v>108</v>
      </c>
      <c r="L1536" s="157"/>
      <c r="M1536" s="157"/>
      <c r="N1536" s="157">
        <v>8</v>
      </c>
      <c r="O1536" s="157"/>
      <c r="P1536" s="157"/>
      <c r="Q1536" s="157">
        <v>1</v>
      </c>
      <c r="R1536" s="157"/>
      <c r="S1536" s="157">
        <v>3</v>
      </c>
      <c r="T1536" s="157">
        <v>1</v>
      </c>
      <c r="U1536" s="157"/>
      <c r="V1536" s="158"/>
      <c r="W1536" s="182" t="s">
        <v>2645</v>
      </c>
      <c r="X1536" s="1"/>
      <c r="Y1536" s="78">
        <f t="shared" si="194"/>
        <v>0</v>
      </c>
      <c r="Z1536" s="78">
        <f t="shared" si="195"/>
        <v>0</v>
      </c>
      <c r="AA1536" s="78">
        <f t="shared" si="200"/>
        <v>0</v>
      </c>
      <c r="AB1536" s="78">
        <f t="shared" si="196"/>
        <v>0</v>
      </c>
      <c r="AC1536" s="78"/>
      <c r="AD1536" s="78">
        <v>0</v>
      </c>
      <c r="AE1536" s="80">
        <f t="shared" si="198"/>
        <v>0</v>
      </c>
      <c r="AF1536" s="82">
        <v>0</v>
      </c>
      <c r="AG1536" s="69">
        <v>40490</v>
      </c>
      <c r="AH1536" s="84"/>
      <c r="AI1536" s="69" t="s">
        <v>1984</v>
      </c>
      <c r="AJ1536" s="25" t="s">
        <v>1985</v>
      </c>
      <c r="AK1536" s="65"/>
      <c r="AL1536" s="176" t="s">
        <v>1257</v>
      </c>
      <c r="AM1536" s="173" t="s">
        <v>2644</v>
      </c>
      <c r="AN1536" s="159"/>
      <c r="AO1536" s="160"/>
      <c r="AP1536" s="161"/>
      <c r="AQ1536" s="160"/>
      <c r="AR1536" s="160"/>
      <c r="AS1536" s="160"/>
      <c r="AT1536" s="160"/>
      <c r="AU1536" s="160"/>
      <c r="AV1536" s="160"/>
      <c r="AW1536" s="160"/>
      <c r="AX1536" s="160"/>
      <c r="AY1536" s="160"/>
      <c r="AZ1536" s="160"/>
      <c r="BA1536" s="160"/>
      <c r="BB1536" s="160"/>
      <c r="BC1536" s="160"/>
      <c r="BD1536" s="160"/>
      <c r="BE1536" s="160"/>
      <c r="BF1536" s="160"/>
      <c r="BG1536" s="160"/>
      <c r="BH1536" s="160"/>
      <c r="BI1536" s="160"/>
      <c r="BJ1536" s="160"/>
      <c r="BK1536" s="160"/>
      <c r="BL1536" s="160"/>
      <c r="BM1536" s="160"/>
      <c r="BN1536" s="160"/>
      <c r="BO1536" s="160"/>
      <c r="BP1536" s="160"/>
      <c r="BQ1536" s="160"/>
      <c r="BR1536" s="160"/>
      <c r="BS1536" s="160"/>
      <c r="BT1536" s="160"/>
      <c r="BU1536" s="160"/>
      <c r="BV1536" s="160"/>
      <c r="BW1536" s="160"/>
      <c r="BX1536" s="160"/>
      <c r="BY1536" s="160"/>
      <c r="BZ1536" s="160"/>
      <c r="CA1536" s="160"/>
      <c r="CB1536" s="160"/>
      <c r="CC1536" s="160"/>
      <c r="CD1536" s="160"/>
      <c r="CE1536" s="160"/>
      <c r="CF1536" s="160"/>
      <c r="CG1536" s="160"/>
      <c r="CH1536" s="160"/>
      <c r="CI1536" s="160"/>
      <c r="CJ1536" s="160"/>
      <c r="CK1536" s="160"/>
      <c r="CL1536" s="160"/>
      <c r="CM1536" s="160"/>
      <c r="CN1536" s="160"/>
      <c r="CO1536" s="160"/>
      <c r="CP1536" s="162"/>
      <c r="CQ1536" s="163"/>
      <c r="CR1536" s="162"/>
      <c r="CS1536" s="163"/>
      <c r="CT1536" s="162"/>
      <c r="CU1536" s="163"/>
      <c r="CV1536" s="164">
        <f t="shared" si="197"/>
        <v>0</v>
      </c>
      <c r="CW1536" s="165"/>
      <c r="CX1536" s="166"/>
      <c r="CY1536" s="167"/>
      <c r="CZ1536" s="168"/>
      <c r="DA1536" s="169"/>
      <c r="DB1536" s="168"/>
      <c r="DC1536" s="165"/>
      <c r="DD1536" s="166"/>
      <c r="DE1536" s="71"/>
      <c r="DF1536" s="170"/>
      <c r="EO1536" s="353" t="str">
        <f t="shared" si="199"/>
        <v>CAUCA_BALBOA</v>
      </c>
      <c r="EP1536" s="350"/>
      <c r="EQ1536" s="350"/>
      <c r="ER1536" s="357"/>
      <c r="ES1536" s="350"/>
      <c r="ET1536" s="350"/>
      <c r="EU1536" s="350"/>
    </row>
    <row r="1537" spans="1:151" s="171" customFormat="1" ht="33" x14ac:dyDescent="0.2">
      <c r="A1537" s="242">
        <v>40488</v>
      </c>
      <c r="B1537" s="222" t="s">
        <v>1719</v>
      </c>
      <c r="C1537" s="222" t="s">
        <v>3044</v>
      </c>
      <c r="D1537" s="430" t="s">
        <v>837</v>
      </c>
      <c r="E1537" s="107" t="str">
        <f>VLOOKUP(B1537&amp;C1537,Divipola!$C$2:$F$1138,4,FALSE)</f>
        <v>19532</v>
      </c>
      <c r="F1537" s="333"/>
      <c r="G1537" s="221"/>
      <c r="H1537" s="157"/>
      <c r="I1537" s="157"/>
      <c r="J1537" s="157">
        <f>1563*5</f>
        <v>7815</v>
      </c>
      <c r="K1537" s="157">
        <f>1580-17</f>
        <v>1563</v>
      </c>
      <c r="L1537" s="157"/>
      <c r="M1537" s="157">
        <v>313</v>
      </c>
      <c r="N1537" s="157"/>
      <c r="O1537" s="157"/>
      <c r="P1537" s="157"/>
      <c r="Q1537" s="157">
        <v>1</v>
      </c>
      <c r="R1537" s="157"/>
      <c r="S1537" s="157"/>
      <c r="T1537" s="157"/>
      <c r="U1537" s="157"/>
      <c r="V1537" s="158">
        <v>297</v>
      </c>
      <c r="W1537" s="182" t="s">
        <v>763</v>
      </c>
      <c r="X1537" s="1"/>
      <c r="Y1537" s="78">
        <f t="shared" si="194"/>
        <v>0</v>
      </c>
      <c r="Z1537" s="78">
        <f t="shared" si="195"/>
        <v>0</v>
      </c>
      <c r="AA1537" s="78">
        <f t="shared" si="200"/>
        <v>0</v>
      </c>
      <c r="AB1537" s="78">
        <f t="shared" si="196"/>
        <v>0</v>
      </c>
      <c r="AC1537" s="78"/>
      <c r="AD1537" s="78">
        <v>0</v>
      </c>
      <c r="AE1537" s="80">
        <f t="shared" si="198"/>
        <v>0</v>
      </c>
      <c r="AF1537" s="82">
        <v>0</v>
      </c>
      <c r="AG1537" s="69">
        <v>40490</v>
      </c>
      <c r="AH1537" s="84"/>
      <c r="AI1537" s="69" t="s">
        <v>1984</v>
      </c>
      <c r="AJ1537" s="25" t="s">
        <v>1985</v>
      </c>
      <c r="AK1537" s="65"/>
      <c r="AL1537" s="176" t="s">
        <v>1257</v>
      </c>
      <c r="AM1537" s="173" t="s">
        <v>3045</v>
      </c>
      <c r="AN1537" s="159"/>
      <c r="AO1537" s="160"/>
      <c r="AP1537" s="161"/>
      <c r="AQ1537" s="160"/>
      <c r="AR1537" s="160"/>
      <c r="AS1537" s="160"/>
      <c r="AT1537" s="160"/>
      <c r="AU1537" s="160"/>
      <c r="AV1537" s="160"/>
      <c r="AW1537" s="160"/>
      <c r="AX1537" s="160"/>
      <c r="AY1537" s="160"/>
      <c r="AZ1537" s="160"/>
      <c r="BA1537" s="160"/>
      <c r="BB1537" s="160"/>
      <c r="BC1537" s="160"/>
      <c r="BD1537" s="160"/>
      <c r="BE1537" s="160"/>
      <c r="BF1537" s="160"/>
      <c r="BG1537" s="160"/>
      <c r="BH1537" s="160"/>
      <c r="BI1537" s="160"/>
      <c r="BJ1537" s="160"/>
      <c r="BK1537" s="160"/>
      <c r="BL1537" s="160"/>
      <c r="BM1537" s="160"/>
      <c r="BN1537" s="160"/>
      <c r="BO1537" s="160"/>
      <c r="BP1537" s="160"/>
      <c r="BQ1537" s="160"/>
      <c r="BR1537" s="160"/>
      <c r="BS1537" s="160"/>
      <c r="BT1537" s="160"/>
      <c r="BU1537" s="160"/>
      <c r="BV1537" s="160"/>
      <c r="BW1537" s="160"/>
      <c r="BX1537" s="160"/>
      <c r="BY1537" s="160"/>
      <c r="BZ1537" s="160"/>
      <c r="CA1537" s="160"/>
      <c r="CB1537" s="160"/>
      <c r="CC1537" s="160"/>
      <c r="CD1537" s="160"/>
      <c r="CE1537" s="160"/>
      <c r="CF1537" s="160"/>
      <c r="CG1537" s="160"/>
      <c r="CH1537" s="160"/>
      <c r="CI1537" s="160"/>
      <c r="CJ1537" s="160"/>
      <c r="CK1537" s="160"/>
      <c r="CL1537" s="160"/>
      <c r="CM1537" s="160"/>
      <c r="CN1537" s="160"/>
      <c r="CO1537" s="160"/>
      <c r="CP1537" s="162"/>
      <c r="CQ1537" s="163"/>
      <c r="CR1537" s="162"/>
      <c r="CS1537" s="163"/>
      <c r="CT1537" s="162"/>
      <c r="CU1537" s="163"/>
      <c r="CV1537" s="164">
        <f t="shared" si="197"/>
        <v>0</v>
      </c>
      <c r="CW1537" s="165"/>
      <c r="CX1537" s="166"/>
      <c r="CY1537" s="167"/>
      <c r="CZ1537" s="168"/>
      <c r="DA1537" s="169"/>
      <c r="DB1537" s="168"/>
      <c r="DC1537" s="165"/>
      <c r="DD1537" s="166"/>
      <c r="DE1537" s="71"/>
      <c r="DF1537" s="170"/>
      <c r="EO1537" s="353" t="str">
        <f t="shared" si="199"/>
        <v>CAUCA_PATIA</v>
      </c>
      <c r="EP1537" s="350"/>
      <c r="EQ1537" s="350"/>
      <c r="ER1537" s="357"/>
      <c r="ES1537" s="350"/>
      <c r="ET1537" s="350"/>
      <c r="EU1537" s="350"/>
    </row>
    <row r="1538" spans="1:151" s="171" customFormat="1" ht="25.5" x14ac:dyDescent="0.2">
      <c r="A1538" s="242">
        <v>40488</v>
      </c>
      <c r="B1538" s="222" t="s">
        <v>2242</v>
      </c>
      <c r="C1538" s="222" t="s">
        <v>1388</v>
      </c>
      <c r="D1538" s="430" t="s">
        <v>837</v>
      </c>
      <c r="E1538" s="107" t="str">
        <f>VLOOKUP(B1538&amp;C1538,Divipola!$C$2:$F$1138,4,FALSE)</f>
        <v>20383</v>
      </c>
      <c r="F1538" s="333"/>
      <c r="G1538" s="221">
        <v>1</v>
      </c>
      <c r="H1538" s="157"/>
      <c r="I1538" s="157"/>
      <c r="J1538" s="157"/>
      <c r="K1538" s="157"/>
      <c r="L1538" s="157"/>
      <c r="M1538" s="157"/>
      <c r="N1538" s="157"/>
      <c r="O1538" s="157"/>
      <c r="P1538" s="157"/>
      <c r="Q1538" s="157"/>
      <c r="R1538" s="157"/>
      <c r="S1538" s="157"/>
      <c r="T1538" s="157"/>
      <c r="U1538" s="157"/>
      <c r="V1538" s="158"/>
      <c r="W1538" s="182"/>
      <c r="X1538" s="1"/>
      <c r="Y1538" s="78">
        <f t="shared" si="194"/>
        <v>0</v>
      </c>
      <c r="Z1538" s="78">
        <f t="shared" si="195"/>
        <v>0</v>
      </c>
      <c r="AA1538" s="78">
        <f t="shared" si="200"/>
        <v>0</v>
      </c>
      <c r="AB1538" s="78">
        <f t="shared" si="196"/>
        <v>0</v>
      </c>
      <c r="AC1538" s="78"/>
      <c r="AD1538" s="78">
        <v>0</v>
      </c>
      <c r="AE1538" s="80">
        <f t="shared" si="198"/>
        <v>0</v>
      </c>
      <c r="AF1538" s="82">
        <v>0</v>
      </c>
      <c r="AG1538" s="69">
        <v>40490</v>
      </c>
      <c r="AH1538" s="84"/>
      <c r="AI1538" s="69" t="s">
        <v>1984</v>
      </c>
      <c r="AJ1538" s="25" t="s">
        <v>1985</v>
      </c>
      <c r="AK1538" s="65"/>
      <c r="AL1538" s="176" t="s">
        <v>1257</v>
      </c>
      <c r="AM1538" s="173" t="s">
        <v>3054</v>
      </c>
      <c r="AN1538" s="159"/>
      <c r="AO1538" s="160"/>
      <c r="AP1538" s="161"/>
      <c r="AQ1538" s="160"/>
      <c r="AR1538" s="160"/>
      <c r="AS1538" s="160"/>
      <c r="AT1538" s="160"/>
      <c r="AU1538" s="160"/>
      <c r="AV1538" s="160"/>
      <c r="AW1538" s="160"/>
      <c r="AX1538" s="160"/>
      <c r="AY1538" s="160"/>
      <c r="AZ1538" s="160"/>
      <c r="BA1538" s="160"/>
      <c r="BB1538" s="160"/>
      <c r="BC1538" s="160"/>
      <c r="BD1538" s="160"/>
      <c r="BE1538" s="160"/>
      <c r="BF1538" s="160"/>
      <c r="BG1538" s="160"/>
      <c r="BH1538" s="160"/>
      <c r="BI1538" s="160"/>
      <c r="BJ1538" s="160"/>
      <c r="BK1538" s="160"/>
      <c r="BL1538" s="160"/>
      <c r="BM1538" s="160"/>
      <c r="BN1538" s="160"/>
      <c r="BO1538" s="160"/>
      <c r="BP1538" s="160"/>
      <c r="BQ1538" s="160"/>
      <c r="BR1538" s="160"/>
      <c r="BS1538" s="160"/>
      <c r="BT1538" s="160"/>
      <c r="BU1538" s="160"/>
      <c r="BV1538" s="160"/>
      <c r="BW1538" s="160"/>
      <c r="BX1538" s="160"/>
      <c r="BY1538" s="160"/>
      <c r="BZ1538" s="160"/>
      <c r="CA1538" s="160"/>
      <c r="CB1538" s="160"/>
      <c r="CC1538" s="160"/>
      <c r="CD1538" s="160"/>
      <c r="CE1538" s="160"/>
      <c r="CF1538" s="160"/>
      <c r="CG1538" s="160"/>
      <c r="CH1538" s="160"/>
      <c r="CI1538" s="160"/>
      <c r="CJ1538" s="160"/>
      <c r="CK1538" s="160"/>
      <c r="CL1538" s="160"/>
      <c r="CM1538" s="160"/>
      <c r="CN1538" s="160"/>
      <c r="CO1538" s="160"/>
      <c r="CP1538" s="162"/>
      <c r="CQ1538" s="163"/>
      <c r="CR1538" s="162"/>
      <c r="CS1538" s="163"/>
      <c r="CT1538" s="162"/>
      <c r="CU1538" s="163"/>
      <c r="CV1538" s="164">
        <f t="shared" si="197"/>
        <v>0</v>
      </c>
      <c r="CW1538" s="165"/>
      <c r="CX1538" s="166"/>
      <c r="CY1538" s="167"/>
      <c r="CZ1538" s="168"/>
      <c r="DA1538" s="169"/>
      <c r="DB1538" s="168"/>
      <c r="DC1538" s="165"/>
      <c r="DD1538" s="166"/>
      <c r="DE1538" s="71"/>
      <c r="DF1538" s="170"/>
      <c r="EO1538" s="353" t="str">
        <f t="shared" si="199"/>
        <v>CESAR_LA GLORIA</v>
      </c>
      <c r="EP1538" s="350"/>
      <c r="EQ1538" s="350"/>
      <c r="ER1538" s="357"/>
      <c r="ES1538" s="350"/>
      <c r="ET1538" s="350"/>
      <c r="EU1538" s="350"/>
    </row>
    <row r="1539" spans="1:151" s="171" customFormat="1" ht="38.25" x14ac:dyDescent="0.2">
      <c r="A1539" s="242">
        <v>40488</v>
      </c>
      <c r="B1539" s="222" t="s">
        <v>2007</v>
      </c>
      <c r="C1539" s="222" t="s">
        <v>626</v>
      </c>
      <c r="D1539" s="430" t="s">
        <v>837</v>
      </c>
      <c r="E1539" s="107" t="str">
        <f>VLOOKUP(B1539&amp;C1539,Divipola!$C$2:$F$1138,4,FALSE)</f>
        <v>25290</v>
      </c>
      <c r="F1539" s="333"/>
      <c r="G1539" s="221"/>
      <c r="H1539" s="157"/>
      <c r="I1539" s="157"/>
      <c r="J1539" s="157">
        <v>15</v>
      </c>
      <c r="K1539" s="157">
        <v>3</v>
      </c>
      <c r="L1539" s="157"/>
      <c r="M1539" s="157">
        <v>3</v>
      </c>
      <c r="N1539" s="157"/>
      <c r="O1539" s="157"/>
      <c r="P1539" s="157"/>
      <c r="Q1539" s="157"/>
      <c r="R1539" s="157"/>
      <c r="S1539" s="157"/>
      <c r="T1539" s="157"/>
      <c r="U1539" s="157"/>
      <c r="V1539" s="158"/>
      <c r="W1539" s="182"/>
      <c r="X1539" s="1"/>
      <c r="Y1539" s="78">
        <f t="shared" ref="Y1539:Y1602" si="201">CV1539</f>
        <v>0</v>
      </c>
      <c r="Z1539" s="78">
        <f t="shared" ref="Z1539:Z1602" si="202">CZ1539</f>
        <v>0</v>
      </c>
      <c r="AA1539" s="78">
        <f t="shared" si="200"/>
        <v>0</v>
      </c>
      <c r="AB1539" s="78">
        <f t="shared" ref="AB1539:AB1602" si="203">CX1539</f>
        <v>0</v>
      </c>
      <c r="AC1539" s="78"/>
      <c r="AD1539" s="78">
        <v>0</v>
      </c>
      <c r="AE1539" s="80">
        <f t="shared" si="198"/>
        <v>0</v>
      </c>
      <c r="AF1539" s="82">
        <v>0</v>
      </c>
      <c r="AG1539" s="69">
        <v>40492</v>
      </c>
      <c r="AH1539" s="84"/>
      <c r="AI1539" s="69" t="s">
        <v>1984</v>
      </c>
      <c r="AJ1539" s="25" t="s">
        <v>1985</v>
      </c>
      <c r="AK1539" s="65"/>
      <c r="AL1539" s="176" t="s">
        <v>1257</v>
      </c>
      <c r="AM1539" s="173" t="s">
        <v>3096</v>
      </c>
      <c r="AN1539" s="159"/>
      <c r="AO1539" s="160"/>
      <c r="AP1539" s="161"/>
      <c r="AQ1539" s="160"/>
      <c r="AR1539" s="160"/>
      <c r="AS1539" s="160"/>
      <c r="AT1539" s="160"/>
      <c r="AU1539" s="160"/>
      <c r="AV1539" s="160"/>
      <c r="AW1539" s="160"/>
      <c r="AX1539" s="160"/>
      <c r="AY1539" s="160"/>
      <c r="AZ1539" s="160"/>
      <c r="BA1539" s="160"/>
      <c r="BB1539" s="160"/>
      <c r="BC1539" s="160"/>
      <c r="BD1539" s="160"/>
      <c r="BE1539" s="160"/>
      <c r="BF1539" s="160"/>
      <c r="BG1539" s="160"/>
      <c r="BH1539" s="160"/>
      <c r="BI1539" s="160"/>
      <c r="BJ1539" s="160"/>
      <c r="BK1539" s="160"/>
      <c r="BL1539" s="160"/>
      <c r="BM1539" s="160"/>
      <c r="BN1539" s="160"/>
      <c r="BO1539" s="160"/>
      <c r="BP1539" s="160"/>
      <c r="BQ1539" s="160"/>
      <c r="BR1539" s="160"/>
      <c r="BS1539" s="160"/>
      <c r="BT1539" s="160"/>
      <c r="BU1539" s="160"/>
      <c r="BV1539" s="160"/>
      <c r="BW1539" s="160"/>
      <c r="BX1539" s="160"/>
      <c r="BY1539" s="160"/>
      <c r="BZ1539" s="160"/>
      <c r="CA1539" s="160"/>
      <c r="CB1539" s="160"/>
      <c r="CC1539" s="160"/>
      <c r="CD1539" s="160"/>
      <c r="CE1539" s="160"/>
      <c r="CF1539" s="160"/>
      <c r="CG1539" s="160"/>
      <c r="CH1539" s="160"/>
      <c r="CI1539" s="160"/>
      <c r="CJ1539" s="160"/>
      <c r="CK1539" s="160"/>
      <c r="CL1539" s="160"/>
      <c r="CM1539" s="160"/>
      <c r="CN1539" s="160"/>
      <c r="CO1539" s="160"/>
      <c r="CP1539" s="162"/>
      <c r="CQ1539" s="163"/>
      <c r="CR1539" s="162"/>
      <c r="CS1539" s="163"/>
      <c r="CT1539" s="162"/>
      <c r="CU1539" s="163"/>
      <c r="CV1539" s="164">
        <f t="shared" ref="CV1539:CV1602" si="204">AO1539+AQ1539+AS1539+AU1539+AW1539+AY1539+BA1539+BC1539+BE1539+BG1539+BI1539+BK1539+BM1539+BO1539+BQ1539+BS1539+BU1539+BW1539+BY1539+CA1539+CC1539+CE1539+CG1539+CI1539+CK1539+CM1539+CO1539+CQ1539+CS1539+CU1539</f>
        <v>0</v>
      </c>
      <c r="CW1539" s="165"/>
      <c r="CX1539" s="166"/>
      <c r="CY1539" s="167"/>
      <c r="CZ1539" s="168"/>
      <c r="DA1539" s="169"/>
      <c r="DB1539" s="168"/>
      <c r="DC1539" s="165"/>
      <c r="DD1539" s="166"/>
      <c r="DE1539" s="71"/>
      <c r="DF1539" s="170"/>
      <c r="EO1539" s="353" t="str">
        <f t="shared" si="199"/>
        <v>CUNDINAMARCA_FUSAGASUGA</v>
      </c>
      <c r="EP1539" s="350"/>
      <c r="EQ1539" s="350"/>
      <c r="ER1539" s="357"/>
      <c r="ES1539" s="350"/>
      <c r="ET1539" s="350"/>
      <c r="EU1539" s="350"/>
    </row>
    <row r="1540" spans="1:151" s="171" customFormat="1" ht="38.25" x14ac:dyDescent="0.2">
      <c r="A1540" s="242">
        <v>40488</v>
      </c>
      <c r="B1540" s="222" t="s">
        <v>2007</v>
      </c>
      <c r="C1540" s="222" t="s">
        <v>1100</v>
      </c>
      <c r="D1540" s="427" t="s">
        <v>2307</v>
      </c>
      <c r="E1540" s="107" t="str">
        <f>VLOOKUP(B1540&amp;C1540,Divipola!$C$2:$F$1138,4,FALSE)</f>
        <v>25320</v>
      </c>
      <c r="F1540" s="330"/>
      <c r="G1540" s="221"/>
      <c r="H1540" s="157"/>
      <c r="I1540" s="157"/>
      <c r="J1540" s="157">
        <v>28</v>
      </c>
      <c r="K1540" s="157">
        <v>6</v>
      </c>
      <c r="L1540" s="157"/>
      <c r="M1540" s="157">
        <v>6</v>
      </c>
      <c r="N1540" s="157"/>
      <c r="O1540" s="157"/>
      <c r="P1540" s="157"/>
      <c r="Q1540" s="157"/>
      <c r="R1540" s="157"/>
      <c r="S1540" s="157"/>
      <c r="T1540" s="157"/>
      <c r="U1540" s="157"/>
      <c r="V1540" s="158"/>
      <c r="W1540" s="182"/>
      <c r="X1540" s="1"/>
      <c r="Y1540" s="78">
        <f t="shared" si="201"/>
        <v>0</v>
      </c>
      <c r="Z1540" s="78">
        <f t="shared" si="202"/>
        <v>0</v>
      </c>
      <c r="AA1540" s="78">
        <f t="shared" si="200"/>
        <v>0</v>
      </c>
      <c r="AB1540" s="78">
        <f t="shared" si="203"/>
        <v>0</v>
      </c>
      <c r="AC1540" s="78"/>
      <c r="AD1540" s="78">
        <v>0</v>
      </c>
      <c r="AE1540" s="80">
        <f t="shared" si="198"/>
        <v>0</v>
      </c>
      <c r="AF1540" s="82">
        <v>0</v>
      </c>
      <c r="AG1540" s="69">
        <v>40492</v>
      </c>
      <c r="AH1540" s="84"/>
      <c r="AI1540" s="69" t="s">
        <v>1984</v>
      </c>
      <c r="AJ1540" s="25" t="s">
        <v>1985</v>
      </c>
      <c r="AK1540" s="65"/>
      <c r="AL1540" s="176" t="s">
        <v>1257</v>
      </c>
      <c r="AM1540" s="173" t="s">
        <v>3095</v>
      </c>
      <c r="AN1540" s="159"/>
      <c r="AO1540" s="160"/>
      <c r="AP1540" s="161"/>
      <c r="AQ1540" s="160"/>
      <c r="AR1540" s="160"/>
      <c r="AS1540" s="160"/>
      <c r="AT1540" s="160"/>
      <c r="AU1540" s="160"/>
      <c r="AV1540" s="160"/>
      <c r="AW1540" s="160"/>
      <c r="AX1540" s="160"/>
      <c r="AY1540" s="160"/>
      <c r="AZ1540" s="160"/>
      <c r="BA1540" s="160"/>
      <c r="BB1540" s="160"/>
      <c r="BC1540" s="160"/>
      <c r="BD1540" s="160"/>
      <c r="BE1540" s="160"/>
      <c r="BF1540" s="160"/>
      <c r="BG1540" s="160"/>
      <c r="BH1540" s="160"/>
      <c r="BI1540" s="160"/>
      <c r="BJ1540" s="160"/>
      <c r="BK1540" s="160"/>
      <c r="BL1540" s="160"/>
      <c r="BM1540" s="160"/>
      <c r="BN1540" s="160"/>
      <c r="BO1540" s="160"/>
      <c r="BP1540" s="160"/>
      <c r="BQ1540" s="160"/>
      <c r="BR1540" s="160"/>
      <c r="BS1540" s="160"/>
      <c r="BT1540" s="160"/>
      <c r="BU1540" s="160"/>
      <c r="BV1540" s="160"/>
      <c r="BW1540" s="160"/>
      <c r="BX1540" s="160"/>
      <c r="BY1540" s="160"/>
      <c r="BZ1540" s="160"/>
      <c r="CA1540" s="160"/>
      <c r="CB1540" s="160"/>
      <c r="CC1540" s="160"/>
      <c r="CD1540" s="160"/>
      <c r="CE1540" s="160"/>
      <c r="CF1540" s="160"/>
      <c r="CG1540" s="160"/>
      <c r="CH1540" s="160"/>
      <c r="CI1540" s="160"/>
      <c r="CJ1540" s="160"/>
      <c r="CK1540" s="160"/>
      <c r="CL1540" s="160"/>
      <c r="CM1540" s="160"/>
      <c r="CN1540" s="160"/>
      <c r="CO1540" s="160"/>
      <c r="CP1540" s="162"/>
      <c r="CQ1540" s="163"/>
      <c r="CR1540" s="162"/>
      <c r="CS1540" s="163"/>
      <c r="CT1540" s="162"/>
      <c r="CU1540" s="163"/>
      <c r="CV1540" s="164">
        <f t="shared" si="204"/>
        <v>0</v>
      </c>
      <c r="CW1540" s="165"/>
      <c r="CX1540" s="166"/>
      <c r="CY1540" s="167"/>
      <c r="CZ1540" s="168"/>
      <c r="DA1540" s="169"/>
      <c r="DB1540" s="168"/>
      <c r="DC1540" s="165"/>
      <c r="DD1540" s="166"/>
      <c r="DE1540" s="71"/>
      <c r="DF1540" s="170"/>
      <c r="EO1540" s="353" t="str">
        <f t="shared" si="199"/>
        <v>CUNDINAMARCA_GUADUAS</v>
      </c>
      <c r="EP1540" s="350"/>
      <c r="EQ1540" s="350"/>
      <c r="ER1540" s="357"/>
      <c r="ES1540" s="350"/>
      <c r="ET1540" s="350"/>
      <c r="EU1540" s="350"/>
    </row>
    <row r="1541" spans="1:151" s="171" customFormat="1" ht="51" x14ac:dyDescent="0.2">
      <c r="A1541" s="242">
        <v>40488</v>
      </c>
      <c r="B1541" s="222" t="s">
        <v>2007</v>
      </c>
      <c r="C1541" s="222" t="s">
        <v>1322</v>
      </c>
      <c r="D1541" s="430" t="s">
        <v>837</v>
      </c>
      <c r="E1541" s="107" t="str">
        <f>VLOOKUP(B1541&amp;C1541,Divipola!$C$2:$F$1138,4,FALSE)</f>
        <v>25572</v>
      </c>
      <c r="F1541" s="333"/>
      <c r="G1541" s="221"/>
      <c r="H1541" s="157"/>
      <c r="I1541" s="157"/>
      <c r="J1541" s="157">
        <v>400</v>
      </c>
      <c r="K1541" s="157">
        <v>200</v>
      </c>
      <c r="L1541" s="157"/>
      <c r="M1541" s="157">
        <v>200</v>
      </c>
      <c r="N1541" s="157"/>
      <c r="O1541" s="157"/>
      <c r="P1541" s="157"/>
      <c r="Q1541" s="157"/>
      <c r="R1541" s="157"/>
      <c r="S1541" s="157"/>
      <c r="T1541" s="157">
        <v>1</v>
      </c>
      <c r="U1541" s="157"/>
      <c r="V1541" s="158"/>
      <c r="W1541" s="182"/>
      <c r="X1541" s="1"/>
      <c r="Y1541" s="78">
        <f t="shared" si="201"/>
        <v>0</v>
      </c>
      <c r="Z1541" s="78">
        <f t="shared" si="202"/>
        <v>0</v>
      </c>
      <c r="AA1541" s="78">
        <f t="shared" si="200"/>
        <v>0</v>
      </c>
      <c r="AB1541" s="78">
        <f t="shared" si="203"/>
        <v>0</v>
      </c>
      <c r="AC1541" s="78"/>
      <c r="AD1541" s="78">
        <v>0</v>
      </c>
      <c r="AE1541" s="80">
        <f t="shared" si="198"/>
        <v>0</v>
      </c>
      <c r="AF1541" s="82">
        <v>0</v>
      </c>
      <c r="AG1541" s="69">
        <v>40492</v>
      </c>
      <c r="AH1541" s="84"/>
      <c r="AI1541" s="69" t="s">
        <v>1984</v>
      </c>
      <c r="AJ1541" s="25" t="s">
        <v>1985</v>
      </c>
      <c r="AK1541" s="65"/>
      <c r="AL1541" s="176" t="s">
        <v>1257</v>
      </c>
      <c r="AM1541" s="173" t="s">
        <v>2873</v>
      </c>
      <c r="AN1541" s="159"/>
      <c r="AO1541" s="160"/>
      <c r="AP1541" s="161"/>
      <c r="AQ1541" s="160"/>
      <c r="AR1541" s="160"/>
      <c r="AS1541" s="160"/>
      <c r="AT1541" s="160"/>
      <c r="AU1541" s="160"/>
      <c r="AV1541" s="160"/>
      <c r="AW1541" s="160"/>
      <c r="AX1541" s="160"/>
      <c r="AY1541" s="160"/>
      <c r="AZ1541" s="160"/>
      <c r="BA1541" s="160"/>
      <c r="BB1541" s="160"/>
      <c r="BC1541" s="160"/>
      <c r="BD1541" s="160"/>
      <c r="BE1541" s="160"/>
      <c r="BF1541" s="160"/>
      <c r="BG1541" s="160"/>
      <c r="BH1541" s="160"/>
      <c r="BI1541" s="160"/>
      <c r="BJ1541" s="160"/>
      <c r="BK1541" s="160"/>
      <c r="BL1541" s="160"/>
      <c r="BM1541" s="160"/>
      <c r="BN1541" s="160"/>
      <c r="BO1541" s="160"/>
      <c r="BP1541" s="160"/>
      <c r="BQ1541" s="160"/>
      <c r="BR1541" s="160"/>
      <c r="BS1541" s="160"/>
      <c r="BT1541" s="160"/>
      <c r="BU1541" s="160"/>
      <c r="BV1541" s="160"/>
      <c r="BW1541" s="160"/>
      <c r="BX1541" s="160"/>
      <c r="BY1541" s="160"/>
      <c r="BZ1541" s="160"/>
      <c r="CA1541" s="160"/>
      <c r="CB1541" s="160"/>
      <c r="CC1541" s="160"/>
      <c r="CD1541" s="160"/>
      <c r="CE1541" s="160"/>
      <c r="CF1541" s="160"/>
      <c r="CG1541" s="160"/>
      <c r="CH1541" s="160"/>
      <c r="CI1541" s="160"/>
      <c r="CJ1541" s="160"/>
      <c r="CK1541" s="160"/>
      <c r="CL1541" s="160"/>
      <c r="CM1541" s="160"/>
      <c r="CN1541" s="160"/>
      <c r="CO1541" s="160"/>
      <c r="CP1541" s="162"/>
      <c r="CQ1541" s="163"/>
      <c r="CR1541" s="162"/>
      <c r="CS1541" s="163"/>
      <c r="CT1541" s="162"/>
      <c r="CU1541" s="163"/>
      <c r="CV1541" s="164">
        <f t="shared" si="204"/>
        <v>0</v>
      </c>
      <c r="CW1541" s="165"/>
      <c r="CX1541" s="166"/>
      <c r="CY1541" s="167"/>
      <c r="CZ1541" s="168"/>
      <c r="DA1541" s="169"/>
      <c r="DB1541" s="168"/>
      <c r="DC1541" s="165"/>
      <c r="DD1541" s="166"/>
      <c r="DE1541" s="71"/>
      <c r="DF1541" s="170"/>
      <c r="EO1541" s="353" t="str">
        <f t="shared" si="199"/>
        <v>CUNDINAMARCA_PUERTO SALGAR</v>
      </c>
      <c r="EP1541" s="350"/>
      <c r="EQ1541" s="350"/>
      <c r="ER1541" s="357"/>
      <c r="ES1541" s="350"/>
      <c r="ET1541" s="350"/>
      <c r="EU1541" s="350"/>
    </row>
    <row r="1542" spans="1:151" s="171" customFormat="1" ht="25.5" x14ac:dyDescent="0.2">
      <c r="A1542" s="242">
        <v>40488</v>
      </c>
      <c r="B1542" s="222" t="s">
        <v>1333</v>
      </c>
      <c r="C1542" s="222" t="s">
        <v>1315</v>
      </c>
      <c r="D1542" s="430" t="s">
        <v>837</v>
      </c>
      <c r="E1542" s="107" t="str">
        <f>VLOOKUP(B1542&amp;C1542,Divipola!$C$2:$F$1138,4,FALSE)</f>
        <v>41016</v>
      </c>
      <c r="F1542" s="333"/>
      <c r="G1542" s="221"/>
      <c r="H1542" s="157"/>
      <c r="I1542" s="157"/>
      <c r="J1542" s="157">
        <v>12</v>
      </c>
      <c r="K1542" s="157">
        <v>2</v>
      </c>
      <c r="L1542" s="157"/>
      <c r="M1542" s="157">
        <v>2</v>
      </c>
      <c r="N1542" s="157"/>
      <c r="O1542" s="157"/>
      <c r="P1542" s="157"/>
      <c r="Q1542" s="157"/>
      <c r="R1542" s="157"/>
      <c r="S1542" s="157"/>
      <c r="T1542" s="157"/>
      <c r="U1542" s="157"/>
      <c r="V1542" s="158"/>
      <c r="W1542" s="182"/>
      <c r="X1542" s="1"/>
      <c r="Y1542" s="78">
        <f t="shared" si="201"/>
        <v>0</v>
      </c>
      <c r="Z1542" s="78">
        <f t="shared" si="202"/>
        <v>0</v>
      </c>
      <c r="AA1542" s="78">
        <f t="shared" si="200"/>
        <v>0</v>
      </c>
      <c r="AB1542" s="78">
        <f t="shared" si="203"/>
        <v>0</v>
      </c>
      <c r="AC1542" s="78"/>
      <c r="AD1542" s="78">
        <v>0</v>
      </c>
      <c r="AE1542" s="80">
        <f t="shared" si="198"/>
        <v>0</v>
      </c>
      <c r="AF1542" s="82">
        <v>0</v>
      </c>
      <c r="AG1542" s="69">
        <v>40490</v>
      </c>
      <c r="AH1542" s="84"/>
      <c r="AI1542" s="69" t="s">
        <v>1984</v>
      </c>
      <c r="AJ1542" s="25" t="s">
        <v>1985</v>
      </c>
      <c r="AK1542" s="65"/>
      <c r="AL1542" s="176" t="s">
        <v>1257</v>
      </c>
      <c r="AM1542" s="173" t="s">
        <v>3050</v>
      </c>
      <c r="AN1542" s="159"/>
      <c r="AO1542" s="160"/>
      <c r="AP1542" s="161"/>
      <c r="AQ1542" s="160"/>
      <c r="AR1542" s="160"/>
      <c r="AS1542" s="160"/>
      <c r="AT1542" s="160"/>
      <c r="AU1542" s="160"/>
      <c r="AV1542" s="160"/>
      <c r="AW1542" s="160"/>
      <c r="AX1542" s="160"/>
      <c r="AY1542" s="160"/>
      <c r="AZ1542" s="160"/>
      <c r="BA1542" s="160"/>
      <c r="BB1542" s="160"/>
      <c r="BC1542" s="160"/>
      <c r="BD1542" s="160"/>
      <c r="BE1542" s="160"/>
      <c r="BF1542" s="160"/>
      <c r="BG1542" s="160"/>
      <c r="BH1542" s="160"/>
      <c r="BI1542" s="160"/>
      <c r="BJ1542" s="160"/>
      <c r="BK1542" s="160"/>
      <c r="BL1542" s="160"/>
      <c r="BM1542" s="160"/>
      <c r="BN1542" s="160"/>
      <c r="BO1542" s="160"/>
      <c r="BP1542" s="160"/>
      <c r="BQ1542" s="160"/>
      <c r="BR1542" s="160"/>
      <c r="BS1542" s="160"/>
      <c r="BT1542" s="160"/>
      <c r="BU1542" s="160"/>
      <c r="BV1542" s="160"/>
      <c r="BW1542" s="160"/>
      <c r="BX1542" s="160"/>
      <c r="BY1542" s="160"/>
      <c r="BZ1542" s="160"/>
      <c r="CA1542" s="160"/>
      <c r="CB1542" s="160"/>
      <c r="CC1542" s="160"/>
      <c r="CD1542" s="160"/>
      <c r="CE1542" s="160"/>
      <c r="CF1542" s="160"/>
      <c r="CG1542" s="160"/>
      <c r="CH1542" s="160"/>
      <c r="CI1542" s="160"/>
      <c r="CJ1542" s="160"/>
      <c r="CK1542" s="160"/>
      <c r="CL1542" s="160"/>
      <c r="CM1542" s="160"/>
      <c r="CN1542" s="160"/>
      <c r="CO1542" s="160"/>
      <c r="CP1542" s="162"/>
      <c r="CQ1542" s="163"/>
      <c r="CR1542" s="162"/>
      <c r="CS1542" s="163"/>
      <c r="CT1542" s="162"/>
      <c r="CU1542" s="163"/>
      <c r="CV1542" s="164">
        <f t="shared" si="204"/>
        <v>0</v>
      </c>
      <c r="CW1542" s="165"/>
      <c r="CX1542" s="166"/>
      <c r="CY1542" s="167"/>
      <c r="CZ1542" s="168"/>
      <c r="DA1542" s="169"/>
      <c r="DB1542" s="168"/>
      <c r="DC1542" s="165"/>
      <c r="DD1542" s="166"/>
      <c r="DE1542" s="71"/>
      <c r="DF1542" s="170"/>
      <c r="EO1542" s="353" t="str">
        <f t="shared" si="199"/>
        <v>HUILA_AIPE</v>
      </c>
      <c r="EP1542" s="350"/>
      <c r="EQ1542" s="350"/>
      <c r="ER1542" s="357"/>
      <c r="ES1542" s="350"/>
      <c r="ET1542" s="350"/>
      <c r="EU1542" s="350"/>
    </row>
    <row r="1543" spans="1:151" s="171" customFormat="1" ht="25.5" x14ac:dyDescent="0.2">
      <c r="A1543" s="242">
        <v>40488</v>
      </c>
      <c r="B1543" s="222" t="s">
        <v>1333</v>
      </c>
      <c r="C1543" s="222" t="s">
        <v>3051</v>
      </c>
      <c r="D1543" s="427" t="s">
        <v>2307</v>
      </c>
      <c r="E1543" s="107" t="str">
        <f>VLOOKUP(B1543&amp;C1543,Divipola!$C$2:$F$1138,4,FALSE)</f>
        <v>41357</v>
      </c>
      <c r="F1543" s="330"/>
      <c r="G1543" s="221"/>
      <c r="H1543" s="157"/>
      <c r="I1543" s="157"/>
      <c r="J1543" s="157">
        <v>5</v>
      </c>
      <c r="K1543" s="157">
        <v>1</v>
      </c>
      <c r="L1543" s="157"/>
      <c r="M1543" s="157"/>
      <c r="N1543" s="157"/>
      <c r="O1543" s="157"/>
      <c r="P1543" s="157"/>
      <c r="Q1543" s="157">
        <v>1</v>
      </c>
      <c r="R1543" s="157"/>
      <c r="S1543" s="157"/>
      <c r="T1543" s="157"/>
      <c r="U1543" s="157"/>
      <c r="V1543" s="158"/>
      <c r="W1543" s="182"/>
      <c r="X1543" s="1"/>
      <c r="Y1543" s="78">
        <f t="shared" si="201"/>
        <v>0</v>
      </c>
      <c r="Z1543" s="78">
        <f t="shared" si="202"/>
        <v>0</v>
      </c>
      <c r="AA1543" s="78">
        <f t="shared" si="200"/>
        <v>0</v>
      </c>
      <c r="AB1543" s="78">
        <f t="shared" si="203"/>
        <v>0</v>
      </c>
      <c r="AC1543" s="78"/>
      <c r="AD1543" s="78">
        <v>0</v>
      </c>
      <c r="AE1543" s="80">
        <f t="shared" si="198"/>
        <v>0</v>
      </c>
      <c r="AF1543" s="82">
        <v>0</v>
      </c>
      <c r="AG1543" s="69">
        <v>40490</v>
      </c>
      <c r="AH1543" s="84"/>
      <c r="AI1543" s="69" t="s">
        <v>1984</v>
      </c>
      <c r="AJ1543" s="25" t="s">
        <v>1985</v>
      </c>
      <c r="AK1543" s="65"/>
      <c r="AL1543" s="176" t="s">
        <v>1257</v>
      </c>
      <c r="AM1543" s="173" t="s">
        <v>3052</v>
      </c>
      <c r="AN1543" s="159"/>
      <c r="AO1543" s="160"/>
      <c r="AP1543" s="161"/>
      <c r="AQ1543" s="160"/>
      <c r="AR1543" s="160"/>
      <c r="AS1543" s="160"/>
      <c r="AT1543" s="160"/>
      <c r="AU1543" s="160"/>
      <c r="AV1543" s="160"/>
      <c r="AW1543" s="160"/>
      <c r="AX1543" s="160"/>
      <c r="AY1543" s="160"/>
      <c r="AZ1543" s="160"/>
      <c r="BA1543" s="160"/>
      <c r="BB1543" s="160"/>
      <c r="BC1543" s="160"/>
      <c r="BD1543" s="160"/>
      <c r="BE1543" s="160"/>
      <c r="BF1543" s="160"/>
      <c r="BG1543" s="160"/>
      <c r="BH1543" s="160"/>
      <c r="BI1543" s="160"/>
      <c r="BJ1543" s="160"/>
      <c r="BK1543" s="160"/>
      <c r="BL1543" s="160"/>
      <c r="BM1543" s="160"/>
      <c r="BN1543" s="160"/>
      <c r="BO1543" s="160"/>
      <c r="BP1543" s="160"/>
      <c r="BQ1543" s="160"/>
      <c r="BR1543" s="160"/>
      <c r="BS1543" s="160"/>
      <c r="BT1543" s="160"/>
      <c r="BU1543" s="160"/>
      <c r="BV1543" s="160"/>
      <c r="BW1543" s="160"/>
      <c r="BX1543" s="160"/>
      <c r="BY1543" s="160"/>
      <c r="BZ1543" s="160"/>
      <c r="CA1543" s="160"/>
      <c r="CB1543" s="160"/>
      <c r="CC1543" s="160"/>
      <c r="CD1543" s="160"/>
      <c r="CE1543" s="160"/>
      <c r="CF1543" s="160"/>
      <c r="CG1543" s="160"/>
      <c r="CH1543" s="160"/>
      <c r="CI1543" s="160"/>
      <c r="CJ1543" s="160"/>
      <c r="CK1543" s="160"/>
      <c r="CL1543" s="160"/>
      <c r="CM1543" s="160"/>
      <c r="CN1543" s="160"/>
      <c r="CO1543" s="160"/>
      <c r="CP1543" s="162"/>
      <c r="CQ1543" s="163"/>
      <c r="CR1543" s="162"/>
      <c r="CS1543" s="163"/>
      <c r="CT1543" s="162"/>
      <c r="CU1543" s="163"/>
      <c r="CV1543" s="164">
        <f t="shared" si="204"/>
        <v>0</v>
      </c>
      <c r="CW1543" s="165"/>
      <c r="CX1543" s="166"/>
      <c r="CY1543" s="167"/>
      <c r="CZ1543" s="168"/>
      <c r="DA1543" s="169"/>
      <c r="DB1543" s="168"/>
      <c r="DC1543" s="165"/>
      <c r="DD1543" s="166"/>
      <c r="DE1543" s="71"/>
      <c r="DF1543" s="170"/>
      <c r="EO1543" s="353" t="str">
        <f t="shared" si="199"/>
        <v>HUILA_IQUIRA</v>
      </c>
      <c r="EP1543" s="350"/>
      <c r="EQ1543" s="350"/>
      <c r="ER1543" s="357"/>
      <c r="ES1543" s="350"/>
      <c r="ET1543" s="350"/>
      <c r="EU1543" s="350"/>
    </row>
    <row r="1544" spans="1:151" s="171" customFormat="1" ht="36" x14ac:dyDescent="0.2">
      <c r="A1544" s="242">
        <v>40488</v>
      </c>
      <c r="B1544" s="222" t="s">
        <v>1333</v>
      </c>
      <c r="C1544" s="222" t="s">
        <v>3165</v>
      </c>
      <c r="D1544" s="430" t="s">
        <v>837</v>
      </c>
      <c r="E1544" s="107" t="str">
        <f>VLOOKUP(B1544&amp;C1544,Divipola!$C$2:$F$1138,4,FALSE)</f>
        <v>41615</v>
      </c>
      <c r="F1544" s="333"/>
      <c r="G1544" s="221"/>
      <c r="H1544" s="157"/>
      <c r="I1544" s="157"/>
      <c r="J1544" s="157">
        <f>875-15-50</f>
        <v>810</v>
      </c>
      <c r="K1544" s="157">
        <f>174-3-10</f>
        <v>161</v>
      </c>
      <c r="L1544" s="157"/>
      <c r="M1544" s="157">
        <v>30</v>
      </c>
      <c r="N1544" s="157">
        <v>9</v>
      </c>
      <c r="O1544" s="157"/>
      <c r="P1544" s="157"/>
      <c r="Q1544" s="157"/>
      <c r="R1544" s="157"/>
      <c r="S1544" s="157"/>
      <c r="T1544" s="157">
        <v>12</v>
      </c>
      <c r="U1544" s="157"/>
      <c r="V1544" s="158">
        <v>4.5</v>
      </c>
      <c r="W1544" s="182" t="s">
        <v>3166</v>
      </c>
      <c r="X1544" s="1"/>
      <c r="Y1544" s="78">
        <f t="shared" si="201"/>
        <v>0</v>
      </c>
      <c r="Z1544" s="78">
        <f t="shared" si="202"/>
        <v>0</v>
      </c>
      <c r="AA1544" s="78">
        <f t="shared" si="200"/>
        <v>0</v>
      </c>
      <c r="AB1544" s="78">
        <f t="shared" si="203"/>
        <v>0</v>
      </c>
      <c r="AC1544" s="78"/>
      <c r="AD1544" s="78">
        <v>0</v>
      </c>
      <c r="AE1544" s="80">
        <f t="shared" si="198"/>
        <v>0</v>
      </c>
      <c r="AF1544" s="82">
        <v>0</v>
      </c>
      <c r="AG1544" s="69">
        <v>40492</v>
      </c>
      <c r="AH1544" s="84"/>
      <c r="AI1544" s="69" t="s">
        <v>1984</v>
      </c>
      <c r="AJ1544" s="25" t="s">
        <v>1985</v>
      </c>
      <c r="AK1544" s="65"/>
      <c r="AL1544" s="176" t="s">
        <v>1257</v>
      </c>
      <c r="AM1544" s="173" t="s">
        <v>3167</v>
      </c>
      <c r="AN1544" s="159"/>
      <c r="AO1544" s="160"/>
      <c r="AP1544" s="161"/>
      <c r="AQ1544" s="160"/>
      <c r="AR1544" s="160"/>
      <c r="AS1544" s="160"/>
      <c r="AT1544" s="160"/>
      <c r="AU1544" s="160"/>
      <c r="AV1544" s="160"/>
      <c r="AW1544" s="160"/>
      <c r="AX1544" s="160"/>
      <c r="AY1544" s="160"/>
      <c r="AZ1544" s="160"/>
      <c r="BA1544" s="160"/>
      <c r="BB1544" s="160"/>
      <c r="BC1544" s="160"/>
      <c r="BD1544" s="160"/>
      <c r="BE1544" s="160"/>
      <c r="BF1544" s="160"/>
      <c r="BG1544" s="160"/>
      <c r="BH1544" s="160"/>
      <c r="BI1544" s="160"/>
      <c r="BJ1544" s="160"/>
      <c r="BK1544" s="160"/>
      <c r="BL1544" s="160"/>
      <c r="BM1544" s="160"/>
      <c r="BN1544" s="160"/>
      <c r="BO1544" s="160"/>
      <c r="BP1544" s="160"/>
      <c r="BQ1544" s="160"/>
      <c r="BR1544" s="160"/>
      <c r="BS1544" s="160"/>
      <c r="BT1544" s="160"/>
      <c r="BU1544" s="160"/>
      <c r="BV1544" s="160"/>
      <c r="BW1544" s="160"/>
      <c r="BX1544" s="160"/>
      <c r="BY1544" s="160"/>
      <c r="BZ1544" s="160"/>
      <c r="CA1544" s="160"/>
      <c r="CB1544" s="160"/>
      <c r="CC1544" s="160"/>
      <c r="CD1544" s="160"/>
      <c r="CE1544" s="160"/>
      <c r="CF1544" s="160"/>
      <c r="CG1544" s="160"/>
      <c r="CH1544" s="160"/>
      <c r="CI1544" s="160"/>
      <c r="CJ1544" s="160"/>
      <c r="CK1544" s="160"/>
      <c r="CL1544" s="160"/>
      <c r="CM1544" s="160"/>
      <c r="CN1544" s="160"/>
      <c r="CO1544" s="160"/>
      <c r="CP1544" s="162"/>
      <c r="CQ1544" s="163"/>
      <c r="CR1544" s="162"/>
      <c r="CS1544" s="163"/>
      <c r="CT1544" s="162"/>
      <c r="CU1544" s="163"/>
      <c r="CV1544" s="164">
        <f t="shared" si="204"/>
        <v>0</v>
      </c>
      <c r="CW1544" s="165"/>
      <c r="CX1544" s="166"/>
      <c r="CY1544" s="167"/>
      <c r="CZ1544" s="168"/>
      <c r="DA1544" s="169"/>
      <c r="DB1544" s="168"/>
      <c r="DC1544" s="165"/>
      <c r="DD1544" s="166"/>
      <c r="DE1544" s="71"/>
      <c r="DF1544" s="170"/>
      <c r="EO1544" s="353" t="str">
        <f t="shared" si="199"/>
        <v>HUILA_RIVERA</v>
      </c>
      <c r="EP1544" s="350"/>
      <c r="EQ1544" s="350"/>
      <c r="ER1544" s="357"/>
      <c r="ES1544" s="350"/>
      <c r="ET1544" s="350"/>
      <c r="EU1544" s="350"/>
    </row>
    <row r="1545" spans="1:151" s="171" customFormat="1" ht="45" x14ac:dyDescent="0.2">
      <c r="A1545" s="242">
        <v>40488</v>
      </c>
      <c r="B1545" s="222" t="s">
        <v>1333</v>
      </c>
      <c r="C1545" s="222" t="s">
        <v>2749</v>
      </c>
      <c r="D1545" s="430" t="s">
        <v>837</v>
      </c>
      <c r="E1545" s="107" t="str">
        <f>VLOOKUP(B1545&amp;C1545,Divipola!$C$2:$F$1138,4,FALSE)</f>
        <v>41872</v>
      </c>
      <c r="F1545" s="333"/>
      <c r="G1545" s="221"/>
      <c r="H1545" s="157"/>
      <c r="I1545" s="157"/>
      <c r="J1545" s="157">
        <f>310*5</f>
        <v>1550</v>
      </c>
      <c r="K1545" s="157">
        <v>310</v>
      </c>
      <c r="L1545" s="157">
        <v>309</v>
      </c>
      <c r="M1545" s="157">
        <v>1</v>
      </c>
      <c r="N1545" s="157">
        <v>9</v>
      </c>
      <c r="O1545" s="157"/>
      <c r="P1545" s="157"/>
      <c r="Q1545" s="157"/>
      <c r="R1545" s="157">
        <v>2</v>
      </c>
      <c r="S1545" s="157"/>
      <c r="T1545" s="157"/>
      <c r="U1545" s="157"/>
      <c r="V1545" s="158">
        <v>880</v>
      </c>
      <c r="W1545" s="182"/>
      <c r="X1545" s="1"/>
      <c r="Y1545" s="78">
        <f t="shared" si="201"/>
        <v>0</v>
      </c>
      <c r="Z1545" s="78">
        <f t="shared" si="202"/>
        <v>0</v>
      </c>
      <c r="AA1545" s="78">
        <f t="shared" si="200"/>
        <v>0</v>
      </c>
      <c r="AB1545" s="78">
        <f t="shared" si="203"/>
        <v>0</v>
      </c>
      <c r="AC1545" s="78"/>
      <c r="AD1545" s="78">
        <v>0</v>
      </c>
      <c r="AE1545" s="80">
        <f t="shared" ref="AE1545:AE1608" si="205">Y1545+Z1545+AA1545+AB1545+AC1545+AD1545</f>
        <v>0</v>
      </c>
      <c r="AF1545" s="82">
        <v>0</v>
      </c>
      <c r="AG1545" s="69">
        <v>40488</v>
      </c>
      <c r="AH1545" s="84"/>
      <c r="AI1545" s="69" t="s">
        <v>2009</v>
      </c>
      <c r="AJ1545" s="276" t="s">
        <v>2010</v>
      </c>
      <c r="AK1545" s="65"/>
      <c r="AL1545" s="272" t="s">
        <v>311</v>
      </c>
      <c r="AM1545" s="173" t="s">
        <v>2968</v>
      </c>
      <c r="AN1545" s="159"/>
      <c r="AO1545" s="160"/>
      <c r="AP1545" s="161"/>
      <c r="AQ1545" s="160"/>
      <c r="AR1545" s="160"/>
      <c r="AS1545" s="160"/>
      <c r="AT1545" s="160"/>
      <c r="AU1545" s="160"/>
      <c r="AV1545" s="160"/>
      <c r="AW1545" s="160"/>
      <c r="AX1545" s="160"/>
      <c r="AY1545" s="160"/>
      <c r="AZ1545" s="160"/>
      <c r="BA1545" s="160"/>
      <c r="BB1545" s="160"/>
      <c r="BC1545" s="160"/>
      <c r="BD1545" s="160"/>
      <c r="BE1545" s="160"/>
      <c r="BF1545" s="160"/>
      <c r="BG1545" s="160"/>
      <c r="BH1545" s="160"/>
      <c r="BI1545" s="160"/>
      <c r="BJ1545" s="160"/>
      <c r="BK1545" s="160"/>
      <c r="BL1545" s="160"/>
      <c r="BM1545" s="160"/>
      <c r="BN1545" s="160"/>
      <c r="BO1545" s="160"/>
      <c r="BP1545" s="160"/>
      <c r="BQ1545" s="160"/>
      <c r="BR1545" s="160"/>
      <c r="BS1545" s="160"/>
      <c r="BT1545" s="160"/>
      <c r="BU1545" s="160"/>
      <c r="BV1545" s="160"/>
      <c r="BW1545" s="160"/>
      <c r="BX1545" s="160"/>
      <c r="BY1545" s="160"/>
      <c r="BZ1545" s="160"/>
      <c r="CA1545" s="160"/>
      <c r="CB1545" s="160"/>
      <c r="CC1545" s="160"/>
      <c r="CD1545" s="160"/>
      <c r="CE1545" s="160"/>
      <c r="CF1545" s="160"/>
      <c r="CG1545" s="160"/>
      <c r="CH1545" s="160"/>
      <c r="CI1545" s="160"/>
      <c r="CJ1545" s="160"/>
      <c r="CK1545" s="160"/>
      <c r="CL1545" s="160"/>
      <c r="CM1545" s="160"/>
      <c r="CN1545" s="160"/>
      <c r="CO1545" s="160"/>
      <c r="CP1545" s="162"/>
      <c r="CQ1545" s="163"/>
      <c r="CR1545" s="162"/>
      <c r="CS1545" s="163"/>
      <c r="CT1545" s="162"/>
      <c r="CU1545" s="163"/>
      <c r="CV1545" s="164">
        <f t="shared" si="204"/>
        <v>0</v>
      </c>
      <c r="CW1545" s="165"/>
      <c r="CX1545" s="166"/>
      <c r="CY1545" s="167"/>
      <c r="CZ1545" s="168"/>
      <c r="DA1545" s="169"/>
      <c r="DB1545" s="168"/>
      <c r="DC1545" s="165"/>
      <c r="DD1545" s="166"/>
      <c r="DE1545" s="71"/>
      <c r="DF1545" s="170"/>
      <c r="EO1545" s="353" t="str">
        <f t="shared" si="199"/>
        <v>HUILA_VILLAVIEJA</v>
      </c>
      <c r="EP1545" s="350"/>
      <c r="EQ1545" s="350"/>
      <c r="ER1545" s="357"/>
      <c r="ES1545" s="350"/>
      <c r="ET1545" s="350"/>
      <c r="EU1545" s="350"/>
    </row>
    <row r="1546" spans="1:151" s="171" customFormat="1" ht="25.5" x14ac:dyDescent="0.2">
      <c r="A1546" s="242">
        <v>40488</v>
      </c>
      <c r="B1546" s="222" t="s">
        <v>2014</v>
      </c>
      <c r="C1546" s="222" t="s">
        <v>1978</v>
      </c>
      <c r="D1546" s="427" t="s">
        <v>2307</v>
      </c>
      <c r="E1546" s="107" t="str">
        <f>VLOOKUP(B1546&amp;C1546,Divipola!$C$2:$F$1138,4,FALSE)</f>
        <v>63594</v>
      </c>
      <c r="F1546" s="330"/>
      <c r="G1546" s="221"/>
      <c r="H1546" s="157"/>
      <c r="I1546" s="157"/>
      <c r="J1546" s="157">
        <f>78*5</f>
        <v>390</v>
      </c>
      <c r="K1546" s="157">
        <f>124-21-2-3-12-8</f>
        <v>78</v>
      </c>
      <c r="L1546" s="157"/>
      <c r="M1546" s="157">
        <v>2</v>
      </c>
      <c r="N1546" s="157"/>
      <c r="O1546" s="157"/>
      <c r="P1546" s="157"/>
      <c r="Q1546" s="157"/>
      <c r="R1546" s="157"/>
      <c r="S1546" s="157"/>
      <c r="T1546" s="157"/>
      <c r="U1546" s="157"/>
      <c r="V1546" s="158"/>
      <c r="W1546" s="182"/>
      <c r="X1546" s="1"/>
      <c r="Y1546" s="78">
        <f t="shared" si="201"/>
        <v>0</v>
      </c>
      <c r="Z1546" s="78">
        <f t="shared" si="202"/>
        <v>0</v>
      </c>
      <c r="AA1546" s="78">
        <f t="shared" si="200"/>
        <v>0</v>
      </c>
      <c r="AB1546" s="78">
        <f t="shared" si="203"/>
        <v>0</v>
      </c>
      <c r="AC1546" s="78"/>
      <c r="AD1546" s="78">
        <v>0</v>
      </c>
      <c r="AE1546" s="80">
        <f t="shared" si="205"/>
        <v>0</v>
      </c>
      <c r="AF1546" s="82">
        <v>0</v>
      </c>
      <c r="AG1546" s="69">
        <v>40490</v>
      </c>
      <c r="AH1546" s="84"/>
      <c r="AI1546" s="69" t="s">
        <v>1984</v>
      </c>
      <c r="AJ1546" s="25" t="s">
        <v>1985</v>
      </c>
      <c r="AK1546" s="65"/>
      <c r="AL1546" s="176" t="s">
        <v>1257</v>
      </c>
      <c r="AM1546" s="173" t="s">
        <v>1268</v>
      </c>
      <c r="AN1546" s="159"/>
      <c r="AO1546" s="160"/>
      <c r="AP1546" s="161"/>
      <c r="AQ1546" s="160"/>
      <c r="AR1546" s="160"/>
      <c r="AS1546" s="160"/>
      <c r="AT1546" s="160"/>
      <c r="AU1546" s="160"/>
      <c r="AV1546" s="160"/>
      <c r="AW1546" s="160"/>
      <c r="AX1546" s="160"/>
      <c r="AY1546" s="160"/>
      <c r="AZ1546" s="160"/>
      <c r="BA1546" s="160"/>
      <c r="BB1546" s="160"/>
      <c r="BC1546" s="160"/>
      <c r="BD1546" s="160"/>
      <c r="BE1546" s="160"/>
      <c r="BF1546" s="160"/>
      <c r="BG1546" s="160"/>
      <c r="BH1546" s="160"/>
      <c r="BI1546" s="160"/>
      <c r="BJ1546" s="160"/>
      <c r="BK1546" s="160"/>
      <c r="BL1546" s="160"/>
      <c r="BM1546" s="160"/>
      <c r="BN1546" s="160"/>
      <c r="BO1546" s="160"/>
      <c r="BP1546" s="160"/>
      <c r="BQ1546" s="160"/>
      <c r="BR1546" s="160"/>
      <c r="BS1546" s="160"/>
      <c r="BT1546" s="160"/>
      <c r="BU1546" s="160"/>
      <c r="BV1546" s="160"/>
      <c r="BW1546" s="160"/>
      <c r="BX1546" s="160"/>
      <c r="BY1546" s="160"/>
      <c r="BZ1546" s="160"/>
      <c r="CA1546" s="160"/>
      <c r="CB1546" s="160"/>
      <c r="CC1546" s="160"/>
      <c r="CD1546" s="160"/>
      <c r="CE1546" s="160"/>
      <c r="CF1546" s="160"/>
      <c r="CG1546" s="160"/>
      <c r="CH1546" s="160"/>
      <c r="CI1546" s="160"/>
      <c r="CJ1546" s="160"/>
      <c r="CK1546" s="160"/>
      <c r="CL1546" s="160"/>
      <c r="CM1546" s="160"/>
      <c r="CN1546" s="160"/>
      <c r="CO1546" s="160"/>
      <c r="CP1546" s="162"/>
      <c r="CQ1546" s="163"/>
      <c r="CR1546" s="162"/>
      <c r="CS1546" s="163"/>
      <c r="CT1546" s="162"/>
      <c r="CU1546" s="163"/>
      <c r="CV1546" s="164">
        <f t="shared" si="204"/>
        <v>0</v>
      </c>
      <c r="CW1546" s="165"/>
      <c r="CX1546" s="166"/>
      <c r="CY1546" s="167"/>
      <c r="CZ1546" s="168"/>
      <c r="DA1546" s="169"/>
      <c r="DB1546" s="168"/>
      <c r="DC1546" s="165"/>
      <c r="DD1546" s="166"/>
      <c r="DE1546" s="71"/>
      <c r="DF1546" s="170"/>
      <c r="EO1546" s="353" t="str">
        <f t="shared" si="199"/>
        <v>QUINDIO_QUIMBAYA</v>
      </c>
      <c r="EP1546" s="350"/>
      <c r="EQ1546" s="350"/>
      <c r="ER1546" s="357"/>
      <c r="ES1546" s="350"/>
      <c r="ET1546" s="350"/>
      <c r="EU1546" s="350"/>
    </row>
    <row r="1547" spans="1:151" s="171" customFormat="1" ht="25.5" x14ac:dyDescent="0.2">
      <c r="A1547" s="242">
        <v>40488</v>
      </c>
      <c r="B1547" s="107" t="s">
        <v>2012</v>
      </c>
      <c r="C1547" s="222" t="s">
        <v>2433</v>
      </c>
      <c r="D1547" s="427" t="s">
        <v>2307</v>
      </c>
      <c r="E1547" s="107" t="str">
        <f>VLOOKUP(B1547&amp;C1547,Divipola!$C$2:$F$1138,4,FALSE)</f>
        <v>66001</v>
      </c>
      <c r="F1547" s="330"/>
      <c r="G1547" s="221"/>
      <c r="H1547" s="157"/>
      <c r="I1547" s="157"/>
      <c r="J1547" s="157"/>
      <c r="K1547" s="157"/>
      <c r="L1547" s="157"/>
      <c r="M1547" s="157"/>
      <c r="N1547" s="157">
        <v>1</v>
      </c>
      <c r="O1547" s="157"/>
      <c r="P1547" s="157"/>
      <c r="Q1547" s="157"/>
      <c r="R1547" s="157"/>
      <c r="S1547" s="157"/>
      <c r="T1547" s="157"/>
      <c r="U1547" s="157"/>
      <c r="V1547" s="158"/>
      <c r="W1547" s="182"/>
      <c r="X1547" s="1"/>
      <c r="Y1547" s="78">
        <f t="shared" si="201"/>
        <v>0</v>
      </c>
      <c r="Z1547" s="78">
        <f t="shared" si="202"/>
        <v>0</v>
      </c>
      <c r="AA1547" s="78">
        <f t="shared" si="200"/>
        <v>0</v>
      </c>
      <c r="AB1547" s="78">
        <f t="shared" si="203"/>
        <v>0</v>
      </c>
      <c r="AC1547" s="78"/>
      <c r="AD1547" s="78">
        <v>0</v>
      </c>
      <c r="AE1547" s="80">
        <f t="shared" si="205"/>
        <v>0</v>
      </c>
      <c r="AF1547" s="82">
        <v>0</v>
      </c>
      <c r="AG1547" s="69">
        <v>40490</v>
      </c>
      <c r="AH1547" s="84"/>
      <c r="AI1547" s="69" t="s">
        <v>1984</v>
      </c>
      <c r="AJ1547" s="25" t="s">
        <v>1985</v>
      </c>
      <c r="AK1547" s="65"/>
      <c r="AL1547" s="176" t="s">
        <v>1257</v>
      </c>
      <c r="AM1547" s="173" t="s">
        <v>3049</v>
      </c>
      <c r="AN1547" s="159"/>
      <c r="AO1547" s="160"/>
      <c r="AP1547" s="161"/>
      <c r="AQ1547" s="160"/>
      <c r="AR1547" s="160"/>
      <c r="AS1547" s="160"/>
      <c r="AT1547" s="160"/>
      <c r="AU1547" s="160"/>
      <c r="AV1547" s="160"/>
      <c r="AW1547" s="160"/>
      <c r="AX1547" s="160"/>
      <c r="AY1547" s="160"/>
      <c r="AZ1547" s="160"/>
      <c r="BA1547" s="160"/>
      <c r="BB1547" s="160"/>
      <c r="BC1547" s="160"/>
      <c r="BD1547" s="160"/>
      <c r="BE1547" s="160"/>
      <c r="BF1547" s="160"/>
      <c r="BG1547" s="160"/>
      <c r="BH1547" s="160"/>
      <c r="BI1547" s="160"/>
      <c r="BJ1547" s="160"/>
      <c r="BK1547" s="160"/>
      <c r="BL1547" s="160"/>
      <c r="BM1547" s="160"/>
      <c r="BN1547" s="160"/>
      <c r="BO1547" s="160"/>
      <c r="BP1547" s="160"/>
      <c r="BQ1547" s="160"/>
      <c r="BR1547" s="160"/>
      <c r="BS1547" s="160"/>
      <c r="BT1547" s="160"/>
      <c r="BU1547" s="160"/>
      <c r="BV1547" s="160"/>
      <c r="BW1547" s="160"/>
      <c r="BX1547" s="160"/>
      <c r="BY1547" s="160"/>
      <c r="BZ1547" s="160"/>
      <c r="CA1547" s="160"/>
      <c r="CB1547" s="160"/>
      <c r="CC1547" s="160"/>
      <c r="CD1547" s="160"/>
      <c r="CE1547" s="160"/>
      <c r="CF1547" s="160"/>
      <c r="CG1547" s="160"/>
      <c r="CH1547" s="160"/>
      <c r="CI1547" s="160"/>
      <c r="CJ1547" s="160"/>
      <c r="CK1547" s="160"/>
      <c r="CL1547" s="160"/>
      <c r="CM1547" s="160"/>
      <c r="CN1547" s="160"/>
      <c r="CO1547" s="160"/>
      <c r="CP1547" s="162"/>
      <c r="CQ1547" s="163"/>
      <c r="CR1547" s="162"/>
      <c r="CS1547" s="163"/>
      <c r="CT1547" s="162"/>
      <c r="CU1547" s="163"/>
      <c r="CV1547" s="164">
        <f t="shared" si="204"/>
        <v>0</v>
      </c>
      <c r="CW1547" s="165"/>
      <c r="CX1547" s="166"/>
      <c r="CY1547" s="167"/>
      <c r="CZ1547" s="168"/>
      <c r="DA1547" s="169"/>
      <c r="DB1547" s="168"/>
      <c r="DC1547" s="165"/>
      <c r="DD1547" s="166"/>
      <c r="DE1547" s="71"/>
      <c r="DF1547" s="170"/>
      <c r="EO1547" s="353" t="str">
        <f t="shared" si="199"/>
        <v>RISARALDA_PEREIRA</v>
      </c>
      <c r="EP1547" s="350"/>
      <c r="EQ1547" s="350"/>
      <c r="ER1547" s="357"/>
      <c r="ES1547" s="350"/>
      <c r="ET1547" s="350"/>
      <c r="EU1547" s="350"/>
    </row>
    <row r="1548" spans="1:151" s="171" customFormat="1" ht="25.5" x14ac:dyDescent="0.2">
      <c r="A1548" s="242">
        <v>40488</v>
      </c>
      <c r="B1548" s="222" t="s">
        <v>2791</v>
      </c>
      <c r="C1548" s="222" t="s">
        <v>3831</v>
      </c>
      <c r="D1548" s="430" t="s">
        <v>837</v>
      </c>
      <c r="E1548" s="107" t="str">
        <f>VLOOKUP(B1548&amp;C1548,Divipola!$C$2:$F$1138,4,FALSE)</f>
        <v>73347</v>
      </c>
      <c r="F1548" s="333"/>
      <c r="G1548" s="221"/>
      <c r="H1548" s="157"/>
      <c r="I1548" s="157"/>
      <c r="J1548" s="157">
        <f>770-400-125</f>
        <v>245</v>
      </c>
      <c r="K1548" s="157">
        <f>171-25-80</f>
        <v>66</v>
      </c>
      <c r="L1548" s="157">
        <v>13</v>
      </c>
      <c r="M1548" s="157">
        <v>47</v>
      </c>
      <c r="N1548" s="157">
        <v>1</v>
      </c>
      <c r="O1548" s="157"/>
      <c r="P1548" s="157"/>
      <c r="Q1548" s="157"/>
      <c r="R1548" s="157"/>
      <c r="S1548" s="157"/>
      <c r="T1548" s="157"/>
      <c r="U1548" s="157"/>
      <c r="V1548" s="158">
        <v>145</v>
      </c>
      <c r="W1548" s="182"/>
      <c r="X1548" s="1"/>
      <c r="Y1548" s="78">
        <f t="shared" si="201"/>
        <v>0</v>
      </c>
      <c r="Z1548" s="78">
        <f t="shared" si="202"/>
        <v>0</v>
      </c>
      <c r="AA1548" s="78">
        <f t="shared" si="200"/>
        <v>0</v>
      </c>
      <c r="AB1548" s="78">
        <f t="shared" si="203"/>
        <v>0</v>
      </c>
      <c r="AC1548" s="78"/>
      <c r="AD1548" s="78">
        <v>0</v>
      </c>
      <c r="AE1548" s="80">
        <f t="shared" si="205"/>
        <v>0</v>
      </c>
      <c r="AF1548" s="82">
        <v>0</v>
      </c>
      <c r="AG1548" s="69">
        <v>40581</v>
      </c>
      <c r="AH1548" s="84"/>
      <c r="AI1548" s="69" t="s">
        <v>1984</v>
      </c>
      <c r="AJ1548" s="25" t="s">
        <v>1985</v>
      </c>
      <c r="AK1548" s="65"/>
      <c r="AL1548" s="176" t="s">
        <v>1257</v>
      </c>
      <c r="AM1548" s="173" t="s">
        <v>349</v>
      </c>
      <c r="AN1548" s="159"/>
      <c r="AO1548" s="160"/>
      <c r="AP1548" s="161"/>
      <c r="AQ1548" s="160"/>
      <c r="AR1548" s="160"/>
      <c r="AS1548" s="160"/>
      <c r="AT1548" s="160"/>
      <c r="AU1548" s="160"/>
      <c r="AV1548" s="160"/>
      <c r="AW1548" s="160"/>
      <c r="AX1548" s="160"/>
      <c r="AY1548" s="160"/>
      <c r="AZ1548" s="160"/>
      <c r="BA1548" s="160"/>
      <c r="BB1548" s="160"/>
      <c r="BC1548" s="160"/>
      <c r="BD1548" s="160"/>
      <c r="BE1548" s="160"/>
      <c r="BF1548" s="160"/>
      <c r="BG1548" s="160"/>
      <c r="BH1548" s="160"/>
      <c r="BI1548" s="160"/>
      <c r="BJ1548" s="160"/>
      <c r="BK1548" s="160"/>
      <c r="BL1548" s="160"/>
      <c r="BM1548" s="160"/>
      <c r="BN1548" s="160"/>
      <c r="BO1548" s="160"/>
      <c r="BP1548" s="160"/>
      <c r="BQ1548" s="160"/>
      <c r="BR1548" s="160"/>
      <c r="BS1548" s="160"/>
      <c r="BT1548" s="160"/>
      <c r="BU1548" s="160"/>
      <c r="BV1548" s="160"/>
      <c r="BW1548" s="160"/>
      <c r="BX1548" s="160"/>
      <c r="BY1548" s="160"/>
      <c r="BZ1548" s="160"/>
      <c r="CA1548" s="160"/>
      <c r="CB1548" s="160"/>
      <c r="CC1548" s="160"/>
      <c r="CD1548" s="160"/>
      <c r="CE1548" s="160"/>
      <c r="CF1548" s="160"/>
      <c r="CG1548" s="160"/>
      <c r="CH1548" s="160"/>
      <c r="CI1548" s="160"/>
      <c r="CJ1548" s="160"/>
      <c r="CK1548" s="160"/>
      <c r="CL1548" s="160"/>
      <c r="CM1548" s="160"/>
      <c r="CN1548" s="160"/>
      <c r="CO1548" s="160"/>
      <c r="CP1548" s="162"/>
      <c r="CQ1548" s="163"/>
      <c r="CR1548" s="162"/>
      <c r="CS1548" s="163"/>
      <c r="CT1548" s="162"/>
      <c r="CU1548" s="163"/>
      <c r="CV1548" s="164">
        <f t="shared" si="204"/>
        <v>0</v>
      </c>
      <c r="CW1548" s="165"/>
      <c r="CX1548" s="166"/>
      <c r="CY1548" s="167"/>
      <c r="CZ1548" s="168"/>
      <c r="DA1548" s="169"/>
      <c r="DB1548" s="168"/>
      <c r="DC1548" s="165"/>
      <c r="DD1548" s="166"/>
      <c r="DE1548" s="71"/>
      <c r="DF1548" s="170"/>
      <c r="EO1548" s="353" t="str">
        <f t="shared" si="199"/>
        <v>TOLIMA_HERVEO</v>
      </c>
      <c r="EP1548" s="350"/>
      <c r="EQ1548" s="350"/>
      <c r="ER1548" s="357"/>
      <c r="ES1548" s="350"/>
      <c r="ET1548" s="350"/>
      <c r="EU1548" s="350"/>
    </row>
    <row r="1549" spans="1:151" s="171" customFormat="1" ht="60" x14ac:dyDescent="0.2">
      <c r="A1549" s="242">
        <v>40488</v>
      </c>
      <c r="B1549" s="222" t="s">
        <v>2791</v>
      </c>
      <c r="C1549" s="222" t="s">
        <v>642</v>
      </c>
      <c r="D1549" s="430" t="s">
        <v>837</v>
      </c>
      <c r="E1549" s="107" t="str">
        <f>VLOOKUP(B1549&amp;C1549,Divipola!$C$2:$F$1138,4,FALSE)</f>
        <v>73349</v>
      </c>
      <c r="F1549" s="333"/>
      <c r="G1549" s="221"/>
      <c r="H1549" s="157"/>
      <c r="I1549" s="157"/>
      <c r="J1549" s="157">
        <f>331*5</f>
        <v>1655</v>
      </c>
      <c r="K1549" s="157">
        <v>331</v>
      </c>
      <c r="L1549" s="157"/>
      <c r="M1549" s="157"/>
      <c r="N1549" s="157">
        <v>1</v>
      </c>
      <c r="O1549" s="157"/>
      <c r="P1549" s="157">
        <v>4</v>
      </c>
      <c r="Q1549" s="157">
        <v>0</v>
      </c>
      <c r="R1549" s="157"/>
      <c r="S1549" s="157">
        <v>1</v>
      </c>
      <c r="T1549" s="157"/>
      <c r="U1549" s="157">
        <v>2</v>
      </c>
      <c r="V1549" s="158"/>
      <c r="W1549" s="182"/>
      <c r="X1549" s="1"/>
      <c r="Y1549" s="78">
        <f t="shared" si="201"/>
        <v>0</v>
      </c>
      <c r="Z1549" s="78">
        <f t="shared" si="202"/>
        <v>0</v>
      </c>
      <c r="AA1549" s="78">
        <f t="shared" si="200"/>
        <v>0</v>
      </c>
      <c r="AB1549" s="78">
        <f t="shared" si="203"/>
        <v>0</v>
      </c>
      <c r="AC1549" s="78"/>
      <c r="AD1549" s="78">
        <v>0</v>
      </c>
      <c r="AE1549" s="80">
        <f t="shared" si="205"/>
        <v>0</v>
      </c>
      <c r="AF1549" s="82">
        <v>0</v>
      </c>
      <c r="AG1549" s="69">
        <v>40490</v>
      </c>
      <c r="AH1549" s="84"/>
      <c r="AI1549" s="69" t="s">
        <v>1984</v>
      </c>
      <c r="AJ1549" s="25" t="s">
        <v>1985</v>
      </c>
      <c r="AK1549" s="65"/>
      <c r="AL1549" s="176" t="s">
        <v>1257</v>
      </c>
      <c r="AM1549" s="173" t="s">
        <v>3048</v>
      </c>
      <c r="AN1549" s="159"/>
      <c r="AO1549" s="160"/>
      <c r="AP1549" s="161"/>
      <c r="AQ1549" s="160"/>
      <c r="AR1549" s="160"/>
      <c r="AS1549" s="160"/>
      <c r="AT1549" s="160"/>
      <c r="AU1549" s="160"/>
      <c r="AV1549" s="160"/>
      <c r="AW1549" s="160"/>
      <c r="AX1549" s="160"/>
      <c r="AY1549" s="160"/>
      <c r="AZ1549" s="160"/>
      <c r="BA1549" s="160"/>
      <c r="BB1549" s="160"/>
      <c r="BC1549" s="160"/>
      <c r="BD1549" s="160"/>
      <c r="BE1549" s="160"/>
      <c r="BF1549" s="160"/>
      <c r="BG1549" s="160"/>
      <c r="BH1549" s="160"/>
      <c r="BI1549" s="160"/>
      <c r="BJ1549" s="160"/>
      <c r="BK1549" s="160"/>
      <c r="BL1549" s="160"/>
      <c r="BM1549" s="160"/>
      <c r="BN1549" s="160"/>
      <c r="BO1549" s="160"/>
      <c r="BP1549" s="160"/>
      <c r="BQ1549" s="160"/>
      <c r="BR1549" s="160"/>
      <c r="BS1549" s="160"/>
      <c r="BT1549" s="160"/>
      <c r="BU1549" s="160"/>
      <c r="BV1549" s="160"/>
      <c r="BW1549" s="160"/>
      <c r="BX1549" s="160"/>
      <c r="BY1549" s="160"/>
      <c r="BZ1549" s="160"/>
      <c r="CA1549" s="160"/>
      <c r="CB1549" s="160"/>
      <c r="CC1549" s="160"/>
      <c r="CD1549" s="160"/>
      <c r="CE1549" s="160"/>
      <c r="CF1549" s="160"/>
      <c r="CG1549" s="160"/>
      <c r="CH1549" s="160"/>
      <c r="CI1549" s="160"/>
      <c r="CJ1549" s="160"/>
      <c r="CK1549" s="160"/>
      <c r="CL1549" s="160"/>
      <c r="CM1549" s="160"/>
      <c r="CN1549" s="160"/>
      <c r="CO1549" s="160"/>
      <c r="CP1549" s="162"/>
      <c r="CQ1549" s="163"/>
      <c r="CR1549" s="162"/>
      <c r="CS1549" s="163"/>
      <c r="CT1549" s="162"/>
      <c r="CU1549" s="163"/>
      <c r="CV1549" s="164">
        <f t="shared" si="204"/>
        <v>0</v>
      </c>
      <c r="CW1549" s="165"/>
      <c r="CX1549" s="166"/>
      <c r="CY1549" s="167"/>
      <c r="CZ1549" s="168"/>
      <c r="DA1549" s="169"/>
      <c r="DB1549" s="168"/>
      <c r="DC1549" s="165"/>
      <c r="DD1549" s="166"/>
      <c r="DE1549" s="71"/>
      <c r="DF1549" s="170"/>
      <c r="EO1549" s="353" t="str">
        <f t="shared" si="199"/>
        <v>TOLIMA_HONDA</v>
      </c>
      <c r="EP1549" s="350"/>
      <c r="EQ1549" s="350"/>
      <c r="ER1549" s="357"/>
      <c r="ES1549" s="350"/>
      <c r="ET1549" s="350"/>
      <c r="EU1549" s="350"/>
    </row>
    <row r="1550" spans="1:151" s="171" customFormat="1" ht="25.5" x14ac:dyDescent="0.2">
      <c r="A1550" s="242">
        <v>40488</v>
      </c>
      <c r="B1550" s="222" t="s">
        <v>2791</v>
      </c>
      <c r="C1550" s="222" t="s">
        <v>635</v>
      </c>
      <c r="D1550" s="430" t="s">
        <v>837</v>
      </c>
      <c r="E1550" s="107" t="str">
        <f>VLOOKUP(B1550&amp;C1550,Divipola!$C$2:$F$1138,4,FALSE)</f>
        <v>73352</v>
      </c>
      <c r="F1550" s="333"/>
      <c r="G1550" s="221"/>
      <c r="H1550" s="157"/>
      <c r="I1550" s="157"/>
      <c r="J1550" s="157">
        <v>2835</v>
      </c>
      <c r="K1550" s="157">
        <v>630</v>
      </c>
      <c r="L1550" s="157"/>
      <c r="M1550" s="157"/>
      <c r="N1550" s="157"/>
      <c r="O1550" s="157"/>
      <c r="P1550" s="157"/>
      <c r="Q1550" s="157"/>
      <c r="R1550" s="157"/>
      <c r="S1550" s="157"/>
      <c r="T1550" s="157"/>
      <c r="U1550" s="157"/>
      <c r="V1550" s="158">
        <v>483.5</v>
      </c>
      <c r="W1550" s="182"/>
      <c r="X1550" s="1"/>
      <c r="Y1550" s="78">
        <f t="shared" si="201"/>
        <v>0</v>
      </c>
      <c r="Z1550" s="78">
        <f t="shared" si="202"/>
        <v>0</v>
      </c>
      <c r="AA1550" s="78">
        <f t="shared" si="200"/>
        <v>0</v>
      </c>
      <c r="AB1550" s="78">
        <f t="shared" si="203"/>
        <v>0</v>
      </c>
      <c r="AC1550" s="78"/>
      <c r="AD1550" s="78">
        <v>0</v>
      </c>
      <c r="AE1550" s="80">
        <f t="shared" si="205"/>
        <v>0</v>
      </c>
      <c r="AF1550" s="82">
        <v>0</v>
      </c>
      <c r="AG1550" s="69">
        <v>40490</v>
      </c>
      <c r="AH1550" s="84"/>
      <c r="AI1550" s="69" t="s">
        <v>1984</v>
      </c>
      <c r="AJ1550" s="25" t="s">
        <v>1985</v>
      </c>
      <c r="AK1550" s="65"/>
      <c r="AL1550" s="176" t="s">
        <v>1257</v>
      </c>
      <c r="AM1550" s="173" t="s">
        <v>1476</v>
      </c>
      <c r="AN1550" s="159"/>
      <c r="AO1550" s="160"/>
      <c r="AP1550" s="161"/>
      <c r="AQ1550" s="160"/>
      <c r="AR1550" s="160"/>
      <c r="AS1550" s="160"/>
      <c r="AT1550" s="160"/>
      <c r="AU1550" s="160"/>
      <c r="AV1550" s="160"/>
      <c r="AW1550" s="160"/>
      <c r="AX1550" s="160"/>
      <c r="AY1550" s="160"/>
      <c r="AZ1550" s="160"/>
      <c r="BA1550" s="160"/>
      <c r="BB1550" s="160"/>
      <c r="BC1550" s="160"/>
      <c r="BD1550" s="160"/>
      <c r="BE1550" s="160"/>
      <c r="BF1550" s="160"/>
      <c r="BG1550" s="160"/>
      <c r="BH1550" s="160"/>
      <c r="BI1550" s="160"/>
      <c r="BJ1550" s="160"/>
      <c r="BK1550" s="160"/>
      <c r="BL1550" s="160"/>
      <c r="BM1550" s="160"/>
      <c r="BN1550" s="160"/>
      <c r="BO1550" s="160"/>
      <c r="BP1550" s="160"/>
      <c r="BQ1550" s="160"/>
      <c r="BR1550" s="160"/>
      <c r="BS1550" s="160"/>
      <c r="BT1550" s="160"/>
      <c r="BU1550" s="160"/>
      <c r="BV1550" s="160"/>
      <c r="BW1550" s="160"/>
      <c r="BX1550" s="160"/>
      <c r="BY1550" s="160"/>
      <c r="BZ1550" s="160"/>
      <c r="CA1550" s="160"/>
      <c r="CB1550" s="160"/>
      <c r="CC1550" s="160"/>
      <c r="CD1550" s="160"/>
      <c r="CE1550" s="160"/>
      <c r="CF1550" s="160"/>
      <c r="CG1550" s="160"/>
      <c r="CH1550" s="160"/>
      <c r="CI1550" s="160"/>
      <c r="CJ1550" s="160"/>
      <c r="CK1550" s="160"/>
      <c r="CL1550" s="160"/>
      <c r="CM1550" s="160"/>
      <c r="CN1550" s="160"/>
      <c r="CO1550" s="160"/>
      <c r="CP1550" s="162"/>
      <c r="CQ1550" s="163"/>
      <c r="CR1550" s="162"/>
      <c r="CS1550" s="163"/>
      <c r="CT1550" s="162"/>
      <c r="CU1550" s="163"/>
      <c r="CV1550" s="164">
        <f t="shared" si="204"/>
        <v>0</v>
      </c>
      <c r="CW1550" s="165"/>
      <c r="CX1550" s="166"/>
      <c r="CY1550" s="167"/>
      <c r="CZ1550" s="168"/>
      <c r="DA1550" s="169"/>
      <c r="DB1550" s="168"/>
      <c r="DC1550" s="165"/>
      <c r="DD1550" s="166"/>
      <c r="DE1550" s="71"/>
      <c r="DF1550" s="170"/>
      <c r="EO1550" s="353" t="str">
        <f t="shared" si="199"/>
        <v>TOLIMA_ICONONZO</v>
      </c>
      <c r="EP1550" s="350"/>
      <c r="EQ1550" s="350"/>
      <c r="ER1550" s="357"/>
      <c r="ES1550" s="350"/>
      <c r="ET1550" s="350"/>
      <c r="EU1550" s="350"/>
    </row>
    <row r="1551" spans="1:151" s="171" customFormat="1" ht="25.5" x14ac:dyDescent="0.2">
      <c r="A1551" s="242">
        <v>40488</v>
      </c>
      <c r="B1551" s="239" t="s">
        <v>2791</v>
      </c>
      <c r="C1551" s="222" t="s">
        <v>1098</v>
      </c>
      <c r="D1551" s="427" t="s">
        <v>2307</v>
      </c>
      <c r="E1551" s="107" t="str">
        <f>VLOOKUP(B1551&amp;C1551,Divipola!$C$2:$F$1138,4,FALSE)</f>
        <v>73443</v>
      </c>
      <c r="F1551" s="330"/>
      <c r="G1551" s="221"/>
      <c r="H1551" s="157"/>
      <c r="I1551" s="157"/>
      <c r="J1551" s="157">
        <f>282*5</f>
        <v>1410</v>
      </c>
      <c r="K1551" s="157">
        <v>282</v>
      </c>
      <c r="L1551" s="157"/>
      <c r="M1551" s="157"/>
      <c r="N1551" s="157">
        <v>1</v>
      </c>
      <c r="O1551" s="157"/>
      <c r="P1551" s="157"/>
      <c r="Q1551" s="157"/>
      <c r="R1551" s="157"/>
      <c r="S1551" s="157"/>
      <c r="T1551" s="157">
        <v>1</v>
      </c>
      <c r="U1551" s="157"/>
      <c r="V1551" s="158"/>
      <c r="W1551" s="182"/>
      <c r="X1551" s="1"/>
      <c r="Y1551" s="78">
        <f t="shared" si="201"/>
        <v>0</v>
      </c>
      <c r="Z1551" s="78">
        <f t="shared" si="202"/>
        <v>0</v>
      </c>
      <c r="AA1551" s="78">
        <f t="shared" si="200"/>
        <v>0</v>
      </c>
      <c r="AB1551" s="78">
        <f t="shared" si="203"/>
        <v>0</v>
      </c>
      <c r="AC1551" s="78"/>
      <c r="AD1551" s="78">
        <v>0</v>
      </c>
      <c r="AE1551" s="80">
        <f t="shared" si="205"/>
        <v>0</v>
      </c>
      <c r="AF1551" s="82">
        <v>0</v>
      </c>
      <c r="AG1551" s="69">
        <v>40490</v>
      </c>
      <c r="AH1551" s="84"/>
      <c r="AI1551" s="69" t="s">
        <v>1984</v>
      </c>
      <c r="AJ1551" s="25" t="s">
        <v>1985</v>
      </c>
      <c r="AK1551" s="65"/>
      <c r="AL1551" s="176" t="s">
        <v>1257</v>
      </c>
      <c r="AM1551" s="173" t="s">
        <v>3042</v>
      </c>
      <c r="AN1551" s="159"/>
      <c r="AO1551" s="160"/>
      <c r="AP1551" s="161"/>
      <c r="AQ1551" s="160"/>
      <c r="AR1551" s="160"/>
      <c r="AS1551" s="160"/>
      <c r="AT1551" s="160"/>
      <c r="AU1551" s="160"/>
      <c r="AV1551" s="160"/>
      <c r="AW1551" s="160"/>
      <c r="AX1551" s="160"/>
      <c r="AY1551" s="160"/>
      <c r="AZ1551" s="160"/>
      <c r="BA1551" s="160"/>
      <c r="BB1551" s="160"/>
      <c r="BC1551" s="160"/>
      <c r="BD1551" s="160"/>
      <c r="BE1551" s="160"/>
      <c r="BF1551" s="160"/>
      <c r="BG1551" s="160"/>
      <c r="BH1551" s="160"/>
      <c r="BI1551" s="160"/>
      <c r="BJ1551" s="160"/>
      <c r="BK1551" s="160"/>
      <c r="BL1551" s="160"/>
      <c r="BM1551" s="160"/>
      <c r="BN1551" s="160"/>
      <c r="BO1551" s="160"/>
      <c r="BP1551" s="160"/>
      <c r="BQ1551" s="160"/>
      <c r="BR1551" s="160"/>
      <c r="BS1551" s="160"/>
      <c r="BT1551" s="160"/>
      <c r="BU1551" s="160"/>
      <c r="BV1551" s="160"/>
      <c r="BW1551" s="160"/>
      <c r="BX1551" s="160"/>
      <c r="BY1551" s="160"/>
      <c r="BZ1551" s="160"/>
      <c r="CA1551" s="160"/>
      <c r="CB1551" s="160"/>
      <c r="CC1551" s="160"/>
      <c r="CD1551" s="160"/>
      <c r="CE1551" s="160"/>
      <c r="CF1551" s="160"/>
      <c r="CG1551" s="160"/>
      <c r="CH1551" s="160"/>
      <c r="CI1551" s="160"/>
      <c r="CJ1551" s="160"/>
      <c r="CK1551" s="160"/>
      <c r="CL1551" s="160"/>
      <c r="CM1551" s="160"/>
      <c r="CN1551" s="160"/>
      <c r="CO1551" s="160"/>
      <c r="CP1551" s="162"/>
      <c r="CQ1551" s="163"/>
      <c r="CR1551" s="162"/>
      <c r="CS1551" s="163"/>
      <c r="CT1551" s="162"/>
      <c r="CU1551" s="163"/>
      <c r="CV1551" s="164">
        <f t="shared" si="204"/>
        <v>0</v>
      </c>
      <c r="CW1551" s="165"/>
      <c r="CX1551" s="166"/>
      <c r="CY1551" s="167"/>
      <c r="CZ1551" s="168"/>
      <c r="DA1551" s="169"/>
      <c r="DB1551" s="168"/>
      <c r="DC1551" s="165"/>
      <c r="DD1551" s="166"/>
      <c r="DE1551" s="71"/>
      <c r="DF1551" s="170"/>
      <c r="EO1551" s="353" t="str">
        <f t="shared" si="199"/>
        <v>TOLIMA_MARIQUITA</v>
      </c>
      <c r="EP1551" s="350"/>
      <c r="EQ1551" s="350"/>
      <c r="ER1551" s="357"/>
      <c r="ES1551" s="350"/>
      <c r="ET1551" s="350"/>
      <c r="EU1551" s="350"/>
    </row>
    <row r="1552" spans="1:151" s="171" customFormat="1" ht="25.5" x14ac:dyDescent="0.2">
      <c r="A1552" s="242">
        <v>40488</v>
      </c>
      <c r="B1552" s="222" t="s">
        <v>2791</v>
      </c>
      <c r="C1552" s="222" t="s">
        <v>2668</v>
      </c>
      <c r="D1552" s="430" t="s">
        <v>837</v>
      </c>
      <c r="E1552" s="107" t="str">
        <f>VLOOKUP(B1552&amp;C1552,Divipola!$C$2:$F$1138,4,FALSE)</f>
        <v>73483</v>
      </c>
      <c r="F1552" s="333"/>
      <c r="G1552" s="221"/>
      <c r="H1552" s="157"/>
      <c r="I1552" s="157"/>
      <c r="J1552" s="421">
        <f>1079*5</f>
        <v>5395</v>
      </c>
      <c r="K1552" s="157">
        <v>1079</v>
      </c>
      <c r="L1552" s="157"/>
      <c r="M1552" s="157"/>
      <c r="N1552" s="157">
        <v>1</v>
      </c>
      <c r="O1552" s="157"/>
      <c r="P1552" s="157"/>
      <c r="Q1552" s="157"/>
      <c r="R1552" s="157"/>
      <c r="S1552" s="157"/>
      <c r="T1552" s="157">
        <v>1</v>
      </c>
      <c r="U1552" s="157"/>
      <c r="V1552" s="158">
        <v>2037</v>
      </c>
      <c r="W1552" s="182"/>
      <c r="X1552" s="1"/>
      <c r="Y1552" s="78">
        <f t="shared" si="201"/>
        <v>0</v>
      </c>
      <c r="Z1552" s="78">
        <f t="shared" si="202"/>
        <v>0</v>
      </c>
      <c r="AA1552" s="78">
        <f t="shared" si="200"/>
        <v>0</v>
      </c>
      <c r="AB1552" s="78">
        <f t="shared" si="203"/>
        <v>0</v>
      </c>
      <c r="AC1552" s="78"/>
      <c r="AD1552" s="78">
        <v>0</v>
      </c>
      <c r="AE1552" s="80">
        <f t="shared" si="205"/>
        <v>0</v>
      </c>
      <c r="AF1552" s="82">
        <v>0</v>
      </c>
      <c r="AG1552" s="69">
        <v>40490</v>
      </c>
      <c r="AH1552" s="84"/>
      <c r="AI1552" s="69" t="s">
        <v>1984</v>
      </c>
      <c r="AJ1552" s="70" t="s">
        <v>1985</v>
      </c>
      <c r="AK1552" s="65"/>
      <c r="AL1552" s="176" t="s">
        <v>1257</v>
      </c>
      <c r="AM1552" s="173" t="s">
        <v>3046</v>
      </c>
      <c r="AN1552" s="159"/>
      <c r="AO1552" s="160"/>
      <c r="AP1552" s="161"/>
      <c r="AQ1552" s="160"/>
      <c r="AR1552" s="160"/>
      <c r="AS1552" s="160"/>
      <c r="AT1552" s="160"/>
      <c r="AU1552" s="160"/>
      <c r="AV1552" s="160"/>
      <c r="AW1552" s="160"/>
      <c r="AX1552" s="160"/>
      <c r="AY1552" s="160"/>
      <c r="AZ1552" s="160"/>
      <c r="BA1552" s="160"/>
      <c r="BB1552" s="160"/>
      <c r="BC1552" s="160"/>
      <c r="BD1552" s="160"/>
      <c r="BE1552" s="160"/>
      <c r="BF1552" s="160"/>
      <c r="BG1552" s="160"/>
      <c r="BH1552" s="160"/>
      <c r="BI1552" s="160"/>
      <c r="BJ1552" s="160"/>
      <c r="BK1552" s="160"/>
      <c r="BL1552" s="160"/>
      <c r="BM1552" s="160"/>
      <c r="BN1552" s="160"/>
      <c r="BO1552" s="160"/>
      <c r="BP1552" s="160"/>
      <c r="BQ1552" s="160"/>
      <c r="BR1552" s="160"/>
      <c r="BS1552" s="160"/>
      <c r="BT1552" s="160"/>
      <c r="BU1552" s="160"/>
      <c r="BV1552" s="160"/>
      <c r="BW1552" s="160"/>
      <c r="BX1552" s="160"/>
      <c r="BY1552" s="160"/>
      <c r="BZ1552" s="160"/>
      <c r="CA1552" s="160"/>
      <c r="CB1552" s="160"/>
      <c r="CC1552" s="160"/>
      <c r="CD1552" s="160"/>
      <c r="CE1552" s="160"/>
      <c r="CF1552" s="160"/>
      <c r="CG1552" s="160"/>
      <c r="CH1552" s="160"/>
      <c r="CI1552" s="160"/>
      <c r="CJ1552" s="160"/>
      <c r="CK1552" s="160"/>
      <c r="CL1552" s="160"/>
      <c r="CM1552" s="160"/>
      <c r="CN1552" s="160"/>
      <c r="CO1552" s="160"/>
      <c r="CP1552" s="162"/>
      <c r="CQ1552" s="163"/>
      <c r="CR1552" s="162"/>
      <c r="CS1552" s="163"/>
      <c r="CT1552" s="162"/>
      <c r="CU1552" s="163"/>
      <c r="CV1552" s="164">
        <f t="shared" si="204"/>
        <v>0</v>
      </c>
      <c r="CW1552" s="165"/>
      <c r="CX1552" s="166"/>
      <c r="CY1552" s="167"/>
      <c r="CZ1552" s="168"/>
      <c r="DA1552" s="169"/>
      <c r="DB1552" s="168"/>
      <c r="DC1552" s="165"/>
      <c r="DD1552" s="166"/>
      <c r="DE1552" s="71"/>
      <c r="DF1552" s="170"/>
      <c r="EO1552" s="353" t="str">
        <f t="shared" si="199"/>
        <v>TOLIMA_NATAGAIMA</v>
      </c>
      <c r="EP1552" s="350"/>
      <c r="EQ1552" s="350"/>
      <c r="ER1552" s="357"/>
      <c r="ES1552" s="350"/>
      <c r="ET1552" s="350"/>
      <c r="EU1552" s="350"/>
    </row>
    <row r="1553" spans="1:151" s="171" customFormat="1" ht="25.5" x14ac:dyDescent="0.2">
      <c r="A1553" s="242">
        <v>40488</v>
      </c>
      <c r="B1553" s="222" t="s">
        <v>2791</v>
      </c>
      <c r="C1553" s="222" t="s">
        <v>3163</v>
      </c>
      <c r="D1553" s="430" t="s">
        <v>837</v>
      </c>
      <c r="E1553" s="107" t="str">
        <f>VLOOKUP(B1553&amp;C1553,Divipola!$C$2:$F$1138,4,FALSE)</f>
        <v>73563</v>
      </c>
      <c r="F1553" s="333"/>
      <c r="G1553" s="221"/>
      <c r="H1553" s="157"/>
      <c r="I1553" s="157"/>
      <c r="J1553" s="157">
        <v>2304</v>
      </c>
      <c r="K1553" s="157">
        <v>512</v>
      </c>
      <c r="L1553" s="157">
        <v>4</v>
      </c>
      <c r="M1553" s="157">
        <f>74+47</f>
        <v>121</v>
      </c>
      <c r="N1553" s="157"/>
      <c r="O1553" s="157"/>
      <c r="P1553" s="157">
        <v>18</v>
      </c>
      <c r="Q1553" s="157"/>
      <c r="R1553" s="157"/>
      <c r="S1553" s="157"/>
      <c r="T1553" s="157"/>
      <c r="U1553" s="157"/>
      <c r="V1553" s="158">
        <v>361</v>
      </c>
      <c r="W1553" s="182"/>
      <c r="X1553" s="1"/>
      <c r="Y1553" s="78">
        <f t="shared" si="201"/>
        <v>0</v>
      </c>
      <c r="Z1553" s="78">
        <f t="shared" si="202"/>
        <v>0</v>
      </c>
      <c r="AA1553" s="78">
        <f t="shared" si="200"/>
        <v>0</v>
      </c>
      <c r="AB1553" s="78">
        <f t="shared" si="203"/>
        <v>0</v>
      </c>
      <c r="AC1553" s="78"/>
      <c r="AD1553" s="78">
        <v>0</v>
      </c>
      <c r="AE1553" s="80">
        <f t="shared" si="205"/>
        <v>0</v>
      </c>
      <c r="AF1553" s="82">
        <v>0</v>
      </c>
      <c r="AG1553" s="69">
        <v>40490</v>
      </c>
      <c r="AH1553" s="84"/>
      <c r="AI1553" s="69" t="s">
        <v>1984</v>
      </c>
      <c r="AJ1553" s="25" t="s">
        <v>1985</v>
      </c>
      <c r="AK1553" s="65"/>
      <c r="AL1553" s="176" t="s">
        <v>1257</v>
      </c>
      <c r="AM1553" s="173" t="s">
        <v>3047</v>
      </c>
      <c r="AN1553" s="159"/>
      <c r="AO1553" s="160"/>
      <c r="AP1553" s="161"/>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2"/>
      <c r="CQ1553" s="163"/>
      <c r="CR1553" s="162"/>
      <c r="CS1553" s="163"/>
      <c r="CT1553" s="162"/>
      <c r="CU1553" s="163"/>
      <c r="CV1553" s="164">
        <f t="shared" si="204"/>
        <v>0</v>
      </c>
      <c r="CW1553" s="165"/>
      <c r="CX1553" s="166"/>
      <c r="CY1553" s="167"/>
      <c r="CZ1553" s="168"/>
      <c r="DA1553" s="169"/>
      <c r="DB1553" s="168"/>
      <c r="DC1553" s="165"/>
      <c r="DD1553" s="166"/>
      <c r="DE1553" s="71"/>
      <c r="DF1553" s="170"/>
      <c r="EO1553" s="353" t="str">
        <f t="shared" si="199"/>
        <v>TOLIMA_PRADO</v>
      </c>
      <c r="EP1553" s="350"/>
      <c r="EQ1553" s="350"/>
      <c r="ER1553" s="357"/>
      <c r="ES1553" s="350"/>
      <c r="ET1553" s="350"/>
      <c r="EU1553" s="350"/>
    </row>
    <row r="1554" spans="1:151" s="171" customFormat="1" ht="38.25" x14ac:dyDescent="0.2">
      <c r="A1554" s="242">
        <v>40489</v>
      </c>
      <c r="B1554" s="222" t="s">
        <v>2017</v>
      </c>
      <c r="C1554" s="222" t="s">
        <v>1954</v>
      </c>
      <c r="D1554" s="430" t="s">
        <v>837</v>
      </c>
      <c r="E1554" s="107" t="str">
        <f>VLOOKUP(B1554&amp;C1554,Divipola!$C$2:$F$1138,4,FALSE)</f>
        <v>13673</v>
      </c>
      <c r="F1554" s="333"/>
      <c r="G1554" s="221"/>
      <c r="H1554" s="157"/>
      <c r="I1554" s="157"/>
      <c r="J1554" s="157">
        <f>475*5</f>
        <v>2375</v>
      </c>
      <c r="K1554" s="157">
        <v>475</v>
      </c>
      <c r="L1554" s="157"/>
      <c r="M1554" s="157">
        <v>420</v>
      </c>
      <c r="N1554" s="157"/>
      <c r="O1554" s="157"/>
      <c r="P1554" s="157"/>
      <c r="Q1554" s="157"/>
      <c r="R1554" s="157"/>
      <c r="S1554" s="157"/>
      <c r="T1554" s="157"/>
      <c r="U1554" s="157"/>
      <c r="V1554" s="158"/>
      <c r="W1554" s="182"/>
      <c r="X1554" s="1"/>
      <c r="Y1554" s="78">
        <f t="shared" si="201"/>
        <v>0</v>
      </c>
      <c r="Z1554" s="78">
        <f t="shared" si="202"/>
        <v>0</v>
      </c>
      <c r="AA1554" s="78">
        <f t="shared" si="200"/>
        <v>0</v>
      </c>
      <c r="AB1554" s="78">
        <f t="shared" si="203"/>
        <v>0</v>
      </c>
      <c r="AC1554" s="78"/>
      <c r="AD1554" s="78">
        <v>0</v>
      </c>
      <c r="AE1554" s="80">
        <f t="shared" si="205"/>
        <v>0</v>
      </c>
      <c r="AF1554" s="82">
        <v>0</v>
      </c>
      <c r="AG1554" s="69">
        <v>40491</v>
      </c>
      <c r="AH1554" s="84"/>
      <c r="AI1554" s="69" t="s">
        <v>1984</v>
      </c>
      <c r="AJ1554" s="25" t="s">
        <v>1985</v>
      </c>
      <c r="AK1554" s="65"/>
      <c r="AL1554" s="176" t="s">
        <v>1257</v>
      </c>
      <c r="AM1554" s="173" t="s">
        <v>3057</v>
      </c>
      <c r="AN1554" s="159"/>
      <c r="AO1554" s="160"/>
      <c r="AP1554" s="161"/>
      <c r="AQ1554" s="160"/>
      <c r="AR1554" s="160"/>
      <c r="AS1554" s="160"/>
      <c r="AT1554" s="160"/>
      <c r="AU1554" s="160"/>
      <c r="AV1554" s="160"/>
      <c r="AW1554" s="160"/>
      <c r="AX1554" s="160"/>
      <c r="AY1554" s="160"/>
      <c r="AZ1554" s="160"/>
      <c r="BA1554" s="160"/>
      <c r="BB1554" s="160"/>
      <c r="BC1554" s="160"/>
      <c r="BD1554" s="160"/>
      <c r="BE1554" s="160"/>
      <c r="BF1554" s="160"/>
      <c r="BG1554" s="160"/>
      <c r="BH1554" s="160"/>
      <c r="BI1554" s="160"/>
      <c r="BJ1554" s="160"/>
      <c r="BK1554" s="160"/>
      <c r="BL1554" s="160"/>
      <c r="BM1554" s="160"/>
      <c r="BN1554" s="160"/>
      <c r="BO1554" s="160"/>
      <c r="BP1554" s="160"/>
      <c r="BQ1554" s="160"/>
      <c r="BR1554" s="160"/>
      <c r="BS1554" s="160"/>
      <c r="BT1554" s="160"/>
      <c r="BU1554" s="160"/>
      <c r="BV1554" s="160"/>
      <c r="BW1554" s="160"/>
      <c r="BX1554" s="160"/>
      <c r="BY1554" s="160"/>
      <c r="BZ1554" s="160"/>
      <c r="CA1554" s="160"/>
      <c r="CB1554" s="160"/>
      <c r="CC1554" s="160"/>
      <c r="CD1554" s="160"/>
      <c r="CE1554" s="160"/>
      <c r="CF1554" s="160"/>
      <c r="CG1554" s="160"/>
      <c r="CH1554" s="160"/>
      <c r="CI1554" s="160"/>
      <c r="CJ1554" s="160"/>
      <c r="CK1554" s="160"/>
      <c r="CL1554" s="160"/>
      <c r="CM1554" s="160"/>
      <c r="CN1554" s="160"/>
      <c r="CO1554" s="160"/>
      <c r="CP1554" s="162"/>
      <c r="CQ1554" s="163"/>
      <c r="CR1554" s="162"/>
      <c r="CS1554" s="163"/>
      <c r="CT1554" s="162"/>
      <c r="CU1554" s="163"/>
      <c r="CV1554" s="164">
        <f t="shared" si="204"/>
        <v>0</v>
      </c>
      <c r="CW1554" s="165"/>
      <c r="CX1554" s="166"/>
      <c r="CY1554" s="167"/>
      <c r="CZ1554" s="168"/>
      <c r="DA1554" s="169"/>
      <c r="DB1554" s="168"/>
      <c r="DC1554" s="165"/>
      <c r="DD1554" s="166"/>
      <c r="DE1554" s="71"/>
      <c r="DF1554" s="170"/>
      <c r="EO1554" s="353" t="str">
        <f t="shared" si="199"/>
        <v>BOLIVAR_SANTA CATALINA</v>
      </c>
      <c r="EP1554" s="350"/>
      <c r="EQ1554" s="350"/>
      <c r="ER1554" s="357"/>
      <c r="ES1554" s="350"/>
      <c r="ET1554" s="350"/>
      <c r="EU1554" s="350"/>
    </row>
    <row r="1555" spans="1:151" s="171" customFormat="1" ht="36" x14ac:dyDescent="0.2">
      <c r="A1555" s="242">
        <v>40489</v>
      </c>
      <c r="B1555" s="222" t="s">
        <v>828</v>
      </c>
      <c r="C1555" s="222" t="s">
        <v>3067</v>
      </c>
      <c r="D1555" s="427" t="s">
        <v>2307</v>
      </c>
      <c r="E1555" s="107" t="str">
        <f>VLOOKUP(B1555&amp;C1555,Divipola!$C$2:$F$1138,4,FALSE)</f>
        <v>15753</v>
      </c>
      <c r="F1555" s="330"/>
      <c r="G1555" s="221"/>
      <c r="H1555" s="157"/>
      <c r="I1555" s="157"/>
      <c r="J1555" s="157"/>
      <c r="K1555" s="157"/>
      <c r="L1555" s="157"/>
      <c r="M1555" s="157"/>
      <c r="N1555" s="157">
        <v>3</v>
      </c>
      <c r="O1555" s="157"/>
      <c r="P1555" s="157"/>
      <c r="Q1555" s="157"/>
      <c r="R1555" s="157"/>
      <c r="S1555" s="157"/>
      <c r="T1555" s="157"/>
      <c r="U1555" s="157"/>
      <c r="V1555" s="158"/>
      <c r="W1555" s="182"/>
      <c r="X1555" s="1"/>
      <c r="Y1555" s="78">
        <f t="shared" si="201"/>
        <v>0</v>
      </c>
      <c r="Z1555" s="78">
        <f t="shared" si="202"/>
        <v>0</v>
      </c>
      <c r="AA1555" s="78">
        <f t="shared" si="200"/>
        <v>0</v>
      </c>
      <c r="AB1555" s="78">
        <f t="shared" si="203"/>
        <v>0</v>
      </c>
      <c r="AC1555" s="78"/>
      <c r="AD1555" s="78">
        <v>0</v>
      </c>
      <c r="AE1555" s="80">
        <f t="shared" si="205"/>
        <v>0</v>
      </c>
      <c r="AF1555" s="82">
        <v>0</v>
      </c>
      <c r="AG1555" s="69">
        <v>40491</v>
      </c>
      <c r="AH1555" s="84"/>
      <c r="AI1555" s="69" t="s">
        <v>1984</v>
      </c>
      <c r="AJ1555" s="25" t="s">
        <v>1985</v>
      </c>
      <c r="AK1555" s="65"/>
      <c r="AL1555" s="176" t="s">
        <v>1257</v>
      </c>
      <c r="AM1555" s="173" t="s">
        <v>3068</v>
      </c>
      <c r="AN1555" s="159"/>
      <c r="AO1555" s="160"/>
      <c r="AP1555" s="161"/>
      <c r="AQ1555" s="160"/>
      <c r="AR1555" s="160"/>
      <c r="AS1555" s="160"/>
      <c r="AT1555" s="160"/>
      <c r="AU1555" s="160"/>
      <c r="AV1555" s="160"/>
      <c r="AW1555" s="160"/>
      <c r="AX1555" s="160"/>
      <c r="AY1555" s="160"/>
      <c r="AZ1555" s="160"/>
      <c r="BA1555" s="160"/>
      <c r="BB1555" s="160"/>
      <c r="BC1555" s="160"/>
      <c r="BD1555" s="160"/>
      <c r="BE1555" s="160"/>
      <c r="BF1555" s="160"/>
      <c r="BG1555" s="160"/>
      <c r="BH1555" s="160"/>
      <c r="BI1555" s="160"/>
      <c r="BJ1555" s="160"/>
      <c r="BK1555" s="160"/>
      <c r="BL1555" s="160"/>
      <c r="BM1555" s="160"/>
      <c r="BN1555" s="160"/>
      <c r="BO1555" s="160"/>
      <c r="BP1555" s="160"/>
      <c r="BQ1555" s="160"/>
      <c r="BR1555" s="160"/>
      <c r="BS1555" s="160"/>
      <c r="BT1555" s="160"/>
      <c r="BU1555" s="160"/>
      <c r="BV1555" s="160"/>
      <c r="BW1555" s="160"/>
      <c r="BX1555" s="160"/>
      <c r="BY1555" s="160"/>
      <c r="BZ1555" s="160"/>
      <c r="CA1555" s="160"/>
      <c r="CB1555" s="160"/>
      <c r="CC1555" s="160"/>
      <c r="CD1555" s="160"/>
      <c r="CE1555" s="160"/>
      <c r="CF1555" s="160"/>
      <c r="CG1555" s="160"/>
      <c r="CH1555" s="160"/>
      <c r="CI1555" s="160"/>
      <c r="CJ1555" s="160"/>
      <c r="CK1555" s="160"/>
      <c r="CL1555" s="160"/>
      <c r="CM1555" s="160"/>
      <c r="CN1555" s="160"/>
      <c r="CO1555" s="160"/>
      <c r="CP1555" s="162"/>
      <c r="CQ1555" s="163"/>
      <c r="CR1555" s="162"/>
      <c r="CS1555" s="163"/>
      <c r="CT1555" s="162"/>
      <c r="CU1555" s="163"/>
      <c r="CV1555" s="164">
        <f t="shared" si="204"/>
        <v>0</v>
      </c>
      <c r="CW1555" s="165"/>
      <c r="CX1555" s="166"/>
      <c r="CY1555" s="167"/>
      <c r="CZ1555" s="168"/>
      <c r="DA1555" s="169"/>
      <c r="DB1555" s="168"/>
      <c r="DC1555" s="165"/>
      <c r="DD1555" s="166"/>
      <c r="DE1555" s="71"/>
      <c r="DF1555" s="170"/>
      <c r="EO1555" s="353" t="str">
        <f t="shared" si="199"/>
        <v>BOYACA_SOATA</v>
      </c>
      <c r="EP1555" s="350"/>
      <c r="EQ1555" s="350"/>
      <c r="ER1555" s="357"/>
      <c r="ES1555" s="350"/>
      <c r="ET1555" s="350"/>
      <c r="EU1555" s="350"/>
    </row>
    <row r="1556" spans="1:151" s="171" customFormat="1" ht="38.25" x14ac:dyDescent="0.2">
      <c r="A1556" s="242">
        <v>40489</v>
      </c>
      <c r="B1556" s="222" t="s">
        <v>2007</v>
      </c>
      <c r="C1556" s="222" t="s">
        <v>1354</v>
      </c>
      <c r="D1556" s="430" t="s">
        <v>837</v>
      </c>
      <c r="E1556" s="107" t="str">
        <f>VLOOKUP(B1556&amp;C1556,Divipola!$C$2:$F$1138,4,FALSE)</f>
        <v>25815</v>
      </c>
      <c r="F1556" s="333"/>
      <c r="G1556" s="221"/>
      <c r="H1556" s="157"/>
      <c r="I1556" s="157"/>
      <c r="J1556" s="157">
        <v>95</v>
      </c>
      <c r="K1556" s="157">
        <v>21</v>
      </c>
      <c r="L1556" s="157"/>
      <c r="M1556" s="157">
        <v>21</v>
      </c>
      <c r="N1556" s="157"/>
      <c r="O1556" s="157"/>
      <c r="P1556" s="157"/>
      <c r="Q1556" s="157"/>
      <c r="R1556" s="157"/>
      <c r="S1556" s="157"/>
      <c r="T1556" s="157"/>
      <c r="U1556" s="157"/>
      <c r="V1556" s="158"/>
      <c r="W1556" s="182"/>
      <c r="X1556" s="1"/>
      <c r="Y1556" s="78">
        <f t="shared" si="201"/>
        <v>0</v>
      </c>
      <c r="Z1556" s="78">
        <f t="shared" si="202"/>
        <v>0</v>
      </c>
      <c r="AA1556" s="78">
        <f t="shared" si="200"/>
        <v>0</v>
      </c>
      <c r="AB1556" s="78">
        <f t="shared" si="203"/>
        <v>0</v>
      </c>
      <c r="AC1556" s="78"/>
      <c r="AD1556" s="78">
        <v>0</v>
      </c>
      <c r="AE1556" s="80">
        <f t="shared" si="205"/>
        <v>0</v>
      </c>
      <c r="AF1556" s="82">
        <v>0</v>
      </c>
      <c r="AG1556" s="69">
        <v>40492</v>
      </c>
      <c r="AH1556" s="84"/>
      <c r="AI1556" s="69" t="s">
        <v>1984</v>
      </c>
      <c r="AJ1556" s="25" t="s">
        <v>1985</v>
      </c>
      <c r="AK1556" s="65"/>
      <c r="AL1556" s="176" t="s">
        <v>1257</v>
      </c>
      <c r="AM1556" s="173" t="s">
        <v>3164</v>
      </c>
      <c r="AN1556" s="159"/>
      <c r="AO1556" s="160"/>
      <c r="AP1556" s="161"/>
      <c r="AQ1556" s="160"/>
      <c r="AR1556" s="160"/>
      <c r="AS1556" s="160"/>
      <c r="AT1556" s="160"/>
      <c r="AU1556" s="160"/>
      <c r="AV1556" s="160"/>
      <c r="AW1556" s="160"/>
      <c r="AX1556" s="160"/>
      <c r="AY1556" s="160"/>
      <c r="AZ1556" s="160"/>
      <c r="BA1556" s="160"/>
      <c r="BB1556" s="160"/>
      <c r="BC1556" s="160"/>
      <c r="BD1556" s="160"/>
      <c r="BE1556" s="160"/>
      <c r="BF1556" s="160"/>
      <c r="BG1556" s="160"/>
      <c r="BH1556" s="160"/>
      <c r="BI1556" s="160"/>
      <c r="BJ1556" s="160"/>
      <c r="BK1556" s="160"/>
      <c r="BL1556" s="160"/>
      <c r="BM1556" s="160"/>
      <c r="BN1556" s="160"/>
      <c r="BO1556" s="160"/>
      <c r="BP1556" s="160"/>
      <c r="BQ1556" s="160"/>
      <c r="BR1556" s="160"/>
      <c r="BS1556" s="160"/>
      <c r="BT1556" s="160"/>
      <c r="BU1556" s="160"/>
      <c r="BV1556" s="160"/>
      <c r="BW1556" s="160"/>
      <c r="BX1556" s="160"/>
      <c r="BY1556" s="160"/>
      <c r="BZ1556" s="160"/>
      <c r="CA1556" s="160"/>
      <c r="CB1556" s="160"/>
      <c r="CC1556" s="160"/>
      <c r="CD1556" s="160"/>
      <c r="CE1556" s="160"/>
      <c r="CF1556" s="160"/>
      <c r="CG1556" s="160"/>
      <c r="CH1556" s="160"/>
      <c r="CI1556" s="160"/>
      <c r="CJ1556" s="160"/>
      <c r="CK1556" s="160"/>
      <c r="CL1556" s="160"/>
      <c r="CM1556" s="160"/>
      <c r="CN1556" s="160"/>
      <c r="CO1556" s="160"/>
      <c r="CP1556" s="162"/>
      <c r="CQ1556" s="163"/>
      <c r="CR1556" s="162"/>
      <c r="CS1556" s="163"/>
      <c r="CT1556" s="162"/>
      <c r="CU1556" s="163"/>
      <c r="CV1556" s="164">
        <f t="shared" si="204"/>
        <v>0</v>
      </c>
      <c r="CW1556" s="165"/>
      <c r="CX1556" s="166"/>
      <c r="CY1556" s="167"/>
      <c r="CZ1556" s="168"/>
      <c r="DA1556" s="169"/>
      <c r="DB1556" s="168"/>
      <c r="DC1556" s="165"/>
      <c r="DD1556" s="166"/>
      <c r="DE1556" s="71"/>
      <c r="DF1556" s="170"/>
      <c r="EO1556" s="353" t="str">
        <f t="shared" ref="EO1556:EO1619" si="206">B1556&amp;"_"&amp;C1556</f>
        <v>CUNDINAMARCA_TOCAIMA</v>
      </c>
      <c r="EP1556" s="350"/>
      <c r="EQ1556" s="350"/>
      <c r="ER1556" s="357"/>
      <c r="ES1556" s="350"/>
      <c r="ET1556" s="350"/>
      <c r="EU1556" s="350"/>
    </row>
    <row r="1557" spans="1:151" s="171" customFormat="1" ht="36" x14ac:dyDescent="0.2">
      <c r="A1557" s="242">
        <v>40489</v>
      </c>
      <c r="B1557" s="222" t="s">
        <v>708</v>
      </c>
      <c r="C1557" s="222" t="s">
        <v>709</v>
      </c>
      <c r="D1557" s="430" t="s">
        <v>837</v>
      </c>
      <c r="E1557" s="107" t="str">
        <f>VLOOKUP(B1557&amp;C1557,Divipola!$C$2:$F$1138,4,FALSE)</f>
        <v>50251</v>
      </c>
      <c r="F1557" s="333"/>
      <c r="G1557" s="221"/>
      <c r="H1557" s="157"/>
      <c r="I1557" s="157"/>
      <c r="J1557" s="157">
        <v>334</v>
      </c>
      <c r="K1557" s="157">
        <v>90</v>
      </c>
      <c r="L1557" s="157"/>
      <c r="M1557" s="157">
        <v>90</v>
      </c>
      <c r="N1557" s="157"/>
      <c r="O1557" s="157"/>
      <c r="P1557" s="157"/>
      <c r="Q1557" s="157"/>
      <c r="R1557" s="157"/>
      <c r="S1557" s="157"/>
      <c r="T1557" s="157"/>
      <c r="U1557" s="157"/>
      <c r="V1557" s="158">
        <v>186</v>
      </c>
      <c r="W1557" s="182" t="s">
        <v>443</v>
      </c>
      <c r="X1557" s="1"/>
      <c r="Y1557" s="78">
        <f t="shared" si="201"/>
        <v>0</v>
      </c>
      <c r="Z1557" s="78">
        <f t="shared" si="202"/>
        <v>0</v>
      </c>
      <c r="AA1557" s="78">
        <f t="shared" si="200"/>
        <v>0</v>
      </c>
      <c r="AB1557" s="78">
        <f t="shared" si="203"/>
        <v>0</v>
      </c>
      <c r="AC1557" s="78"/>
      <c r="AD1557" s="78">
        <v>0</v>
      </c>
      <c r="AE1557" s="80">
        <f t="shared" si="205"/>
        <v>0</v>
      </c>
      <c r="AF1557" s="82">
        <v>0</v>
      </c>
      <c r="AG1557" s="69">
        <v>40491</v>
      </c>
      <c r="AH1557" s="84"/>
      <c r="AI1557" s="69" t="s">
        <v>1984</v>
      </c>
      <c r="AJ1557" s="25" t="s">
        <v>1985</v>
      </c>
      <c r="AK1557" s="65"/>
      <c r="AL1557" s="176" t="s">
        <v>1257</v>
      </c>
      <c r="AM1557" s="173" t="s">
        <v>3058</v>
      </c>
      <c r="AN1557" s="159"/>
      <c r="AO1557" s="160"/>
      <c r="AP1557" s="161"/>
      <c r="AQ1557" s="160"/>
      <c r="AR1557" s="160"/>
      <c r="AS1557" s="160"/>
      <c r="AT1557" s="160"/>
      <c r="AU1557" s="160"/>
      <c r="AV1557" s="160"/>
      <c r="AW1557" s="160"/>
      <c r="AX1557" s="160"/>
      <c r="AY1557" s="160"/>
      <c r="AZ1557" s="160"/>
      <c r="BA1557" s="160"/>
      <c r="BB1557" s="160"/>
      <c r="BC1557" s="160"/>
      <c r="BD1557" s="160"/>
      <c r="BE1557" s="160"/>
      <c r="BF1557" s="160"/>
      <c r="BG1557" s="160"/>
      <c r="BH1557" s="160"/>
      <c r="BI1557" s="160"/>
      <c r="BJ1557" s="160"/>
      <c r="BK1557" s="160"/>
      <c r="BL1557" s="160"/>
      <c r="BM1557" s="160"/>
      <c r="BN1557" s="160"/>
      <c r="BO1557" s="160"/>
      <c r="BP1557" s="160"/>
      <c r="BQ1557" s="160"/>
      <c r="BR1557" s="160"/>
      <c r="BS1557" s="160"/>
      <c r="BT1557" s="160"/>
      <c r="BU1557" s="160"/>
      <c r="BV1557" s="160"/>
      <c r="BW1557" s="160"/>
      <c r="BX1557" s="160"/>
      <c r="BY1557" s="160"/>
      <c r="BZ1557" s="160"/>
      <c r="CA1557" s="160"/>
      <c r="CB1557" s="160"/>
      <c r="CC1557" s="160"/>
      <c r="CD1557" s="160"/>
      <c r="CE1557" s="160"/>
      <c r="CF1557" s="160"/>
      <c r="CG1557" s="160"/>
      <c r="CH1557" s="160"/>
      <c r="CI1557" s="160"/>
      <c r="CJ1557" s="160"/>
      <c r="CK1557" s="160"/>
      <c r="CL1557" s="160"/>
      <c r="CM1557" s="160"/>
      <c r="CN1557" s="160"/>
      <c r="CO1557" s="160"/>
      <c r="CP1557" s="162"/>
      <c r="CQ1557" s="163"/>
      <c r="CR1557" s="162"/>
      <c r="CS1557" s="163"/>
      <c r="CT1557" s="162"/>
      <c r="CU1557" s="163"/>
      <c r="CV1557" s="164">
        <f t="shared" si="204"/>
        <v>0</v>
      </c>
      <c r="CW1557" s="165"/>
      <c r="CX1557" s="166"/>
      <c r="CY1557" s="167"/>
      <c r="CZ1557" s="168"/>
      <c r="DA1557" s="169"/>
      <c r="DB1557" s="168"/>
      <c r="DC1557" s="165"/>
      <c r="DD1557" s="166"/>
      <c r="DE1557" s="71"/>
      <c r="DF1557" s="170"/>
      <c r="EO1557" s="353" t="str">
        <f t="shared" si="206"/>
        <v>META_EL CASTILLO</v>
      </c>
      <c r="EP1557" s="350"/>
      <c r="EQ1557" s="350"/>
      <c r="ER1557" s="357"/>
      <c r="ES1557" s="350"/>
      <c r="ET1557" s="350"/>
      <c r="EU1557" s="350"/>
    </row>
    <row r="1558" spans="1:151" s="171" customFormat="1" ht="38.25" x14ac:dyDescent="0.2">
      <c r="A1558" s="242">
        <v>40489</v>
      </c>
      <c r="B1558" s="222" t="s">
        <v>1336</v>
      </c>
      <c r="C1558" s="222" t="s">
        <v>3066</v>
      </c>
      <c r="D1558" s="427" t="s">
        <v>2307</v>
      </c>
      <c r="E1558" s="107" t="str">
        <f>VLOOKUP(B1558&amp;C1558,Divipola!$C$2:$F$1138,4,FALSE)</f>
        <v>54239</v>
      </c>
      <c r="F1558" s="330"/>
      <c r="G1558" s="221"/>
      <c r="H1558" s="157"/>
      <c r="I1558" s="157"/>
      <c r="J1558" s="157">
        <v>818</v>
      </c>
      <c r="K1558" s="157">
        <v>197</v>
      </c>
      <c r="L1558" s="157"/>
      <c r="M1558" s="157">
        <v>26</v>
      </c>
      <c r="N1558" s="157"/>
      <c r="O1558" s="157"/>
      <c r="P1558" s="157"/>
      <c r="Q1558" s="157">
        <v>1</v>
      </c>
      <c r="R1558" s="157">
        <v>1</v>
      </c>
      <c r="S1558" s="157"/>
      <c r="T1558" s="157"/>
      <c r="U1558" s="157"/>
      <c r="V1558" s="158"/>
      <c r="W1558" s="182"/>
      <c r="X1558" s="1"/>
      <c r="Y1558" s="78">
        <f t="shared" si="201"/>
        <v>0</v>
      </c>
      <c r="Z1558" s="78">
        <f t="shared" si="202"/>
        <v>0</v>
      </c>
      <c r="AA1558" s="78">
        <f t="shared" si="200"/>
        <v>0</v>
      </c>
      <c r="AB1558" s="78">
        <f t="shared" si="203"/>
        <v>0</v>
      </c>
      <c r="AC1558" s="78"/>
      <c r="AD1558" s="78">
        <v>0</v>
      </c>
      <c r="AE1558" s="80">
        <f t="shared" si="205"/>
        <v>0</v>
      </c>
      <c r="AF1558" s="82">
        <v>0</v>
      </c>
      <c r="AG1558" s="69">
        <v>40491</v>
      </c>
      <c r="AH1558" s="84"/>
      <c r="AI1558" s="69" t="s">
        <v>1984</v>
      </c>
      <c r="AJ1558" s="25" t="s">
        <v>1985</v>
      </c>
      <c r="AK1558" s="65"/>
      <c r="AL1558" s="176" t="s">
        <v>1257</v>
      </c>
      <c r="AM1558" s="173" t="s">
        <v>1268</v>
      </c>
      <c r="AN1558" s="159"/>
      <c r="AO1558" s="160"/>
      <c r="AP1558" s="161"/>
      <c r="AQ1558" s="160"/>
      <c r="AR1558" s="160"/>
      <c r="AS1558" s="160"/>
      <c r="AT1558" s="160"/>
      <c r="AU1558" s="160"/>
      <c r="AV1558" s="160"/>
      <c r="AW1558" s="160"/>
      <c r="AX1558" s="160"/>
      <c r="AY1558" s="160"/>
      <c r="AZ1558" s="160"/>
      <c r="BA1558" s="160"/>
      <c r="BB1558" s="160"/>
      <c r="BC1558" s="160"/>
      <c r="BD1558" s="160"/>
      <c r="BE1558" s="160"/>
      <c r="BF1558" s="160"/>
      <c r="BG1558" s="160"/>
      <c r="BH1558" s="160"/>
      <c r="BI1558" s="160"/>
      <c r="BJ1558" s="160"/>
      <c r="BK1558" s="160"/>
      <c r="BL1558" s="160"/>
      <c r="BM1558" s="160"/>
      <c r="BN1558" s="160"/>
      <c r="BO1558" s="160"/>
      <c r="BP1558" s="160"/>
      <c r="BQ1558" s="160"/>
      <c r="BR1558" s="160"/>
      <c r="BS1558" s="160"/>
      <c r="BT1558" s="160"/>
      <c r="BU1558" s="160"/>
      <c r="BV1558" s="160"/>
      <c r="BW1558" s="160"/>
      <c r="BX1558" s="160"/>
      <c r="BY1558" s="160"/>
      <c r="BZ1558" s="160"/>
      <c r="CA1558" s="160"/>
      <c r="CB1558" s="160"/>
      <c r="CC1558" s="160"/>
      <c r="CD1558" s="160"/>
      <c r="CE1558" s="160"/>
      <c r="CF1558" s="160"/>
      <c r="CG1558" s="160"/>
      <c r="CH1558" s="160"/>
      <c r="CI1558" s="160"/>
      <c r="CJ1558" s="160"/>
      <c r="CK1558" s="160"/>
      <c r="CL1558" s="160"/>
      <c r="CM1558" s="160"/>
      <c r="CN1558" s="160"/>
      <c r="CO1558" s="160"/>
      <c r="CP1558" s="162"/>
      <c r="CQ1558" s="163"/>
      <c r="CR1558" s="162"/>
      <c r="CS1558" s="163"/>
      <c r="CT1558" s="162"/>
      <c r="CU1558" s="163"/>
      <c r="CV1558" s="164">
        <f t="shared" si="204"/>
        <v>0</v>
      </c>
      <c r="CW1558" s="165"/>
      <c r="CX1558" s="166"/>
      <c r="CY1558" s="167"/>
      <c r="CZ1558" s="168"/>
      <c r="DA1558" s="169"/>
      <c r="DB1558" s="168"/>
      <c r="DC1558" s="165"/>
      <c r="DD1558" s="166"/>
      <c r="DE1558" s="71"/>
      <c r="DF1558" s="170"/>
      <c r="EO1558" s="353" t="str">
        <f t="shared" si="206"/>
        <v>NORTE DE SANTANDER_DURANIA</v>
      </c>
      <c r="EP1558" s="350"/>
      <c r="EQ1558" s="350"/>
      <c r="ER1558" s="357"/>
      <c r="ES1558" s="350"/>
      <c r="ET1558" s="350"/>
      <c r="EU1558" s="350"/>
    </row>
    <row r="1559" spans="1:151" s="171" customFormat="1" ht="51" x14ac:dyDescent="0.2">
      <c r="A1559" s="242">
        <v>40489</v>
      </c>
      <c r="B1559" s="222" t="s">
        <v>1336</v>
      </c>
      <c r="C1559" s="222" t="s">
        <v>1734</v>
      </c>
      <c r="D1559" s="427" t="s">
        <v>2307</v>
      </c>
      <c r="E1559" s="107" t="str">
        <f>VLOOKUP(B1559&amp;C1559,Divipola!$C$2:$F$1138,4,FALSE)</f>
        <v>54405</v>
      </c>
      <c r="F1559" s="330"/>
      <c r="G1559" s="221"/>
      <c r="H1559" s="157"/>
      <c r="I1559" s="157"/>
      <c r="J1559" s="157">
        <v>20</v>
      </c>
      <c r="K1559" s="157">
        <v>4</v>
      </c>
      <c r="L1559" s="157"/>
      <c r="M1559" s="157"/>
      <c r="N1559" s="157"/>
      <c r="O1559" s="157"/>
      <c r="P1559" s="157"/>
      <c r="Q1559" s="157">
        <v>1</v>
      </c>
      <c r="R1559" s="157">
        <v>1</v>
      </c>
      <c r="S1559" s="157"/>
      <c r="T1559" s="157"/>
      <c r="U1559" s="157"/>
      <c r="V1559" s="158"/>
      <c r="W1559" s="182"/>
      <c r="X1559" s="1"/>
      <c r="Y1559" s="78">
        <f t="shared" si="201"/>
        <v>0</v>
      </c>
      <c r="Z1559" s="78">
        <f t="shared" si="202"/>
        <v>0</v>
      </c>
      <c r="AA1559" s="78">
        <f t="shared" si="200"/>
        <v>0</v>
      </c>
      <c r="AB1559" s="78">
        <f t="shared" si="203"/>
        <v>0</v>
      </c>
      <c r="AC1559" s="78">
        <f>14960000*1.16+9285000*1.16+7260000*1.16+9250000*1.16</f>
        <v>47275800</v>
      </c>
      <c r="AD1559" s="78">
        <v>0</v>
      </c>
      <c r="AE1559" s="80">
        <f t="shared" si="205"/>
        <v>47275800</v>
      </c>
      <c r="AF1559" s="82">
        <v>0</v>
      </c>
      <c r="AG1559" s="69">
        <v>40491</v>
      </c>
      <c r="AH1559" s="84">
        <v>62847</v>
      </c>
      <c r="AI1559" s="69" t="s">
        <v>2009</v>
      </c>
      <c r="AJ1559" s="25" t="s">
        <v>2010</v>
      </c>
      <c r="AK1559" s="65"/>
      <c r="AL1559" s="176" t="s">
        <v>1257</v>
      </c>
      <c r="AM1559" s="173" t="s">
        <v>295</v>
      </c>
      <c r="AN1559" s="159"/>
      <c r="AO1559" s="160"/>
      <c r="AP1559" s="161"/>
      <c r="AQ1559" s="160"/>
      <c r="AR1559" s="160"/>
      <c r="AS1559" s="160"/>
      <c r="AT1559" s="160"/>
      <c r="AU1559" s="160"/>
      <c r="AV1559" s="160"/>
      <c r="AW1559" s="160"/>
      <c r="AX1559" s="160"/>
      <c r="AY1559" s="160"/>
      <c r="AZ1559" s="160"/>
      <c r="BA1559" s="160"/>
      <c r="BB1559" s="160"/>
      <c r="BC1559" s="160"/>
      <c r="BD1559" s="160"/>
      <c r="BE1559" s="160"/>
      <c r="BF1559" s="160"/>
      <c r="BG1559" s="160"/>
      <c r="BH1559" s="160"/>
      <c r="BI1559" s="160"/>
      <c r="BJ1559" s="160"/>
      <c r="BK1559" s="160"/>
      <c r="BL1559" s="160"/>
      <c r="BM1559" s="160"/>
      <c r="BN1559" s="160"/>
      <c r="BO1559" s="160"/>
      <c r="BP1559" s="160"/>
      <c r="BQ1559" s="160"/>
      <c r="BR1559" s="160"/>
      <c r="BS1559" s="160"/>
      <c r="BT1559" s="160"/>
      <c r="BU1559" s="160"/>
      <c r="BV1559" s="160"/>
      <c r="BW1559" s="160"/>
      <c r="BX1559" s="160"/>
      <c r="BY1559" s="160"/>
      <c r="BZ1559" s="160"/>
      <c r="CA1559" s="160"/>
      <c r="CB1559" s="160"/>
      <c r="CC1559" s="160"/>
      <c r="CD1559" s="160"/>
      <c r="CE1559" s="160"/>
      <c r="CF1559" s="160"/>
      <c r="CG1559" s="160"/>
      <c r="CH1559" s="160"/>
      <c r="CI1559" s="160"/>
      <c r="CJ1559" s="160"/>
      <c r="CK1559" s="160"/>
      <c r="CL1559" s="160"/>
      <c r="CM1559" s="160"/>
      <c r="CN1559" s="160"/>
      <c r="CO1559" s="160"/>
      <c r="CP1559" s="162"/>
      <c r="CQ1559" s="163"/>
      <c r="CR1559" s="162"/>
      <c r="CS1559" s="163"/>
      <c r="CT1559" s="162"/>
      <c r="CU1559" s="163"/>
      <c r="CV1559" s="164">
        <f t="shared" si="204"/>
        <v>0</v>
      </c>
      <c r="CW1559" s="165"/>
      <c r="CX1559" s="166"/>
      <c r="CY1559" s="167"/>
      <c r="CZ1559" s="168"/>
      <c r="DA1559" s="169"/>
      <c r="DB1559" s="168"/>
      <c r="DC1559" s="165"/>
      <c r="DD1559" s="166"/>
      <c r="DE1559" s="71"/>
      <c r="DF1559" s="170"/>
      <c r="EO1559" s="353" t="str">
        <f t="shared" si="206"/>
        <v>NORTE DE SANTANDER_LOS PATIOS</v>
      </c>
      <c r="EP1559" s="350"/>
      <c r="EQ1559" s="350"/>
      <c r="ER1559" s="357"/>
      <c r="ES1559" s="350"/>
      <c r="ET1559" s="350"/>
      <c r="EU1559" s="350"/>
    </row>
    <row r="1560" spans="1:151" s="171" customFormat="1" ht="25.5" x14ac:dyDescent="0.2">
      <c r="A1560" s="242">
        <v>40489</v>
      </c>
      <c r="B1560" s="107" t="s">
        <v>2012</v>
      </c>
      <c r="C1560" s="222" t="s">
        <v>2433</v>
      </c>
      <c r="D1560" s="427" t="s">
        <v>2307</v>
      </c>
      <c r="E1560" s="107" t="str">
        <f>VLOOKUP(B1560&amp;C1560,Divipola!$C$2:$F$1138,4,FALSE)</f>
        <v>66001</v>
      </c>
      <c r="F1560" s="330"/>
      <c r="G1560" s="221"/>
      <c r="H1560" s="157"/>
      <c r="I1560" s="157"/>
      <c r="J1560" s="157">
        <v>5</v>
      </c>
      <c r="K1560" s="157">
        <v>1</v>
      </c>
      <c r="L1560" s="157"/>
      <c r="M1560" s="157">
        <v>1</v>
      </c>
      <c r="N1560" s="157"/>
      <c r="O1560" s="157"/>
      <c r="P1560" s="157"/>
      <c r="Q1560" s="157"/>
      <c r="R1560" s="157"/>
      <c r="S1560" s="157"/>
      <c r="T1560" s="157"/>
      <c r="U1560" s="157"/>
      <c r="V1560" s="158"/>
      <c r="W1560" s="182"/>
      <c r="X1560" s="1"/>
      <c r="Y1560" s="78">
        <f t="shared" si="201"/>
        <v>0</v>
      </c>
      <c r="Z1560" s="78">
        <f t="shared" si="202"/>
        <v>0</v>
      </c>
      <c r="AA1560" s="78">
        <f t="shared" si="200"/>
        <v>0</v>
      </c>
      <c r="AB1560" s="78">
        <f t="shared" si="203"/>
        <v>0</v>
      </c>
      <c r="AC1560" s="78"/>
      <c r="AD1560" s="78">
        <v>0</v>
      </c>
      <c r="AE1560" s="80">
        <f t="shared" si="205"/>
        <v>0</v>
      </c>
      <c r="AF1560" s="82">
        <v>0</v>
      </c>
      <c r="AG1560" s="69">
        <v>40491</v>
      </c>
      <c r="AH1560" s="84"/>
      <c r="AI1560" s="69" t="s">
        <v>1984</v>
      </c>
      <c r="AJ1560" s="25" t="s">
        <v>1985</v>
      </c>
      <c r="AK1560" s="65"/>
      <c r="AL1560" s="176" t="s">
        <v>1257</v>
      </c>
      <c r="AM1560" s="173" t="s">
        <v>3069</v>
      </c>
      <c r="AN1560" s="159"/>
      <c r="AO1560" s="160"/>
      <c r="AP1560" s="161"/>
      <c r="AQ1560" s="160"/>
      <c r="AR1560" s="160"/>
      <c r="AS1560" s="160"/>
      <c r="AT1560" s="160"/>
      <c r="AU1560" s="160"/>
      <c r="AV1560" s="160"/>
      <c r="AW1560" s="160"/>
      <c r="AX1560" s="160"/>
      <c r="AY1560" s="160"/>
      <c r="AZ1560" s="160"/>
      <c r="BA1560" s="160"/>
      <c r="BB1560" s="160"/>
      <c r="BC1560" s="160"/>
      <c r="BD1560" s="160"/>
      <c r="BE1560" s="160"/>
      <c r="BF1560" s="160"/>
      <c r="BG1560" s="160"/>
      <c r="BH1560" s="160"/>
      <c r="BI1560" s="160"/>
      <c r="BJ1560" s="160"/>
      <c r="BK1560" s="160"/>
      <c r="BL1560" s="160"/>
      <c r="BM1560" s="160"/>
      <c r="BN1560" s="160"/>
      <c r="BO1560" s="160"/>
      <c r="BP1560" s="160"/>
      <c r="BQ1560" s="160"/>
      <c r="BR1560" s="160"/>
      <c r="BS1560" s="160"/>
      <c r="BT1560" s="160"/>
      <c r="BU1560" s="160"/>
      <c r="BV1560" s="160"/>
      <c r="BW1560" s="160"/>
      <c r="BX1560" s="160"/>
      <c r="BY1560" s="160"/>
      <c r="BZ1560" s="160"/>
      <c r="CA1560" s="160"/>
      <c r="CB1560" s="160"/>
      <c r="CC1560" s="160"/>
      <c r="CD1560" s="160"/>
      <c r="CE1560" s="160"/>
      <c r="CF1560" s="160"/>
      <c r="CG1560" s="160"/>
      <c r="CH1560" s="160"/>
      <c r="CI1560" s="160"/>
      <c r="CJ1560" s="160"/>
      <c r="CK1560" s="160"/>
      <c r="CL1560" s="160"/>
      <c r="CM1560" s="160"/>
      <c r="CN1560" s="160"/>
      <c r="CO1560" s="160"/>
      <c r="CP1560" s="162"/>
      <c r="CQ1560" s="163"/>
      <c r="CR1560" s="162"/>
      <c r="CS1560" s="163"/>
      <c r="CT1560" s="162"/>
      <c r="CU1560" s="163"/>
      <c r="CV1560" s="164">
        <f t="shared" si="204"/>
        <v>0</v>
      </c>
      <c r="CW1560" s="165"/>
      <c r="CX1560" s="166"/>
      <c r="CY1560" s="167"/>
      <c r="CZ1560" s="168"/>
      <c r="DA1560" s="169"/>
      <c r="DB1560" s="168"/>
      <c r="DC1560" s="165"/>
      <c r="DD1560" s="166"/>
      <c r="DE1560" s="71"/>
      <c r="DF1560" s="170"/>
      <c r="EO1560" s="353" t="str">
        <f t="shared" si="206"/>
        <v>RISARALDA_PEREIRA</v>
      </c>
      <c r="EP1560" s="350"/>
      <c r="EQ1560" s="350"/>
      <c r="ER1560" s="357"/>
      <c r="ES1560" s="350"/>
      <c r="ET1560" s="350"/>
      <c r="EU1560" s="350"/>
    </row>
    <row r="1561" spans="1:151" s="171" customFormat="1" ht="38.25" x14ac:dyDescent="0.2">
      <c r="A1561" s="242">
        <v>40489</v>
      </c>
      <c r="B1561" s="107" t="s">
        <v>2012</v>
      </c>
      <c r="C1561" s="222" t="s">
        <v>1938</v>
      </c>
      <c r="D1561" s="430" t="s">
        <v>837</v>
      </c>
      <c r="E1561" s="107" t="str">
        <f>VLOOKUP(B1561&amp;C1561,Divipola!$C$2:$F$1138,4,FALSE)</f>
        <v>66687</v>
      </c>
      <c r="F1561" s="333"/>
      <c r="G1561" s="221"/>
      <c r="H1561" s="157"/>
      <c r="I1561" s="157">
        <v>1</v>
      </c>
      <c r="J1561" s="157"/>
      <c r="K1561" s="157"/>
      <c r="L1561" s="157"/>
      <c r="M1561" s="157"/>
      <c r="N1561" s="157"/>
      <c r="O1561" s="157"/>
      <c r="P1561" s="157"/>
      <c r="Q1561" s="157"/>
      <c r="R1561" s="157"/>
      <c r="S1561" s="157"/>
      <c r="T1561" s="157"/>
      <c r="U1561" s="157"/>
      <c r="V1561" s="158"/>
      <c r="W1561" s="182"/>
      <c r="X1561" s="1"/>
      <c r="Y1561" s="78">
        <f t="shared" si="201"/>
        <v>0</v>
      </c>
      <c r="Z1561" s="78">
        <f t="shared" si="202"/>
        <v>0</v>
      </c>
      <c r="AA1561" s="78">
        <f t="shared" si="200"/>
        <v>0</v>
      </c>
      <c r="AB1561" s="78">
        <f t="shared" si="203"/>
        <v>0</v>
      </c>
      <c r="AC1561" s="78"/>
      <c r="AD1561" s="78">
        <v>0</v>
      </c>
      <c r="AE1561" s="80">
        <f t="shared" si="205"/>
        <v>0</v>
      </c>
      <c r="AF1561" s="82">
        <v>0</v>
      </c>
      <c r="AG1561" s="69">
        <v>40494</v>
      </c>
      <c r="AH1561" s="84"/>
      <c r="AI1561" s="69" t="s">
        <v>1984</v>
      </c>
      <c r="AJ1561" s="25" t="s">
        <v>1985</v>
      </c>
      <c r="AK1561" s="65"/>
      <c r="AL1561" s="176" t="s">
        <v>1257</v>
      </c>
      <c r="AM1561" s="173" t="s">
        <v>2452</v>
      </c>
      <c r="AN1561" s="159"/>
      <c r="AO1561" s="160"/>
      <c r="AP1561" s="161"/>
      <c r="AQ1561" s="160"/>
      <c r="AR1561" s="160"/>
      <c r="AS1561" s="160"/>
      <c r="AT1561" s="160"/>
      <c r="AU1561" s="160"/>
      <c r="AV1561" s="160"/>
      <c r="AW1561" s="160"/>
      <c r="AX1561" s="160"/>
      <c r="AY1561" s="160"/>
      <c r="AZ1561" s="160"/>
      <c r="BA1561" s="160"/>
      <c r="BB1561" s="160"/>
      <c r="BC1561" s="160"/>
      <c r="BD1561" s="160"/>
      <c r="BE1561" s="160"/>
      <c r="BF1561" s="160"/>
      <c r="BG1561" s="160"/>
      <c r="BH1561" s="160"/>
      <c r="BI1561" s="160"/>
      <c r="BJ1561" s="160"/>
      <c r="BK1561" s="160"/>
      <c r="BL1561" s="160"/>
      <c r="BM1561" s="160"/>
      <c r="BN1561" s="160"/>
      <c r="BO1561" s="160"/>
      <c r="BP1561" s="160"/>
      <c r="BQ1561" s="160"/>
      <c r="BR1561" s="160"/>
      <c r="BS1561" s="160"/>
      <c r="BT1561" s="160"/>
      <c r="BU1561" s="160"/>
      <c r="BV1561" s="160"/>
      <c r="BW1561" s="160"/>
      <c r="BX1561" s="160"/>
      <c r="BY1561" s="160"/>
      <c r="BZ1561" s="160"/>
      <c r="CA1561" s="160"/>
      <c r="CB1561" s="160"/>
      <c r="CC1561" s="160"/>
      <c r="CD1561" s="160"/>
      <c r="CE1561" s="160"/>
      <c r="CF1561" s="160"/>
      <c r="CG1561" s="160"/>
      <c r="CH1561" s="160"/>
      <c r="CI1561" s="160"/>
      <c r="CJ1561" s="160"/>
      <c r="CK1561" s="160"/>
      <c r="CL1561" s="160"/>
      <c r="CM1561" s="160"/>
      <c r="CN1561" s="160"/>
      <c r="CO1561" s="160"/>
      <c r="CP1561" s="162"/>
      <c r="CQ1561" s="163"/>
      <c r="CR1561" s="162"/>
      <c r="CS1561" s="163"/>
      <c r="CT1561" s="162"/>
      <c r="CU1561" s="163"/>
      <c r="CV1561" s="164">
        <f t="shared" si="204"/>
        <v>0</v>
      </c>
      <c r="CW1561" s="165"/>
      <c r="CX1561" s="166"/>
      <c r="CY1561" s="167"/>
      <c r="CZ1561" s="168"/>
      <c r="DA1561" s="169"/>
      <c r="DB1561" s="168"/>
      <c r="DC1561" s="165"/>
      <c r="DD1561" s="166"/>
      <c r="DE1561" s="71"/>
      <c r="DF1561" s="170"/>
      <c r="EO1561" s="353" t="str">
        <f t="shared" si="206"/>
        <v>RISARALDA_SANTUARIO</v>
      </c>
      <c r="EP1561" s="350"/>
      <c r="EQ1561" s="350"/>
      <c r="ER1561" s="357"/>
      <c r="ES1561" s="350"/>
      <c r="ET1561" s="350"/>
      <c r="EU1561" s="350"/>
    </row>
    <row r="1562" spans="1:151" s="171" customFormat="1" ht="51" x14ac:dyDescent="0.2">
      <c r="A1562" s="242">
        <v>40489</v>
      </c>
      <c r="B1562" s="222" t="s">
        <v>2427</v>
      </c>
      <c r="C1562" s="222" t="s">
        <v>1457</v>
      </c>
      <c r="D1562" s="427" t="s">
        <v>2307</v>
      </c>
      <c r="E1562" s="107" t="str">
        <f>VLOOKUP(B1562&amp;C1562,Divipola!$C$2:$F$1138,4,FALSE)</f>
        <v>68081</v>
      </c>
      <c r="F1562" s="330"/>
      <c r="G1562" s="275">
        <v>1</v>
      </c>
      <c r="H1562" s="157"/>
      <c r="I1562" s="157"/>
      <c r="J1562" s="157"/>
      <c r="K1562" s="157"/>
      <c r="L1562" s="157"/>
      <c r="M1562" s="157"/>
      <c r="N1562" s="157"/>
      <c r="O1562" s="157"/>
      <c r="P1562" s="157"/>
      <c r="Q1562" s="157"/>
      <c r="R1562" s="157"/>
      <c r="S1562" s="157"/>
      <c r="T1562" s="157"/>
      <c r="U1562" s="157"/>
      <c r="V1562" s="158"/>
      <c r="W1562" s="182"/>
      <c r="X1562" s="1"/>
      <c r="Y1562" s="78">
        <f t="shared" si="201"/>
        <v>0</v>
      </c>
      <c r="Z1562" s="78">
        <f t="shared" si="202"/>
        <v>0</v>
      </c>
      <c r="AA1562" s="78">
        <f t="shared" si="200"/>
        <v>0</v>
      </c>
      <c r="AB1562" s="78">
        <f t="shared" si="203"/>
        <v>0</v>
      </c>
      <c r="AC1562" s="78"/>
      <c r="AD1562" s="78">
        <v>0</v>
      </c>
      <c r="AE1562" s="80">
        <f t="shared" si="205"/>
        <v>0</v>
      </c>
      <c r="AF1562" s="82">
        <v>0</v>
      </c>
      <c r="AG1562" s="69">
        <v>40491</v>
      </c>
      <c r="AH1562" s="84"/>
      <c r="AI1562" s="69" t="s">
        <v>1984</v>
      </c>
      <c r="AJ1562" s="25" t="s">
        <v>1985</v>
      </c>
      <c r="AK1562" s="65"/>
      <c r="AL1562" s="176" t="s">
        <v>1257</v>
      </c>
      <c r="AM1562" s="173" t="s">
        <v>1268</v>
      </c>
      <c r="AN1562" s="159"/>
      <c r="AO1562" s="160"/>
      <c r="AP1562" s="161"/>
      <c r="AQ1562" s="160"/>
      <c r="AR1562" s="160"/>
      <c r="AS1562" s="160"/>
      <c r="AT1562" s="160"/>
      <c r="AU1562" s="160"/>
      <c r="AV1562" s="160"/>
      <c r="AW1562" s="160"/>
      <c r="AX1562" s="160"/>
      <c r="AY1562" s="160"/>
      <c r="AZ1562" s="160"/>
      <c r="BA1562" s="160"/>
      <c r="BB1562" s="160"/>
      <c r="BC1562" s="160"/>
      <c r="BD1562" s="160"/>
      <c r="BE1562" s="160"/>
      <c r="BF1562" s="160"/>
      <c r="BG1562" s="160"/>
      <c r="BH1562" s="160"/>
      <c r="BI1562" s="160"/>
      <c r="BJ1562" s="160"/>
      <c r="BK1562" s="160"/>
      <c r="BL1562" s="160"/>
      <c r="BM1562" s="160"/>
      <c r="BN1562" s="160"/>
      <c r="BO1562" s="160"/>
      <c r="BP1562" s="160"/>
      <c r="BQ1562" s="160"/>
      <c r="BR1562" s="160"/>
      <c r="BS1562" s="160"/>
      <c r="BT1562" s="160"/>
      <c r="BU1562" s="160"/>
      <c r="BV1562" s="160"/>
      <c r="BW1562" s="160"/>
      <c r="BX1562" s="160"/>
      <c r="BY1562" s="160"/>
      <c r="BZ1562" s="160"/>
      <c r="CA1562" s="160"/>
      <c r="CB1562" s="160"/>
      <c r="CC1562" s="160"/>
      <c r="CD1562" s="160"/>
      <c r="CE1562" s="160"/>
      <c r="CF1562" s="160"/>
      <c r="CG1562" s="160"/>
      <c r="CH1562" s="160"/>
      <c r="CI1562" s="160"/>
      <c r="CJ1562" s="160"/>
      <c r="CK1562" s="160"/>
      <c r="CL1562" s="160"/>
      <c r="CM1562" s="160"/>
      <c r="CN1562" s="160"/>
      <c r="CO1562" s="160"/>
      <c r="CP1562" s="162"/>
      <c r="CQ1562" s="163"/>
      <c r="CR1562" s="162"/>
      <c r="CS1562" s="163"/>
      <c r="CT1562" s="162"/>
      <c r="CU1562" s="163"/>
      <c r="CV1562" s="164">
        <f t="shared" si="204"/>
        <v>0</v>
      </c>
      <c r="CW1562" s="165"/>
      <c r="CX1562" s="166"/>
      <c r="CY1562" s="167"/>
      <c r="CZ1562" s="168"/>
      <c r="DA1562" s="169"/>
      <c r="DB1562" s="168"/>
      <c r="DC1562" s="165"/>
      <c r="DD1562" s="166"/>
      <c r="DE1562" s="71"/>
      <c r="DF1562" s="170"/>
      <c r="EO1562" s="353" t="str">
        <f t="shared" si="206"/>
        <v>SANTANDER_BARRANCABERMEJA</v>
      </c>
      <c r="EP1562" s="350"/>
      <c r="EQ1562" s="350"/>
      <c r="ER1562" s="357"/>
      <c r="ES1562" s="350"/>
      <c r="ET1562" s="350"/>
      <c r="EU1562" s="350"/>
    </row>
    <row r="1563" spans="1:151" s="171" customFormat="1" ht="25.5" x14ac:dyDescent="0.2">
      <c r="A1563" s="242">
        <v>40489</v>
      </c>
      <c r="B1563" s="222" t="s">
        <v>2427</v>
      </c>
      <c r="C1563" s="222" t="s">
        <v>2017</v>
      </c>
      <c r="D1563" s="427" t="s">
        <v>2307</v>
      </c>
      <c r="E1563" s="107" t="str">
        <f>VLOOKUP(B1563&amp;C1563,Divipola!$C$2:$F$1138,4,FALSE)</f>
        <v>68101</v>
      </c>
      <c r="F1563" s="330"/>
      <c r="G1563" s="275"/>
      <c r="H1563" s="157"/>
      <c r="I1563" s="157"/>
      <c r="J1563" s="157">
        <f>23*5</f>
        <v>115</v>
      </c>
      <c r="K1563" s="157">
        <v>23</v>
      </c>
      <c r="L1563" s="157"/>
      <c r="M1563" s="157">
        <v>23</v>
      </c>
      <c r="N1563" s="157">
        <v>1</v>
      </c>
      <c r="O1563" s="157"/>
      <c r="P1563" s="157"/>
      <c r="Q1563" s="157"/>
      <c r="R1563" s="157"/>
      <c r="S1563" s="157"/>
      <c r="T1563" s="157"/>
      <c r="U1563" s="157"/>
      <c r="V1563" s="158"/>
      <c r="W1563" s="182"/>
      <c r="X1563" s="1"/>
      <c r="Y1563" s="78">
        <f t="shared" si="201"/>
        <v>0</v>
      </c>
      <c r="Z1563" s="78">
        <f t="shared" si="202"/>
        <v>0</v>
      </c>
      <c r="AA1563" s="78">
        <f t="shared" si="200"/>
        <v>0</v>
      </c>
      <c r="AB1563" s="78">
        <f t="shared" si="203"/>
        <v>0</v>
      </c>
      <c r="AC1563" s="78"/>
      <c r="AD1563" s="78">
        <v>0</v>
      </c>
      <c r="AE1563" s="80">
        <f t="shared" si="205"/>
        <v>0</v>
      </c>
      <c r="AF1563" s="82">
        <v>0</v>
      </c>
      <c r="AG1563" s="69">
        <v>40491</v>
      </c>
      <c r="AH1563" s="84"/>
      <c r="AI1563" s="69" t="s">
        <v>1984</v>
      </c>
      <c r="AJ1563" s="25" t="s">
        <v>1985</v>
      </c>
      <c r="AK1563" s="65"/>
      <c r="AL1563" s="176" t="s">
        <v>1257</v>
      </c>
      <c r="AM1563" s="173" t="s">
        <v>3062</v>
      </c>
      <c r="AN1563" s="159"/>
      <c r="AO1563" s="160"/>
      <c r="AP1563" s="161"/>
      <c r="AQ1563" s="160"/>
      <c r="AR1563" s="160"/>
      <c r="AS1563" s="160"/>
      <c r="AT1563" s="160"/>
      <c r="AU1563" s="160"/>
      <c r="AV1563" s="160"/>
      <c r="AW1563" s="160"/>
      <c r="AX1563" s="160"/>
      <c r="AY1563" s="160"/>
      <c r="AZ1563" s="160"/>
      <c r="BA1563" s="160"/>
      <c r="BB1563" s="160"/>
      <c r="BC1563" s="160"/>
      <c r="BD1563" s="160"/>
      <c r="BE1563" s="160"/>
      <c r="BF1563" s="160"/>
      <c r="BG1563" s="160"/>
      <c r="BH1563" s="160"/>
      <c r="BI1563" s="160"/>
      <c r="BJ1563" s="160"/>
      <c r="BK1563" s="160"/>
      <c r="BL1563" s="160"/>
      <c r="BM1563" s="160"/>
      <c r="BN1563" s="160"/>
      <c r="BO1563" s="160"/>
      <c r="BP1563" s="160"/>
      <c r="BQ1563" s="160"/>
      <c r="BR1563" s="160"/>
      <c r="BS1563" s="160"/>
      <c r="BT1563" s="160"/>
      <c r="BU1563" s="160"/>
      <c r="BV1563" s="160"/>
      <c r="BW1563" s="160"/>
      <c r="BX1563" s="160"/>
      <c r="BY1563" s="160"/>
      <c r="BZ1563" s="160"/>
      <c r="CA1563" s="160"/>
      <c r="CB1563" s="160"/>
      <c r="CC1563" s="160"/>
      <c r="CD1563" s="160"/>
      <c r="CE1563" s="160"/>
      <c r="CF1563" s="160"/>
      <c r="CG1563" s="160"/>
      <c r="CH1563" s="160"/>
      <c r="CI1563" s="160"/>
      <c r="CJ1563" s="160"/>
      <c r="CK1563" s="160"/>
      <c r="CL1563" s="160"/>
      <c r="CM1563" s="160"/>
      <c r="CN1563" s="160"/>
      <c r="CO1563" s="160"/>
      <c r="CP1563" s="162"/>
      <c r="CQ1563" s="163"/>
      <c r="CR1563" s="162"/>
      <c r="CS1563" s="163"/>
      <c r="CT1563" s="162"/>
      <c r="CU1563" s="163"/>
      <c r="CV1563" s="164">
        <f t="shared" si="204"/>
        <v>0</v>
      </c>
      <c r="CW1563" s="165"/>
      <c r="CX1563" s="166"/>
      <c r="CY1563" s="167"/>
      <c r="CZ1563" s="168"/>
      <c r="DA1563" s="169"/>
      <c r="DB1563" s="168"/>
      <c r="DC1563" s="165"/>
      <c r="DD1563" s="166"/>
      <c r="DE1563" s="71"/>
      <c r="DF1563" s="170"/>
      <c r="EO1563" s="353" t="str">
        <f t="shared" si="206"/>
        <v>SANTANDER_BOLIVAR</v>
      </c>
      <c r="EP1563" s="350"/>
      <c r="EQ1563" s="350"/>
      <c r="ER1563" s="357"/>
      <c r="ES1563" s="350"/>
      <c r="ET1563" s="350"/>
      <c r="EU1563" s="350"/>
    </row>
    <row r="1564" spans="1:151" s="171" customFormat="1" ht="38.25" x14ac:dyDescent="0.2">
      <c r="A1564" s="242">
        <v>40489</v>
      </c>
      <c r="B1564" s="222" t="s">
        <v>2427</v>
      </c>
      <c r="C1564" s="222" t="s">
        <v>628</v>
      </c>
      <c r="D1564" s="427" t="s">
        <v>2307</v>
      </c>
      <c r="E1564" s="107" t="str">
        <f>VLOOKUP(B1564&amp;C1564,Divipola!$C$2:$F$1138,4,FALSE)</f>
        <v>68001</v>
      </c>
      <c r="F1564" s="330"/>
      <c r="G1564" s="275"/>
      <c r="H1564" s="157"/>
      <c r="I1564" s="157"/>
      <c r="J1564" s="157"/>
      <c r="K1564" s="157"/>
      <c r="L1564" s="157"/>
      <c r="M1564" s="157"/>
      <c r="N1564" s="157"/>
      <c r="O1564" s="157"/>
      <c r="P1564" s="157"/>
      <c r="Q1564" s="157"/>
      <c r="R1564" s="157"/>
      <c r="S1564" s="157"/>
      <c r="T1564" s="157"/>
      <c r="U1564" s="157"/>
      <c r="V1564" s="158"/>
      <c r="W1564" s="182"/>
      <c r="X1564" s="1"/>
      <c r="Y1564" s="78">
        <f t="shared" si="201"/>
        <v>0</v>
      </c>
      <c r="Z1564" s="78">
        <f t="shared" si="202"/>
        <v>0</v>
      </c>
      <c r="AA1564" s="78">
        <f t="shared" si="200"/>
        <v>0</v>
      </c>
      <c r="AB1564" s="78">
        <f t="shared" si="203"/>
        <v>0</v>
      </c>
      <c r="AC1564" s="78"/>
      <c r="AD1564" s="78">
        <v>0</v>
      </c>
      <c r="AE1564" s="80">
        <f t="shared" si="205"/>
        <v>0</v>
      </c>
      <c r="AF1564" s="82">
        <v>0</v>
      </c>
      <c r="AG1564" s="69">
        <v>40491</v>
      </c>
      <c r="AH1564" s="84"/>
      <c r="AI1564" s="69" t="s">
        <v>1984</v>
      </c>
      <c r="AJ1564" s="25" t="s">
        <v>1985</v>
      </c>
      <c r="AK1564" s="65"/>
      <c r="AL1564" s="176" t="s">
        <v>1257</v>
      </c>
      <c r="AM1564" s="173" t="s">
        <v>3060</v>
      </c>
      <c r="AN1564" s="159"/>
      <c r="AO1564" s="160"/>
      <c r="AP1564" s="161"/>
      <c r="AQ1564" s="160"/>
      <c r="AR1564" s="160"/>
      <c r="AS1564" s="160"/>
      <c r="AT1564" s="160"/>
      <c r="AU1564" s="160"/>
      <c r="AV1564" s="160"/>
      <c r="AW1564" s="160"/>
      <c r="AX1564" s="160"/>
      <c r="AY1564" s="160"/>
      <c r="AZ1564" s="160"/>
      <c r="BA1564" s="160"/>
      <c r="BB1564" s="160"/>
      <c r="BC1564" s="160"/>
      <c r="BD1564" s="160"/>
      <c r="BE1564" s="160"/>
      <c r="BF1564" s="160"/>
      <c r="BG1564" s="160"/>
      <c r="BH1564" s="160"/>
      <c r="BI1564" s="160"/>
      <c r="BJ1564" s="160"/>
      <c r="BK1564" s="160"/>
      <c r="BL1564" s="160"/>
      <c r="BM1564" s="160"/>
      <c r="BN1564" s="160"/>
      <c r="BO1564" s="160"/>
      <c r="BP1564" s="160"/>
      <c r="BQ1564" s="160"/>
      <c r="BR1564" s="160"/>
      <c r="BS1564" s="160"/>
      <c r="BT1564" s="160"/>
      <c r="BU1564" s="160"/>
      <c r="BV1564" s="160"/>
      <c r="BW1564" s="160"/>
      <c r="BX1564" s="160"/>
      <c r="BY1564" s="160"/>
      <c r="BZ1564" s="160"/>
      <c r="CA1564" s="160"/>
      <c r="CB1564" s="160"/>
      <c r="CC1564" s="160"/>
      <c r="CD1564" s="160"/>
      <c r="CE1564" s="160"/>
      <c r="CF1564" s="160"/>
      <c r="CG1564" s="160"/>
      <c r="CH1564" s="160"/>
      <c r="CI1564" s="160"/>
      <c r="CJ1564" s="160"/>
      <c r="CK1564" s="160"/>
      <c r="CL1564" s="160"/>
      <c r="CM1564" s="160"/>
      <c r="CN1564" s="160"/>
      <c r="CO1564" s="160"/>
      <c r="CP1564" s="162"/>
      <c r="CQ1564" s="163"/>
      <c r="CR1564" s="162"/>
      <c r="CS1564" s="163"/>
      <c r="CT1564" s="162"/>
      <c r="CU1564" s="163"/>
      <c r="CV1564" s="164">
        <f t="shared" si="204"/>
        <v>0</v>
      </c>
      <c r="CW1564" s="165"/>
      <c r="CX1564" s="166"/>
      <c r="CY1564" s="167"/>
      <c r="CZ1564" s="168"/>
      <c r="DA1564" s="169"/>
      <c r="DB1564" s="168"/>
      <c r="DC1564" s="165"/>
      <c r="DD1564" s="166"/>
      <c r="DE1564" s="71"/>
      <c r="DF1564" s="170"/>
      <c r="EO1564" s="353" t="str">
        <f t="shared" si="206"/>
        <v>SANTANDER_BUCARAMANGA</v>
      </c>
      <c r="EP1564" s="350"/>
      <c r="EQ1564" s="350"/>
      <c r="ER1564" s="357"/>
      <c r="ES1564" s="350"/>
      <c r="ET1564" s="350"/>
      <c r="EU1564" s="350"/>
    </row>
    <row r="1565" spans="1:151" s="171" customFormat="1" ht="38.25" x14ac:dyDescent="0.2">
      <c r="A1565" s="242">
        <v>40489</v>
      </c>
      <c r="B1565" s="222" t="s">
        <v>2427</v>
      </c>
      <c r="C1565" s="222" t="s">
        <v>1365</v>
      </c>
      <c r="D1565" s="430" t="s">
        <v>837</v>
      </c>
      <c r="E1565" s="107" t="str">
        <f>VLOOKUP(B1565&amp;C1565,Divipola!$C$2:$F$1138,4,FALSE)</f>
        <v>68444</v>
      </c>
      <c r="F1565" s="333"/>
      <c r="G1565" s="275">
        <v>1</v>
      </c>
      <c r="H1565" s="157"/>
      <c r="I1565" s="157"/>
      <c r="J1565" s="157">
        <f>72*5</f>
        <v>360</v>
      </c>
      <c r="K1565" s="157">
        <f>102-30</f>
        <v>72</v>
      </c>
      <c r="L1565" s="157">
        <v>6</v>
      </c>
      <c r="M1565" s="157">
        <v>73</v>
      </c>
      <c r="N1565" s="157"/>
      <c r="O1565" s="157"/>
      <c r="P1565" s="157"/>
      <c r="Q1565" s="157"/>
      <c r="R1565" s="157"/>
      <c r="S1565" s="157"/>
      <c r="T1565" s="157"/>
      <c r="U1565" s="157"/>
      <c r="V1565" s="158"/>
      <c r="W1565" s="182"/>
      <c r="X1565" s="1"/>
      <c r="Y1565" s="78">
        <f t="shared" si="201"/>
        <v>0</v>
      </c>
      <c r="Z1565" s="78">
        <f t="shared" si="202"/>
        <v>0</v>
      </c>
      <c r="AA1565" s="78">
        <f t="shared" si="200"/>
        <v>0</v>
      </c>
      <c r="AB1565" s="78">
        <f t="shared" si="203"/>
        <v>0</v>
      </c>
      <c r="AC1565" s="78"/>
      <c r="AD1565" s="78">
        <v>0</v>
      </c>
      <c r="AE1565" s="80">
        <f t="shared" si="205"/>
        <v>0</v>
      </c>
      <c r="AF1565" s="82">
        <v>0</v>
      </c>
      <c r="AG1565" s="69">
        <v>40491</v>
      </c>
      <c r="AH1565" s="84"/>
      <c r="AI1565" s="69" t="s">
        <v>1984</v>
      </c>
      <c r="AJ1565" s="25" t="s">
        <v>1985</v>
      </c>
      <c r="AK1565" s="65"/>
      <c r="AL1565" s="176" t="s">
        <v>1257</v>
      </c>
      <c r="AM1565" s="173" t="s">
        <v>3059</v>
      </c>
      <c r="AN1565" s="159"/>
      <c r="AO1565" s="160"/>
      <c r="AP1565" s="161"/>
      <c r="AQ1565" s="160"/>
      <c r="AR1565" s="160"/>
      <c r="AS1565" s="160"/>
      <c r="AT1565" s="160"/>
      <c r="AU1565" s="160"/>
      <c r="AV1565" s="160"/>
      <c r="AW1565" s="160"/>
      <c r="AX1565" s="160"/>
      <c r="AY1565" s="160"/>
      <c r="AZ1565" s="160"/>
      <c r="BA1565" s="160"/>
      <c r="BB1565" s="160"/>
      <c r="BC1565" s="160"/>
      <c r="BD1565" s="160"/>
      <c r="BE1565" s="160"/>
      <c r="BF1565" s="160"/>
      <c r="BG1565" s="160"/>
      <c r="BH1565" s="160"/>
      <c r="BI1565" s="160"/>
      <c r="BJ1565" s="160"/>
      <c r="BK1565" s="160"/>
      <c r="BL1565" s="160"/>
      <c r="BM1565" s="160"/>
      <c r="BN1565" s="160"/>
      <c r="BO1565" s="160"/>
      <c r="BP1565" s="160"/>
      <c r="BQ1565" s="160"/>
      <c r="BR1565" s="160"/>
      <c r="BS1565" s="160"/>
      <c r="BT1565" s="160"/>
      <c r="BU1565" s="160"/>
      <c r="BV1565" s="160"/>
      <c r="BW1565" s="160"/>
      <c r="BX1565" s="160"/>
      <c r="BY1565" s="160"/>
      <c r="BZ1565" s="160"/>
      <c r="CA1565" s="160"/>
      <c r="CB1565" s="160"/>
      <c r="CC1565" s="160"/>
      <c r="CD1565" s="160"/>
      <c r="CE1565" s="160"/>
      <c r="CF1565" s="160"/>
      <c r="CG1565" s="160"/>
      <c r="CH1565" s="160"/>
      <c r="CI1565" s="160"/>
      <c r="CJ1565" s="160"/>
      <c r="CK1565" s="160"/>
      <c r="CL1565" s="160"/>
      <c r="CM1565" s="160"/>
      <c r="CN1565" s="160"/>
      <c r="CO1565" s="160"/>
      <c r="CP1565" s="162"/>
      <c r="CQ1565" s="163"/>
      <c r="CR1565" s="162"/>
      <c r="CS1565" s="163"/>
      <c r="CT1565" s="162"/>
      <c r="CU1565" s="163"/>
      <c r="CV1565" s="164">
        <f t="shared" si="204"/>
        <v>0</v>
      </c>
      <c r="CW1565" s="165"/>
      <c r="CX1565" s="166"/>
      <c r="CY1565" s="167"/>
      <c r="CZ1565" s="168"/>
      <c r="DA1565" s="169"/>
      <c r="DB1565" s="168"/>
      <c r="DC1565" s="165"/>
      <c r="DD1565" s="166"/>
      <c r="DE1565" s="71"/>
      <c r="DF1565" s="170"/>
      <c r="EO1565" s="353" t="str">
        <f t="shared" si="206"/>
        <v>SANTANDER_MATANZA</v>
      </c>
      <c r="EP1565" s="350"/>
      <c r="EQ1565" s="350"/>
      <c r="ER1565" s="357"/>
      <c r="ES1565" s="350"/>
      <c r="ET1565" s="350"/>
      <c r="EU1565" s="350"/>
    </row>
    <row r="1566" spans="1:151" s="171" customFormat="1" ht="25.5" x14ac:dyDescent="0.2">
      <c r="A1566" s="242">
        <v>40489</v>
      </c>
      <c r="B1566" s="222" t="s">
        <v>2427</v>
      </c>
      <c r="C1566" s="222" t="s">
        <v>2658</v>
      </c>
      <c r="D1566" s="427" t="s">
        <v>2307</v>
      </c>
      <c r="E1566" s="107" t="str">
        <f>VLOOKUP(B1566&amp;C1566,Divipola!$C$2:$F$1138,4,FALSE)</f>
        <v>68780</v>
      </c>
      <c r="F1566" s="330"/>
      <c r="G1566" s="275"/>
      <c r="H1566" s="157"/>
      <c r="I1566" s="157"/>
      <c r="J1566" s="157"/>
      <c r="K1566" s="157"/>
      <c r="L1566" s="157"/>
      <c r="M1566" s="157"/>
      <c r="N1566" s="157">
        <v>1</v>
      </c>
      <c r="O1566" s="157">
        <v>2</v>
      </c>
      <c r="P1566" s="157"/>
      <c r="Q1566" s="157"/>
      <c r="R1566" s="157"/>
      <c r="S1566" s="157"/>
      <c r="T1566" s="157"/>
      <c r="U1566" s="157"/>
      <c r="V1566" s="158"/>
      <c r="W1566" s="182"/>
      <c r="X1566" s="1"/>
      <c r="Y1566" s="78">
        <f t="shared" si="201"/>
        <v>0</v>
      </c>
      <c r="Z1566" s="78">
        <f t="shared" si="202"/>
        <v>0</v>
      </c>
      <c r="AA1566" s="78">
        <f t="shared" si="200"/>
        <v>0</v>
      </c>
      <c r="AB1566" s="78">
        <f t="shared" si="203"/>
        <v>0</v>
      </c>
      <c r="AC1566" s="78"/>
      <c r="AD1566" s="78">
        <v>0</v>
      </c>
      <c r="AE1566" s="80">
        <f t="shared" si="205"/>
        <v>0</v>
      </c>
      <c r="AF1566" s="82">
        <v>0</v>
      </c>
      <c r="AG1566" s="69">
        <v>40491</v>
      </c>
      <c r="AH1566" s="84"/>
      <c r="AI1566" s="69" t="s">
        <v>1984</v>
      </c>
      <c r="AJ1566" s="25" t="s">
        <v>1985</v>
      </c>
      <c r="AK1566" s="65"/>
      <c r="AL1566" s="176" t="s">
        <v>1257</v>
      </c>
      <c r="AM1566" s="173" t="s">
        <v>3065</v>
      </c>
      <c r="AN1566" s="159"/>
      <c r="AO1566" s="160"/>
      <c r="AP1566" s="161"/>
      <c r="AQ1566" s="160"/>
      <c r="AR1566" s="160"/>
      <c r="AS1566" s="160"/>
      <c r="AT1566" s="160"/>
      <c r="AU1566" s="160"/>
      <c r="AV1566" s="160"/>
      <c r="AW1566" s="160"/>
      <c r="AX1566" s="160"/>
      <c r="AY1566" s="160"/>
      <c r="AZ1566" s="160"/>
      <c r="BA1566" s="160"/>
      <c r="BB1566" s="160"/>
      <c r="BC1566" s="160"/>
      <c r="BD1566" s="160"/>
      <c r="BE1566" s="160"/>
      <c r="BF1566" s="160"/>
      <c r="BG1566" s="160"/>
      <c r="BH1566" s="160"/>
      <c r="BI1566" s="160"/>
      <c r="BJ1566" s="160"/>
      <c r="BK1566" s="160"/>
      <c r="BL1566" s="160"/>
      <c r="BM1566" s="160"/>
      <c r="BN1566" s="160"/>
      <c r="BO1566" s="160"/>
      <c r="BP1566" s="160"/>
      <c r="BQ1566" s="160"/>
      <c r="BR1566" s="160"/>
      <c r="BS1566" s="160"/>
      <c r="BT1566" s="160"/>
      <c r="BU1566" s="160"/>
      <c r="BV1566" s="160"/>
      <c r="BW1566" s="160"/>
      <c r="BX1566" s="160"/>
      <c r="BY1566" s="160"/>
      <c r="BZ1566" s="160"/>
      <c r="CA1566" s="160"/>
      <c r="CB1566" s="160"/>
      <c r="CC1566" s="160"/>
      <c r="CD1566" s="160"/>
      <c r="CE1566" s="160"/>
      <c r="CF1566" s="160"/>
      <c r="CG1566" s="160"/>
      <c r="CH1566" s="160"/>
      <c r="CI1566" s="160"/>
      <c r="CJ1566" s="160"/>
      <c r="CK1566" s="160"/>
      <c r="CL1566" s="160"/>
      <c r="CM1566" s="160"/>
      <c r="CN1566" s="160"/>
      <c r="CO1566" s="160"/>
      <c r="CP1566" s="162"/>
      <c r="CQ1566" s="163"/>
      <c r="CR1566" s="162"/>
      <c r="CS1566" s="163"/>
      <c r="CT1566" s="162"/>
      <c r="CU1566" s="163"/>
      <c r="CV1566" s="164">
        <f t="shared" si="204"/>
        <v>0</v>
      </c>
      <c r="CW1566" s="165"/>
      <c r="CX1566" s="166"/>
      <c r="CY1566" s="167"/>
      <c r="CZ1566" s="168"/>
      <c r="DA1566" s="169"/>
      <c r="DB1566" s="168"/>
      <c r="DC1566" s="165"/>
      <c r="DD1566" s="166"/>
      <c r="DE1566" s="71"/>
      <c r="DF1566" s="170"/>
      <c r="EO1566" s="353" t="str">
        <f t="shared" si="206"/>
        <v>SANTANDER_SURATA</v>
      </c>
      <c r="EP1566" s="350"/>
      <c r="EQ1566" s="350"/>
      <c r="ER1566" s="357"/>
      <c r="ES1566" s="350"/>
      <c r="ET1566" s="350"/>
      <c r="EU1566" s="350"/>
    </row>
    <row r="1567" spans="1:151" s="171" customFormat="1" ht="25.5" x14ac:dyDescent="0.2">
      <c r="A1567" s="242">
        <v>40489</v>
      </c>
      <c r="B1567" s="222" t="s">
        <v>2427</v>
      </c>
      <c r="C1567" s="222" t="s">
        <v>3063</v>
      </c>
      <c r="D1567" s="427" t="s">
        <v>2307</v>
      </c>
      <c r="E1567" s="107" t="str">
        <f>VLOOKUP(B1567&amp;C1567,Divipola!$C$2:$F$1138,4,FALSE)</f>
        <v>68861</v>
      </c>
      <c r="F1567" s="330"/>
      <c r="G1567" s="275"/>
      <c r="H1567" s="157"/>
      <c r="I1567" s="157"/>
      <c r="J1567" s="157">
        <f>80*5</f>
        <v>400</v>
      </c>
      <c r="K1567" s="157">
        <v>80</v>
      </c>
      <c r="L1567" s="157"/>
      <c r="M1567" s="157">
        <v>2</v>
      </c>
      <c r="N1567" s="157">
        <v>1</v>
      </c>
      <c r="O1567" s="157"/>
      <c r="P1567" s="157"/>
      <c r="Q1567" s="157">
        <v>1</v>
      </c>
      <c r="R1567" s="157"/>
      <c r="S1567" s="157"/>
      <c r="T1567" s="157"/>
      <c r="U1567" s="157"/>
      <c r="V1567" s="158">
        <v>150</v>
      </c>
      <c r="W1567" s="182"/>
      <c r="X1567" s="1"/>
      <c r="Y1567" s="78">
        <f t="shared" si="201"/>
        <v>0</v>
      </c>
      <c r="Z1567" s="78">
        <f t="shared" si="202"/>
        <v>0</v>
      </c>
      <c r="AA1567" s="78">
        <f t="shared" si="200"/>
        <v>0</v>
      </c>
      <c r="AB1567" s="78">
        <f t="shared" si="203"/>
        <v>0</v>
      </c>
      <c r="AC1567" s="78"/>
      <c r="AD1567" s="78">
        <v>0</v>
      </c>
      <c r="AE1567" s="80">
        <f t="shared" si="205"/>
        <v>0</v>
      </c>
      <c r="AF1567" s="82">
        <v>0</v>
      </c>
      <c r="AG1567" s="69">
        <v>40491</v>
      </c>
      <c r="AH1567" s="84"/>
      <c r="AI1567" s="69" t="s">
        <v>1984</v>
      </c>
      <c r="AJ1567" s="25" t="s">
        <v>1985</v>
      </c>
      <c r="AK1567" s="65"/>
      <c r="AL1567" s="176" t="s">
        <v>1257</v>
      </c>
      <c r="AM1567" s="173" t="s">
        <v>3064</v>
      </c>
      <c r="AN1567" s="159"/>
      <c r="AO1567" s="160"/>
      <c r="AP1567" s="161"/>
      <c r="AQ1567" s="160"/>
      <c r="AR1567" s="160"/>
      <c r="AS1567" s="160"/>
      <c r="AT1567" s="160"/>
      <c r="AU1567" s="160"/>
      <c r="AV1567" s="160"/>
      <c r="AW1567" s="160"/>
      <c r="AX1567" s="160"/>
      <c r="AY1567" s="160"/>
      <c r="AZ1567" s="160"/>
      <c r="BA1567" s="160"/>
      <c r="BB1567" s="160"/>
      <c r="BC1567" s="160"/>
      <c r="BD1567" s="160"/>
      <c r="BE1567" s="160"/>
      <c r="BF1567" s="160"/>
      <c r="BG1567" s="160"/>
      <c r="BH1567" s="160"/>
      <c r="BI1567" s="160"/>
      <c r="BJ1567" s="160"/>
      <c r="BK1567" s="160"/>
      <c r="BL1567" s="160"/>
      <c r="BM1567" s="160"/>
      <c r="BN1567" s="160"/>
      <c r="BO1567" s="160"/>
      <c r="BP1567" s="160"/>
      <c r="BQ1567" s="160"/>
      <c r="BR1567" s="160"/>
      <c r="BS1567" s="160"/>
      <c r="BT1567" s="160"/>
      <c r="BU1567" s="160"/>
      <c r="BV1567" s="160"/>
      <c r="BW1567" s="160"/>
      <c r="BX1567" s="160"/>
      <c r="BY1567" s="160"/>
      <c r="BZ1567" s="160"/>
      <c r="CA1567" s="160"/>
      <c r="CB1567" s="160"/>
      <c r="CC1567" s="160"/>
      <c r="CD1567" s="160"/>
      <c r="CE1567" s="160"/>
      <c r="CF1567" s="160"/>
      <c r="CG1567" s="160"/>
      <c r="CH1567" s="160"/>
      <c r="CI1567" s="160"/>
      <c r="CJ1567" s="160"/>
      <c r="CK1567" s="160"/>
      <c r="CL1567" s="160"/>
      <c r="CM1567" s="160"/>
      <c r="CN1567" s="160"/>
      <c r="CO1567" s="160"/>
      <c r="CP1567" s="162"/>
      <c r="CQ1567" s="163"/>
      <c r="CR1567" s="162"/>
      <c r="CS1567" s="163"/>
      <c r="CT1567" s="162"/>
      <c r="CU1567" s="163"/>
      <c r="CV1567" s="164">
        <f t="shared" si="204"/>
        <v>0</v>
      </c>
      <c r="CW1567" s="165"/>
      <c r="CX1567" s="166"/>
      <c r="CY1567" s="167"/>
      <c r="CZ1567" s="168"/>
      <c r="DA1567" s="169"/>
      <c r="DB1567" s="168"/>
      <c r="DC1567" s="165"/>
      <c r="DD1567" s="166"/>
      <c r="DE1567" s="71"/>
      <c r="DF1567" s="170"/>
      <c r="EO1567" s="353" t="str">
        <f t="shared" si="206"/>
        <v>SANTANDER_VELEZ</v>
      </c>
      <c r="EP1567" s="350"/>
      <c r="EQ1567" s="350"/>
      <c r="ER1567" s="357"/>
      <c r="ES1567" s="350"/>
      <c r="ET1567" s="350"/>
      <c r="EU1567" s="350"/>
    </row>
    <row r="1568" spans="1:151" s="171" customFormat="1" ht="132" x14ac:dyDescent="0.2">
      <c r="A1568" s="242">
        <v>40489</v>
      </c>
      <c r="B1568" s="222" t="s">
        <v>1462</v>
      </c>
      <c r="C1568" s="222" t="s">
        <v>3116</v>
      </c>
      <c r="D1568" s="430" t="s">
        <v>837</v>
      </c>
      <c r="E1568" s="107" t="str">
        <f>VLOOKUP(B1568&amp;C1568,Divipola!$C$2:$F$1138,4,FALSE)</f>
        <v>76823</v>
      </c>
      <c r="F1568" s="333"/>
      <c r="G1568" s="221"/>
      <c r="H1568" s="157"/>
      <c r="I1568" s="157"/>
      <c r="J1568" s="157">
        <f>341*5</f>
        <v>1705</v>
      </c>
      <c r="K1568" s="157">
        <f>400-20-39</f>
        <v>341</v>
      </c>
      <c r="L1568" s="157"/>
      <c r="M1568" s="157">
        <f>295-20-39</f>
        <v>236</v>
      </c>
      <c r="N1568" s="157"/>
      <c r="O1568" s="157"/>
      <c r="P1568" s="157"/>
      <c r="Q1568" s="157"/>
      <c r="R1568" s="157"/>
      <c r="S1568" s="157"/>
      <c r="T1568" s="157"/>
      <c r="U1568" s="157"/>
      <c r="V1568" s="158"/>
      <c r="W1568" s="182"/>
      <c r="X1568" s="1">
        <v>40498</v>
      </c>
      <c r="Y1568" s="78">
        <f t="shared" si="201"/>
        <v>21948000</v>
      </c>
      <c r="Z1568" s="78">
        <f t="shared" si="202"/>
        <v>20060000</v>
      </c>
      <c r="AA1568" s="78">
        <f t="shared" si="200"/>
        <v>0</v>
      </c>
      <c r="AB1568" s="78">
        <f t="shared" si="203"/>
        <v>0</v>
      </c>
      <c r="AC1568" s="78"/>
      <c r="AD1568" s="78">
        <v>10000000</v>
      </c>
      <c r="AE1568" s="80">
        <f t="shared" si="205"/>
        <v>52008000</v>
      </c>
      <c r="AF1568" s="82">
        <v>0</v>
      </c>
      <c r="AG1568" s="69">
        <v>40494</v>
      </c>
      <c r="AH1568" s="84">
        <v>63891</v>
      </c>
      <c r="AI1568" s="69" t="s">
        <v>2009</v>
      </c>
      <c r="AJ1568" s="25" t="s">
        <v>2010</v>
      </c>
      <c r="AK1568" s="65">
        <v>42905</v>
      </c>
      <c r="AL1568" s="176" t="s">
        <v>2846</v>
      </c>
      <c r="AM1568" s="177" t="s">
        <v>2621</v>
      </c>
      <c r="AN1568" s="159"/>
      <c r="AO1568" s="160"/>
      <c r="AP1568" s="161"/>
      <c r="AQ1568" s="160"/>
      <c r="AR1568" s="160"/>
      <c r="AS1568" s="160"/>
      <c r="AT1568" s="160"/>
      <c r="AU1568" s="160"/>
      <c r="AV1568" s="160"/>
      <c r="AW1568" s="160"/>
      <c r="AX1568" s="160"/>
      <c r="AY1568" s="160"/>
      <c r="AZ1568" s="160">
        <v>236</v>
      </c>
      <c r="BA1568" s="160">
        <f>236*56000</f>
        <v>13216000</v>
      </c>
      <c r="BB1568" s="160"/>
      <c r="BC1568" s="160"/>
      <c r="BD1568" s="160"/>
      <c r="BE1568" s="160"/>
      <c r="BF1568" s="160"/>
      <c r="BG1568" s="160"/>
      <c r="BH1568" s="160"/>
      <c r="BI1568" s="160"/>
      <c r="BJ1568" s="160"/>
      <c r="BK1568" s="160"/>
      <c r="BL1568" s="160"/>
      <c r="BM1568" s="160"/>
      <c r="BN1568" s="160"/>
      <c r="BO1568" s="160"/>
      <c r="BP1568" s="160"/>
      <c r="BQ1568" s="160"/>
      <c r="BR1568" s="160"/>
      <c r="BS1568" s="160"/>
      <c r="BT1568" s="160"/>
      <c r="BU1568" s="160"/>
      <c r="BV1568" s="160"/>
      <c r="BW1568" s="160"/>
      <c r="BX1568" s="160"/>
      <c r="BY1568" s="160"/>
      <c r="BZ1568" s="160"/>
      <c r="CA1568" s="160"/>
      <c r="CB1568" s="160"/>
      <c r="CC1568" s="160"/>
      <c r="CD1568" s="160"/>
      <c r="CE1568" s="160"/>
      <c r="CF1568" s="160"/>
      <c r="CG1568" s="160"/>
      <c r="CH1568" s="160"/>
      <c r="CI1568" s="160"/>
      <c r="CJ1568" s="160"/>
      <c r="CK1568" s="160"/>
      <c r="CL1568" s="160"/>
      <c r="CM1568" s="160"/>
      <c r="CN1568" s="160"/>
      <c r="CO1568" s="160"/>
      <c r="CP1568" s="162">
        <v>236</v>
      </c>
      <c r="CQ1568" s="163">
        <f>236*37000</f>
        <v>8732000</v>
      </c>
      <c r="CR1568" s="162"/>
      <c r="CS1568" s="163"/>
      <c r="CT1568" s="162"/>
      <c r="CU1568" s="163"/>
      <c r="CV1568" s="164">
        <f t="shared" si="204"/>
        <v>21948000</v>
      </c>
      <c r="CW1568" s="165"/>
      <c r="CX1568" s="166"/>
      <c r="CY1568" s="167">
        <v>236</v>
      </c>
      <c r="CZ1568" s="168">
        <f>236*85000</f>
        <v>20060000</v>
      </c>
      <c r="DA1568" s="169"/>
      <c r="DB1568" s="168"/>
      <c r="DC1568" s="165"/>
      <c r="DD1568" s="166"/>
      <c r="DE1568" s="71">
        <v>2</v>
      </c>
      <c r="DF1568" s="170"/>
      <c r="EO1568" s="353" t="str">
        <f t="shared" si="206"/>
        <v>VALLE DEL CAUCA_TORO</v>
      </c>
      <c r="EP1568" s="350"/>
      <c r="EQ1568" s="350"/>
      <c r="ER1568" s="357"/>
      <c r="ES1568" s="350"/>
      <c r="ET1568" s="350"/>
      <c r="EU1568" s="350"/>
    </row>
    <row r="1569" spans="1:151" s="171" customFormat="1" ht="51" x14ac:dyDescent="0.2">
      <c r="A1569" s="242">
        <v>40489</v>
      </c>
      <c r="B1569" s="222" t="s">
        <v>1462</v>
      </c>
      <c r="C1569" s="222" t="s">
        <v>1050</v>
      </c>
      <c r="D1569" s="430" t="s">
        <v>837</v>
      </c>
      <c r="E1569" s="107" t="str">
        <f>VLOOKUP(B1569&amp;C1569,Divipola!$C$2:$F$1138,4,FALSE)</f>
        <v>76863</v>
      </c>
      <c r="F1569" s="333"/>
      <c r="G1569" s="221"/>
      <c r="H1569" s="157"/>
      <c r="I1569" s="157"/>
      <c r="J1569" s="157">
        <f>70*5</f>
        <v>350</v>
      </c>
      <c r="K1569" s="157">
        <v>70</v>
      </c>
      <c r="L1569" s="157"/>
      <c r="M1569" s="157">
        <v>70</v>
      </c>
      <c r="N1569" s="157"/>
      <c r="O1569" s="157"/>
      <c r="P1569" s="157"/>
      <c r="Q1569" s="157"/>
      <c r="R1569" s="157"/>
      <c r="S1569" s="157"/>
      <c r="T1569" s="157"/>
      <c r="U1569" s="157"/>
      <c r="V1569" s="158"/>
      <c r="W1569" s="182" t="s">
        <v>2180</v>
      </c>
      <c r="X1569" s="1"/>
      <c r="Y1569" s="78">
        <f t="shared" si="201"/>
        <v>4650000</v>
      </c>
      <c r="Z1569" s="78">
        <f t="shared" si="202"/>
        <v>4250000</v>
      </c>
      <c r="AA1569" s="78">
        <f t="shared" si="200"/>
        <v>0</v>
      </c>
      <c r="AB1569" s="78">
        <f t="shared" si="203"/>
        <v>0</v>
      </c>
      <c r="AC1569" s="78"/>
      <c r="AD1569" s="78">
        <v>0</v>
      </c>
      <c r="AE1569" s="80">
        <f t="shared" si="205"/>
        <v>8900000</v>
      </c>
      <c r="AF1569" s="82">
        <v>0</v>
      </c>
      <c r="AG1569" s="69">
        <v>40491</v>
      </c>
      <c r="AH1569" s="84"/>
      <c r="AI1569" s="69" t="s">
        <v>2009</v>
      </c>
      <c r="AJ1569" s="25" t="s">
        <v>2010</v>
      </c>
      <c r="AK1569" s="65"/>
      <c r="AL1569" s="176" t="s">
        <v>1257</v>
      </c>
      <c r="AM1569" s="173" t="s">
        <v>1268</v>
      </c>
      <c r="AN1569" s="159"/>
      <c r="AO1569" s="160"/>
      <c r="AP1569" s="161"/>
      <c r="AQ1569" s="160"/>
      <c r="AR1569" s="160"/>
      <c r="AS1569" s="160"/>
      <c r="AT1569" s="160"/>
      <c r="AU1569" s="160"/>
      <c r="AV1569" s="160"/>
      <c r="AW1569" s="160"/>
      <c r="AX1569" s="160"/>
      <c r="AY1569" s="160"/>
      <c r="AZ1569" s="160">
        <v>50</v>
      </c>
      <c r="BA1569" s="160">
        <f>50*56000</f>
        <v>2800000</v>
      </c>
      <c r="BB1569" s="160"/>
      <c r="BC1569" s="160"/>
      <c r="BD1569" s="160"/>
      <c r="BE1569" s="160"/>
      <c r="BF1569" s="160"/>
      <c r="BG1569" s="160"/>
      <c r="BH1569" s="160"/>
      <c r="BI1569" s="160"/>
      <c r="BJ1569" s="160"/>
      <c r="BK1569" s="160"/>
      <c r="BL1569" s="160"/>
      <c r="BM1569" s="160"/>
      <c r="BN1569" s="160"/>
      <c r="BO1569" s="160"/>
      <c r="BP1569" s="160"/>
      <c r="BQ1569" s="160"/>
      <c r="BR1569" s="160"/>
      <c r="BS1569" s="160"/>
      <c r="BT1569" s="160"/>
      <c r="BU1569" s="160"/>
      <c r="BV1569" s="160"/>
      <c r="BW1569" s="160"/>
      <c r="BX1569" s="160"/>
      <c r="BY1569" s="160"/>
      <c r="BZ1569" s="160"/>
      <c r="CA1569" s="160"/>
      <c r="CB1569" s="160"/>
      <c r="CC1569" s="160"/>
      <c r="CD1569" s="160"/>
      <c r="CE1569" s="160"/>
      <c r="CF1569" s="160"/>
      <c r="CG1569" s="160"/>
      <c r="CH1569" s="160"/>
      <c r="CI1569" s="160"/>
      <c r="CJ1569" s="160"/>
      <c r="CK1569" s="160"/>
      <c r="CL1569" s="160"/>
      <c r="CM1569" s="160"/>
      <c r="CN1569" s="160"/>
      <c r="CO1569" s="160"/>
      <c r="CP1569" s="162">
        <v>50</v>
      </c>
      <c r="CQ1569" s="163">
        <f>50*37000</f>
        <v>1850000</v>
      </c>
      <c r="CR1569" s="162"/>
      <c r="CS1569" s="163"/>
      <c r="CT1569" s="162"/>
      <c r="CU1569" s="163"/>
      <c r="CV1569" s="164">
        <f t="shared" si="204"/>
        <v>4650000</v>
      </c>
      <c r="CW1569" s="165"/>
      <c r="CX1569" s="166"/>
      <c r="CY1569" s="167">
        <v>50</v>
      </c>
      <c r="CZ1569" s="168">
        <f>50*85000</f>
        <v>4250000</v>
      </c>
      <c r="DA1569" s="169"/>
      <c r="DB1569" s="168"/>
      <c r="DC1569" s="165"/>
      <c r="DD1569" s="166"/>
      <c r="DE1569" s="71"/>
      <c r="DF1569" s="170"/>
      <c r="EO1569" s="353" t="str">
        <f t="shared" si="206"/>
        <v>VALLE DEL CAUCA_VERSALLES</v>
      </c>
      <c r="EP1569" s="350"/>
      <c r="EQ1569" s="350"/>
      <c r="ER1569" s="357"/>
      <c r="ES1569" s="350"/>
      <c r="ET1569" s="350"/>
      <c r="EU1569" s="350"/>
    </row>
    <row r="1570" spans="1:151" s="171" customFormat="1" ht="36" x14ac:dyDescent="0.2">
      <c r="A1570" s="246">
        <v>40490</v>
      </c>
      <c r="B1570" s="280" t="s">
        <v>2401</v>
      </c>
      <c r="C1570" s="280" t="s">
        <v>2747</v>
      </c>
      <c r="D1570" s="432" t="s">
        <v>837</v>
      </c>
      <c r="E1570" s="107" t="str">
        <f>VLOOKUP(B1570&amp;C1570,Divipola!$C$2:$F$1138,4,FALSE)</f>
        <v>05001</v>
      </c>
      <c r="F1570" s="337"/>
      <c r="G1570" s="221"/>
      <c r="H1570" s="157"/>
      <c r="I1570" s="157"/>
      <c r="J1570" s="157">
        <v>35</v>
      </c>
      <c r="K1570" s="157">
        <v>7</v>
      </c>
      <c r="L1570" s="157">
        <v>2</v>
      </c>
      <c r="M1570" s="157">
        <v>5</v>
      </c>
      <c r="N1570" s="157"/>
      <c r="O1570" s="157"/>
      <c r="P1570" s="157"/>
      <c r="Q1570" s="157"/>
      <c r="R1570" s="157"/>
      <c r="S1570" s="157"/>
      <c r="T1570" s="157"/>
      <c r="U1570" s="157"/>
      <c r="V1570" s="158"/>
      <c r="W1570" s="182" t="s">
        <v>3072</v>
      </c>
      <c r="X1570" s="1"/>
      <c r="Y1570" s="78">
        <f t="shared" si="201"/>
        <v>0</v>
      </c>
      <c r="Z1570" s="78">
        <f t="shared" si="202"/>
        <v>0</v>
      </c>
      <c r="AA1570" s="78">
        <f t="shared" si="200"/>
        <v>0</v>
      </c>
      <c r="AB1570" s="78">
        <f t="shared" si="203"/>
        <v>0</v>
      </c>
      <c r="AC1570" s="78"/>
      <c r="AD1570" s="78">
        <v>0</v>
      </c>
      <c r="AE1570" s="80">
        <f t="shared" si="205"/>
        <v>0</v>
      </c>
      <c r="AF1570" s="82">
        <v>0</v>
      </c>
      <c r="AG1570" s="69">
        <v>40491</v>
      </c>
      <c r="AH1570" s="84"/>
      <c r="AI1570" s="69" t="s">
        <v>1984</v>
      </c>
      <c r="AJ1570" s="25" t="s">
        <v>1985</v>
      </c>
      <c r="AK1570" s="65"/>
      <c r="AL1570" s="176" t="s">
        <v>1257</v>
      </c>
      <c r="AM1570" s="173" t="s">
        <v>2520</v>
      </c>
      <c r="AN1570" s="159"/>
      <c r="AO1570" s="160"/>
      <c r="AP1570" s="161"/>
      <c r="AQ1570" s="160"/>
      <c r="AR1570" s="160"/>
      <c r="AS1570" s="160"/>
      <c r="AT1570" s="160"/>
      <c r="AU1570" s="160"/>
      <c r="AV1570" s="160"/>
      <c r="AW1570" s="160"/>
      <c r="AX1570" s="160"/>
      <c r="AY1570" s="160"/>
      <c r="AZ1570" s="160"/>
      <c r="BA1570" s="160"/>
      <c r="BB1570" s="160"/>
      <c r="BC1570" s="160"/>
      <c r="BD1570" s="160"/>
      <c r="BE1570" s="160"/>
      <c r="BF1570" s="160"/>
      <c r="BG1570" s="160"/>
      <c r="BH1570" s="160"/>
      <c r="BI1570" s="160"/>
      <c r="BJ1570" s="160"/>
      <c r="BK1570" s="160"/>
      <c r="BL1570" s="160"/>
      <c r="BM1570" s="160"/>
      <c r="BN1570" s="160"/>
      <c r="BO1570" s="160"/>
      <c r="BP1570" s="160"/>
      <c r="BQ1570" s="160"/>
      <c r="BR1570" s="160"/>
      <c r="BS1570" s="160"/>
      <c r="BT1570" s="160"/>
      <c r="BU1570" s="160"/>
      <c r="BV1570" s="160"/>
      <c r="BW1570" s="160"/>
      <c r="BX1570" s="160"/>
      <c r="BY1570" s="160"/>
      <c r="BZ1570" s="160"/>
      <c r="CA1570" s="160"/>
      <c r="CB1570" s="160"/>
      <c r="CC1570" s="160"/>
      <c r="CD1570" s="160"/>
      <c r="CE1570" s="160"/>
      <c r="CF1570" s="160"/>
      <c r="CG1570" s="160"/>
      <c r="CH1570" s="160"/>
      <c r="CI1570" s="160"/>
      <c r="CJ1570" s="160"/>
      <c r="CK1570" s="160"/>
      <c r="CL1570" s="160"/>
      <c r="CM1570" s="160"/>
      <c r="CN1570" s="160"/>
      <c r="CO1570" s="160"/>
      <c r="CP1570" s="162"/>
      <c r="CQ1570" s="163"/>
      <c r="CR1570" s="162"/>
      <c r="CS1570" s="163"/>
      <c r="CT1570" s="162"/>
      <c r="CU1570" s="163"/>
      <c r="CV1570" s="164">
        <f t="shared" si="204"/>
        <v>0</v>
      </c>
      <c r="CW1570" s="165"/>
      <c r="CX1570" s="166"/>
      <c r="CY1570" s="167"/>
      <c r="CZ1570" s="168"/>
      <c r="DA1570" s="169"/>
      <c r="DB1570" s="168"/>
      <c r="DC1570" s="165"/>
      <c r="DD1570" s="166"/>
      <c r="DE1570" s="71"/>
      <c r="DF1570" s="170"/>
      <c r="EO1570" s="353" t="str">
        <f t="shared" si="206"/>
        <v>ANTIOQUIA_MEDELLIN</v>
      </c>
      <c r="EP1570" s="350"/>
      <c r="EQ1570" s="350"/>
      <c r="ER1570" s="357"/>
      <c r="ES1570" s="350"/>
      <c r="ET1570" s="350"/>
      <c r="EU1570" s="350"/>
    </row>
    <row r="1571" spans="1:151" s="171" customFormat="1" ht="38.25" x14ac:dyDescent="0.2">
      <c r="A1571" s="246">
        <v>40490</v>
      </c>
      <c r="B1571" s="280" t="s">
        <v>2401</v>
      </c>
      <c r="C1571" s="280" t="s">
        <v>1041</v>
      </c>
      <c r="D1571" s="432" t="s">
        <v>837</v>
      </c>
      <c r="E1571" s="107" t="str">
        <f>VLOOKUP(B1571&amp;C1571,Divipola!$C$2:$F$1138,4,FALSE)</f>
        <v>05591</v>
      </c>
      <c r="F1571" s="337"/>
      <c r="G1571" s="221"/>
      <c r="H1571" s="157"/>
      <c r="I1571" s="157"/>
      <c r="J1571" s="157">
        <f>687-300</f>
        <v>387</v>
      </c>
      <c r="K1571" s="157">
        <f>252-60</f>
        <v>192</v>
      </c>
      <c r="L1571" s="157"/>
      <c r="M1571" s="157">
        <f>244-52</f>
        <v>192</v>
      </c>
      <c r="N1571" s="157"/>
      <c r="O1571" s="157"/>
      <c r="P1571" s="157"/>
      <c r="Q1571" s="157"/>
      <c r="R1571" s="157"/>
      <c r="S1571" s="157"/>
      <c r="T1571" s="157"/>
      <c r="U1571" s="157"/>
      <c r="V1571" s="158"/>
      <c r="W1571" s="182"/>
      <c r="X1571" s="1"/>
      <c r="Y1571" s="78">
        <f t="shared" si="201"/>
        <v>0</v>
      </c>
      <c r="Z1571" s="78">
        <f t="shared" si="202"/>
        <v>0</v>
      </c>
      <c r="AA1571" s="78">
        <f t="shared" si="200"/>
        <v>0</v>
      </c>
      <c r="AB1571" s="78">
        <f t="shared" si="203"/>
        <v>0</v>
      </c>
      <c r="AC1571" s="78"/>
      <c r="AD1571" s="78">
        <v>0</v>
      </c>
      <c r="AE1571" s="80">
        <f t="shared" si="205"/>
        <v>0</v>
      </c>
      <c r="AF1571" s="82">
        <v>0</v>
      </c>
      <c r="AG1571" s="69">
        <v>40490</v>
      </c>
      <c r="AH1571" s="84"/>
      <c r="AI1571" s="69" t="s">
        <v>2009</v>
      </c>
      <c r="AJ1571" s="25" t="s">
        <v>2010</v>
      </c>
      <c r="AK1571" s="65"/>
      <c r="AL1571" s="184" t="s">
        <v>2519</v>
      </c>
      <c r="AM1571" s="173" t="s">
        <v>3055</v>
      </c>
      <c r="AN1571" s="159"/>
      <c r="AO1571" s="160"/>
      <c r="AP1571" s="161"/>
      <c r="AQ1571" s="160"/>
      <c r="AR1571" s="160"/>
      <c r="AS1571" s="160"/>
      <c r="AT1571" s="160"/>
      <c r="AU1571" s="160"/>
      <c r="AV1571" s="160"/>
      <c r="AW1571" s="160"/>
      <c r="AX1571" s="160"/>
      <c r="AY1571" s="160"/>
      <c r="AZ1571" s="160"/>
      <c r="BA1571" s="160"/>
      <c r="BB1571" s="160"/>
      <c r="BC1571" s="160"/>
      <c r="BD1571" s="160"/>
      <c r="BE1571" s="160"/>
      <c r="BF1571" s="160"/>
      <c r="BG1571" s="160"/>
      <c r="BH1571" s="160"/>
      <c r="BI1571" s="160"/>
      <c r="BJ1571" s="160"/>
      <c r="BK1571" s="160"/>
      <c r="BL1571" s="160"/>
      <c r="BM1571" s="160"/>
      <c r="BN1571" s="160"/>
      <c r="BO1571" s="160"/>
      <c r="BP1571" s="160"/>
      <c r="BQ1571" s="160"/>
      <c r="BR1571" s="160"/>
      <c r="BS1571" s="160"/>
      <c r="BT1571" s="160"/>
      <c r="BU1571" s="160"/>
      <c r="BV1571" s="160"/>
      <c r="BW1571" s="160"/>
      <c r="BX1571" s="160"/>
      <c r="BY1571" s="160"/>
      <c r="BZ1571" s="160"/>
      <c r="CA1571" s="160"/>
      <c r="CB1571" s="160"/>
      <c r="CC1571" s="160"/>
      <c r="CD1571" s="160"/>
      <c r="CE1571" s="160"/>
      <c r="CF1571" s="160"/>
      <c r="CG1571" s="160"/>
      <c r="CH1571" s="160"/>
      <c r="CI1571" s="160"/>
      <c r="CJ1571" s="160"/>
      <c r="CK1571" s="160"/>
      <c r="CL1571" s="160"/>
      <c r="CM1571" s="160"/>
      <c r="CN1571" s="160"/>
      <c r="CO1571" s="160"/>
      <c r="CP1571" s="162"/>
      <c r="CQ1571" s="163"/>
      <c r="CR1571" s="162"/>
      <c r="CS1571" s="163"/>
      <c r="CT1571" s="162"/>
      <c r="CU1571" s="163"/>
      <c r="CV1571" s="164">
        <f t="shared" si="204"/>
        <v>0</v>
      </c>
      <c r="CW1571" s="165"/>
      <c r="CX1571" s="166"/>
      <c r="CY1571" s="167"/>
      <c r="CZ1571" s="168"/>
      <c r="DA1571" s="169"/>
      <c r="DB1571" s="168"/>
      <c r="DC1571" s="165"/>
      <c r="DD1571" s="166"/>
      <c r="DE1571" s="71"/>
      <c r="DF1571" s="170"/>
      <c r="EO1571" s="353" t="str">
        <f t="shared" si="206"/>
        <v>ANTIOQUIA_PUERTO TRIUNFO</v>
      </c>
      <c r="EP1571" s="350"/>
      <c r="EQ1571" s="350"/>
      <c r="ER1571" s="357"/>
      <c r="ES1571" s="350"/>
      <c r="ET1571" s="350"/>
      <c r="EU1571" s="350"/>
    </row>
    <row r="1572" spans="1:151" s="171" customFormat="1" ht="51" x14ac:dyDescent="0.2">
      <c r="A1572" s="242">
        <v>40490</v>
      </c>
      <c r="B1572" s="222" t="s">
        <v>2017</v>
      </c>
      <c r="C1572" s="222" t="s">
        <v>1960</v>
      </c>
      <c r="D1572" s="430" t="s">
        <v>837</v>
      </c>
      <c r="E1572" s="107" t="str">
        <f>VLOOKUP(B1572&amp;C1572,Divipola!$C$2:$F$1138,4,FALSE)</f>
        <v>13647</v>
      </c>
      <c r="F1572" s="333"/>
      <c r="G1572" s="221"/>
      <c r="H1572" s="157"/>
      <c r="I1572" s="157"/>
      <c r="J1572" s="157">
        <v>15</v>
      </c>
      <c r="K1572" s="157">
        <v>4</v>
      </c>
      <c r="L1572" s="157"/>
      <c r="M1572" s="157">
        <v>4</v>
      </c>
      <c r="N1572" s="157"/>
      <c r="O1572" s="157"/>
      <c r="P1572" s="157"/>
      <c r="Q1572" s="157"/>
      <c r="R1572" s="157"/>
      <c r="S1572" s="157"/>
      <c r="T1572" s="157"/>
      <c r="U1572" s="157"/>
      <c r="V1572" s="158"/>
      <c r="W1572" s="182"/>
      <c r="X1572" s="1"/>
      <c r="Y1572" s="78">
        <f t="shared" si="201"/>
        <v>0</v>
      </c>
      <c r="Z1572" s="78">
        <f t="shared" si="202"/>
        <v>0</v>
      </c>
      <c r="AA1572" s="78">
        <f t="shared" si="200"/>
        <v>0</v>
      </c>
      <c r="AB1572" s="78">
        <f t="shared" si="203"/>
        <v>0</v>
      </c>
      <c r="AC1572" s="78"/>
      <c r="AD1572" s="78">
        <v>0</v>
      </c>
      <c r="AE1572" s="80">
        <f t="shared" si="205"/>
        <v>0</v>
      </c>
      <c r="AF1572" s="82">
        <v>0</v>
      </c>
      <c r="AG1572" s="69">
        <v>40492</v>
      </c>
      <c r="AH1572" s="84"/>
      <c r="AI1572" s="69" t="s">
        <v>1984</v>
      </c>
      <c r="AJ1572" s="25" t="s">
        <v>1985</v>
      </c>
      <c r="AK1572" s="65"/>
      <c r="AL1572" s="176" t="s">
        <v>1257</v>
      </c>
      <c r="AM1572" s="173" t="s">
        <v>499</v>
      </c>
      <c r="AN1572" s="159"/>
      <c r="AO1572" s="160"/>
      <c r="AP1572" s="161"/>
      <c r="AQ1572" s="160"/>
      <c r="AR1572" s="160"/>
      <c r="AS1572" s="160"/>
      <c r="AT1572" s="160"/>
      <c r="AU1572" s="160"/>
      <c r="AV1572" s="160"/>
      <c r="AW1572" s="160"/>
      <c r="AX1572" s="160"/>
      <c r="AY1572" s="160"/>
      <c r="AZ1572" s="160"/>
      <c r="BA1572" s="160"/>
      <c r="BB1572" s="160"/>
      <c r="BC1572" s="160"/>
      <c r="BD1572" s="160"/>
      <c r="BE1572" s="160"/>
      <c r="BF1572" s="160"/>
      <c r="BG1572" s="160"/>
      <c r="BH1572" s="160"/>
      <c r="BI1572" s="160"/>
      <c r="BJ1572" s="160"/>
      <c r="BK1572" s="160"/>
      <c r="BL1572" s="160"/>
      <c r="BM1572" s="160"/>
      <c r="BN1572" s="160"/>
      <c r="BO1572" s="160"/>
      <c r="BP1572" s="160"/>
      <c r="BQ1572" s="160"/>
      <c r="BR1572" s="160"/>
      <c r="BS1572" s="160"/>
      <c r="BT1572" s="160"/>
      <c r="BU1572" s="160"/>
      <c r="BV1572" s="160"/>
      <c r="BW1572" s="160"/>
      <c r="BX1572" s="160"/>
      <c r="BY1572" s="160"/>
      <c r="BZ1572" s="160"/>
      <c r="CA1572" s="160"/>
      <c r="CB1572" s="160"/>
      <c r="CC1572" s="160"/>
      <c r="CD1572" s="160"/>
      <c r="CE1572" s="160"/>
      <c r="CF1572" s="160"/>
      <c r="CG1572" s="160"/>
      <c r="CH1572" s="160"/>
      <c r="CI1572" s="160"/>
      <c r="CJ1572" s="160"/>
      <c r="CK1572" s="160"/>
      <c r="CL1572" s="160"/>
      <c r="CM1572" s="160"/>
      <c r="CN1572" s="160"/>
      <c r="CO1572" s="160"/>
      <c r="CP1572" s="162"/>
      <c r="CQ1572" s="163"/>
      <c r="CR1572" s="162"/>
      <c r="CS1572" s="163"/>
      <c r="CT1572" s="162"/>
      <c r="CU1572" s="163"/>
      <c r="CV1572" s="164">
        <f t="shared" si="204"/>
        <v>0</v>
      </c>
      <c r="CW1572" s="165"/>
      <c r="CX1572" s="166"/>
      <c r="CY1572" s="167"/>
      <c r="CZ1572" s="168"/>
      <c r="DA1572" s="169"/>
      <c r="DB1572" s="168"/>
      <c r="DC1572" s="165"/>
      <c r="DD1572" s="166"/>
      <c r="DE1572" s="71"/>
      <c r="DF1572" s="170"/>
      <c r="EO1572" s="353" t="str">
        <f t="shared" si="206"/>
        <v>BOLIVAR_SAN ESTANISLAO</v>
      </c>
      <c r="EP1572" s="350"/>
      <c r="EQ1572" s="350"/>
      <c r="ER1572" s="357"/>
      <c r="ES1572" s="350"/>
      <c r="ET1572" s="350"/>
      <c r="EU1572" s="350"/>
    </row>
    <row r="1573" spans="1:151" s="171" customFormat="1" ht="25.5" x14ac:dyDescent="0.2">
      <c r="A1573" s="242">
        <v>40490</v>
      </c>
      <c r="B1573" s="222" t="s">
        <v>828</v>
      </c>
      <c r="C1573" s="222" t="s">
        <v>2569</v>
      </c>
      <c r="D1573" s="427" t="s">
        <v>2307</v>
      </c>
      <c r="E1573" s="107" t="str">
        <f>VLOOKUP(B1573&amp;C1573,Divipola!$C$2:$F$1138,4,FALSE)</f>
        <v>15332</v>
      </c>
      <c r="F1573" s="330"/>
      <c r="G1573" s="221"/>
      <c r="H1573" s="157"/>
      <c r="I1573" s="157"/>
      <c r="J1573" s="157">
        <f>58*5</f>
        <v>290</v>
      </c>
      <c r="K1573" s="157">
        <v>58</v>
      </c>
      <c r="L1573" s="157"/>
      <c r="M1573" s="157">
        <v>58</v>
      </c>
      <c r="N1573" s="157"/>
      <c r="O1573" s="157"/>
      <c r="P1573" s="157"/>
      <c r="Q1573" s="157"/>
      <c r="R1573" s="157"/>
      <c r="S1573" s="157"/>
      <c r="T1573" s="157">
        <v>1</v>
      </c>
      <c r="U1573" s="157"/>
      <c r="V1573" s="158"/>
      <c r="W1573" s="182"/>
      <c r="X1573" s="1">
        <v>40530</v>
      </c>
      <c r="Y1573" s="78">
        <f t="shared" si="201"/>
        <v>4610965.2</v>
      </c>
      <c r="Z1573" s="78">
        <f t="shared" si="202"/>
        <v>2550000</v>
      </c>
      <c r="AA1573" s="78">
        <f t="shared" si="200"/>
        <v>0</v>
      </c>
      <c r="AB1573" s="78">
        <f t="shared" si="203"/>
        <v>0</v>
      </c>
      <c r="AC1573" s="78"/>
      <c r="AD1573" s="78">
        <v>0</v>
      </c>
      <c r="AE1573" s="80">
        <f t="shared" si="205"/>
        <v>7160965.2000000002</v>
      </c>
      <c r="AF1573" s="82">
        <v>0</v>
      </c>
      <c r="AG1573" s="69">
        <v>40492</v>
      </c>
      <c r="AH1573" s="84"/>
      <c r="AI1573" s="69" t="s">
        <v>2009</v>
      </c>
      <c r="AJ1573" s="25" t="s">
        <v>2010</v>
      </c>
      <c r="AK1573" s="88" t="s">
        <v>72</v>
      </c>
      <c r="AL1573" s="176" t="s">
        <v>1257</v>
      </c>
      <c r="AM1573" s="173" t="s">
        <v>3086</v>
      </c>
      <c r="AN1573" s="159"/>
      <c r="AO1573" s="160"/>
      <c r="AP1573" s="161"/>
      <c r="AQ1573" s="160"/>
      <c r="AR1573" s="160"/>
      <c r="AS1573" s="160"/>
      <c r="AT1573" s="160"/>
      <c r="AU1573" s="160"/>
      <c r="AV1573" s="160"/>
      <c r="AW1573" s="160"/>
      <c r="AX1573" s="160"/>
      <c r="AY1573" s="160"/>
      <c r="AZ1573" s="160">
        <v>30</v>
      </c>
      <c r="BA1573" s="160">
        <f>30*56000</f>
        <v>1680000</v>
      </c>
      <c r="BB1573" s="160"/>
      <c r="BC1573" s="160"/>
      <c r="BD1573" s="160"/>
      <c r="BE1573" s="160"/>
      <c r="BF1573" s="160"/>
      <c r="BG1573" s="160"/>
      <c r="BH1573" s="160"/>
      <c r="BI1573" s="160"/>
      <c r="BJ1573" s="160"/>
      <c r="BK1573" s="160"/>
      <c r="BL1573" s="160"/>
      <c r="BM1573" s="160"/>
      <c r="BN1573" s="160"/>
      <c r="BO1573" s="160"/>
      <c r="BP1573" s="160"/>
      <c r="BQ1573" s="160"/>
      <c r="BR1573" s="160"/>
      <c r="BS1573" s="160"/>
      <c r="BT1573" s="160"/>
      <c r="BU1573" s="160"/>
      <c r="BV1573" s="160"/>
      <c r="BW1573" s="160"/>
      <c r="BX1573" s="160"/>
      <c r="BY1573" s="160"/>
      <c r="BZ1573" s="160"/>
      <c r="CA1573" s="160"/>
      <c r="CB1573" s="160"/>
      <c r="CC1573" s="160"/>
      <c r="CD1573" s="160"/>
      <c r="CE1573" s="160"/>
      <c r="CF1573" s="160"/>
      <c r="CG1573" s="160"/>
      <c r="CH1573" s="160"/>
      <c r="CI1573" s="160"/>
      <c r="CJ1573" s="160">
        <v>30</v>
      </c>
      <c r="CK1573" s="160">
        <f>30*20999.48</f>
        <v>629984.4</v>
      </c>
      <c r="CL1573" s="160"/>
      <c r="CM1573" s="160"/>
      <c r="CN1573" s="160"/>
      <c r="CO1573" s="160"/>
      <c r="CP1573" s="162">
        <v>30</v>
      </c>
      <c r="CQ1573" s="163">
        <f>30*36999.36</f>
        <v>1109980.8</v>
      </c>
      <c r="CR1573" s="162">
        <v>30</v>
      </c>
      <c r="CS1573" s="163">
        <f>30*39700</f>
        <v>1191000</v>
      </c>
      <c r="CT1573" s="162"/>
      <c r="CU1573" s="163"/>
      <c r="CV1573" s="164">
        <f t="shared" si="204"/>
        <v>4610965.2</v>
      </c>
      <c r="CW1573" s="165"/>
      <c r="CX1573" s="166"/>
      <c r="CY1573" s="167">
        <v>30</v>
      </c>
      <c r="CZ1573" s="168">
        <f>30*85000</f>
        <v>2550000</v>
      </c>
      <c r="DA1573" s="169"/>
      <c r="DB1573" s="168"/>
      <c r="DC1573" s="165"/>
      <c r="DD1573" s="166"/>
      <c r="DE1573" s="71"/>
      <c r="DF1573" s="170"/>
      <c r="EO1573" s="353" t="str">
        <f t="shared" si="206"/>
        <v>BOYACA_GUICAN</v>
      </c>
      <c r="EP1573" s="350"/>
      <c r="EQ1573" s="350"/>
      <c r="ER1573" s="357"/>
      <c r="ES1573" s="350"/>
      <c r="ET1573" s="350"/>
      <c r="EU1573" s="350"/>
    </row>
    <row r="1574" spans="1:151" s="171" customFormat="1" ht="25.5" x14ac:dyDescent="0.2">
      <c r="A1574" s="242">
        <v>40490</v>
      </c>
      <c r="B1574" s="222" t="s">
        <v>828</v>
      </c>
      <c r="C1574" s="222" t="s">
        <v>953</v>
      </c>
      <c r="D1574" s="430" t="s">
        <v>837</v>
      </c>
      <c r="E1574" s="107" t="str">
        <f>VLOOKUP(B1574&amp;C1574,Divipola!$C$2:$F$1138,4,FALSE)</f>
        <v>15464</v>
      </c>
      <c r="F1574" s="333"/>
      <c r="G1574" s="221"/>
      <c r="H1574" s="157"/>
      <c r="I1574" s="157"/>
      <c r="J1574" s="157">
        <f>21*5</f>
        <v>105</v>
      </c>
      <c r="K1574" s="157">
        <v>21</v>
      </c>
      <c r="L1574" s="157"/>
      <c r="M1574" s="157">
        <v>21</v>
      </c>
      <c r="N1574" s="157"/>
      <c r="O1574" s="157"/>
      <c r="P1574" s="157"/>
      <c r="Q1574" s="157"/>
      <c r="R1574" s="157"/>
      <c r="S1574" s="157"/>
      <c r="T1574" s="157"/>
      <c r="U1574" s="157"/>
      <c r="V1574" s="158"/>
      <c r="W1574" s="182" t="s">
        <v>2180</v>
      </c>
      <c r="X1574" s="1"/>
      <c r="Y1574" s="78">
        <f t="shared" si="201"/>
        <v>0</v>
      </c>
      <c r="Z1574" s="78">
        <f t="shared" si="202"/>
        <v>0</v>
      </c>
      <c r="AA1574" s="78">
        <f t="shared" si="200"/>
        <v>0</v>
      </c>
      <c r="AB1574" s="78">
        <f t="shared" si="203"/>
        <v>0</v>
      </c>
      <c r="AC1574" s="78"/>
      <c r="AD1574" s="78">
        <v>0</v>
      </c>
      <c r="AE1574" s="80">
        <f t="shared" si="205"/>
        <v>0</v>
      </c>
      <c r="AF1574" s="82">
        <v>0</v>
      </c>
      <c r="AG1574" s="69">
        <v>40505</v>
      </c>
      <c r="AH1574" s="84"/>
      <c r="AI1574" s="69" t="s">
        <v>1984</v>
      </c>
      <c r="AJ1574" s="25" t="s">
        <v>1985</v>
      </c>
      <c r="AK1574" s="65"/>
      <c r="AL1574" s="176" t="s">
        <v>1257</v>
      </c>
      <c r="AM1574" s="173" t="s">
        <v>2553</v>
      </c>
      <c r="AN1574" s="159"/>
      <c r="AO1574" s="160"/>
      <c r="AP1574" s="161"/>
      <c r="AQ1574" s="160"/>
      <c r="AR1574" s="160"/>
      <c r="AS1574" s="160"/>
      <c r="AT1574" s="160"/>
      <c r="AU1574" s="160"/>
      <c r="AV1574" s="160"/>
      <c r="AW1574" s="160"/>
      <c r="AX1574" s="160"/>
      <c r="AY1574" s="160"/>
      <c r="AZ1574" s="160"/>
      <c r="BA1574" s="160"/>
      <c r="BB1574" s="160"/>
      <c r="BC1574" s="160"/>
      <c r="BD1574" s="160"/>
      <c r="BE1574" s="160"/>
      <c r="BF1574" s="160"/>
      <c r="BG1574" s="160"/>
      <c r="BH1574" s="160"/>
      <c r="BI1574" s="160"/>
      <c r="BJ1574" s="160"/>
      <c r="BK1574" s="160"/>
      <c r="BL1574" s="160"/>
      <c r="BM1574" s="160"/>
      <c r="BN1574" s="160"/>
      <c r="BO1574" s="160"/>
      <c r="BP1574" s="160"/>
      <c r="BQ1574" s="160"/>
      <c r="BR1574" s="160"/>
      <c r="BS1574" s="160"/>
      <c r="BT1574" s="160"/>
      <c r="BU1574" s="160"/>
      <c r="BV1574" s="160"/>
      <c r="BW1574" s="160"/>
      <c r="BX1574" s="160"/>
      <c r="BY1574" s="160"/>
      <c r="BZ1574" s="160"/>
      <c r="CA1574" s="160"/>
      <c r="CB1574" s="160"/>
      <c r="CC1574" s="160"/>
      <c r="CD1574" s="160"/>
      <c r="CE1574" s="160"/>
      <c r="CF1574" s="160"/>
      <c r="CG1574" s="160"/>
      <c r="CH1574" s="160"/>
      <c r="CI1574" s="160"/>
      <c r="CJ1574" s="160"/>
      <c r="CK1574" s="160"/>
      <c r="CL1574" s="160"/>
      <c r="CM1574" s="160"/>
      <c r="CN1574" s="160"/>
      <c r="CO1574" s="160"/>
      <c r="CP1574" s="162"/>
      <c r="CQ1574" s="163"/>
      <c r="CR1574" s="162"/>
      <c r="CS1574" s="163"/>
      <c r="CT1574" s="162"/>
      <c r="CU1574" s="163"/>
      <c r="CV1574" s="164">
        <f t="shared" si="204"/>
        <v>0</v>
      </c>
      <c r="CW1574" s="165"/>
      <c r="CX1574" s="166"/>
      <c r="CY1574" s="167"/>
      <c r="CZ1574" s="168"/>
      <c r="DA1574" s="169"/>
      <c r="DB1574" s="168"/>
      <c r="DC1574" s="165"/>
      <c r="DD1574" s="166"/>
      <c r="DE1574" s="71"/>
      <c r="DF1574" s="170"/>
      <c r="EO1574" s="353" t="str">
        <f t="shared" si="206"/>
        <v>BOYACA_MONGUA</v>
      </c>
      <c r="EP1574" s="350"/>
      <c r="EQ1574" s="350"/>
      <c r="ER1574" s="357"/>
      <c r="ES1574" s="350"/>
      <c r="ET1574" s="350"/>
      <c r="EU1574" s="350"/>
    </row>
    <row r="1575" spans="1:151" s="171" customFormat="1" ht="25.5" x14ac:dyDescent="0.2">
      <c r="A1575" s="242">
        <v>40490</v>
      </c>
      <c r="B1575" s="222" t="s">
        <v>828</v>
      </c>
      <c r="C1575" s="222" t="s">
        <v>3178</v>
      </c>
      <c r="D1575" s="427" t="s">
        <v>2307</v>
      </c>
      <c r="E1575" s="107" t="str">
        <f>VLOOKUP(B1575&amp;C1575,Divipola!$C$2:$F$1138,4,FALSE)</f>
        <v>15723</v>
      </c>
      <c r="F1575" s="330"/>
      <c r="G1575" s="221"/>
      <c r="H1575" s="157"/>
      <c r="I1575" s="157"/>
      <c r="J1575" s="183">
        <f>92*5</f>
        <v>460</v>
      </c>
      <c r="K1575" s="157">
        <v>92</v>
      </c>
      <c r="L1575" s="157">
        <v>20</v>
      </c>
      <c r="M1575" s="157"/>
      <c r="N1575" s="157"/>
      <c r="O1575" s="157"/>
      <c r="P1575" s="157"/>
      <c r="Q1575" s="157"/>
      <c r="R1575" s="157"/>
      <c r="S1575" s="157"/>
      <c r="T1575" s="157">
        <v>1</v>
      </c>
      <c r="U1575" s="157"/>
      <c r="V1575" s="158"/>
      <c r="W1575" s="182"/>
      <c r="X1575" s="1">
        <v>40530</v>
      </c>
      <c r="Y1575" s="78">
        <f t="shared" si="201"/>
        <v>7684942</v>
      </c>
      <c r="Z1575" s="78">
        <f t="shared" si="202"/>
        <v>4250000</v>
      </c>
      <c r="AA1575" s="78">
        <f t="shared" si="200"/>
        <v>0</v>
      </c>
      <c r="AB1575" s="78">
        <f t="shared" si="203"/>
        <v>0</v>
      </c>
      <c r="AC1575" s="78"/>
      <c r="AD1575" s="78">
        <v>0</v>
      </c>
      <c r="AE1575" s="80">
        <f t="shared" si="205"/>
        <v>11934942</v>
      </c>
      <c r="AF1575" s="82">
        <v>0</v>
      </c>
      <c r="AG1575" s="69">
        <v>40494</v>
      </c>
      <c r="AH1575" s="84"/>
      <c r="AI1575" s="69" t="s">
        <v>2009</v>
      </c>
      <c r="AJ1575" s="25" t="s">
        <v>2010</v>
      </c>
      <c r="AK1575" s="88" t="s">
        <v>72</v>
      </c>
      <c r="AL1575" s="176" t="s">
        <v>1257</v>
      </c>
      <c r="AM1575" s="173" t="s">
        <v>2434</v>
      </c>
      <c r="AN1575" s="159"/>
      <c r="AO1575" s="160"/>
      <c r="AP1575" s="161"/>
      <c r="AQ1575" s="160"/>
      <c r="AR1575" s="160"/>
      <c r="AS1575" s="160"/>
      <c r="AT1575" s="160"/>
      <c r="AU1575" s="160"/>
      <c r="AV1575" s="160"/>
      <c r="AW1575" s="160"/>
      <c r="AX1575" s="160"/>
      <c r="AY1575" s="160"/>
      <c r="AZ1575" s="160">
        <v>50</v>
      </c>
      <c r="BA1575" s="160">
        <f>50*56000</f>
        <v>2800000</v>
      </c>
      <c r="BB1575" s="160"/>
      <c r="BC1575" s="160"/>
      <c r="BD1575" s="160"/>
      <c r="BE1575" s="160"/>
      <c r="BF1575" s="160"/>
      <c r="BG1575" s="160"/>
      <c r="BH1575" s="160"/>
      <c r="BI1575" s="160"/>
      <c r="BJ1575" s="160"/>
      <c r="BK1575" s="160"/>
      <c r="BL1575" s="160"/>
      <c r="BM1575" s="160"/>
      <c r="BN1575" s="160"/>
      <c r="BO1575" s="160"/>
      <c r="BP1575" s="160"/>
      <c r="BQ1575" s="160"/>
      <c r="BR1575" s="160"/>
      <c r="BS1575" s="160"/>
      <c r="BT1575" s="160"/>
      <c r="BU1575" s="160"/>
      <c r="BV1575" s="160"/>
      <c r="BW1575" s="160"/>
      <c r="BX1575" s="160"/>
      <c r="BY1575" s="160"/>
      <c r="BZ1575" s="160"/>
      <c r="CA1575" s="160"/>
      <c r="CB1575" s="160"/>
      <c r="CC1575" s="160"/>
      <c r="CD1575" s="160"/>
      <c r="CE1575" s="160"/>
      <c r="CF1575" s="160"/>
      <c r="CG1575" s="160"/>
      <c r="CH1575" s="160"/>
      <c r="CI1575" s="160"/>
      <c r="CJ1575" s="160">
        <v>50</v>
      </c>
      <c r="CK1575" s="160">
        <f>50*20999.48</f>
        <v>1049974</v>
      </c>
      <c r="CL1575" s="160"/>
      <c r="CM1575" s="160"/>
      <c r="CN1575" s="160"/>
      <c r="CO1575" s="160"/>
      <c r="CP1575" s="162">
        <v>50</v>
      </c>
      <c r="CQ1575" s="163">
        <f>50*36999.36</f>
        <v>1849968</v>
      </c>
      <c r="CR1575" s="162">
        <v>50</v>
      </c>
      <c r="CS1575" s="163">
        <f>50*39700</f>
        <v>1985000</v>
      </c>
      <c r="CT1575" s="162"/>
      <c r="CU1575" s="163"/>
      <c r="CV1575" s="164">
        <f t="shared" si="204"/>
        <v>7684942</v>
      </c>
      <c r="CW1575" s="165"/>
      <c r="CX1575" s="166"/>
      <c r="CY1575" s="167">
        <v>50</v>
      </c>
      <c r="CZ1575" s="168">
        <f>50*85000</f>
        <v>4250000</v>
      </c>
      <c r="DA1575" s="169"/>
      <c r="DB1575" s="168"/>
      <c r="DC1575" s="165"/>
      <c r="DD1575" s="166"/>
      <c r="DE1575" s="71"/>
      <c r="DF1575" s="170"/>
      <c r="EO1575" s="353" t="str">
        <f t="shared" si="206"/>
        <v>BOYACA_SATIVASUR</v>
      </c>
      <c r="EP1575" s="350"/>
      <c r="EQ1575" s="350"/>
      <c r="ER1575" s="357"/>
      <c r="ES1575" s="350"/>
      <c r="ET1575" s="350"/>
      <c r="EU1575" s="350"/>
    </row>
    <row r="1576" spans="1:151" s="171" customFormat="1" ht="36" x14ac:dyDescent="0.2">
      <c r="A1576" s="242">
        <v>40490</v>
      </c>
      <c r="B1576" s="222" t="s">
        <v>828</v>
      </c>
      <c r="C1576" s="222" t="s">
        <v>1804</v>
      </c>
      <c r="D1576" s="427" t="s">
        <v>2307</v>
      </c>
      <c r="E1576" s="107" t="str">
        <f>VLOOKUP(B1576&amp;C1576,Divipola!$C$2:$F$1138,4,FALSE)</f>
        <v>15757</v>
      </c>
      <c r="F1576" s="330"/>
      <c r="G1576" s="221"/>
      <c r="H1576" s="157"/>
      <c r="I1576" s="157"/>
      <c r="J1576" s="157">
        <f>20*5</f>
        <v>100</v>
      </c>
      <c r="K1576" s="157">
        <v>20</v>
      </c>
      <c r="L1576" s="157">
        <v>10</v>
      </c>
      <c r="M1576" s="157">
        <v>10</v>
      </c>
      <c r="N1576" s="157">
        <v>1</v>
      </c>
      <c r="O1576" s="157"/>
      <c r="P1576" s="157"/>
      <c r="Q1576" s="157"/>
      <c r="R1576" s="157"/>
      <c r="S1576" s="157"/>
      <c r="T1576" s="157"/>
      <c r="U1576" s="157"/>
      <c r="V1576" s="158"/>
      <c r="W1576" s="182"/>
      <c r="X1576" s="1">
        <v>40530</v>
      </c>
      <c r="Y1576" s="78">
        <f t="shared" si="201"/>
        <v>3073976.8</v>
      </c>
      <c r="Z1576" s="78">
        <f t="shared" si="202"/>
        <v>1700000</v>
      </c>
      <c r="AA1576" s="78">
        <f t="shared" si="200"/>
        <v>0</v>
      </c>
      <c r="AB1576" s="78">
        <f t="shared" si="203"/>
        <v>0</v>
      </c>
      <c r="AC1576" s="78"/>
      <c r="AD1576" s="78">
        <v>0</v>
      </c>
      <c r="AE1576" s="80">
        <f t="shared" si="205"/>
        <v>4773976.8</v>
      </c>
      <c r="AF1576" s="82">
        <v>0</v>
      </c>
      <c r="AG1576" s="69">
        <v>40492</v>
      </c>
      <c r="AH1576" s="84"/>
      <c r="AI1576" s="69" t="s">
        <v>2009</v>
      </c>
      <c r="AJ1576" s="25" t="s">
        <v>2010</v>
      </c>
      <c r="AK1576" s="88" t="s">
        <v>72</v>
      </c>
      <c r="AL1576" s="176" t="s">
        <v>1257</v>
      </c>
      <c r="AM1576" s="173" t="s">
        <v>3087</v>
      </c>
      <c r="AN1576" s="159"/>
      <c r="AO1576" s="160"/>
      <c r="AP1576" s="161"/>
      <c r="AQ1576" s="160"/>
      <c r="AR1576" s="160"/>
      <c r="AS1576" s="160"/>
      <c r="AT1576" s="160"/>
      <c r="AU1576" s="160"/>
      <c r="AV1576" s="160"/>
      <c r="AW1576" s="160"/>
      <c r="AX1576" s="160"/>
      <c r="AY1576" s="160"/>
      <c r="AZ1576" s="160">
        <v>20</v>
      </c>
      <c r="BA1576" s="160">
        <f>20*56000</f>
        <v>1120000</v>
      </c>
      <c r="BB1576" s="160"/>
      <c r="BC1576" s="160"/>
      <c r="BD1576" s="160"/>
      <c r="BE1576" s="160"/>
      <c r="BF1576" s="160"/>
      <c r="BG1576" s="160"/>
      <c r="BH1576" s="160"/>
      <c r="BI1576" s="160"/>
      <c r="BJ1576" s="160"/>
      <c r="BK1576" s="160"/>
      <c r="BL1576" s="160"/>
      <c r="BM1576" s="160"/>
      <c r="BN1576" s="160"/>
      <c r="BO1576" s="160"/>
      <c r="BP1576" s="160"/>
      <c r="BQ1576" s="160"/>
      <c r="BR1576" s="160"/>
      <c r="BS1576" s="160"/>
      <c r="BT1576" s="160"/>
      <c r="BU1576" s="160"/>
      <c r="BV1576" s="160"/>
      <c r="BW1576" s="160"/>
      <c r="BX1576" s="160"/>
      <c r="BY1576" s="160"/>
      <c r="BZ1576" s="160"/>
      <c r="CA1576" s="160"/>
      <c r="CB1576" s="160"/>
      <c r="CC1576" s="160"/>
      <c r="CD1576" s="160"/>
      <c r="CE1576" s="160"/>
      <c r="CF1576" s="160"/>
      <c r="CG1576" s="160"/>
      <c r="CH1576" s="160"/>
      <c r="CI1576" s="160"/>
      <c r="CJ1576" s="160">
        <v>20</v>
      </c>
      <c r="CK1576" s="160">
        <f>20*20999.48</f>
        <v>419989.6</v>
      </c>
      <c r="CL1576" s="160"/>
      <c r="CM1576" s="160"/>
      <c r="CN1576" s="160"/>
      <c r="CO1576" s="160"/>
      <c r="CP1576" s="162">
        <v>20</v>
      </c>
      <c r="CQ1576" s="163">
        <f>20*36999.36</f>
        <v>739987.2</v>
      </c>
      <c r="CR1576" s="162">
        <v>20</v>
      </c>
      <c r="CS1576" s="163">
        <f>20*39700</f>
        <v>794000</v>
      </c>
      <c r="CT1576" s="162"/>
      <c r="CU1576" s="163"/>
      <c r="CV1576" s="164">
        <f t="shared" si="204"/>
        <v>3073976.8</v>
      </c>
      <c r="CW1576" s="165"/>
      <c r="CX1576" s="166"/>
      <c r="CY1576" s="167">
        <v>20</v>
      </c>
      <c r="CZ1576" s="168">
        <f>20*85000</f>
        <v>1700000</v>
      </c>
      <c r="DA1576" s="169"/>
      <c r="DB1576" s="168"/>
      <c r="DC1576" s="165"/>
      <c r="DD1576" s="166"/>
      <c r="DE1576" s="71"/>
      <c r="DF1576" s="170"/>
      <c r="EO1576" s="353" t="str">
        <f t="shared" si="206"/>
        <v>BOYACA_SOCHA</v>
      </c>
      <c r="EP1576" s="350"/>
      <c r="EQ1576" s="350"/>
      <c r="ER1576" s="357"/>
      <c r="ES1576" s="350"/>
      <c r="ET1576" s="350"/>
      <c r="EU1576" s="350"/>
    </row>
    <row r="1577" spans="1:151" s="171" customFormat="1" ht="51" x14ac:dyDescent="0.2">
      <c r="A1577" s="242">
        <v>40490</v>
      </c>
      <c r="B1577" s="222" t="s">
        <v>2425</v>
      </c>
      <c r="C1577" s="222" t="s">
        <v>4416</v>
      </c>
      <c r="D1577" s="430" t="s">
        <v>837</v>
      </c>
      <c r="E1577" s="107" t="str">
        <f>VLOOKUP(B1577&amp;C1577,Divipola!$C$2:$F$1138,4,FALSE)</f>
        <v>27250</v>
      </c>
      <c r="F1577" s="333"/>
      <c r="G1577" s="221">
        <v>1</v>
      </c>
      <c r="H1577" s="157"/>
      <c r="I1577" s="157"/>
      <c r="J1577" s="183">
        <f>549*5</f>
        <v>2745</v>
      </c>
      <c r="K1577" s="157">
        <v>549</v>
      </c>
      <c r="L1577" s="157"/>
      <c r="M1577" s="157">
        <v>549</v>
      </c>
      <c r="N1577" s="157"/>
      <c r="O1577" s="157"/>
      <c r="P1577" s="157"/>
      <c r="Q1577" s="157"/>
      <c r="R1577" s="157"/>
      <c r="S1577" s="157"/>
      <c r="T1577" s="157"/>
      <c r="U1577" s="157"/>
      <c r="V1577" s="158"/>
      <c r="W1577" s="182"/>
      <c r="X1577" s="1"/>
      <c r="Y1577" s="78">
        <f t="shared" si="201"/>
        <v>52800000</v>
      </c>
      <c r="Z1577" s="78">
        <f t="shared" si="202"/>
        <v>0</v>
      </c>
      <c r="AA1577" s="78">
        <f t="shared" si="200"/>
        <v>0</v>
      </c>
      <c r="AB1577" s="78">
        <f t="shared" si="203"/>
        <v>0</v>
      </c>
      <c r="AC1577" s="78"/>
      <c r="AD1577" s="78">
        <v>0</v>
      </c>
      <c r="AE1577" s="80">
        <f t="shared" si="205"/>
        <v>52800000</v>
      </c>
      <c r="AF1577" s="82">
        <v>0</v>
      </c>
      <c r="AG1577" s="69">
        <v>40492</v>
      </c>
      <c r="AH1577" s="84"/>
      <c r="AI1577" s="69" t="s">
        <v>2009</v>
      </c>
      <c r="AJ1577" s="25" t="s">
        <v>2010</v>
      </c>
      <c r="AK1577" s="65"/>
      <c r="AL1577" s="176" t="s">
        <v>1257</v>
      </c>
      <c r="AM1577" s="173" t="s">
        <v>3081</v>
      </c>
      <c r="AN1577" s="159"/>
      <c r="AO1577" s="160"/>
      <c r="AP1577" s="161"/>
      <c r="AQ1577" s="160"/>
      <c r="AR1577" s="160"/>
      <c r="AS1577" s="160"/>
      <c r="AT1577" s="160"/>
      <c r="AU1577" s="160"/>
      <c r="AV1577" s="160"/>
      <c r="AW1577" s="160"/>
      <c r="AX1577" s="160"/>
      <c r="AY1577" s="160"/>
      <c r="AZ1577" s="160"/>
      <c r="BA1577" s="160"/>
      <c r="BB1577" s="160">
        <v>300</v>
      </c>
      <c r="BC1577" s="160">
        <f>300*56000</f>
        <v>16800000</v>
      </c>
      <c r="BD1577" s="160"/>
      <c r="BE1577" s="160"/>
      <c r="BF1577" s="160"/>
      <c r="BG1577" s="160"/>
      <c r="BH1577" s="160"/>
      <c r="BI1577" s="160"/>
      <c r="BJ1577" s="160"/>
      <c r="BK1577" s="160"/>
      <c r="BL1577" s="160"/>
      <c r="BM1577" s="160"/>
      <c r="BN1577" s="160"/>
      <c r="BO1577" s="160"/>
      <c r="BP1577" s="160"/>
      <c r="BQ1577" s="160"/>
      <c r="BR1577" s="160"/>
      <c r="BS1577" s="160"/>
      <c r="BT1577" s="160"/>
      <c r="BU1577" s="160"/>
      <c r="BV1577" s="160"/>
      <c r="BW1577" s="160"/>
      <c r="BX1577" s="160"/>
      <c r="BY1577" s="160"/>
      <c r="BZ1577" s="160"/>
      <c r="CA1577" s="160"/>
      <c r="CB1577" s="160"/>
      <c r="CC1577" s="160"/>
      <c r="CD1577" s="160"/>
      <c r="CE1577" s="160"/>
      <c r="CF1577" s="160"/>
      <c r="CG1577" s="160"/>
      <c r="CH1577" s="160"/>
      <c r="CI1577" s="160"/>
      <c r="CJ1577" s="160"/>
      <c r="CK1577" s="160"/>
      <c r="CL1577" s="160"/>
      <c r="CM1577" s="160"/>
      <c r="CN1577" s="160">
        <v>2000</v>
      </c>
      <c r="CO1577" s="160">
        <f>2000*18000</f>
        <v>36000000</v>
      </c>
      <c r="CP1577" s="162"/>
      <c r="CQ1577" s="163"/>
      <c r="CR1577" s="162"/>
      <c r="CS1577" s="163"/>
      <c r="CT1577" s="162"/>
      <c r="CU1577" s="163"/>
      <c r="CV1577" s="164">
        <f t="shared" si="204"/>
        <v>52800000</v>
      </c>
      <c r="CW1577" s="165"/>
      <c r="CX1577" s="166"/>
      <c r="CY1577" s="167"/>
      <c r="CZ1577" s="168"/>
      <c r="DA1577" s="169"/>
      <c r="DB1577" s="168"/>
      <c r="DC1577" s="165"/>
      <c r="DD1577" s="166"/>
      <c r="DE1577" s="71"/>
      <c r="DF1577" s="170"/>
      <c r="EO1577" s="353" t="str">
        <f t="shared" si="206"/>
        <v>CHOCO_EL LITORAL DEL SAN JUAN</v>
      </c>
      <c r="EP1577" s="350"/>
      <c r="EQ1577" s="350"/>
      <c r="ER1577" s="357"/>
      <c r="ES1577" s="350"/>
      <c r="ET1577" s="350"/>
      <c r="EU1577" s="350"/>
    </row>
    <row r="1578" spans="1:151" s="171" customFormat="1" ht="48" x14ac:dyDescent="0.2">
      <c r="A1578" s="242">
        <v>40490</v>
      </c>
      <c r="B1578" s="222" t="s">
        <v>2007</v>
      </c>
      <c r="C1578" s="222" t="s">
        <v>3070</v>
      </c>
      <c r="D1578" s="430" t="s">
        <v>837</v>
      </c>
      <c r="E1578" s="107" t="str">
        <f>VLOOKUP(B1578&amp;C1578,Divipola!$C$2:$F$1138,4,FALSE)</f>
        <v>25269</v>
      </c>
      <c r="F1578" s="333"/>
      <c r="G1578" s="221"/>
      <c r="H1578" s="157"/>
      <c r="I1578" s="157"/>
      <c r="J1578" s="157"/>
      <c r="K1578" s="157"/>
      <c r="L1578" s="157"/>
      <c r="M1578" s="157"/>
      <c r="N1578" s="157"/>
      <c r="O1578" s="157"/>
      <c r="P1578" s="157"/>
      <c r="Q1578" s="157"/>
      <c r="R1578" s="157"/>
      <c r="S1578" s="157"/>
      <c r="T1578" s="157"/>
      <c r="U1578" s="157"/>
      <c r="V1578" s="158"/>
      <c r="W1578" s="182"/>
      <c r="X1578" s="1"/>
      <c r="Y1578" s="78">
        <f t="shared" si="201"/>
        <v>0</v>
      </c>
      <c r="Z1578" s="78">
        <f t="shared" si="202"/>
        <v>0</v>
      </c>
      <c r="AA1578" s="78">
        <f t="shared" si="200"/>
        <v>0</v>
      </c>
      <c r="AB1578" s="78">
        <f t="shared" si="203"/>
        <v>0</v>
      </c>
      <c r="AC1578" s="78"/>
      <c r="AD1578" s="78">
        <v>0</v>
      </c>
      <c r="AE1578" s="80">
        <f t="shared" si="205"/>
        <v>0</v>
      </c>
      <c r="AF1578" s="82">
        <v>0</v>
      </c>
      <c r="AG1578" s="69">
        <v>40491</v>
      </c>
      <c r="AH1578" s="84"/>
      <c r="AI1578" s="69" t="s">
        <v>1984</v>
      </c>
      <c r="AJ1578" s="25" t="s">
        <v>1985</v>
      </c>
      <c r="AK1578" s="65"/>
      <c r="AL1578" s="176" t="s">
        <v>1257</v>
      </c>
      <c r="AM1578" s="173" t="s">
        <v>3071</v>
      </c>
      <c r="AN1578" s="159"/>
      <c r="AO1578" s="160"/>
      <c r="AP1578" s="161"/>
      <c r="AQ1578" s="160"/>
      <c r="AR1578" s="160"/>
      <c r="AS1578" s="160"/>
      <c r="AT1578" s="160"/>
      <c r="AU1578" s="160"/>
      <c r="AV1578" s="160"/>
      <c r="AW1578" s="160"/>
      <c r="AX1578" s="160"/>
      <c r="AY1578" s="160"/>
      <c r="AZ1578" s="160"/>
      <c r="BA1578" s="160"/>
      <c r="BB1578" s="160"/>
      <c r="BC1578" s="160"/>
      <c r="BD1578" s="160"/>
      <c r="BE1578" s="160"/>
      <c r="BF1578" s="160"/>
      <c r="BG1578" s="160"/>
      <c r="BH1578" s="160"/>
      <c r="BI1578" s="160"/>
      <c r="BJ1578" s="160"/>
      <c r="BK1578" s="160"/>
      <c r="BL1578" s="160"/>
      <c r="BM1578" s="160"/>
      <c r="BN1578" s="160"/>
      <c r="BO1578" s="160"/>
      <c r="BP1578" s="160"/>
      <c r="BQ1578" s="160"/>
      <c r="BR1578" s="160"/>
      <c r="BS1578" s="160"/>
      <c r="BT1578" s="160"/>
      <c r="BU1578" s="160"/>
      <c r="BV1578" s="160"/>
      <c r="BW1578" s="160"/>
      <c r="BX1578" s="160"/>
      <c r="BY1578" s="160"/>
      <c r="BZ1578" s="160"/>
      <c r="CA1578" s="160"/>
      <c r="CB1578" s="160"/>
      <c r="CC1578" s="160"/>
      <c r="CD1578" s="160"/>
      <c r="CE1578" s="160"/>
      <c r="CF1578" s="160"/>
      <c r="CG1578" s="160"/>
      <c r="CH1578" s="160"/>
      <c r="CI1578" s="160"/>
      <c r="CJ1578" s="160"/>
      <c r="CK1578" s="160"/>
      <c r="CL1578" s="160"/>
      <c r="CM1578" s="160"/>
      <c r="CN1578" s="160"/>
      <c r="CO1578" s="160"/>
      <c r="CP1578" s="162"/>
      <c r="CQ1578" s="163"/>
      <c r="CR1578" s="162"/>
      <c r="CS1578" s="163"/>
      <c r="CT1578" s="162"/>
      <c r="CU1578" s="163"/>
      <c r="CV1578" s="164">
        <f t="shared" si="204"/>
        <v>0</v>
      </c>
      <c r="CW1578" s="165"/>
      <c r="CX1578" s="166"/>
      <c r="CY1578" s="167"/>
      <c r="CZ1578" s="168"/>
      <c r="DA1578" s="169"/>
      <c r="DB1578" s="168"/>
      <c r="DC1578" s="165"/>
      <c r="DD1578" s="166"/>
      <c r="DE1578" s="71"/>
      <c r="DF1578" s="170"/>
      <c r="EO1578" s="353" t="str">
        <f t="shared" si="206"/>
        <v>CUNDINAMARCA_FACATATIVA</v>
      </c>
      <c r="EP1578" s="350"/>
      <c r="EQ1578" s="350"/>
      <c r="ER1578" s="357"/>
      <c r="ES1578" s="350"/>
      <c r="ET1578" s="350"/>
      <c r="EU1578" s="350"/>
    </row>
    <row r="1579" spans="1:151" s="171" customFormat="1" ht="38.25" x14ac:dyDescent="0.2">
      <c r="A1579" s="242">
        <v>40490</v>
      </c>
      <c r="B1579" s="222" t="s">
        <v>1336</v>
      </c>
      <c r="C1579" s="222" t="s">
        <v>1732</v>
      </c>
      <c r="D1579" s="427" t="s">
        <v>2307</v>
      </c>
      <c r="E1579" s="107" t="str">
        <f>VLOOKUP(B1579&amp;C1579,Divipola!$C$2:$F$1138,4,FALSE)</f>
        <v>54001</v>
      </c>
      <c r="F1579" s="330"/>
      <c r="G1579" s="221">
        <v>2</v>
      </c>
      <c r="H1579" s="157">
        <v>8</v>
      </c>
      <c r="I1579" s="157"/>
      <c r="J1579" s="157">
        <f>8450-2457</f>
        <v>5993</v>
      </c>
      <c r="K1579" s="157">
        <f>3100-626</f>
        <v>2474</v>
      </c>
      <c r="L1579" s="157">
        <f>1580-4-221-110-1</f>
        <v>1244</v>
      </c>
      <c r="M1579" s="183">
        <f>1520-35-4-144-20-52-2</f>
        <v>1263</v>
      </c>
      <c r="N1579" s="157">
        <v>3</v>
      </c>
      <c r="O1579" s="157"/>
      <c r="P1579" s="157"/>
      <c r="Q1579" s="157"/>
      <c r="R1579" s="157"/>
      <c r="S1579" s="157"/>
      <c r="T1579" s="157">
        <v>72</v>
      </c>
      <c r="U1579" s="157"/>
      <c r="V1579" s="158"/>
      <c r="W1579" s="182" t="s">
        <v>2442</v>
      </c>
      <c r="X1579" s="1"/>
      <c r="Y1579" s="78">
        <f t="shared" si="201"/>
        <v>0</v>
      </c>
      <c r="Z1579" s="78">
        <f t="shared" si="202"/>
        <v>0</v>
      </c>
      <c r="AA1579" s="78">
        <f t="shared" si="200"/>
        <v>0</v>
      </c>
      <c r="AB1579" s="78">
        <f t="shared" si="203"/>
        <v>0</v>
      </c>
      <c r="AC1579" s="78"/>
      <c r="AD1579" s="78">
        <v>0</v>
      </c>
      <c r="AE1579" s="80">
        <f t="shared" si="205"/>
        <v>0</v>
      </c>
      <c r="AF1579" s="82">
        <v>0</v>
      </c>
      <c r="AG1579" s="69">
        <v>40491</v>
      </c>
      <c r="AH1579" s="84"/>
      <c r="AI1579" s="69" t="s">
        <v>1984</v>
      </c>
      <c r="AJ1579" s="25" t="s">
        <v>1985</v>
      </c>
      <c r="AK1579" s="65"/>
      <c r="AL1579" s="176" t="s">
        <v>1257</v>
      </c>
      <c r="AM1579" s="173" t="s">
        <v>1268</v>
      </c>
      <c r="AN1579" s="159"/>
      <c r="AO1579" s="160"/>
      <c r="AP1579" s="161"/>
      <c r="AQ1579" s="160"/>
      <c r="AR1579" s="160"/>
      <c r="AS1579" s="160"/>
      <c r="AT1579" s="160"/>
      <c r="AU1579" s="160"/>
      <c r="AV1579" s="160"/>
      <c r="AW1579" s="160"/>
      <c r="AX1579" s="160"/>
      <c r="AY1579" s="160"/>
      <c r="AZ1579" s="160"/>
      <c r="BA1579" s="160"/>
      <c r="BB1579" s="160"/>
      <c r="BC1579" s="160"/>
      <c r="BD1579" s="160"/>
      <c r="BE1579" s="160"/>
      <c r="BF1579" s="160"/>
      <c r="BG1579" s="160"/>
      <c r="BH1579" s="160"/>
      <c r="BI1579" s="160"/>
      <c r="BJ1579" s="160"/>
      <c r="BK1579" s="160"/>
      <c r="BL1579" s="160"/>
      <c r="BM1579" s="160"/>
      <c r="BN1579" s="160"/>
      <c r="BO1579" s="160"/>
      <c r="BP1579" s="160"/>
      <c r="BQ1579" s="160"/>
      <c r="BR1579" s="160"/>
      <c r="BS1579" s="160"/>
      <c r="BT1579" s="160"/>
      <c r="BU1579" s="160"/>
      <c r="BV1579" s="160"/>
      <c r="BW1579" s="160"/>
      <c r="BX1579" s="160"/>
      <c r="BY1579" s="160"/>
      <c r="BZ1579" s="160"/>
      <c r="CA1579" s="160"/>
      <c r="CB1579" s="160"/>
      <c r="CC1579" s="160"/>
      <c r="CD1579" s="160"/>
      <c r="CE1579" s="160"/>
      <c r="CF1579" s="160"/>
      <c r="CG1579" s="160"/>
      <c r="CH1579" s="160"/>
      <c r="CI1579" s="160"/>
      <c r="CJ1579" s="160"/>
      <c r="CK1579" s="160"/>
      <c r="CL1579" s="160"/>
      <c r="CM1579" s="160"/>
      <c r="CN1579" s="160"/>
      <c r="CO1579" s="160"/>
      <c r="CP1579" s="162"/>
      <c r="CQ1579" s="163"/>
      <c r="CR1579" s="162"/>
      <c r="CS1579" s="163"/>
      <c r="CT1579" s="162"/>
      <c r="CU1579" s="163"/>
      <c r="CV1579" s="164">
        <f t="shared" si="204"/>
        <v>0</v>
      </c>
      <c r="CW1579" s="165"/>
      <c r="CX1579" s="166"/>
      <c r="CY1579" s="167"/>
      <c r="CZ1579" s="168"/>
      <c r="DA1579" s="169"/>
      <c r="DB1579" s="168"/>
      <c r="DC1579" s="165"/>
      <c r="DD1579" s="166"/>
      <c r="DE1579" s="71"/>
      <c r="DF1579" s="170"/>
      <c r="EO1579" s="353" t="str">
        <f t="shared" si="206"/>
        <v>NORTE DE SANTANDER_CUCUTA</v>
      </c>
      <c r="EP1579" s="350"/>
      <c r="EQ1579" s="350"/>
      <c r="ER1579" s="357"/>
      <c r="ES1579" s="350"/>
      <c r="ET1579" s="350"/>
      <c r="EU1579" s="350"/>
    </row>
    <row r="1580" spans="1:151" s="171" customFormat="1" ht="96" x14ac:dyDescent="0.2">
      <c r="A1580" s="242">
        <v>40490</v>
      </c>
      <c r="B1580" s="222" t="s">
        <v>1336</v>
      </c>
      <c r="C1580" s="222" t="s">
        <v>657</v>
      </c>
      <c r="D1580" s="427" t="s">
        <v>2307</v>
      </c>
      <c r="E1580" s="107" t="str">
        <f>VLOOKUP(B1580&amp;C1580,Divipola!$C$2:$F$1138,4,FALSE)</f>
        <v>54245</v>
      </c>
      <c r="F1580" s="330"/>
      <c r="G1580" s="221"/>
      <c r="H1580" s="157"/>
      <c r="I1580" s="157"/>
      <c r="J1580" s="157">
        <v>550</v>
      </c>
      <c r="K1580" s="157">
        <f>15+95</f>
        <v>110</v>
      </c>
      <c r="L1580" s="157">
        <v>15</v>
      </c>
      <c r="M1580" s="157">
        <f>25+70</f>
        <v>95</v>
      </c>
      <c r="N1580" s="157"/>
      <c r="O1580" s="157"/>
      <c r="P1580" s="157"/>
      <c r="Q1580" s="157">
        <v>1</v>
      </c>
      <c r="R1580" s="157">
        <v>1</v>
      </c>
      <c r="S1580" s="157"/>
      <c r="T1580" s="157"/>
      <c r="U1580" s="157"/>
      <c r="V1580" s="158"/>
      <c r="W1580" s="182"/>
      <c r="X1580" s="1">
        <v>40462</v>
      </c>
      <c r="Y1580" s="78">
        <f t="shared" si="201"/>
        <v>0</v>
      </c>
      <c r="Z1580" s="78">
        <f t="shared" si="202"/>
        <v>0</v>
      </c>
      <c r="AA1580" s="78">
        <f t="shared" si="200"/>
        <v>0</v>
      </c>
      <c r="AB1580" s="78">
        <f t="shared" si="203"/>
        <v>0</v>
      </c>
      <c r="AC1580" s="78"/>
      <c r="AD1580" s="78">
        <v>342213000</v>
      </c>
      <c r="AE1580" s="80">
        <f t="shared" si="205"/>
        <v>342213000</v>
      </c>
      <c r="AF1580" s="82">
        <v>0</v>
      </c>
      <c r="AG1580" s="69">
        <v>40490</v>
      </c>
      <c r="AH1580" s="84">
        <v>63242</v>
      </c>
      <c r="AI1580" s="69" t="s">
        <v>2009</v>
      </c>
      <c r="AJ1580" s="25" t="s">
        <v>2010</v>
      </c>
      <c r="AK1580" s="65">
        <v>42259</v>
      </c>
      <c r="AL1580" s="176" t="s">
        <v>3171</v>
      </c>
      <c r="AM1580" s="173" t="s">
        <v>325</v>
      </c>
      <c r="AN1580" s="159"/>
      <c r="AO1580" s="160"/>
      <c r="AP1580" s="161"/>
      <c r="AQ1580" s="160"/>
      <c r="AR1580" s="160"/>
      <c r="AS1580" s="160"/>
      <c r="AT1580" s="160"/>
      <c r="AU1580" s="160"/>
      <c r="AV1580" s="160"/>
      <c r="AW1580" s="160"/>
      <c r="AX1580" s="160"/>
      <c r="AY1580" s="160"/>
      <c r="AZ1580" s="160"/>
      <c r="BA1580" s="160"/>
      <c r="BB1580" s="160"/>
      <c r="BC1580" s="160"/>
      <c r="BD1580" s="160"/>
      <c r="BE1580" s="160"/>
      <c r="BF1580" s="160"/>
      <c r="BG1580" s="160"/>
      <c r="BH1580" s="160"/>
      <c r="BI1580" s="160"/>
      <c r="BJ1580" s="160"/>
      <c r="BK1580" s="160"/>
      <c r="BL1580" s="160"/>
      <c r="BM1580" s="160"/>
      <c r="BN1580" s="160"/>
      <c r="BO1580" s="160"/>
      <c r="BP1580" s="160"/>
      <c r="BQ1580" s="160"/>
      <c r="BR1580" s="160"/>
      <c r="BS1580" s="160"/>
      <c r="BT1580" s="160"/>
      <c r="BU1580" s="160"/>
      <c r="BV1580" s="160"/>
      <c r="BW1580" s="160"/>
      <c r="BX1580" s="160"/>
      <c r="BY1580" s="160"/>
      <c r="BZ1580" s="160"/>
      <c r="CA1580" s="160"/>
      <c r="CB1580" s="160"/>
      <c r="CC1580" s="160"/>
      <c r="CD1580" s="160"/>
      <c r="CE1580" s="160"/>
      <c r="CF1580" s="160"/>
      <c r="CG1580" s="160"/>
      <c r="CH1580" s="160"/>
      <c r="CI1580" s="160"/>
      <c r="CJ1580" s="160"/>
      <c r="CK1580" s="160"/>
      <c r="CL1580" s="160"/>
      <c r="CM1580" s="160"/>
      <c r="CN1580" s="160"/>
      <c r="CO1580" s="160"/>
      <c r="CP1580" s="162"/>
      <c r="CQ1580" s="163"/>
      <c r="CR1580" s="162"/>
      <c r="CS1580" s="163"/>
      <c r="CT1580" s="162"/>
      <c r="CU1580" s="163"/>
      <c r="CV1580" s="164">
        <f t="shared" si="204"/>
        <v>0</v>
      </c>
      <c r="CW1580" s="165"/>
      <c r="CX1580" s="166"/>
      <c r="CY1580" s="167"/>
      <c r="CZ1580" s="168"/>
      <c r="DA1580" s="169"/>
      <c r="DB1580" s="168"/>
      <c r="DC1580" s="165"/>
      <c r="DD1580" s="166"/>
      <c r="DE1580" s="71"/>
      <c r="DF1580" s="170"/>
      <c r="EO1580" s="353" t="str">
        <f t="shared" si="206"/>
        <v>NORTE DE SANTANDER_EL CARMEN</v>
      </c>
      <c r="EP1580" s="350"/>
      <c r="EQ1580" s="350"/>
      <c r="ER1580" s="357"/>
      <c r="ES1580" s="350"/>
      <c r="ET1580" s="350"/>
      <c r="EU1580" s="350"/>
    </row>
    <row r="1581" spans="1:151" s="171" customFormat="1" ht="38.25" x14ac:dyDescent="0.2">
      <c r="A1581" s="242">
        <v>40490</v>
      </c>
      <c r="B1581" s="222" t="s">
        <v>1336</v>
      </c>
      <c r="C1581" s="222" t="s">
        <v>1378</v>
      </c>
      <c r="D1581" s="427" t="s">
        <v>2307</v>
      </c>
      <c r="E1581" s="107" t="str">
        <f>VLOOKUP(B1581&amp;C1581,Divipola!$C$2:$F$1138,4,FALSE)</f>
        <v>54498</v>
      </c>
      <c r="F1581" s="330"/>
      <c r="G1581" s="221"/>
      <c r="H1581" s="157"/>
      <c r="I1581" s="157"/>
      <c r="J1581" s="157">
        <v>5</v>
      </c>
      <c r="K1581" s="157">
        <v>1</v>
      </c>
      <c r="L1581" s="157">
        <v>1</v>
      </c>
      <c r="M1581" s="157"/>
      <c r="N1581" s="157"/>
      <c r="O1581" s="157"/>
      <c r="P1581" s="157"/>
      <c r="Q1581" s="157"/>
      <c r="R1581" s="157"/>
      <c r="S1581" s="157"/>
      <c r="T1581" s="157"/>
      <c r="U1581" s="157"/>
      <c r="V1581" s="158"/>
      <c r="W1581" s="182"/>
      <c r="X1581" s="1"/>
      <c r="Y1581" s="78">
        <f t="shared" si="201"/>
        <v>0</v>
      </c>
      <c r="Z1581" s="78">
        <f t="shared" si="202"/>
        <v>0</v>
      </c>
      <c r="AA1581" s="78">
        <f t="shared" si="200"/>
        <v>0</v>
      </c>
      <c r="AB1581" s="78">
        <f t="shared" si="203"/>
        <v>0</v>
      </c>
      <c r="AC1581" s="78"/>
      <c r="AD1581" s="78">
        <v>0</v>
      </c>
      <c r="AE1581" s="80">
        <f t="shared" si="205"/>
        <v>0</v>
      </c>
      <c r="AF1581" s="82">
        <v>0</v>
      </c>
      <c r="AG1581" s="242">
        <v>40492</v>
      </c>
      <c r="AH1581" s="84"/>
      <c r="AI1581" s="69" t="s">
        <v>1984</v>
      </c>
      <c r="AJ1581" s="25" t="s">
        <v>1985</v>
      </c>
      <c r="AK1581" s="65"/>
      <c r="AL1581" s="176" t="s">
        <v>1257</v>
      </c>
      <c r="AM1581" s="173" t="s">
        <v>3080</v>
      </c>
      <c r="AN1581" s="159"/>
      <c r="AO1581" s="160"/>
      <c r="AP1581" s="161"/>
      <c r="AQ1581" s="160"/>
      <c r="AR1581" s="160"/>
      <c r="AS1581" s="160"/>
      <c r="AT1581" s="160"/>
      <c r="AU1581" s="160"/>
      <c r="AV1581" s="160"/>
      <c r="AW1581" s="160"/>
      <c r="AX1581" s="160"/>
      <c r="AY1581" s="160"/>
      <c r="AZ1581" s="160"/>
      <c r="BA1581" s="160"/>
      <c r="BB1581" s="160"/>
      <c r="BC1581" s="160"/>
      <c r="BD1581" s="160"/>
      <c r="BE1581" s="160"/>
      <c r="BF1581" s="160"/>
      <c r="BG1581" s="160"/>
      <c r="BH1581" s="160"/>
      <c r="BI1581" s="160"/>
      <c r="BJ1581" s="160"/>
      <c r="BK1581" s="160"/>
      <c r="BL1581" s="160"/>
      <c r="BM1581" s="160"/>
      <c r="BN1581" s="160"/>
      <c r="BO1581" s="160"/>
      <c r="BP1581" s="160"/>
      <c r="BQ1581" s="160"/>
      <c r="BR1581" s="160"/>
      <c r="BS1581" s="160"/>
      <c r="BT1581" s="160"/>
      <c r="BU1581" s="160"/>
      <c r="BV1581" s="160"/>
      <c r="BW1581" s="160"/>
      <c r="BX1581" s="160"/>
      <c r="BY1581" s="160"/>
      <c r="BZ1581" s="160"/>
      <c r="CA1581" s="160"/>
      <c r="CB1581" s="160"/>
      <c r="CC1581" s="160"/>
      <c r="CD1581" s="160"/>
      <c r="CE1581" s="160"/>
      <c r="CF1581" s="160"/>
      <c r="CG1581" s="160"/>
      <c r="CH1581" s="160"/>
      <c r="CI1581" s="160"/>
      <c r="CJ1581" s="160"/>
      <c r="CK1581" s="160"/>
      <c r="CL1581" s="160"/>
      <c r="CM1581" s="160"/>
      <c r="CN1581" s="160"/>
      <c r="CO1581" s="160"/>
      <c r="CP1581" s="162"/>
      <c r="CQ1581" s="163"/>
      <c r="CR1581" s="162"/>
      <c r="CS1581" s="163"/>
      <c r="CT1581" s="162"/>
      <c r="CU1581" s="163"/>
      <c r="CV1581" s="164">
        <f t="shared" si="204"/>
        <v>0</v>
      </c>
      <c r="CW1581" s="165"/>
      <c r="CX1581" s="166"/>
      <c r="CY1581" s="167"/>
      <c r="CZ1581" s="168"/>
      <c r="DA1581" s="169"/>
      <c r="DB1581" s="168"/>
      <c r="DC1581" s="165"/>
      <c r="DD1581" s="166"/>
      <c r="DE1581" s="71"/>
      <c r="DF1581" s="170"/>
      <c r="EO1581" s="353" t="str">
        <f t="shared" si="206"/>
        <v>NORTE DE SANTANDER_OCAÑA</v>
      </c>
      <c r="EP1581" s="350"/>
      <c r="EQ1581" s="350"/>
      <c r="ER1581" s="357"/>
      <c r="ES1581" s="350"/>
      <c r="ET1581" s="350"/>
      <c r="EU1581" s="350"/>
    </row>
    <row r="1582" spans="1:151" s="171" customFormat="1" ht="60" x14ac:dyDescent="0.2">
      <c r="A1582" s="242">
        <v>40490</v>
      </c>
      <c r="B1582" s="222" t="s">
        <v>1462</v>
      </c>
      <c r="C1582" s="107" t="s">
        <v>4619</v>
      </c>
      <c r="D1582" s="430" t="s">
        <v>837</v>
      </c>
      <c r="E1582" s="107" t="str">
        <f>VLOOKUP(B1582&amp;C1582,Divipola!$C$2:$F$1138,4,FALSE)</f>
        <v>76126</v>
      </c>
      <c r="F1582" s="333"/>
      <c r="G1582" s="221"/>
      <c r="H1582" s="157"/>
      <c r="I1582" s="157"/>
      <c r="J1582" s="157">
        <f>120*5</f>
        <v>600</v>
      </c>
      <c r="K1582" s="157">
        <v>120</v>
      </c>
      <c r="L1582" s="157"/>
      <c r="M1582" s="157">
        <v>120</v>
      </c>
      <c r="N1582" s="157"/>
      <c r="O1582" s="157"/>
      <c r="P1582" s="157"/>
      <c r="Q1582" s="157"/>
      <c r="R1582" s="157"/>
      <c r="S1582" s="157"/>
      <c r="T1582" s="157"/>
      <c r="U1582" s="157"/>
      <c r="V1582" s="158"/>
      <c r="W1582" s="182"/>
      <c r="X1582" s="1">
        <v>40520</v>
      </c>
      <c r="Y1582" s="78">
        <f t="shared" si="201"/>
        <v>8091000</v>
      </c>
      <c r="Z1582" s="78">
        <f t="shared" si="202"/>
        <v>7395000</v>
      </c>
      <c r="AA1582" s="78">
        <f t="shared" si="200"/>
        <v>0</v>
      </c>
      <c r="AB1582" s="78">
        <f t="shared" si="203"/>
        <v>0</v>
      </c>
      <c r="AC1582" s="78"/>
      <c r="AD1582" s="78">
        <v>0</v>
      </c>
      <c r="AE1582" s="80">
        <f t="shared" si="205"/>
        <v>15486000</v>
      </c>
      <c r="AF1582" s="82">
        <v>0</v>
      </c>
      <c r="AG1582" s="69">
        <v>40492</v>
      </c>
      <c r="AH1582" s="84"/>
      <c r="AI1582" s="69" t="s">
        <v>2009</v>
      </c>
      <c r="AJ1582" s="25" t="s">
        <v>2010</v>
      </c>
      <c r="AK1582" s="65">
        <v>26384</v>
      </c>
      <c r="AL1582" s="176" t="s">
        <v>163</v>
      </c>
      <c r="AM1582" s="173" t="s">
        <v>2622</v>
      </c>
      <c r="AN1582" s="159"/>
      <c r="AO1582" s="160"/>
      <c r="AP1582" s="161"/>
      <c r="AQ1582" s="160"/>
      <c r="AR1582" s="160"/>
      <c r="AS1582" s="160"/>
      <c r="AT1582" s="160"/>
      <c r="AU1582" s="160"/>
      <c r="AV1582" s="160"/>
      <c r="AW1582" s="160"/>
      <c r="AX1582" s="160"/>
      <c r="AY1582" s="160"/>
      <c r="AZ1582" s="160">
        <v>87</v>
      </c>
      <c r="BA1582" s="160">
        <f>87*56000</f>
        <v>4872000</v>
      </c>
      <c r="BB1582" s="160"/>
      <c r="BC1582" s="160"/>
      <c r="BD1582" s="160"/>
      <c r="BE1582" s="160"/>
      <c r="BF1582" s="160"/>
      <c r="BG1582" s="160"/>
      <c r="BH1582" s="160"/>
      <c r="BI1582" s="160"/>
      <c r="BJ1582" s="160"/>
      <c r="BK1582" s="160"/>
      <c r="BL1582" s="160"/>
      <c r="BM1582" s="160"/>
      <c r="BN1582" s="160"/>
      <c r="BO1582" s="160"/>
      <c r="BP1582" s="160"/>
      <c r="BQ1582" s="160"/>
      <c r="BR1582" s="160"/>
      <c r="BS1582" s="160"/>
      <c r="BT1582" s="160"/>
      <c r="BU1582" s="160"/>
      <c r="BV1582" s="160"/>
      <c r="BW1582" s="160"/>
      <c r="BX1582" s="160"/>
      <c r="BY1582" s="160"/>
      <c r="BZ1582" s="160"/>
      <c r="CA1582" s="160"/>
      <c r="CB1582" s="160"/>
      <c r="CC1582" s="160"/>
      <c r="CD1582" s="160"/>
      <c r="CE1582" s="160"/>
      <c r="CF1582" s="160"/>
      <c r="CG1582" s="160"/>
      <c r="CH1582" s="160"/>
      <c r="CI1582" s="160"/>
      <c r="CJ1582" s="160"/>
      <c r="CK1582" s="160"/>
      <c r="CL1582" s="160"/>
      <c r="CM1582" s="160"/>
      <c r="CN1582" s="160"/>
      <c r="CO1582" s="160"/>
      <c r="CP1582" s="162">
        <v>87</v>
      </c>
      <c r="CQ1582" s="163">
        <f>87*37000</f>
        <v>3219000</v>
      </c>
      <c r="CR1582" s="162"/>
      <c r="CS1582" s="163"/>
      <c r="CT1582" s="162"/>
      <c r="CU1582" s="163"/>
      <c r="CV1582" s="164">
        <f t="shared" si="204"/>
        <v>8091000</v>
      </c>
      <c r="CW1582" s="165"/>
      <c r="CX1582" s="166"/>
      <c r="CY1582" s="167">
        <v>87</v>
      </c>
      <c r="CZ1582" s="168">
        <f>87*85000</f>
        <v>7395000</v>
      </c>
      <c r="DA1582" s="169"/>
      <c r="DB1582" s="168"/>
      <c r="DC1582" s="165"/>
      <c r="DD1582" s="166"/>
      <c r="DE1582" s="71"/>
      <c r="DF1582" s="170"/>
      <c r="EO1582" s="353" t="str">
        <f t="shared" si="206"/>
        <v>VALLE DEL CAUCA_CALIMA</v>
      </c>
      <c r="EP1582" s="350"/>
      <c r="EQ1582" s="350"/>
      <c r="ER1582" s="357"/>
      <c r="ES1582" s="350"/>
      <c r="ET1582" s="350"/>
      <c r="EU1582" s="350"/>
    </row>
    <row r="1583" spans="1:151" s="171" customFormat="1" ht="51" x14ac:dyDescent="0.2">
      <c r="A1583" s="242">
        <v>40490</v>
      </c>
      <c r="B1583" s="222" t="s">
        <v>1462</v>
      </c>
      <c r="C1583" s="222" t="s">
        <v>1266</v>
      </c>
      <c r="D1583" s="430" t="s">
        <v>837</v>
      </c>
      <c r="E1583" s="107" t="str">
        <f>VLOOKUP(B1583&amp;C1583,Divipola!$C$2:$F$1138,4,FALSE)</f>
        <v>76834</v>
      </c>
      <c r="F1583" s="333"/>
      <c r="G1583" s="221">
        <v>1</v>
      </c>
      <c r="H1583" s="157"/>
      <c r="I1583" s="157"/>
      <c r="J1583" s="157">
        <f>500*5</f>
        <v>2500</v>
      </c>
      <c r="K1583" s="157">
        <v>500</v>
      </c>
      <c r="L1583" s="157"/>
      <c r="M1583" s="157">
        <v>500</v>
      </c>
      <c r="N1583" s="157"/>
      <c r="O1583" s="157"/>
      <c r="P1583" s="157"/>
      <c r="Q1583" s="157"/>
      <c r="R1583" s="157"/>
      <c r="S1583" s="157"/>
      <c r="T1583" s="157"/>
      <c r="U1583" s="157"/>
      <c r="V1583" s="158"/>
      <c r="W1583" s="182"/>
      <c r="X1583" s="1"/>
      <c r="Y1583" s="78">
        <f t="shared" si="201"/>
        <v>0</v>
      </c>
      <c r="Z1583" s="78">
        <f t="shared" si="202"/>
        <v>0</v>
      </c>
      <c r="AA1583" s="78">
        <f t="shared" si="200"/>
        <v>0</v>
      </c>
      <c r="AB1583" s="78">
        <f t="shared" si="203"/>
        <v>0</v>
      </c>
      <c r="AC1583" s="78"/>
      <c r="AD1583" s="78">
        <v>0</v>
      </c>
      <c r="AE1583" s="80">
        <f t="shared" si="205"/>
        <v>0</v>
      </c>
      <c r="AF1583" s="82">
        <v>0</v>
      </c>
      <c r="AG1583" s="69">
        <v>40492</v>
      </c>
      <c r="AH1583" s="84"/>
      <c r="AI1583" s="69" t="s">
        <v>1984</v>
      </c>
      <c r="AJ1583" s="25" t="s">
        <v>1985</v>
      </c>
      <c r="AK1583" s="65"/>
      <c r="AL1583" s="176" t="s">
        <v>1257</v>
      </c>
      <c r="AM1583" s="173" t="s">
        <v>3077</v>
      </c>
      <c r="AN1583" s="159"/>
      <c r="AO1583" s="160"/>
      <c r="AP1583" s="161"/>
      <c r="AQ1583" s="160"/>
      <c r="AR1583" s="160"/>
      <c r="AS1583" s="160"/>
      <c r="AT1583" s="160"/>
      <c r="AU1583" s="160"/>
      <c r="AV1583" s="160"/>
      <c r="AW1583" s="160"/>
      <c r="AX1583" s="160"/>
      <c r="AY1583" s="160"/>
      <c r="AZ1583" s="160"/>
      <c r="BA1583" s="160"/>
      <c r="BB1583" s="160"/>
      <c r="BC1583" s="160"/>
      <c r="BD1583" s="160"/>
      <c r="BE1583" s="160"/>
      <c r="BF1583" s="160"/>
      <c r="BG1583" s="160"/>
      <c r="BH1583" s="160"/>
      <c r="BI1583" s="160"/>
      <c r="BJ1583" s="160"/>
      <c r="BK1583" s="160"/>
      <c r="BL1583" s="160"/>
      <c r="BM1583" s="160"/>
      <c r="BN1583" s="160"/>
      <c r="BO1583" s="160"/>
      <c r="BP1583" s="160"/>
      <c r="BQ1583" s="160"/>
      <c r="BR1583" s="160"/>
      <c r="BS1583" s="160"/>
      <c r="BT1583" s="160"/>
      <c r="BU1583" s="160"/>
      <c r="BV1583" s="160"/>
      <c r="BW1583" s="160"/>
      <c r="BX1583" s="160"/>
      <c r="BY1583" s="160"/>
      <c r="BZ1583" s="160"/>
      <c r="CA1583" s="160"/>
      <c r="CB1583" s="160"/>
      <c r="CC1583" s="160"/>
      <c r="CD1583" s="160"/>
      <c r="CE1583" s="160"/>
      <c r="CF1583" s="160"/>
      <c r="CG1583" s="160"/>
      <c r="CH1583" s="160"/>
      <c r="CI1583" s="160"/>
      <c r="CJ1583" s="160"/>
      <c r="CK1583" s="160"/>
      <c r="CL1583" s="160"/>
      <c r="CM1583" s="160"/>
      <c r="CN1583" s="160"/>
      <c r="CO1583" s="160"/>
      <c r="CP1583" s="162"/>
      <c r="CQ1583" s="163"/>
      <c r="CR1583" s="162"/>
      <c r="CS1583" s="163"/>
      <c r="CT1583" s="162"/>
      <c r="CU1583" s="163"/>
      <c r="CV1583" s="164">
        <f t="shared" si="204"/>
        <v>0</v>
      </c>
      <c r="CW1583" s="165"/>
      <c r="CX1583" s="166"/>
      <c r="CY1583" s="167"/>
      <c r="CZ1583" s="168"/>
      <c r="DA1583" s="169"/>
      <c r="DB1583" s="168"/>
      <c r="DC1583" s="165"/>
      <c r="DD1583" s="166"/>
      <c r="DE1583" s="71"/>
      <c r="DF1583" s="170"/>
      <c r="EO1583" s="353" t="str">
        <f t="shared" si="206"/>
        <v>VALLE DEL CAUCA_TULUA</v>
      </c>
      <c r="EP1583" s="350"/>
      <c r="EQ1583" s="350"/>
      <c r="ER1583" s="357"/>
      <c r="ES1583" s="350"/>
      <c r="ET1583" s="350"/>
      <c r="EU1583" s="350"/>
    </row>
    <row r="1584" spans="1:151" s="171" customFormat="1" ht="36" x14ac:dyDescent="0.2">
      <c r="A1584" s="246">
        <v>40491</v>
      </c>
      <c r="B1584" s="280" t="s">
        <v>2401</v>
      </c>
      <c r="C1584" s="280" t="s">
        <v>214</v>
      </c>
      <c r="D1584" s="431" t="s">
        <v>2307</v>
      </c>
      <c r="E1584" s="107" t="str">
        <f>VLOOKUP(B1584&amp;C1584,Divipola!$C$2:$F$1138,4,FALSE)</f>
        <v>05756</v>
      </c>
      <c r="F1584" s="334"/>
      <c r="G1584" s="221">
        <v>3</v>
      </c>
      <c r="H1584" s="157"/>
      <c r="I1584" s="157"/>
      <c r="J1584" s="157"/>
      <c r="K1584" s="157"/>
      <c r="L1584" s="157"/>
      <c r="M1584" s="157"/>
      <c r="N1584" s="157">
        <v>2</v>
      </c>
      <c r="O1584" s="157"/>
      <c r="P1584" s="157"/>
      <c r="Q1584" s="157"/>
      <c r="R1584" s="157"/>
      <c r="S1584" s="157"/>
      <c r="T1584" s="157"/>
      <c r="U1584" s="157"/>
      <c r="V1584" s="158"/>
      <c r="W1584" s="182"/>
      <c r="X1584" s="1"/>
      <c r="Y1584" s="78">
        <f t="shared" si="201"/>
        <v>0</v>
      </c>
      <c r="Z1584" s="78">
        <f t="shared" si="202"/>
        <v>0</v>
      </c>
      <c r="AA1584" s="78">
        <f t="shared" si="200"/>
        <v>0</v>
      </c>
      <c r="AB1584" s="78">
        <f t="shared" si="203"/>
        <v>0</v>
      </c>
      <c r="AC1584" s="78"/>
      <c r="AD1584" s="78">
        <v>0</v>
      </c>
      <c r="AE1584" s="80">
        <f t="shared" si="205"/>
        <v>0</v>
      </c>
      <c r="AF1584" s="82">
        <v>0</v>
      </c>
      <c r="AG1584" s="69">
        <v>40494</v>
      </c>
      <c r="AH1584" s="84"/>
      <c r="AI1584" s="69" t="s">
        <v>1984</v>
      </c>
      <c r="AJ1584" s="25" t="s">
        <v>1985</v>
      </c>
      <c r="AK1584" s="65"/>
      <c r="AL1584" s="176" t="s">
        <v>1257</v>
      </c>
      <c r="AM1584" s="173" t="s">
        <v>2458</v>
      </c>
      <c r="AN1584" s="159"/>
      <c r="AO1584" s="160"/>
      <c r="AP1584" s="161"/>
      <c r="AQ1584" s="160"/>
      <c r="AR1584" s="160"/>
      <c r="AS1584" s="160"/>
      <c r="AT1584" s="160"/>
      <c r="AU1584" s="160"/>
      <c r="AV1584" s="160"/>
      <c r="AW1584" s="160"/>
      <c r="AX1584" s="160"/>
      <c r="AY1584" s="160"/>
      <c r="AZ1584" s="160"/>
      <c r="BA1584" s="160"/>
      <c r="BB1584" s="160"/>
      <c r="BC1584" s="160"/>
      <c r="BD1584" s="160"/>
      <c r="BE1584" s="160"/>
      <c r="BF1584" s="160"/>
      <c r="BG1584" s="160"/>
      <c r="BH1584" s="160"/>
      <c r="BI1584" s="160"/>
      <c r="BJ1584" s="160"/>
      <c r="BK1584" s="160"/>
      <c r="BL1584" s="160"/>
      <c r="BM1584" s="160"/>
      <c r="BN1584" s="160"/>
      <c r="BO1584" s="160"/>
      <c r="BP1584" s="160"/>
      <c r="BQ1584" s="160"/>
      <c r="BR1584" s="160"/>
      <c r="BS1584" s="160"/>
      <c r="BT1584" s="160"/>
      <c r="BU1584" s="160"/>
      <c r="BV1584" s="160"/>
      <c r="BW1584" s="160"/>
      <c r="BX1584" s="160"/>
      <c r="BY1584" s="160"/>
      <c r="BZ1584" s="160"/>
      <c r="CA1584" s="160"/>
      <c r="CB1584" s="160"/>
      <c r="CC1584" s="160"/>
      <c r="CD1584" s="160"/>
      <c r="CE1584" s="160"/>
      <c r="CF1584" s="160"/>
      <c r="CG1584" s="160"/>
      <c r="CH1584" s="160"/>
      <c r="CI1584" s="160"/>
      <c r="CJ1584" s="160"/>
      <c r="CK1584" s="160"/>
      <c r="CL1584" s="160"/>
      <c r="CM1584" s="160"/>
      <c r="CN1584" s="160"/>
      <c r="CO1584" s="160"/>
      <c r="CP1584" s="162"/>
      <c r="CQ1584" s="163"/>
      <c r="CR1584" s="162"/>
      <c r="CS1584" s="163"/>
      <c r="CT1584" s="162"/>
      <c r="CU1584" s="163"/>
      <c r="CV1584" s="164">
        <f t="shared" si="204"/>
        <v>0</v>
      </c>
      <c r="CW1584" s="165"/>
      <c r="CX1584" s="166"/>
      <c r="CY1584" s="167"/>
      <c r="CZ1584" s="168"/>
      <c r="DA1584" s="169"/>
      <c r="DB1584" s="168"/>
      <c r="DC1584" s="165"/>
      <c r="DD1584" s="166"/>
      <c r="DE1584" s="71"/>
      <c r="DF1584" s="170"/>
      <c r="EO1584" s="353" t="str">
        <f t="shared" si="206"/>
        <v>ANTIOQUIA_SONSON</v>
      </c>
      <c r="EP1584" s="350"/>
      <c r="EQ1584" s="350"/>
      <c r="ER1584" s="357"/>
      <c r="ES1584" s="350"/>
      <c r="ET1584" s="350"/>
      <c r="EU1584" s="350"/>
    </row>
    <row r="1585" spans="1:151" s="171" customFormat="1" ht="108" x14ac:dyDescent="0.2">
      <c r="A1585" s="246">
        <v>40491</v>
      </c>
      <c r="B1585" s="280" t="s">
        <v>2401</v>
      </c>
      <c r="C1585" s="280" t="s">
        <v>1420</v>
      </c>
      <c r="D1585" s="432" t="s">
        <v>837</v>
      </c>
      <c r="E1585" s="107" t="str">
        <f>VLOOKUP(B1585&amp;C1585,Divipola!$C$2:$F$1138,4,FALSE)</f>
        <v>05893</v>
      </c>
      <c r="F1585" s="337"/>
      <c r="G1585" s="221"/>
      <c r="H1585" s="157"/>
      <c r="I1585" s="157"/>
      <c r="J1585" s="157">
        <v>1662</v>
      </c>
      <c r="K1585" s="157">
        <v>478</v>
      </c>
      <c r="L1585" s="157"/>
      <c r="M1585" s="157">
        <v>452</v>
      </c>
      <c r="N1585" s="157"/>
      <c r="O1585" s="157"/>
      <c r="P1585" s="157"/>
      <c r="Q1585" s="157"/>
      <c r="R1585" s="157"/>
      <c r="S1585" s="157"/>
      <c r="T1585" s="157"/>
      <c r="U1585" s="157"/>
      <c r="V1585" s="158"/>
      <c r="W1585" s="182" t="s">
        <v>1421</v>
      </c>
      <c r="X1585" s="1"/>
      <c r="Y1585" s="78">
        <f t="shared" si="201"/>
        <v>0</v>
      </c>
      <c r="Z1585" s="78">
        <f t="shared" si="202"/>
        <v>0</v>
      </c>
      <c r="AA1585" s="78">
        <f t="shared" si="200"/>
        <v>0</v>
      </c>
      <c r="AB1585" s="78">
        <f t="shared" si="203"/>
        <v>0</v>
      </c>
      <c r="AC1585" s="78"/>
      <c r="AD1585" s="78">
        <v>0</v>
      </c>
      <c r="AE1585" s="80">
        <f t="shared" si="205"/>
        <v>0</v>
      </c>
      <c r="AF1585" s="82">
        <v>0</v>
      </c>
      <c r="AG1585" s="69">
        <v>40494</v>
      </c>
      <c r="AH1585" s="84"/>
      <c r="AI1585" s="69" t="s">
        <v>2009</v>
      </c>
      <c r="AJ1585" s="25" t="s">
        <v>2010</v>
      </c>
      <c r="AK1585" s="65"/>
      <c r="AL1585" s="184" t="s">
        <v>2519</v>
      </c>
      <c r="AM1585" s="173" t="s">
        <v>1</v>
      </c>
      <c r="AN1585" s="159"/>
      <c r="AO1585" s="160"/>
      <c r="AP1585" s="161"/>
      <c r="AQ1585" s="160"/>
      <c r="AR1585" s="160"/>
      <c r="AS1585" s="160"/>
      <c r="AT1585" s="160"/>
      <c r="AU1585" s="160"/>
      <c r="AV1585" s="160"/>
      <c r="AW1585" s="160"/>
      <c r="AX1585" s="160"/>
      <c r="AY1585" s="160"/>
      <c r="AZ1585" s="160"/>
      <c r="BA1585" s="160"/>
      <c r="BB1585" s="160"/>
      <c r="BC1585" s="160"/>
      <c r="BD1585" s="160"/>
      <c r="BE1585" s="160"/>
      <c r="BF1585" s="160"/>
      <c r="BG1585" s="160"/>
      <c r="BH1585" s="160"/>
      <c r="BI1585" s="160"/>
      <c r="BJ1585" s="160"/>
      <c r="BK1585" s="160"/>
      <c r="BL1585" s="160"/>
      <c r="BM1585" s="160"/>
      <c r="BN1585" s="160"/>
      <c r="BO1585" s="160"/>
      <c r="BP1585" s="160"/>
      <c r="BQ1585" s="160"/>
      <c r="BR1585" s="160"/>
      <c r="BS1585" s="160"/>
      <c r="BT1585" s="160"/>
      <c r="BU1585" s="160"/>
      <c r="BV1585" s="160"/>
      <c r="BW1585" s="160"/>
      <c r="BX1585" s="160"/>
      <c r="BY1585" s="160"/>
      <c r="BZ1585" s="160"/>
      <c r="CA1585" s="160"/>
      <c r="CB1585" s="160"/>
      <c r="CC1585" s="160"/>
      <c r="CD1585" s="160"/>
      <c r="CE1585" s="160"/>
      <c r="CF1585" s="160"/>
      <c r="CG1585" s="160"/>
      <c r="CH1585" s="160"/>
      <c r="CI1585" s="160"/>
      <c r="CJ1585" s="160"/>
      <c r="CK1585" s="160"/>
      <c r="CL1585" s="160"/>
      <c r="CM1585" s="160"/>
      <c r="CN1585" s="160"/>
      <c r="CO1585" s="160"/>
      <c r="CP1585" s="162"/>
      <c r="CQ1585" s="163"/>
      <c r="CR1585" s="162"/>
      <c r="CS1585" s="163"/>
      <c r="CT1585" s="162"/>
      <c r="CU1585" s="163"/>
      <c r="CV1585" s="164">
        <f t="shared" si="204"/>
        <v>0</v>
      </c>
      <c r="CW1585" s="165"/>
      <c r="CX1585" s="166"/>
      <c r="CY1585" s="167"/>
      <c r="CZ1585" s="168"/>
      <c r="DA1585" s="169"/>
      <c r="DB1585" s="168"/>
      <c r="DC1585" s="165"/>
      <c r="DD1585" s="166"/>
      <c r="DE1585" s="71"/>
      <c r="DF1585" s="170"/>
      <c r="EO1585" s="353" t="str">
        <f t="shared" si="206"/>
        <v>ANTIOQUIA_YONDO</v>
      </c>
      <c r="EP1585" s="350"/>
      <c r="EQ1585" s="350"/>
      <c r="ER1585" s="357"/>
      <c r="ES1585" s="350"/>
      <c r="ET1585" s="350"/>
      <c r="EU1585" s="350"/>
    </row>
    <row r="1586" spans="1:151" s="171" customFormat="1" ht="48" x14ac:dyDescent="0.2">
      <c r="A1586" s="242">
        <v>40491</v>
      </c>
      <c r="B1586" s="222" t="s">
        <v>1951</v>
      </c>
      <c r="C1586" s="222" t="s">
        <v>2440</v>
      </c>
      <c r="D1586" s="430" t="s">
        <v>837</v>
      </c>
      <c r="E1586" s="107" t="str">
        <f>VLOOKUP(B1586&amp;C1586,Divipola!$C$2:$F$1138,4,FALSE)</f>
        <v>08421</v>
      </c>
      <c r="F1586" s="333"/>
      <c r="G1586" s="221"/>
      <c r="H1586" s="157"/>
      <c r="I1586" s="157"/>
      <c r="J1586" s="157">
        <v>9180</v>
      </c>
      <c r="K1586" s="157">
        <v>1836</v>
      </c>
      <c r="L1586" s="157"/>
      <c r="M1586" s="157">
        <v>821</v>
      </c>
      <c r="N1586" s="157"/>
      <c r="O1586" s="157"/>
      <c r="P1586" s="157"/>
      <c r="Q1586" s="157"/>
      <c r="R1586" s="157"/>
      <c r="S1586" s="157"/>
      <c r="T1586" s="157"/>
      <c r="U1586" s="157"/>
      <c r="V1586" s="158"/>
      <c r="W1586" s="182"/>
      <c r="X1586" s="1"/>
      <c r="Y1586" s="78">
        <f t="shared" si="201"/>
        <v>0</v>
      </c>
      <c r="Z1586" s="78">
        <f t="shared" si="202"/>
        <v>63410000</v>
      </c>
      <c r="AA1586" s="78">
        <f t="shared" si="200"/>
        <v>0</v>
      </c>
      <c r="AB1586" s="78">
        <f t="shared" si="203"/>
        <v>0</v>
      </c>
      <c r="AC1586" s="78"/>
      <c r="AD1586" s="78">
        <v>0</v>
      </c>
      <c r="AE1586" s="80">
        <f t="shared" si="205"/>
        <v>63410000</v>
      </c>
      <c r="AF1586" s="82">
        <v>0</v>
      </c>
      <c r="AG1586" s="69">
        <v>40494</v>
      </c>
      <c r="AH1586" s="84"/>
      <c r="AI1586" s="69" t="s">
        <v>2009</v>
      </c>
      <c r="AJ1586" s="25" t="s">
        <v>2010</v>
      </c>
      <c r="AK1586" s="65"/>
      <c r="AL1586" s="176" t="s">
        <v>1257</v>
      </c>
      <c r="AM1586" s="173" t="s">
        <v>2441</v>
      </c>
      <c r="AN1586" s="159"/>
      <c r="AO1586" s="160"/>
      <c r="AP1586" s="161"/>
      <c r="AQ1586" s="160"/>
      <c r="AR1586" s="160"/>
      <c r="AS1586" s="160"/>
      <c r="AT1586" s="160"/>
      <c r="AU1586" s="160"/>
      <c r="AV1586" s="160"/>
      <c r="AW1586" s="160"/>
      <c r="AX1586" s="160"/>
      <c r="AY1586" s="160"/>
      <c r="AZ1586" s="160"/>
      <c r="BA1586" s="160"/>
      <c r="BB1586" s="160"/>
      <c r="BC1586" s="160"/>
      <c r="BD1586" s="160"/>
      <c r="BE1586" s="160"/>
      <c r="BF1586" s="160"/>
      <c r="BG1586" s="160"/>
      <c r="BH1586" s="160"/>
      <c r="BI1586" s="160"/>
      <c r="BJ1586" s="160"/>
      <c r="BK1586" s="160"/>
      <c r="BL1586" s="160"/>
      <c r="BM1586" s="160"/>
      <c r="BN1586" s="160"/>
      <c r="BO1586" s="160"/>
      <c r="BP1586" s="160"/>
      <c r="BQ1586" s="160"/>
      <c r="BR1586" s="160"/>
      <c r="BS1586" s="160"/>
      <c r="BT1586" s="160"/>
      <c r="BU1586" s="160"/>
      <c r="BV1586" s="160"/>
      <c r="BW1586" s="160"/>
      <c r="BX1586" s="160"/>
      <c r="BY1586" s="160"/>
      <c r="BZ1586" s="160"/>
      <c r="CA1586" s="160"/>
      <c r="CB1586" s="160"/>
      <c r="CC1586" s="160"/>
      <c r="CD1586" s="160"/>
      <c r="CE1586" s="160"/>
      <c r="CF1586" s="160"/>
      <c r="CG1586" s="160"/>
      <c r="CH1586" s="160"/>
      <c r="CI1586" s="160"/>
      <c r="CJ1586" s="160"/>
      <c r="CK1586" s="160"/>
      <c r="CL1586" s="160"/>
      <c r="CM1586" s="160"/>
      <c r="CN1586" s="160"/>
      <c r="CO1586" s="160"/>
      <c r="CP1586" s="162"/>
      <c r="CQ1586" s="163"/>
      <c r="CR1586" s="162"/>
      <c r="CS1586" s="163"/>
      <c r="CT1586" s="162"/>
      <c r="CU1586" s="163"/>
      <c r="CV1586" s="164">
        <f t="shared" si="204"/>
        <v>0</v>
      </c>
      <c r="CW1586" s="165"/>
      <c r="CX1586" s="166"/>
      <c r="CY1586" s="167">
        <v>746</v>
      </c>
      <c r="CZ1586" s="168">
        <f>746*85000</f>
        <v>63410000</v>
      </c>
      <c r="DA1586" s="169"/>
      <c r="DB1586" s="168"/>
      <c r="DC1586" s="165"/>
      <c r="DD1586" s="166"/>
      <c r="DE1586" s="71"/>
      <c r="DF1586" s="170"/>
      <c r="EO1586" s="353" t="str">
        <f t="shared" si="206"/>
        <v>ATLANTICO_LURUACO</v>
      </c>
      <c r="EP1586" s="350"/>
      <c r="EQ1586" s="350"/>
      <c r="ER1586" s="357"/>
      <c r="ES1586" s="350"/>
      <c r="ET1586" s="350"/>
      <c r="EU1586" s="350"/>
    </row>
    <row r="1587" spans="1:151" s="171" customFormat="1" ht="25.5" x14ac:dyDescent="0.2">
      <c r="A1587" s="242">
        <v>40491</v>
      </c>
      <c r="B1587" s="222" t="s">
        <v>1951</v>
      </c>
      <c r="C1587" s="222" t="s">
        <v>2437</v>
      </c>
      <c r="D1587" s="427" t="s">
        <v>2307</v>
      </c>
      <c r="E1587" s="107" t="str">
        <f>VLOOKUP(B1587&amp;C1587,Divipola!$C$2:$F$1138,4,FALSE)</f>
        <v>08549</v>
      </c>
      <c r="F1587" s="330"/>
      <c r="G1587" s="221"/>
      <c r="H1587" s="157"/>
      <c r="I1587" s="157"/>
      <c r="J1587" s="157">
        <v>50</v>
      </c>
      <c r="K1587" s="157">
        <v>10</v>
      </c>
      <c r="L1587" s="157"/>
      <c r="M1587" s="157">
        <v>10</v>
      </c>
      <c r="N1587" s="157"/>
      <c r="O1587" s="157"/>
      <c r="P1587" s="157"/>
      <c r="Q1587" s="157"/>
      <c r="R1587" s="157"/>
      <c r="S1587" s="157"/>
      <c r="T1587" s="157"/>
      <c r="U1587" s="157"/>
      <c r="V1587" s="158"/>
      <c r="W1587" s="182"/>
      <c r="X1587" s="1"/>
      <c r="Y1587" s="78">
        <f t="shared" si="201"/>
        <v>0</v>
      </c>
      <c r="Z1587" s="78">
        <f t="shared" si="202"/>
        <v>0</v>
      </c>
      <c r="AA1587" s="78">
        <f t="shared" si="200"/>
        <v>0</v>
      </c>
      <c r="AB1587" s="78">
        <f t="shared" si="203"/>
        <v>0</v>
      </c>
      <c r="AC1587" s="78"/>
      <c r="AD1587" s="78">
        <v>0</v>
      </c>
      <c r="AE1587" s="80">
        <f t="shared" si="205"/>
        <v>0</v>
      </c>
      <c r="AF1587" s="82">
        <v>0</v>
      </c>
      <c r="AG1587" s="69">
        <v>40494</v>
      </c>
      <c r="AH1587" s="84"/>
      <c r="AI1587" s="69" t="s">
        <v>1984</v>
      </c>
      <c r="AJ1587" s="25" t="s">
        <v>1985</v>
      </c>
      <c r="AK1587" s="65"/>
      <c r="AL1587" s="176" t="s">
        <v>1257</v>
      </c>
      <c r="AM1587" s="173" t="s">
        <v>2438</v>
      </c>
      <c r="AN1587" s="159"/>
      <c r="AO1587" s="160"/>
      <c r="AP1587" s="161"/>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2"/>
      <c r="CQ1587" s="163"/>
      <c r="CR1587" s="162"/>
      <c r="CS1587" s="163"/>
      <c r="CT1587" s="162"/>
      <c r="CU1587" s="163"/>
      <c r="CV1587" s="164">
        <f t="shared" si="204"/>
        <v>0</v>
      </c>
      <c r="CW1587" s="165"/>
      <c r="CX1587" s="166"/>
      <c r="CY1587" s="167"/>
      <c r="CZ1587" s="168"/>
      <c r="DA1587" s="169"/>
      <c r="DB1587" s="168"/>
      <c r="DC1587" s="165"/>
      <c r="DD1587" s="166"/>
      <c r="DE1587" s="71"/>
      <c r="DF1587" s="170"/>
      <c r="EO1587" s="353" t="str">
        <f t="shared" si="206"/>
        <v>ATLANTICO_PIOJO</v>
      </c>
      <c r="EP1587" s="350"/>
      <c r="EQ1587" s="350"/>
      <c r="ER1587" s="357"/>
      <c r="ES1587" s="350"/>
      <c r="ET1587" s="350"/>
      <c r="EU1587" s="350"/>
    </row>
    <row r="1588" spans="1:151" s="171" customFormat="1" ht="36" x14ac:dyDescent="0.2">
      <c r="A1588" s="242">
        <v>40491</v>
      </c>
      <c r="B1588" s="222" t="s">
        <v>1951</v>
      </c>
      <c r="C1588" s="222" t="s">
        <v>2437</v>
      </c>
      <c r="D1588" s="430" t="s">
        <v>837</v>
      </c>
      <c r="E1588" s="107" t="str">
        <f>VLOOKUP(B1588&amp;C1588,Divipola!$C$2:$F$1138,4,FALSE)</f>
        <v>08549</v>
      </c>
      <c r="F1588" s="333"/>
      <c r="G1588" s="221"/>
      <c r="H1588" s="157"/>
      <c r="I1588" s="157"/>
      <c r="J1588" s="157">
        <v>250</v>
      </c>
      <c r="K1588" s="157">
        <v>50</v>
      </c>
      <c r="L1588" s="157"/>
      <c r="M1588" s="157">
        <v>50</v>
      </c>
      <c r="N1588" s="157"/>
      <c r="O1588" s="157"/>
      <c r="P1588" s="157"/>
      <c r="Q1588" s="157"/>
      <c r="R1588" s="157"/>
      <c r="S1588" s="157"/>
      <c r="T1588" s="157"/>
      <c r="U1588" s="157"/>
      <c r="V1588" s="158"/>
      <c r="W1588" s="182"/>
      <c r="X1588" s="1"/>
      <c r="Y1588" s="78">
        <f t="shared" si="201"/>
        <v>0</v>
      </c>
      <c r="Z1588" s="78">
        <f t="shared" si="202"/>
        <v>0</v>
      </c>
      <c r="AA1588" s="78">
        <f t="shared" si="200"/>
        <v>0</v>
      </c>
      <c r="AB1588" s="78">
        <f t="shared" si="203"/>
        <v>0</v>
      </c>
      <c r="AC1588" s="78"/>
      <c r="AD1588" s="78">
        <v>0</v>
      </c>
      <c r="AE1588" s="80">
        <f t="shared" si="205"/>
        <v>0</v>
      </c>
      <c r="AF1588" s="82">
        <v>0</v>
      </c>
      <c r="AG1588" s="69">
        <v>40494</v>
      </c>
      <c r="AH1588" s="84"/>
      <c r="AI1588" s="69" t="s">
        <v>1984</v>
      </c>
      <c r="AJ1588" s="25" t="s">
        <v>1985</v>
      </c>
      <c r="AK1588" s="65"/>
      <c r="AL1588" s="176" t="s">
        <v>1257</v>
      </c>
      <c r="AM1588" s="173" t="s">
        <v>2439</v>
      </c>
      <c r="AN1588" s="159"/>
      <c r="AO1588" s="160"/>
      <c r="AP1588" s="161"/>
      <c r="AQ1588" s="160"/>
      <c r="AR1588" s="160"/>
      <c r="AS1588" s="160"/>
      <c r="AT1588" s="160"/>
      <c r="AU1588" s="160"/>
      <c r="AV1588" s="160"/>
      <c r="AW1588" s="160"/>
      <c r="AX1588" s="160"/>
      <c r="AY1588" s="160"/>
      <c r="AZ1588" s="160"/>
      <c r="BA1588" s="160"/>
      <c r="BB1588" s="160"/>
      <c r="BC1588" s="160"/>
      <c r="BD1588" s="160"/>
      <c r="BE1588" s="160"/>
      <c r="BF1588" s="160"/>
      <c r="BG1588" s="160"/>
      <c r="BH1588" s="160"/>
      <c r="BI1588" s="160"/>
      <c r="BJ1588" s="160"/>
      <c r="BK1588" s="160"/>
      <c r="BL1588" s="160"/>
      <c r="BM1588" s="160"/>
      <c r="BN1588" s="160"/>
      <c r="BO1588" s="160"/>
      <c r="BP1588" s="160"/>
      <c r="BQ1588" s="160"/>
      <c r="BR1588" s="160"/>
      <c r="BS1588" s="160"/>
      <c r="BT1588" s="160"/>
      <c r="BU1588" s="160"/>
      <c r="BV1588" s="160"/>
      <c r="BW1588" s="160"/>
      <c r="BX1588" s="160"/>
      <c r="BY1588" s="160"/>
      <c r="BZ1588" s="160"/>
      <c r="CA1588" s="160"/>
      <c r="CB1588" s="160"/>
      <c r="CC1588" s="160"/>
      <c r="CD1588" s="160"/>
      <c r="CE1588" s="160"/>
      <c r="CF1588" s="160"/>
      <c r="CG1588" s="160"/>
      <c r="CH1588" s="160"/>
      <c r="CI1588" s="160"/>
      <c r="CJ1588" s="160"/>
      <c r="CK1588" s="160"/>
      <c r="CL1588" s="160"/>
      <c r="CM1588" s="160"/>
      <c r="CN1588" s="160"/>
      <c r="CO1588" s="160"/>
      <c r="CP1588" s="162"/>
      <c r="CQ1588" s="163"/>
      <c r="CR1588" s="162"/>
      <c r="CS1588" s="163"/>
      <c r="CT1588" s="162"/>
      <c r="CU1588" s="163"/>
      <c r="CV1588" s="164">
        <f t="shared" si="204"/>
        <v>0</v>
      </c>
      <c r="CW1588" s="165"/>
      <c r="CX1588" s="166"/>
      <c r="CY1588" s="167"/>
      <c r="CZ1588" s="168"/>
      <c r="DA1588" s="169"/>
      <c r="DB1588" s="168"/>
      <c r="DC1588" s="165"/>
      <c r="DD1588" s="166"/>
      <c r="DE1588" s="71"/>
      <c r="DF1588" s="170"/>
      <c r="EO1588" s="372" t="str">
        <f t="shared" si="206"/>
        <v>ATLANTICO_PIOJO</v>
      </c>
      <c r="EP1588" s="373"/>
      <c r="EQ1588" s="350"/>
      <c r="ER1588" s="357"/>
      <c r="ES1588" s="350"/>
      <c r="ET1588" s="350"/>
      <c r="EU1588" s="350"/>
    </row>
    <row r="1589" spans="1:151" s="171" customFormat="1" ht="38.25" x14ac:dyDescent="0.2">
      <c r="A1589" s="242">
        <v>40491</v>
      </c>
      <c r="B1589" s="222" t="s">
        <v>2017</v>
      </c>
      <c r="C1589" s="222" t="s">
        <v>1962</v>
      </c>
      <c r="D1589" s="430" t="s">
        <v>837</v>
      </c>
      <c r="E1589" s="107" t="str">
        <f>VLOOKUP(B1589&amp;C1589,Divipola!$C$2:$F$1138,4,FALSE)</f>
        <v>13430</v>
      </c>
      <c r="F1589" s="333"/>
      <c r="G1589" s="221"/>
      <c r="H1589" s="157"/>
      <c r="I1589" s="157"/>
      <c r="J1589" s="157">
        <f>300*5</f>
        <v>1500</v>
      </c>
      <c r="K1589" s="157">
        <v>300</v>
      </c>
      <c r="L1589" s="157"/>
      <c r="M1589" s="157"/>
      <c r="N1589" s="157"/>
      <c r="O1589" s="157"/>
      <c r="P1589" s="157"/>
      <c r="Q1589" s="157"/>
      <c r="R1589" s="157"/>
      <c r="S1589" s="157"/>
      <c r="T1589" s="157"/>
      <c r="U1589" s="157"/>
      <c r="V1589" s="158"/>
      <c r="W1589" s="182"/>
      <c r="X1589" s="1">
        <v>40530</v>
      </c>
      <c r="Y1589" s="78">
        <f t="shared" si="201"/>
        <v>0</v>
      </c>
      <c r="Z1589" s="78">
        <f t="shared" si="202"/>
        <v>25500000</v>
      </c>
      <c r="AA1589" s="78">
        <f t="shared" ref="AA1589:AA1652" si="207">DB1589+DD1589</f>
        <v>0</v>
      </c>
      <c r="AB1589" s="78">
        <f t="shared" si="203"/>
        <v>0</v>
      </c>
      <c r="AC1589" s="78"/>
      <c r="AD1589" s="78">
        <v>0</v>
      </c>
      <c r="AE1589" s="80">
        <f t="shared" si="205"/>
        <v>25500000</v>
      </c>
      <c r="AF1589" s="82">
        <v>0</v>
      </c>
      <c r="AG1589" s="69">
        <v>40500</v>
      </c>
      <c r="AH1589" s="84">
        <v>62913</v>
      </c>
      <c r="AI1589" s="69" t="s">
        <v>2009</v>
      </c>
      <c r="AJ1589" s="25" t="s">
        <v>2010</v>
      </c>
      <c r="AK1589" s="65">
        <v>27328</v>
      </c>
      <c r="AL1589" s="176" t="s">
        <v>1831</v>
      </c>
      <c r="AM1589" s="173" t="s">
        <v>1655</v>
      </c>
      <c r="AN1589" s="159"/>
      <c r="AO1589" s="160"/>
      <c r="AP1589" s="161"/>
      <c r="AQ1589" s="160"/>
      <c r="AR1589" s="160"/>
      <c r="AS1589" s="160"/>
      <c r="AT1589" s="160"/>
      <c r="AU1589" s="160"/>
      <c r="AV1589" s="160"/>
      <c r="AW1589" s="160"/>
      <c r="AX1589" s="160"/>
      <c r="AY1589" s="160"/>
      <c r="AZ1589" s="160"/>
      <c r="BA1589" s="160"/>
      <c r="BB1589" s="160"/>
      <c r="BC1589" s="160"/>
      <c r="BD1589" s="160"/>
      <c r="BE1589" s="160"/>
      <c r="BF1589" s="160"/>
      <c r="BG1589" s="160"/>
      <c r="BH1589" s="160"/>
      <c r="BI1589" s="160"/>
      <c r="BJ1589" s="160"/>
      <c r="BK1589" s="160"/>
      <c r="BL1589" s="160"/>
      <c r="BM1589" s="160"/>
      <c r="BN1589" s="160"/>
      <c r="BO1589" s="160"/>
      <c r="BP1589" s="160"/>
      <c r="BQ1589" s="160"/>
      <c r="BR1589" s="160"/>
      <c r="BS1589" s="160"/>
      <c r="BT1589" s="160"/>
      <c r="BU1589" s="160"/>
      <c r="BV1589" s="160"/>
      <c r="BW1589" s="160"/>
      <c r="BX1589" s="160"/>
      <c r="BY1589" s="160"/>
      <c r="BZ1589" s="160"/>
      <c r="CA1589" s="160"/>
      <c r="CB1589" s="160"/>
      <c r="CC1589" s="160"/>
      <c r="CD1589" s="160"/>
      <c r="CE1589" s="160"/>
      <c r="CF1589" s="160"/>
      <c r="CG1589" s="160"/>
      <c r="CH1589" s="160"/>
      <c r="CI1589" s="160"/>
      <c r="CJ1589" s="160"/>
      <c r="CK1589" s="160"/>
      <c r="CL1589" s="160"/>
      <c r="CM1589" s="160"/>
      <c r="CN1589" s="160"/>
      <c r="CO1589" s="160"/>
      <c r="CP1589" s="162"/>
      <c r="CQ1589" s="163"/>
      <c r="CR1589" s="162"/>
      <c r="CS1589" s="163"/>
      <c r="CT1589" s="162"/>
      <c r="CU1589" s="163"/>
      <c r="CV1589" s="164">
        <f t="shared" si="204"/>
        <v>0</v>
      </c>
      <c r="CW1589" s="165"/>
      <c r="CX1589" s="166"/>
      <c r="CY1589" s="167">
        <v>300</v>
      </c>
      <c r="CZ1589" s="168">
        <f>300*85000</f>
        <v>25500000</v>
      </c>
      <c r="DA1589" s="169"/>
      <c r="DB1589" s="168"/>
      <c r="DC1589" s="165"/>
      <c r="DD1589" s="166"/>
      <c r="DE1589" s="71"/>
      <c r="DF1589" s="170"/>
      <c r="EO1589" s="372" t="str">
        <f t="shared" si="206"/>
        <v>BOLIVAR_MAGANGUE</v>
      </c>
      <c r="EP1589" s="373"/>
      <c r="EQ1589" s="350"/>
      <c r="ER1589" s="357"/>
      <c r="ES1589" s="350"/>
      <c r="ET1589" s="350"/>
      <c r="EU1589" s="350"/>
    </row>
    <row r="1590" spans="1:151" s="171" customFormat="1" ht="36" x14ac:dyDescent="0.2">
      <c r="A1590" s="242">
        <v>40491</v>
      </c>
      <c r="B1590" s="222" t="s">
        <v>828</v>
      </c>
      <c r="C1590" s="222" t="s">
        <v>2531</v>
      </c>
      <c r="D1590" s="430" t="s">
        <v>837</v>
      </c>
      <c r="E1590" s="107" t="str">
        <f>VLOOKUP(B1590&amp;C1590,Divipola!$C$2:$F$1138,4,FALSE)</f>
        <v>15087</v>
      </c>
      <c r="F1590" s="333"/>
      <c r="G1590" s="221"/>
      <c r="H1590" s="157"/>
      <c r="I1590" s="157"/>
      <c r="J1590" s="157">
        <v>25</v>
      </c>
      <c r="K1590" s="157">
        <v>5</v>
      </c>
      <c r="L1590" s="157"/>
      <c r="M1590" s="157">
        <v>5</v>
      </c>
      <c r="N1590" s="157"/>
      <c r="O1590" s="157"/>
      <c r="P1590" s="157"/>
      <c r="Q1590" s="157"/>
      <c r="R1590" s="157"/>
      <c r="S1590" s="157"/>
      <c r="T1590" s="157"/>
      <c r="U1590" s="157"/>
      <c r="V1590" s="158"/>
      <c r="W1590" s="182" t="s">
        <v>2533</v>
      </c>
      <c r="X1590" s="1"/>
      <c r="Y1590" s="78">
        <f t="shared" si="201"/>
        <v>0</v>
      </c>
      <c r="Z1590" s="78">
        <f t="shared" si="202"/>
        <v>0</v>
      </c>
      <c r="AA1590" s="78">
        <f t="shared" si="207"/>
        <v>0</v>
      </c>
      <c r="AB1590" s="78">
        <f t="shared" si="203"/>
        <v>0</v>
      </c>
      <c r="AC1590" s="78"/>
      <c r="AD1590" s="78">
        <v>0</v>
      </c>
      <c r="AE1590" s="80">
        <f t="shared" si="205"/>
        <v>0</v>
      </c>
      <c r="AF1590" s="82">
        <v>0</v>
      </c>
      <c r="AG1590" s="69">
        <v>40505</v>
      </c>
      <c r="AH1590" s="84"/>
      <c r="AI1590" s="69" t="s">
        <v>1984</v>
      </c>
      <c r="AJ1590" s="25" t="s">
        <v>1985</v>
      </c>
      <c r="AK1590" s="65"/>
      <c r="AL1590" s="176" t="s">
        <v>1257</v>
      </c>
      <c r="AM1590" s="173" t="s">
        <v>2532</v>
      </c>
      <c r="AN1590" s="159"/>
      <c r="AO1590" s="160"/>
      <c r="AP1590" s="161"/>
      <c r="AQ1590" s="160"/>
      <c r="AR1590" s="160"/>
      <c r="AS1590" s="160"/>
      <c r="AT1590" s="160"/>
      <c r="AU1590" s="160"/>
      <c r="AV1590" s="160"/>
      <c r="AW1590" s="160"/>
      <c r="AX1590" s="160"/>
      <c r="AY1590" s="160"/>
      <c r="AZ1590" s="160"/>
      <c r="BA1590" s="160"/>
      <c r="BB1590" s="160"/>
      <c r="BC1590" s="160"/>
      <c r="BD1590" s="160"/>
      <c r="BE1590" s="160"/>
      <c r="BF1590" s="160"/>
      <c r="BG1590" s="160"/>
      <c r="BH1590" s="160"/>
      <c r="BI1590" s="160"/>
      <c r="BJ1590" s="160"/>
      <c r="BK1590" s="160"/>
      <c r="BL1590" s="160"/>
      <c r="BM1590" s="160"/>
      <c r="BN1590" s="160"/>
      <c r="BO1590" s="160"/>
      <c r="BP1590" s="160"/>
      <c r="BQ1590" s="160"/>
      <c r="BR1590" s="160"/>
      <c r="BS1590" s="160"/>
      <c r="BT1590" s="160"/>
      <c r="BU1590" s="160"/>
      <c r="BV1590" s="160"/>
      <c r="BW1590" s="160"/>
      <c r="BX1590" s="160"/>
      <c r="BY1590" s="160"/>
      <c r="BZ1590" s="160"/>
      <c r="CA1590" s="160"/>
      <c r="CB1590" s="160"/>
      <c r="CC1590" s="160"/>
      <c r="CD1590" s="160"/>
      <c r="CE1590" s="160"/>
      <c r="CF1590" s="160"/>
      <c r="CG1590" s="160"/>
      <c r="CH1590" s="160"/>
      <c r="CI1590" s="160"/>
      <c r="CJ1590" s="160"/>
      <c r="CK1590" s="160"/>
      <c r="CL1590" s="160"/>
      <c r="CM1590" s="160"/>
      <c r="CN1590" s="160"/>
      <c r="CO1590" s="160"/>
      <c r="CP1590" s="162"/>
      <c r="CQ1590" s="163"/>
      <c r="CR1590" s="162"/>
      <c r="CS1590" s="163"/>
      <c r="CT1590" s="162"/>
      <c r="CU1590" s="163"/>
      <c r="CV1590" s="164">
        <f t="shared" si="204"/>
        <v>0</v>
      </c>
      <c r="CW1590" s="165"/>
      <c r="CX1590" s="166"/>
      <c r="CY1590" s="167"/>
      <c r="CZ1590" s="168"/>
      <c r="DA1590" s="169"/>
      <c r="DB1590" s="168"/>
      <c r="DC1590" s="165"/>
      <c r="DD1590" s="166"/>
      <c r="DE1590" s="71"/>
      <c r="DF1590" s="170"/>
      <c r="EO1590" s="353" t="str">
        <f t="shared" si="206"/>
        <v>BOYACA_BELEN</v>
      </c>
      <c r="EP1590" s="350"/>
      <c r="EQ1590" s="350"/>
      <c r="ER1590" s="357"/>
      <c r="ES1590" s="350"/>
      <c r="ET1590" s="350"/>
      <c r="EU1590" s="350"/>
    </row>
    <row r="1591" spans="1:151" s="171" customFormat="1" ht="48" x14ac:dyDescent="0.2">
      <c r="A1591" s="242">
        <v>40491</v>
      </c>
      <c r="B1591" s="222" t="s">
        <v>828</v>
      </c>
      <c r="C1591" s="222" t="s">
        <v>2364</v>
      </c>
      <c r="D1591" s="430" t="s">
        <v>837</v>
      </c>
      <c r="E1591" s="107" t="str">
        <f>VLOOKUP(B1591&amp;C1591,Divipola!$C$2:$F$1138,4,FALSE)</f>
        <v>15572</v>
      </c>
      <c r="F1591" s="333"/>
      <c r="G1591" s="221"/>
      <c r="H1591" s="157"/>
      <c r="I1591" s="157"/>
      <c r="J1591" s="157">
        <f>1200*5</f>
        <v>6000</v>
      </c>
      <c r="K1591" s="157">
        <f>1305-15-12-78</f>
        <v>1200</v>
      </c>
      <c r="L1591" s="157"/>
      <c r="M1591" s="157">
        <v>139</v>
      </c>
      <c r="N1591" s="157"/>
      <c r="O1591" s="157"/>
      <c r="P1591" s="157"/>
      <c r="Q1591" s="157"/>
      <c r="R1591" s="157"/>
      <c r="S1591" s="157"/>
      <c r="T1591" s="157"/>
      <c r="U1591" s="157"/>
      <c r="V1591" s="158"/>
      <c r="W1591" s="182"/>
      <c r="X1591" s="1">
        <v>40530</v>
      </c>
      <c r="Y1591" s="78">
        <f t="shared" si="201"/>
        <v>72119616</v>
      </c>
      <c r="Z1591" s="78">
        <f t="shared" si="202"/>
        <v>51000000</v>
      </c>
      <c r="AA1591" s="78">
        <f t="shared" si="207"/>
        <v>0</v>
      </c>
      <c r="AB1591" s="78">
        <f t="shared" si="203"/>
        <v>0</v>
      </c>
      <c r="AC1591" s="78"/>
      <c r="AD1591" s="78">
        <v>0</v>
      </c>
      <c r="AE1591" s="80">
        <f t="shared" si="205"/>
        <v>123119616</v>
      </c>
      <c r="AF1591" s="82">
        <v>0</v>
      </c>
      <c r="AG1591" s="69">
        <v>40504</v>
      </c>
      <c r="AH1591" s="84"/>
      <c r="AI1591" s="69" t="s">
        <v>2009</v>
      </c>
      <c r="AJ1591" s="25" t="s">
        <v>2010</v>
      </c>
      <c r="AK1591" s="88" t="s">
        <v>72</v>
      </c>
      <c r="AL1591" s="176" t="s">
        <v>1676</v>
      </c>
      <c r="AM1591" s="173" t="s">
        <v>1660</v>
      </c>
      <c r="AN1591" s="159"/>
      <c r="AO1591" s="160"/>
      <c r="AP1591" s="161"/>
      <c r="AQ1591" s="160"/>
      <c r="AR1591" s="160"/>
      <c r="AS1591" s="160"/>
      <c r="AT1591" s="160"/>
      <c r="AU1591" s="160"/>
      <c r="AV1591" s="160"/>
      <c r="AW1591" s="160"/>
      <c r="AX1591" s="160"/>
      <c r="AY1591" s="160"/>
      <c r="AZ1591" s="160"/>
      <c r="BA1591" s="160"/>
      <c r="BB1591" s="160"/>
      <c r="BC1591" s="160"/>
      <c r="BD1591" s="160"/>
      <c r="BE1591" s="160"/>
      <c r="BF1591" s="160"/>
      <c r="BG1591" s="160"/>
      <c r="BH1591" s="160"/>
      <c r="BI1591" s="160"/>
      <c r="BJ1591" s="160"/>
      <c r="BK1591" s="160"/>
      <c r="BL1591" s="160">
        <v>600</v>
      </c>
      <c r="BM1591" s="160">
        <f>600*25500</f>
        <v>15300000</v>
      </c>
      <c r="BN1591" s="160"/>
      <c r="BO1591" s="160"/>
      <c r="BP1591" s="160"/>
      <c r="BQ1591" s="160"/>
      <c r="BR1591" s="160"/>
      <c r="BS1591" s="160"/>
      <c r="BT1591" s="160"/>
      <c r="BU1591" s="160"/>
      <c r="BV1591" s="160"/>
      <c r="BW1591" s="160"/>
      <c r="BX1591" s="160"/>
      <c r="BY1591" s="160"/>
      <c r="BZ1591" s="160"/>
      <c r="CA1591" s="160"/>
      <c r="CB1591" s="160"/>
      <c r="CC1591" s="160"/>
      <c r="CD1591" s="160"/>
      <c r="CE1591" s="160"/>
      <c r="CF1591" s="160"/>
      <c r="CG1591" s="160"/>
      <c r="CH1591" s="160"/>
      <c r="CI1591" s="160"/>
      <c r="CJ1591" s="160"/>
      <c r="CK1591" s="160"/>
      <c r="CL1591" s="160"/>
      <c r="CM1591" s="160"/>
      <c r="CN1591" s="160">
        <v>600</v>
      </c>
      <c r="CO1591" s="160">
        <f>600*18000</f>
        <v>10800000</v>
      </c>
      <c r="CP1591" s="162">
        <v>600</v>
      </c>
      <c r="CQ1591" s="163">
        <f>600*36999.36</f>
        <v>22199616</v>
      </c>
      <c r="CR1591" s="162">
        <v>600</v>
      </c>
      <c r="CS1591" s="163">
        <f>600*39700</f>
        <v>23820000</v>
      </c>
      <c r="CT1591" s="162"/>
      <c r="CU1591" s="163"/>
      <c r="CV1591" s="164">
        <f t="shared" si="204"/>
        <v>72119616</v>
      </c>
      <c r="CW1591" s="165"/>
      <c r="CX1591" s="166"/>
      <c r="CY1591" s="167">
        <v>600</v>
      </c>
      <c r="CZ1591" s="168">
        <f>600*85000</f>
        <v>51000000</v>
      </c>
      <c r="DA1591" s="169"/>
      <c r="DB1591" s="168"/>
      <c r="DC1591" s="165"/>
      <c r="DD1591" s="166"/>
      <c r="DE1591" s="71"/>
      <c r="DF1591" s="170"/>
      <c r="EO1591" s="353" t="str">
        <f t="shared" si="206"/>
        <v>BOYACA_PUERTO BOYACA</v>
      </c>
      <c r="EP1591" s="350"/>
      <c r="EQ1591" s="350"/>
      <c r="ER1591" s="357"/>
      <c r="ES1591" s="350"/>
      <c r="ET1591" s="350"/>
      <c r="EU1591" s="350"/>
    </row>
    <row r="1592" spans="1:151" s="171" customFormat="1" ht="72" x14ac:dyDescent="0.2">
      <c r="A1592" s="242">
        <v>40491</v>
      </c>
      <c r="B1592" s="222" t="s">
        <v>2242</v>
      </c>
      <c r="C1592" s="222" t="s">
        <v>1930</v>
      </c>
      <c r="D1592" s="430" t="s">
        <v>2331</v>
      </c>
      <c r="E1592" s="107" t="str">
        <f>VLOOKUP(B1592&amp;C1592,Divipola!$C$2:$F$1138,4,FALSE)</f>
        <v>20011</v>
      </c>
      <c r="F1592" s="333"/>
      <c r="G1592" s="228"/>
      <c r="H1592" s="218"/>
      <c r="I1592" s="218"/>
      <c r="J1592" s="247">
        <f>1993*5</f>
        <v>9965</v>
      </c>
      <c r="K1592" s="247">
        <f>2566-554-9-10</f>
        <v>1993</v>
      </c>
      <c r="L1592" s="247"/>
      <c r="M1592" s="247">
        <v>1792</v>
      </c>
      <c r="N1592" s="247"/>
      <c r="O1592" s="218"/>
      <c r="P1592" s="218"/>
      <c r="Q1592" s="218"/>
      <c r="R1592" s="218"/>
      <c r="S1592" s="218"/>
      <c r="T1592" s="218"/>
      <c r="U1592" s="218"/>
      <c r="V1592" s="219"/>
      <c r="W1592" s="182"/>
      <c r="X1592" s="1">
        <v>40526</v>
      </c>
      <c r="Y1592" s="78">
        <f t="shared" si="201"/>
        <v>102559520</v>
      </c>
      <c r="Z1592" s="78">
        <f t="shared" si="202"/>
        <v>107100000</v>
      </c>
      <c r="AA1592" s="78">
        <f t="shared" si="207"/>
        <v>0</v>
      </c>
      <c r="AB1592" s="78">
        <f t="shared" si="203"/>
        <v>0</v>
      </c>
      <c r="AC1592" s="78">
        <f>15*2610000</f>
        <v>39150000</v>
      </c>
      <c r="AD1592" s="78">
        <v>0</v>
      </c>
      <c r="AE1592" s="80">
        <f t="shared" si="205"/>
        <v>248809520</v>
      </c>
      <c r="AF1592" s="82">
        <v>0</v>
      </c>
      <c r="AG1592" s="69">
        <v>40492</v>
      </c>
      <c r="AH1592" s="220">
        <v>63575</v>
      </c>
      <c r="AI1592" s="69" t="s">
        <v>2009</v>
      </c>
      <c r="AJ1592" s="25" t="s">
        <v>2010</v>
      </c>
      <c r="AK1592" s="109">
        <v>26393</v>
      </c>
      <c r="AL1592" s="176" t="s">
        <v>1831</v>
      </c>
      <c r="AM1592" s="173" t="s">
        <v>306</v>
      </c>
      <c r="AN1592" s="159"/>
      <c r="AO1592" s="160"/>
      <c r="AP1592" s="161"/>
      <c r="AQ1592" s="160"/>
      <c r="AR1592" s="160"/>
      <c r="AS1592" s="160"/>
      <c r="AT1592" s="160"/>
      <c r="AU1592" s="160"/>
      <c r="AV1592" s="160"/>
      <c r="AW1592" s="160"/>
      <c r="AX1592" s="160"/>
      <c r="AY1592" s="160"/>
      <c r="AZ1592" s="160">
        <v>1000</v>
      </c>
      <c r="BA1592" s="160">
        <f>1000*56000</f>
        <v>56000000</v>
      </c>
      <c r="BB1592" s="160"/>
      <c r="BC1592" s="160"/>
      <c r="BD1592" s="160"/>
      <c r="BE1592" s="160"/>
      <c r="BF1592" s="160"/>
      <c r="BG1592" s="160"/>
      <c r="BH1592" s="160"/>
      <c r="BI1592" s="160"/>
      <c r="BJ1592" s="160"/>
      <c r="BK1592" s="160"/>
      <c r="BL1592" s="160"/>
      <c r="BM1592" s="160"/>
      <c r="BN1592" s="160"/>
      <c r="BO1592" s="160"/>
      <c r="BP1592" s="160"/>
      <c r="BQ1592" s="160"/>
      <c r="BR1592" s="160"/>
      <c r="BS1592" s="160"/>
      <c r="BT1592" s="160"/>
      <c r="BU1592" s="160"/>
      <c r="BV1592" s="160"/>
      <c r="BW1592" s="160"/>
      <c r="BX1592" s="160"/>
      <c r="BY1592" s="160"/>
      <c r="BZ1592" s="160"/>
      <c r="CA1592" s="160"/>
      <c r="CB1592" s="160"/>
      <c r="CC1592" s="160"/>
      <c r="CD1592" s="160"/>
      <c r="CE1592" s="160"/>
      <c r="CF1592" s="160"/>
      <c r="CG1592" s="160"/>
      <c r="CH1592" s="160"/>
      <c r="CI1592" s="160"/>
      <c r="CJ1592" s="160"/>
      <c r="CK1592" s="160"/>
      <c r="CL1592" s="160"/>
      <c r="CM1592" s="160"/>
      <c r="CN1592" s="160"/>
      <c r="CO1592" s="160">
        <f>+CN1592*18000</f>
        <v>0</v>
      </c>
      <c r="CP1592" s="162">
        <v>1260</v>
      </c>
      <c r="CQ1592" s="163">
        <f>1260*36952</f>
        <v>46559520</v>
      </c>
      <c r="CR1592" s="162"/>
      <c r="CS1592" s="163"/>
      <c r="CT1592" s="162"/>
      <c r="CU1592" s="163"/>
      <c r="CV1592" s="164">
        <f t="shared" si="204"/>
        <v>102559520</v>
      </c>
      <c r="CW1592" s="165"/>
      <c r="CX1592" s="166"/>
      <c r="CY1592" s="167">
        <v>1260</v>
      </c>
      <c r="CZ1592" s="168">
        <f>1260*85000</f>
        <v>107100000</v>
      </c>
      <c r="DA1592" s="169"/>
      <c r="DB1592" s="168"/>
      <c r="DC1592" s="165"/>
      <c r="DD1592" s="166"/>
      <c r="DE1592" s="220"/>
      <c r="DF1592" s="170"/>
      <c r="EO1592" s="353" t="str">
        <f t="shared" si="206"/>
        <v>CESAR_AGUACHICA</v>
      </c>
      <c r="EP1592" s="350"/>
      <c r="EQ1592" s="373"/>
      <c r="ER1592" s="374"/>
      <c r="ES1592" s="373"/>
      <c r="ET1592" s="373"/>
      <c r="EU1592" s="373"/>
    </row>
    <row r="1593" spans="1:151" s="171" customFormat="1" ht="36" x14ac:dyDescent="0.2">
      <c r="A1593" s="242">
        <v>40491</v>
      </c>
      <c r="B1593" s="222" t="s">
        <v>2242</v>
      </c>
      <c r="C1593" s="222" t="s">
        <v>228</v>
      </c>
      <c r="D1593" s="430" t="s">
        <v>837</v>
      </c>
      <c r="E1593" s="107" t="str">
        <f>VLOOKUP(B1593&amp;C1593,Divipola!$C$2:$F$1138,4,FALSE)</f>
        <v>20045</v>
      </c>
      <c r="F1593" s="333"/>
      <c r="G1593" s="221"/>
      <c r="H1593" s="157"/>
      <c r="I1593" s="157"/>
      <c r="J1593" s="157">
        <v>125</v>
      </c>
      <c r="K1593" s="157">
        <v>25</v>
      </c>
      <c r="L1593" s="157"/>
      <c r="M1593" s="157">
        <v>25</v>
      </c>
      <c r="N1593" s="157"/>
      <c r="O1593" s="157"/>
      <c r="P1593" s="157"/>
      <c r="Q1593" s="157"/>
      <c r="R1593" s="157"/>
      <c r="S1593" s="157"/>
      <c r="T1593" s="157"/>
      <c r="U1593" s="157"/>
      <c r="V1593" s="158"/>
      <c r="W1593" s="182"/>
      <c r="X1593" s="1"/>
      <c r="Y1593" s="78">
        <f t="shared" si="201"/>
        <v>0</v>
      </c>
      <c r="Z1593" s="78">
        <f t="shared" si="202"/>
        <v>0</v>
      </c>
      <c r="AA1593" s="78">
        <f t="shared" si="207"/>
        <v>0</v>
      </c>
      <c r="AB1593" s="78">
        <f t="shared" si="203"/>
        <v>0</v>
      </c>
      <c r="AC1593" s="78"/>
      <c r="AD1593" s="78">
        <v>0</v>
      </c>
      <c r="AE1593" s="80">
        <f t="shared" si="205"/>
        <v>0</v>
      </c>
      <c r="AF1593" s="82">
        <v>0</v>
      </c>
      <c r="AG1593" s="69">
        <v>40492</v>
      </c>
      <c r="AH1593" s="84"/>
      <c r="AI1593" s="69" t="s">
        <v>1984</v>
      </c>
      <c r="AJ1593" s="25" t="s">
        <v>1985</v>
      </c>
      <c r="AK1593" s="65"/>
      <c r="AL1593" s="176" t="s">
        <v>1257</v>
      </c>
      <c r="AM1593" s="173" t="s">
        <v>2856</v>
      </c>
      <c r="AN1593" s="159"/>
      <c r="AO1593" s="160"/>
      <c r="AP1593" s="161"/>
      <c r="AQ1593" s="160"/>
      <c r="AR1593" s="160"/>
      <c r="AS1593" s="160"/>
      <c r="AT1593" s="160"/>
      <c r="AU1593" s="160"/>
      <c r="AV1593" s="160"/>
      <c r="AW1593" s="160"/>
      <c r="AX1593" s="160"/>
      <c r="AY1593" s="160"/>
      <c r="AZ1593" s="160"/>
      <c r="BA1593" s="160"/>
      <c r="BB1593" s="160"/>
      <c r="BC1593" s="160"/>
      <c r="BD1593" s="160"/>
      <c r="BE1593" s="160"/>
      <c r="BF1593" s="160"/>
      <c r="BG1593" s="160"/>
      <c r="BH1593" s="160"/>
      <c r="BI1593" s="160"/>
      <c r="BJ1593" s="160"/>
      <c r="BK1593" s="160"/>
      <c r="BL1593" s="160"/>
      <c r="BM1593" s="160"/>
      <c r="BN1593" s="160"/>
      <c r="BO1593" s="160"/>
      <c r="BP1593" s="160"/>
      <c r="BQ1593" s="160"/>
      <c r="BR1593" s="160"/>
      <c r="BS1593" s="160"/>
      <c r="BT1593" s="160"/>
      <c r="BU1593" s="160"/>
      <c r="BV1593" s="160"/>
      <c r="BW1593" s="160"/>
      <c r="BX1593" s="160"/>
      <c r="BY1593" s="160"/>
      <c r="BZ1593" s="160"/>
      <c r="CA1593" s="160"/>
      <c r="CB1593" s="160"/>
      <c r="CC1593" s="160"/>
      <c r="CD1593" s="160"/>
      <c r="CE1593" s="160"/>
      <c r="CF1593" s="160"/>
      <c r="CG1593" s="160"/>
      <c r="CH1593" s="160"/>
      <c r="CI1593" s="160"/>
      <c r="CJ1593" s="160"/>
      <c r="CK1593" s="160"/>
      <c r="CL1593" s="160"/>
      <c r="CM1593" s="160"/>
      <c r="CN1593" s="160"/>
      <c r="CO1593" s="160"/>
      <c r="CP1593" s="162"/>
      <c r="CQ1593" s="163"/>
      <c r="CR1593" s="162"/>
      <c r="CS1593" s="163"/>
      <c r="CT1593" s="162"/>
      <c r="CU1593" s="163"/>
      <c r="CV1593" s="164">
        <f t="shared" si="204"/>
        <v>0</v>
      </c>
      <c r="CW1593" s="165"/>
      <c r="CX1593" s="166"/>
      <c r="CY1593" s="167"/>
      <c r="CZ1593" s="168"/>
      <c r="DA1593" s="169"/>
      <c r="DB1593" s="168"/>
      <c r="DC1593" s="165"/>
      <c r="DD1593" s="166"/>
      <c r="DE1593" s="71"/>
      <c r="DF1593" s="170"/>
      <c r="EO1593" s="353" t="str">
        <f t="shared" si="206"/>
        <v>CESAR_BECERRIL</v>
      </c>
      <c r="EP1593" s="350"/>
      <c r="EQ1593" s="373"/>
      <c r="ER1593" s="374"/>
      <c r="ES1593" s="373"/>
      <c r="ET1593" s="373"/>
      <c r="EU1593" s="373"/>
    </row>
    <row r="1594" spans="1:151" s="171" customFormat="1" ht="33" x14ac:dyDescent="0.2">
      <c r="A1594" s="242">
        <v>40491</v>
      </c>
      <c r="B1594" s="222" t="s">
        <v>2242</v>
      </c>
      <c r="C1594" s="222" t="s">
        <v>1790</v>
      </c>
      <c r="D1594" s="430" t="s">
        <v>837</v>
      </c>
      <c r="E1594" s="107" t="str">
        <f>VLOOKUP(B1594&amp;C1594,Divipola!$C$2:$F$1138,4,FALSE)</f>
        <v>20228</v>
      </c>
      <c r="F1594" s="333"/>
      <c r="G1594" s="221"/>
      <c r="H1594" s="157"/>
      <c r="I1594" s="157"/>
      <c r="J1594" s="157">
        <f>181*5</f>
        <v>905</v>
      </c>
      <c r="K1594" s="157">
        <f>360-27-46-84-22</f>
        <v>181</v>
      </c>
      <c r="L1594" s="157">
        <v>1</v>
      </c>
      <c r="M1594" s="157">
        <v>180</v>
      </c>
      <c r="N1594" s="157"/>
      <c r="O1594" s="157"/>
      <c r="P1594" s="157"/>
      <c r="Q1594" s="157"/>
      <c r="R1594" s="157"/>
      <c r="S1594" s="157"/>
      <c r="T1594" s="157"/>
      <c r="U1594" s="157"/>
      <c r="V1594" s="158"/>
      <c r="W1594" s="182" t="s">
        <v>2879</v>
      </c>
      <c r="X1594" s="1"/>
      <c r="Y1594" s="78">
        <f t="shared" si="201"/>
        <v>0</v>
      </c>
      <c r="Z1594" s="78">
        <f t="shared" si="202"/>
        <v>0</v>
      </c>
      <c r="AA1594" s="78">
        <f t="shared" si="207"/>
        <v>0</v>
      </c>
      <c r="AB1594" s="78">
        <f t="shared" si="203"/>
        <v>0</v>
      </c>
      <c r="AC1594" s="78"/>
      <c r="AD1594" s="78">
        <v>0</v>
      </c>
      <c r="AE1594" s="80">
        <f t="shared" si="205"/>
        <v>0</v>
      </c>
      <c r="AF1594" s="82">
        <v>0</v>
      </c>
      <c r="AG1594" s="69">
        <v>40492</v>
      </c>
      <c r="AH1594" s="84"/>
      <c r="AI1594" s="69" t="s">
        <v>1984</v>
      </c>
      <c r="AJ1594" s="25" t="s">
        <v>1985</v>
      </c>
      <c r="AK1594" s="65"/>
      <c r="AL1594" s="176" t="s">
        <v>1257</v>
      </c>
      <c r="AM1594" s="173" t="s">
        <v>2878</v>
      </c>
      <c r="AN1594" s="159"/>
      <c r="AO1594" s="160"/>
      <c r="AP1594" s="161"/>
      <c r="AQ1594" s="160"/>
      <c r="AR1594" s="160"/>
      <c r="AS1594" s="160"/>
      <c r="AT1594" s="160"/>
      <c r="AU1594" s="160"/>
      <c r="AV1594" s="160"/>
      <c r="AW1594" s="160"/>
      <c r="AX1594" s="160"/>
      <c r="AY1594" s="160"/>
      <c r="AZ1594" s="160"/>
      <c r="BA1594" s="160"/>
      <c r="BB1594" s="160"/>
      <c r="BC1594" s="160"/>
      <c r="BD1594" s="160"/>
      <c r="BE1594" s="160"/>
      <c r="BF1594" s="160"/>
      <c r="BG1594" s="160"/>
      <c r="BH1594" s="160"/>
      <c r="BI1594" s="160"/>
      <c r="BJ1594" s="160"/>
      <c r="BK1594" s="160"/>
      <c r="BL1594" s="160"/>
      <c r="BM1594" s="160"/>
      <c r="BN1594" s="160"/>
      <c r="BO1594" s="160"/>
      <c r="BP1594" s="160"/>
      <c r="BQ1594" s="160"/>
      <c r="BR1594" s="160"/>
      <c r="BS1594" s="160"/>
      <c r="BT1594" s="160"/>
      <c r="BU1594" s="160"/>
      <c r="BV1594" s="160"/>
      <c r="BW1594" s="160"/>
      <c r="BX1594" s="160"/>
      <c r="BY1594" s="160"/>
      <c r="BZ1594" s="160"/>
      <c r="CA1594" s="160"/>
      <c r="CB1594" s="160"/>
      <c r="CC1594" s="160"/>
      <c r="CD1594" s="160"/>
      <c r="CE1594" s="160"/>
      <c r="CF1594" s="160"/>
      <c r="CG1594" s="160"/>
      <c r="CH1594" s="160"/>
      <c r="CI1594" s="160"/>
      <c r="CJ1594" s="160"/>
      <c r="CK1594" s="160"/>
      <c r="CL1594" s="160"/>
      <c r="CM1594" s="160"/>
      <c r="CN1594" s="160"/>
      <c r="CO1594" s="160"/>
      <c r="CP1594" s="162"/>
      <c r="CQ1594" s="163"/>
      <c r="CR1594" s="162"/>
      <c r="CS1594" s="163"/>
      <c r="CT1594" s="162"/>
      <c r="CU1594" s="163"/>
      <c r="CV1594" s="164">
        <f t="shared" si="204"/>
        <v>0</v>
      </c>
      <c r="CW1594" s="165"/>
      <c r="CX1594" s="166"/>
      <c r="CY1594" s="167"/>
      <c r="CZ1594" s="168"/>
      <c r="DA1594" s="169"/>
      <c r="DB1594" s="168"/>
      <c r="DC1594" s="165"/>
      <c r="DD1594" s="166"/>
      <c r="DE1594" s="71"/>
      <c r="DF1594" s="170"/>
      <c r="EO1594" s="353" t="str">
        <f t="shared" si="206"/>
        <v>CESAR_CURUMANI</v>
      </c>
      <c r="EP1594" s="350"/>
      <c r="EQ1594" s="350"/>
      <c r="ER1594" s="357"/>
      <c r="ES1594" s="350"/>
      <c r="ET1594" s="350"/>
      <c r="EU1594" s="350"/>
    </row>
    <row r="1595" spans="1:151" s="171" customFormat="1" ht="25.5" x14ac:dyDescent="0.2">
      <c r="A1595" s="242">
        <v>40491</v>
      </c>
      <c r="B1595" s="222" t="s">
        <v>2242</v>
      </c>
      <c r="C1595" s="222" t="s">
        <v>3078</v>
      </c>
      <c r="D1595" s="430" t="s">
        <v>837</v>
      </c>
      <c r="E1595" s="107" t="str">
        <f>VLOOKUP(B1595&amp;C1595,Divipola!$C$2:$F$1138,4,FALSE)</f>
        <v>20238</v>
      </c>
      <c r="F1595" s="333"/>
      <c r="G1595" s="221"/>
      <c r="H1595" s="157"/>
      <c r="I1595" s="157"/>
      <c r="J1595" s="157"/>
      <c r="K1595" s="157"/>
      <c r="L1595" s="157"/>
      <c r="M1595" s="157"/>
      <c r="N1595" s="157"/>
      <c r="O1595" s="157"/>
      <c r="P1595" s="157"/>
      <c r="Q1595" s="157"/>
      <c r="R1595" s="157"/>
      <c r="S1595" s="157"/>
      <c r="T1595" s="157"/>
      <c r="U1595" s="157"/>
      <c r="V1595" s="158"/>
      <c r="W1595" s="182"/>
      <c r="X1595" s="1"/>
      <c r="Y1595" s="78">
        <f t="shared" si="201"/>
        <v>0</v>
      </c>
      <c r="Z1595" s="78">
        <f t="shared" si="202"/>
        <v>0</v>
      </c>
      <c r="AA1595" s="78">
        <f t="shared" si="207"/>
        <v>0</v>
      </c>
      <c r="AB1595" s="78">
        <f t="shared" si="203"/>
        <v>0</v>
      </c>
      <c r="AC1595" s="78"/>
      <c r="AD1595" s="78">
        <v>0</v>
      </c>
      <c r="AE1595" s="80">
        <f t="shared" si="205"/>
        <v>0</v>
      </c>
      <c r="AF1595" s="82">
        <v>0</v>
      </c>
      <c r="AG1595" s="69">
        <v>40492</v>
      </c>
      <c r="AH1595" s="84"/>
      <c r="AI1595" s="69" t="s">
        <v>1984</v>
      </c>
      <c r="AJ1595" s="25" t="s">
        <v>1985</v>
      </c>
      <c r="AK1595" s="65"/>
      <c r="AL1595" s="176" t="s">
        <v>1257</v>
      </c>
      <c r="AM1595" s="173" t="s">
        <v>3079</v>
      </c>
      <c r="AN1595" s="159"/>
      <c r="AO1595" s="160"/>
      <c r="AP1595" s="161"/>
      <c r="AQ1595" s="160"/>
      <c r="AR1595" s="160"/>
      <c r="AS1595" s="160"/>
      <c r="AT1595" s="160"/>
      <c r="AU1595" s="160"/>
      <c r="AV1595" s="160"/>
      <c r="AW1595" s="160"/>
      <c r="AX1595" s="160"/>
      <c r="AY1595" s="160"/>
      <c r="AZ1595" s="160"/>
      <c r="BA1595" s="160"/>
      <c r="BB1595" s="160"/>
      <c r="BC1595" s="160"/>
      <c r="BD1595" s="160"/>
      <c r="BE1595" s="160"/>
      <c r="BF1595" s="160"/>
      <c r="BG1595" s="160"/>
      <c r="BH1595" s="160"/>
      <c r="BI1595" s="160"/>
      <c r="BJ1595" s="160"/>
      <c r="BK1595" s="160"/>
      <c r="BL1595" s="160"/>
      <c r="BM1595" s="160"/>
      <c r="BN1595" s="160"/>
      <c r="BO1595" s="160"/>
      <c r="BP1595" s="160"/>
      <c r="BQ1595" s="160"/>
      <c r="BR1595" s="160"/>
      <c r="BS1595" s="160"/>
      <c r="BT1595" s="160"/>
      <c r="BU1595" s="160"/>
      <c r="BV1595" s="160"/>
      <c r="BW1595" s="160"/>
      <c r="BX1595" s="160"/>
      <c r="BY1595" s="160"/>
      <c r="BZ1595" s="160"/>
      <c r="CA1595" s="160"/>
      <c r="CB1595" s="160"/>
      <c r="CC1595" s="160"/>
      <c r="CD1595" s="160"/>
      <c r="CE1595" s="160"/>
      <c r="CF1595" s="160"/>
      <c r="CG1595" s="160"/>
      <c r="CH1595" s="160"/>
      <c r="CI1595" s="160"/>
      <c r="CJ1595" s="160"/>
      <c r="CK1595" s="160"/>
      <c r="CL1595" s="160"/>
      <c r="CM1595" s="160"/>
      <c r="CN1595" s="160"/>
      <c r="CO1595" s="160"/>
      <c r="CP1595" s="162"/>
      <c r="CQ1595" s="163"/>
      <c r="CR1595" s="162"/>
      <c r="CS1595" s="163"/>
      <c r="CT1595" s="162"/>
      <c r="CU1595" s="163"/>
      <c r="CV1595" s="164">
        <f t="shared" si="204"/>
        <v>0</v>
      </c>
      <c r="CW1595" s="165"/>
      <c r="CX1595" s="166"/>
      <c r="CY1595" s="167"/>
      <c r="CZ1595" s="168"/>
      <c r="DA1595" s="169"/>
      <c r="DB1595" s="168"/>
      <c r="DC1595" s="165"/>
      <c r="DD1595" s="166"/>
      <c r="DE1595" s="71"/>
      <c r="DF1595" s="170"/>
      <c r="EO1595" s="353" t="str">
        <f t="shared" si="206"/>
        <v>CESAR_EL COPEY</v>
      </c>
      <c r="EP1595" s="350"/>
      <c r="EQ1595" s="350"/>
      <c r="ER1595" s="357"/>
      <c r="ES1595" s="350"/>
      <c r="ET1595" s="350"/>
      <c r="EU1595" s="350"/>
    </row>
    <row r="1596" spans="1:151" s="171" customFormat="1" ht="25.5" x14ac:dyDescent="0.2">
      <c r="A1596" s="242">
        <v>40491</v>
      </c>
      <c r="B1596" s="222" t="s">
        <v>2425</v>
      </c>
      <c r="C1596" s="222" t="s">
        <v>2800</v>
      </c>
      <c r="D1596" s="430" t="s">
        <v>837</v>
      </c>
      <c r="E1596" s="107" t="str">
        <f>VLOOKUP(B1596&amp;C1596,Divipola!$C$2:$F$1138,4,FALSE)</f>
        <v>27073</v>
      </c>
      <c r="F1596" s="333"/>
      <c r="G1596" s="221"/>
      <c r="H1596" s="157"/>
      <c r="I1596" s="157"/>
      <c r="J1596" s="157">
        <v>3922</v>
      </c>
      <c r="K1596" s="157">
        <v>1024</v>
      </c>
      <c r="L1596" s="157"/>
      <c r="M1596" s="157"/>
      <c r="N1596" s="157"/>
      <c r="O1596" s="157"/>
      <c r="P1596" s="157"/>
      <c r="Q1596" s="157"/>
      <c r="R1596" s="157"/>
      <c r="S1596" s="157"/>
      <c r="T1596" s="157"/>
      <c r="U1596" s="157"/>
      <c r="V1596" s="158"/>
      <c r="W1596" s="182"/>
      <c r="X1596" s="1"/>
      <c r="Y1596" s="78">
        <f t="shared" si="201"/>
        <v>29632000</v>
      </c>
      <c r="Z1596" s="78">
        <f t="shared" si="202"/>
        <v>138040000</v>
      </c>
      <c r="AA1596" s="78">
        <f t="shared" si="207"/>
        <v>0</v>
      </c>
      <c r="AB1596" s="78">
        <f t="shared" si="203"/>
        <v>0</v>
      </c>
      <c r="AC1596" s="78"/>
      <c r="AD1596" s="78">
        <v>0</v>
      </c>
      <c r="AE1596" s="80">
        <f t="shared" si="205"/>
        <v>167672000</v>
      </c>
      <c r="AF1596" s="82">
        <v>0</v>
      </c>
      <c r="AG1596" s="69">
        <v>40500</v>
      </c>
      <c r="AH1596" s="84"/>
      <c r="AI1596" s="69" t="s">
        <v>2009</v>
      </c>
      <c r="AJ1596" s="25" t="s">
        <v>2010</v>
      </c>
      <c r="AK1596" s="65"/>
      <c r="AL1596" s="176" t="s">
        <v>1831</v>
      </c>
      <c r="AM1596" s="173" t="s">
        <v>283</v>
      </c>
      <c r="AN1596" s="159"/>
      <c r="AO1596" s="160"/>
      <c r="AP1596" s="161"/>
      <c r="AQ1596" s="160"/>
      <c r="AR1596" s="160"/>
      <c r="AS1596" s="160"/>
      <c r="AT1596" s="160"/>
      <c r="AU1596" s="160"/>
      <c r="AV1596" s="160"/>
      <c r="AW1596" s="160"/>
      <c r="AX1596" s="160"/>
      <c r="AY1596" s="160"/>
      <c r="AZ1596" s="160"/>
      <c r="BA1596" s="160"/>
      <c r="BB1596" s="160">
        <v>200</v>
      </c>
      <c r="BC1596" s="160">
        <f>200*56000</f>
        <v>11200000</v>
      </c>
      <c r="BD1596" s="160"/>
      <c r="BE1596" s="160"/>
      <c r="BF1596" s="160"/>
      <c r="BG1596" s="160"/>
      <c r="BH1596" s="160"/>
      <c r="BI1596" s="160"/>
      <c r="BJ1596" s="160"/>
      <c r="BK1596" s="160"/>
      <c r="BL1596" s="160"/>
      <c r="BM1596" s="160"/>
      <c r="BN1596" s="160"/>
      <c r="BO1596" s="160"/>
      <c r="BP1596" s="160"/>
      <c r="BQ1596" s="160"/>
      <c r="BR1596" s="160"/>
      <c r="BS1596" s="160"/>
      <c r="BT1596" s="160"/>
      <c r="BU1596" s="160"/>
      <c r="BV1596" s="160"/>
      <c r="BW1596" s="160"/>
      <c r="BX1596" s="160"/>
      <c r="BY1596" s="160"/>
      <c r="BZ1596" s="160"/>
      <c r="CA1596" s="160"/>
      <c r="CB1596" s="160"/>
      <c r="CC1596" s="160"/>
      <c r="CD1596" s="160"/>
      <c r="CE1596" s="160"/>
      <c r="CF1596" s="160"/>
      <c r="CG1596" s="160"/>
      <c r="CH1596" s="160"/>
      <c r="CI1596" s="160"/>
      <c r="CJ1596" s="160"/>
      <c r="CK1596" s="160"/>
      <c r="CL1596" s="160"/>
      <c r="CM1596" s="160"/>
      <c r="CN1596" s="160">
        <v>1024</v>
      </c>
      <c r="CO1596" s="160">
        <f>1024*18000</f>
        <v>18432000</v>
      </c>
      <c r="CP1596" s="162"/>
      <c r="CQ1596" s="163"/>
      <c r="CR1596" s="162"/>
      <c r="CS1596" s="163"/>
      <c r="CT1596" s="162"/>
      <c r="CU1596" s="163"/>
      <c r="CV1596" s="164">
        <f t="shared" si="204"/>
        <v>29632000</v>
      </c>
      <c r="CW1596" s="165"/>
      <c r="CX1596" s="166"/>
      <c r="CY1596" s="167">
        <f>600+1024</f>
        <v>1624</v>
      </c>
      <c r="CZ1596" s="168">
        <f>600*85000+1024*85000</f>
        <v>138040000</v>
      </c>
      <c r="DA1596" s="169"/>
      <c r="DB1596" s="168"/>
      <c r="DC1596" s="165"/>
      <c r="DD1596" s="166"/>
      <c r="DE1596" s="71"/>
      <c r="DF1596" s="170"/>
      <c r="EO1596" s="353" t="str">
        <f t="shared" si="206"/>
        <v>CHOCO_BAGADO</v>
      </c>
      <c r="EP1596" s="350"/>
      <c r="EQ1596" s="350"/>
      <c r="ER1596" s="357"/>
      <c r="ES1596" s="350"/>
      <c r="ET1596" s="350"/>
      <c r="EU1596" s="350"/>
    </row>
    <row r="1597" spans="1:151" s="171" customFormat="1" ht="38.25" x14ac:dyDescent="0.2">
      <c r="A1597" s="242">
        <v>40491</v>
      </c>
      <c r="B1597" s="222" t="s">
        <v>2425</v>
      </c>
      <c r="C1597" s="107" t="s">
        <v>4415</v>
      </c>
      <c r="D1597" s="430" t="s">
        <v>837</v>
      </c>
      <c r="E1597" s="107" t="str">
        <f>VLOOKUP(B1597&amp;C1597,Divipola!$C$2:$F$1138,4,FALSE)</f>
        <v>27245</v>
      </c>
      <c r="F1597" s="333"/>
      <c r="G1597" s="221"/>
      <c r="H1597" s="157"/>
      <c r="I1597" s="157"/>
      <c r="J1597" s="157">
        <f>411*5</f>
        <v>2055</v>
      </c>
      <c r="K1597" s="157">
        <f>130+281</f>
        <v>411</v>
      </c>
      <c r="L1597" s="157"/>
      <c r="M1597" s="157"/>
      <c r="N1597" s="157"/>
      <c r="O1597" s="157"/>
      <c r="P1597" s="157"/>
      <c r="Q1597" s="157"/>
      <c r="R1597" s="157"/>
      <c r="S1597" s="157"/>
      <c r="T1597" s="157"/>
      <c r="U1597" s="157"/>
      <c r="V1597" s="158"/>
      <c r="W1597" s="182"/>
      <c r="X1597" s="1"/>
      <c r="Y1597" s="78">
        <f t="shared" si="201"/>
        <v>0</v>
      </c>
      <c r="Z1597" s="78">
        <f t="shared" si="202"/>
        <v>25500000</v>
      </c>
      <c r="AA1597" s="78">
        <f t="shared" si="207"/>
        <v>0</v>
      </c>
      <c r="AB1597" s="78">
        <f t="shared" si="203"/>
        <v>0</v>
      </c>
      <c r="AC1597" s="78"/>
      <c r="AD1597" s="78">
        <v>0</v>
      </c>
      <c r="AE1597" s="80">
        <f t="shared" si="205"/>
        <v>25500000</v>
      </c>
      <c r="AF1597" s="82">
        <v>0</v>
      </c>
      <c r="AG1597" s="69">
        <v>40500</v>
      </c>
      <c r="AH1597" s="84"/>
      <c r="AI1597" s="69" t="s">
        <v>2009</v>
      </c>
      <c r="AJ1597" s="25" t="s">
        <v>2010</v>
      </c>
      <c r="AK1597" s="65"/>
      <c r="AL1597" s="176" t="s">
        <v>1831</v>
      </c>
      <c r="AM1597" s="173" t="s">
        <v>283</v>
      </c>
      <c r="AN1597" s="159"/>
      <c r="AO1597" s="160"/>
      <c r="AP1597" s="161"/>
      <c r="AQ1597" s="160"/>
      <c r="AR1597" s="160"/>
      <c r="AS1597" s="160"/>
      <c r="AT1597" s="160"/>
      <c r="AU1597" s="160"/>
      <c r="AV1597" s="160"/>
      <c r="AW1597" s="160"/>
      <c r="AX1597" s="160"/>
      <c r="AY1597" s="160"/>
      <c r="AZ1597" s="160"/>
      <c r="BA1597" s="160"/>
      <c r="BB1597" s="160"/>
      <c r="BC1597" s="160"/>
      <c r="BD1597" s="160"/>
      <c r="BE1597" s="160"/>
      <c r="BF1597" s="160"/>
      <c r="BG1597" s="160"/>
      <c r="BH1597" s="160"/>
      <c r="BI1597" s="160"/>
      <c r="BJ1597" s="160"/>
      <c r="BK1597" s="160"/>
      <c r="BL1597" s="160"/>
      <c r="BM1597" s="160"/>
      <c r="BN1597" s="160"/>
      <c r="BO1597" s="160"/>
      <c r="BP1597" s="160"/>
      <c r="BQ1597" s="160"/>
      <c r="BR1597" s="160"/>
      <c r="BS1597" s="160"/>
      <c r="BT1597" s="160"/>
      <c r="BU1597" s="160"/>
      <c r="BV1597" s="160"/>
      <c r="BW1597" s="160"/>
      <c r="BX1597" s="160"/>
      <c r="BY1597" s="160"/>
      <c r="BZ1597" s="160"/>
      <c r="CA1597" s="160"/>
      <c r="CB1597" s="160"/>
      <c r="CC1597" s="160"/>
      <c r="CD1597" s="160"/>
      <c r="CE1597" s="160"/>
      <c r="CF1597" s="160"/>
      <c r="CG1597" s="160"/>
      <c r="CH1597" s="160"/>
      <c r="CI1597" s="160"/>
      <c r="CJ1597" s="160"/>
      <c r="CK1597" s="160"/>
      <c r="CL1597" s="160"/>
      <c r="CM1597" s="160"/>
      <c r="CN1597" s="160"/>
      <c r="CO1597" s="160"/>
      <c r="CP1597" s="162"/>
      <c r="CQ1597" s="163"/>
      <c r="CR1597" s="162"/>
      <c r="CS1597" s="163"/>
      <c r="CT1597" s="162"/>
      <c r="CU1597" s="163"/>
      <c r="CV1597" s="164">
        <f t="shared" si="204"/>
        <v>0</v>
      </c>
      <c r="CW1597" s="165"/>
      <c r="CX1597" s="166"/>
      <c r="CY1597" s="167">
        <v>300</v>
      </c>
      <c r="CZ1597" s="168">
        <f>300*85000</f>
        <v>25500000</v>
      </c>
      <c r="DA1597" s="169"/>
      <c r="DB1597" s="168"/>
      <c r="DC1597" s="165"/>
      <c r="DD1597" s="166"/>
      <c r="DE1597" s="71"/>
      <c r="DF1597" s="170"/>
      <c r="EO1597" s="353" t="str">
        <f t="shared" si="206"/>
        <v>CHOCO_EL CARMEN DE ATRATO</v>
      </c>
      <c r="EP1597" s="350"/>
      <c r="EQ1597" s="350"/>
      <c r="ER1597" s="357"/>
      <c r="ES1597" s="350"/>
      <c r="ET1597" s="350"/>
      <c r="EU1597" s="350"/>
    </row>
    <row r="1598" spans="1:151" s="171" customFormat="1" ht="25.5" x14ac:dyDescent="0.2">
      <c r="A1598" s="242">
        <v>40491</v>
      </c>
      <c r="B1598" s="222" t="s">
        <v>2425</v>
      </c>
      <c r="C1598" s="222" t="s">
        <v>4417</v>
      </c>
      <c r="D1598" s="430" t="s">
        <v>837</v>
      </c>
      <c r="E1598" s="107" t="str">
        <f>VLOOKUP(B1598&amp;C1598,Divipola!$C$2:$F$1138,4,FALSE)</f>
        <v>27361</v>
      </c>
      <c r="F1598" s="333"/>
      <c r="G1598" s="221"/>
      <c r="H1598" s="157"/>
      <c r="I1598" s="157"/>
      <c r="J1598" s="157">
        <v>2331</v>
      </c>
      <c r="K1598" s="157">
        <v>777</v>
      </c>
      <c r="L1598" s="157"/>
      <c r="M1598" s="157">
        <v>68</v>
      </c>
      <c r="N1598" s="157"/>
      <c r="O1598" s="157"/>
      <c r="P1598" s="157"/>
      <c r="Q1598" s="157"/>
      <c r="R1598" s="157"/>
      <c r="S1598" s="157"/>
      <c r="T1598" s="157"/>
      <c r="U1598" s="157"/>
      <c r="V1598" s="158"/>
      <c r="W1598" s="182"/>
      <c r="X1598" s="1">
        <v>40529</v>
      </c>
      <c r="Y1598" s="78">
        <f t="shared" si="201"/>
        <v>18000000</v>
      </c>
      <c r="Z1598" s="78">
        <f t="shared" si="202"/>
        <v>136000000</v>
      </c>
      <c r="AA1598" s="78">
        <f t="shared" si="207"/>
        <v>0</v>
      </c>
      <c r="AB1598" s="78">
        <f t="shared" si="203"/>
        <v>0</v>
      </c>
      <c r="AC1598" s="78"/>
      <c r="AD1598" s="78">
        <v>0</v>
      </c>
      <c r="AE1598" s="80">
        <f t="shared" si="205"/>
        <v>154000000</v>
      </c>
      <c r="AF1598" s="82">
        <v>0</v>
      </c>
      <c r="AG1598" s="69">
        <v>40500</v>
      </c>
      <c r="AH1598" s="84">
        <v>62735</v>
      </c>
      <c r="AI1598" s="69" t="s">
        <v>2009</v>
      </c>
      <c r="AJ1598" s="25" t="s">
        <v>2010</v>
      </c>
      <c r="AK1598" s="65">
        <v>26371</v>
      </c>
      <c r="AL1598" s="176" t="s">
        <v>1831</v>
      </c>
      <c r="AM1598" s="173" t="s">
        <v>283</v>
      </c>
      <c r="AN1598" s="159"/>
      <c r="AO1598" s="160"/>
      <c r="AP1598" s="161"/>
      <c r="AQ1598" s="160"/>
      <c r="AR1598" s="160"/>
      <c r="AS1598" s="160"/>
      <c r="AT1598" s="160"/>
      <c r="AU1598" s="160"/>
      <c r="AV1598" s="160"/>
      <c r="AW1598" s="160"/>
      <c r="AX1598" s="160"/>
      <c r="AY1598" s="160"/>
      <c r="AZ1598" s="160"/>
      <c r="BA1598" s="160"/>
      <c r="BB1598" s="160"/>
      <c r="BC1598" s="160"/>
      <c r="BD1598" s="160"/>
      <c r="BE1598" s="160"/>
      <c r="BF1598" s="160"/>
      <c r="BG1598" s="160"/>
      <c r="BH1598" s="160"/>
      <c r="BI1598" s="160"/>
      <c r="BJ1598" s="160"/>
      <c r="BK1598" s="160"/>
      <c r="BL1598" s="160"/>
      <c r="BM1598" s="160"/>
      <c r="BN1598" s="160"/>
      <c r="BO1598" s="160"/>
      <c r="BP1598" s="160"/>
      <c r="BQ1598" s="160"/>
      <c r="BR1598" s="160"/>
      <c r="BS1598" s="160"/>
      <c r="BT1598" s="160"/>
      <c r="BU1598" s="160"/>
      <c r="BV1598" s="160"/>
      <c r="BW1598" s="160"/>
      <c r="BX1598" s="160"/>
      <c r="BY1598" s="160"/>
      <c r="BZ1598" s="160"/>
      <c r="CA1598" s="160"/>
      <c r="CB1598" s="160"/>
      <c r="CC1598" s="160"/>
      <c r="CD1598" s="160"/>
      <c r="CE1598" s="160"/>
      <c r="CF1598" s="160"/>
      <c r="CG1598" s="160"/>
      <c r="CH1598" s="160"/>
      <c r="CI1598" s="160"/>
      <c r="CJ1598" s="160"/>
      <c r="CK1598" s="160"/>
      <c r="CL1598" s="160"/>
      <c r="CM1598" s="160"/>
      <c r="CN1598" s="160">
        <v>1000</v>
      </c>
      <c r="CO1598" s="160">
        <f>1000*18000</f>
        <v>18000000</v>
      </c>
      <c r="CP1598" s="162"/>
      <c r="CQ1598" s="163"/>
      <c r="CR1598" s="162"/>
      <c r="CS1598" s="163"/>
      <c r="CT1598" s="162"/>
      <c r="CU1598" s="163"/>
      <c r="CV1598" s="164">
        <f t="shared" si="204"/>
        <v>18000000</v>
      </c>
      <c r="CW1598" s="165"/>
      <c r="CX1598" s="166"/>
      <c r="CY1598" s="167">
        <f>600+1000</f>
        <v>1600</v>
      </c>
      <c r="CZ1598" s="168">
        <f>600*85000+1000*85000</f>
        <v>136000000</v>
      </c>
      <c r="DA1598" s="169"/>
      <c r="DB1598" s="168"/>
      <c r="DC1598" s="165"/>
      <c r="DD1598" s="166"/>
      <c r="DE1598" s="71"/>
      <c r="DF1598" s="170"/>
      <c r="EO1598" s="353" t="str">
        <f t="shared" si="206"/>
        <v>CHOCO_ISTMINA</v>
      </c>
      <c r="EP1598" s="350"/>
      <c r="EQ1598" s="350"/>
      <c r="ER1598" s="357"/>
      <c r="ES1598" s="350"/>
      <c r="ET1598" s="350"/>
      <c r="EU1598" s="350"/>
    </row>
    <row r="1599" spans="1:151" s="171" customFormat="1" ht="63.75" x14ac:dyDescent="0.2">
      <c r="A1599" s="242">
        <v>40491</v>
      </c>
      <c r="B1599" s="107" t="s">
        <v>1700</v>
      </c>
      <c r="C1599" s="222" t="s">
        <v>4307</v>
      </c>
      <c r="D1599" s="430" t="s">
        <v>837</v>
      </c>
      <c r="E1599" s="107" t="str">
        <f>VLOOKUP(B1599&amp;C1599,Divipola!$C$2:$F$1138,4,FALSE)</f>
        <v>23670</v>
      </c>
      <c r="F1599" s="333"/>
      <c r="G1599" s="221"/>
      <c r="H1599" s="157"/>
      <c r="I1599" s="157"/>
      <c r="J1599" s="157">
        <v>387</v>
      </c>
      <c r="K1599" s="157">
        <v>108</v>
      </c>
      <c r="L1599" s="157"/>
      <c r="M1599" s="157"/>
      <c r="N1599" s="157"/>
      <c r="O1599" s="157"/>
      <c r="P1599" s="157"/>
      <c r="Q1599" s="157"/>
      <c r="R1599" s="157"/>
      <c r="S1599" s="157"/>
      <c r="T1599" s="157"/>
      <c r="U1599" s="157"/>
      <c r="V1599" s="158"/>
      <c r="W1599" s="182"/>
      <c r="X1599" s="1">
        <v>40500</v>
      </c>
      <c r="Y1599" s="78">
        <f t="shared" si="201"/>
        <v>0</v>
      </c>
      <c r="Z1599" s="78">
        <f t="shared" si="202"/>
        <v>0</v>
      </c>
      <c r="AA1599" s="78">
        <f t="shared" si="207"/>
        <v>0</v>
      </c>
      <c r="AB1599" s="78">
        <f t="shared" si="203"/>
        <v>0</v>
      </c>
      <c r="AC1599" s="78"/>
      <c r="AD1599" s="78">
        <v>90000000</v>
      </c>
      <c r="AE1599" s="80">
        <f t="shared" si="205"/>
        <v>90000000</v>
      </c>
      <c r="AF1599" s="82">
        <v>0</v>
      </c>
      <c r="AG1599" s="69">
        <v>40491</v>
      </c>
      <c r="AH1599" s="84"/>
      <c r="AI1599" s="69" t="s">
        <v>2009</v>
      </c>
      <c r="AJ1599" s="25" t="s">
        <v>2010</v>
      </c>
      <c r="AK1599" s="65">
        <v>41994</v>
      </c>
      <c r="AL1599" s="176" t="s">
        <v>862</v>
      </c>
      <c r="AM1599" s="177" t="s">
        <v>2864</v>
      </c>
      <c r="AN1599" s="159"/>
      <c r="AO1599" s="160"/>
      <c r="AP1599" s="161"/>
      <c r="AQ1599" s="160"/>
      <c r="AR1599" s="160"/>
      <c r="AS1599" s="160"/>
      <c r="AT1599" s="160"/>
      <c r="AU1599" s="160"/>
      <c r="AV1599" s="160"/>
      <c r="AW1599" s="160"/>
      <c r="AX1599" s="160"/>
      <c r="AY1599" s="160"/>
      <c r="AZ1599" s="160"/>
      <c r="BA1599" s="160"/>
      <c r="BB1599" s="160"/>
      <c r="BC1599" s="160"/>
      <c r="BD1599" s="160"/>
      <c r="BE1599" s="160"/>
      <c r="BF1599" s="160"/>
      <c r="BG1599" s="160"/>
      <c r="BH1599" s="160"/>
      <c r="BI1599" s="160"/>
      <c r="BJ1599" s="160"/>
      <c r="BK1599" s="160"/>
      <c r="BL1599" s="160"/>
      <c r="BM1599" s="160"/>
      <c r="BN1599" s="160"/>
      <c r="BO1599" s="160"/>
      <c r="BP1599" s="160"/>
      <c r="BQ1599" s="160"/>
      <c r="BR1599" s="160"/>
      <c r="BS1599" s="160"/>
      <c r="BT1599" s="160"/>
      <c r="BU1599" s="160"/>
      <c r="BV1599" s="160"/>
      <c r="BW1599" s="160"/>
      <c r="BX1599" s="160"/>
      <c r="BY1599" s="160"/>
      <c r="BZ1599" s="160"/>
      <c r="CA1599" s="160"/>
      <c r="CB1599" s="160"/>
      <c r="CC1599" s="160"/>
      <c r="CD1599" s="160"/>
      <c r="CE1599" s="160"/>
      <c r="CF1599" s="160"/>
      <c r="CG1599" s="160"/>
      <c r="CH1599" s="160"/>
      <c r="CI1599" s="160"/>
      <c r="CJ1599" s="160"/>
      <c r="CK1599" s="160"/>
      <c r="CL1599" s="160"/>
      <c r="CM1599" s="160"/>
      <c r="CN1599" s="160"/>
      <c r="CO1599" s="160"/>
      <c r="CP1599" s="162"/>
      <c r="CQ1599" s="163"/>
      <c r="CR1599" s="162"/>
      <c r="CS1599" s="163"/>
      <c r="CT1599" s="162"/>
      <c r="CU1599" s="163"/>
      <c r="CV1599" s="164">
        <f t="shared" si="204"/>
        <v>0</v>
      </c>
      <c r="CW1599" s="165"/>
      <c r="CX1599" s="166"/>
      <c r="CY1599" s="167"/>
      <c r="CZ1599" s="168"/>
      <c r="DA1599" s="169"/>
      <c r="DB1599" s="168"/>
      <c r="DC1599" s="165"/>
      <c r="DD1599" s="166"/>
      <c r="DE1599" s="71" t="s">
        <v>2058</v>
      </c>
      <c r="DF1599" s="170"/>
      <c r="EO1599" s="353" t="str">
        <f t="shared" si="206"/>
        <v>CORDOBA_SAN ANDRES SOTAVENTO</v>
      </c>
      <c r="EP1599" s="350"/>
      <c r="EQ1599" s="350"/>
      <c r="ER1599" s="357"/>
      <c r="ES1599" s="350"/>
      <c r="ET1599" s="350"/>
      <c r="EU1599" s="350"/>
    </row>
    <row r="1600" spans="1:151" s="171" customFormat="1" ht="36" x14ac:dyDescent="0.2">
      <c r="A1600" s="242">
        <v>40491</v>
      </c>
      <c r="B1600" s="222" t="s">
        <v>1333</v>
      </c>
      <c r="C1600" s="222" t="s">
        <v>135</v>
      </c>
      <c r="D1600" s="430" t="s">
        <v>837</v>
      </c>
      <c r="E1600" s="107" t="str">
        <f>VLOOKUP(B1600&amp;C1600,Divipola!$C$2:$F$1138,4,FALSE)</f>
        <v>41078</v>
      </c>
      <c r="F1600" s="333"/>
      <c r="G1600" s="221"/>
      <c r="H1600" s="157"/>
      <c r="I1600" s="157"/>
      <c r="J1600" s="157">
        <v>683</v>
      </c>
      <c r="K1600" s="157">
        <v>81</v>
      </c>
      <c r="L1600" s="157"/>
      <c r="M1600" s="157">
        <v>2</v>
      </c>
      <c r="N1600" s="157">
        <v>11</v>
      </c>
      <c r="O1600" s="157"/>
      <c r="P1600" s="157"/>
      <c r="Q1600" s="157">
        <v>4</v>
      </c>
      <c r="R1600" s="157"/>
      <c r="S1600" s="157"/>
      <c r="T1600" s="157">
        <v>8</v>
      </c>
      <c r="U1600" s="157"/>
      <c r="V1600" s="158">
        <v>600</v>
      </c>
      <c r="W1600" s="182"/>
      <c r="X1600" s="1"/>
      <c r="Y1600" s="78">
        <f t="shared" si="201"/>
        <v>0</v>
      </c>
      <c r="Z1600" s="78">
        <f t="shared" si="202"/>
        <v>0</v>
      </c>
      <c r="AA1600" s="78">
        <f t="shared" si="207"/>
        <v>0</v>
      </c>
      <c r="AB1600" s="78">
        <f t="shared" si="203"/>
        <v>0</v>
      </c>
      <c r="AC1600" s="78"/>
      <c r="AD1600" s="78">
        <v>0</v>
      </c>
      <c r="AE1600" s="80">
        <f t="shared" si="205"/>
        <v>0</v>
      </c>
      <c r="AF1600" s="82">
        <v>0</v>
      </c>
      <c r="AG1600" s="69">
        <v>40492</v>
      </c>
      <c r="AH1600" s="84"/>
      <c r="AI1600" s="69" t="s">
        <v>1984</v>
      </c>
      <c r="AJ1600" s="25" t="s">
        <v>1985</v>
      </c>
      <c r="AK1600" s="65"/>
      <c r="AL1600" s="176" t="s">
        <v>1257</v>
      </c>
      <c r="AM1600" s="173" t="s">
        <v>2967</v>
      </c>
      <c r="AN1600" s="159"/>
      <c r="AO1600" s="160"/>
      <c r="AP1600" s="161"/>
      <c r="AQ1600" s="160"/>
      <c r="AR1600" s="160"/>
      <c r="AS1600" s="160"/>
      <c r="AT1600" s="160"/>
      <c r="AU1600" s="160"/>
      <c r="AV1600" s="160"/>
      <c r="AW1600" s="160"/>
      <c r="AX1600" s="160"/>
      <c r="AY1600" s="160"/>
      <c r="AZ1600" s="160"/>
      <c r="BA1600" s="160"/>
      <c r="BB1600" s="160"/>
      <c r="BC1600" s="160"/>
      <c r="BD1600" s="160"/>
      <c r="BE1600" s="160"/>
      <c r="BF1600" s="160"/>
      <c r="BG1600" s="160"/>
      <c r="BH1600" s="160"/>
      <c r="BI1600" s="160"/>
      <c r="BJ1600" s="160"/>
      <c r="BK1600" s="160"/>
      <c r="BL1600" s="160"/>
      <c r="BM1600" s="160"/>
      <c r="BN1600" s="160"/>
      <c r="BO1600" s="160"/>
      <c r="BP1600" s="160"/>
      <c r="BQ1600" s="160"/>
      <c r="BR1600" s="160"/>
      <c r="BS1600" s="160"/>
      <c r="BT1600" s="160"/>
      <c r="BU1600" s="160"/>
      <c r="BV1600" s="160"/>
      <c r="BW1600" s="160"/>
      <c r="BX1600" s="160"/>
      <c r="BY1600" s="160"/>
      <c r="BZ1600" s="160"/>
      <c r="CA1600" s="160"/>
      <c r="CB1600" s="160"/>
      <c r="CC1600" s="160"/>
      <c r="CD1600" s="160"/>
      <c r="CE1600" s="160"/>
      <c r="CF1600" s="160"/>
      <c r="CG1600" s="160"/>
      <c r="CH1600" s="160"/>
      <c r="CI1600" s="160"/>
      <c r="CJ1600" s="160"/>
      <c r="CK1600" s="160"/>
      <c r="CL1600" s="160"/>
      <c r="CM1600" s="160"/>
      <c r="CN1600" s="160"/>
      <c r="CO1600" s="160"/>
      <c r="CP1600" s="162"/>
      <c r="CQ1600" s="163"/>
      <c r="CR1600" s="162"/>
      <c r="CS1600" s="163"/>
      <c r="CT1600" s="162"/>
      <c r="CU1600" s="163"/>
      <c r="CV1600" s="164">
        <f t="shared" si="204"/>
        <v>0</v>
      </c>
      <c r="CW1600" s="165"/>
      <c r="CX1600" s="166"/>
      <c r="CY1600" s="167"/>
      <c r="CZ1600" s="168"/>
      <c r="DA1600" s="169"/>
      <c r="DB1600" s="168"/>
      <c r="DC1600" s="165"/>
      <c r="DD1600" s="166"/>
      <c r="DE1600" s="71"/>
      <c r="DF1600" s="170"/>
      <c r="EO1600" s="353" t="str">
        <f t="shared" si="206"/>
        <v>HUILA_BARAYA</v>
      </c>
      <c r="EP1600" s="350"/>
      <c r="EQ1600" s="350"/>
      <c r="ER1600" s="357"/>
      <c r="ES1600" s="350"/>
      <c r="ET1600" s="350"/>
      <c r="EU1600" s="350"/>
    </row>
    <row r="1601" spans="1:151" s="171" customFormat="1" ht="36" x14ac:dyDescent="0.2">
      <c r="A1601" s="242">
        <v>40491</v>
      </c>
      <c r="B1601" s="222" t="s">
        <v>1333</v>
      </c>
      <c r="C1601" s="222" t="s">
        <v>226</v>
      </c>
      <c r="D1601" s="430" t="s">
        <v>837</v>
      </c>
      <c r="E1601" s="107" t="str">
        <f>VLOOKUP(B1601&amp;C1601,Divipola!$C$2:$F$1138,4,FALSE)</f>
        <v>41001</v>
      </c>
      <c r="F1601" s="333"/>
      <c r="G1601" s="221"/>
      <c r="H1601" s="157"/>
      <c r="I1601" s="157"/>
      <c r="J1601" s="157">
        <f>803-5-5-70-13-5-35-200-5</f>
        <v>465</v>
      </c>
      <c r="K1601" s="157">
        <f>241-1-1-14-3-1-7-40-1</f>
        <v>173</v>
      </c>
      <c r="L1601" s="157">
        <v>13</v>
      </c>
      <c r="M1601" s="157">
        <f>143-1-14-2-1-7-40-1</f>
        <v>77</v>
      </c>
      <c r="N1601" s="157"/>
      <c r="O1601" s="157"/>
      <c r="P1601" s="157"/>
      <c r="Q1601" s="157"/>
      <c r="R1601" s="157"/>
      <c r="S1601" s="157"/>
      <c r="T1601" s="157"/>
      <c r="U1601" s="157"/>
      <c r="V1601" s="158"/>
      <c r="W1601" s="182"/>
      <c r="X1601" s="1"/>
      <c r="Y1601" s="78">
        <f t="shared" si="201"/>
        <v>0</v>
      </c>
      <c r="Z1601" s="78">
        <f t="shared" si="202"/>
        <v>0</v>
      </c>
      <c r="AA1601" s="78">
        <f t="shared" si="207"/>
        <v>0</v>
      </c>
      <c r="AB1601" s="78">
        <f t="shared" si="203"/>
        <v>0</v>
      </c>
      <c r="AC1601" s="78"/>
      <c r="AD1601" s="78">
        <v>0</v>
      </c>
      <c r="AE1601" s="80">
        <f t="shared" si="205"/>
        <v>0</v>
      </c>
      <c r="AF1601" s="82">
        <v>0</v>
      </c>
      <c r="AG1601" s="69">
        <v>40492</v>
      </c>
      <c r="AH1601" s="84"/>
      <c r="AI1601" s="69" t="s">
        <v>1984</v>
      </c>
      <c r="AJ1601" s="70" t="s">
        <v>1985</v>
      </c>
      <c r="AK1601" s="65"/>
      <c r="AL1601" s="176" t="s">
        <v>1257</v>
      </c>
      <c r="AM1601" s="173" t="s">
        <v>2443</v>
      </c>
      <c r="AN1601" s="159"/>
      <c r="AO1601" s="160"/>
      <c r="AP1601" s="161"/>
      <c r="AQ1601" s="160"/>
      <c r="AR1601" s="160"/>
      <c r="AS1601" s="160"/>
      <c r="AT1601" s="160"/>
      <c r="AU1601" s="160"/>
      <c r="AV1601" s="160"/>
      <c r="AW1601" s="160"/>
      <c r="AX1601" s="160"/>
      <c r="AY1601" s="160"/>
      <c r="AZ1601" s="160"/>
      <c r="BA1601" s="160"/>
      <c r="BB1601" s="160"/>
      <c r="BC1601" s="160"/>
      <c r="BD1601" s="160"/>
      <c r="BE1601" s="160"/>
      <c r="BF1601" s="160"/>
      <c r="BG1601" s="160"/>
      <c r="BH1601" s="160"/>
      <c r="BI1601" s="160"/>
      <c r="BJ1601" s="160"/>
      <c r="BK1601" s="160"/>
      <c r="BL1601" s="160"/>
      <c r="BM1601" s="160"/>
      <c r="BN1601" s="160"/>
      <c r="BO1601" s="160"/>
      <c r="BP1601" s="160"/>
      <c r="BQ1601" s="160"/>
      <c r="BR1601" s="160"/>
      <c r="BS1601" s="160"/>
      <c r="BT1601" s="160"/>
      <c r="BU1601" s="160"/>
      <c r="BV1601" s="160"/>
      <c r="BW1601" s="160"/>
      <c r="BX1601" s="160"/>
      <c r="BY1601" s="160"/>
      <c r="BZ1601" s="160"/>
      <c r="CA1601" s="160"/>
      <c r="CB1601" s="160"/>
      <c r="CC1601" s="160"/>
      <c r="CD1601" s="160"/>
      <c r="CE1601" s="160"/>
      <c r="CF1601" s="160"/>
      <c r="CG1601" s="160"/>
      <c r="CH1601" s="160"/>
      <c r="CI1601" s="160"/>
      <c r="CJ1601" s="160"/>
      <c r="CK1601" s="160"/>
      <c r="CL1601" s="160"/>
      <c r="CM1601" s="160"/>
      <c r="CN1601" s="160"/>
      <c r="CO1601" s="160"/>
      <c r="CP1601" s="162"/>
      <c r="CQ1601" s="163"/>
      <c r="CR1601" s="162"/>
      <c r="CS1601" s="163"/>
      <c r="CT1601" s="162"/>
      <c r="CU1601" s="163"/>
      <c r="CV1601" s="164">
        <f t="shared" si="204"/>
        <v>0</v>
      </c>
      <c r="CW1601" s="165"/>
      <c r="CX1601" s="166"/>
      <c r="CY1601" s="167"/>
      <c r="CZ1601" s="168"/>
      <c r="DA1601" s="169"/>
      <c r="DB1601" s="168"/>
      <c r="DC1601" s="165"/>
      <c r="DD1601" s="166"/>
      <c r="DE1601" s="71"/>
      <c r="DF1601" s="170"/>
      <c r="EO1601" s="353" t="str">
        <f t="shared" si="206"/>
        <v>HUILA_NEIVA</v>
      </c>
      <c r="EP1601" s="350"/>
      <c r="EQ1601" s="350"/>
      <c r="ER1601" s="357"/>
      <c r="ES1601" s="350"/>
      <c r="ET1601" s="350"/>
      <c r="EU1601" s="350"/>
    </row>
    <row r="1602" spans="1:151" s="171" customFormat="1" ht="25.5" x14ac:dyDescent="0.2">
      <c r="A1602" s="242">
        <v>40491</v>
      </c>
      <c r="B1602" s="222" t="s">
        <v>1333</v>
      </c>
      <c r="C1602" s="222" t="s">
        <v>1335</v>
      </c>
      <c r="D1602" s="430" t="s">
        <v>1721</v>
      </c>
      <c r="E1602" s="107" t="str">
        <f>VLOOKUP(B1602&amp;C1602,Divipola!$C$2:$F$1138,4,FALSE)</f>
        <v>41668</v>
      </c>
      <c r="F1602" s="333"/>
      <c r="G1602" s="221"/>
      <c r="H1602" s="157"/>
      <c r="I1602" s="157"/>
      <c r="J1602" s="157"/>
      <c r="K1602" s="157"/>
      <c r="L1602" s="157"/>
      <c r="M1602" s="157"/>
      <c r="N1602" s="157"/>
      <c r="O1602" s="157"/>
      <c r="P1602" s="157"/>
      <c r="Q1602" s="157"/>
      <c r="R1602" s="157"/>
      <c r="S1602" s="157"/>
      <c r="T1602" s="157"/>
      <c r="U1602" s="157"/>
      <c r="V1602" s="158"/>
      <c r="W1602" s="182" t="s">
        <v>3090</v>
      </c>
      <c r="X1602" s="1"/>
      <c r="Y1602" s="78">
        <f t="shared" si="201"/>
        <v>0</v>
      </c>
      <c r="Z1602" s="78">
        <f t="shared" si="202"/>
        <v>0</v>
      </c>
      <c r="AA1602" s="78">
        <f t="shared" si="207"/>
        <v>0</v>
      </c>
      <c r="AB1602" s="78">
        <f t="shared" si="203"/>
        <v>0</v>
      </c>
      <c r="AC1602" s="78"/>
      <c r="AD1602" s="78">
        <v>0</v>
      </c>
      <c r="AE1602" s="80">
        <f t="shared" si="205"/>
        <v>0</v>
      </c>
      <c r="AF1602" s="82">
        <v>0</v>
      </c>
      <c r="AG1602" s="69">
        <v>40492</v>
      </c>
      <c r="AH1602" s="84"/>
      <c r="AI1602" s="69" t="s">
        <v>1984</v>
      </c>
      <c r="AJ1602" s="25" t="s">
        <v>1985</v>
      </c>
      <c r="AK1602" s="65"/>
      <c r="AL1602" s="176" t="s">
        <v>1257</v>
      </c>
      <c r="AM1602" s="173" t="s">
        <v>728</v>
      </c>
      <c r="AN1602" s="159"/>
      <c r="AO1602" s="160"/>
      <c r="AP1602" s="161"/>
      <c r="AQ1602" s="160"/>
      <c r="AR1602" s="160"/>
      <c r="AS1602" s="160"/>
      <c r="AT1602" s="160"/>
      <c r="AU1602" s="160"/>
      <c r="AV1602" s="160"/>
      <c r="AW1602" s="160"/>
      <c r="AX1602" s="160"/>
      <c r="AY1602" s="160"/>
      <c r="AZ1602" s="160"/>
      <c r="BA1602" s="160"/>
      <c r="BB1602" s="160"/>
      <c r="BC1602" s="160"/>
      <c r="BD1602" s="160"/>
      <c r="BE1602" s="160"/>
      <c r="BF1602" s="160"/>
      <c r="BG1602" s="160"/>
      <c r="BH1602" s="160"/>
      <c r="BI1602" s="160"/>
      <c r="BJ1602" s="160"/>
      <c r="BK1602" s="160"/>
      <c r="BL1602" s="160"/>
      <c r="BM1602" s="160"/>
      <c r="BN1602" s="160"/>
      <c r="BO1602" s="160"/>
      <c r="BP1602" s="160"/>
      <c r="BQ1602" s="160"/>
      <c r="BR1602" s="160"/>
      <c r="BS1602" s="160"/>
      <c r="BT1602" s="160"/>
      <c r="BU1602" s="160"/>
      <c r="BV1602" s="160"/>
      <c r="BW1602" s="160"/>
      <c r="BX1602" s="160"/>
      <c r="BY1602" s="160"/>
      <c r="BZ1602" s="160"/>
      <c r="CA1602" s="160"/>
      <c r="CB1602" s="160"/>
      <c r="CC1602" s="160"/>
      <c r="CD1602" s="160"/>
      <c r="CE1602" s="160"/>
      <c r="CF1602" s="160"/>
      <c r="CG1602" s="160"/>
      <c r="CH1602" s="160"/>
      <c r="CI1602" s="160"/>
      <c r="CJ1602" s="160"/>
      <c r="CK1602" s="160"/>
      <c r="CL1602" s="160"/>
      <c r="CM1602" s="160"/>
      <c r="CN1602" s="160"/>
      <c r="CO1602" s="160"/>
      <c r="CP1602" s="162"/>
      <c r="CQ1602" s="163"/>
      <c r="CR1602" s="162"/>
      <c r="CS1602" s="163"/>
      <c r="CT1602" s="162"/>
      <c r="CU1602" s="163"/>
      <c r="CV1602" s="164">
        <f t="shared" si="204"/>
        <v>0</v>
      </c>
      <c r="CW1602" s="165"/>
      <c r="CX1602" s="166"/>
      <c r="CY1602" s="167"/>
      <c r="CZ1602" s="168"/>
      <c r="DA1602" s="169"/>
      <c r="DB1602" s="168"/>
      <c r="DC1602" s="165"/>
      <c r="DD1602" s="166"/>
      <c r="DE1602" s="71"/>
      <c r="DF1602" s="170"/>
      <c r="EO1602" s="353" t="str">
        <f t="shared" si="206"/>
        <v>HUILA_SAN AGUSTIN</v>
      </c>
      <c r="EP1602" s="350"/>
      <c r="EQ1602" s="350"/>
      <c r="ER1602" s="357"/>
      <c r="ES1602" s="350"/>
      <c r="ET1602" s="350"/>
      <c r="EU1602" s="350"/>
    </row>
    <row r="1603" spans="1:151" s="171" customFormat="1" ht="25.5" x14ac:dyDescent="0.2">
      <c r="A1603" s="242">
        <v>40491</v>
      </c>
      <c r="B1603" s="222" t="s">
        <v>1333</v>
      </c>
      <c r="C1603" s="222" t="s">
        <v>3091</v>
      </c>
      <c r="D1603" s="427" t="s">
        <v>2307</v>
      </c>
      <c r="E1603" s="107" t="str">
        <f>VLOOKUP(B1603&amp;C1603,Divipola!$C$2:$F$1138,4,FALSE)</f>
        <v>41676</v>
      </c>
      <c r="F1603" s="330"/>
      <c r="G1603" s="221"/>
      <c r="H1603" s="157"/>
      <c r="I1603" s="157"/>
      <c r="J1603" s="157"/>
      <c r="K1603" s="157"/>
      <c r="L1603" s="157"/>
      <c r="M1603" s="157"/>
      <c r="N1603" s="157">
        <v>2</v>
      </c>
      <c r="O1603" s="157"/>
      <c r="P1603" s="157"/>
      <c r="Q1603" s="157"/>
      <c r="R1603" s="157"/>
      <c r="S1603" s="157"/>
      <c r="T1603" s="157"/>
      <c r="U1603" s="157"/>
      <c r="V1603" s="158"/>
      <c r="W1603" s="182"/>
      <c r="X1603" s="1"/>
      <c r="Y1603" s="78">
        <f t="shared" ref="Y1603:Y1666" si="208">CV1603</f>
        <v>0</v>
      </c>
      <c r="Z1603" s="78">
        <f t="shared" ref="Z1603:Z1666" si="209">CZ1603</f>
        <v>0</v>
      </c>
      <c r="AA1603" s="78">
        <f t="shared" si="207"/>
        <v>0</v>
      </c>
      <c r="AB1603" s="78">
        <f t="shared" ref="AB1603:AB1666" si="210">CX1603</f>
        <v>0</v>
      </c>
      <c r="AC1603" s="78"/>
      <c r="AD1603" s="78">
        <v>0</v>
      </c>
      <c r="AE1603" s="80">
        <f t="shared" si="205"/>
        <v>0</v>
      </c>
      <c r="AF1603" s="82">
        <v>0</v>
      </c>
      <c r="AG1603" s="69">
        <v>40492</v>
      </c>
      <c r="AH1603" s="84"/>
      <c r="AI1603" s="69" t="s">
        <v>1984</v>
      </c>
      <c r="AJ1603" s="25" t="s">
        <v>1985</v>
      </c>
      <c r="AK1603" s="65"/>
      <c r="AL1603" s="176" t="s">
        <v>1257</v>
      </c>
      <c r="AM1603" s="173" t="s">
        <v>3092</v>
      </c>
      <c r="AN1603" s="159"/>
      <c r="AO1603" s="160"/>
      <c r="AP1603" s="161"/>
      <c r="AQ1603" s="160"/>
      <c r="AR1603" s="160"/>
      <c r="AS1603" s="160"/>
      <c r="AT1603" s="160"/>
      <c r="AU1603" s="160"/>
      <c r="AV1603" s="160"/>
      <c r="AW1603" s="160"/>
      <c r="AX1603" s="160"/>
      <c r="AY1603" s="160"/>
      <c r="AZ1603" s="160"/>
      <c r="BA1603" s="160"/>
      <c r="BB1603" s="160"/>
      <c r="BC1603" s="160"/>
      <c r="BD1603" s="160"/>
      <c r="BE1603" s="160"/>
      <c r="BF1603" s="160"/>
      <c r="BG1603" s="160"/>
      <c r="BH1603" s="160"/>
      <c r="BI1603" s="160"/>
      <c r="BJ1603" s="160"/>
      <c r="BK1603" s="160"/>
      <c r="BL1603" s="160"/>
      <c r="BM1603" s="160"/>
      <c r="BN1603" s="160"/>
      <c r="BO1603" s="160"/>
      <c r="BP1603" s="160"/>
      <c r="BQ1603" s="160"/>
      <c r="BR1603" s="160"/>
      <c r="BS1603" s="160"/>
      <c r="BT1603" s="160"/>
      <c r="BU1603" s="160"/>
      <c r="BV1603" s="160"/>
      <c r="BW1603" s="160"/>
      <c r="BX1603" s="160"/>
      <c r="BY1603" s="160"/>
      <c r="BZ1603" s="160"/>
      <c r="CA1603" s="160"/>
      <c r="CB1603" s="160"/>
      <c r="CC1603" s="160"/>
      <c r="CD1603" s="160"/>
      <c r="CE1603" s="160"/>
      <c r="CF1603" s="160"/>
      <c r="CG1603" s="160"/>
      <c r="CH1603" s="160"/>
      <c r="CI1603" s="160"/>
      <c r="CJ1603" s="160"/>
      <c r="CK1603" s="160"/>
      <c r="CL1603" s="160"/>
      <c r="CM1603" s="160"/>
      <c r="CN1603" s="160"/>
      <c r="CO1603" s="160"/>
      <c r="CP1603" s="162"/>
      <c r="CQ1603" s="163"/>
      <c r="CR1603" s="162"/>
      <c r="CS1603" s="163"/>
      <c r="CT1603" s="162"/>
      <c r="CU1603" s="163"/>
      <c r="CV1603" s="164">
        <f t="shared" ref="CV1603:CV1666" si="211">AO1603+AQ1603+AS1603+AU1603+AW1603+AY1603+BA1603+BC1603+BE1603+BG1603+BI1603+BK1603+BM1603+BO1603+BQ1603+BS1603+BU1603+BW1603+BY1603+CA1603+CC1603+CE1603+CG1603+CI1603+CK1603+CM1603+CO1603+CQ1603+CS1603+CU1603</f>
        <v>0</v>
      </c>
      <c r="CW1603" s="165"/>
      <c r="CX1603" s="166"/>
      <c r="CY1603" s="167"/>
      <c r="CZ1603" s="168"/>
      <c r="DA1603" s="169"/>
      <c r="DB1603" s="168"/>
      <c r="DC1603" s="165"/>
      <c r="DD1603" s="166"/>
      <c r="DE1603" s="71"/>
      <c r="DF1603" s="170"/>
      <c r="EO1603" s="353" t="str">
        <f t="shared" si="206"/>
        <v>HUILA_SANTA MARIA</v>
      </c>
      <c r="EP1603" s="350"/>
      <c r="EQ1603" s="350"/>
      <c r="ER1603" s="357"/>
      <c r="ES1603" s="350"/>
      <c r="ET1603" s="350"/>
      <c r="EU1603" s="350"/>
    </row>
    <row r="1604" spans="1:151" s="171" customFormat="1" ht="51" x14ac:dyDescent="0.2">
      <c r="A1604" s="242">
        <v>40491</v>
      </c>
      <c r="B1604" s="107" t="s">
        <v>5778</v>
      </c>
      <c r="C1604" s="222" t="s">
        <v>2008</v>
      </c>
      <c r="D1604" s="430" t="s">
        <v>837</v>
      </c>
      <c r="E1604" s="107">
        <f>VLOOKUP(B1604&amp;C1604,Divipola!$C$2:$F$1138,4,FALSE)</f>
        <v>44</v>
      </c>
      <c r="F1604" s="333"/>
      <c r="G1604" s="221"/>
      <c r="H1604" s="157"/>
      <c r="I1604" s="157"/>
      <c r="J1604" s="157"/>
      <c r="K1604" s="157"/>
      <c r="L1604" s="157"/>
      <c r="M1604" s="157"/>
      <c r="N1604" s="157"/>
      <c r="O1604" s="157"/>
      <c r="P1604" s="157"/>
      <c r="Q1604" s="157"/>
      <c r="R1604" s="157"/>
      <c r="S1604" s="157"/>
      <c r="T1604" s="157"/>
      <c r="U1604" s="157"/>
      <c r="V1604" s="158"/>
      <c r="W1604" s="182"/>
      <c r="X1604" s="1"/>
      <c r="Y1604" s="78">
        <f t="shared" si="208"/>
        <v>0</v>
      </c>
      <c r="Z1604" s="78">
        <f t="shared" si="209"/>
        <v>11900000</v>
      </c>
      <c r="AA1604" s="78">
        <f t="shared" si="207"/>
        <v>0</v>
      </c>
      <c r="AB1604" s="78">
        <f t="shared" si="210"/>
        <v>45240000</v>
      </c>
      <c r="AC1604" s="78"/>
      <c r="AD1604" s="78">
        <v>0</v>
      </c>
      <c r="AE1604" s="80">
        <f t="shared" si="205"/>
        <v>57140000</v>
      </c>
      <c r="AF1604" s="82">
        <v>0</v>
      </c>
      <c r="AG1604" s="69">
        <v>40491</v>
      </c>
      <c r="AH1604" s="84">
        <v>62930</v>
      </c>
      <c r="AI1604" s="69" t="s">
        <v>2009</v>
      </c>
      <c r="AJ1604" s="25" t="s">
        <v>2010</v>
      </c>
      <c r="AK1604" s="65">
        <v>27409</v>
      </c>
      <c r="AL1604" s="176"/>
      <c r="AM1604" s="173" t="s">
        <v>3805</v>
      </c>
      <c r="AN1604" s="159"/>
      <c r="AO1604" s="160"/>
      <c r="AP1604" s="161"/>
      <c r="AQ1604" s="160"/>
      <c r="AR1604" s="160"/>
      <c r="AS1604" s="160"/>
      <c r="AT1604" s="160"/>
      <c r="AU1604" s="160"/>
      <c r="AV1604" s="160"/>
      <c r="AW1604" s="160"/>
      <c r="AX1604" s="160"/>
      <c r="AY1604" s="160"/>
      <c r="AZ1604" s="160"/>
      <c r="BA1604" s="160"/>
      <c r="BB1604" s="160"/>
      <c r="BC1604" s="160"/>
      <c r="BD1604" s="160"/>
      <c r="BE1604" s="160"/>
      <c r="BF1604" s="160"/>
      <c r="BG1604" s="160"/>
      <c r="BH1604" s="160"/>
      <c r="BI1604" s="160"/>
      <c r="BJ1604" s="160"/>
      <c r="BK1604" s="160"/>
      <c r="BL1604" s="160"/>
      <c r="BM1604" s="160"/>
      <c r="BN1604" s="160"/>
      <c r="BO1604" s="160"/>
      <c r="BP1604" s="160"/>
      <c r="BQ1604" s="160"/>
      <c r="BR1604" s="160"/>
      <c r="BS1604" s="160"/>
      <c r="BT1604" s="160"/>
      <c r="BU1604" s="160"/>
      <c r="BV1604" s="160"/>
      <c r="BW1604" s="160"/>
      <c r="BX1604" s="160"/>
      <c r="BY1604" s="160"/>
      <c r="BZ1604" s="160"/>
      <c r="CA1604" s="160"/>
      <c r="CB1604" s="160"/>
      <c r="CC1604" s="160"/>
      <c r="CD1604" s="160"/>
      <c r="CE1604" s="160"/>
      <c r="CF1604" s="160"/>
      <c r="CG1604" s="160"/>
      <c r="CH1604" s="160"/>
      <c r="CI1604" s="160"/>
      <c r="CJ1604" s="160"/>
      <c r="CK1604" s="160"/>
      <c r="CL1604" s="160"/>
      <c r="CM1604" s="160"/>
      <c r="CN1604" s="160"/>
      <c r="CO1604" s="160"/>
      <c r="CP1604" s="162"/>
      <c r="CQ1604" s="163"/>
      <c r="CR1604" s="162"/>
      <c r="CS1604" s="163"/>
      <c r="CT1604" s="162"/>
      <c r="CU1604" s="163"/>
      <c r="CV1604" s="164">
        <f t="shared" si="211"/>
        <v>0</v>
      </c>
      <c r="CW1604" s="165">
        <v>50000</v>
      </c>
      <c r="CX1604" s="166">
        <f>50000*904.8</f>
        <v>45240000</v>
      </c>
      <c r="CY1604" s="167">
        <v>140</v>
      </c>
      <c r="CZ1604" s="168">
        <f>140*85000</f>
        <v>11900000</v>
      </c>
      <c r="DA1604" s="169"/>
      <c r="DB1604" s="168"/>
      <c r="DC1604" s="165"/>
      <c r="DD1604" s="166"/>
      <c r="DE1604" s="71"/>
      <c r="DF1604" s="170"/>
      <c r="EO1604" s="353" t="str">
        <f t="shared" si="206"/>
        <v>LA GUAJIRA_DEPARTAMENTO</v>
      </c>
      <c r="EP1604" s="350"/>
      <c r="EQ1604" s="350"/>
      <c r="ER1604" s="357"/>
      <c r="ES1604" s="350"/>
      <c r="ET1604" s="350"/>
      <c r="EU1604" s="350"/>
    </row>
    <row r="1605" spans="1:151" s="171" customFormat="1" ht="48" x14ac:dyDescent="0.2">
      <c r="A1605" s="242">
        <v>40491</v>
      </c>
      <c r="B1605" s="222" t="s">
        <v>1336</v>
      </c>
      <c r="C1605" s="222" t="s">
        <v>1732</v>
      </c>
      <c r="D1605" s="430" t="s">
        <v>2209</v>
      </c>
      <c r="E1605" s="107" t="str">
        <f>VLOOKUP(B1605&amp;C1605,Divipola!$C$2:$F$1138,4,FALSE)</f>
        <v>54001</v>
      </c>
      <c r="F1605" s="333"/>
      <c r="G1605" s="221"/>
      <c r="H1605" s="157">
        <v>5</v>
      </c>
      <c r="I1605" s="157"/>
      <c r="J1605" s="157"/>
      <c r="K1605" s="157"/>
      <c r="L1605" s="157"/>
      <c r="M1605" s="157"/>
      <c r="N1605" s="157"/>
      <c r="O1605" s="157"/>
      <c r="P1605" s="157"/>
      <c r="Q1605" s="157"/>
      <c r="R1605" s="157"/>
      <c r="S1605" s="157"/>
      <c r="T1605" s="157">
        <v>1</v>
      </c>
      <c r="U1605" s="157"/>
      <c r="V1605" s="158"/>
      <c r="W1605" s="182"/>
      <c r="X1605" s="1"/>
      <c r="Y1605" s="78">
        <f t="shared" si="208"/>
        <v>0</v>
      </c>
      <c r="Z1605" s="78">
        <f t="shared" si="209"/>
        <v>0</v>
      </c>
      <c r="AA1605" s="78">
        <f t="shared" si="207"/>
        <v>0</v>
      </c>
      <c r="AB1605" s="78">
        <f t="shared" si="210"/>
        <v>0</v>
      </c>
      <c r="AC1605" s="78"/>
      <c r="AD1605" s="78">
        <v>0</v>
      </c>
      <c r="AE1605" s="80">
        <f t="shared" si="205"/>
        <v>0</v>
      </c>
      <c r="AF1605" s="82">
        <v>0</v>
      </c>
      <c r="AG1605" s="69">
        <v>40492</v>
      </c>
      <c r="AH1605" s="84"/>
      <c r="AI1605" s="69" t="s">
        <v>1984</v>
      </c>
      <c r="AJ1605" s="25" t="s">
        <v>1985</v>
      </c>
      <c r="AK1605" s="65"/>
      <c r="AL1605" s="176" t="s">
        <v>1257</v>
      </c>
      <c r="AM1605" s="173" t="s">
        <v>3089</v>
      </c>
      <c r="AN1605" s="159"/>
      <c r="AO1605" s="160"/>
      <c r="AP1605" s="161"/>
      <c r="AQ1605" s="160"/>
      <c r="AR1605" s="160"/>
      <c r="AS1605" s="160"/>
      <c r="AT1605" s="160"/>
      <c r="AU1605" s="160"/>
      <c r="AV1605" s="160"/>
      <c r="AW1605" s="160"/>
      <c r="AX1605" s="160"/>
      <c r="AY1605" s="160"/>
      <c r="AZ1605" s="160"/>
      <c r="BA1605" s="160"/>
      <c r="BB1605" s="160"/>
      <c r="BC1605" s="160"/>
      <c r="BD1605" s="160"/>
      <c r="BE1605" s="160"/>
      <c r="BF1605" s="160"/>
      <c r="BG1605" s="160"/>
      <c r="BH1605" s="160"/>
      <c r="BI1605" s="160"/>
      <c r="BJ1605" s="160"/>
      <c r="BK1605" s="160"/>
      <c r="BL1605" s="160"/>
      <c r="BM1605" s="160"/>
      <c r="BN1605" s="160"/>
      <c r="BO1605" s="160"/>
      <c r="BP1605" s="160"/>
      <c r="BQ1605" s="160"/>
      <c r="BR1605" s="160"/>
      <c r="BS1605" s="160"/>
      <c r="BT1605" s="160"/>
      <c r="BU1605" s="160"/>
      <c r="BV1605" s="160"/>
      <c r="BW1605" s="160"/>
      <c r="BX1605" s="160"/>
      <c r="BY1605" s="160"/>
      <c r="BZ1605" s="160"/>
      <c r="CA1605" s="160"/>
      <c r="CB1605" s="160"/>
      <c r="CC1605" s="160"/>
      <c r="CD1605" s="160"/>
      <c r="CE1605" s="160"/>
      <c r="CF1605" s="160"/>
      <c r="CG1605" s="160"/>
      <c r="CH1605" s="160"/>
      <c r="CI1605" s="160"/>
      <c r="CJ1605" s="160"/>
      <c r="CK1605" s="160"/>
      <c r="CL1605" s="160"/>
      <c r="CM1605" s="160"/>
      <c r="CN1605" s="160"/>
      <c r="CO1605" s="160"/>
      <c r="CP1605" s="162"/>
      <c r="CQ1605" s="163"/>
      <c r="CR1605" s="162"/>
      <c r="CS1605" s="163"/>
      <c r="CT1605" s="162"/>
      <c r="CU1605" s="163"/>
      <c r="CV1605" s="164">
        <f t="shared" si="211"/>
        <v>0</v>
      </c>
      <c r="CW1605" s="165"/>
      <c r="CX1605" s="166"/>
      <c r="CY1605" s="167"/>
      <c r="CZ1605" s="168"/>
      <c r="DA1605" s="169"/>
      <c r="DB1605" s="168"/>
      <c r="DC1605" s="165"/>
      <c r="DD1605" s="166"/>
      <c r="DE1605" s="71"/>
      <c r="DF1605" s="170"/>
      <c r="EO1605" s="353" t="str">
        <f t="shared" si="206"/>
        <v>NORTE DE SANTANDER_CUCUTA</v>
      </c>
      <c r="EP1605" s="350"/>
      <c r="EQ1605" s="350"/>
      <c r="ER1605" s="357"/>
      <c r="ES1605" s="350"/>
      <c r="ET1605" s="350"/>
      <c r="EU1605" s="350"/>
    </row>
    <row r="1606" spans="1:151" s="171" customFormat="1" ht="25.5" x14ac:dyDescent="0.2">
      <c r="A1606" s="242">
        <v>40491</v>
      </c>
      <c r="B1606" s="222" t="s">
        <v>2014</v>
      </c>
      <c r="C1606" s="222" t="s">
        <v>1033</v>
      </c>
      <c r="D1606" s="430" t="s">
        <v>1721</v>
      </c>
      <c r="E1606" s="107" t="str">
        <f>VLOOKUP(B1606&amp;C1606,Divipola!$C$2:$F$1138,4,FALSE)</f>
        <v>63130</v>
      </c>
      <c r="F1606" s="333"/>
      <c r="G1606" s="221"/>
      <c r="H1606" s="157"/>
      <c r="I1606" s="157"/>
      <c r="J1606" s="157"/>
      <c r="K1606" s="157"/>
      <c r="L1606" s="157"/>
      <c r="M1606" s="157"/>
      <c r="N1606" s="157"/>
      <c r="O1606" s="157"/>
      <c r="P1606" s="157"/>
      <c r="Q1606" s="157"/>
      <c r="R1606" s="157"/>
      <c r="S1606" s="157"/>
      <c r="T1606" s="157"/>
      <c r="U1606" s="157"/>
      <c r="V1606" s="158"/>
      <c r="W1606" s="182" t="s">
        <v>2456</v>
      </c>
      <c r="X1606" s="1"/>
      <c r="Y1606" s="78">
        <f t="shared" si="208"/>
        <v>0</v>
      </c>
      <c r="Z1606" s="78">
        <f t="shared" si="209"/>
        <v>0</v>
      </c>
      <c r="AA1606" s="78">
        <f t="shared" si="207"/>
        <v>0</v>
      </c>
      <c r="AB1606" s="78">
        <f t="shared" si="210"/>
        <v>0</v>
      </c>
      <c r="AC1606" s="78"/>
      <c r="AD1606" s="78">
        <v>0</v>
      </c>
      <c r="AE1606" s="80">
        <f t="shared" si="205"/>
        <v>0</v>
      </c>
      <c r="AF1606" s="82">
        <v>0</v>
      </c>
      <c r="AG1606" s="69">
        <v>40494</v>
      </c>
      <c r="AH1606" s="84"/>
      <c r="AI1606" s="69" t="s">
        <v>1984</v>
      </c>
      <c r="AJ1606" s="25" t="s">
        <v>1985</v>
      </c>
      <c r="AK1606" s="65"/>
      <c r="AL1606" s="176" t="s">
        <v>1257</v>
      </c>
      <c r="AM1606" s="173" t="s">
        <v>2457</v>
      </c>
      <c r="AN1606" s="159"/>
      <c r="AO1606" s="160"/>
      <c r="AP1606" s="161"/>
      <c r="AQ1606" s="160"/>
      <c r="AR1606" s="160"/>
      <c r="AS1606" s="160"/>
      <c r="AT1606" s="160"/>
      <c r="AU1606" s="160"/>
      <c r="AV1606" s="160"/>
      <c r="AW1606" s="160"/>
      <c r="AX1606" s="160"/>
      <c r="AY1606" s="160"/>
      <c r="AZ1606" s="160"/>
      <c r="BA1606" s="160"/>
      <c r="BB1606" s="160"/>
      <c r="BC1606" s="160"/>
      <c r="BD1606" s="160"/>
      <c r="BE1606" s="160"/>
      <c r="BF1606" s="160"/>
      <c r="BG1606" s="160"/>
      <c r="BH1606" s="160"/>
      <c r="BI1606" s="160"/>
      <c r="BJ1606" s="160"/>
      <c r="BK1606" s="160"/>
      <c r="BL1606" s="160"/>
      <c r="BM1606" s="160"/>
      <c r="BN1606" s="160"/>
      <c r="BO1606" s="160"/>
      <c r="BP1606" s="160"/>
      <c r="BQ1606" s="160"/>
      <c r="BR1606" s="160"/>
      <c r="BS1606" s="160"/>
      <c r="BT1606" s="160"/>
      <c r="BU1606" s="160"/>
      <c r="BV1606" s="160"/>
      <c r="BW1606" s="160"/>
      <c r="BX1606" s="160"/>
      <c r="BY1606" s="160"/>
      <c r="BZ1606" s="160"/>
      <c r="CA1606" s="160"/>
      <c r="CB1606" s="160"/>
      <c r="CC1606" s="160"/>
      <c r="CD1606" s="160"/>
      <c r="CE1606" s="160"/>
      <c r="CF1606" s="160"/>
      <c r="CG1606" s="160"/>
      <c r="CH1606" s="160"/>
      <c r="CI1606" s="160"/>
      <c r="CJ1606" s="160"/>
      <c r="CK1606" s="160"/>
      <c r="CL1606" s="160"/>
      <c r="CM1606" s="160"/>
      <c r="CN1606" s="160"/>
      <c r="CO1606" s="160"/>
      <c r="CP1606" s="162"/>
      <c r="CQ1606" s="163"/>
      <c r="CR1606" s="162"/>
      <c r="CS1606" s="163"/>
      <c r="CT1606" s="162"/>
      <c r="CU1606" s="163"/>
      <c r="CV1606" s="164">
        <f t="shared" si="211"/>
        <v>0</v>
      </c>
      <c r="CW1606" s="165"/>
      <c r="CX1606" s="166"/>
      <c r="CY1606" s="167"/>
      <c r="CZ1606" s="168"/>
      <c r="DA1606" s="169"/>
      <c r="DB1606" s="168"/>
      <c r="DC1606" s="165"/>
      <c r="DD1606" s="166"/>
      <c r="DE1606" s="71"/>
      <c r="DF1606" s="170"/>
      <c r="EO1606" s="353" t="str">
        <f t="shared" si="206"/>
        <v>QUINDIO_CALARCA</v>
      </c>
      <c r="EP1606" s="350"/>
      <c r="EQ1606" s="350"/>
      <c r="ER1606" s="357"/>
      <c r="ES1606" s="350"/>
      <c r="ET1606" s="350"/>
      <c r="EU1606" s="350"/>
    </row>
    <row r="1607" spans="1:151" s="171" customFormat="1" ht="25.5" x14ac:dyDescent="0.2">
      <c r="A1607" s="242">
        <v>40491</v>
      </c>
      <c r="B1607" s="222" t="s">
        <v>2014</v>
      </c>
      <c r="C1607" s="222" t="s">
        <v>1978</v>
      </c>
      <c r="D1607" s="430" t="s">
        <v>1721</v>
      </c>
      <c r="E1607" s="107" t="str">
        <f>VLOOKUP(B1607&amp;C1607,Divipola!$C$2:$F$1138,4,FALSE)</f>
        <v>63594</v>
      </c>
      <c r="F1607" s="333"/>
      <c r="G1607" s="221"/>
      <c r="H1607" s="157"/>
      <c r="I1607" s="157"/>
      <c r="J1607" s="157"/>
      <c r="K1607" s="157"/>
      <c r="L1607" s="157"/>
      <c r="M1607" s="157"/>
      <c r="N1607" s="157"/>
      <c r="O1607" s="157"/>
      <c r="P1607" s="157"/>
      <c r="Q1607" s="157"/>
      <c r="R1607" s="157"/>
      <c r="S1607" s="157"/>
      <c r="T1607" s="157"/>
      <c r="U1607" s="157"/>
      <c r="V1607" s="158"/>
      <c r="W1607" s="182" t="s">
        <v>2456</v>
      </c>
      <c r="X1607" s="1"/>
      <c r="Y1607" s="78">
        <f t="shared" si="208"/>
        <v>0</v>
      </c>
      <c r="Z1607" s="78">
        <f t="shared" si="209"/>
        <v>0</v>
      </c>
      <c r="AA1607" s="78">
        <f t="shared" si="207"/>
        <v>0</v>
      </c>
      <c r="AB1607" s="78">
        <f t="shared" si="210"/>
        <v>0</v>
      </c>
      <c r="AC1607" s="78"/>
      <c r="AD1607" s="78">
        <v>0</v>
      </c>
      <c r="AE1607" s="80">
        <f t="shared" si="205"/>
        <v>0</v>
      </c>
      <c r="AF1607" s="82">
        <v>0</v>
      </c>
      <c r="AG1607" s="69">
        <v>40494</v>
      </c>
      <c r="AH1607" s="84"/>
      <c r="AI1607" s="69" t="s">
        <v>1984</v>
      </c>
      <c r="AJ1607" s="25" t="s">
        <v>1985</v>
      </c>
      <c r="AK1607" s="65"/>
      <c r="AL1607" s="176" t="s">
        <v>1257</v>
      </c>
      <c r="AM1607" s="173" t="s">
        <v>2455</v>
      </c>
      <c r="AN1607" s="159"/>
      <c r="AO1607" s="160"/>
      <c r="AP1607" s="161"/>
      <c r="AQ1607" s="160"/>
      <c r="AR1607" s="160"/>
      <c r="AS1607" s="160"/>
      <c r="AT1607" s="160"/>
      <c r="AU1607" s="160"/>
      <c r="AV1607" s="160"/>
      <c r="AW1607" s="160"/>
      <c r="AX1607" s="160"/>
      <c r="AY1607" s="160"/>
      <c r="AZ1607" s="160"/>
      <c r="BA1607" s="160"/>
      <c r="BB1607" s="160"/>
      <c r="BC1607" s="160"/>
      <c r="BD1607" s="160"/>
      <c r="BE1607" s="160"/>
      <c r="BF1607" s="160"/>
      <c r="BG1607" s="160"/>
      <c r="BH1607" s="160"/>
      <c r="BI1607" s="160"/>
      <c r="BJ1607" s="160"/>
      <c r="BK1607" s="160"/>
      <c r="BL1607" s="160"/>
      <c r="BM1607" s="160"/>
      <c r="BN1607" s="160"/>
      <c r="BO1607" s="160"/>
      <c r="BP1607" s="160"/>
      <c r="BQ1607" s="160"/>
      <c r="BR1607" s="160"/>
      <c r="BS1607" s="160"/>
      <c r="BT1607" s="160"/>
      <c r="BU1607" s="160"/>
      <c r="BV1607" s="160"/>
      <c r="BW1607" s="160"/>
      <c r="BX1607" s="160"/>
      <c r="BY1607" s="160"/>
      <c r="BZ1607" s="160"/>
      <c r="CA1607" s="160"/>
      <c r="CB1607" s="160"/>
      <c r="CC1607" s="160"/>
      <c r="CD1607" s="160"/>
      <c r="CE1607" s="160"/>
      <c r="CF1607" s="160"/>
      <c r="CG1607" s="160"/>
      <c r="CH1607" s="160"/>
      <c r="CI1607" s="160"/>
      <c r="CJ1607" s="160"/>
      <c r="CK1607" s="160"/>
      <c r="CL1607" s="160"/>
      <c r="CM1607" s="160"/>
      <c r="CN1607" s="160"/>
      <c r="CO1607" s="160"/>
      <c r="CP1607" s="162"/>
      <c r="CQ1607" s="163"/>
      <c r="CR1607" s="162"/>
      <c r="CS1607" s="163"/>
      <c r="CT1607" s="162"/>
      <c r="CU1607" s="163"/>
      <c r="CV1607" s="164">
        <f t="shared" si="211"/>
        <v>0</v>
      </c>
      <c r="CW1607" s="165"/>
      <c r="CX1607" s="166"/>
      <c r="CY1607" s="167"/>
      <c r="CZ1607" s="168"/>
      <c r="DA1607" s="169"/>
      <c r="DB1607" s="168"/>
      <c r="DC1607" s="165"/>
      <c r="DD1607" s="166"/>
      <c r="DE1607" s="71"/>
      <c r="DF1607" s="170"/>
      <c r="EO1607" s="353" t="str">
        <f t="shared" si="206"/>
        <v>QUINDIO_QUIMBAYA</v>
      </c>
      <c r="EP1607" s="350"/>
      <c r="EQ1607" s="350"/>
      <c r="ER1607" s="357"/>
      <c r="ES1607" s="350"/>
      <c r="ET1607" s="350"/>
      <c r="EU1607" s="350"/>
    </row>
    <row r="1608" spans="1:151" s="171" customFormat="1" ht="108" x14ac:dyDescent="0.2">
      <c r="A1608" s="242">
        <v>40491</v>
      </c>
      <c r="B1608" s="222" t="s">
        <v>2427</v>
      </c>
      <c r="C1608" s="222" t="s">
        <v>1457</v>
      </c>
      <c r="D1608" s="430" t="s">
        <v>837</v>
      </c>
      <c r="E1608" s="107" t="str">
        <f>VLOOKUP(B1608&amp;C1608,Divipola!$C$2:$F$1138,4,FALSE)</f>
        <v>68081</v>
      </c>
      <c r="F1608" s="333"/>
      <c r="G1608" s="275"/>
      <c r="H1608" s="157"/>
      <c r="I1608" s="157"/>
      <c r="J1608" s="157">
        <f>1514*5</f>
        <v>7570</v>
      </c>
      <c r="K1608" s="157">
        <f>1675-161</f>
        <v>1514</v>
      </c>
      <c r="L1608" s="157">
        <v>12</v>
      </c>
      <c r="M1608" s="157">
        <v>100</v>
      </c>
      <c r="N1608" s="157">
        <v>3</v>
      </c>
      <c r="O1608" s="157"/>
      <c r="P1608" s="157"/>
      <c r="Q1608" s="157"/>
      <c r="R1608" s="157"/>
      <c r="S1608" s="157"/>
      <c r="T1608" s="157"/>
      <c r="U1608" s="157"/>
      <c r="V1608" s="158">
        <v>6000</v>
      </c>
      <c r="W1608" s="182"/>
      <c r="X1608" s="1"/>
      <c r="Y1608" s="78">
        <f t="shared" si="208"/>
        <v>0</v>
      </c>
      <c r="Z1608" s="78">
        <f t="shared" si="209"/>
        <v>0</v>
      </c>
      <c r="AA1608" s="78">
        <f t="shared" si="207"/>
        <v>0</v>
      </c>
      <c r="AB1608" s="78">
        <f t="shared" si="210"/>
        <v>0</v>
      </c>
      <c r="AC1608" s="78"/>
      <c r="AD1608" s="78">
        <v>0</v>
      </c>
      <c r="AE1608" s="80">
        <f t="shared" si="205"/>
        <v>0</v>
      </c>
      <c r="AF1608" s="82">
        <v>0</v>
      </c>
      <c r="AG1608" s="69">
        <v>40494</v>
      </c>
      <c r="AH1608" s="84"/>
      <c r="AI1608" s="69" t="s">
        <v>1984</v>
      </c>
      <c r="AJ1608" s="25" t="s">
        <v>1985</v>
      </c>
      <c r="AK1608" s="65"/>
      <c r="AL1608" s="176" t="s">
        <v>1257</v>
      </c>
      <c r="AM1608" s="173" t="s">
        <v>3176</v>
      </c>
      <c r="AN1608" s="159"/>
      <c r="AO1608" s="160"/>
      <c r="AP1608" s="161"/>
      <c r="AQ1608" s="160"/>
      <c r="AR1608" s="160"/>
      <c r="AS1608" s="160"/>
      <c r="AT1608" s="160"/>
      <c r="AU1608" s="160"/>
      <c r="AV1608" s="160"/>
      <c r="AW1608" s="160"/>
      <c r="AX1608" s="160"/>
      <c r="AY1608" s="160"/>
      <c r="AZ1608" s="160"/>
      <c r="BA1608" s="160"/>
      <c r="BB1608" s="160"/>
      <c r="BC1608" s="160"/>
      <c r="BD1608" s="160"/>
      <c r="BE1608" s="160"/>
      <c r="BF1608" s="160"/>
      <c r="BG1608" s="160"/>
      <c r="BH1608" s="160"/>
      <c r="BI1608" s="160"/>
      <c r="BJ1608" s="160"/>
      <c r="BK1608" s="160"/>
      <c r="BL1608" s="160"/>
      <c r="BM1608" s="160"/>
      <c r="BN1608" s="160"/>
      <c r="BO1608" s="160"/>
      <c r="BP1608" s="160"/>
      <c r="BQ1608" s="160"/>
      <c r="BR1608" s="160"/>
      <c r="BS1608" s="160"/>
      <c r="BT1608" s="160"/>
      <c r="BU1608" s="160"/>
      <c r="BV1608" s="160"/>
      <c r="BW1608" s="160"/>
      <c r="BX1608" s="160"/>
      <c r="BY1608" s="160"/>
      <c r="BZ1608" s="160"/>
      <c r="CA1608" s="160"/>
      <c r="CB1608" s="160"/>
      <c r="CC1608" s="160"/>
      <c r="CD1608" s="160"/>
      <c r="CE1608" s="160"/>
      <c r="CF1608" s="160"/>
      <c r="CG1608" s="160"/>
      <c r="CH1608" s="160"/>
      <c r="CI1608" s="160"/>
      <c r="CJ1608" s="160"/>
      <c r="CK1608" s="160"/>
      <c r="CL1608" s="160"/>
      <c r="CM1608" s="160"/>
      <c r="CN1608" s="160"/>
      <c r="CO1608" s="160"/>
      <c r="CP1608" s="162"/>
      <c r="CQ1608" s="163"/>
      <c r="CR1608" s="162"/>
      <c r="CS1608" s="163"/>
      <c r="CT1608" s="162"/>
      <c r="CU1608" s="163"/>
      <c r="CV1608" s="164">
        <f t="shared" si="211"/>
        <v>0</v>
      </c>
      <c r="CW1608" s="165"/>
      <c r="CX1608" s="166"/>
      <c r="CY1608" s="167"/>
      <c r="CZ1608" s="168"/>
      <c r="DA1608" s="169"/>
      <c r="DB1608" s="168"/>
      <c r="DC1608" s="165"/>
      <c r="DD1608" s="166"/>
      <c r="DE1608" s="71"/>
      <c r="DF1608" s="170"/>
      <c r="EO1608" s="353" t="str">
        <f t="shared" si="206"/>
        <v>SANTANDER_BARRANCABERMEJA</v>
      </c>
      <c r="EP1608" s="350"/>
      <c r="EQ1608" s="350"/>
      <c r="ER1608" s="357"/>
      <c r="ES1608" s="350"/>
      <c r="ET1608" s="350"/>
      <c r="EU1608" s="350"/>
    </row>
    <row r="1609" spans="1:151" s="171" customFormat="1" ht="38.25" x14ac:dyDescent="0.2">
      <c r="A1609" s="242">
        <v>40491.919444444444</v>
      </c>
      <c r="B1609" s="107" t="s">
        <v>6305</v>
      </c>
      <c r="C1609" s="107" t="s">
        <v>6305</v>
      </c>
      <c r="D1609" s="430" t="s">
        <v>2307</v>
      </c>
      <c r="E1609" s="107" t="str">
        <f>VLOOKUP(B1609&amp;C1609,Divipola!$C$2:$F$1138,4,FALSE)</f>
        <v>11001</v>
      </c>
      <c r="F1609" s="333"/>
      <c r="G1609" s="221"/>
      <c r="H1609" s="157"/>
      <c r="I1609" s="157"/>
      <c r="J1609" s="157"/>
      <c r="K1609" s="414"/>
      <c r="L1609" s="157"/>
      <c r="M1609" s="157"/>
      <c r="N1609" s="157"/>
      <c r="O1609" s="157"/>
      <c r="P1609" s="157"/>
      <c r="Q1609" s="157"/>
      <c r="R1609" s="157"/>
      <c r="S1609" s="157"/>
      <c r="T1609" s="157"/>
      <c r="U1609" s="157"/>
      <c r="V1609" s="158"/>
      <c r="W1609" s="182"/>
      <c r="X1609" s="1"/>
      <c r="Y1609" s="78">
        <f t="shared" si="208"/>
        <v>0</v>
      </c>
      <c r="Z1609" s="78">
        <f t="shared" si="209"/>
        <v>0</v>
      </c>
      <c r="AA1609" s="78">
        <f t="shared" si="207"/>
        <v>0</v>
      </c>
      <c r="AB1609" s="78">
        <f t="shared" si="210"/>
        <v>0</v>
      </c>
      <c r="AC1609" s="78"/>
      <c r="AD1609" s="78">
        <v>0</v>
      </c>
      <c r="AE1609" s="80">
        <f t="shared" ref="AE1609:AE1672" si="212">Y1609+Z1609+AA1609+AB1609+AC1609+AD1609</f>
        <v>0</v>
      </c>
      <c r="AF1609" s="82">
        <v>0</v>
      </c>
      <c r="AG1609" s="306">
        <v>40624</v>
      </c>
      <c r="AH1609" s="307"/>
      <c r="AI1609" s="306" t="s">
        <v>1984</v>
      </c>
      <c r="AJ1609" s="308" t="s">
        <v>1985</v>
      </c>
      <c r="AK1609" s="309"/>
      <c r="AL1609" s="310" t="s">
        <v>1257</v>
      </c>
      <c r="AM1609" s="419" t="s">
        <v>3744</v>
      </c>
      <c r="AN1609" s="159"/>
      <c r="AO1609" s="160"/>
      <c r="AP1609" s="161"/>
      <c r="AQ1609" s="160"/>
      <c r="AR1609" s="160"/>
      <c r="AS1609" s="160"/>
      <c r="AT1609" s="160"/>
      <c r="AU1609" s="160"/>
      <c r="AV1609" s="160"/>
      <c r="AW1609" s="160"/>
      <c r="AX1609" s="160"/>
      <c r="AY1609" s="160"/>
      <c r="AZ1609" s="160"/>
      <c r="BA1609" s="160"/>
      <c r="BB1609" s="160"/>
      <c r="BC1609" s="160"/>
      <c r="BD1609" s="160"/>
      <c r="BE1609" s="160"/>
      <c r="BF1609" s="160"/>
      <c r="BG1609" s="160"/>
      <c r="BH1609" s="160"/>
      <c r="BI1609" s="160"/>
      <c r="BJ1609" s="160"/>
      <c r="BK1609" s="160"/>
      <c r="BL1609" s="160"/>
      <c r="BM1609" s="160"/>
      <c r="BN1609" s="160"/>
      <c r="BO1609" s="160"/>
      <c r="BP1609" s="160"/>
      <c r="BQ1609" s="160"/>
      <c r="BR1609" s="160"/>
      <c r="BS1609" s="160"/>
      <c r="BT1609" s="160"/>
      <c r="BU1609" s="160"/>
      <c r="BV1609" s="160"/>
      <c r="BW1609" s="160"/>
      <c r="BX1609" s="160"/>
      <c r="BY1609" s="160"/>
      <c r="BZ1609" s="160"/>
      <c r="CA1609" s="160"/>
      <c r="CB1609" s="160"/>
      <c r="CC1609" s="160"/>
      <c r="CD1609" s="160"/>
      <c r="CE1609" s="160"/>
      <c r="CF1609" s="160"/>
      <c r="CG1609" s="160"/>
      <c r="CH1609" s="160"/>
      <c r="CI1609" s="160"/>
      <c r="CJ1609" s="160"/>
      <c r="CK1609" s="160"/>
      <c r="CL1609" s="160"/>
      <c r="CM1609" s="160"/>
      <c r="CN1609" s="160"/>
      <c r="CO1609" s="160"/>
      <c r="CP1609" s="162"/>
      <c r="CQ1609" s="163"/>
      <c r="CR1609" s="162"/>
      <c r="CS1609" s="163"/>
      <c r="CT1609" s="162"/>
      <c r="CU1609" s="163"/>
      <c r="CV1609" s="164">
        <f t="shared" si="211"/>
        <v>0</v>
      </c>
      <c r="CW1609" s="165"/>
      <c r="CX1609" s="166"/>
      <c r="CY1609" s="167"/>
      <c r="CZ1609" s="168"/>
      <c r="DA1609" s="169"/>
      <c r="DB1609" s="168"/>
      <c r="DC1609" s="165"/>
      <c r="DD1609" s="166"/>
      <c r="DE1609" s="71"/>
      <c r="DF1609" s="170"/>
      <c r="EO1609" s="353" t="str">
        <f t="shared" si="206"/>
        <v>BOGOTA, D.C._BOGOTA, D.C.</v>
      </c>
      <c r="EP1609" s="350"/>
      <c r="EQ1609" s="350"/>
      <c r="ER1609" s="357"/>
      <c r="ES1609" s="350"/>
      <c r="ET1609" s="350"/>
      <c r="EU1609" s="350"/>
    </row>
    <row r="1610" spans="1:151" s="171" customFormat="1" ht="84" x14ac:dyDescent="0.2">
      <c r="A1610" s="242">
        <v>40492</v>
      </c>
      <c r="B1610" s="222" t="s">
        <v>2017</v>
      </c>
      <c r="C1610" s="222" t="s">
        <v>985</v>
      </c>
      <c r="D1610" s="430" t="s">
        <v>837</v>
      </c>
      <c r="E1610" s="107" t="str">
        <f>VLOOKUP(B1610&amp;C1610,Divipola!$C$2:$F$1138,4,FALSE)</f>
        <v>13473</v>
      </c>
      <c r="F1610" s="333"/>
      <c r="G1610" s="221"/>
      <c r="H1610" s="157"/>
      <c r="I1610" s="157"/>
      <c r="J1610" s="157">
        <f>801*5</f>
        <v>4005</v>
      </c>
      <c r="K1610" s="157">
        <f>2266-1465</f>
        <v>801</v>
      </c>
      <c r="L1610" s="157"/>
      <c r="M1610" s="157">
        <v>801</v>
      </c>
      <c r="N1610" s="157"/>
      <c r="O1610" s="157"/>
      <c r="P1610" s="157"/>
      <c r="Q1610" s="157"/>
      <c r="R1610" s="157"/>
      <c r="S1610" s="157"/>
      <c r="T1610" s="157"/>
      <c r="U1610" s="157"/>
      <c r="V1610" s="158"/>
      <c r="W1610" s="182"/>
      <c r="X1610" s="1">
        <v>40528</v>
      </c>
      <c r="Y1610" s="78">
        <f t="shared" si="208"/>
        <v>425699000</v>
      </c>
      <c r="Z1610" s="78">
        <f t="shared" si="209"/>
        <v>257635000</v>
      </c>
      <c r="AA1610" s="78">
        <f t="shared" si="207"/>
        <v>0</v>
      </c>
      <c r="AB1610" s="78">
        <f t="shared" si="210"/>
        <v>14250000</v>
      </c>
      <c r="AC1610" s="78">
        <f>500*18000</f>
        <v>9000000</v>
      </c>
      <c r="AD1610" s="78">
        <v>0</v>
      </c>
      <c r="AE1610" s="80">
        <f t="shared" si="212"/>
        <v>706584000</v>
      </c>
      <c r="AF1610" s="82">
        <v>0</v>
      </c>
      <c r="AG1610" s="69">
        <v>40494</v>
      </c>
      <c r="AH1610" s="84">
        <v>47162</v>
      </c>
      <c r="AI1610" s="69" t="s">
        <v>2009</v>
      </c>
      <c r="AJ1610" s="25" t="s">
        <v>2010</v>
      </c>
      <c r="AK1610" s="65">
        <v>26388</v>
      </c>
      <c r="AL1610" s="176" t="s">
        <v>1831</v>
      </c>
      <c r="AM1610" s="172" t="s">
        <v>3862</v>
      </c>
      <c r="AN1610" s="159"/>
      <c r="AO1610" s="160"/>
      <c r="AP1610" s="161"/>
      <c r="AQ1610" s="160"/>
      <c r="AR1610" s="160"/>
      <c r="AS1610" s="160"/>
      <c r="AT1610" s="160"/>
      <c r="AU1610" s="160"/>
      <c r="AV1610" s="160"/>
      <c r="AW1610" s="160"/>
      <c r="AX1610" s="160"/>
      <c r="AY1610" s="160"/>
      <c r="AZ1610" s="160">
        <v>2266</v>
      </c>
      <c r="BA1610" s="160">
        <f>2266*56000</f>
        <v>126896000</v>
      </c>
      <c r="BB1610" s="160"/>
      <c r="BC1610" s="160"/>
      <c r="BD1610" s="160"/>
      <c r="BE1610" s="160"/>
      <c r="BF1610" s="160"/>
      <c r="BG1610" s="160"/>
      <c r="BH1610" s="160"/>
      <c r="BI1610" s="160"/>
      <c r="BJ1610" s="160"/>
      <c r="BK1610" s="160"/>
      <c r="BL1610" s="160"/>
      <c r="BM1610" s="160"/>
      <c r="BN1610" s="160"/>
      <c r="BO1610" s="160"/>
      <c r="BP1610" s="160"/>
      <c r="BQ1610" s="160"/>
      <c r="BR1610" s="160"/>
      <c r="BS1610" s="160"/>
      <c r="BT1610" s="160"/>
      <c r="BU1610" s="160"/>
      <c r="BV1610" s="160"/>
      <c r="BW1610" s="160"/>
      <c r="BX1610" s="160"/>
      <c r="BY1610" s="160"/>
      <c r="BZ1610" s="160">
        <v>20</v>
      </c>
      <c r="CA1610" s="160">
        <f>20*470000</f>
        <v>9400000</v>
      </c>
      <c r="CB1610" s="160"/>
      <c r="CC1610" s="160"/>
      <c r="CD1610" s="160"/>
      <c r="CE1610" s="160"/>
      <c r="CF1610" s="160"/>
      <c r="CG1610" s="160"/>
      <c r="CH1610" s="160"/>
      <c r="CI1610" s="160"/>
      <c r="CJ1610" s="160">
        <v>2266</v>
      </c>
      <c r="CK1610" s="160">
        <f>2266*21000</f>
        <v>47586000</v>
      </c>
      <c r="CL1610" s="160"/>
      <c r="CM1610" s="160"/>
      <c r="CN1610" s="160">
        <f>765+5000</f>
        <v>5765</v>
      </c>
      <c r="CO1610" s="160">
        <f>765*18000+5000*18000</f>
        <v>103770000</v>
      </c>
      <c r="CP1610" s="162">
        <f>1465+2266</f>
        <v>3731</v>
      </c>
      <c r="CQ1610" s="163">
        <f>1465*37000+2266*37000</f>
        <v>138047000</v>
      </c>
      <c r="CR1610" s="162"/>
      <c r="CS1610" s="163"/>
      <c r="CT1610" s="162"/>
      <c r="CU1610" s="163"/>
      <c r="CV1610" s="164">
        <f t="shared" si="211"/>
        <v>425699000</v>
      </c>
      <c r="CW1610" s="165">
        <v>15000</v>
      </c>
      <c r="CX1610" s="166">
        <f>15000*950</f>
        <v>14250000</v>
      </c>
      <c r="CY1610" s="167">
        <f>765+2266</f>
        <v>3031</v>
      </c>
      <c r="CZ1610" s="168">
        <f>765*85000+2266*85000</f>
        <v>257635000</v>
      </c>
      <c r="DA1610" s="169"/>
      <c r="DB1610" s="168"/>
      <c r="DC1610" s="165"/>
      <c r="DD1610" s="166"/>
      <c r="DE1610" s="71"/>
      <c r="DF1610" s="170"/>
      <c r="EO1610" s="353" t="str">
        <f t="shared" si="206"/>
        <v>BOLIVAR_MORALES</v>
      </c>
      <c r="EP1610" s="350"/>
      <c r="EQ1610" s="350"/>
      <c r="ER1610" s="357"/>
      <c r="ES1610" s="350"/>
      <c r="ET1610" s="350"/>
      <c r="EU1610" s="350"/>
    </row>
    <row r="1611" spans="1:151" s="171" customFormat="1" ht="36" x14ac:dyDescent="0.2">
      <c r="A1611" s="242">
        <v>40492</v>
      </c>
      <c r="B1611" s="222" t="s">
        <v>2017</v>
      </c>
      <c r="C1611" s="222" t="s">
        <v>2105</v>
      </c>
      <c r="D1611" s="430" t="s">
        <v>837</v>
      </c>
      <c r="E1611" s="107" t="str">
        <f>VLOOKUP(B1611&amp;C1611,Divipola!$C$2:$F$1138,4,FALSE)</f>
        <v>13670</v>
      </c>
      <c r="F1611" s="333"/>
      <c r="G1611" s="221"/>
      <c r="H1611" s="157"/>
      <c r="I1611" s="157"/>
      <c r="J1611" s="157">
        <f>252*5</f>
        <v>1260</v>
      </c>
      <c r="K1611" s="157">
        <f>885-576-57</f>
        <v>252</v>
      </c>
      <c r="L1611" s="157"/>
      <c r="M1611" s="157">
        <v>252</v>
      </c>
      <c r="N1611" s="157"/>
      <c r="O1611" s="157"/>
      <c r="P1611" s="157"/>
      <c r="Q1611" s="157"/>
      <c r="R1611" s="157"/>
      <c r="S1611" s="157"/>
      <c r="T1611" s="157"/>
      <c r="U1611" s="157"/>
      <c r="V1611" s="158"/>
      <c r="W1611" s="182"/>
      <c r="X1611" s="1"/>
      <c r="Y1611" s="78">
        <f t="shared" si="208"/>
        <v>259000000</v>
      </c>
      <c r="Z1611" s="78">
        <f t="shared" si="209"/>
        <v>238000000</v>
      </c>
      <c r="AA1611" s="78">
        <f t="shared" si="207"/>
        <v>0</v>
      </c>
      <c r="AB1611" s="78">
        <f t="shared" si="210"/>
        <v>0</v>
      </c>
      <c r="AC1611" s="78">
        <f>500*18000</f>
        <v>9000000</v>
      </c>
      <c r="AD1611" s="78">
        <v>0</v>
      </c>
      <c r="AE1611" s="80">
        <f t="shared" si="212"/>
        <v>506000000</v>
      </c>
      <c r="AF1611" s="82">
        <v>0</v>
      </c>
      <c r="AG1611" s="69">
        <v>40494</v>
      </c>
      <c r="AH1611" s="84"/>
      <c r="AI1611" s="69" t="s">
        <v>2009</v>
      </c>
      <c r="AJ1611" s="25" t="s">
        <v>2010</v>
      </c>
      <c r="AK1611" s="65"/>
      <c r="AL1611" s="176" t="s">
        <v>1257</v>
      </c>
      <c r="AM1611" s="173" t="s">
        <v>3861</v>
      </c>
      <c r="AN1611" s="159"/>
      <c r="AO1611" s="160"/>
      <c r="AP1611" s="161"/>
      <c r="AQ1611" s="160"/>
      <c r="AR1611" s="160"/>
      <c r="AS1611" s="160"/>
      <c r="AT1611" s="160"/>
      <c r="AU1611" s="160"/>
      <c r="AV1611" s="160"/>
      <c r="AW1611" s="160"/>
      <c r="AX1611" s="160"/>
      <c r="AY1611" s="160"/>
      <c r="AZ1611" s="160">
        <v>2800</v>
      </c>
      <c r="BA1611" s="160">
        <f>2800*56000</f>
        <v>156800000</v>
      </c>
      <c r="BB1611" s="160"/>
      <c r="BC1611" s="160"/>
      <c r="BD1611" s="160"/>
      <c r="BE1611" s="160"/>
      <c r="BF1611" s="160"/>
      <c r="BG1611" s="160"/>
      <c r="BH1611" s="160"/>
      <c r="BI1611" s="160"/>
      <c r="BJ1611" s="160"/>
      <c r="BK1611" s="160"/>
      <c r="BL1611" s="160"/>
      <c r="BM1611" s="160"/>
      <c r="BN1611" s="160"/>
      <c r="BO1611" s="160"/>
      <c r="BP1611" s="160"/>
      <c r="BQ1611" s="160"/>
      <c r="BR1611" s="160"/>
      <c r="BS1611" s="160"/>
      <c r="BT1611" s="160"/>
      <c r="BU1611" s="160"/>
      <c r="BV1611" s="160"/>
      <c r="BW1611" s="160"/>
      <c r="BX1611" s="160"/>
      <c r="BY1611" s="160"/>
      <c r="BZ1611" s="160"/>
      <c r="CA1611" s="160"/>
      <c r="CB1611" s="160"/>
      <c r="CC1611" s="160"/>
      <c r="CD1611" s="160"/>
      <c r="CE1611" s="160"/>
      <c r="CF1611" s="160"/>
      <c r="CG1611" s="160"/>
      <c r="CH1611" s="160"/>
      <c r="CI1611" s="160"/>
      <c r="CJ1611" s="160"/>
      <c r="CK1611" s="160"/>
      <c r="CL1611" s="160"/>
      <c r="CM1611" s="160"/>
      <c r="CN1611" s="160">
        <v>2800</v>
      </c>
      <c r="CO1611" s="160">
        <f>2800*18000</f>
        <v>50400000</v>
      </c>
      <c r="CP1611" s="162">
        <v>1400</v>
      </c>
      <c r="CQ1611" s="163">
        <f>1400*37000</f>
        <v>51800000</v>
      </c>
      <c r="CR1611" s="162"/>
      <c r="CS1611" s="163"/>
      <c r="CT1611" s="162"/>
      <c r="CU1611" s="163"/>
      <c r="CV1611" s="164">
        <f t="shared" si="211"/>
        <v>259000000</v>
      </c>
      <c r="CW1611" s="165"/>
      <c r="CX1611" s="166"/>
      <c r="CY1611" s="167">
        <v>2800</v>
      </c>
      <c r="CZ1611" s="168">
        <f>2800*85000</f>
        <v>238000000</v>
      </c>
      <c r="DA1611" s="169"/>
      <c r="DB1611" s="168"/>
      <c r="DC1611" s="165"/>
      <c r="DD1611" s="166"/>
      <c r="DE1611" s="71"/>
      <c r="DF1611" s="170"/>
      <c r="EO1611" s="353" t="str">
        <f t="shared" si="206"/>
        <v>BOLIVAR_SAN PABLO</v>
      </c>
      <c r="EP1611" s="350"/>
      <c r="EQ1611" s="350"/>
      <c r="ER1611" s="357"/>
      <c r="ES1611" s="350"/>
      <c r="ET1611" s="350"/>
      <c r="EU1611" s="350"/>
    </row>
    <row r="1612" spans="1:151" s="171" customFormat="1" ht="48" x14ac:dyDescent="0.2">
      <c r="A1612" s="242">
        <v>40492</v>
      </c>
      <c r="B1612" s="222" t="s">
        <v>828</v>
      </c>
      <c r="C1612" s="222" t="s">
        <v>1664</v>
      </c>
      <c r="D1612" s="430" t="s">
        <v>837</v>
      </c>
      <c r="E1612" s="107" t="str">
        <f>VLOOKUP(B1612&amp;C1612,Divipola!$C$2:$F$1138,4,FALSE)</f>
        <v>15183</v>
      </c>
      <c r="F1612" s="333"/>
      <c r="G1612" s="221"/>
      <c r="H1612" s="157"/>
      <c r="I1612" s="157"/>
      <c r="J1612" s="157">
        <f>446*5</f>
        <v>2230</v>
      </c>
      <c r="K1612" s="157">
        <v>446</v>
      </c>
      <c r="L1612" s="157"/>
      <c r="M1612" s="157">
        <v>150</v>
      </c>
      <c r="N1612" s="157">
        <v>4</v>
      </c>
      <c r="O1612" s="157"/>
      <c r="P1612" s="157"/>
      <c r="Q1612" s="157"/>
      <c r="R1612" s="157"/>
      <c r="S1612" s="157"/>
      <c r="T1612" s="157"/>
      <c r="U1612" s="157"/>
      <c r="V1612" s="158"/>
      <c r="W1612" s="182"/>
      <c r="X1612" s="1">
        <v>40530</v>
      </c>
      <c r="Y1612" s="78">
        <f t="shared" si="208"/>
        <v>23054826</v>
      </c>
      <c r="Z1612" s="78">
        <f t="shared" si="209"/>
        <v>12750000</v>
      </c>
      <c r="AA1612" s="78">
        <f t="shared" si="207"/>
        <v>0</v>
      </c>
      <c r="AB1612" s="78">
        <f t="shared" si="210"/>
        <v>0</v>
      </c>
      <c r="AC1612" s="78"/>
      <c r="AD1612" s="78">
        <v>0</v>
      </c>
      <c r="AE1612" s="80">
        <f t="shared" si="212"/>
        <v>35804826</v>
      </c>
      <c r="AF1612" s="82">
        <v>0</v>
      </c>
      <c r="AG1612" s="69">
        <v>40504</v>
      </c>
      <c r="AH1612" s="84"/>
      <c r="AI1612" s="69" t="s">
        <v>2009</v>
      </c>
      <c r="AJ1612" s="25" t="s">
        <v>2010</v>
      </c>
      <c r="AK1612" s="88" t="s">
        <v>72</v>
      </c>
      <c r="AL1612" s="176" t="s">
        <v>1676</v>
      </c>
      <c r="AM1612" s="173" t="s">
        <v>2953</v>
      </c>
      <c r="AN1612" s="159"/>
      <c r="AO1612" s="160"/>
      <c r="AP1612" s="161"/>
      <c r="AQ1612" s="160"/>
      <c r="AR1612" s="160"/>
      <c r="AS1612" s="160"/>
      <c r="AT1612" s="160"/>
      <c r="AU1612" s="160"/>
      <c r="AV1612" s="160"/>
      <c r="AW1612" s="160"/>
      <c r="AX1612" s="160"/>
      <c r="AY1612" s="160"/>
      <c r="AZ1612" s="160">
        <v>150</v>
      </c>
      <c r="BA1612" s="160">
        <f>150*56000</f>
        <v>8400000</v>
      </c>
      <c r="BB1612" s="160"/>
      <c r="BC1612" s="160"/>
      <c r="BD1612" s="160"/>
      <c r="BE1612" s="160"/>
      <c r="BF1612" s="160"/>
      <c r="BG1612" s="160"/>
      <c r="BH1612" s="160"/>
      <c r="BI1612" s="160"/>
      <c r="BJ1612" s="160"/>
      <c r="BK1612" s="160"/>
      <c r="BL1612" s="160"/>
      <c r="BM1612" s="160"/>
      <c r="BN1612" s="160"/>
      <c r="BO1612" s="160"/>
      <c r="BP1612" s="160"/>
      <c r="BQ1612" s="160"/>
      <c r="BR1612" s="160"/>
      <c r="BS1612" s="160"/>
      <c r="BT1612" s="160"/>
      <c r="BU1612" s="160"/>
      <c r="BV1612" s="160"/>
      <c r="BW1612" s="160"/>
      <c r="BX1612" s="160"/>
      <c r="BY1612" s="160"/>
      <c r="BZ1612" s="160"/>
      <c r="CA1612" s="160"/>
      <c r="CB1612" s="160"/>
      <c r="CC1612" s="160"/>
      <c r="CD1612" s="160"/>
      <c r="CE1612" s="160"/>
      <c r="CF1612" s="160"/>
      <c r="CG1612" s="160"/>
      <c r="CH1612" s="160"/>
      <c r="CI1612" s="160"/>
      <c r="CJ1612" s="160">
        <v>150</v>
      </c>
      <c r="CK1612" s="160">
        <f>150*20999.48</f>
        <v>3149922</v>
      </c>
      <c r="CL1612" s="160"/>
      <c r="CM1612" s="160"/>
      <c r="CN1612" s="160"/>
      <c r="CO1612" s="160"/>
      <c r="CP1612" s="162">
        <v>150</v>
      </c>
      <c r="CQ1612" s="163">
        <f>150*36999.36</f>
        <v>5549904</v>
      </c>
      <c r="CR1612" s="162">
        <v>150</v>
      </c>
      <c r="CS1612" s="163">
        <f>150*39700</f>
        <v>5955000</v>
      </c>
      <c r="CT1612" s="162"/>
      <c r="CU1612" s="163"/>
      <c r="CV1612" s="164">
        <f t="shared" si="211"/>
        <v>23054826</v>
      </c>
      <c r="CW1612" s="165"/>
      <c r="CX1612" s="166"/>
      <c r="CY1612" s="167">
        <v>150</v>
      </c>
      <c r="CZ1612" s="168">
        <f>150*85000</f>
        <v>12750000</v>
      </c>
      <c r="DA1612" s="169"/>
      <c r="DB1612" s="168"/>
      <c r="DC1612" s="165"/>
      <c r="DD1612" s="166"/>
      <c r="DE1612" s="71"/>
      <c r="DF1612" s="170"/>
      <c r="EO1612" s="353" t="str">
        <f t="shared" si="206"/>
        <v>BOYACA_CHITA</v>
      </c>
      <c r="EP1612" s="350"/>
      <c r="EQ1612" s="350"/>
      <c r="ER1612" s="357"/>
      <c r="ES1612" s="350"/>
      <c r="ET1612" s="350"/>
      <c r="EU1612" s="350"/>
    </row>
    <row r="1613" spans="1:151" s="171" customFormat="1" ht="25.5" x14ac:dyDescent="0.2">
      <c r="A1613" s="242">
        <v>40492</v>
      </c>
      <c r="B1613" s="222" t="s">
        <v>828</v>
      </c>
      <c r="C1613" s="222" t="s">
        <v>395</v>
      </c>
      <c r="D1613" s="430" t="s">
        <v>2307</v>
      </c>
      <c r="E1613" s="107" t="str">
        <f>VLOOKUP(B1613&amp;C1613,Divipola!$C$2:$F$1138,4,FALSE)</f>
        <v>15187</v>
      </c>
      <c r="F1613" s="333"/>
      <c r="G1613" s="221"/>
      <c r="H1613" s="157"/>
      <c r="I1613" s="157"/>
      <c r="J1613" s="157">
        <v>100</v>
      </c>
      <c r="K1613" s="157">
        <v>20</v>
      </c>
      <c r="L1613" s="157"/>
      <c r="M1613" s="157">
        <v>20</v>
      </c>
      <c r="N1613" s="157"/>
      <c r="O1613" s="157"/>
      <c r="P1613" s="157"/>
      <c r="Q1613" s="157"/>
      <c r="R1613" s="157"/>
      <c r="S1613" s="157"/>
      <c r="T1613" s="157"/>
      <c r="U1613" s="157"/>
      <c r="V1613" s="158"/>
      <c r="W1613" s="182"/>
      <c r="X1613" s="1"/>
      <c r="Y1613" s="78">
        <f t="shared" si="208"/>
        <v>0</v>
      </c>
      <c r="Z1613" s="78">
        <f t="shared" si="209"/>
        <v>0</v>
      </c>
      <c r="AA1613" s="78">
        <f t="shared" si="207"/>
        <v>0</v>
      </c>
      <c r="AB1613" s="78">
        <f t="shared" si="210"/>
        <v>0</v>
      </c>
      <c r="AC1613" s="78"/>
      <c r="AD1613" s="78">
        <v>0</v>
      </c>
      <c r="AE1613" s="80">
        <f t="shared" si="212"/>
        <v>0</v>
      </c>
      <c r="AF1613" s="82">
        <v>0</v>
      </c>
      <c r="AG1613" s="69">
        <v>40589</v>
      </c>
      <c r="AH1613" s="84"/>
      <c r="AI1613" s="69" t="s">
        <v>1984</v>
      </c>
      <c r="AJ1613" s="25" t="s">
        <v>1985</v>
      </c>
      <c r="AK1613" s="65"/>
      <c r="AL1613" s="176" t="s">
        <v>1257</v>
      </c>
      <c r="AM1613" s="173" t="s">
        <v>391</v>
      </c>
      <c r="AN1613" s="159"/>
      <c r="AO1613" s="160"/>
      <c r="AP1613" s="161"/>
      <c r="AQ1613" s="160"/>
      <c r="AR1613" s="160"/>
      <c r="AS1613" s="160"/>
      <c r="AT1613" s="160"/>
      <c r="AU1613" s="160"/>
      <c r="AV1613" s="160"/>
      <c r="AW1613" s="160"/>
      <c r="AX1613" s="160"/>
      <c r="AY1613" s="160"/>
      <c r="AZ1613" s="160"/>
      <c r="BA1613" s="160"/>
      <c r="BB1613" s="160"/>
      <c r="BC1613" s="160"/>
      <c r="BD1613" s="160"/>
      <c r="BE1613" s="160"/>
      <c r="BF1613" s="160"/>
      <c r="BG1613" s="160"/>
      <c r="BH1613" s="160"/>
      <c r="BI1613" s="160"/>
      <c r="BJ1613" s="160"/>
      <c r="BK1613" s="160"/>
      <c r="BL1613" s="160"/>
      <c r="BM1613" s="160"/>
      <c r="BN1613" s="160"/>
      <c r="BO1613" s="160"/>
      <c r="BP1613" s="160"/>
      <c r="BQ1613" s="160"/>
      <c r="BR1613" s="160"/>
      <c r="BS1613" s="160"/>
      <c r="BT1613" s="160"/>
      <c r="BU1613" s="160"/>
      <c r="BV1613" s="160"/>
      <c r="BW1613" s="160"/>
      <c r="BX1613" s="160"/>
      <c r="BY1613" s="160"/>
      <c r="BZ1613" s="160"/>
      <c r="CA1613" s="160"/>
      <c r="CB1613" s="160"/>
      <c r="CC1613" s="160"/>
      <c r="CD1613" s="160"/>
      <c r="CE1613" s="160"/>
      <c r="CF1613" s="160"/>
      <c r="CG1613" s="160"/>
      <c r="CH1613" s="160"/>
      <c r="CI1613" s="160"/>
      <c r="CJ1613" s="160"/>
      <c r="CK1613" s="160"/>
      <c r="CL1613" s="160"/>
      <c r="CM1613" s="160"/>
      <c r="CN1613" s="160"/>
      <c r="CO1613" s="160"/>
      <c r="CP1613" s="162"/>
      <c r="CQ1613" s="163"/>
      <c r="CR1613" s="162"/>
      <c r="CS1613" s="163"/>
      <c r="CT1613" s="162"/>
      <c r="CU1613" s="163"/>
      <c r="CV1613" s="164">
        <f t="shared" si="211"/>
        <v>0</v>
      </c>
      <c r="CW1613" s="165"/>
      <c r="CX1613" s="166"/>
      <c r="CY1613" s="167"/>
      <c r="CZ1613" s="168"/>
      <c r="DA1613" s="169"/>
      <c r="DB1613" s="168"/>
      <c r="DC1613" s="165"/>
      <c r="DD1613" s="166"/>
      <c r="DE1613" s="71"/>
      <c r="DF1613" s="170"/>
      <c r="EO1613" s="375" t="str">
        <f t="shared" si="206"/>
        <v>BOYACA_CHIVATA</v>
      </c>
      <c r="EP1613" s="376"/>
      <c r="EQ1613" s="350"/>
      <c r="ER1613" s="357"/>
      <c r="ES1613" s="350"/>
      <c r="ET1613" s="350"/>
      <c r="EU1613" s="350"/>
    </row>
    <row r="1614" spans="1:151" s="171" customFormat="1" ht="33.75" x14ac:dyDescent="0.2">
      <c r="A1614" s="242">
        <v>40492</v>
      </c>
      <c r="B1614" s="222" t="s">
        <v>828</v>
      </c>
      <c r="C1614" s="222" t="s">
        <v>4118</v>
      </c>
      <c r="D1614" s="430" t="s">
        <v>837</v>
      </c>
      <c r="E1614" s="107" t="str">
        <f>VLOOKUP(B1614&amp;C1614,Divipola!$C$2:$F$1138,4,FALSE)</f>
        <v>15189</v>
      </c>
      <c r="F1614" s="333"/>
      <c r="G1614" s="221"/>
      <c r="H1614" s="157"/>
      <c r="I1614" s="157"/>
      <c r="J1614" s="157">
        <f>19*5</f>
        <v>95</v>
      </c>
      <c r="K1614" s="157">
        <v>19</v>
      </c>
      <c r="L1614" s="157"/>
      <c r="M1614" s="157">
        <v>1</v>
      </c>
      <c r="N1614" s="157"/>
      <c r="O1614" s="157"/>
      <c r="P1614" s="157"/>
      <c r="Q1614" s="157"/>
      <c r="R1614" s="157"/>
      <c r="S1614" s="157"/>
      <c r="T1614" s="157"/>
      <c r="U1614" s="157"/>
      <c r="V1614" s="158">
        <v>42</v>
      </c>
      <c r="W1614" s="182" t="s">
        <v>2530</v>
      </c>
      <c r="X1614" s="1">
        <v>40530</v>
      </c>
      <c r="Y1614" s="78">
        <f t="shared" si="208"/>
        <v>9221930.4000000004</v>
      </c>
      <c r="Z1614" s="78">
        <f t="shared" si="209"/>
        <v>5100000</v>
      </c>
      <c r="AA1614" s="78">
        <f t="shared" si="207"/>
        <v>0</v>
      </c>
      <c r="AB1614" s="78">
        <f t="shared" si="210"/>
        <v>0</v>
      </c>
      <c r="AC1614" s="78"/>
      <c r="AD1614" s="78">
        <v>0</v>
      </c>
      <c r="AE1614" s="80">
        <f t="shared" si="212"/>
        <v>14321930.4</v>
      </c>
      <c r="AF1614" s="82">
        <v>0</v>
      </c>
      <c r="AG1614" s="69">
        <v>40504</v>
      </c>
      <c r="AH1614" s="84"/>
      <c r="AI1614" s="69" t="s">
        <v>2009</v>
      </c>
      <c r="AJ1614" s="25" t="s">
        <v>2010</v>
      </c>
      <c r="AK1614" s="88" t="s">
        <v>72</v>
      </c>
      <c r="AL1614" s="176" t="s">
        <v>1676</v>
      </c>
      <c r="AM1614" s="173" t="s">
        <v>2529</v>
      </c>
      <c r="AN1614" s="159"/>
      <c r="AO1614" s="160"/>
      <c r="AP1614" s="161"/>
      <c r="AQ1614" s="160"/>
      <c r="AR1614" s="160"/>
      <c r="AS1614" s="160"/>
      <c r="AT1614" s="160"/>
      <c r="AU1614" s="160"/>
      <c r="AV1614" s="160"/>
      <c r="AW1614" s="160"/>
      <c r="AX1614" s="160"/>
      <c r="AY1614" s="160"/>
      <c r="AZ1614" s="160">
        <v>60</v>
      </c>
      <c r="BA1614" s="160">
        <f>60*56000</f>
        <v>3360000</v>
      </c>
      <c r="BB1614" s="160"/>
      <c r="BC1614" s="160"/>
      <c r="BD1614" s="160"/>
      <c r="BE1614" s="160"/>
      <c r="BF1614" s="160"/>
      <c r="BG1614" s="160"/>
      <c r="BH1614" s="160"/>
      <c r="BI1614" s="160"/>
      <c r="BJ1614" s="160"/>
      <c r="BK1614" s="160"/>
      <c r="BL1614" s="160"/>
      <c r="BM1614" s="160"/>
      <c r="BN1614" s="160"/>
      <c r="BO1614" s="160"/>
      <c r="BP1614" s="160"/>
      <c r="BQ1614" s="160"/>
      <c r="BR1614" s="160"/>
      <c r="BS1614" s="160"/>
      <c r="BT1614" s="160"/>
      <c r="BU1614" s="160"/>
      <c r="BV1614" s="160"/>
      <c r="BW1614" s="160"/>
      <c r="BX1614" s="160"/>
      <c r="BY1614" s="160"/>
      <c r="BZ1614" s="160"/>
      <c r="CA1614" s="160"/>
      <c r="CB1614" s="160"/>
      <c r="CC1614" s="160"/>
      <c r="CD1614" s="160"/>
      <c r="CE1614" s="160"/>
      <c r="CF1614" s="160"/>
      <c r="CG1614" s="160"/>
      <c r="CH1614" s="160"/>
      <c r="CI1614" s="160"/>
      <c r="CJ1614" s="160">
        <v>60</v>
      </c>
      <c r="CK1614" s="160">
        <f>60*20999.48</f>
        <v>1259968.8</v>
      </c>
      <c r="CL1614" s="160"/>
      <c r="CM1614" s="160"/>
      <c r="CN1614" s="160"/>
      <c r="CO1614" s="160"/>
      <c r="CP1614" s="162">
        <v>60</v>
      </c>
      <c r="CQ1614" s="163">
        <f>60*36999.36</f>
        <v>2219961.6</v>
      </c>
      <c r="CR1614" s="162">
        <v>60</v>
      </c>
      <c r="CS1614" s="163">
        <f>60*39700</f>
        <v>2382000</v>
      </c>
      <c r="CT1614" s="162"/>
      <c r="CU1614" s="163"/>
      <c r="CV1614" s="164">
        <f t="shared" si="211"/>
        <v>9221930.4000000004</v>
      </c>
      <c r="CW1614" s="165"/>
      <c r="CX1614" s="166"/>
      <c r="CY1614" s="167">
        <v>60</v>
      </c>
      <c r="CZ1614" s="168">
        <f>60*85000</f>
        <v>5100000</v>
      </c>
      <c r="DA1614" s="169"/>
      <c r="DB1614" s="168"/>
      <c r="DC1614" s="165"/>
      <c r="DD1614" s="166"/>
      <c r="DE1614" s="71"/>
      <c r="DF1614" s="170"/>
      <c r="EO1614" s="375" t="str">
        <f t="shared" si="206"/>
        <v>BOYACA_CIENEGA</v>
      </c>
      <c r="EP1614" s="376"/>
      <c r="EQ1614" s="350"/>
      <c r="ER1614" s="357"/>
      <c r="ES1614" s="350"/>
      <c r="ET1614" s="350"/>
      <c r="EU1614" s="350"/>
    </row>
    <row r="1615" spans="1:151" s="171" customFormat="1" ht="25.5" x14ac:dyDescent="0.2">
      <c r="A1615" s="242">
        <v>40492</v>
      </c>
      <c r="B1615" s="222" t="s">
        <v>828</v>
      </c>
      <c r="C1615" s="222" t="s">
        <v>396</v>
      </c>
      <c r="D1615" s="430" t="s">
        <v>2307</v>
      </c>
      <c r="E1615" s="107" t="str">
        <f>VLOOKUP(B1615&amp;C1615,Divipola!$C$2:$F$1138,4,FALSE)</f>
        <v>15212</v>
      </c>
      <c r="F1615" s="333"/>
      <c r="G1615" s="221"/>
      <c r="H1615" s="157"/>
      <c r="I1615" s="157"/>
      <c r="J1615" s="157">
        <f>23*5</f>
        <v>115</v>
      </c>
      <c r="K1615" s="157">
        <v>23</v>
      </c>
      <c r="L1615" s="157"/>
      <c r="M1615" s="157">
        <v>23</v>
      </c>
      <c r="N1615" s="157"/>
      <c r="O1615" s="157"/>
      <c r="P1615" s="157"/>
      <c r="Q1615" s="157"/>
      <c r="R1615" s="157"/>
      <c r="S1615" s="157"/>
      <c r="T1615" s="157"/>
      <c r="U1615" s="157"/>
      <c r="V1615" s="158"/>
      <c r="W1615" s="182"/>
      <c r="X1615" s="1"/>
      <c r="Y1615" s="78">
        <f t="shared" si="208"/>
        <v>0</v>
      </c>
      <c r="Z1615" s="78">
        <f t="shared" si="209"/>
        <v>0</v>
      </c>
      <c r="AA1615" s="78">
        <f t="shared" si="207"/>
        <v>0</v>
      </c>
      <c r="AB1615" s="78">
        <f t="shared" si="210"/>
        <v>0</v>
      </c>
      <c r="AC1615" s="78"/>
      <c r="AD1615" s="78">
        <v>0</v>
      </c>
      <c r="AE1615" s="80">
        <f t="shared" si="212"/>
        <v>0</v>
      </c>
      <c r="AF1615" s="82">
        <v>0</v>
      </c>
      <c r="AG1615" s="69">
        <v>40589</v>
      </c>
      <c r="AH1615" s="84"/>
      <c r="AI1615" s="69" t="s">
        <v>1984</v>
      </c>
      <c r="AJ1615" s="25" t="s">
        <v>1985</v>
      </c>
      <c r="AK1615" s="65"/>
      <c r="AL1615" s="176" t="s">
        <v>1257</v>
      </c>
      <c r="AM1615" s="173" t="s">
        <v>391</v>
      </c>
      <c r="AN1615" s="159"/>
      <c r="AO1615" s="160"/>
      <c r="AP1615" s="161"/>
      <c r="AQ1615" s="160"/>
      <c r="AR1615" s="160"/>
      <c r="AS1615" s="160"/>
      <c r="AT1615" s="160"/>
      <c r="AU1615" s="160"/>
      <c r="AV1615" s="160"/>
      <c r="AW1615" s="160"/>
      <c r="AX1615" s="160"/>
      <c r="AY1615" s="160"/>
      <c r="AZ1615" s="160"/>
      <c r="BA1615" s="160"/>
      <c r="BB1615" s="160"/>
      <c r="BC1615" s="160"/>
      <c r="BD1615" s="160"/>
      <c r="BE1615" s="160"/>
      <c r="BF1615" s="160"/>
      <c r="BG1615" s="160"/>
      <c r="BH1615" s="160"/>
      <c r="BI1615" s="160"/>
      <c r="BJ1615" s="160"/>
      <c r="BK1615" s="160"/>
      <c r="BL1615" s="160"/>
      <c r="BM1615" s="160"/>
      <c r="BN1615" s="160"/>
      <c r="BO1615" s="160"/>
      <c r="BP1615" s="160"/>
      <c r="BQ1615" s="160"/>
      <c r="BR1615" s="160"/>
      <c r="BS1615" s="160"/>
      <c r="BT1615" s="160"/>
      <c r="BU1615" s="160"/>
      <c r="BV1615" s="160"/>
      <c r="BW1615" s="160"/>
      <c r="BX1615" s="160"/>
      <c r="BY1615" s="160"/>
      <c r="BZ1615" s="160"/>
      <c r="CA1615" s="160"/>
      <c r="CB1615" s="160"/>
      <c r="CC1615" s="160"/>
      <c r="CD1615" s="160"/>
      <c r="CE1615" s="160"/>
      <c r="CF1615" s="160"/>
      <c r="CG1615" s="160"/>
      <c r="CH1615" s="160"/>
      <c r="CI1615" s="160"/>
      <c r="CJ1615" s="160"/>
      <c r="CK1615" s="160"/>
      <c r="CL1615" s="160"/>
      <c r="CM1615" s="160"/>
      <c r="CN1615" s="160"/>
      <c r="CO1615" s="160"/>
      <c r="CP1615" s="162"/>
      <c r="CQ1615" s="163"/>
      <c r="CR1615" s="162"/>
      <c r="CS1615" s="163"/>
      <c r="CT1615" s="162"/>
      <c r="CU1615" s="163"/>
      <c r="CV1615" s="164">
        <f t="shared" si="211"/>
        <v>0</v>
      </c>
      <c r="CW1615" s="165"/>
      <c r="CX1615" s="166"/>
      <c r="CY1615" s="167"/>
      <c r="CZ1615" s="168"/>
      <c r="DA1615" s="169"/>
      <c r="DB1615" s="168"/>
      <c r="DC1615" s="165"/>
      <c r="DD1615" s="166"/>
      <c r="DE1615" s="71"/>
      <c r="DF1615" s="170"/>
      <c r="EO1615" s="375" t="str">
        <f t="shared" si="206"/>
        <v>BOYACA_COPER</v>
      </c>
      <c r="EP1615" s="376"/>
      <c r="EQ1615" s="350"/>
      <c r="ER1615" s="357"/>
      <c r="ES1615" s="350"/>
      <c r="ET1615" s="350"/>
      <c r="EU1615" s="350"/>
    </row>
    <row r="1616" spans="1:151" s="171" customFormat="1" ht="25.5" x14ac:dyDescent="0.2">
      <c r="A1616" s="242">
        <v>40492</v>
      </c>
      <c r="B1616" s="222" t="s">
        <v>828</v>
      </c>
      <c r="C1616" s="222" t="s">
        <v>2345</v>
      </c>
      <c r="D1616" s="430" t="s">
        <v>2307</v>
      </c>
      <c r="E1616" s="107" t="str">
        <f>VLOOKUP(B1616&amp;C1616,Divipola!$C$2:$F$1138,4,FALSE)</f>
        <v>15215</v>
      </c>
      <c r="F1616" s="333"/>
      <c r="G1616" s="221"/>
      <c r="H1616" s="157"/>
      <c r="I1616" s="157"/>
      <c r="J1616" s="157">
        <f>54*5</f>
        <v>270</v>
      </c>
      <c r="K1616" s="157">
        <v>54</v>
      </c>
      <c r="L1616" s="157"/>
      <c r="M1616" s="157"/>
      <c r="N1616" s="157"/>
      <c r="O1616" s="157"/>
      <c r="P1616" s="157"/>
      <c r="Q1616" s="157"/>
      <c r="R1616" s="157"/>
      <c r="S1616" s="157"/>
      <c r="T1616" s="157"/>
      <c r="U1616" s="157"/>
      <c r="V1616" s="158"/>
      <c r="W1616" s="182"/>
      <c r="X1616" s="1"/>
      <c r="Y1616" s="78">
        <f t="shared" si="208"/>
        <v>0</v>
      </c>
      <c r="Z1616" s="78">
        <f t="shared" si="209"/>
        <v>0</v>
      </c>
      <c r="AA1616" s="78">
        <f t="shared" si="207"/>
        <v>0</v>
      </c>
      <c r="AB1616" s="78">
        <f t="shared" si="210"/>
        <v>0</v>
      </c>
      <c r="AC1616" s="78"/>
      <c r="AD1616" s="78">
        <v>0</v>
      </c>
      <c r="AE1616" s="80">
        <f t="shared" si="212"/>
        <v>0</v>
      </c>
      <c r="AF1616" s="82">
        <v>0</v>
      </c>
      <c r="AG1616" s="69">
        <v>40589</v>
      </c>
      <c r="AH1616" s="84"/>
      <c r="AI1616" s="69" t="s">
        <v>1984</v>
      </c>
      <c r="AJ1616" s="25" t="s">
        <v>1985</v>
      </c>
      <c r="AK1616" s="65"/>
      <c r="AL1616" s="176" t="s">
        <v>1257</v>
      </c>
      <c r="AM1616" s="173" t="s">
        <v>391</v>
      </c>
      <c r="AN1616" s="159"/>
      <c r="AO1616" s="160"/>
      <c r="AP1616" s="161"/>
      <c r="AQ1616" s="160"/>
      <c r="AR1616" s="160"/>
      <c r="AS1616" s="160"/>
      <c r="AT1616" s="160"/>
      <c r="AU1616" s="160"/>
      <c r="AV1616" s="160"/>
      <c r="AW1616" s="160"/>
      <c r="AX1616" s="160"/>
      <c r="AY1616" s="160"/>
      <c r="AZ1616" s="160"/>
      <c r="BA1616" s="160"/>
      <c r="BB1616" s="160"/>
      <c r="BC1616" s="160"/>
      <c r="BD1616" s="160"/>
      <c r="BE1616" s="160"/>
      <c r="BF1616" s="160"/>
      <c r="BG1616" s="160"/>
      <c r="BH1616" s="160"/>
      <c r="BI1616" s="160"/>
      <c r="BJ1616" s="160"/>
      <c r="BK1616" s="160"/>
      <c r="BL1616" s="160"/>
      <c r="BM1616" s="160"/>
      <c r="BN1616" s="160"/>
      <c r="BO1616" s="160"/>
      <c r="BP1616" s="160"/>
      <c r="BQ1616" s="160"/>
      <c r="BR1616" s="160"/>
      <c r="BS1616" s="160"/>
      <c r="BT1616" s="160"/>
      <c r="BU1616" s="160"/>
      <c r="BV1616" s="160"/>
      <c r="BW1616" s="160"/>
      <c r="BX1616" s="160"/>
      <c r="BY1616" s="160"/>
      <c r="BZ1616" s="160"/>
      <c r="CA1616" s="160"/>
      <c r="CB1616" s="160"/>
      <c r="CC1616" s="160"/>
      <c r="CD1616" s="160"/>
      <c r="CE1616" s="160"/>
      <c r="CF1616" s="160"/>
      <c r="CG1616" s="160"/>
      <c r="CH1616" s="160"/>
      <c r="CI1616" s="160"/>
      <c r="CJ1616" s="160"/>
      <c r="CK1616" s="160"/>
      <c r="CL1616" s="160"/>
      <c r="CM1616" s="160"/>
      <c r="CN1616" s="160"/>
      <c r="CO1616" s="160"/>
      <c r="CP1616" s="162"/>
      <c r="CQ1616" s="163"/>
      <c r="CR1616" s="162"/>
      <c r="CS1616" s="163"/>
      <c r="CT1616" s="162"/>
      <c r="CU1616" s="163"/>
      <c r="CV1616" s="164">
        <f t="shared" si="211"/>
        <v>0</v>
      </c>
      <c r="CW1616" s="165"/>
      <c r="CX1616" s="166"/>
      <c r="CY1616" s="167"/>
      <c r="CZ1616" s="168"/>
      <c r="DA1616" s="169"/>
      <c r="DB1616" s="168"/>
      <c r="DC1616" s="165"/>
      <c r="DD1616" s="166"/>
      <c r="DE1616" s="71"/>
      <c r="DF1616" s="170"/>
      <c r="EO1616" s="375" t="str">
        <f t="shared" si="206"/>
        <v>BOYACA_CORRALES</v>
      </c>
      <c r="EP1616" s="376"/>
      <c r="EQ1616" s="350"/>
      <c r="ER1616" s="357"/>
      <c r="ES1616" s="350"/>
      <c r="ET1616" s="350"/>
      <c r="EU1616" s="350"/>
    </row>
    <row r="1617" spans="1:151" s="171" customFormat="1" ht="33.75" x14ac:dyDescent="0.2">
      <c r="A1617" s="242">
        <v>40492</v>
      </c>
      <c r="B1617" s="222" t="s">
        <v>828</v>
      </c>
      <c r="C1617" s="222" t="s">
        <v>2350</v>
      </c>
      <c r="D1617" s="430" t="s">
        <v>837</v>
      </c>
      <c r="E1617" s="107" t="str">
        <f>VLOOKUP(B1617&amp;C1617,Divipola!$C$2:$F$1138,4,FALSE)</f>
        <v>15299</v>
      </c>
      <c r="F1617" s="333"/>
      <c r="G1617" s="221"/>
      <c r="H1617" s="157"/>
      <c r="I1617" s="157"/>
      <c r="J1617" s="157">
        <f>60*5</f>
        <v>300</v>
      </c>
      <c r="K1617" s="157">
        <v>60</v>
      </c>
      <c r="L1617" s="157"/>
      <c r="M1617" s="157">
        <v>60</v>
      </c>
      <c r="N1617" s="157"/>
      <c r="O1617" s="157"/>
      <c r="P1617" s="157"/>
      <c r="Q1617" s="157"/>
      <c r="R1617" s="157"/>
      <c r="S1617" s="157"/>
      <c r="T1617" s="157"/>
      <c r="U1617" s="157"/>
      <c r="V1617" s="158"/>
      <c r="W1617" s="182"/>
      <c r="X1617" s="1">
        <v>40530</v>
      </c>
      <c r="Y1617" s="78">
        <f t="shared" si="208"/>
        <v>7684942</v>
      </c>
      <c r="Z1617" s="78">
        <f t="shared" si="209"/>
        <v>4250000</v>
      </c>
      <c r="AA1617" s="78">
        <f t="shared" si="207"/>
        <v>0</v>
      </c>
      <c r="AB1617" s="78">
        <f t="shared" si="210"/>
        <v>0</v>
      </c>
      <c r="AC1617" s="78"/>
      <c r="AD1617" s="78">
        <v>0</v>
      </c>
      <c r="AE1617" s="80">
        <f t="shared" si="212"/>
        <v>11934942</v>
      </c>
      <c r="AF1617" s="82">
        <v>0</v>
      </c>
      <c r="AG1617" s="69">
        <v>40504</v>
      </c>
      <c r="AH1617" s="84"/>
      <c r="AI1617" s="69" t="s">
        <v>2009</v>
      </c>
      <c r="AJ1617" s="25" t="s">
        <v>2010</v>
      </c>
      <c r="AK1617" s="88" t="s">
        <v>72</v>
      </c>
      <c r="AL1617" s="176" t="s">
        <v>1676</v>
      </c>
      <c r="AM1617" s="173" t="s">
        <v>2841</v>
      </c>
      <c r="AN1617" s="159"/>
      <c r="AO1617" s="160"/>
      <c r="AP1617" s="161"/>
      <c r="AQ1617" s="160"/>
      <c r="AR1617" s="160"/>
      <c r="AS1617" s="160"/>
      <c r="AT1617" s="160"/>
      <c r="AU1617" s="160"/>
      <c r="AV1617" s="160"/>
      <c r="AW1617" s="160"/>
      <c r="AX1617" s="160"/>
      <c r="AY1617" s="160"/>
      <c r="AZ1617" s="160">
        <v>50</v>
      </c>
      <c r="BA1617" s="160">
        <f>50*56000</f>
        <v>2800000</v>
      </c>
      <c r="BB1617" s="160"/>
      <c r="BC1617" s="160"/>
      <c r="BD1617" s="160"/>
      <c r="BE1617" s="160"/>
      <c r="BF1617" s="160"/>
      <c r="BG1617" s="160"/>
      <c r="BH1617" s="160"/>
      <c r="BI1617" s="160"/>
      <c r="BJ1617" s="160"/>
      <c r="BK1617" s="160"/>
      <c r="BL1617" s="160"/>
      <c r="BM1617" s="160"/>
      <c r="BN1617" s="160"/>
      <c r="BO1617" s="160"/>
      <c r="BP1617" s="160"/>
      <c r="BQ1617" s="160"/>
      <c r="BR1617" s="160"/>
      <c r="BS1617" s="160"/>
      <c r="BT1617" s="160"/>
      <c r="BU1617" s="160"/>
      <c r="BV1617" s="160"/>
      <c r="BW1617" s="160"/>
      <c r="BX1617" s="160"/>
      <c r="BY1617" s="160"/>
      <c r="BZ1617" s="160"/>
      <c r="CA1617" s="160"/>
      <c r="CB1617" s="160"/>
      <c r="CC1617" s="160"/>
      <c r="CD1617" s="160"/>
      <c r="CE1617" s="160"/>
      <c r="CF1617" s="160"/>
      <c r="CG1617" s="160"/>
      <c r="CH1617" s="160"/>
      <c r="CI1617" s="160"/>
      <c r="CJ1617" s="160">
        <v>50</v>
      </c>
      <c r="CK1617" s="160">
        <f>50*20999.48</f>
        <v>1049974</v>
      </c>
      <c r="CL1617" s="160"/>
      <c r="CM1617" s="160"/>
      <c r="CN1617" s="160"/>
      <c r="CO1617" s="160"/>
      <c r="CP1617" s="162">
        <v>50</v>
      </c>
      <c r="CQ1617" s="163">
        <f>50*36999.36</f>
        <v>1849968</v>
      </c>
      <c r="CR1617" s="162">
        <v>50</v>
      </c>
      <c r="CS1617" s="163">
        <f>50*39700</f>
        <v>1985000</v>
      </c>
      <c r="CT1617" s="162"/>
      <c r="CU1617" s="163"/>
      <c r="CV1617" s="164">
        <f t="shared" si="211"/>
        <v>7684942</v>
      </c>
      <c r="CW1617" s="165"/>
      <c r="CX1617" s="166"/>
      <c r="CY1617" s="167">
        <v>50</v>
      </c>
      <c r="CZ1617" s="168">
        <f>50*85000</f>
        <v>4250000</v>
      </c>
      <c r="DA1617" s="169"/>
      <c r="DB1617" s="168"/>
      <c r="DC1617" s="165"/>
      <c r="DD1617" s="166"/>
      <c r="DE1617" s="71"/>
      <c r="DF1617" s="170"/>
      <c r="EO1617" s="375" t="str">
        <f t="shared" si="206"/>
        <v>BOYACA_GARAGOA</v>
      </c>
      <c r="EP1617" s="376"/>
      <c r="EQ1617" s="376"/>
      <c r="ER1617" s="377"/>
      <c r="ES1617" s="376"/>
      <c r="ET1617" s="376"/>
      <c r="EU1617" s="376"/>
    </row>
    <row r="1618" spans="1:151" s="171" customFormat="1" ht="38.25" x14ac:dyDescent="0.2">
      <c r="A1618" s="242">
        <v>40492</v>
      </c>
      <c r="B1618" s="222" t="s">
        <v>828</v>
      </c>
      <c r="C1618" s="222" t="s">
        <v>2351</v>
      </c>
      <c r="D1618" s="430" t="s">
        <v>2307</v>
      </c>
      <c r="E1618" s="107" t="str">
        <f>VLOOKUP(B1618&amp;C1618,Divipola!$C$2:$F$1138,4,FALSE)</f>
        <v>15317</v>
      </c>
      <c r="F1618" s="333"/>
      <c r="G1618" s="221"/>
      <c r="H1618" s="157"/>
      <c r="I1618" s="157"/>
      <c r="J1618" s="157">
        <f>142*5</f>
        <v>710</v>
      </c>
      <c r="K1618" s="157">
        <v>142</v>
      </c>
      <c r="L1618" s="157"/>
      <c r="M1618" s="157">
        <v>142</v>
      </c>
      <c r="N1618" s="157"/>
      <c r="O1618" s="157"/>
      <c r="P1618" s="157"/>
      <c r="Q1618" s="157"/>
      <c r="R1618" s="157"/>
      <c r="S1618" s="157"/>
      <c r="T1618" s="157"/>
      <c r="U1618" s="157"/>
      <c r="V1618" s="158"/>
      <c r="W1618" s="182"/>
      <c r="X1618" s="1"/>
      <c r="Y1618" s="78">
        <f t="shared" si="208"/>
        <v>0</v>
      </c>
      <c r="Z1618" s="78">
        <f t="shared" si="209"/>
        <v>0</v>
      </c>
      <c r="AA1618" s="78">
        <f t="shared" si="207"/>
        <v>0</v>
      </c>
      <c r="AB1618" s="78">
        <f t="shared" si="210"/>
        <v>0</v>
      </c>
      <c r="AC1618" s="78"/>
      <c r="AD1618" s="78">
        <v>0</v>
      </c>
      <c r="AE1618" s="80">
        <f t="shared" si="212"/>
        <v>0</v>
      </c>
      <c r="AF1618" s="82">
        <v>0</v>
      </c>
      <c r="AG1618" s="69">
        <v>40589</v>
      </c>
      <c r="AH1618" s="84"/>
      <c r="AI1618" s="69" t="s">
        <v>1984</v>
      </c>
      <c r="AJ1618" s="25" t="s">
        <v>1985</v>
      </c>
      <c r="AK1618" s="65"/>
      <c r="AL1618" s="176" t="s">
        <v>1257</v>
      </c>
      <c r="AM1618" s="173" t="s">
        <v>391</v>
      </c>
      <c r="AN1618" s="159"/>
      <c r="AO1618" s="160"/>
      <c r="AP1618" s="161"/>
      <c r="AQ1618" s="160"/>
      <c r="AR1618" s="160"/>
      <c r="AS1618" s="160"/>
      <c r="AT1618" s="160"/>
      <c r="AU1618" s="160"/>
      <c r="AV1618" s="160"/>
      <c r="AW1618" s="160"/>
      <c r="AX1618" s="160"/>
      <c r="AY1618" s="160"/>
      <c r="AZ1618" s="160"/>
      <c r="BA1618" s="160"/>
      <c r="BB1618" s="160"/>
      <c r="BC1618" s="160"/>
      <c r="BD1618" s="160"/>
      <c r="BE1618" s="160"/>
      <c r="BF1618" s="160"/>
      <c r="BG1618" s="160"/>
      <c r="BH1618" s="160"/>
      <c r="BI1618" s="160"/>
      <c r="BJ1618" s="160"/>
      <c r="BK1618" s="160"/>
      <c r="BL1618" s="160"/>
      <c r="BM1618" s="160"/>
      <c r="BN1618" s="160"/>
      <c r="BO1618" s="160"/>
      <c r="BP1618" s="160"/>
      <c r="BQ1618" s="160"/>
      <c r="BR1618" s="160"/>
      <c r="BS1618" s="160"/>
      <c r="BT1618" s="160"/>
      <c r="BU1618" s="160"/>
      <c r="BV1618" s="160"/>
      <c r="BW1618" s="160"/>
      <c r="BX1618" s="160"/>
      <c r="BY1618" s="160"/>
      <c r="BZ1618" s="160"/>
      <c r="CA1618" s="160"/>
      <c r="CB1618" s="160"/>
      <c r="CC1618" s="160"/>
      <c r="CD1618" s="160"/>
      <c r="CE1618" s="160"/>
      <c r="CF1618" s="160"/>
      <c r="CG1618" s="160"/>
      <c r="CH1618" s="160"/>
      <c r="CI1618" s="160"/>
      <c r="CJ1618" s="160"/>
      <c r="CK1618" s="160"/>
      <c r="CL1618" s="160"/>
      <c r="CM1618" s="160"/>
      <c r="CN1618" s="160"/>
      <c r="CO1618" s="160"/>
      <c r="CP1618" s="162"/>
      <c r="CQ1618" s="163"/>
      <c r="CR1618" s="162"/>
      <c r="CS1618" s="163"/>
      <c r="CT1618" s="162"/>
      <c r="CU1618" s="163"/>
      <c r="CV1618" s="164">
        <f t="shared" si="211"/>
        <v>0</v>
      </c>
      <c r="CW1618" s="165"/>
      <c r="CX1618" s="166"/>
      <c r="CY1618" s="167"/>
      <c r="CZ1618" s="168"/>
      <c r="DA1618" s="169"/>
      <c r="DB1618" s="168"/>
      <c r="DC1618" s="165"/>
      <c r="DD1618" s="166"/>
      <c r="DE1618" s="71"/>
      <c r="DF1618" s="170"/>
      <c r="EO1618" s="375" t="str">
        <f t="shared" si="206"/>
        <v>BOYACA_GUACAMAYAS</v>
      </c>
      <c r="EP1618" s="376"/>
      <c r="EQ1618" s="376"/>
      <c r="ER1618" s="377"/>
      <c r="ES1618" s="376"/>
      <c r="ET1618" s="376"/>
      <c r="EU1618" s="376"/>
    </row>
    <row r="1619" spans="1:151" s="171" customFormat="1" ht="33.75" x14ac:dyDescent="0.2">
      <c r="A1619" s="242">
        <v>40492</v>
      </c>
      <c r="B1619" s="222" t="s">
        <v>828</v>
      </c>
      <c r="C1619" s="222" t="s">
        <v>1662</v>
      </c>
      <c r="D1619" s="427" t="s">
        <v>2307</v>
      </c>
      <c r="E1619" s="107" t="str">
        <f>VLOOKUP(B1619&amp;C1619,Divipola!$C$2:$F$1138,4,FALSE)</f>
        <v>15403</v>
      </c>
      <c r="F1619" s="330"/>
      <c r="G1619" s="221"/>
      <c r="H1619" s="157"/>
      <c r="I1619" s="157"/>
      <c r="J1619" s="157">
        <v>500</v>
      </c>
      <c r="K1619" s="157">
        <v>100</v>
      </c>
      <c r="L1619" s="157"/>
      <c r="M1619" s="157">
        <v>100</v>
      </c>
      <c r="N1619" s="157"/>
      <c r="O1619" s="157"/>
      <c r="P1619" s="157"/>
      <c r="Q1619" s="157"/>
      <c r="R1619" s="157"/>
      <c r="S1619" s="157"/>
      <c r="T1619" s="157"/>
      <c r="U1619" s="157"/>
      <c r="V1619" s="158"/>
      <c r="W1619" s="182"/>
      <c r="X1619" s="1">
        <v>40530</v>
      </c>
      <c r="Y1619" s="78">
        <f t="shared" si="208"/>
        <v>12295907.199999999</v>
      </c>
      <c r="Z1619" s="78">
        <f t="shared" si="209"/>
        <v>6800000</v>
      </c>
      <c r="AA1619" s="78">
        <f t="shared" si="207"/>
        <v>0</v>
      </c>
      <c r="AB1619" s="78">
        <f t="shared" si="210"/>
        <v>0</v>
      </c>
      <c r="AC1619" s="78"/>
      <c r="AD1619" s="78">
        <v>0</v>
      </c>
      <c r="AE1619" s="80">
        <f t="shared" si="212"/>
        <v>19095907.199999999</v>
      </c>
      <c r="AF1619" s="82">
        <v>0</v>
      </c>
      <c r="AG1619" s="69">
        <v>40504</v>
      </c>
      <c r="AH1619" s="84"/>
      <c r="AI1619" s="69" t="s">
        <v>2009</v>
      </c>
      <c r="AJ1619" s="25" t="s">
        <v>2010</v>
      </c>
      <c r="AK1619" s="88" t="s">
        <v>72</v>
      </c>
      <c r="AL1619" s="176" t="s">
        <v>1676</v>
      </c>
      <c r="AM1619" s="173" t="s">
        <v>2534</v>
      </c>
      <c r="AN1619" s="159"/>
      <c r="AO1619" s="160"/>
      <c r="AP1619" s="161"/>
      <c r="AQ1619" s="160"/>
      <c r="AR1619" s="160"/>
      <c r="AS1619" s="160"/>
      <c r="AT1619" s="160"/>
      <c r="AU1619" s="160"/>
      <c r="AV1619" s="160"/>
      <c r="AW1619" s="160"/>
      <c r="AX1619" s="160"/>
      <c r="AY1619" s="160"/>
      <c r="AZ1619" s="160">
        <v>80</v>
      </c>
      <c r="BA1619" s="160">
        <f>80*56000</f>
        <v>4480000</v>
      </c>
      <c r="BB1619" s="160"/>
      <c r="BC1619" s="160"/>
      <c r="BD1619" s="160"/>
      <c r="BE1619" s="160"/>
      <c r="BF1619" s="160"/>
      <c r="BG1619" s="160"/>
      <c r="BH1619" s="160"/>
      <c r="BI1619" s="160"/>
      <c r="BJ1619" s="160"/>
      <c r="BK1619" s="160"/>
      <c r="BL1619" s="160"/>
      <c r="BM1619" s="160"/>
      <c r="BN1619" s="160"/>
      <c r="BO1619" s="160"/>
      <c r="BP1619" s="160"/>
      <c r="BQ1619" s="160"/>
      <c r="BR1619" s="160"/>
      <c r="BS1619" s="160"/>
      <c r="BT1619" s="160"/>
      <c r="BU1619" s="160"/>
      <c r="BV1619" s="160"/>
      <c r="BW1619" s="160"/>
      <c r="BX1619" s="160"/>
      <c r="BY1619" s="160"/>
      <c r="BZ1619" s="160"/>
      <c r="CA1619" s="160"/>
      <c r="CB1619" s="160"/>
      <c r="CC1619" s="160"/>
      <c r="CD1619" s="160"/>
      <c r="CE1619" s="160"/>
      <c r="CF1619" s="160"/>
      <c r="CG1619" s="160"/>
      <c r="CH1619" s="160"/>
      <c r="CI1619" s="160"/>
      <c r="CJ1619" s="160">
        <v>80</v>
      </c>
      <c r="CK1619" s="160">
        <f>80*20999.48</f>
        <v>1679958.4</v>
      </c>
      <c r="CL1619" s="160"/>
      <c r="CM1619" s="160"/>
      <c r="CN1619" s="160"/>
      <c r="CO1619" s="160"/>
      <c r="CP1619" s="162">
        <v>80</v>
      </c>
      <c r="CQ1619" s="163">
        <f>80*36999.36</f>
        <v>2959948.8</v>
      </c>
      <c r="CR1619" s="162">
        <v>80</v>
      </c>
      <c r="CS1619" s="163">
        <f>80*39700</f>
        <v>3176000</v>
      </c>
      <c r="CT1619" s="162"/>
      <c r="CU1619" s="163"/>
      <c r="CV1619" s="164">
        <f t="shared" si="211"/>
        <v>12295907.199999999</v>
      </c>
      <c r="CW1619" s="165"/>
      <c r="CX1619" s="166"/>
      <c r="CY1619" s="167">
        <v>80</v>
      </c>
      <c r="CZ1619" s="168">
        <f>80*85000</f>
        <v>6800000</v>
      </c>
      <c r="DA1619" s="169"/>
      <c r="DB1619" s="168"/>
      <c r="DC1619" s="165"/>
      <c r="DD1619" s="166"/>
      <c r="DE1619" s="71"/>
      <c r="DF1619" s="170"/>
      <c r="EO1619" s="375" t="str">
        <f t="shared" si="206"/>
        <v>BOYACA_LA UVITA</v>
      </c>
      <c r="EP1619" s="376"/>
      <c r="EQ1619" s="376"/>
      <c r="ER1619" s="377"/>
      <c r="ES1619" s="376"/>
      <c r="ET1619" s="376"/>
      <c r="EU1619" s="376"/>
    </row>
    <row r="1620" spans="1:151" s="171" customFormat="1" ht="33.75" x14ac:dyDescent="0.2">
      <c r="A1620" s="242">
        <v>40492</v>
      </c>
      <c r="B1620" s="222" t="s">
        <v>828</v>
      </c>
      <c r="C1620" s="222" t="s">
        <v>2357</v>
      </c>
      <c r="D1620" s="430" t="s">
        <v>837</v>
      </c>
      <c r="E1620" s="107" t="str">
        <f>VLOOKUP(B1620&amp;C1620,Divipola!$C$2:$F$1138,4,FALSE)</f>
        <v>15466</v>
      </c>
      <c r="F1620" s="333"/>
      <c r="G1620" s="221"/>
      <c r="H1620" s="157"/>
      <c r="I1620" s="157"/>
      <c r="J1620" s="157">
        <f>87*5</f>
        <v>435</v>
      </c>
      <c r="K1620" s="157">
        <v>87</v>
      </c>
      <c r="L1620" s="157"/>
      <c r="M1620" s="157">
        <v>60</v>
      </c>
      <c r="N1620" s="157"/>
      <c r="O1620" s="157"/>
      <c r="P1620" s="157"/>
      <c r="Q1620" s="157"/>
      <c r="R1620" s="157"/>
      <c r="S1620" s="157"/>
      <c r="T1620" s="157"/>
      <c r="U1620" s="157"/>
      <c r="V1620" s="158"/>
      <c r="W1620" s="182"/>
      <c r="X1620" s="1">
        <v>40530</v>
      </c>
      <c r="Y1620" s="78">
        <f t="shared" si="208"/>
        <v>9221930.4000000004</v>
      </c>
      <c r="Z1620" s="78">
        <f t="shared" si="209"/>
        <v>5100000</v>
      </c>
      <c r="AA1620" s="78">
        <f t="shared" si="207"/>
        <v>0</v>
      </c>
      <c r="AB1620" s="78">
        <f t="shared" si="210"/>
        <v>0</v>
      </c>
      <c r="AC1620" s="78"/>
      <c r="AD1620" s="78">
        <v>0</v>
      </c>
      <c r="AE1620" s="80">
        <f t="shared" si="212"/>
        <v>14321930.4</v>
      </c>
      <c r="AF1620" s="82">
        <v>0</v>
      </c>
      <c r="AG1620" s="69">
        <v>40504</v>
      </c>
      <c r="AH1620" s="84"/>
      <c r="AI1620" s="69" t="s">
        <v>2009</v>
      </c>
      <c r="AJ1620" s="25" t="s">
        <v>2010</v>
      </c>
      <c r="AK1620" s="88" t="s">
        <v>72</v>
      </c>
      <c r="AL1620" s="176" t="s">
        <v>1676</v>
      </c>
      <c r="AM1620" s="173" t="s">
        <v>1268</v>
      </c>
      <c r="AN1620" s="159"/>
      <c r="AO1620" s="160"/>
      <c r="AP1620" s="161"/>
      <c r="AQ1620" s="160"/>
      <c r="AR1620" s="160"/>
      <c r="AS1620" s="160"/>
      <c r="AT1620" s="160"/>
      <c r="AU1620" s="160"/>
      <c r="AV1620" s="160"/>
      <c r="AW1620" s="160"/>
      <c r="AX1620" s="160"/>
      <c r="AY1620" s="160"/>
      <c r="AZ1620" s="160">
        <v>60</v>
      </c>
      <c r="BA1620" s="160">
        <f>60*56000</f>
        <v>3360000</v>
      </c>
      <c r="BB1620" s="160"/>
      <c r="BC1620" s="160"/>
      <c r="BD1620" s="160"/>
      <c r="BE1620" s="160"/>
      <c r="BF1620" s="160"/>
      <c r="BG1620" s="160"/>
      <c r="BH1620" s="160"/>
      <c r="BI1620" s="160"/>
      <c r="BJ1620" s="160"/>
      <c r="BK1620" s="160"/>
      <c r="BL1620" s="160"/>
      <c r="BM1620" s="160"/>
      <c r="BN1620" s="160"/>
      <c r="BO1620" s="160"/>
      <c r="BP1620" s="160"/>
      <c r="BQ1620" s="160"/>
      <c r="BR1620" s="160"/>
      <c r="BS1620" s="160"/>
      <c r="BT1620" s="160"/>
      <c r="BU1620" s="160"/>
      <c r="BV1620" s="160"/>
      <c r="BW1620" s="160"/>
      <c r="BX1620" s="160"/>
      <c r="BY1620" s="160"/>
      <c r="BZ1620" s="160"/>
      <c r="CA1620" s="160"/>
      <c r="CB1620" s="160"/>
      <c r="CC1620" s="160"/>
      <c r="CD1620" s="160"/>
      <c r="CE1620" s="160"/>
      <c r="CF1620" s="160"/>
      <c r="CG1620" s="160"/>
      <c r="CH1620" s="160"/>
      <c r="CI1620" s="160"/>
      <c r="CJ1620" s="160">
        <v>60</v>
      </c>
      <c r="CK1620" s="160">
        <f>60*20999.48</f>
        <v>1259968.8</v>
      </c>
      <c r="CL1620" s="160"/>
      <c r="CM1620" s="160"/>
      <c r="CN1620" s="160"/>
      <c r="CO1620" s="160"/>
      <c r="CP1620" s="162">
        <v>60</v>
      </c>
      <c r="CQ1620" s="163">
        <f>60*36999.36</f>
        <v>2219961.6</v>
      </c>
      <c r="CR1620" s="162">
        <v>60</v>
      </c>
      <c r="CS1620" s="163">
        <f>60*39700</f>
        <v>2382000</v>
      </c>
      <c r="CT1620" s="162"/>
      <c r="CU1620" s="163"/>
      <c r="CV1620" s="164">
        <f t="shared" si="211"/>
        <v>9221930.4000000004</v>
      </c>
      <c r="CW1620" s="165"/>
      <c r="CX1620" s="166"/>
      <c r="CY1620" s="167">
        <v>60</v>
      </c>
      <c r="CZ1620" s="168">
        <f>60*85000</f>
        <v>5100000</v>
      </c>
      <c r="DA1620" s="169"/>
      <c r="DB1620" s="168"/>
      <c r="DC1620" s="165"/>
      <c r="DD1620" s="166"/>
      <c r="DE1620" s="71"/>
      <c r="DF1620" s="170"/>
      <c r="EO1620" s="375" t="str">
        <f t="shared" ref="EO1620:EO1683" si="213">B1620&amp;"_"&amp;C1620</f>
        <v>BOYACA_MONGUI</v>
      </c>
      <c r="EP1620" s="376"/>
      <c r="EQ1620" s="376"/>
      <c r="ER1620" s="377"/>
      <c r="ES1620" s="376"/>
      <c r="ET1620" s="376"/>
      <c r="EU1620" s="376"/>
    </row>
    <row r="1621" spans="1:151" s="171" customFormat="1" ht="33.75" x14ac:dyDescent="0.2">
      <c r="A1621" s="242">
        <v>40492</v>
      </c>
      <c r="B1621" s="222" t="s">
        <v>828</v>
      </c>
      <c r="C1621" s="222" t="s">
        <v>1809</v>
      </c>
      <c r="D1621" s="427" t="s">
        <v>2307</v>
      </c>
      <c r="E1621" s="107" t="str">
        <f>VLOOKUP(B1621&amp;C1621,Divipola!$C$2:$F$1138,4,FALSE)</f>
        <v>15790</v>
      </c>
      <c r="F1621" s="330"/>
      <c r="G1621" s="221"/>
      <c r="H1621" s="157"/>
      <c r="I1621" s="157"/>
      <c r="J1621" s="157">
        <f>74*5</f>
        <v>370</v>
      </c>
      <c r="K1621" s="157">
        <v>74</v>
      </c>
      <c r="L1621" s="157">
        <v>2</v>
      </c>
      <c r="M1621" s="157">
        <v>42</v>
      </c>
      <c r="N1621" s="157"/>
      <c r="O1621" s="157"/>
      <c r="P1621" s="157"/>
      <c r="Q1621" s="157"/>
      <c r="R1621" s="157"/>
      <c r="S1621" s="157"/>
      <c r="T1621" s="157"/>
      <c r="U1621" s="157"/>
      <c r="V1621" s="158"/>
      <c r="W1621" s="182"/>
      <c r="X1621" s="1">
        <v>40530</v>
      </c>
      <c r="Y1621" s="78">
        <f t="shared" si="208"/>
        <v>4610965.2</v>
      </c>
      <c r="Z1621" s="78">
        <f t="shared" si="209"/>
        <v>2550000</v>
      </c>
      <c r="AA1621" s="78">
        <f t="shared" si="207"/>
        <v>0</v>
      </c>
      <c r="AB1621" s="78">
        <f t="shared" si="210"/>
        <v>0</v>
      </c>
      <c r="AC1621" s="78"/>
      <c r="AD1621" s="78">
        <v>0</v>
      </c>
      <c r="AE1621" s="80">
        <f t="shared" si="212"/>
        <v>7160965.2000000002</v>
      </c>
      <c r="AF1621" s="82">
        <v>0</v>
      </c>
      <c r="AG1621" s="69">
        <v>40504</v>
      </c>
      <c r="AH1621" s="84"/>
      <c r="AI1621" s="69" t="s">
        <v>2009</v>
      </c>
      <c r="AJ1621" s="25" t="s">
        <v>2010</v>
      </c>
      <c r="AK1621" s="88" t="s">
        <v>72</v>
      </c>
      <c r="AL1621" s="176" t="s">
        <v>1676</v>
      </c>
      <c r="AM1621" s="173" t="s">
        <v>1268</v>
      </c>
      <c r="AN1621" s="159"/>
      <c r="AO1621" s="160"/>
      <c r="AP1621" s="161"/>
      <c r="AQ1621" s="160"/>
      <c r="AR1621" s="160"/>
      <c r="AS1621" s="160"/>
      <c r="AT1621" s="160"/>
      <c r="AU1621" s="160"/>
      <c r="AV1621" s="160"/>
      <c r="AW1621" s="160"/>
      <c r="AX1621" s="160"/>
      <c r="AY1621" s="160"/>
      <c r="AZ1621" s="160">
        <v>30</v>
      </c>
      <c r="BA1621" s="160">
        <f>30*56000</f>
        <v>1680000</v>
      </c>
      <c r="BB1621" s="160"/>
      <c r="BC1621" s="160"/>
      <c r="BD1621" s="160"/>
      <c r="BE1621" s="160"/>
      <c r="BF1621" s="160"/>
      <c r="BG1621" s="160"/>
      <c r="BH1621" s="160"/>
      <c r="BI1621" s="160"/>
      <c r="BJ1621" s="160"/>
      <c r="BK1621" s="160"/>
      <c r="BL1621" s="160"/>
      <c r="BM1621" s="160"/>
      <c r="BN1621" s="160"/>
      <c r="BO1621" s="160"/>
      <c r="BP1621" s="160"/>
      <c r="BQ1621" s="160"/>
      <c r="BR1621" s="160"/>
      <c r="BS1621" s="160"/>
      <c r="BT1621" s="160"/>
      <c r="BU1621" s="160"/>
      <c r="BV1621" s="160"/>
      <c r="BW1621" s="160"/>
      <c r="BX1621" s="160"/>
      <c r="BY1621" s="160"/>
      <c r="BZ1621" s="160"/>
      <c r="CA1621" s="160"/>
      <c r="CB1621" s="160"/>
      <c r="CC1621" s="160"/>
      <c r="CD1621" s="160"/>
      <c r="CE1621" s="160"/>
      <c r="CF1621" s="160"/>
      <c r="CG1621" s="160"/>
      <c r="CH1621" s="160"/>
      <c r="CI1621" s="160"/>
      <c r="CJ1621" s="160">
        <v>30</v>
      </c>
      <c r="CK1621" s="160">
        <f>30*20999.48</f>
        <v>629984.4</v>
      </c>
      <c r="CL1621" s="160"/>
      <c r="CM1621" s="160"/>
      <c r="CN1621" s="160"/>
      <c r="CO1621" s="160"/>
      <c r="CP1621" s="162">
        <v>30</v>
      </c>
      <c r="CQ1621" s="163">
        <f>30*36999.36</f>
        <v>1109980.8</v>
      </c>
      <c r="CR1621" s="162">
        <v>30</v>
      </c>
      <c r="CS1621" s="163">
        <f>30*39700</f>
        <v>1191000</v>
      </c>
      <c r="CT1621" s="162"/>
      <c r="CU1621" s="163"/>
      <c r="CV1621" s="164">
        <f t="shared" si="211"/>
        <v>4610965.2</v>
      </c>
      <c r="CW1621" s="165"/>
      <c r="CX1621" s="166"/>
      <c r="CY1621" s="167">
        <v>30</v>
      </c>
      <c r="CZ1621" s="168">
        <f>30*85000</f>
        <v>2550000</v>
      </c>
      <c r="DA1621" s="169"/>
      <c r="DB1621" s="168"/>
      <c r="DC1621" s="165"/>
      <c r="DD1621" s="166"/>
      <c r="DE1621" s="71"/>
      <c r="DF1621" s="170"/>
      <c r="EO1621" s="375" t="str">
        <f t="shared" si="213"/>
        <v>BOYACA_TASCO</v>
      </c>
      <c r="EP1621" s="376"/>
      <c r="EQ1621" s="376"/>
      <c r="ER1621" s="377"/>
      <c r="ES1621" s="376"/>
      <c r="ET1621" s="376"/>
      <c r="EU1621" s="376"/>
    </row>
    <row r="1622" spans="1:151" s="171" customFormat="1" ht="25.5" x14ac:dyDescent="0.2">
      <c r="A1622" s="242">
        <v>40492</v>
      </c>
      <c r="B1622" s="222" t="s">
        <v>828</v>
      </c>
      <c r="C1622" s="222" t="s">
        <v>1741</v>
      </c>
      <c r="D1622" s="430" t="s">
        <v>2307</v>
      </c>
      <c r="E1622" s="107" t="str">
        <f>VLOOKUP(B1622&amp;C1622,Divipola!$C$2:$F$1138,4,FALSE)</f>
        <v>15798</v>
      </c>
      <c r="F1622" s="333"/>
      <c r="G1622" s="221"/>
      <c r="H1622" s="157"/>
      <c r="I1622" s="157"/>
      <c r="J1622" s="157">
        <v>150</v>
      </c>
      <c r="K1622" s="157">
        <v>30</v>
      </c>
      <c r="L1622" s="157"/>
      <c r="M1622" s="157">
        <v>30</v>
      </c>
      <c r="N1622" s="157"/>
      <c r="O1622" s="157"/>
      <c r="P1622" s="157"/>
      <c r="Q1622" s="157"/>
      <c r="R1622" s="157"/>
      <c r="S1622" s="157"/>
      <c r="T1622" s="157"/>
      <c r="U1622" s="157"/>
      <c r="V1622" s="158"/>
      <c r="W1622" s="182"/>
      <c r="X1622" s="1"/>
      <c r="Y1622" s="78">
        <f t="shared" si="208"/>
        <v>0</v>
      </c>
      <c r="Z1622" s="78">
        <f t="shared" si="209"/>
        <v>0</v>
      </c>
      <c r="AA1622" s="78">
        <f t="shared" si="207"/>
        <v>0</v>
      </c>
      <c r="AB1622" s="78">
        <f t="shared" si="210"/>
        <v>0</v>
      </c>
      <c r="AC1622" s="78"/>
      <c r="AD1622" s="78">
        <v>0</v>
      </c>
      <c r="AE1622" s="80">
        <f t="shared" si="212"/>
        <v>0</v>
      </c>
      <c r="AF1622" s="82">
        <v>0</v>
      </c>
      <c r="AG1622" s="69">
        <v>40589</v>
      </c>
      <c r="AH1622" s="84"/>
      <c r="AI1622" s="69" t="s">
        <v>1984</v>
      </c>
      <c r="AJ1622" s="25" t="s">
        <v>1985</v>
      </c>
      <c r="AK1622" s="65"/>
      <c r="AL1622" s="176" t="s">
        <v>1257</v>
      </c>
      <c r="AM1622" s="173" t="s">
        <v>391</v>
      </c>
      <c r="AN1622" s="159"/>
      <c r="AO1622" s="160"/>
      <c r="AP1622" s="161"/>
      <c r="AQ1622" s="160"/>
      <c r="AR1622" s="160"/>
      <c r="AS1622" s="160"/>
      <c r="AT1622" s="160"/>
      <c r="AU1622" s="160"/>
      <c r="AV1622" s="160"/>
      <c r="AW1622" s="160"/>
      <c r="AX1622" s="160"/>
      <c r="AY1622" s="160"/>
      <c r="AZ1622" s="160"/>
      <c r="BA1622" s="160"/>
      <c r="BB1622" s="160"/>
      <c r="BC1622" s="160"/>
      <c r="BD1622" s="160"/>
      <c r="BE1622" s="160"/>
      <c r="BF1622" s="160"/>
      <c r="BG1622" s="160"/>
      <c r="BH1622" s="160"/>
      <c r="BI1622" s="160"/>
      <c r="BJ1622" s="160"/>
      <c r="BK1622" s="160"/>
      <c r="BL1622" s="160"/>
      <c r="BM1622" s="160"/>
      <c r="BN1622" s="160"/>
      <c r="BO1622" s="160"/>
      <c r="BP1622" s="160"/>
      <c r="BQ1622" s="160"/>
      <c r="BR1622" s="160"/>
      <c r="BS1622" s="160"/>
      <c r="BT1622" s="160"/>
      <c r="BU1622" s="160"/>
      <c r="BV1622" s="160"/>
      <c r="BW1622" s="160"/>
      <c r="BX1622" s="160"/>
      <c r="BY1622" s="160"/>
      <c r="BZ1622" s="160"/>
      <c r="CA1622" s="160"/>
      <c r="CB1622" s="160"/>
      <c r="CC1622" s="160"/>
      <c r="CD1622" s="160"/>
      <c r="CE1622" s="160"/>
      <c r="CF1622" s="160"/>
      <c r="CG1622" s="160"/>
      <c r="CH1622" s="160"/>
      <c r="CI1622" s="160"/>
      <c r="CJ1622" s="160"/>
      <c r="CK1622" s="160"/>
      <c r="CL1622" s="160"/>
      <c r="CM1622" s="160"/>
      <c r="CN1622" s="160"/>
      <c r="CO1622" s="160"/>
      <c r="CP1622" s="162"/>
      <c r="CQ1622" s="163"/>
      <c r="CR1622" s="162"/>
      <c r="CS1622" s="163"/>
      <c r="CT1622" s="162"/>
      <c r="CU1622" s="163"/>
      <c r="CV1622" s="164">
        <f t="shared" si="211"/>
        <v>0</v>
      </c>
      <c r="CW1622" s="165"/>
      <c r="CX1622" s="166"/>
      <c r="CY1622" s="167"/>
      <c r="CZ1622" s="168"/>
      <c r="DA1622" s="169"/>
      <c r="DB1622" s="168"/>
      <c r="DC1622" s="165"/>
      <c r="DD1622" s="166"/>
      <c r="DE1622" s="71"/>
      <c r="DF1622" s="170"/>
      <c r="EO1622" s="375" t="str">
        <f t="shared" si="213"/>
        <v>BOYACA_TENZA</v>
      </c>
      <c r="EP1622" s="376"/>
      <c r="EQ1622" s="376"/>
      <c r="ER1622" s="377"/>
      <c r="ES1622" s="376"/>
      <c r="ET1622" s="376"/>
      <c r="EU1622" s="376"/>
    </row>
    <row r="1623" spans="1:151" s="171" customFormat="1" ht="33.75" x14ac:dyDescent="0.2">
      <c r="A1623" s="242">
        <v>40492</v>
      </c>
      <c r="B1623" s="222" t="s">
        <v>828</v>
      </c>
      <c r="C1623" s="222" t="s">
        <v>718</v>
      </c>
      <c r="D1623" s="430" t="s">
        <v>837</v>
      </c>
      <c r="E1623" s="107" t="str">
        <f>VLOOKUP(B1623&amp;C1623,Divipola!$C$2:$F$1138,4,FALSE)</f>
        <v>15820</v>
      </c>
      <c r="F1623" s="333"/>
      <c r="G1623" s="221"/>
      <c r="H1623" s="157"/>
      <c r="I1623" s="157"/>
      <c r="J1623" s="157">
        <f>54*5</f>
        <v>270</v>
      </c>
      <c r="K1623" s="157">
        <v>54</v>
      </c>
      <c r="L1623" s="157"/>
      <c r="M1623" s="157">
        <v>20</v>
      </c>
      <c r="N1623" s="157"/>
      <c r="O1623" s="157"/>
      <c r="P1623" s="157"/>
      <c r="Q1623" s="157"/>
      <c r="R1623" s="157"/>
      <c r="S1623" s="157"/>
      <c r="T1623" s="157"/>
      <c r="U1623" s="157"/>
      <c r="V1623" s="158"/>
      <c r="W1623" s="182"/>
      <c r="X1623" s="1">
        <v>40530</v>
      </c>
      <c r="Y1623" s="78">
        <f t="shared" si="208"/>
        <v>3073976.8</v>
      </c>
      <c r="Z1623" s="78">
        <f t="shared" si="209"/>
        <v>1700000</v>
      </c>
      <c r="AA1623" s="78">
        <f t="shared" si="207"/>
        <v>0</v>
      </c>
      <c r="AB1623" s="78">
        <f t="shared" si="210"/>
        <v>0</v>
      </c>
      <c r="AC1623" s="78"/>
      <c r="AD1623" s="78">
        <v>0</v>
      </c>
      <c r="AE1623" s="80">
        <f t="shared" si="212"/>
        <v>4773976.8</v>
      </c>
      <c r="AF1623" s="82">
        <v>0</v>
      </c>
      <c r="AG1623" s="69">
        <v>40504</v>
      </c>
      <c r="AH1623" s="84"/>
      <c r="AI1623" s="69" t="s">
        <v>2009</v>
      </c>
      <c r="AJ1623" s="25" t="s">
        <v>2010</v>
      </c>
      <c r="AK1623" s="88" t="s">
        <v>72</v>
      </c>
      <c r="AL1623" s="176" t="s">
        <v>1676</v>
      </c>
      <c r="AM1623" s="173" t="s">
        <v>1268</v>
      </c>
      <c r="AN1623" s="159"/>
      <c r="AO1623" s="160"/>
      <c r="AP1623" s="161"/>
      <c r="AQ1623" s="160"/>
      <c r="AR1623" s="160"/>
      <c r="AS1623" s="160"/>
      <c r="AT1623" s="160"/>
      <c r="AU1623" s="160"/>
      <c r="AV1623" s="160"/>
      <c r="AW1623" s="160"/>
      <c r="AX1623" s="160"/>
      <c r="AY1623" s="160"/>
      <c r="AZ1623" s="160">
        <v>20</v>
      </c>
      <c r="BA1623" s="160">
        <f>20*56000</f>
        <v>1120000</v>
      </c>
      <c r="BB1623" s="160"/>
      <c r="BC1623" s="160"/>
      <c r="BD1623" s="160"/>
      <c r="BE1623" s="160"/>
      <c r="BF1623" s="160"/>
      <c r="BG1623" s="160"/>
      <c r="BH1623" s="160"/>
      <c r="BI1623" s="160"/>
      <c r="BJ1623" s="160"/>
      <c r="BK1623" s="160"/>
      <c r="BL1623" s="160"/>
      <c r="BM1623" s="160"/>
      <c r="BN1623" s="160"/>
      <c r="BO1623" s="160"/>
      <c r="BP1623" s="160"/>
      <c r="BQ1623" s="160"/>
      <c r="BR1623" s="160"/>
      <c r="BS1623" s="160"/>
      <c r="BT1623" s="160"/>
      <c r="BU1623" s="160"/>
      <c r="BV1623" s="160"/>
      <c r="BW1623" s="160"/>
      <c r="BX1623" s="160"/>
      <c r="BY1623" s="160"/>
      <c r="BZ1623" s="160"/>
      <c r="CA1623" s="160"/>
      <c r="CB1623" s="160"/>
      <c r="CC1623" s="160"/>
      <c r="CD1623" s="160"/>
      <c r="CE1623" s="160"/>
      <c r="CF1623" s="160"/>
      <c r="CG1623" s="160"/>
      <c r="CH1623" s="160"/>
      <c r="CI1623" s="160"/>
      <c r="CJ1623" s="160">
        <v>20</v>
      </c>
      <c r="CK1623" s="160">
        <f>20*20999.48</f>
        <v>419989.6</v>
      </c>
      <c r="CL1623" s="160"/>
      <c r="CM1623" s="160"/>
      <c r="CN1623" s="160"/>
      <c r="CO1623" s="160"/>
      <c r="CP1623" s="162">
        <v>20</v>
      </c>
      <c r="CQ1623" s="163">
        <f>20*36999.36</f>
        <v>739987.2</v>
      </c>
      <c r="CR1623" s="162">
        <v>20</v>
      </c>
      <c r="CS1623" s="163">
        <f>20*39700</f>
        <v>794000</v>
      </c>
      <c r="CT1623" s="162"/>
      <c r="CU1623" s="163"/>
      <c r="CV1623" s="164">
        <f t="shared" si="211"/>
        <v>3073976.8</v>
      </c>
      <c r="CW1623" s="165"/>
      <c r="CX1623" s="166"/>
      <c r="CY1623" s="167">
        <v>20</v>
      </c>
      <c r="CZ1623" s="168">
        <f>20*85000</f>
        <v>1700000</v>
      </c>
      <c r="DA1623" s="169"/>
      <c r="DB1623" s="168"/>
      <c r="DC1623" s="165"/>
      <c r="DD1623" s="166"/>
      <c r="DE1623" s="71"/>
      <c r="DF1623" s="170"/>
      <c r="EO1623" s="375" t="str">
        <f t="shared" si="213"/>
        <v>BOYACA_TOPAGA</v>
      </c>
      <c r="EP1623" s="376"/>
      <c r="EQ1623" s="376"/>
      <c r="ER1623" s="377"/>
      <c r="ES1623" s="376"/>
      <c r="ET1623" s="376"/>
      <c r="EU1623" s="376"/>
    </row>
    <row r="1624" spans="1:151" s="171" customFormat="1" ht="25.5" x14ac:dyDescent="0.2">
      <c r="A1624" s="242">
        <v>40492</v>
      </c>
      <c r="B1624" s="222" t="s">
        <v>828</v>
      </c>
      <c r="C1624" s="222" t="s">
        <v>621</v>
      </c>
      <c r="D1624" s="430" t="s">
        <v>837</v>
      </c>
      <c r="E1624" s="107" t="str">
        <f>VLOOKUP(B1624&amp;C1624,Divipola!$C$2:$F$1138,4,FALSE)</f>
        <v>15001</v>
      </c>
      <c r="F1624" s="333"/>
      <c r="G1624" s="221"/>
      <c r="H1624" s="157"/>
      <c r="I1624" s="157"/>
      <c r="J1624" s="157">
        <v>10</v>
      </c>
      <c r="K1624" s="157">
        <v>2</v>
      </c>
      <c r="L1624" s="157"/>
      <c r="M1624" s="157">
        <v>2</v>
      </c>
      <c r="N1624" s="157"/>
      <c r="O1624" s="157"/>
      <c r="P1624" s="157"/>
      <c r="Q1624" s="157"/>
      <c r="R1624" s="157"/>
      <c r="S1624" s="157"/>
      <c r="T1624" s="157"/>
      <c r="U1624" s="157"/>
      <c r="V1624" s="158"/>
      <c r="W1624" s="182"/>
      <c r="X1624" s="1"/>
      <c r="Y1624" s="78">
        <f t="shared" si="208"/>
        <v>0</v>
      </c>
      <c r="Z1624" s="78">
        <f t="shared" si="209"/>
        <v>0</v>
      </c>
      <c r="AA1624" s="78">
        <f t="shared" si="207"/>
        <v>0</v>
      </c>
      <c r="AB1624" s="78">
        <f t="shared" si="210"/>
        <v>0</v>
      </c>
      <c r="AC1624" s="78"/>
      <c r="AD1624" s="78">
        <v>0</v>
      </c>
      <c r="AE1624" s="80">
        <f t="shared" si="212"/>
        <v>0</v>
      </c>
      <c r="AF1624" s="82">
        <v>0</v>
      </c>
      <c r="AG1624" s="69">
        <v>40494</v>
      </c>
      <c r="AH1624" s="84"/>
      <c r="AI1624" s="69" t="s">
        <v>1984</v>
      </c>
      <c r="AJ1624" s="25" t="s">
        <v>1985</v>
      </c>
      <c r="AK1624" s="65"/>
      <c r="AL1624" s="176" t="s">
        <v>1257</v>
      </c>
      <c r="AM1624" s="173" t="s">
        <v>2453</v>
      </c>
      <c r="AN1624" s="159"/>
      <c r="AO1624" s="160"/>
      <c r="AP1624" s="161"/>
      <c r="AQ1624" s="160"/>
      <c r="AR1624" s="160"/>
      <c r="AS1624" s="160"/>
      <c r="AT1624" s="160"/>
      <c r="AU1624" s="160"/>
      <c r="AV1624" s="160"/>
      <c r="AW1624" s="160"/>
      <c r="AX1624" s="160"/>
      <c r="AY1624" s="160"/>
      <c r="AZ1624" s="160"/>
      <c r="BA1624" s="160"/>
      <c r="BB1624" s="160"/>
      <c r="BC1624" s="160"/>
      <c r="BD1624" s="160"/>
      <c r="BE1624" s="160"/>
      <c r="BF1624" s="160"/>
      <c r="BG1624" s="160"/>
      <c r="BH1624" s="160"/>
      <c r="BI1624" s="160"/>
      <c r="BJ1624" s="160"/>
      <c r="BK1624" s="160"/>
      <c r="BL1624" s="160"/>
      <c r="BM1624" s="160"/>
      <c r="BN1624" s="160"/>
      <c r="BO1624" s="160"/>
      <c r="BP1624" s="160"/>
      <c r="BQ1624" s="160"/>
      <c r="BR1624" s="160"/>
      <c r="BS1624" s="160"/>
      <c r="BT1624" s="160"/>
      <c r="BU1624" s="160"/>
      <c r="BV1624" s="160"/>
      <c r="BW1624" s="160"/>
      <c r="BX1624" s="160"/>
      <c r="BY1624" s="160"/>
      <c r="BZ1624" s="160"/>
      <c r="CA1624" s="160"/>
      <c r="CB1624" s="160"/>
      <c r="CC1624" s="160"/>
      <c r="CD1624" s="160"/>
      <c r="CE1624" s="160"/>
      <c r="CF1624" s="160"/>
      <c r="CG1624" s="160"/>
      <c r="CH1624" s="160"/>
      <c r="CI1624" s="160"/>
      <c r="CJ1624" s="160"/>
      <c r="CK1624" s="160"/>
      <c r="CL1624" s="160"/>
      <c r="CM1624" s="160"/>
      <c r="CN1624" s="160"/>
      <c r="CO1624" s="160"/>
      <c r="CP1624" s="162"/>
      <c r="CQ1624" s="163"/>
      <c r="CR1624" s="162"/>
      <c r="CS1624" s="163"/>
      <c r="CT1624" s="162"/>
      <c r="CU1624" s="163"/>
      <c r="CV1624" s="164">
        <f t="shared" si="211"/>
        <v>0</v>
      </c>
      <c r="CW1624" s="165"/>
      <c r="CX1624" s="166"/>
      <c r="CY1624" s="167"/>
      <c r="CZ1624" s="168"/>
      <c r="DA1624" s="169"/>
      <c r="DB1624" s="168"/>
      <c r="DC1624" s="165"/>
      <c r="DD1624" s="166"/>
      <c r="DE1624" s="71"/>
      <c r="DF1624" s="170"/>
      <c r="EO1624" s="375" t="str">
        <f t="shared" si="213"/>
        <v>BOYACA_TUNJA</v>
      </c>
      <c r="EP1624" s="376"/>
      <c r="EQ1624" s="376"/>
      <c r="ER1624" s="377"/>
      <c r="ES1624" s="376"/>
      <c r="ET1624" s="376"/>
      <c r="EU1624" s="376"/>
    </row>
    <row r="1625" spans="1:151" s="171" customFormat="1" ht="33.75" x14ac:dyDescent="0.2">
      <c r="A1625" s="242">
        <v>40492</v>
      </c>
      <c r="B1625" s="222" t="s">
        <v>828</v>
      </c>
      <c r="C1625" s="222" t="s">
        <v>4214</v>
      </c>
      <c r="D1625" s="430" t="s">
        <v>837</v>
      </c>
      <c r="E1625" s="107" t="str">
        <f>VLOOKUP(B1625&amp;C1625,Divipola!$C$2:$F$1138,4,FALSE)</f>
        <v>15839</v>
      </c>
      <c r="F1625" s="333"/>
      <c r="G1625" s="221"/>
      <c r="H1625" s="157"/>
      <c r="I1625" s="157"/>
      <c r="J1625" s="157">
        <f>121*5</f>
        <v>605</v>
      </c>
      <c r="K1625" s="157">
        <v>121</v>
      </c>
      <c r="L1625" s="157"/>
      <c r="M1625" s="157">
        <v>83</v>
      </c>
      <c r="N1625" s="157"/>
      <c r="O1625" s="157"/>
      <c r="P1625" s="157"/>
      <c r="Q1625" s="157"/>
      <c r="R1625" s="157"/>
      <c r="S1625" s="157"/>
      <c r="T1625" s="157"/>
      <c r="U1625" s="157"/>
      <c r="V1625" s="158"/>
      <c r="W1625" s="182"/>
      <c r="X1625" s="1">
        <v>40530</v>
      </c>
      <c r="Y1625" s="78">
        <f t="shared" si="208"/>
        <v>12757003.719999999</v>
      </c>
      <c r="Z1625" s="78">
        <f t="shared" si="209"/>
        <v>7055000</v>
      </c>
      <c r="AA1625" s="78">
        <f t="shared" si="207"/>
        <v>0</v>
      </c>
      <c r="AB1625" s="78">
        <f t="shared" si="210"/>
        <v>0</v>
      </c>
      <c r="AC1625" s="78"/>
      <c r="AD1625" s="78">
        <v>0</v>
      </c>
      <c r="AE1625" s="80">
        <f t="shared" si="212"/>
        <v>19812003.719999999</v>
      </c>
      <c r="AF1625" s="82">
        <v>0</v>
      </c>
      <c r="AG1625" s="69">
        <v>40504</v>
      </c>
      <c r="AH1625" s="84"/>
      <c r="AI1625" s="69" t="s">
        <v>2009</v>
      </c>
      <c r="AJ1625" s="25" t="s">
        <v>2010</v>
      </c>
      <c r="AK1625" s="88" t="s">
        <v>72</v>
      </c>
      <c r="AL1625" s="176" t="s">
        <v>1676</v>
      </c>
      <c r="AM1625" s="173" t="s">
        <v>1268</v>
      </c>
      <c r="AN1625" s="159"/>
      <c r="AO1625" s="160"/>
      <c r="AP1625" s="161"/>
      <c r="AQ1625" s="160"/>
      <c r="AR1625" s="160"/>
      <c r="AS1625" s="160"/>
      <c r="AT1625" s="160"/>
      <c r="AU1625" s="160"/>
      <c r="AV1625" s="160"/>
      <c r="AW1625" s="160"/>
      <c r="AX1625" s="160"/>
      <c r="AY1625" s="160"/>
      <c r="AZ1625" s="160">
        <v>83</v>
      </c>
      <c r="BA1625" s="160">
        <f>83*56000</f>
        <v>4648000</v>
      </c>
      <c r="BB1625" s="160"/>
      <c r="BC1625" s="160"/>
      <c r="BD1625" s="160"/>
      <c r="BE1625" s="160"/>
      <c r="BF1625" s="160"/>
      <c r="BG1625" s="160"/>
      <c r="BH1625" s="160"/>
      <c r="BI1625" s="160"/>
      <c r="BJ1625" s="160"/>
      <c r="BK1625" s="160"/>
      <c r="BL1625" s="160"/>
      <c r="BM1625" s="160"/>
      <c r="BN1625" s="160"/>
      <c r="BO1625" s="160"/>
      <c r="BP1625" s="160"/>
      <c r="BQ1625" s="160"/>
      <c r="BR1625" s="160"/>
      <c r="BS1625" s="160"/>
      <c r="BT1625" s="160"/>
      <c r="BU1625" s="160"/>
      <c r="BV1625" s="160"/>
      <c r="BW1625" s="160"/>
      <c r="BX1625" s="160"/>
      <c r="BY1625" s="160"/>
      <c r="BZ1625" s="160"/>
      <c r="CA1625" s="160"/>
      <c r="CB1625" s="160"/>
      <c r="CC1625" s="160"/>
      <c r="CD1625" s="160"/>
      <c r="CE1625" s="160"/>
      <c r="CF1625" s="160"/>
      <c r="CG1625" s="160"/>
      <c r="CH1625" s="160"/>
      <c r="CI1625" s="160"/>
      <c r="CJ1625" s="160">
        <v>83</v>
      </c>
      <c r="CK1625" s="160">
        <f>83*20999.48</f>
        <v>1742956.8399999999</v>
      </c>
      <c r="CL1625" s="160"/>
      <c r="CM1625" s="160"/>
      <c r="CN1625" s="160"/>
      <c r="CO1625" s="160"/>
      <c r="CP1625" s="162">
        <v>83</v>
      </c>
      <c r="CQ1625" s="163">
        <f>83*36999.36</f>
        <v>3070946.88</v>
      </c>
      <c r="CR1625" s="162">
        <v>83</v>
      </c>
      <c r="CS1625" s="163">
        <f>83*39700</f>
        <v>3295100</v>
      </c>
      <c r="CT1625" s="162"/>
      <c r="CU1625" s="163"/>
      <c r="CV1625" s="164">
        <f t="shared" si="211"/>
        <v>12757003.719999999</v>
      </c>
      <c r="CW1625" s="165"/>
      <c r="CX1625" s="166"/>
      <c r="CY1625" s="167">
        <v>83</v>
      </c>
      <c r="CZ1625" s="168">
        <f>83*85000</f>
        <v>7055000</v>
      </c>
      <c r="DA1625" s="169"/>
      <c r="DB1625" s="168"/>
      <c r="DC1625" s="165"/>
      <c r="DD1625" s="166"/>
      <c r="DE1625" s="71"/>
      <c r="DF1625" s="170"/>
      <c r="EO1625" s="375" t="str">
        <f t="shared" si="213"/>
        <v>BOYACA_TUTAZA</v>
      </c>
      <c r="EP1625" s="376"/>
      <c r="EQ1625" s="376"/>
      <c r="ER1625" s="377"/>
      <c r="ES1625" s="376"/>
      <c r="ET1625" s="376"/>
      <c r="EU1625" s="376"/>
    </row>
    <row r="1626" spans="1:151" s="171" customFormat="1" ht="48" x14ac:dyDescent="0.2">
      <c r="A1626" s="242">
        <v>40492</v>
      </c>
      <c r="B1626" s="222" t="s">
        <v>1719</v>
      </c>
      <c r="C1626" s="222" t="s">
        <v>1535</v>
      </c>
      <c r="D1626" s="430" t="s">
        <v>2307</v>
      </c>
      <c r="E1626" s="107" t="str">
        <f>VLOOKUP(B1626&amp;C1626,Divipola!$C$2:$F$1138,4,FALSE)</f>
        <v>19290</v>
      </c>
      <c r="F1626" s="333"/>
      <c r="G1626" s="221"/>
      <c r="H1626" s="157"/>
      <c r="I1626" s="157"/>
      <c r="J1626" s="157">
        <f>885*5</f>
        <v>4425</v>
      </c>
      <c r="K1626" s="157">
        <v>885</v>
      </c>
      <c r="L1626" s="157"/>
      <c r="M1626" s="157">
        <v>885</v>
      </c>
      <c r="N1626" s="157"/>
      <c r="O1626" s="157"/>
      <c r="P1626" s="157"/>
      <c r="Q1626" s="157"/>
      <c r="R1626" s="157"/>
      <c r="S1626" s="157"/>
      <c r="T1626" s="157"/>
      <c r="U1626" s="157"/>
      <c r="V1626" s="158">
        <v>126</v>
      </c>
      <c r="W1626" s="182" t="s">
        <v>751</v>
      </c>
      <c r="X1626" s="1"/>
      <c r="Y1626" s="78">
        <f t="shared" si="208"/>
        <v>0</v>
      </c>
      <c r="Z1626" s="78">
        <f t="shared" si="209"/>
        <v>0</v>
      </c>
      <c r="AA1626" s="78">
        <f t="shared" si="207"/>
        <v>0</v>
      </c>
      <c r="AB1626" s="78">
        <f t="shared" si="210"/>
        <v>0</v>
      </c>
      <c r="AC1626" s="78"/>
      <c r="AD1626" s="78">
        <v>0</v>
      </c>
      <c r="AE1626" s="80">
        <f t="shared" si="212"/>
        <v>0</v>
      </c>
      <c r="AF1626" s="82">
        <v>0</v>
      </c>
      <c r="AG1626" s="69"/>
      <c r="AH1626" s="84"/>
      <c r="AI1626" s="69" t="s">
        <v>2009</v>
      </c>
      <c r="AJ1626" s="276" t="s">
        <v>2010</v>
      </c>
      <c r="AK1626" s="65"/>
      <c r="AL1626" s="272" t="s">
        <v>311</v>
      </c>
      <c r="AM1626" s="173" t="s">
        <v>2952</v>
      </c>
      <c r="AN1626" s="159"/>
      <c r="AO1626" s="160"/>
      <c r="AP1626" s="161"/>
      <c r="AQ1626" s="160"/>
      <c r="AR1626" s="160"/>
      <c r="AS1626" s="160"/>
      <c r="AT1626" s="160"/>
      <c r="AU1626" s="160"/>
      <c r="AV1626" s="160"/>
      <c r="AW1626" s="160"/>
      <c r="AX1626" s="160"/>
      <c r="AY1626" s="160"/>
      <c r="AZ1626" s="160"/>
      <c r="BA1626" s="160"/>
      <c r="BB1626" s="160"/>
      <c r="BC1626" s="160"/>
      <c r="BD1626" s="160"/>
      <c r="BE1626" s="160"/>
      <c r="BF1626" s="160"/>
      <c r="BG1626" s="160"/>
      <c r="BH1626" s="160"/>
      <c r="BI1626" s="160"/>
      <c r="BJ1626" s="160"/>
      <c r="BK1626" s="160"/>
      <c r="BL1626" s="160"/>
      <c r="BM1626" s="160"/>
      <c r="BN1626" s="160"/>
      <c r="BO1626" s="160"/>
      <c r="BP1626" s="160"/>
      <c r="BQ1626" s="160"/>
      <c r="BR1626" s="160"/>
      <c r="BS1626" s="160"/>
      <c r="BT1626" s="160"/>
      <c r="BU1626" s="160"/>
      <c r="BV1626" s="160"/>
      <c r="BW1626" s="160"/>
      <c r="BX1626" s="160"/>
      <c r="BY1626" s="160"/>
      <c r="BZ1626" s="160"/>
      <c r="CA1626" s="160"/>
      <c r="CB1626" s="160"/>
      <c r="CC1626" s="160"/>
      <c r="CD1626" s="160"/>
      <c r="CE1626" s="160"/>
      <c r="CF1626" s="160"/>
      <c r="CG1626" s="160"/>
      <c r="CH1626" s="160"/>
      <c r="CI1626" s="160"/>
      <c r="CJ1626" s="160"/>
      <c r="CK1626" s="160"/>
      <c r="CL1626" s="160"/>
      <c r="CM1626" s="160"/>
      <c r="CN1626" s="160"/>
      <c r="CO1626" s="160"/>
      <c r="CP1626" s="162"/>
      <c r="CQ1626" s="163"/>
      <c r="CR1626" s="162"/>
      <c r="CS1626" s="163"/>
      <c r="CT1626" s="162"/>
      <c r="CU1626" s="163"/>
      <c r="CV1626" s="164">
        <f t="shared" si="211"/>
        <v>0</v>
      </c>
      <c r="CW1626" s="165"/>
      <c r="CX1626" s="166"/>
      <c r="CY1626" s="167"/>
      <c r="CZ1626" s="168"/>
      <c r="DA1626" s="169"/>
      <c r="DB1626" s="168"/>
      <c r="DC1626" s="165"/>
      <c r="DD1626" s="166"/>
      <c r="DE1626" s="71"/>
      <c r="DF1626" s="170"/>
      <c r="EO1626" s="375" t="str">
        <f t="shared" si="213"/>
        <v>CAUCA_FLORENCIA</v>
      </c>
      <c r="EP1626" s="376"/>
      <c r="EQ1626" s="376"/>
      <c r="ER1626" s="377"/>
      <c r="ES1626" s="376"/>
      <c r="ET1626" s="376"/>
      <c r="EU1626" s="376"/>
    </row>
    <row r="1627" spans="1:151" s="171" customFormat="1" ht="36" x14ac:dyDescent="0.2">
      <c r="A1627" s="242">
        <v>40492</v>
      </c>
      <c r="B1627" s="222" t="s">
        <v>1719</v>
      </c>
      <c r="C1627" s="222" t="s">
        <v>3128</v>
      </c>
      <c r="D1627" s="430" t="s">
        <v>837</v>
      </c>
      <c r="E1627" s="107" t="str">
        <f>VLOOKUP(B1627&amp;C1627,Divipola!$C$2:$F$1138,4,FALSE)</f>
        <v>19455</v>
      </c>
      <c r="F1627" s="333"/>
      <c r="G1627" s="221"/>
      <c r="H1627" s="157"/>
      <c r="I1627" s="157"/>
      <c r="J1627" s="157">
        <f>162*5</f>
        <v>810</v>
      </c>
      <c r="K1627" s="157">
        <v>162</v>
      </c>
      <c r="L1627" s="157"/>
      <c r="M1627" s="157">
        <v>162</v>
      </c>
      <c r="N1627" s="157"/>
      <c r="O1627" s="157"/>
      <c r="P1627" s="157"/>
      <c r="Q1627" s="157">
        <v>1</v>
      </c>
      <c r="R1627" s="157"/>
      <c r="S1627" s="157"/>
      <c r="T1627" s="157"/>
      <c r="U1627" s="157"/>
      <c r="V1627" s="158">
        <v>34.549999999999997</v>
      </c>
      <c r="W1627" s="182" t="s">
        <v>761</v>
      </c>
      <c r="X1627" s="1"/>
      <c r="Y1627" s="78">
        <f t="shared" si="208"/>
        <v>0</v>
      </c>
      <c r="Z1627" s="78">
        <f t="shared" si="209"/>
        <v>0</v>
      </c>
      <c r="AA1627" s="78">
        <f t="shared" si="207"/>
        <v>0</v>
      </c>
      <c r="AB1627" s="78">
        <f t="shared" si="210"/>
        <v>0</v>
      </c>
      <c r="AC1627" s="78"/>
      <c r="AD1627" s="78">
        <v>0</v>
      </c>
      <c r="AE1627" s="80">
        <f t="shared" si="212"/>
        <v>0</v>
      </c>
      <c r="AF1627" s="82">
        <v>0</v>
      </c>
      <c r="AG1627" s="69">
        <v>40494</v>
      </c>
      <c r="AH1627" s="84"/>
      <c r="AI1627" s="69" t="s">
        <v>1984</v>
      </c>
      <c r="AJ1627" s="25" t="s">
        <v>1985</v>
      </c>
      <c r="AK1627" s="65"/>
      <c r="AL1627" s="176" t="s">
        <v>1257</v>
      </c>
      <c r="AM1627" s="173" t="s">
        <v>2454</v>
      </c>
      <c r="AN1627" s="159"/>
      <c r="AO1627" s="160"/>
      <c r="AP1627" s="161"/>
      <c r="AQ1627" s="160"/>
      <c r="AR1627" s="160"/>
      <c r="AS1627" s="160"/>
      <c r="AT1627" s="160"/>
      <c r="AU1627" s="160"/>
      <c r="AV1627" s="160"/>
      <c r="AW1627" s="160"/>
      <c r="AX1627" s="160"/>
      <c r="AY1627" s="160"/>
      <c r="AZ1627" s="160"/>
      <c r="BA1627" s="160"/>
      <c r="BB1627" s="160"/>
      <c r="BC1627" s="160"/>
      <c r="BD1627" s="160"/>
      <c r="BE1627" s="160"/>
      <c r="BF1627" s="160"/>
      <c r="BG1627" s="160"/>
      <c r="BH1627" s="160"/>
      <c r="BI1627" s="160"/>
      <c r="BJ1627" s="160"/>
      <c r="BK1627" s="160"/>
      <c r="BL1627" s="160"/>
      <c r="BM1627" s="160"/>
      <c r="BN1627" s="160"/>
      <c r="BO1627" s="160"/>
      <c r="BP1627" s="160"/>
      <c r="BQ1627" s="160"/>
      <c r="BR1627" s="160"/>
      <c r="BS1627" s="160"/>
      <c r="BT1627" s="160"/>
      <c r="BU1627" s="160"/>
      <c r="BV1627" s="160"/>
      <c r="BW1627" s="160"/>
      <c r="BX1627" s="160"/>
      <c r="BY1627" s="160"/>
      <c r="BZ1627" s="160"/>
      <c r="CA1627" s="160"/>
      <c r="CB1627" s="160"/>
      <c r="CC1627" s="160"/>
      <c r="CD1627" s="160"/>
      <c r="CE1627" s="160"/>
      <c r="CF1627" s="160"/>
      <c r="CG1627" s="160"/>
      <c r="CH1627" s="160"/>
      <c r="CI1627" s="160"/>
      <c r="CJ1627" s="160"/>
      <c r="CK1627" s="160"/>
      <c r="CL1627" s="160"/>
      <c r="CM1627" s="160"/>
      <c r="CN1627" s="160"/>
      <c r="CO1627" s="160"/>
      <c r="CP1627" s="162"/>
      <c r="CQ1627" s="163"/>
      <c r="CR1627" s="162"/>
      <c r="CS1627" s="163"/>
      <c r="CT1627" s="162"/>
      <c r="CU1627" s="163"/>
      <c r="CV1627" s="164">
        <f t="shared" si="211"/>
        <v>0</v>
      </c>
      <c r="CW1627" s="165"/>
      <c r="CX1627" s="166"/>
      <c r="CY1627" s="167"/>
      <c r="CZ1627" s="168"/>
      <c r="DA1627" s="169"/>
      <c r="DB1627" s="168"/>
      <c r="DC1627" s="165"/>
      <c r="DD1627" s="166"/>
      <c r="DE1627" s="71"/>
      <c r="DF1627" s="170"/>
      <c r="EO1627" s="375" t="str">
        <f t="shared" si="213"/>
        <v>CAUCA_MIRANDA</v>
      </c>
      <c r="EP1627" s="376"/>
      <c r="EQ1627" s="376"/>
      <c r="ER1627" s="377"/>
      <c r="ES1627" s="376"/>
      <c r="ET1627" s="376"/>
      <c r="EU1627" s="376"/>
    </row>
    <row r="1628" spans="1:151" s="171" customFormat="1" ht="36" x14ac:dyDescent="0.2">
      <c r="A1628" s="242">
        <v>40492</v>
      </c>
      <c r="B1628" s="222" t="s">
        <v>2245</v>
      </c>
      <c r="C1628" s="222" t="s">
        <v>110</v>
      </c>
      <c r="D1628" s="427" t="s">
        <v>2307</v>
      </c>
      <c r="E1628" s="107" t="str">
        <f>VLOOKUP(B1628&amp;C1628,Divipola!$C$2:$F$1138,4,FALSE)</f>
        <v>52385</v>
      </c>
      <c r="F1628" s="330"/>
      <c r="G1628" s="221"/>
      <c r="H1628" s="157"/>
      <c r="I1628" s="157"/>
      <c r="J1628" s="157">
        <v>413</v>
      </c>
      <c r="K1628" s="157">
        <v>105</v>
      </c>
      <c r="L1628" s="157">
        <v>8</v>
      </c>
      <c r="M1628" s="157">
        <v>17</v>
      </c>
      <c r="N1628" s="157">
        <v>7</v>
      </c>
      <c r="O1628" s="157"/>
      <c r="P1628" s="157"/>
      <c r="Q1628" s="157">
        <v>2</v>
      </c>
      <c r="R1628" s="157">
        <v>1</v>
      </c>
      <c r="S1628" s="157">
        <v>1</v>
      </c>
      <c r="T1628" s="157"/>
      <c r="U1628" s="157"/>
      <c r="V1628" s="158"/>
      <c r="W1628" s="182"/>
      <c r="X1628" s="1"/>
      <c r="Y1628" s="78">
        <f t="shared" si="208"/>
        <v>0</v>
      </c>
      <c r="Z1628" s="78">
        <f t="shared" si="209"/>
        <v>0</v>
      </c>
      <c r="AA1628" s="78">
        <f t="shared" si="207"/>
        <v>0</v>
      </c>
      <c r="AB1628" s="78">
        <f t="shared" si="210"/>
        <v>0</v>
      </c>
      <c r="AC1628" s="78"/>
      <c r="AD1628" s="78">
        <v>0</v>
      </c>
      <c r="AE1628" s="80">
        <f t="shared" si="212"/>
        <v>0</v>
      </c>
      <c r="AF1628" s="82">
        <v>0</v>
      </c>
      <c r="AG1628" s="69">
        <v>40492</v>
      </c>
      <c r="AH1628" s="84"/>
      <c r="AI1628" s="69" t="s">
        <v>1984</v>
      </c>
      <c r="AJ1628" s="25" t="s">
        <v>1985</v>
      </c>
      <c r="AK1628" s="65"/>
      <c r="AL1628" s="176" t="s">
        <v>1257</v>
      </c>
      <c r="AM1628" s="173" t="s">
        <v>2996</v>
      </c>
      <c r="AN1628" s="159"/>
      <c r="AO1628" s="160"/>
      <c r="AP1628" s="161"/>
      <c r="AQ1628" s="160"/>
      <c r="AR1628" s="160"/>
      <c r="AS1628" s="160"/>
      <c r="AT1628" s="160"/>
      <c r="AU1628" s="160"/>
      <c r="AV1628" s="160"/>
      <c r="AW1628" s="160"/>
      <c r="AX1628" s="160"/>
      <c r="AY1628" s="160"/>
      <c r="AZ1628" s="160"/>
      <c r="BA1628" s="160"/>
      <c r="BB1628" s="160"/>
      <c r="BC1628" s="160"/>
      <c r="BD1628" s="160"/>
      <c r="BE1628" s="160"/>
      <c r="BF1628" s="160"/>
      <c r="BG1628" s="160"/>
      <c r="BH1628" s="160"/>
      <c r="BI1628" s="160"/>
      <c r="BJ1628" s="160"/>
      <c r="BK1628" s="160"/>
      <c r="BL1628" s="160"/>
      <c r="BM1628" s="160"/>
      <c r="BN1628" s="160"/>
      <c r="BO1628" s="160"/>
      <c r="BP1628" s="160"/>
      <c r="BQ1628" s="160"/>
      <c r="BR1628" s="160"/>
      <c r="BS1628" s="160"/>
      <c r="BT1628" s="160"/>
      <c r="BU1628" s="160"/>
      <c r="BV1628" s="160"/>
      <c r="BW1628" s="160"/>
      <c r="BX1628" s="160"/>
      <c r="BY1628" s="160"/>
      <c r="BZ1628" s="160"/>
      <c r="CA1628" s="160"/>
      <c r="CB1628" s="160"/>
      <c r="CC1628" s="160"/>
      <c r="CD1628" s="160"/>
      <c r="CE1628" s="160"/>
      <c r="CF1628" s="160"/>
      <c r="CG1628" s="160"/>
      <c r="CH1628" s="160"/>
      <c r="CI1628" s="160"/>
      <c r="CJ1628" s="160"/>
      <c r="CK1628" s="160"/>
      <c r="CL1628" s="160"/>
      <c r="CM1628" s="160"/>
      <c r="CN1628" s="160"/>
      <c r="CO1628" s="160"/>
      <c r="CP1628" s="162"/>
      <c r="CQ1628" s="163"/>
      <c r="CR1628" s="162"/>
      <c r="CS1628" s="163"/>
      <c r="CT1628" s="162"/>
      <c r="CU1628" s="163"/>
      <c r="CV1628" s="164">
        <f t="shared" si="211"/>
        <v>0</v>
      </c>
      <c r="CW1628" s="165"/>
      <c r="CX1628" s="166"/>
      <c r="CY1628" s="167"/>
      <c r="CZ1628" s="168"/>
      <c r="DA1628" s="169"/>
      <c r="DB1628" s="168"/>
      <c r="DC1628" s="165"/>
      <c r="DD1628" s="166"/>
      <c r="DE1628" s="71"/>
      <c r="DF1628" s="170"/>
      <c r="EO1628" s="375" t="str">
        <f t="shared" si="213"/>
        <v>NARIÑO_LA LLANADA</v>
      </c>
      <c r="EP1628" s="376"/>
      <c r="EQ1628" s="376"/>
      <c r="ER1628" s="377"/>
      <c r="ES1628" s="376"/>
      <c r="ET1628" s="376"/>
      <c r="EU1628" s="376"/>
    </row>
    <row r="1629" spans="1:151" s="171" customFormat="1" ht="51" x14ac:dyDescent="0.2">
      <c r="A1629" s="242">
        <v>40492</v>
      </c>
      <c r="B1629" s="222" t="s">
        <v>1336</v>
      </c>
      <c r="C1629" s="222" t="s">
        <v>2448</v>
      </c>
      <c r="D1629" s="427" t="s">
        <v>2307</v>
      </c>
      <c r="E1629" s="107" t="str">
        <f>VLOOKUP(B1629&amp;C1629,Divipola!$C$2:$F$1138,4,FALSE)</f>
        <v>54313</v>
      </c>
      <c r="F1629" s="330"/>
      <c r="G1629" s="221"/>
      <c r="H1629" s="157"/>
      <c r="I1629" s="157"/>
      <c r="J1629" s="157"/>
      <c r="K1629" s="157"/>
      <c r="L1629" s="157"/>
      <c r="M1629" s="157"/>
      <c r="N1629" s="157">
        <v>1</v>
      </c>
      <c r="O1629" s="157"/>
      <c r="P1629" s="157"/>
      <c r="Q1629" s="157">
        <v>1</v>
      </c>
      <c r="R1629" s="157">
        <v>1</v>
      </c>
      <c r="S1629" s="157"/>
      <c r="T1629" s="157"/>
      <c r="U1629" s="157"/>
      <c r="V1629" s="158"/>
      <c r="W1629" s="182"/>
      <c r="X1629" s="1"/>
      <c r="Y1629" s="78">
        <f t="shared" si="208"/>
        <v>0</v>
      </c>
      <c r="Z1629" s="78">
        <f t="shared" si="209"/>
        <v>0</v>
      </c>
      <c r="AA1629" s="78">
        <f t="shared" si="207"/>
        <v>0</v>
      </c>
      <c r="AB1629" s="78">
        <f t="shared" si="210"/>
        <v>0</v>
      </c>
      <c r="AC1629" s="78"/>
      <c r="AD1629" s="78">
        <v>0</v>
      </c>
      <c r="AE1629" s="80">
        <f t="shared" si="212"/>
        <v>0</v>
      </c>
      <c r="AF1629" s="82">
        <v>0</v>
      </c>
      <c r="AG1629" s="69">
        <v>40494</v>
      </c>
      <c r="AH1629" s="84"/>
      <c r="AI1629" s="69" t="s">
        <v>1984</v>
      </c>
      <c r="AJ1629" s="25" t="s">
        <v>1985</v>
      </c>
      <c r="AK1629" s="65"/>
      <c r="AL1629" s="176" t="s">
        <v>1257</v>
      </c>
      <c r="AM1629" s="173" t="s">
        <v>2449</v>
      </c>
      <c r="AN1629" s="159"/>
      <c r="AO1629" s="160"/>
      <c r="AP1629" s="161"/>
      <c r="AQ1629" s="160"/>
      <c r="AR1629" s="160"/>
      <c r="AS1629" s="160"/>
      <c r="AT1629" s="160"/>
      <c r="AU1629" s="160"/>
      <c r="AV1629" s="160"/>
      <c r="AW1629" s="160"/>
      <c r="AX1629" s="160"/>
      <c r="AY1629" s="160"/>
      <c r="AZ1629" s="160"/>
      <c r="BA1629" s="160"/>
      <c r="BB1629" s="160"/>
      <c r="BC1629" s="160"/>
      <c r="BD1629" s="160"/>
      <c r="BE1629" s="160"/>
      <c r="BF1629" s="160"/>
      <c r="BG1629" s="160"/>
      <c r="BH1629" s="160"/>
      <c r="BI1629" s="160"/>
      <c r="BJ1629" s="160"/>
      <c r="BK1629" s="160"/>
      <c r="BL1629" s="160"/>
      <c r="BM1629" s="160"/>
      <c r="BN1629" s="160"/>
      <c r="BO1629" s="160"/>
      <c r="BP1629" s="160"/>
      <c r="BQ1629" s="160"/>
      <c r="BR1629" s="160"/>
      <c r="BS1629" s="160"/>
      <c r="BT1629" s="160"/>
      <c r="BU1629" s="160"/>
      <c r="BV1629" s="160"/>
      <c r="BW1629" s="160"/>
      <c r="BX1629" s="160"/>
      <c r="BY1629" s="160"/>
      <c r="BZ1629" s="160"/>
      <c r="CA1629" s="160"/>
      <c r="CB1629" s="160"/>
      <c r="CC1629" s="160"/>
      <c r="CD1629" s="160"/>
      <c r="CE1629" s="160"/>
      <c r="CF1629" s="160"/>
      <c r="CG1629" s="160"/>
      <c r="CH1629" s="160"/>
      <c r="CI1629" s="160"/>
      <c r="CJ1629" s="160"/>
      <c r="CK1629" s="160"/>
      <c r="CL1629" s="160"/>
      <c r="CM1629" s="160"/>
      <c r="CN1629" s="160"/>
      <c r="CO1629" s="160"/>
      <c r="CP1629" s="162"/>
      <c r="CQ1629" s="163"/>
      <c r="CR1629" s="162"/>
      <c r="CS1629" s="163"/>
      <c r="CT1629" s="162"/>
      <c r="CU1629" s="163"/>
      <c r="CV1629" s="164">
        <f t="shared" si="211"/>
        <v>0</v>
      </c>
      <c r="CW1629" s="165"/>
      <c r="CX1629" s="166"/>
      <c r="CY1629" s="167"/>
      <c r="CZ1629" s="168"/>
      <c r="DA1629" s="169"/>
      <c r="DB1629" s="168"/>
      <c r="DC1629" s="165"/>
      <c r="DD1629" s="166"/>
      <c r="DE1629" s="71"/>
      <c r="DF1629" s="170"/>
      <c r="EO1629" s="375" t="str">
        <f t="shared" si="213"/>
        <v>NORTE DE SANTANDER_GRAMALOTE</v>
      </c>
      <c r="EP1629" s="376"/>
      <c r="EQ1629" s="376"/>
      <c r="ER1629" s="377"/>
      <c r="ES1629" s="376"/>
      <c r="ET1629" s="376"/>
      <c r="EU1629" s="376"/>
    </row>
    <row r="1630" spans="1:151" s="171" customFormat="1" ht="51" x14ac:dyDescent="0.2">
      <c r="A1630" s="242">
        <v>40492</v>
      </c>
      <c r="B1630" s="222" t="s">
        <v>1336</v>
      </c>
      <c r="C1630" s="222" t="s">
        <v>1380</v>
      </c>
      <c r="D1630" s="430" t="s">
        <v>837</v>
      </c>
      <c r="E1630" s="107" t="str">
        <f>VLOOKUP(B1630&amp;C1630,Divipola!$C$2:$F$1138,4,FALSE)</f>
        <v>54480</v>
      </c>
      <c r="F1630" s="333"/>
      <c r="G1630" s="221"/>
      <c r="H1630" s="157"/>
      <c r="I1630" s="157"/>
      <c r="J1630" s="157">
        <v>524</v>
      </c>
      <c r="K1630" s="157">
        <v>135</v>
      </c>
      <c r="L1630" s="157"/>
      <c r="M1630" s="157">
        <v>128</v>
      </c>
      <c r="N1630" s="157"/>
      <c r="O1630" s="157"/>
      <c r="P1630" s="157"/>
      <c r="Q1630" s="157"/>
      <c r="R1630" s="157"/>
      <c r="S1630" s="157"/>
      <c r="T1630" s="157"/>
      <c r="U1630" s="157"/>
      <c r="V1630" s="158"/>
      <c r="W1630" s="182"/>
      <c r="X1630" s="1"/>
      <c r="Y1630" s="78">
        <f t="shared" si="208"/>
        <v>0</v>
      </c>
      <c r="Z1630" s="78">
        <f t="shared" si="209"/>
        <v>0</v>
      </c>
      <c r="AA1630" s="78">
        <f t="shared" si="207"/>
        <v>0</v>
      </c>
      <c r="AB1630" s="78">
        <f t="shared" si="210"/>
        <v>0</v>
      </c>
      <c r="AC1630" s="78"/>
      <c r="AD1630" s="78">
        <v>0</v>
      </c>
      <c r="AE1630" s="80">
        <f t="shared" si="212"/>
        <v>0</v>
      </c>
      <c r="AF1630" s="82">
        <v>0</v>
      </c>
      <c r="AG1630" s="69">
        <v>40581</v>
      </c>
      <c r="AH1630" s="84"/>
      <c r="AI1630" s="69" t="s">
        <v>1984</v>
      </c>
      <c r="AJ1630" s="25" t="s">
        <v>1985</v>
      </c>
      <c r="AK1630" s="65"/>
      <c r="AL1630" s="176" t="s">
        <v>1257</v>
      </c>
      <c r="AM1630" s="173" t="s">
        <v>349</v>
      </c>
      <c r="AN1630" s="159"/>
      <c r="AO1630" s="160"/>
      <c r="AP1630" s="161"/>
      <c r="AQ1630" s="160"/>
      <c r="AR1630" s="160"/>
      <c r="AS1630" s="160"/>
      <c r="AT1630" s="160"/>
      <c r="AU1630" s="160"/>
      <c r="AV1630" s="160"/>
      <c r="AW1630" s="160"/>
      <c r="AX1630" s="160"/>
      <c r="AY1630" s="160"/>
      <c r="AZ1630" s="160"/>
      <c r="BA1630" s="160"/>
      <c r="BB1630" s="160"/>
      <c r="BC1630" s="160"/>
      <c r="BD1630" s="160"/>
      <c r="BE1630" s="160"/>
      <c r="BF1630" s="160"/>
      <c r="BG1630" s="160"/>
      <c r="BH1630" s="160"/>
      <c r="BI1630" s="160"/>
      <c r="BJ1630" s="160"/>
      <c r="BK1630" s="160"/>
      <c r="BL1630" s="160"/>
      <c r="BM1630" s="160"/>
      <c r="BN1630" s="160"/>
      <c r="BO1630" s="160"/>
      <c r="BP1630" s="160"/>
      <c r="BQ1630" s="160"/>
      <c r="BR1630" s="160"/>
      <c r="BS1630" s="160"/>
      <c r="BT1630" s="160"/>
      <c r="BU1630" s="160"/>
      <c r="BV1630" s="160"/>
      <c r="BW1630" s="160"/>
      <c r="BX1630" s="160"/>
      <c r="BY1630" s="160"/>
      <c r="BZ1630" s="160"/>
      <c r="CA1630" s="160"/>
      <c r="CB1630" s="160"/>
      <c r="CC1630" s="160"/>
      <c r="CD1630" s="160"/>
      <c r="CE1630" s="160"/>
      <c r="CF1630" s="160"/>
      <c r="CG1630" s="160"/>
      <c r="CH1630" s="160"/>
      <c r="CI1630" s="160"/>
      <c r="CJ1630" s="160"/>
      <c r="CK1630" s="160"/>
      <c r="CL1630" s="160"/>
      <c r="CM1630" s="160"/>
      <c r="CN1630" s="160"/>
      <c r="CO1630" s="160"/>
      <c r="CP1630" s="162"/>
      <c r="CQ1630" s="163"/>
      <c r="CR1630" s="162"/>
      <c r="CS1630" s="163"/>
      <c r="CT1630" s="162"/>
      <c r="CU1630" s="163"/>
      <c r="CV1630" s="164">
        <f t="shared" si="211"/>
        <v>0</v>
      </c>
      <c r="CW1630" s="165"/>
      <c r="CX1630" s="166"/>
      <c r="CY1630" s="167"/>
      <c r="CZ1630" s="168"/>
      <c r="DA1630" s="169"/>
      <c r="DB1630" s="168"/>
      <c r="DC1630" s="165"/>
      <c r="DD1630" s="166"/>
      <c r="DE1630" s="71"/>
      <c r="DF1630" s="170"/>
      <c r="EO1630" s="375" t="str">
        <f t="shared" si="213"/>
        <v>NORTE DE SANTANDER_MUTISCUA</v>
      </c>
      <c r="EP1630" s="376"/>
      <c r="EQ1630" s="376"/>
      <c r="ER1630" s="377"/>
      <c r="ES1630" s="376"/>
      <c r="ET1630" s="376"/>
      <c r="EU1630" s="376"/>
    </row>
    <row r="1631" spans="1:151" s="171" customFormat="1" ht="51" x14ac:dyDescent="0.2">
      <c r="A1631" s="242">
        <v>40492</v>
      </c>
      <c r="B1631" s="222" t="s">
        <v>1336</v>
      </c>
      <c r="C1631" s="222" t="s">
        <v>3107</v>
      </c>
      <c r="D1631" s="430" t="s">
        <v>2209</v>
      </c>
      <c r="E1631" s="107" t="str">
        <f>VLOOKUP(B1631&amp;C1631,Divipola!$C$2:$F$1138,4,FALSE)</f>
        <v>54518</v>
      </c>
      <c r="F1631" s="333"/>
      <c r="G1631" s="221">
        <v>1</v>
      </c>
      <c r="H1631" s="157"/>
      <c r="I1631" s="157"/>
      <c r="J1631" s="157">
        <v>105</v>
      </c>
      <c r="K1631" s="157">
        <v>19</v>
      </c>
      <c r="L1631" s="157">
        <v>1</v>
      </c>
      <c r="M1631" s="157"/>
      <c r="N1631" s="157"/>
      <c r="O1631" s="157"/>
      <c r="P1631" s="157"/>
      <c r="Q1631" s="157"/>
      <c r="R1631" s="157"/>
      <c r="S1631" s="157"/>
      <c r="T1631" s="157"/>
      <c r="U1631" s="157"/>
      <c r="V1631" s="158"/>
      <c r="W1631" s="182"/>
      <c r="X1631" s="1"/>
      <c r="Y1631" s="78">
        <f t="shared" si="208"/>
        <v>0</v>
      </c>
      <c r="Z1631" s="78">
        <f t="shared" si="209"/>
        <v>0</v>
      </c>
      <c r="AA1631" s="78">
        <f t="shared" si="207"/>
        <v>0</v>
      </c>
      <c r="AB1631" s="78">
        <f t="shared" si="210"/>
        <v>0</v>
      </c>
      <c r="AC1631" s="78"/>
      <c r="AD1631" s="78">
        <v>0</v>
      </c>
      <c r="AE1631" s="80">
        <f t="shared" si="212"/>
        <v>0</v>
      </c>
      <c r="AF1631" s="82">
        <v>0</v>
      </c>
      <c r="AG1631" s="69">
        <v>40494</v>
      </c>
      <c r="AH1631" s="84"/>
      <c r="AI1631" s="69" t="s">
        <v>1984</v>
      </c>
      <c r="AJ1631" s="25" t="s">
        <v>1985</v>
      </c>
      <c r="AK1631" s="65"/>
      <c r="AL1631" s="176" t="s">
        <v>1257</v>
      </c>
      <c r="AM1631" s="173" t="s">
        <v>2450</v>
      </c>
      <c r="AN1631" s="159"/>
      <c r="AO1631" s="160"/>
      <c r="AP1631" s="161"/>
      <c r="AQ1631" s="160"/>
      <c r="AR1631" s="160"/>
      <c r="AS1631" s="160"/>
      <c r="AT1631" s="160"/>
      <c r="AU1631" s="160"/>
      <c r="AV1631" s="160"/>
      <c r="AW1631" s="160"/>
      <c r="AX1631" s="160"/>
      <c r="AY1631" s="160"/>
      <c r="AZ1631" s="160"/>
      <c r="BA1631" s="160"/>
      <c r="BB1631" s="160"/>
      <c r="BC1631" s="160"/>
      <c r="BD1631" s="160"/>
      <c r="BE1631" s="160"/>
      <c r="BF1631" s="160"/>
      <c r="BG1631" s="160"/>
      <c r="BH1631" s="160"/>
      <c r="BI1631" s="160"/>
      <c r="BJ1631" s="160"/>
      <c r="BK1631" s="160"/>
      <c r="BL1631" s="160"/>
      <c r="BM1631" s="160"/>
      <c r="BN1631" s="160"/>
      <c r="BO1631" s="160"/>
      <c r="BP1631" s="160"/>
      <c r="BQ1631" s="160"/>
      <c r="BR1631" s="160"/>
      <c r="BS1631" s="160"/>
      <c r="BT1631" s="160"/>
      <c r="BU1631" s="160"/>
      <c r="BV1631" s="160"/>
      <c r="BW1631" s="160"/>
      <c r="BX1631" s="160"/>
      <c r="BY1631" s="160"/>
      <c r="BZ1631" s="160"/>
      <c r="CA1631" s="160"/>
      <c r="CB1631" s="160"/>
      <c r="CC1631" s="160"/>
      <c r="CD1631" s="160"/>
      <c r="CE1631" s="160"/>
      <c r="CF1631" s="160"/>
      <c r="CG1631" s="160"/>
      <c r="CH1631" s="160"/>
      <c r="CI1631" s="160"/>
      <c r="CJ1631" s="160"/>
      <c r="CK1631" s="160"/>
      <c r="CL1631" s="160"/>
      <c r="CM1631" s="160"/>
      <c r="CN1631" s="160"/>
      <c r="CO1631" s="160"/>
      <c r="CP1631" s="162"/>
      <c r="CQ1631" s="163"/>
      <c r="CR1631" s="162"/>
      <c r="CS1631" s="163"/>
      <c r="CT1631" s="162"/>
      <c r="CU1631" s="163"/>
      <c r="CV1631" s="164">
        <f t="shared" si="211"/>
        <v>0</v>
      </c>
      <c r="CW1631" s="165"/>
      <c r="CX1631" s="166"/>
      <c r="CY1631" s="167"/>
      <c r="CZ1631" s="168"/>
      <c r="DA1631" s="169"/>
      <c r="DB1631" s="168"/>
      <c r="DC1631" s="165"/>
      <c r="DD1631" s="166"/>
      <c r="DE1631" s="71"/>
      <c r="DF1631" s="170"/>
      <c r="EO1631" s="375" t="str">
        <f t="shared" si="213"/>
        <v>NORTE DE SANTANDER_PAMPLONA</v>
      </c>
      <c r="EP1631" s="376"/>
      <c r="EQ1631" s="376"/>
      <c r="ER1631" s="377"/>
      <c r="ES1631" s="376"/>
      <c r="ET1631" s="376"/>
      <c r="EU1631" s="376"/>
    </row>
    <row r="1632" spans="1:151" s="171" customFormat="1" ht="63.75" x14ac:dyDescent="0.2">
      <c r="A1632" s="242">
        <v>40492</v>
      </c>
      <c r="B1632" s="222" t="s">
        <v>1336</v>
      </c>
      <c r="C1632" s="222" t="s">
        <v>483</v>
      </c>
      <c r="D1632" s="430" t="s">
        <v>837</v>
      </c>
      <c r="E1632" s="107" t="str">
        <f>VLOOKUP(B1632&amp;C1632,Divipola!$C$2:$F$1138,4,FALSE)</f>
        <v>54553</v>
      </c>
      <c r="F1632" s="333"/>
      <c r="G1632" s="221"/>
      <c r="H1632" s="157"/>
      <c r="I1632" s="157"/>
      <c r="J1632" s="157"/>
      <c r="K1632" s="157"/>
      <c r="L1632" s="157"/>
      <c r="M1632" s="157"/>
      <c r="N1632" s="157"/>
      <c r="O1632" s="157"/>
      <c r="P1632" s="157"/>
      <c r="Q1632" s="157"/>
      <c r="R1632" s="157"/>
      <c r="S1632" s="157"/>
      <c r="T1632" s="157"/>
      <c r="U1632" s="157"/>
      <c r="V1632" s="158"/>
      <c r="W1632" s="182"/>
      <c r="X1632" s="1"/>
      <c r="Y1632" s="78">
        <f t="shared" si="208"/>
        <v>0</v>
      </c>
      <c r="Z1632" s="78">
        <f t="shared" si="209"/>
        <v>0</v>
      </c>
      <c r="AA1632" s="78">
        <f t="shared" si="207"/>
        <v>0</v>
      </c>
      <c r="AB1632" s="78">
        <f t="shared" si="210"/>
        <v>0</v>
      </c>
      <c r="AC1632" s="78"/>
      <c r="AD1632" s="78">
        <v>0</v>
      </c>
      <c r="AE1632" s="80">
        <f t="shared" si="212"/>
        <v>0</v>
      </c>
      <c r="AF1632" s="82">
        <v>0</v>
      </c>
      <c r="AG1632" s="69">
        <v>40494</v>
      </c>
      <c r="AH1632" s="84"/>
      <c r="AI1632" s="69" t="s">
        <v>1984</v>
      </c>
      <c r="AJ1632" s="25" t="s">
        <v>1985</v>
      </c>
      <c r="AK1632" s="65"/>
      <c r="AL1632" s="176" t="s">
        <v>1257</v>
      </c>
      <c r="AM1632" s="173" t="s">
        <v>2444</v>
      </c>
      <c r="AN1632" s="159"/>
      <c r="AO1632" s="160"/>
      <c r="AP1632" s="161"/>
      <c r="AQ1632" s="160"/>
      <c r="AR1632" s="160"/>
      <c r="AS1632" s="160"/>
      <c r="AT1632" s="160"/>
      <c r="AU1632" s="160"/>
      <c r="AV1632" s="160"/>
      <c r="AW1632" s="160"/>
      <c r="AX1632" s="160"/>
      <c r="AY1632" s="160"/>
      <c r="AZ1632" s="160"/>
      <c r="BA1632" s="160"/>
      <c r="BB1632" s="160"/>
      <c r="BC1632" s="160"/>
      <c r="BD1632" s="160"/>
      <c r="BE1632" s="160"/>
      <c r="BF1632" s="160"/>
      <c r="BG1632" s="160"/>
      <c r="BH1632" s="160"/>
      <c r="BI1632" s="160"/>
      <c r="BJ1632" s="160"/>
      <c r="BK1632" s="160"/>
      <c r="BL1632" s="160"/>
      <c r="BM1632" s="160"/>
      <c r="BN1632" s="160"/>
      <c r="BO1632" s="160"/>
      <c r="BP1632" s="160"/>
      <c r="BQ1632" s="160"/>
      <c r="BR1632" s="160"/>
      <c r="BS1632" s="160"/>
      <c r="BT1632" s="160"/>
      <c r="BU1632" s="160"/>
      <c r="BV1632" s="160"/>
      <c r="BW1632" s="160"/>
      <c r="BX1632" s="160"/>
      <c r="BY1632" s="160"/>
      <c r="BZ1632" s="160"/>
      <c r="CA1632" s="160"/>
      <c r="CB1632" s="160"/>
      <c r="CC1632" s="160"/>
      <c r="CD1632" s="160"/>
      <c r="CE1632" s="160"/>
      <c r="CF1632" s="160"/>
      <c r="CG1632" s="160"/>
      <c r="CH1632" s="160"/>
      <c r="CI1632" s="160"/>
      <c r="CJ1632" s="160"/>
      <c r="CK1632" s="160"/>
      <c r="CL1632" s="160"/>
      <c r="CM1632" s="160"/>
      <c r="CN1632" s="160"/>
      <c r="CO1632" s="160"/>
      <c r="CP1632" s="162"/>
      <c r="CQ1632" s="163"/>
      <c r="CR1632" s="162"/>
      <c r="CS1632" s="163"/>
      <c r="CT1632" s="162"/>
      <c r="CU1632" s="163"/>
      <c r="CV1632" s="164">
        <f t="shared" si="211"/>
        <v>0</v>
      </c>
      <c r="CW1632" s="165"/>
      <c r="CX1632" s="166"/>
      <c r="CY1632" s="167"/>
      <c r="CZ1632" s="168"/>
      <c r="DA1632" s="169"/>
      <c r="DB1632" s="168"/>
      <c r="DC1632" s="165"/>
      <c r="DD1632" s="166"/>
      <c r="DE1632" s="71"/>
      <c r="DF1632" s="170"/>
      <c r="EO1632" s="375" t="str">
        <f t="shared" si="213"/>
        <v>NORTE DE SANTANDER_PUERTO SANTANDER</v>
      </c>
      <c r="EP1632" s="376"/>
      <c r="EQ1632" s="376"/>
      <c r="ER1632" s="377"/>
      <c r="ES1632" s="376"/>
      <c r="ET1632" s="376"/>
      <c r="EU1632" s="376"/>
    </row>
    <row r="1633" spans="1:151" s="171" customFormat="1" ht="51" x14ac:dyDescent="0.2">
      <c r="A1633" s="242">
        <v>40492</v>
      </c>
      <c r="B1633" s="222" t="s">
        <v>1336</v>
      </c>
      <c r="C1633" s="222" t="s">
        <v>2445</v>
      </c>
      <c r="D1633" s="427" t="s">
        <v>2307</v>
      </c>
      <c r="E1633" s="107" t="str">
        <f>VLOOKUP(B1633&amp;C1633,Divipola!$C$2:$F$1138,4,FALSE)</f>
        <v>54660</v>
      </c>
      <c r="F1633" s="330"/>
      <c r="G1633" s="221">
        <v>1</v>
      </c>
      <c r="H1633" s="157"/>
      <c r="I1633" s="157"/>
      <c r="J1633" s="157">
        <f>1611-75</f>
        <v>1536</v>
      </c>
      <c r="K1633" s="157">
        <f>300-15</f>
        <v>285</v>
      </c>
      <c r="L1633" s="157"/>
      <c r="M1633" s="157">
        <v>10</v>
      </c>
      <c r="N1633" s="157">
        <v>1</v>
      </c>
      <c r="O1633" s="157"/>
      <c r="P1633" s="157"/>
      <c r="Q1633" s="157"/>
      <c r="R1633" s="157"/>
      <c r="S1633" s="157"/>
      <c r="T1633" s="157"/>
      <c r="U1633" s="157"/>
      <c r="V1633" s="158"/>
      <c r="W1633" s="182"/>
      <c r="X1633" s="1"/>
      <c r="Y1633" s="78">
        <f t="shared" si="208"/>
        <v>0</v>
      </c>
      <c r="Z1633" s="78">
        <f t="shared" si="209"/>
        <v>0</v>
      </c>
      <c r="AA1633" s="78">
        <f t="shared" si="207"/>
        <v>0</v>
      </c>
      <c r="AB1633" s="78">
        <f t="shared" si="210"/>
        <v>0</v>
      </c>
      <c r="AC1633" s="78"/>
      <c r="AD1633" s="78">
        <v>0</v>
      </c>
      <c r="AE1633" s="80">
        <f t="shared" si="212"/>
        <v>0</v>
      </c>
      <c r="AF1633" s="82">
        <v>0</v>
      </c>
      <c r="AG1633" s="69">
        <v>40494</v>
      </c>
      <c r="AH1633" s="84"/>
      <c r="AI1633" s="69" t="s">
        <v>1984</v>
      </c>
      <c r="AJ1633" s="25" t="s">
        <v>1985</v>
      </c>
      <c r="AK1633" s="65"/>
      <c r="AL1633" s="176" t="s">
        <v>1257</v>
      </c>
      <c r="AM1633" s="173" t="s">
        <v>2446</v>
      </c>
      <c r="AN1633" s="159"/>
      <c r="AO1633" s="160"/>
      <c r="AP1633" s="161"/>
      <c r="AQ1633" s="160"/>
      <c r="AR1633" s="160"/>
      <c r="AS1633" s="160"/>
      <c r="AT1633" s="160"/>
      <c r="AU1633" s="160"/>
      <c r="AV1633" s="160"/>
      <c r="AW1633" s="160"/>
      <c r="AX1633" s="160"/>
      <c r="AY1633" s="160"/>
      <c r="AZ1633" s="160"/>
      <c r="BA1633" s="160"/>
      <c r="BB1633" s="160"/>
      <c r="BC1633" s="160"/>
      <c r="BD1633" s="160"/>
      <c r="BE1633" s="160"/>
      <c r="BF1633" s="160"/>
      <c r="BG1633" s="160"/>
      <c r="BH1633" s="160"/>
      <c r="BI1633" s="160"/>
      <c r="BJ1633" s="160"/>
      <c r="BK1633" s="160"/>
      <c r="BL1633" s="160"/>
      <c r="BM1633" s="160"/>
      <c r="BN1633" s="160"/>
      <c r="BO1633" s="160"/>
      <c r="BP1633" s="160"/>
      <c r="BQ1633" s="160"/>
      <c r="BR1633" s="160"/>
      <c r="BS1633" s="160"/>
      <c r="BT1633" s="160"/>
      <c r="BU1633" s="160"/>
      <c r="BV1633" s="160"/>
      <c r="BW1633" s="160"/>
      <c r="BX1633" s="160"/>
      <c r="BY1633" s="160"/>
      <c r="BZ1633" s="160"/>
      <c r="CA1633" s="160"/>
      <c r="CB1633" s="160"/>
      <c r="CC1633" s="160"/>
      <c r="CD1633" s="160"/>
      <c r="CE1633" s="160"/>
      <c r="CF1633" s="160"/>
      <c r="CG1633" s="160"/>
      <c r="CH1633" s="160"/>
      <c r="CI1633" s="160"/>
      <c r="CJ1633" s="160"/>
      <c r="CK1633" s="160"/>
      <c r="CL1633" s="160"/>
      <c r="CM1633" s="160"/>
      <c r="CN1633" s="160"/>
      <c r="CO1633" s="160"/>
      <c r="CP1633" s="162"/>
      <c r="CQ1633" s="163"/>
      <c r="CR1633" s="162"/>
      <c r="CS1633" s="163"/>
      <c r="CT1633" s="162"/>
      <c r="CU1633" s="163"/>
      <c r="CV1633" s="164">
        <f t="shared" si="211"/>
        <v>0</v>
      </c>
      <c r="CW1633" s="165"/>
      <c r="CX1633" s="166"/>
      <c r="CY1633" s="167"/>
      <c r="CZ1633" s="168"/>
      <c r="DA1633" s="169"/>
      <c r="DB1633" s="168"/>
      <c r="DC1633" s="165"/>
      <c r="DD1633" s="166"/>
      <c r="DE1633" s="71"/>
      <c r="DF1633" s="170"/>
      <c r="EO1633" s="375" t="str">
        <f t="shared" si="213"/>
        <v>NORTE DE SANTANDER_SALAZAR</v>
      </c>
      <c r="EP1633" s="376"/>
      <c r="EQ1633" s="376"/>
      <c r="ER1633" s="377"/>
      <c r="ES1633" s="376"/>
      <c r="ET1633" s="376"/>
      <c r="EU1633" s="376"/>
    </row>
    <row r="1634" spans="1:151" s="171" customFormat="1" ht="38.25" x14ac:dyDescent="0.2">
      <c r="A1634" s="242">
        <v>40492</v>
      </c>
      <c r="B1634" s="222" t="s">
        <v>1336</v>
      </c>
      <c r="C1634" s="222" t="s">
        <v>1618</v>
      </c>
      <c r="D1634" s="430" t="s">
        <v>837</v>
      </c>
      <c r="E1634" s="107" t="str">
        <f>VLOOKUP(B1634&amp;C1634,Divipola!$C$2:$F$1138,4,FALSE)</f>
        <v>54810</v>
      </c>
      <c r="F1634" s="333"/>
      <c r="G1634" s="221"/>
      <c r="H1634" s="157"/>
      <c r="I1634" s="157"/>
      <c r="J1634" s="157"/>
      <c r="K1634" s="157"/>
      <c r="L1634" s="157"/>
      <c r="M1634" s="157"/>
      <c r="N1634" s="157"/>
      <c r="O1634" s="157"/>
      <c r="P1634" s="157"/>
      <c r="Q1634" s="157"/>
      <c r="R1634" s="157"/>
      <c r="S1634" s="157"/>
      <c r="T1634" s="157"/>
      <c r="U1634" s="157"/>
      <c r="V1634" s="158"/>
      <c r="W1634" s="182"/>
      <c r="X1634" s="1"/>
      <c r="Y1634" s="78">
        <f t="shared" si="208"/>
        <v>0</v>
      </c>
      <c r="Z1634" s="78">
        <f t="shared" si="209"/>
        <v>0</v>
      </c>
      <c r="AA1634" s="78">
        <f t="shared" si="207"/>
        <v>0</v>
      </c>
      <c r="AB1634" s="78">
        <f t="shared" si="210"/>
        <v>0</v>
      </c>
      <c r="AC1634" s="78"/>
      <c r="AD1634" s="78">
        <v>0</v>
      </c>
      <c r="AE1634" s="80">
        <f t="shared" si="212"/>
        <v>0</v>
      </c>
      <c r="AF1634" s="82">
        <v>0</v>
      </c>
      <c r="AG1634" s="69">
        <v>40494</v>
      </c>
      <c r="AH1634" s="84"/>
      <c r="AI1634" s="69" t="s">
        <v>1984</v>
      </c>
      <c r="AJ1634" s="25" t="s">
        <v>1985</v>
      </c>
      <c r="AK1634" s="65"/>
      <c r="AL1634" s="176" t="s">
        <v>1257</v>
      </c>
      <c r="AM1634" s="173" t="s">
        <v>2447</v>
      </c>
      <c r="AN1634" s="159"/>
      <c r="AO1634" s="160"/>
      <c r="AP1634" s="161"/>
      <c r="AQ1634" s="160"/>
      <c r="AR1634" s="160"/>
      <c r="AS1634" s="160"/>
      <c r="AT1634" s="160"/>
      <c r="AU1634" s="160"/>
      <c r="AV1634" s="160"/>
      <c r="AW1634" s="160"/>
      <c r="AX1634" s="160"/>
      <c r="AY1634" s="160"/>
      <c r="AZ1634" s="160"/>
      <c r="BA1634" s="160"/>
      <c r="BB1634" s="160"/>
      <c r="BC1634" s="160"/>
      <c r="BD1634" s="160"/>
      <c r="BE1634" s="160"/>
      <c r="BF1634" s="160"/>
      <c r="BG1634" s="160"/>
      <c r="BH1634" s="160"/>
      <c r="BI1634" s="160"/>
      <c r="BJ1634" s="160"/>
      <c r="BK1634" s="160"/>
      <c r="BL1634" s="160"/>
      <c r="BM1634" s="160"/>
      <c r="BN1634" s="160"/>
      <c r="BO1634" s="160"/>
      <c r="BP1634" s="160"/>
      <c r="BQ1634" s="160"/>
      <c r="BR1634" s="160"/>
      <c r="BS1634" s="160"/>
      <c r="BT1634" s="160"/>
      <c r="BU1634" s="160"/>
      <c r="BV1634" s="160"/>
      <c r="BW1634" s="160"/>
      <c r="BX1634" s="160"/>
      <c r="BY1634" s="160"/>
      <c r="BZ1634" s="160"/>
      <c r="CA1634" s="160"/>
      <c r="CB1634" s="160"/>
      <c r="CC1634" s="160"/>
      <c r="CD1634" s="160"/>
      <c r="CE1634" s="160"/>
      <c r="CF1634" s="160"/>
      <c r="CG1634" s="160"/>
      <c r="CH1634" s="160"/>
      <c r="CI1634" s="160"/>
      <c r="CJ1634" s="160"/>
      <c r="CK1634" s="160"/>
      <c r="CL1634" s="160"/>
      <c r="CM1634" s="160"/>
      <c r="CN1634" s="160"/>
      <c r="CO1634" s="160"/>
      <c r="CP1634" s="162"/>
      <c r="CQ1634" s="163"/>
      <c r="CR1634" s="162"/>
      <c r="CS1634" s="163"/>
      <c r="CT1634" s="162"/>
      <c r="CU1634" s="163"/>
      <c r="CV1634" s="164">
        <f t="shared" si="211"/>
        <v>0</v>
      </c>
      <c r="CW1634" s="165"/>
      <c r="CX1634" s="166"/>
      <c r="CY1634" s="167"/>
      <c r="CZ1634" s="168"/>
      <c r="DA1634" s="169"/>
      <c r="DB1634" s="168"/>
      <c r="DC1634" s="165"/>
      <c r="DD1634" s="166"/>
      <c r="DE1634" s="71"/>
      <c r="DF1634" s="170"/>
      <c r="EO1634" s="375" t="str">
        <f t="shared" si="213"/>
        <v>NORTE DE SANTANDER_TIBU</v>
      </c>
      <c r="EP1634" s="376"/>
      <c r="EQ1634" s="376"/>
      <c r="ER1634" s="377"/>
      <c r="ES1634" s="376"/>
      <c r="ET1634" s="376"/>
      <c r="EU1634" s="376"/>
    </row>
    <row r="1635" spans="1:151" s="171" customFormat="1" ht="51" x14ac:dyDescent="0.2">
      <c r="A1635" s="242">
        <v>40492</v>
      </c>
      <c r="B1635" s="222" t="s">
        <v>1336</v>
      </c>
      <c r="C1635" s="222" t="s">
        <v>4525</v>
      </c>
      <c r="D1635" s="430" t="s">
        <v>2307</v>
      </c>
      <c r="E1635" s="107" t="str">
        <f>VLOOKUP(B1635&amp;C1635,Divipola!$C$2:$F$1138,4,FALSE)</f>
        <v>54871</v>
      </c>
      <c r="F1635" s="333"/>
      <c r="G1635" s="221"/>
      <c r="H1635" s="157"/>
      <c r="I1635" s="157"/>
      <c r="J1635" s="157">
        <v>468</v>
      </c>
      <c r="K1635" s="157">
        <v>125</v>
      </c>
      <c r="L1635" s="157"/>
      <c r="M1635" s="157"/>
      <c r="N1635" s="157"/>
      <c r="O1635" s="157"/>
      <c r="P1635" s="157"/>
      <c r="Q1635" s="157"/>
      <c r="R1635" s="157"/>
      <c r="S1635" s="157"/>
      <c r="T1635" s="157"/>
      <c r="U1635" s="157"/>
      <c r="V1635" s="158"/>
      <c r="W1635" s="182"/>
      <c r="X1635" s="1"/>
      <c r="Y1635" s="78">
        <f t="shared" si="208"/>
        <v>0</v>
      </c>
      <c r="Z1635" s="78">
        <f t="shared" si="209"/>
        <v>0</v>
      </c>
      <c r="AA1635" s="78">
        <f t="shared" si="207"/>
        <v>0</v>
      </c>
      <c r="AB1635" s="78">
        <f t="shared" si="210"/>
        <v>0</v>
      </c>
      <c r="AC1635" s="78"/>
      <c r="AD1635" s="78">
        <v>0</v>
      </c>
      <c r="AE1635" s="80">
        <f t="shared" si="212"/>
        <v>0</v>
      </c>
      <c r="AF1635" s="82">
        <v>0</v>
      </c>
      <c r="AG1635" s="69">
        <v>40581</v>
      </c>
      <c r="AH1635" s="84"/>
      <c r="AI1635" s="69" t="s">
        <v>1984</v>
      </c>
      <c r="AJ1635" s="25" t="s">
        <v>1985</v>
      </c>
      <c r="AK1635" s="65"/>
      <c r="AL1635" s="176" t="s">
        <v>1257</v>
      </c>
      <c r="AM1635" s="173" t="s">
        <v>349</v>
      </c>
      <c r="AN1635" s="159"/>
      <c r="AO1635" s="160"/>
      <c r="AP1635" s="161"/>
      <c r="AQ1635" s="160"/>
      <c r="AR1635" s="160"/>
      <c r="AS1635" s="160"/>
      <c r="AT1635" s="160"/>
      <c r="AU1635" s="160"/>
      <c r="AV1635" s="160"/>
      <c r="AW1635" s="160"/>
      <c r="AX1635" s="160"/>
      <c r="AY1635" s="160"/>
      <c r="AZ1635" s="160"/>
      <c r="BA1635" s="160"/>
      <c r="BB1635" s="160"/>
      <c r="BC1635" s="160"/>
      <c r="BD1635" s="160"/>
      <c r="BE1635" s="160"/>
      <c r="BF1635" s="160"/>
      <c r="BG1635" s="160"/>
      <c r="BH1635" s="160"/>
      <c r="BI1635" s="160"/>
      <c r="BJ1635" s="160"/>
      <c r="BK1635" s="160"/>
      <c r="BL1635" s="160"/>
      <c r="BM1635" s="160"/>
      <c r="BN1635" s="160"/>
      <c r="BO1635" s="160"/>
      <c r="BP1635" s="160"/>
      <c r="BQ1635" s="160"/>
      <c r="BR1635" s="160"/>
      <c r="BS1635" s="160"/>
      <c r="BT1635" s="160"/>
      <c r="BU1635" s="160"/>
      <c r="BV1635" s="160"/>
      <c r="BW1635" s="160"/>
      <c r="BX1635" s="160"/>
      <c r="BY1635" s="160"/>
      <c r="BZ1635" s="160"/>
      <c r="CA1635" s="160"/>
      <c r="CB1635" s="160"/>
      <c r="CC1635" s="160"/>
      <c r="CD1635" s="160"/>
      <c r="CE1635" s="160"/>
      <c r="CF1635" s="160"/>
      <c r="CG1635" s="160"/>
      <c r="CH1635" s="160"/>
      <c r="CI1635" s="160"/>
      <c r="CJ1635" s="160"/>
      <c r="CK1635" s="160"/>
      <c r="CL1635" s="160"/>
      <c r="CM1635" s="160"/>
      <c r="CN1635" s="160"/>
      <c r="CO1635" s="160"/>
      <c r="CP1635" s="162"/>
      <c r="CQ1635" s="163"/>
      <c r="CR1635" s="162"/>
      <c r="CS1635" s="163"/>
      <c r="CT1635" s="162"/>
      <c r="CU1635" s="163"/>
      <c r="CV1635" s="164">
        <f t="shared" si="211"/>
        <v>0</v>
      </c>
      <c r="CW1635" s="165"/>
      <c r="CX1635" s="166"/>
      <c r="CY1635" s="167"/>
      <c r="CZ1635" s="168"/>
      <c r="DA1635" s="169"/>
      <c r="DB1635" s="168"/>
      <c r="DC1635" s="165"/>
      <c r="DD1635" s="166"/>
      <c r="DE1635" s="71"/>
      <c r="DF1635" s="170"/>
      <c r="EO1635" s="375" t="str">
        <f t="shared" si="213"/>
        <v>NORTE DE SANTANDER_VILLA CARO</v>
      </c>
      <c r="EP1635" s="376"/>
      <c r="EQ1635" s="376"/>
      <c r="ER1635" s="377"/>
      <c r="ES1635" s="376"/>
      <c r="ET1635" s="376"/>
      <c r="EU1635" s="376"/>
    </row>
    <row r="1636" spans="1:151" s="171" customFormat="1" ht="60" x14ac:dyDescent="0.2">
      <c r="A1636" s="242">
        <v>40492</v>
      </c>
      <c r="B1636" s="107" t="s">
        <v>2012</v>
      </c>
      <c r="C1636" s="222" t="s">
        <v>3168</v>
      </c>
      <c r="D1636" s="430" t="s">
        <v>837</v>
      </c>
      <c r="E1636" s="107" t="str">
        <f>VLOOKUP(B1636&amp;C1636,Divipola!$C$2:$F$1138,4,FALSE)</f>
        <v>66400</v>
      </c>
      <c r="F1636" s="333"/>
      <c r="G1636" s="221"/>
      <c r="H1636" s="157"/>
      <c r="I1636" s="157"/>
      <c r="J1636" s="157">
        <f>6013*5</f>
        <v>30065</v>
      </c>
      <c r="K1636" s="157">
        <v>6013</v>
      </c>
      <c r="L1636" s="157">
        <v>1400</v>
      </c>
      <c r="M1636" s="157">
        <v>2000</v>
      </c>
      <c r="N1636" s="157"/>
      <c r="O1636" s="157"/>
      <c r="P1636" s="157"/>
      <c r="Q1636" s="157">
        <v>1</v>
      </c>
      <c r="R1636" s="157"/>
      <c r="S1636" s="157"/>
      <c r="T1636" s="157">
        <v>2</v>
      </c>
      <c r="U1636" s="157"/>
      <c r="V1636" s="158"/>
      <c r="W1636" s="182"/>
      <c r="X1636" s="1"/>
      <c r="Y1636" s="78">
        <f t="shared" si="208"/>
        <v>0</v>
      </c>
      <c r="Z1636" s="78">
        <f t="shared" si="209"/>
        <v>0</v>
      </c>
      <c r="AA1636" s="78">
        <f t="shared" si="207"/>
        <v>0</v>
      </c>
      <c r="AB1636" s="78">
        <f t="shared" si="210"/>
        <v>0</v>
      </c>
      <c r="AC1636" s="78"/>
      <c r="AD1636" s="78">
        <v>0</v>
      </c>
      <c r="AE1636" s="80">
        <f t="shared" si="212"/>
        <v>0</v>
      </c>
      <c r="AF1636" s="82">
        <v>0</v>
      </c>
      <c r="AG1636" s="69">
        <v>40492</v>
      </c>
      <c r="AH1636" s="84"/>
      <c r="AI1636" s="69" t="s">
        <v>2009</v>
      </c>
      <c r="AJ1636" s="25" t="s">
        <v>2010</v>
      </c>
      <c r="AK1636" s="65"/>
      <c r="AL1636" s="184" t="s">
        <v>2851</v>
      </c>
      <c r="AM1636" s="173" t="s">
        <v>2537</v>
      </c>
      <c r="AN1636" s="159"/>
      <c r="AO1636" s="160"/>
      <c r="AP1636" s="161"/>
      <c r="AQ1636" s="160"/>
      <c r="AR1636" s="160"/>
      <c r="AS1636" s="160"/>
      <c r="AT1636" s="160"/>
      <c r="AU1636" s="160"/>
      <c r="AV1636" s="160"/>
      <c r="AW1636" s="160"/>
      <c r="AX1636" s="160"/>
      <c r="AY1636" s="160"/>
      <c r="AZ1636" s="160"/>
      <c r="BA1636" s="160"/>
      <c r="BB1636" s="160"/>
      <c r="BC1636" s="160"/>
      <c r="BD1636" s="160"/>
      <c r="BE1636" s="160"/>
      <c r="BF1636" s="160"/>
      <c r="BG1636" s="160"/>
      <c r="BH1636" s="160"/>
      <c r="BI1636" s="160"/>
      <c r="BJ1636" s="160"/>
      <c r="BK1636" s="160"/>
      <c r="BL1636" s="160"/>
      <c r="BM1636" s="160"/>
      <c r="BN1636" s="160"/>
      <c r="BO1636" s="160"/>
      <c r="BP1636" s="160"/>
      <c r="BQ1636" s="160"/>
      <c r="BR1636" s="160"/>
      <c r="BS1636" s="160"/>
      <c r="BT1636" s="160"/>
      <c r="BU1636" s="160"/>
      <c r="BV1636" s="160"/>
      <c r="BW1636" s="160"/>
      <c r="BX1636" s="160"/>
      <c r="BY1636" s="160"/>
      <c r="BZ1636" s="160"/>
      <c r="CA1636" s="160"/>
      <c r="CB1636" s="160"/>
      <c r="CC1636" s="160"/>
      <c r="CD1636" s="160"/>
      <c r="CE1636" s="160"/>
      <c r="CF1636" s="160"/>
      <c r="CG1636" s="160"/>
      <c r="CH1636" s="160"/>
      <c r="CI1636" s="160"/>
      <c r="CJ1636" s="160"/>
      <c r="CK1636" s="160"/>
      <c r="CL1636" s="160"/>
      <c r="CM1636" s="160"/>
      <c r="CN1636" s="160"/>
      <c r="CO1636" s="160"/>
      <c r="CP1636" s="162"/>
      <c r="CQ1636" s="163"/>
      <c r="CR1636" s="162"/>
      <c r="CS1636" s="163"/>
      <c r="CT1636" s="162"/>
      <c r="CU1636" s="163"/>
      <c r="CV1636" s="164">
        <f t="shared" si="211"/>
        <v>0</v>
      </c>
      <c r="CW1636" s="165"/>
      <c r="CX1636" s="166"/>
      <c r="CY1636" s="167"/>
      <c r="CZ1636" s="168"/>
      <c r="DA1636" s="169"/>
      <c r="DB1636" s="168"/>
      <c r="DC1636" s="165"/>
      <c r="DD1636" s="166"/>
      <c r="DE1636" s="71"/>
      <c r="DF1636" s="170"/>
      <c r="EO1636" s="375" t="str">
        <f t="shared" si="213"/>
        <v>RISARALDA_LA VIRGINIA</v>
      </c>
      <c r="EP1636" s="376"/>
      <c r="EQ1636" s="376"/>
      <c r="ER1636" s="377"/>
      <c r="ES1636" s="376"/>
      <c r="ET1636" s="376"/>
      <c r="EU1636" s="376"/>
    </row>
    <row r="1637" spans="1:151" s="171" customFormat="1" ht="25.5" x14ac:dyDescent="0.2">
      <c r="A1637" s="242">
        <v>40492</v>
      </c>
      <c r="B1637" s="222" t="s">
        <v>2791</v>
      </c>
      <c r="C1637" s="222" t="s">
        <v>372</v>
      </c>
      <c r="D1637" s="430" t="s">
        <v>837</v>
      </c>
      <c r="E1637" s="107" t="str">
        <f>VLOOKUP(B1637&amp;C1637,Divipola!$C$2:$F$1138,4,FALSE)</f>
        <v>73024</v>
      </c>
      <c r="F1637" s="333"/>
      <c r="G1637" s="221"/>
      <c r="H1637" s="157"/>
      <c r="I1637" s="157"/>
      <c r="J1637" s="157">
        <v>828</v>
      </c>
      <c r="K1637" s="157">
        <v>184</v>
      </c>
      <c r="L1637" s="157"/>
      <c r="M1637" s="157">
        <v>153</v>
      </c>
      <c r="N1637" s="157"/>
      <c r="O1637" s="157"/>
      <c r="P1637" s="157"/>
      <c r="Q1637" s="157"/>
      <c r="R1637" s="157"/>
      <c r="S1637" s="157"/>
      <c r="T1637" s="157"/>
      <c r="U1637" s="157"/>
      <c r="V1637" s="158">
        <v>199</v>
      </c>
      <c r="W1637" s="182"/>
      <c r="X1637" s="1"/>
      <c r="Y1637" s="78">
        <f t="shared" si="208"/>
        <v>0</v>
      </c>
      <c r="Z1637" s="78">
        <f t="shared" si="209"/>
        <v>0</v>
      </c>
      <c r="AA1637" s="78">
        <f t="shared" si="207"/>
        <v>0</v>
      </c>
      <c r="AB1637" s="78">
        <f t="shared" si="210"/>
        <v>0</v>
      </c>
      <c r="AC1637" s="78"/>
      <c r="AD1637" s="78">
        <v>0</v>
      </c>
      <c r="AE1637" s="80">
        <f t="shared" si="212"/>
        <v>0</v>
      </c>
      <c r="AF1637" s="82">
        <v>0</v>
      </c>
      <c r="AG1637" s="69">
        <v>40581</v>
      </c>
      <c r="AH1637" s="84"/>
      <c r="AI1637" s="69" t="s">
        <v>1984</v>
      </c>
      <c r="AJ1637" s="25" t="s">
        <v>1985</v>
      </c>
      <c r="AK1637" s="65"/>
      <c r="AL1637" s="176" t="s">
        <v>1257</v>
      </c>
      <c r="AM1637" s="173" t="s">
        <v>349</v>
      </c>
      <c r="AN1637" s="159"/>
      <c r="AO1637" s="160"/>
      <c r="AP1637" s="161"/>
      <c r="AQ1637" s="160"/>
      <c r="AR1637" s="160"/>
      <c r="AS1637" s="160"/>
      <c r="AT1637" s="160"/>
      <c r="AU1637" s="160"/>
      <c r="AV1637" s="160"/>
      <c r="AW1637" s="160"/>
      <c r="AX1637" s="160"/>
      <c r="AY1637" s="160"/>
      <c r="AZ1637" s="160"/>
      <c r="BA1637" s="160"/>
      <c r="BB1637" s="160"/>
      <c r="BC1637" s="160"/>
      <c r="BD1637" s="160"/>
      <c r="BE1637" s="160"/>
      <c r="BF1637" s="160"/>
      <c r="BG1637" s="160"/>
      <c r="BH1637" s="160"/>
      <c r="BI1637" s="160"/>
      <c r="BJ1637" s="160"/>
      <c r="BK1637" s="160"/>
      <c r="BL1637" s="160"/>
      <c r="BM1637" s="160"/>
      <c r="BN1637" s="160"/>
      <c r="BO1637" s="160"/>
      <c r="BP1637" s="160"/>
      <c r="BQ1637" s="160"/>
      <c r="BR1637" s="160"/>
      <c r="BS1637" s="160"/>
      <c r="BT1637" s="160"/>
      <c r="BU1637" s="160"/>
      <c r="BV1637" s="160"/>
      <c r="BW1637" s="160"/>
      <c r="BX1637" s="160"/>
      <c r="BY1637" s="160"/>
      <c r="BZ1637" s="160"/>
      <c r="CA1637" s="160"/>
      <c r="CB1637" s="160"/>
      <c r="CC1637" s="160"/>
      <c r="CD1637" s="160"/>
      <c r="CE1637" s="160"/>
      <c r="CF1637" s="160"/>
      <c r="CG1637" s="160"/>
      <c r="CH1637" s="160"/>
      <c r="CI1637" s="160"/>
      <c r="CJ1637" s="160"/>
      <c r="CK1637" s="160"/>
      <c r="CL1637" s="160"/>
      <c r="CM1637" s="160"/>
      <c r="CN1637" s="160"/>
      <c r="CO1637" s="160"/>
      <c r="CP1637" s="162"/>
      <c r="CQ1637" s="163"/>
      <c r="CR1637" s="162"/>
      <c r="CS1637" s="163"/>
      <c r="CT1637" s="162"/>
      <c r="CU1637" s="163"/>
      <c r="CV1637" s="164">
        <f t="shared" si="211"/>
        <v>0</v>
      </c>
      <c r="CW1637" s="165"/>
      <c r="CX1637" s="166"/>
      <c r="CY1637" s="167"/>
      <c r="CZ1637" s="168"/>
      <c r="DA1637" s="169"/>
      <c r="DB1637" s="168"/>
      <c r="DC1637" s="165"/>
      <c r="DD1637" s="166"/>
      <c r="DE1637" s="71"/>
      <c r="DF1637" s="170">
        <v>1574</v>
      </c>
      <c r="EO1637" s="375" t="str">
        <f t="shared" si="213"/>
        <v>TOLIMA_ALPUJARRA</v>
      </c>
      <c r="EP1637" s="376"/>
      <c r="EQ1637" s="376"/>
      <c r="ER1637" s="377"/>
      <c r="ES1637" s="376"/>
      <c r="ET1637" s="376"/>
      <c r="EU1637" s="376"/>
    </row>
    <row r="1638" spans="1:151" s="171" customFormat="1" ht="45" x14ac:dyDescent="0.2">
      <c r="A1638" s="242">
        <v>40492</v>
      </c>
      <c r="B1638" s="222" t="s">
        <v>2791</v>
      </c>
      <c r="C1638" s="222" t="s">
        <v>4598</v>
      </c>
      <c r="D1638" s="430" t="s">
        <v>837</v>
      </c>
      <c r="E1638" s="107" t="str">
        <f>VLOOKUP(B1638&amp;C1638,Divipola!$C$2:$F$1138,4,FALSE)</f>
        <v>73043</v>
      </c>
      <c r="F1638" s="333"/>
      <c r="G1638" s="221"/>
      <c r="H1638" s="157"/>
      <c r="I1638" s="157"/>
      <c r="J1638" s="157">
        <v>2057</v>
      </c>
      <c r="K1638" s="157">
        <v>457</v>
      </c>
      <c r="L1638" s="157">
        <v>9</v>
      </c>
      <c r="M1638" s="157">
        <f>64+63</f>
        <v>127</v>
      </c>
      <c r="N1638" s="157">
        <v>1</v>
      </c>
      <c r="O1638" s="157"/>
      <c r="P1638" s="157">
        <v>4</v>
      </c>
      <c r="Q1638" s="157"/>
      <c r="R1638" s="157"/>
      <c r="S1638" s="157"/>
      <c r="T1638" s="157"/>
      <c r="U1638" s="157"/>
      <c r="V1638" s="158"/>
      <c r="W1638" s="182"/>
      <c r="X1638" s="1"/>
      <c r="Y1638" s="78">
        <f t="shared" si="208"/>
        <v>0</v>
      </c>
      <c r="Z1638" s="78">
        <f t="shared" si="209"/>
        <v>0</v>
      </c>
      <c r="AA1638" s="78">
        <f t="shared" si="207"/>
        <v>0</v>
      </c>
      <c r="AB1638" s="78">
        <f t="shared" si="210"/>
        <v>0</v>
      </c>
      <c r="AC1638" s="78"/>
      <c r="AD1638" s="78">
        <v>0</v>
      </c>
      <c r="AE1638" s="80">
        <f t="shared" si="212"/>
        <v>0</v>
      </c>
      <c r="AF1638" s="82">
        <v>0</v>
      </c>
      <c r="AG1638" s="69"/>
      <c r="AH1638" s="84"/>
      <c r="AI1638" s="69" t="s">
        <v>2009</v>
      </c>
      <c r="AJ1638" s="276" t="s">
        <v>2010</v>
      </c>
      <c r="AK1638" s="65"/>
      <c r="AL1638" s="272" t="s">
        <v>311</v>
      </c>
      <c r="AM1638" s="173" t="s">
        <v>321</v>
      </c>
      <c r="AN1638" s="159"/>
      <c r="AO1638" s="160"/>
      <c r="AP1638" s="161"/>
      <c r="AQ1638" s="160"/>
      <c r="AR1638" s="160"/>
      <c r="AS1638" s="160"/>
      <c r="AT1638" s="160"/>
      <c r="AU1638" s="160"/>
      <c r="AV1638" s="160"/>
      <c r="AW1638" s="160"/>
      <c r="AX1638" s="160"/>
      <c r="AY1638" s="160"/>
      <c r="AZ1638" s="160"/>
      <c r="BA1638" s="160"/>
      <c r="BB1638" s="160"/>
      <c r="BC1638" s="160"/>
      <c r="BD1638" s="160"/>
      <c r="BE1638" s="160"/>
      <c r="BF1638" s="160"/>
      <c r="BG1638" s="160"/>
      <c r="BH1638" s="160"/>
      <c r="BI1638" s="160"/>
      <c r="BJ1638" s="160"/>
      <c r="BK1638" s="160"/>
      <c r="BL1638" s="160"/>
      <c r="BM1638" s="160"/>
      <c r="BN1638" s="160"/>
      <c r="BO1638" s="160"/>
      <c r="BP1638" s="160"/>
      <c r="BQ1638" s="160"/>
      <c r="BR1638" s="160"/>
      <c r="BS1638" s="160"/>
      <c r="BT1638" s="160"/>
      <c r="BU1638" s="160"/>
      <c r="BV1638" s="160"/>
      <c r="BW1638" s="160"/>
      <c r="BX1638" s="160"/>
      <c r="BY1638" s="160"/>
      <c r="BZ1638" s="160"/>
      <c r="CA1638" s="160"/>
      <c r="CB1638" s="160"/>
      <c r="CC1638" s="160"/>
      <c r="CD1638" s="160"/>
      <c r="CE1638" s="160"/>
      <c r="CF1638" s="160"/>
      <c r="CG1638" s="160"/>
      <c r="CH1638" s="160"/>
      <c r="CI1638" s="160"/>
      <c r="CJ1638" s="160"/>
      <c r="CK1638" s="160"/>
      <c r="CL1638" s="160"/>
      <c r="CM1638" s="160"/>
      <c r="CN1638" s="160"/>
      <c r="CO1638" s="160"/>
      <c r="CP1638" s="162"/>
      <c r="CQ1638" s="163"/>
      <c r="CR1638" s="162"/>
      <c r="CS1638" s="163"/>
      <c r="CT1638" s="162"/>
      <c r="CU1638" s="163"/>
      <c r="CV1638" s="164">
        <f t="shared" si="211"/>
        <v>0</v>
      </c>
      <c r="CW1638" s="165"/>
      <c r="CX1638" s="166"/>
      <c r="CY1638" s="167"/>
      <c r="CZ1638" s="168"/>
      <c r="DA1638" s="169"/>
      <c r="DB1638" s="168"/>
      <c r="DC1638" s="165"/>
      <c r="DD1638" s="166"/>
      <c r="DE1638" s="71"/>
      <c r="DF1638" s="170"/>
      <c r="EO1638" s="375" t="str">
        <f t="shared" si="213"/>
        <v>TOLIMA_ANZOATEGUI</v>
      </c>
      <c r="EP1638" s="376"/>
      <c r="EQ1638" s="376"/>
      <c r="ER1638" s="377"/>
      <c r="ES1638" s="376"/>
      <c r="ET1638" s="376"/>
      <c r="EU1638" s="376"/>
    </row>
    <row r="1639" spans="1:151" s="171" customFormat="1" ht="45" x14ac:dyDescent="0.2">
      <c r="A1639" s="242">
        <v>40492</v>
      </c>
      <c r="B1639" s="222" t="s">
        <v>2791</v>
      </c>
      <c r="C1639" s="222" t="s">
        <v>4599</v>
      </c>
      <c r="D1639" s="430" t="s">
        <v>837</v>
      </c>
      <c r="E1639" s="107" t="str">
        <f>VLOOKUP(B1639&amp;C1639,Divipola!$C$2:$F$1138,4,FALSE)</f>
        <v>73055</v>
      </c>
      <c r="F1639" s="333"/>
      <c r="G1639" s="221"/>
      <c r="H1639" s="157"/>
      <c r="I1639" s="157"/>
      <c r="J1639" s="157">
        <v>1350</v>
      </c>
      <c r="K1639" s="157">
        <v>300</v>
      </c>
      <c r="L1639" s="157"/>
      <c r="M1639" s="157"/>
      <c r="N1639" s="157"/>
      <c r="O1639" s="157"/>
      <c r="P1639" s="157">
        <v>2</v>
      </c>
      <c r="Q1639" s="157"/>
      <c r="R1639" s="157"/>
      <c r="S1639" s="157"/>
      <c r="T1639" s="157"/>
      <c r="U1639" s="157"/>
      <c r="V1639" s="158"/>
      <c r="W1639" s="182"/>
      <c r="X1639" s="1"/>
      <c r="Y1639" s="78">
        <f t="shared" si="208"/>
        <v>0</v>
      </c>
      <c r="Z1639" s="78">
        <f t="shared" si="209"/>
        <v>0</v>
      </c>
      <c r="AA1639" s="78">
        <f t="shared" si="207"/>
        <v>0</v>
      </c>
      <c r="AB1639" s="78">
        <f t="shared" si="210"/>
        <v>0</v>
      </c>
      <c r="AC1639" s="78"/>
      <c r="AD1639" s="78">
        <v>0</v>
      </c>
      <c r="AE1639" s="80">
        <f t="shared" si="212"/>
        <v>0</v>
      </c>
      <c r="AF1639" s="82">
        <v>0</v>
      </c>
      <c r="AG1639" s="69"/>
      <c r="AH1639" s="84"/>
      <c r="AI1639" s="69" t="s">
        <v>2009</v>
      </c>
      <c r="AJ1639" s="276" t="s">
        <v>2010</v>
      </c>
      <c r="AK1639" s="65"/>
      <c r="AL1639" s="272" t="s">
        <v>311</v>
      </c>
      <c r="AM1639" s="173" t="s">
        <v>321</v>
      </c>
      <c r="AN1639" s="159"/>
      <c r="AO1639" s="160"/>
      <c r="AP1639" s="161"/>
      <c r="AQ1639" s="160"/>
      <c r="AR1639" s="160"/>
      <c r="AS1639" s="160"/>
      <c r="AT1639" s="160"/>
      <c r="AU1639" s="160"/>
      <c r="AV1639" s="160"/>
      <c r="AW1639" s="160"/>
      <c r="AX1639" s="160"/>
      <c r="AY1639" s="160"/>
      <c r="AZ1639" s="160"/>
      <c r="BA1639" s="160"/>
      <c r="BB1639" s="160"/>
      <c r="BC1639" s="160"/>
      <c r="BD1639" s="160"/>
      <c r="BE1639" s="160"/>
      <c r="BF1639" s="160"/>
      <c r="BG1639" s="160"/>
      <c r="BH1639" s="160"/>
      <c r="BI1639" s="160"/>
      <c r="BJ1639" s="160"/>
      <c r="BK1639" s="160"/>
      <c r="BL1639" s="160"/>
      <c r="BM1639" s="160"/>
      <c r="BN1639" s="160"/>
      <c r="BO1639" s="160"/>
      <c r="BP1639" s="160"/>
      <c r="BQ1639" s="160"/>
      <c r="BR1639" s="160"/>
      <c r="BS1639" s="160"/>
      <c r="BT1639" s="160"/>
      <c r="BU1639" s="160"/>
      <c r="BV1639" s="160"/>
      <c r="BW1639" s="160"/>
      <c r="BX1639" s="160"/>
      <c r="BY1639" s="160"/>
      <c r="BZ1639" s="160"/>
      <c r="CA1639" s="160"/>
      <c r="CB1639" s="160"/>
      <c r="CC1639" s="160"/>
      <c r="CD1639" s="160"/>
      <c r="CE1639" s="160"/>
      <c r="CF1639" s="160"/>
      <c r="CG1639" s="160"/>
      <c r="CH1639" s="160"/>
      <c r="CI1639" s="160"/>
      <c r="CJ1639" s="160"/>
      <c r="CK1639" s="160"/>
      <c r="CL1639" s="160"/>
      <c r="CM1639" s="160"/>
      <c r="CN1639" s="160"/>
      <c r="CO1639" s="160"/>
      <c r="CP1639" s="162"/>
      <c r="CQ1639" s="163"/>
      <c r="CR1639" s="162"/>
      <c r="CS1639" s="163"/>
      <c r="CT1639" s="162"/>
      <c r="CU1639" s="163"/>
      <c r="CV1639" s="164">
        <f t="shared" si="211"/>
        <v>0</v>
      </c>
      <c r="CW1639" s="165"/>
      <c r="CX1639" s="166"/>
      <c r="CY1639" s="167"/>
      <c r="CZ1639" s="168"/>
      <c r="DA1639" s="169"/>
      <c r="DB1639" s="168"/>
      <c r="DC1639" s="165"/>
      <c r="DD1639" s="166"/>
      <c r="DE1639" s="71"/>
      <c r="DF1639" s="170"/>
      <c r="EO1639" s="375" t="str">
        <f t="shared" si="213"/>
        <v>TOLIMA_ARMERO</v>
      </c>
      <c r="EP1639" s="376"/>
      <c r="EQ1639" s="376"/>
      <c r="ER1639" s="377"/>
      <c r="ES1639" s="376"/>
      <c r="ET1639" s="376"/>
      <c r="EU1639" s="376"/>
    </row>
    <row r="1640" spans="1:151" s="171" customFormat="1" ht="45" x14ac:dyDescent="0.2">
      <c r="A1640" s="242">
        <v>40492</v>
      </c>
      <c r="B1640" s="222" t="s">
        <v>2791</v>
      </c>
      <c r="C1640" s="222" t="s">
        <v>489</v>
      </c>
      <c r="D1640" s="430" t="s">
        <v>837</v>
      </c>
      <c r="E1640" s="107" t="str">
        <f>VLOOKUP(B1640&amp;C1640,Divipola!$C$2:$F$1138,4,FALSE)</f>
        <v>73124</v>
      </c>
      <c r="F1640" s="333"/>
      <c r="G1640" s="221"/>
      <c r="H1640" s="157"/>
      <c r="I1640" s="157"/>
      <c r="J1640" s="157">
        <f>350*5</f>
        <v>1750</v>
      </c>
      <c r="K1640" s="157">
        <v>350</v>
      </c>
      <c r="L1640" s="157"/>
      <c r="M1640" s="157"/>
      <c r="N1640" s="157"/>
      <c r="O1640" s="157"/>
      <c r="P1640" s="157">
        <v>2</v>
      </c>
      <c r="Q1640" s="157"/>
      <c r="R1640" s="157"/>
      <c r="S1640" s="157"/>
      <c r="T1640" s="157"/>
      <c r="U1640" s="157"/>
      <c r="V1640" s="158"/>
      <c r="W1640" s="182"/>
      <c r="X1640" s="1"/>
      <c r="Y1640" s="78">
        <f t="shared" si="208"/>
        <v>0</v>
      </c>
      <c r="Z1640" s="78">
        <f t="shared" si="209"/>
        <v>0</v>
      </c>
      <c r="AA1640" s="78">
        <f t="shared" si="207"/>
        <v>0</v>
      </c>
      <c r="AB1640" s="78">
        <f t="shared" si="210"/>
        <v>0</v>
      </c>
      <c r="AC1640" s="78"/>
      <c r="AD1640" s="78">
        <v>0</v>
      </c>
      <c r="AE1640" s="80">
        <f t="shared" si="212"/>
        <v>0</v>
      </c>
      <c r="AF1640" s="82">
        <v>0</v>
      </c>
      <c r="AG1640" s="69"/>
      <c r="AH1640" s="84"/>
      <c r="AI1640" s="69" t="s">
        <v>2009</v>
      </c>
      <c r="AJ1640" s="276" t="s">
        <v>2010</v>
      </c>
      <c r="AK1640" s="65"/>
      <c r="AL1640" s="272" t="s">
        <v>311</v>
      </c>
      <c r="AM1640" s="173" t="s">
        <v>321</v>
      </c>
      <c r="AN1640" s="159"/>
      <c r="AO1640" s="160"/>
      <c r="AP1640" s="161"/>
      <c r="AQ1640" s="160"/>
      <c r="AR1640" s="160"/>
      <c r="AS1640" s="160"/>
      <c r="AT1640" s="160"/>
      <c r="AU1640" s="160"/>
      <c r="AV1640" s="160"/>
      <c r="AW1640" s="160"/>
      <c r="AX1640" s="160"/>
      <c r="AY1640" s="160"/>
      <c r="AZ1640" s="160"/>
      <c r="BA1640" s="160"/>
      <c r="BB1640" s="160"/>
      <c r="BC1640" s="160"/>
      <c r="BD1640" s="160"/>
      <c r="BE1640" s="160"/>
      <c r="BF1640" s="160"/>
      <c r="BG1640" s="160"/>
      <c r="BH1640" s="160"/>
      <c r="BI1640" s="160"/>
      <c r="BJ1640" s="160"/>
      <c r="BK1640" s="160"/>
      <c r="BL1640" s="160"/>
      <c r="BM1640" s="160"/>
      <c r="BN1640" s="160"/>
      <c r="BO1640" s="160"/>
      <c r="BP1640" s="160"/>
      <c r="BQ1640" s="160"/>
      <c r="BR1640" s="160"/>
      <c r="BS1640" s="160"/>
      <c r="BT1640" s="160"/>
      <c r="BU1640" s="160"/>
      <c r="BV1640" s="160"/>
      <c r="BW1640" s="160"/>
      <c r="BX1640" s="160"/>
      <c r="BY1640" s="160"/>
      <c r="BZ1640" s="160"/>
      <c r="CA1640" s="160"/>
      <c r="CB1640" s="160"/>
      <c r="CC1640" s="160"/>
      <c r="CD1640" s="160"/>
      <c r="CE1640" s="160"/>
      <c r="CF1640" s="160"/>
      <c r="CG1640" s="160"/>
      <c r="CH1640" s="160"/>
      <c r="CI1640" s="160"/>
      <c r="CJ1640" s="160"/>
      <c r="CK1640" s="160"/>
      <c r="CL1640" s="160"/>
      <c r="CM1640" s="160"/>
      <c r="CN1640" s="160"/>
      <c r="CO1640" s="160"/>
      <c r="CP1640" s="162"/>
      <c r="CQ1640" s="163"/>
      <c r="CR1640" s="162"/>
      <c r="CS1640" s="163"/>
      <c r="CT1640" s="162"/>
      <c r="CU1640" s="163"/>
      <c r="CV1640" s="164">
        <f t="shared" si="211"/>
        <v>0</v>
      </c>
      <c r="CW1640" s="165"/>
      <c r="CX1640" s="166"/>
      <c r="CY1640" s="167"/>
      <c r="CZ1640" s="168"/>
      <c r="DA1640" s="169"/>
      <c r="DB1640" s="168"/>
      <c r="DC1640" s="165"/>
      <c r="DD1640" s="166"/>
      <c r="DE1640" s="71"/>
      <c r="DF1640" s="170"/>
      <c r="EO1640" s="375" t="str">
        <f t="shared" si="213"/>
        <v>TOLIMA_CAJAMARCA</v>
      </c>
      <c r="EP1640" s="376"/>
      <c r="EQ1640" s="376"/>
      <c r="ER1640" s="377"/>
      <c r="ES1640" s="376"/>
      <c r="ET1640" s="376"/>
      <c r="EU1640" s="376"/>
    </row>
    <row r="1641" spans="1:151" s="171" customFormat="1" ht="25.5" x14ac:dyDescent="0.2">
      <c r="A1641" s="242">
        <v>40492</v>
      </c>
      <c r="B1641" s="222" t="s">
        <v>2791</v>
      </c>
      <c r="C1641" s="222" t="s">
        <v>2111</v>
      </c>
      <c r="D1641" s="430" t="s">
        <v>837</v>
      </c>
      <c r="E1641" s="107" t="str">
        <f>VLOOKUP(B1641&amp;C1641,Divipola!$C$2:$F$1138,4,FALSE)</f>
        <v>73200</v>
      </c>
      <c r="F1641" s="333"/>
      <c r="G1641" s="221"/>
      <c r="H1641" s="157"/>
      <c r="I1641" s="157"/>
      <c r="J1641" s="157">
        <v>653</v>
      </c>
      <c r="K1641" s="157">
        <v>145</v>
      </c>
      <c r="L1641" s="157">
        <v>1</v>
      </c>
      <c r="M1641" s="157">
        <v>85</v>
      </c>
      <c r="N1641" s="157"/>
      <c r="O1641" s="157"/>
      <c r="P1641" s="157"/>
      <c r="Q1641" s="157"/>
      <c r="R1641" s="157"/>
      <c r="S1641" s="157"/>
      <c r="T1641" s="157"/>
      <c r="U1641" s="157"/>
      <c r="V1641" s="158"/>
      <c r="W1641" s="182"/>
      <c r="X1641" s="1"/>
      <c r="Y1641" s="78">
        <f t="shared" si="208"/>
        <v>0</v>
      </c>
      <c r="Z1641" s="78">
        <f t="shared" si="209"/>
        <v>0</v>
      </c>
      <c r="AA1641" s="78">
        <f t="shared" si="207"/>
        <v>0</v>
      </c>
      <c r="AB1641" s="78">
        <f t="shared" si="210"/>
        <v>0</v>
      </c>
      <c r="AC1641" s="78"/>
      <c r="AD1641" s="78">
        <v>0</v>
      </c>
      <c r="AE1641" s="80">
        <f t="shared" si="212"/>
        <v>0</v>
      </c>
      <c r="AF1641" s="82">
        <v>0</v>
      </c>
      <c r="AG1641" s="69">
        <v>40581</v>
      </c>
      <c r="AH1641" s="84"/>
      <c r="AI1641" s="69" t="s">
        <v>1984</v>
      </c>
      <c r="AJ1641" s="25" t="s">
        <v>1985</v>
      </c>
      <c r="AK1641" s="65"/>
      <c r="AL1641" s="176" t="s">
        <v>1257</v>
      </c>
      <c r="AM1641" s="173" t="s">
        <v>349</v>
      </c>
      <c r="AN1641" s="159"/>
      <c r="AO1641" s="160"/>
      <c r="AP1641" s="161"/>
      <c r="AQ1641" s="160"/>
      <c r="AR1641" s="160"/>
      <c r="AS1641" s="160"/>
      <c r="AT1641" s="160"/>
      <c r="AU1641" s="160"/>
      <c r="AV1641" s="160"/>
      <c r="AW1641" s="160"/>
      <c r="AX1641" s="160"/>
      <c r="AY1641" s="160"/>
      <c r="AZ1641" s="160"/>
      <c r="BA1641" s="160"/>
      <c r="BB1641" s="160"/>
      <c r="BC1641" s="160"/>
      <c r="BD1641" s="160"/>
      <c r="BE1641" s="160"/>
      <c r="BF1641" s="160"/>
      <c r="BG1641" s="160"/>
      <c r="BH1641" s="160"/>
      <c r="BI1641" s="160"/>
      <c r="BJ1641" s="160"/>
      <c r="BK1641" s="160"/>
      <c r="BL1641" s="160"/>
      <c r="BM1641" s="160"/>
      <c r="BN1641" s="160"/>
      <c r="BO1641" s="160"/>
      <c r="BP1641" s="160"/>
      <c r="BQ1641" s="160"/>
      <c r="BR1641" s="160"/>
      <c r="BS1641" s="160"/>
      <c r="BT1641" s="160"/>
      <c r="BU1641" s="160"/>
      <c r="BV1641" s="160"/>
      <c r="BW1641" s="160"/>
      <c r="BX1641" s="160"/>
      <c r="BY1641" s="160"/>
      <c r="BZ1641" s="160"/>
      <c r="CA1641" s="160"/>
      <c r="CB1641" s="160"/>
      <c r="CC1641" s="160"/>
      <c r="CD1641" s="160"/>
      <c r="CE1641" s="160"/>
      <c r="CF1641" s="160"/>
      <c r="CG1641" s="160"/>
      <c r="CH1641" s="160"/>
      <c r="CI1641" s="160"/>
      <c r="CJ1641" s="160"/>
      <c r="CK1641" s="160"/>
      <c r="CL1641" s="160"/>
      <c r="CM1641" s="160"/>
      <c r="CN1641" s="160"/>
      <c r="CO1641" s="160"/>
      <c r="CP1641" s="162"/>
      <c r="CQ1641" s="163"/>
      <c r="CR1641" s="162"/>
      <c r="CS1641" s="163"/>
      <c r="CT1641" s="162"/>
      <c r="CU1641" s="163"/>
      <c r="CV1641" s="164">
        <f t="shared" si="211"/>
        <v>0</v>
      </c>
      <c r="CW1641" s="165"/>
      <c r="CX1641" s="166"/>
      <c r="CY1641" s="167"/>
      <c r="CZ1641" s="168"/>
      <c r="DA1641" s="169"/>
      <c r="DB1641" s="168"/>
      <c r="DC1641" s="165"/>
      <c r="DD1641" s="166"/>
      <c r="DE1641" s="71"/>
      <c r="DF1641" s="170"/>
      <c r="EO1641" s="375" t="str">
        <f t="shared" si="213"/>
        <v>TOLIMA_COELLO</v>
      </c>
      <c r="EP1641" s="376"/>
      <c r="EQ1641" s="376"/>
      <c r="ER1641" s="377"/>
      <c r="ES1641" s="376"/>
      <c r="ET1641" s="376"/>
      <c r="EU1641" s="376"/>
    </row>
    <row r="1642" spans="1:151" s="171" customFormat="1" ht="45" x14ac:dyDescent="0.2">
      <c r="A1642" s="242">
        <v>40492</v>
      </c>
      <c r="B1642" s="222" t="s">
        <v>2791</v>
      </c>
      <c r="C1642" s="222" t="s">
        <v>2688</v>
      </c>
      <c r="D1642" s="430" t="s">
        <v>837</v>
      </c>
      <c r="E1642" s="107" t="str">
        <f>VLOOKUP(B1642&amp;C1642,Divipola!$C$2:$F$1138,4,FALSE)</f>
        <v>73226</v>
      </c>
      <c r="F1642" s="333"/>
      <c r="G1642" s="221"/>
      <c r="H1642" s="157"/>
      <c r="I1642" s="157"/>
      <c r="J1642" s="157">
        <v>630</v>
      </c>
      <c r="K1642" s="157">
        <v>140</v>
      </c>
      <c r="L1642" s="157">
        <v>1</v>
      </c>
      <c r="M1642" s="157">
        <v>58</v>
      </c>
      <c r="N1642" s="157"/>
      <c r="O1642" s="157"/>
      <c r="P1642" s="157">
        <v>1</v>
      </c>
      <c r="Q1642" s="157"/>
      <c r="R1642" s="157"/>
      <c r="S1642" s="157"/>
      <c r="T1642" s="157"/>
      <c r="U1642" s="157"/>
      <c r="V1642" s="158">
        <v>66</v>
      </c>
      <c r="W1642" s="182"/>
      <c r="X1642" s="1"/>
      <c r="Y1642" s="78">
        <f t="shared" si="208"/>
        <v>0</v>
      </c>
      <c r="Z1642" s="78">
        <f t="shared" si="209"/>
        <v>0</v>
      </c>
      <c r="AA1642" s="78">
        <f t="shared" si="207"/>
        <v>0</v>
      </c>
      <c r="AB1642" s="78">
        <f t="shared" si="210"/>
        <v>0</v>
      </c>
      <c r="AC1642" s="78"/>
      <c r="AD1642" s="78">
        <v>0</v>
      </c>
      <c r="AE1642" s="80">
        <f t="shared" si="212"/>
        <v>0</v>
      </c>
      <c r="AF1642" s="82">
        <v>0</v>
      </c>
      <c r="AG1642" s="69"/>
      <c r="AH1642" s="84"/>
      <c r="AI1642" s="69" t="s">
        <v>2009</v>
      </c>
      <c r="AJ1642" s="276" t="s">
        <v>2010</v>
      </c>
      <c r="AK1642" s="65"/>
      <c r="AL1642" s="272" t="s">
        <v>311</v>
      </c>
      <c r="AM1642" s="173" t="s">
        <v>321</v>
      </c>
      <c r="AN1642" s="159"/>
      <c r="AO1642" s="160"/>
      <c r="AP1642" s="161"/>
      <c r="AQ1642" s="160"/>
      <c r="AR1642" s="160"/>
      <c r="AS1642" s="160"/>
      <c r="AT1642" s="160"/>
      <c r="AU1642" s="160"/>
      <c r="AV1642" s="160"/>
      <c r="AW1642" s="160"/>
      <c r="AX1642" s="160"/>
      <c r="AY1642" s="160"/>
      <c r="AZ1642" s="160"/>
      <c r="BA1642" s="160"/>
      <c r="BB1642" s="160"/>
      <c r="BC1642" s="160"/>
      <c r="BD1642" s="160"/>
      <c r="BE1642" s="160"/>
      <c r="BF1642" s="160"/>
      <c r="BG1642" s="160"/>
      <c r="BH1642" s="160"/>
      <c r="BI1642" s="160"/>
      <c r="BJ1642" s="160"/>
      <c r="BK1642" s="160"/>
      <c r="BL1642" s="160"/>
      <c r="BM1642" s="160"/>
      <c r="BN1642" s="160"/>
      <c r="BO1642" s="160"/>
      <c r="BP1642" s="160"/>
      <c r="BQ1642" s="160"/>
      <c r="BR1642" s="160"/>
      <c r="BS1642" s="160"/>
      <c r="BT1642" s="160"/>
      <c r="BU1642" s="160"/>
      <c r="BV1642" s="160"/>
      <c r="BW1642" s="160"/>
      <c r="BX1642" s="160"/>
      <c r="BY1642" s="160"/>
      <c r="BZ1642" s="160"/>
      <c r="CA1642" s="160"/>
      <c r="CB1642" s="160"/>
      <c r="CC1642" s="160"/>
      <c r="CD1642" s="160"/>
      <c r="CE1642" s="160"/>
      <c r="CF1642" s="160"/>
      <c r="CG1642" s="160"/>
      <c r="CH1642" s="160"/>
      <c r="CI1642" s="160"/>
      <c r="CJ1642" s="160"/>
      <c r="CK1642" s="160"/>
      <c r="CL1642" s="160"/>
      <c r="CM1642" s="160"/>
      <c r="CN1642" s="160"/>
      <c r="CO1642" s="160"/>
      <c r="CP1642" s="162"/>
      <c r="CQ1642" s="163"/>
      <c r="CR1642" s="162"/>
      <c r="CS1642" s="163"/>
      <c r="CT1642" s="162"/>
      <c r="CU1642" s="163"/>
      <c r="CV1642" s="164">
        <f t="shared" si="211"/>
        <v>0</v>
      </c>
      <c r="CW1642" s="165"/>
      <c r="CX1642" s="166"/>
      <c r="CY1642" s="167"/>
      <c r="CZ1642" s="168"/>
      <c r="DA1642" s="169"/>
      <c r="DB1642" s="168"/>
      <c r="DC1642" s="165"/>
      <c r="DD1642" s="166"/>
      <c r="DE1642" s="71"/>
      <c r="DF1642" s="170"/>
      <c r="EO1642" s="375" t="str">
        <f t="shared" si="213"/>
        <v>TOLIMA_CUNDAY</v>
      </c>
      <c r="EP1642" s="376"/>
      <c r="EQ1642" s="376"/>
      <c r="ER1642" s="377"/>
      <c r="ES1642" s="376"/>
      <c r="ET1642" s="376"/>
      <c r="EU1642" s="376"/>
    </row>
    <row r="1643" spans="1:151" s="171" customFormat="1" ht="48" x14ac:dyDescent="0.2">
      <c r="A1643" s="242">
        <v>40492</v>
      </c>
      <c r="B1643" s="107" t="s">
        <v>2791</v>
      </c>
      <c r="C1643" s="107" t="s">
        <v>2036</v>
      </c>
      <c r="D1643" s="427" t="s">
        <v>837</v>
      </c>
      <c r="E1643" s="107" t="str">
        <f>VLOOKUP(B1643&amp;C1643,Divipola!$C$2:$F$1138,4,FALSE)</f>
        <v>73275</v>
      </c>
      <c r="F1643" s="330"/>
      <c r="G1643" s="224"/>
      <c r="H1643" s="75"/>
      <c r="I1643" s="75"/>
      <c r="J1643" s="75">
        <v>1940</v>
      </c>
      <c r="K1643" s="75">
        <v>431</v>
      </c>
      <c r="L1643" s="75">
        <v>195</v>
      </c>
      <c r="M1643" s="75">
        <v>205</v>
      </c>
      <c r="N1643" s="75">
        <v>1</v>
      </c>
      <c r="O1643" s="75"/>
      <c r="P1643" s="75"/>
      <c r="Q1643" s="75"/>
      <c r="R1643" s="75"/>
      <c r="S1643" s="75"/>
      <c r="T1643" s="75"/>
      <c r="U1643" s="75"/>
      <c r="V1643" s="76">
        <v>340</v>
      </c>
      <c r="W1643" s="205"/>
      <c r="X1643" s="1"/>
      <c r="Y1643" s="78">
        <f t="shared" si="208"/>
        <v>0</v>
      </c>
      <c r="Z1643" s="78">
        <f t="shared" si="209"/>
        <v>0</v>
      </c>
      <c r="AA1643" s="78">
        <f t="shared" si="207"/>
        <v>0</v>
      </c>
      <c r="AB1643" s="78">
        <f t="shared" si="210"/>
        <v>0</v>
      </c>
      <c r="AC1643" s="78"/>
      <c r="AD1643" s="78">
        <v>0</v>
      </c>
      <c r="AE1643" s="80">
        <f t="shared" si="212"/>
        <v>0</v>
      </c>
      <c r="AF1643" s="82">
        <v>0</v>
      </c>
      <c r="AG1643" s="69">
        <v>40283</v>
      </c>
      <c r="AH1643" s="84"/>
      <c r="AI1643" s="69" t="s">
        <v>1984</v>
      </c>
      <c r="AJ1643" s="25" t="s">
        <v>1985</v>
      </c>
      <c r="AK1643" s="65"/>
      <c r="AL1643" s="185" t="s">
        <v>1257</v>
      </c>
      <c r="AM1643" s="85" t="s">
        <v>2037</v>
      </c>
      <c r="AN1643" s="3"/>
      <c r="AO1643" s="4"/>
      <c r="AP1643" s="5"/>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c r="BM1643" s="4"/>
      <c r="BN1643" s="4"/>
      <c r="BO1643" s="4"/>
      <c r="BP1643" s="4"/>
      <c r="BQ1643" s="4"/>
      <c r="BR1643" s="4"/>
      <c r="BS1643" s="4"/>
      <c r="BT1643" s="4"/>
      <c r="BU1643" s="4"/>
      <c r="BV1643" s="4"/>
      <c r="BW1643" s="4"/>
      <c r="BX1643" s="4"/>
      <c r="BY1643" s="4"/>
      <c r="BZ1643" s="4"/>
      <c r="CA1643" s="4"/>
      <c r="CB1643" s="4"/>
      <c r="CC1643" s="4"/>
      <c r="CD1643" s="4"/>
      <c r="CE1643" s="4"/>
      <c r="CF1643" s="4"/>
      <c r="CG1643" s="4"/>
      <c r="CH1643" s="4"/>
      <c r="CI1643" s="4"/>
      <c r="CJ1643" s="4"/>
      <c r="CK1643" s="4"/>
      <c r="CL1643" s="4"/>
      <c r="CM1643" s="4"/>
      <c r="CN1643" s="4"/>
      <c r="CO1643" s="4"/>
      <c r="CP1643" s="6"/>
      <c r="CQ1643" s="7"/>
      <c r="CR1643" s="6"/>
      <c r="CS1643" s="7"/>
      <c r="CT1643" s="6"/>
      <c r="CU1643" s="7"/>
      <c r="CV1643" s="8">
        <f t="shared" si="211"/>
        <v>0</v>
      </c>
      <c r="CW1643" s="9"/>
      <c r="CX1643" s="10"/>
      <c r="CY1643" s="11"/>
      <c r="CZ1643" s="12"/>
      <c r="DA1643" s="29"/>
      <c r="DB1643" s="12"/>
      <c r="DC1643" s="9"/>
      <c r="DD1643" s="10"/>
      <c r="DE1643" s="71"/>
      <c r="DF1643" s="23"/>
      <c r="EO1643" s="375" t="str">
        <f t="shared" si="213"/>
        <v>TOLIMA_FLANDES</v>
      </c>
      <c r="EP1643" s="376"/>
      <c r="EQ1643" s="376"/>
      <c r="ER1643" s="377"/>
      <c r="ES1643" s="376"/>
      <c r="ET1643" s="376"/>
      <c r="EU1643" s="376"/>
    </row>
    <row r="1644" spans="1:151" s="171" customFormat="1" ht="48" x14ac:dyDescent="0.2">
      <c r="A1644" s="242">
        <v>40492</v>
      </c>
      <c r="B1644" s="222" t="s">
        <v>2791</v>
      </c>
      <c r="C1644" s="222" t="s">
        <v>1099</v>
      </c>
      <c r="D1644" s="430" t="s">
        <v>2307</v>
      </c>
      <c r="E1644" s="107" t="str">
        <f>VLOOKUP(B1644&amp;C1644,Divipola!$C$2:$F$1138,4,FALSE)</f>
        <v>73283</v>
      </c>
      <c r="F1644" s="333"/>
      <c r="G1644" s="221"/>
      <c r="H1644" s="157"/>
      <c r="I1644" s="157"/>
      <c r="J1644" s="157">
        <v>3706</v>
      </c>
      <c r="K1644" s="157">
        <v>823</v>
      </c>
      <c r="L1644" s="157">
        <v>4</v>
      </c>
      <c r="M1644" s="157">
        <f>33+28</f>
        <v>61</v>
      </c>
      <c r="N1644" s="157">
        <v>1</v>
      </c>
      <c r="O1644" s="157">
        <v>3</v>
      </c>
      <c r="P1644" s="157"/>
      <c r="Q1644" s="157"/>
      <c r="R1644" s="157"/>
      <c r="S1644" s="157"/>
      <c r="T1644" s="157">
        <v>1</v>
      </c>
      <c r="U1644" s="157"/>
      <c r="V1644" s="158">
        <v>2205.2399999999998</v>
      </c>
      <c r="W1644" s="182"/>
      <c r="X1644" s="1"/>
      <c r="Y1644" s="78">
        <f t="shared" si="208"/>
        <v>0</v>
      </c>
      <c r="Z1644" s="78">
        <f t="shared" si="209"/>
        <v>0</v>
      </c>
      <c r="AA1644" s="78">
        <f t="shared" si="207"/>
        <v>0</v>
      </c>
      <c r="AB1644" s="78">
        <f t="shared" si="210"/>
        <v>0</v>
      </c>
      <c r="AC1644" s="78"/>
      <c r="AD1644" s="78">
        <v>0</v>
      </c>
      <c r="AE1644" s="80">
        <f t="shared" si="212"/>
        <v>0</v>
      </c>
      <c r="AF1644" s="82">
        <v>0</v>
      </c>
      <c r="AG1644" s="69"/>
      <c r="AH1644" s="84"/>
      <c r="AI1644" s="69" t="s">
        <v>2009</v>
      </c>
      <c r="AJ1644" s="276" t="s">
        <v>2010</v>
      </c>
      <c r="AK1644" s="65"/>
      <c r="AL1644" s="272" t="s">
        <v>311</v>
      </c>
      <c r="AM1644" s="173" t="s">
        <v>812</v>
      </c>
      <c r="AN1644" s="159"/>
      <c r="AO1644" s="160"/>
      <c r="AP1644" s="161"/>
      <c r="AQ1644" s="160"/>
      <c r="AR1644" s="160"/>
      <c r="AS1644" s="160"/>
      <c r="AT1644" s="160"/>
      <c r="AU1644" s="160"/>
      <c r="AV1644" s="160"/>
      <c r="AW1644" s="160"/>
      <c r="AX1644" s="160"/>
      <c r="AY1644" s="160"/>
      <c r="AZ1644" s="160"/>
      <c r="BA1644" s="160"/>
      <c r="BB1644" s="160"/>
      <c r="BC1644" s="160"/>
      <c r="BD1644" s="160"/>
      <c r="BE1644" s="160"/>
      <c r="BF1644" s="160"/>
      <c r="BG1644" s="160"/>
      <c r="BH1644" s="160"/>
      <c r="BI1644" s="160"/>
      <c r="BJ1644" s="160"/>
      <c r="BK1644" s="160"/>
      <c r="BL1644" s="160"/>
      <c r="BM1644" s="160"/>
      <c r="BN1644" s="160"/>
      <c r="BO1644" s="160"/>
      <c r="BP1644" s="160"/>
      <c r="BQ1644" s="160"/>
      <c r="BR1644" s="160"/>
      <c r="BS1644" s="160"/>
      <c r="BT1644" s="160"/>
      <c r="BU1644" s="160"/>
      <c r="BV1644" s="160"/>
      <c r="BW1644" s="160"/>
      <c r="BX1644" s="160"/>
      <c r="BY1644" s="160"/>
      <c r="BZ1644" s="160"/>
      <c r="CA1644" s="160"/>
      <c r="CB1644" s="160"/>
      <c r="CC1644" s="160"/>
      <c r="CD1644" s="160"/>
      <c r="CE1644" s="160"/>
      <c r="CF1644" s="160"/>
      <c r="CG1644" s="160"/>
      <c r="CH1644" s="160"/>
      <c r="CI1644" s="160"/>
      <c r="CJ1644" s="160"/>
      <c r="CK1644" s="160"/>
      <c r="CL1644" s="160"/>
      <c r="CM1644" s="160"/>
      <c r="CN1644" s="160"/>
      <c r="CO1644" s="160"/>
      <c r="CP1644" s="162"/>
      <c r="CQ1644" s="163"/>
      <c r="CR1644" s="162"/>
      <c r="CS1644" s="163"/>
      <c r="CT1644" s="162"/>
      <c r="CU1644" s="163"/>
      <c r="CV1644" s="164">
        <f t="shared" si="211"/>
        <v>0</v>
      </c>
      <c r="CW1644" s="165"/>
      <c r="CX1644" s="166"/>
      <c r="CY1644" s="167"/>
      <c r="CZ1644" s="168"/>
      <c r="DA1644" s="169"/>
      <c r="DB1644" s="168"/>
      <c r="DC1644" s="165"/>
      <c r="DD1644" s="166"/>
      <c r="DE1644" s="71"/>
      <c r="DF1644" s="170"/>
      <c r="EO1644" s="375" t="str">
        <f t="shared" si="213"/>
        <v>TOLIMA_FRESNO</v>
      </c>
      <c r="EP1644" s="376"/>
      <c r="EQ1644" s="376"/>
      <c r="ER1644" s="377"/>
      <c r="ES1644" s="376"/>
      <c r="ET1644" s="376"/>
      <c r="EU1644" s="376"/>
    </row>
    <row r="1645" spans="1:151" s="171" customFormat="1" ht="45" x14ac:dyDescent="0.2">
      <c r="A1645" s="242">
        <v>40492</v>
      </c>
      <c r="B1645" s="222" t="s">
        <v>2791</v>
      </c>
      <c r="C1645" s="222" t="s">
        <v>264</v>
      </c>
      <c r="D1645" s="430" t="s">
        <v>837</v>
      </c>
      <c r="E1645" s="107" t="str">
        <f>VLOOKUP(B1645&amp;C1645,Divipola!$C$2:$F$1138,4,FALSE)</f>
        <v>73319</v>
      </c>
      <c r="F1645" s="333"/>
      <c r="G1645" s="221"/>
      <c r="H1645" s="157"/>
      <c r="I1645" s="157"/>
      <c r="J1645" s="157">
        <v>855</v>
      </c>
      <c r="K1645" s="157">
        <v>190</v>
      </c>
      <c r="L1645" s="157"/>
      <c r="M1645" s="157">
        <v>19</v>
      </c>
      <c r="N1645" s="157">
        <v>1</v>
      </c>
      <c r="O1645" s="157"/>
      <c r="P1645" s="157"/>
      <c r="Q1645" s="157">
        <v>1</v>
      </c>
      <c r="R1645" s="157"/>
      <c r="S1645" s="157"/>
      <c r="T1645" s="157"/>
      <c r="U1645" s="157"/>
      <c r="V1645" s="158">
        <v>156</v>
      </c>
      <c r="W1645" s="182"/>
      <c r="X1645" s="1"/>
      <c r="Y1645" s="78">
        <f t="shared" si="208"/>
        <v>0</v>
      </c>
      <c r="Z1645" s="78">
        <f t="shared" si="209"/>
        <v>0</v>
      </c>
      <c r="AA1645" s="78">
        <f t="shared" si="207"/>
        <v>0</v>
      </c>
      <c r="AB1645" s="78">
        <f t="shared" si="210"/>
        <v>0</v>
      </c>
      <c r="AC1645" s="78"/>
      <c r="AD1645" s="78">
        <v>0</v>
      </c>
      <c r="AE1645" s="80">
        <f t="shared" si="212"/>
        <v>0</v>
      </c>
      <c r="AF1645" s="82">
        <v>0</v>
      </c>
      <c r="AG1645" s="69"/>
      <c r="AH1645" s="84"/>
      <c r="AI1645" s="69" t="s">
        <v>2009</v>
      </c>
      <c r="AJ1645" s="276" t="s">
        <v>2010</v>
      </c>
      <c r="AK1645" s="65"/>
      <c r="AL1645" s="272" t="s">
        <v>311</v>
      </c>
      <c r="AM1645" s="173" t="s">
        <v>814</v>
      </c>
      <c r="AN1645" s="159"/>
      <c r="AO1645" s="160"/>
      <c r="AP1645" s="161"/>
      <c r="AQ1645" s="160"/>
      <c r="AR1645" s="160"/>
      <c r="AS1645" s="160"/>
      <c r="AT1645" s="160"/>
      <c r="AU1645" s="160"/>
      <c r="AV1645" s="160"/>
      <c r="AW1645" s="160"/>
      <c r="AX1645" s="160"/>
      <c r="AY1645" s="160"/>
      <c r="AZ1645" s="160"/>
      <c r="BA1645" s="160"/>
      <c r="BB1645" s="160"/>
      <c r="BC1645" s="160"/>
      <c r="BD1645" s="160"/>
      <c r="BE1645" s="160"/>
      <c r="BF1645" s="160"/>
      <c r="BG1645" s="160"/>
      <c r="BH1645" s="160"/>
      <c r="BI1645" s="160"/>
      <c r="BJ1645" s="160"/>
      <c r="BK1645" s="160"/>
      <c r="BL1645" s="160"/>
      <c r="BM1645" s="160"/>
      <c r="BN1645" s="160"/>
      <c r="BO1645" s="160"/>
      <c r="BP1645" s="160"/>
      <c r="BQ1645" s="160"/>
      <c r="BR1645" s="160"/>
      <c r="BS1645" s="160"/>
      <c r="BT1645" s="160"/>
      <c r="BU1645" s="160"/>
      <c r="BV1645" s="160"/>
      <c r="BW1645" s="160"/>
      <c r="BX1645" s="160"/>
      <c r="BY1645" s="160"/>
      <c r="BZ1645" s="160"/>
      <c r="CA1645" s="160"/>
      <c r="CB1645" s="160"/>
      <c r="CC1645" s="160"/>
      <c r="CD1645" s="160"/>
      <c r="CE1645" s="160"/>
      <c r="CF1645" s="160"/>
      <c r="CG1645" s="160"/>
      <c r="CH1645" s="160"/>
      <c r="CI1645" s="160"/>
      <c r="CJ1645" s="160"/>
      <c r="CK1645" s="160"/>
      <c r="CL1645" s="160"/>
      <c r="CM1645" s="160"/>
      <c r="CN1645" s="160"/>
      <c r="CO1645" s="160"/>
      <c r="CP1645" s="162"/>
      <c r="CQ1645" s="163"/>
      <c r="CR1645" s="162"/>
      <c r="CS1645" s="163"/>
      <c r="CT1645" s="162"/>
      <c r="CU1645" s="163"/>
      <c r="CV1645" s="164">
        <f t="shared" si="211"/>
        <v>0</v>
      </c>
      <c r="CW1645" s="165"/>
      <c r="CX1645" s="166"/>
      <c r="CY1645" s="167"/>
      <c r="CZ1645" s="168"/>
      <c r="DA1645" s="169"/>
      <c r="DB1645" s="168"/>
      <c r="DC1645" s="165"/>
      <c r="DD1645" s="166"/>
      <c r="DE1645" s="71"/>
      <c r="DF1645" s="170"/>
      <c r="EO1645" s="375" t="str">
        <f t="shared" si="213"/>
        <v>TOLIMA_GUAMO</v>
      </c>
      <c r="EP1645" s="376"/>
      <c r="EQ1645" s="376"/>
      <c r="ER1645" s="377"/>
      <c r="ES1645" s="376"/>
      <c r="ET1645" s="376"/>
      <c r="EU1645" s="376"/>
    </row>
    <row r="1646" spans="1:151" s="171" customFormat="1" ht="72" x14ac:dyDescent="0.2">
      <c r="A1646" s="242">
        <v>40492</v>
      </c>
      <c r="B1646" s="222" t="s">
        <v>2791</v>
      </c>
      <c r="C1646" s="222" t="s">
        <v>1945</v>
      </c>
      <c r="D1646" s="430" t="s">
        <v>837</v>
      </c>
      <c r="E1646" s="107" t="str">
        <f>VLOOKUP(B1646&amp;C1646,Divipola!$C$2:$F$1138,4,FALSE)</f>
        <v>73001</v>
      </c>
      <c r="F1646" s="333"/>
      <c r="G1646" s="221"/>
      <c r="H1646" s="157"/>
      <c r="I1646" s="157"/>
      <c r="J1646" s="157">
        <f>470+149</f>
        <v>619</v>
      </c>
      <c r="K1646" s="157">
        <f>94+47</f>
        <v>141</v>
      </c>
      <c r="L1646" s="157">
        <v>8</v>
      </c>
      <c r="M1646" s="157">
        <v>86</v>
      </c>
      <c r="N1646" s="157"/>
      <c r="O1646" s="157"/>
      <c r="P1646" s="157"/>
      <c r="Q1646" s="157"/>
      <c r="R1646" s="157"/>
      <c r="S1646" s="157"/>
      <c r="T1646" s="157"/>
      <c r="U1646" s="157"/>
      <c r="V1646" s="158"/>
      <c r="W1646" s="182"/>
      <c r="X1646" s="1"/>
      <c r="Y1646" s="78">
        <f t="shared" si="208"/>
        <v>0</v>
      </c>
      <c r="Z1646" s="78">
        <f t="shared" si="209"/>
        <v>0</v>
      </c>
      <c r="AA1646" s="78">
        <f t="shared" si="207"/>
        <v>0</v>
      </c>
      <c r="AB1646" s="78">
        <f t="shared" si="210"/>
        <v>0</v>
      </c>
      <c r="AC1646" s="78"/>
      <c r="AD1646" s="78">
        <v>0</v>
      </c>
      <c r="AE1646" s="80">
        <f t="shared" si="212"/>
        <v>0</v>
      </c>
      <c r="AF1646" s="82">
        <v>0</v>
      </c>
      <c r="AG1646" s="69">
        <v>40494</v>
      </c>
      <c r="AH1646" s="84"/>
      <c r="AI1646" s="69" t="s">
        <v>1984</v>
      </c>
      <c r="AJ1646" s="25" t="s">
        <v>1985</v>
      </c>
      <c r="AK1646" s="65"/>
      <c r="AL1646" s="176" t="s">
        <v>1257</v>
      </c>
      <c r="AM1646" s="173" t="s">
        <v>2516</v>
      </c>
      <c r="AN1646" s="159"/>
      <c r="AO1646" s="160"/>
      <c r="AP1646" s="161"/>
      <c r="AQ1646" s="160"/>
      <c r="AR1646" s="160"/>
      <c r="AS1646" s="160"/>
      <c r="AT1646" s="160"/>
      <c r="AU1646" s="160"/>
      <c r="AV1646" s="160"/>
      <c r="AW1646" s="160"/>
      <c r="AX1646" s="160"/>
      <c r="AY1646" s="160"/>
      <c r="AZ1646" s="160"/>
      <c r="BA1646" s="160"/>
      <c r="BB1646" s="160"/>
      <c r="BC1646" s="160"/>
      <c r="BD1646" s="160"/>
      <c r="BE1646" s="160"/>
      <c r="BF1646" s="160"/>
      <c r="BG1646" s="160"/>
      <c r="BH1646" s="160"/>
      <c r="BI1646" s="160"/>
      <c r="BJ1646" s="160"/>
      <c r="BK1646" s="160"/>
      <c r="BL1646" s="160"/>
      <c r="BM1646" s="160"/>
      <c r="BN1646" s="160"/>
      <c r="BO1646" s="160"/>
      <c r="BP1646" s="160"/>
      <c r="BQ1646" s="160"/>
      <c r="BR1646" s="160"/>
      <c r="BS1646" s="160"/>
      <c r="BT1646" s="160"/>
      <c r="BU1646" s="160"/>
      <c r="BV1646" s="160"/>
      <c r="BW1646" s="160"/>
      <c r="BX1646" s="160"/>
      <c r="BY1646" s="160"/>
      <c r="BZ1646" s="160"/>
      <c r="CA1646" s="160"/>
      <c r="CB1646" s="160"/>
      <c r="CC1646" s="160"/>
      <c r="CD1646" s="160"/>
      <c r="CE1646" s="160"/>
      <c r="CF1646" s="160"/>
      <c r="CG1646" s="160"/>
      <c r="CH1646" s="160"/>
      <c r="CI1646" s="160"/>
      <c r="CJ1646" s="160"/>
      <c r="CK1646" s="160"/>
      <c r="CL1646" s="160"/>
      <c r="CM1646" s="160"/>
      <c r="CN1646" s="160"/>
      <c r="CO1646" s="160"/>
      <c r="CP1646" s="162"/>
      <c r="CQ1646" s="163"/>
      <c r="CR1646" s="162"/>
      <c r="CS1646" s="163"/>
      <c r="CT1646" s="162"/>
      <c r="CU1646" s="163"/>
      <c r="CV1646" s="164">
        <f t="shared" si="211"/>
        <v>0</v>
      </c>
      <c r="CW1646" s="165"/>
      <c r="CX1646" s="166"/>
      <c r="CY1646" s="167"/>
      <c r="CZ1646" s="168"/>
      <c r="DA1646" s="169"/>
      <c r="DB1646" s="168"/>
      <c r="DC1646" s="165"/>
      <c r="DD1646" s="166"/>
      <c r="DE1646" s="71"/>
      <c r="DF1646" s="170"/>
      <c r="EO1646" s="375" t="str">
        <f t="shared" si="213"/>
        <v>TOLIMA_IBAGUE</v>
      </c>
      <c r="EP1646" s="376"/>
      <c r="EQ1646" s="376"/>
      <c r="ER1646" s="377"/>
      <c r="ES1646" s="376"/>
      <c r="ET1646" s="376"/>
      <c r="EU1646" s="376"/>
    </row>
    <row r="1647" spans="1:151" s="171" customFormat="1" ht="45" x14ac:dyDescent="0.2">
      <c r="A1647" s="242">
        <v>40492</v>
      </c>
      <c r="B1647" s="222" t="s">
        <v>2791</v>
      </c>
      <c r="C1647" s="222" t="s">
        <v>2216</v>
      </c>
      <c r="D1647" s="430" t="s">
        <v>837</v>
      </c>
      <c r="E1647" s="107" t="str">
        <f>VLOOKUP(B1647&amp;C1647,Divipola!$C$2:$F$1138,4,FALSE)</f>
        <v>73411</v>
      </c>
      <c r="F1647" s="333"/>
      <c r="G1647" s="221"/>
      <c r="H1647" s="157"/>
      <c r="I1647" s="157"/>
      <c r="J1647" s="157">
        <v>107</v>
      </c>
      <c r="K1647" s="157">
        <v>246</v>
      </c>
      <c r="L1647" s="157">
        <v>37</v>
      </c>
      <c r="M1647" s="183">
        <v>109</v>
      </c>
      <c r="N1647" s="157"/>
      <c r="O1647" s="157"/>
      <c r="P1647" s="157"/>
      <c r="Q1647" s="157"/>
      <c r="R1647" s="157"/>
      <c r="S1647" s="157"/>
      <c r="T1647" s="157">
        <v>4</v>
      </c>
      <c r="U1647" s="157"/>
      <c r="V1647" s="158">
        <v>56</v>
      </c>
      <c r="W1647" s="182"/>
      <c r="X1647" s="1"/>
      <c r="Y1647" s="78">
        <f t="shared" si="208"/>
        <v>0</v>
      </c>
      <c r="Z1647" s="78">
        <f t="shared" si="209"/>
        <v>0</v>
      </c>
      <c r="AA1647" s="78">
        <f t="shared" si="207"/>
        <v>0</v>
      </c>
      <c r="AB1647" s="78">
        <f t="shared" si="210"/>
        <v>0</v>
      </c>
      <c r="AC1647" s="78"/>
      <c r="AD1647" s="78">
        <v>0</v>
      </c>
      <c r="AE1647" s="80">
        <f t="shared" si="212"/>
        <v>0</v>
      </c>
      <c r="AF1647" s="82">
        <v>0</v>
      </c>
      <c r="AG1647" s="69"/>
      <c r="AH1647" s="84"/>
      <c r="AI1647" s="69" t="s">
        <v>2009</v>
      </c>
      <c r="AJ1647" s="276" t="s">
        <v>2010</v>
      </c>
      <c r="AK1647" s="65"/>
      <c r="AL1647" s="272" t="s">
        <v>311</v>
      </c>
      <c r="AM1647" s="173" t="s">
        <v>321</v>
      </c>
      <c r="AN1647" s="159"/>
      <c r="AO1647" s="160"/>
      <c r="AP1647" s="161"/>
      <c r="AQ1647" s="160"/>
      <c r="AR1647" s="160"/>
      <c r="AS1647" s="160"/>
      <c r="AT1647" s="160"/>
      <c r="AU1647" s="160"/>
      <c r="AV1647" s="160"/>
      <c r="AW1647" s="160"/>
      <c r="AX1647" s="160"/>
      <c r="AY1647" s="160"/>
      <c r="AZ1647" s="160"/>
      <c r="BA1647" s="160"/>
      <c r="BB1647" s="160"/>
      <c r="BC1647" s="160"/>
      <c r="BD1647" s="160"/>
      <c r="BE1647" s="160"/>
      <c r="BF1647" s="160"/>
      <c r="BG1647" s="160"/>
      <c r="BH1647" s="160"/>
      <c r="BI1647" s="160"/>
      <c r="BJ1647" s="160"/>
      <c r="BK1647" s="160"/>
      <c r="BL1647" s="160"/>
      <c r="BM1647" s="160"/>
      <c r="BN1647" s="160"/>
      <c r="BO1647" s="160"/>
      <c r="BP1647" s="160"/>
      <c r="BQ1647" s="160"/>
      <c r="BR1647" s="160"/>
      <c r="BS1647" s="160"/>
      <c r="BT1647" s="160"/>
      <c r="BU1647" s="160"/>
      <c r="BV1647" s="160"/>
      <c r="BW1647" s="160"/>
      <c r="BX1647" s="160"/>
      <c r="BY1647" s="160"/>
      <c r="BZ1647" s="160"/>
      <c r="CA1647" s="160"/>
      <c r="CB1647" s="160"/>
      <c r="CC1647" s="160"/>
      <c r="CD1647" s="160"/>
      <c r="CE1647" s="160"/>
      <c r="CF1647" s="160"/>
      <c r="CG1647" s="160"/>
      <c r="CH1647" s="160"/>
      <c r="CI1647" s="160"/>
      <c r="CJ1647" s="160"/>
      <c r="CK1647" s="160"/>
      <c r="CL1647" s="160"/>
      <c r="CM1647" s="160"/>
      <c r="CN1647" s="160"/>
      <c r="CO1647" s="160"/>
      <c r="CP1647" s="162"/>
      <c r="CQ1647" s="163"/>
      <c r="CR1647" s="162"/>
      <c r="CS1647" s="163"/>
      <c r="CT1647" s="162"/>
      <c r="CU1647" s="163"/>
      <c r="CV1647" s="164">
        <f t="shared" si="211"/>
        <v>0</v>
      </c>
      <c r="CW1647" s="165"/>
      <c r="CX1647" s="166"/>
      <c r="CY1647" s="167"/>
      <c r="CZ1647" s="168"/>
      <c r="DA1647" s="169"/>
      <c r="DB1647" s="168"/>
      <c r="DC1647" s="165"/>
      <c r="DD1647" s="166"/>
      <c r="DE1647" s="71"/>
      <c r="DF1647" s="170"/>
      <c r="EO1647" s="375" t="str">
        <f t="shared" si="213"/>
        <v>TOLIMA_LIBANO</v>
      </c>
      <c r="EP1647" s="376"/>
      <c r="EQ1647" s="376"/>
      <c r="ER1647" s="377"/>
      <c r="ES1647" s="376"/>
      <c r="ET1647" s="376"/>
      <c r="EU1647" s="376"/>
    </row>
    <row r="1648" spans="1:151" s="171" customFormat="1" ht="45" x14ac:dyDescent="0.2">
      <c r="A1648" s="242">
        <v>40492</v>
      </c>
      <c r="B1648" s="222" t="s">
        <v>2791</v>
      </c>
      <c r="C1648" s="222" t="s">
        <v>617</v>
      </c>
      <c r="D1648" s="430" t="s">
        <v>837</v>
      </c>
      <c r="E1648" s="107" t="str">
        <f>VLOOKUP(B1648&amp;C1648,Divipola!$C$2:$F$1138,4,FALSE)</f>
        <v>73461</v>
      </c>
      <c r="F1648" s="333"/>
      <c r="G1648" s="221"/>
      <c r="H1648" s="157"/>
      <c r="I1648" s="157"/>
      <c r="J1648" s="157">
        <f>359*5</f>
        <v>1795</v>
      </c>
      <c r="K1648" s="157">
        <v>359</v>
      </c>
      <c r="L1648" s="157">
        <v>11</v>
      </c>
      <c r="M1648" s="157">
        <f>91+25</f>
        <v>116</v>
      </c>
      <c r="N1648" s="157"/>
      <c r="O1648" s="157"/>
      <c r="P1648" s="157">
        <v>7</v>
      </c>
      <c r="Q1648" s="157"/>
      <c r="R1648" s="157"/>
      <c r="S1648" s="157"/>
      <c r="T1648" s="157"/>
      <c r="U1648" s="157"/>
      <c r="V1648" s="158">
        <v>311.95</v>
      </c>
      <c r="W1648" s="182"/>
      <c r="X1648" s="1"/>
      <c r="Y1648" s="78">
        <f t="shared" si="208"/>
        <v>0</v>
      </c>
      <c r="Z1648" s="78">
        <f t="shared" si="209"/>
        <v>0</v>
      </c>
      <c r="AA1648" s="78">
        <f t="shared" si="207"/>
        <v>0</v>
      </c>
      <c r="AB1648" s="78">
        <f t="shared" si="210"/>
        <v>0</v>
      </c>
      <c r="AC1648" s="78"/>
      <c r="AD1648" s="78">
        <v>0</v>
      </c>
      <c r="AE1648" s="80">
        <f t="shared" si="212"/>
        <v>0</v>
      </c>
      <c r="AF1648" s="82">
        <v>0</v>
      </c>
      <c r="AG1648" s="69"/>
      <c r="AH1648" s="84"/>
      <c r="AI1648" s="69" t="s">
        <v>2009</v>
      </c>
      <c r="AJ1648" s="276" t="s">
        <v>2010</v>
      </c>
      <c r="AK1648" s="65"/>
      <c r="AL1648" s="272" t="s">
        <v>311</v>
      </c>
      <c r="AM1648" s="173" t="s">
        <v>321</v>
      </c>
      <c r="AN1648" s="159"/>
      <c r="AO1648" s="160"/>
      <c r="AP1648" s="161"/>
      <c r="AQ1648" s="160"/>
      <c r="AR1648" s="160"/>
      <c r="AS1648" s="160"/>
      <c r="AT1648" s="160"/>
      <c r="AU1648" s="160"/>
      <c r="AV1648" s="160"/>
      <c r="AW1648" s="160"/>
      <c r="AX1648" s="160"/>
      <c r="AY1648" s="160"/>
      <c r="AZ1648" s="160"/>
      <c r="BA1648" s="160"/>
      <c r="BB1648" s="160"/>
      <c r="BC1648" s="160"/>
      <c r="BD1648" s="160"/>
      <c r="BE1648" s="160"/>
      <c r="BF1648" s="160"/>
      <c r="BG1648" s="160"/>
      <c r="BH1648" s="160"/>
      <c r="BI1648" s="160"/>
      <c r="BJ1648" s="160"/>
      <c r="BK1648" s="160"/>
      <c r="BL1648" s="160"/>
      <c r="BM1648" s="160"/>
      <c r="BN1648" s="160"/>
      <c r="BO1648" s="160"/>
      <c r="BP1648" s="160"/>
      <c r="BQ1648" s="160"/>
      <c r="BR1648" s="160"/>
      <c r="BS1648" s="160"/>
      <c r="BT1648" s="160"/>
      <c r="BU1648" s="160"/>
      <c r="BV1648" s="160"/>
      <c r="BW1648" s="160"/>
      <c r="BX1648" s="160"/>
      <c r="BY1648" s="160"/>
      <c r="BZ1648" s="160"/>
      <c r="CA1648" s="160"/>
      <c r="CB1648" s="160"/>
      <c r="CC1648" s="160"/>
      <c r="CD1648" s="160"/>
      <c r="CE1648" s="160"/>
      <c r="CF1648" s="160"/>
      <c r="CG1648" s="160"/>
      <c r="CH1648" s="160"/>
      <c r="CI1648" s="160"/>
      <c r="CJ1648" s="160"/>
      <c r="CK1648" s="160"/>
      <c r="CL1648" s="160"/>
      <c r="CM1648" s="160"/>
      <c r="CN1648" s="160"/>
      <c r="CO1648" s="160"/>
      <c r="CP1648" s="162"/>
      <c r="CQ1648" s="163"/>
      <c r="CR1648" s="162"/>
      <c r="CS1648" s="163"/>
      <c r="CT1648" s="162"/>
      <c r="CU1648" s="163"/>
      <c r="CV1648" s="164">
        <f t="shared" si="211"/>
        <v>0</v>
      </c>
      <c r="CW1648" s="165"/>
      <c r="CX1648" s="166"/>
      <c r="CY1648" s="167"/>
      <c r="CZ1648" s="168"/>
      <c r="DA1648" s="169"/>
      <c r="DB1648" s="168"/>
      <c r="DC1648" s="165"/>
      <c r="DD1648" s="166"/>
      <c r="DE1648" s="71"/>
      <c r="DF1648" s="170"/>
      <c r="EO1648" s="375" t="str">
        <f t="shared" si="213"/>
        <v>TOLIMA_MURILLO</v>
      </c>
      <c r="EP1648" s="376"/>
      <c r="EQ1648" s="376"/>
      <c r="ER1648" s="377"/>
      <c r="ES1648" s="376"/>
      <c r="ET1648" s="376"/>
      <c r="EU1648" s="376"/>
    </row>
    <row r="1649" spans="1:151" s="171" customFormat="1" ht="45" x14ac:dyDescent="0.2">
      <c r="A1649" s="242">
        <v>40492</v>
      </c>
      <c r="B1649" s="222" t="s">
        <v>2791</v>
      </c>
      <c r="C1649" s="222" t="s">
        <v>317</v>
      </c>
      <c r="D1649" s="430" t="s">
        <v>837</v>
      </c>
      <c r="E1649" s="107" t="str">
        <f>VLOOKUP(B1649&amp;C1649,Divipola!$C$2:$F$1138,4,FALSE)</f>
        <v>73547</v>
      </c>
      <c r="F1649" s="333"/>
      <c r="G1649" s="221"/>
      <c r="H1649" s="157"/>
      <c r="I1649" s="157"/>
      <c r="J1649" s="157">
        <f>448*5</f>
        <v>2240</v>
      </c>
      <c r="K1649" s="157">
        <v>448</v>
      </c>
      <c r="L1649" s="157"/>
      <c r="M1649" s="157"/>
      <c r="N1649" s="157"/>
      <c r="O1649" s="157"/>
      <c r="P1649" s="157"/>
      <c r="Q1649" s="157">
        <v>2</v>
      </c>
      <c r="R1649" s="157"/>
      <c r="S1649" s="157"/>
      <c r="T1649" s="157"/>
      <c r="U1649" s="157"/>
      <c r="V1649" s="158">
        <v>192</v>
      </c>
      <c r="W1649" s="182"/>
      <c r="X1649" s="1"/>
      <c r="Y1649" s="78">
        <f t="shared" si="208"/>
        <v>0</v>
      </c>
      <c r="Z1649" s="78">
        <f t="shared" si="209"/>
        <v>0</v>
      </c>
      <c r="AA1649" s="78">
        <f t="shared" si="207"/>
        <v>0</v>
      </c>
      <c r="AB1649" s="78">
        <f t="shared" si="210"/>
        <v>0</v>
      </c>
      <c r="AC1649" s="78"/>
      <c r="AD1649" s="78">
        <v>0</v>
      </c>
      <c r="AE1649" s="80">
        <f t="shared" si="212"/>
        <v>0</v>
      </c>
      <c r="AF1649" s="82">
        <v>0</v>
      </c>
      <c r="AG1649" s="69"/>
      <c r="AH1649" s="84"/>
      <c r="AI1649" s="69" t="s">
        <v>2009</v>
      </c>
      <c r="AJ1649" s="276" t="s">
        <v>2010</v>
      </c>
      <c r="AK1649" s="65"/>
      <c r="AL1649" s="272" t="s">
        <v>311</v>
      </c>
      <c r="AM1649" s="173" t="s">
        <v>321</v>
      </c>
      <c r="AN1649" s="159"/>
      <c r="AO1649" s="160"/>
      <c r="AP1649" s="161"/>
      <c r="AQ1649" s="160"/>
      <c r="AR1649" s="160"/>
      <c r="AS1649" s="160"/>
      <c r="AT1649" s="160"/>
      <c r="AU1649" s="160"/>
      <c r="AV1649" s="160"/>
      <c r="AW1649" s="160"/>
      <c r="AX1649" s="160"/>
      <c r="AY1649" s="160"/>
      <c r="AZ1649" s="160"/>
      <c r="BA1649" s="160"/>
      <c r="BB1649" s="160"/>
      <c r="BC1649" s="160"/>
      <c r="BD1649" s="160"/>
      <c r="BE1649" s="160"/>
      <c r="BF1649" s="160"/>
      <c r="BG1649" s="160"/>
      <c r="BH1649" s="160"/>
      <c r="BI1649" s="160"/>
      <c r="BJ1649" s="160"/>
      <c r="BK1649" s="160"/>
      <c r="BL1649" s="160"/>
      <c r="BM1649" s="160"/>
      <c r="BN1649" s="160"/>
      <c r="BO1649" s="160"/>
      <c r="BP1649" s="160"/>
      <c r="BQ1649" s="160"/>
      <c r="BR1649" s="160"/>
      <c r="BS1649" s="160"/>
      <c r="BT1649" s="160"/>
      <c r="BU1649" s="160"/>
      <c r="BV1649" s="160"/>
      <c r="BW1649" s="160"/>
      <c r="BX1649" s="160"/>
      <c r="BY1649" s="160"/>
      <c r="BZ1649" s="160"/>
      <c r="CA1649" s="160"/>
      <c r="CB1649" s="160"/>
      <c r="CC1649" s="160"/>
      <c r="CD1649" s="160"/>
      <c r="CE1649" s="160"/>
      <c r="CF1649" s="160"/>
      <c r="CG1649" s="160"/>
      <c r="CH1649" s="160"/>
      <c r="CI1649" s="160"/>
      <c r="CJ1649" s="160"/>
      <c r="CK1649" s="160"/>
      <c r="CL1649" s="160"/>
      <c r="CM1649" s="160"/>
      <c r="CN1649" s="160"/>
      <c r="CO1649" s="160"/>
      <c r="CP1649" s="162"/>
      <c r="CQ1649" s="163"/>
      <c r="CR1649" s="162"/>
      <c r="CS1649" s="163"/>
      <c r="CT1649" s="162"/>
      <c r="CU1649" s="163"/>
      <c r="CV1649" s="164">
        <f t="shared" si="211"/>
        <v>0</v>
      </c>
      <c r="CW1649" s="165"/>
      <c r="CX1649" s="166"/>
      <c r="CY1649" s="167"/>
      <c r="CZ1649" s="168"/>
      <c r="DA1649" s="169"/>
      <c r="DB1649" s="168"/>
      <c r="DC1649" s="165"/>
      <c r="DD1649" s="166"/>
      <c r="DE1649" s="71"/>
      <c r="DF1649" s="170"/>
      <c r="EO1649" s="375" t="str">
        <f t="shared" si="213"/>
        <v>TOLIMA_PIEDRAS</v>
      </c>
      <c r="EP1649" s="376"/>
      <c r="EQ1649" s="376"/>
      <c r="ER1649" s="377"/>
      <c r="ES1649" s="376"/>
      <c r="ET1649" s="376"/>
      <c r="EU1649" s="376"/>
    </row>
    <row r="1650" spans="1:151" s="171" customFormat="1" ht="72" x14ac:dyDescent="0.2">
      <c r="A1650" s="242">
        <v>40492</v>
      </c>
      <c r="B1650" s="222" t="s">
        <v>1462</v>
      </c>
      <c r="C1650" s="222" t="s">
        <v>1975</v>
      </c>
      <c r="D1650" s="430" t="s">
        <v>837</v>
      </c>
      <c r="E1650" s="107" t="str">
        <f>VLOOKUP(B1650&amp;C1650,Divipola!$C$2:$F$1138,4,FALSE)</f>
        <v>76306</v>
      </c>
      <c r="F1650" s="333"/>
      <c r="G1650" s="221"/>
      <c r="H1650" s="157"/>
      <c r="I1650" s="157"/>
      <c r="J1650" s="157">
        <f>500*5</f>
        <v>2500</v>
      </c>
      <c r="K1650" s="157">
        <v>500</v>
      </c>
      <c r="L1650" s="157"/>
      <c r="M1650" s="157">
        <v>500</v>
      </c>
      <c r="N1650" s="157"/>
      <c r="O1650" s="157"/>
      <c r="P1650" s="157"/>
      <c r="Q1650" s="157"/>
      <c r="R1650" s="157"/>
      <c r="S1650" s="157"/>
      <c r="T1650" s="157"/>
      <c r="U1650" s="157"/>
      <c r="V1650" s="158"/>
      <c r="W1650" s="182" t="s">
        <v>2436</v>
      </c>
      <c r="X1650" s="1">
        <v>40520</v>
      </c>
      <c r="Y1650" s="78">
        <f t="shared" si="208"/>
        <v>46500000</v>
      </c>
      <c r="Z1650" s="78">
        <f t="shared" si="209"/>
        <v>42500000</v>
      </c>
      <c r="AA1650" s="78">
        <f t="shared" si="207"/>
        <v>0</v>
      </c>
      <c r="AB1650" s="78">
        <f t="shared" si="210"/>
        <v>0</v>
      </c>
      <c r="AC1650" s="78"/>
      <c r="AD1650" s="78">
        <v>0</v>
      </c>
      <c r="AE1650" s="80">
        <f t="shared" si="212"/>
        <v>89000000</v>
      </c>
      <c r="AF1650" s="82">
        <v>0</v>
      </c>
      <c r="AG1650" s="69">
        <v>40494</v>
      </c>
      <c r="AH1650" s="84"/>
      <c r="AI1650" s="69" t="s">
        <v>2009</v>
      </c>
      <c r="AJ1650" s="25" t="s">
        <v>2010</v>
      </c>
      <c r="AK1650" s="65">
        <v>26384</v>
      </c>
      <c r="AL1650" s="185" t="s">
        <v>2182</v>
      </c>
      <c r="AM1650" s="173" t="s">
        <v>2435</v>
      </c>
      <c r="AN1650" s="159"/>
      <c r="AO1650" s="160"/>
      <c r="AP1650" s="161"/>
      <c r="AQ1650" s="160"/>
      <c r="AR1650" s="160"/>
      <c r="AS1650" s="160"/>
      <c r="AT1650" s="160"/>
      <c r="AU1650" s="160"/>
      <c r="AV1650" s="160"/>
      <c r="AW1650" s="160"/>
      <c r="AX1650" s="160"/>
      <c r="AY1650" s="160"/>
      <c r="AZ1650" s="160">
        <v>500</v>
      </c>
      <c r="BA1650" s="160">
        <f>500*56000</f>
        <v>28000000</v>
      </c>
      <c r="BB1650" s="160"/>
      <c r="BC1650" s="160"/>
      <c r="BD1650" s="160"/>
      <c r="BE1650" s="160"/>
      <c r="BF1650" s="160"/>
      <c r="BG1650" s="160"/>
      <c r="BH1650" s="160"/>
      <c r="BI1650" s="160"/>
      <c r="BJ1650" s="160"/>
      <c r="BK1650" s="160"/>
      <c r="BL1650" s="160"/>
      <c r="BM1650" s="160"/>
      <c r="BN1650" s="160"/>
      <c r="BO1650" s="160"/>
      <c r="BP1650" s="160"/>
      <c r="BQ1650" s="160"/>
      <c r="BR1650" s="160"/>
      <c r="BS1650" s="160"/>
      <c r="BT1650" s="160"/>
      <c r="BU1650" s="160"/>
      <c r="BV1650" s="160"/>
      <c r="BW1650" s="160"/>
      <c r="BX1650" s="160"/>
      <c r="BY1650" s="160"/>
      <c r="BZ1650" s="160"/>
      <c r="CA1650" s="160"/>
      <c r="CB1650" s="160"/>
      <c r="CC1650" s="160"/>
      <c r="CD1650" s="160"/>
      <c r="CE1650" s="160"/>
      <c r="CF1650" s="160"/>
      <c r="CG1650" s="160"/>
      <c r="CH1650" s="160"/>
      <c r="CI1650" s="160"/>
      <c r="CJ1650" s="160"/>
      <c r="CK1650" s="160"/>
      <c r="CL1650" s="160"/>
      <c r="CM1650" s="160"/>
      <c r="CN1650" s="160"/>
      <c r="CO1650" s="160"/>
      <c r="CP1650" s="162">
        <v>500</v>
      </c>
      <c r="CQ1650" s="163">
        <f>500*37000</f>
        <v>18500000</v>
      </c>
      <c r="CR1650" s="162"/>
      <c r="CS1650" s="163"/>
      <c r="CT1650" s="162"/>
      <c r="CU1650" s="163"/>
      <c r="CV1650" s="164">
        <f t="shared" si="211"/>
        <v>46500000</v>
      </c>
      <c r="CW1650" s="165"/>
      <c r="CX1650" s="166"/>
      <c r="CY1650" s="167">
        <v>500</v>
      </c>
      <c r="CZ1650" s="168">
        <f>500*85000</f>
        <v>42500000</v>
      </c>
      <c r="DA1650" s="169"/>
      <c r="DB1650" s="168"/>
      <c r="DC1650" s="165"/>
      <c r="DD1650" s="166"/>
      <c r="DE1650" s="71"/>
      <c r="DF1650" s="170"/>
      <c r="EO1650" s="375" t="str">
        <f t="shared" si="213"/>
        <v>VALLE DEL CAUCA_GINEBRA</v>
      </c>
      <c r="EP1650" s="376"/>
      <c r="EQ1650" s="376"/>
      <c r="ER1650" s="377"/>
      <c r="ES1650" s="376"/>
      <c r="ET1650" s="376"/>
      <c r="EU1650" s="376"/>
    </row>
    <row r="1651" spans="1:151" s="171" customFormat="1" ht="63.75" x14ac:dyDescent="0.2">
      <c r="A1651" s="242">
        <v>40492</v>
      </c>
      <c r="B1651" s="222" t="s">
        <v>1462</v>
      </c>
      <c r="C1651" s="222" t="s">
        <v>2697</v>
      </c>
      <c r="D1651" s="430" t="s">
        <v>837</v>
      </c>
      <c r="E1651" s="107" t="str">
        <f>VLOOKUP(B1651&amp;C1651,Divipola!$C$2:$F$1138,4,FALSE)</f>
        <v>76111</v>
      </c>
      <c r="F1651" s="333"/>
      <c r="G1651" s="221"/>
      <c r="H1651" s="157"/>
      <c r="I1651" s="157"/>
      <c r="J1651" s="157">
        <f>791*5</f>
        <v>3955</v>
      </c>
      <c r="K1651" s="183">
        <f>1700-537-372</f>
        <v>791</v>
      </c>
      <c r="L1651" s="157"/>
      <c r="M1651" s="157">
        <v>420</v>
      </c>
      <c r="N1651" s="157"/>
      <c r="O1651" s="157"/>
      <c r="P1651" s="157"/>
      <c r="Q1651" s="157"/>
      <c r="R1651" s="157"/>
      <c r="S1651" s="157"/>
      <c r="T1651" s="157"/>
      <c r="U1651" s="157"/>
      <c r="V1651" s="158"/>
      <c r="W1651" s="182"/>
      <c r="X1651" s="1">
        <v>40520</v>
      </c>
      <c r="Y1651" s="78">
        <f t="shared" si="208"/>
        <v>45756000</v>
      </c>
      <c r="Z1651" s="78">
        <f t="shared" si="209"/>
        <v>41820000</v>
      </c>
      <c r="AA1651" s="78">
        <f t="shared" si="207"/>
        <v>0</v>
      </c>
      <c r="AB1651" s="78">
        <f t="shared" si="210"/>
        <v>0</v>
      </c>
      <c r="AC1651" s="78"/>
      <c r="AD1651" s="78">
        <v>0</v>
      </c>
      <c r="AE1651" s="80">
        <f t="shared" si="212"/>
        <v>87576000</v>
      </c>
      <c r="AF1651" s="82">
        <v>0</v>
      </c>
      <c r="AG1651" s="69">
        <v>40494</v>
      </c>
      <c r="AH1651" s="84"/>
      <c r="AI1651" s="69" t="s">
        <v>2009</v>
      </c>
      <c r="AJ1651" s="25" t="s">
        <v>2010</v>
      </c>
      <c r="AK1651" s="65">
        <v>26384</v>
      </c>
      <c r="AL1651" s="176" t="s">
        <v>1831</v>
      </c>
      <c r="AM1651" s="173" t="s">
        <v>2459</v>
      </c>
      <c r="AN1651" s="159"/>
      <c r="AO1651" s="160"/>
      <c r="AP1651" s="161"/>
      <c r="AQ1651" s="160"/>
      <c r="AR1651" s="160"/>
      <c r="AS1651" s="160"/>
      <c r="AT1651" s="160"/>
      <c r="AU1651" s="160"/>
      <c r="AV1651" s="160"/>
      <c r="AW1651" s="160"/>
      <c r="AX1651" s="160"/>
      <c r="AY1651" s="160"/>
      <c r="AZ1651" s="160">
        <v>492</v>
      </c>
      <c r="BA1651" s="160">
        <f>492*56000</f>
        <v>27552000</v>
      </c>
      <c r="BB1651" s="160"/>
      <c r="BC1651" s="160"/>
      <c r="BD1651" s="160"/>
      <c r="BE1651" s="160"/>
      <c r="BF1651" s="160"/>
      <c r="BG1651" s="160"/>
      <c r="BH1651" s="160"/>
      <c r="BI1651" s="160"/>
      <c r="BJ1651" s="160"/>
      <c r="BK1651" s="160"/>
      <c r="BL1651" s="160"/>
      <c r="BM1651" s="160"/>
      <c r="BN1651" s="160"/>
      <c r="BO1651" s="160"/>
      <c r="BP1651" s="160"/>
      <c r="BQ1651" s="160"/>
      <c r="BR1651" s="160"/>
      <c r="BS1651" s="160"/>
      <c r="BT1651" s="160"/>
      <c r="BU1651" s="160"/>
      <c r="BV1651" s="160"/>
      <c r="BW1651" s="160"/>
      <c r="BX1651" s="160"/>
      <c r="BY1651" s="160"/>
      <c r="BZ1651" s="160"/>
      <c r="CA1651" s="160"/>
      <c r="CB1651" s="160"/>
      <c r="CC1651" s="160"/>
      <c r="CD1651" s="160"/>
      <c r="CE1651" s="160"/>
      <c r="CF1651" s="160"/>
      <c r="CG1651" s="160"/>
      <c r="CH1651" s="160"/>
      <c r="CI1651" s="160"/>
      <c r="CJ1651" s="160"/>
      <c r="CK1651" s="160"/>
      <c r="CL1651" s="160"/>
      <c r="CM1651" s="160"/>
      <c r="CN1651" s="160"/>
      <c r="CO1651" s="160"/>
      <c r="CP1651" s="162">
        <v>492</v>
      </c>
      <c r="CQ1651" s="163">
        <f>492*37000</f>
        <v>18204000</v>
      </c>
      <c r="CR1651" s="162"/>
      <c r="CS1651" s="163"/>
      <c r="CT1651" s="162"/>
      <c r="CU1651" s="163"/>
      <c r="CV1651" s="164">
        <f t="shared" si="211"/>
        <v>45756000</v>
      </c>
      <c r="CW1651" s="165"/>
      <c r="CX1651" s="166"/>
      <c r="CY1651" s="167">
        <v>492</v>
      </c>
      <c r="CZ1651" s="168">
        <f>492*85000</f>
        <v>41820000</v>
      </c>
      <c r="DA1651" s="169"/>
      <c r="DB1651" s="168"/>
      <c r="DC1651" s="165"/>
      <c r="DD1651" s="166"/>
      <c r="DE1651" s="71"/>
      <c r="DF1651" s="170"/>
      <c r="EO1651" s="375" t="str">
        <f t="shared" si="213"/>
        <v>VALLE DEL CAUCA_GUADALAJARA DE BUGA</v>
      </c>
      <c r="EP1651" s="376"/>
      <c r="EQ1651" s="376"/>
      <c r="ER1651" s="377"/>
      <c r="ES1651" s="376"/>
      <c r="ET1651" s="376"/>
      <c r="EU1651" s="376"/>
    </row>
    <row r="1652" spans="1:151" s="171" customFormat="1" ht="25.5" x14ac:dyDescent="0.2">
      <c r="A1652" s="246">
        <v>40493</v>
      </c>
      <c r="B1652" s="280" t="s">
        <v>2401</v>
      </c>
      <c r="C1652" s="280" t="s">
        <v>2747</v>
      </c>
      <c r="D1652" s="431" t="s">
        <v>2307</v>
      </c>
      <c r="E1652" s="107" t="str">
        <f>VLOOKUP(B1652&amp;C1652,Divipola!$C$2:$F$1138,4,FALSE)</f>
        <v>05001</v>
      </c>
      <c r="F1652" s="334"/>
      <c r="G1652" s="221">
        <v>1</v>
      </c>
      <c r="H1652" s="157">
        <v>1</v>
      </c>
      <c r="I1652" s="157"/>
      <c r="J1652" s="157">
        <v>85</v>
      </c>
      <c r="K1652" s="157">
        <v>17</v>
      </c>
      <c r="L1652" s="157">
        <v>2</v>
      </c>
      <c r="M1652" s="157">
        <v>15</v>
      </c>
      <c r="N1652" s="157"/>
      <c r="O1652" s="157"/>
      <c r="P1652" s="157"/>
      <c r="Q1652" s="157"/>
      <c r="R1652" s="157"/>
      <c r="S1652" s="157"/>
      <c r="T1652" s="157"/>
      <c r="U1652" s="157"/>
      <c r="V1652" s="158"/>
      <c r="W1652" s="182"/>
      <c r="X1652" s="1"/>
      <c r="Y1652" s="78">
        <f t="shared" si="208"/>
        <v>0</v>
      </c>
      <c r="Z1652" s="78">
        <f t="shared" si="209"/>
        <v>0</v>
      </c>
      <c r="AA1652" s="78">
        <f t="shared" si="207"/>
        <v>0</v>
      </c>
      <c r="AB1652" s="78">
        <f t="shared" si="210"/>
        <v>0</v>
      </c>
      <c r="AC1652" s="78"/>
      <c r="AD1652" s="78">
        <v>0</v>
      </c>
      <c r="AE1652" s="80">
        <f t="shared" si="212"/>
        <v>0</v>
      </c>
      <c r="AF1652" s="82">
        <v>0</v>
      </c>
      <c r="AG1652" s="69">
        <v>40497</v>
      </c>
      <c r="AH1652" s="84"/>
      <c r="AI1652" s="69" t="s">
        <v>1984</v>
      </c>
      <c r="AJ1652" s="25" t="s">
        <v>1985</v>
      </c>
      <c r="AK1652" s="65"/>
      <c r="AL1652" s="176" t="s">
        <v>1257</v>
      </c>
      <c r="AM1652" s="173" t="s">
        <v>2836</v>
      </c>
      <c r="AN1652" s="159"/>
      <c r="AO1652" s="160"/>
      <c r="AP1652" s="161"/>
      <c r="AQ1652" s="160"/>
      <c r="AR1652" s="160"/>
      <c r="AS1652" s="160"/>
      <c r="AT1652" s="160"/>
      <c r="AU1652" s="160"/>
      <c r="AV1652" s="160"/>
      <c r="AW1652" s="160"/>
      <c r="AX1652" s="160"/>
      <c r="AY1652" s="160"/>
      <c r="AZ1652" s="160"/>
      <c r="BA1652" s="160"/>
      <c r="BB1652" s="160"/>
      <c r="BC1652" s="160"/>
      <c r="BD1652" s="160"/>
      <c r="BE1652" s="160"/>
      <c r="BF1652" s="160"/>
      <c r="BG1652" s="160"/>
      <c r="BH1652" s="160"/>
      <c r="BI1652" s="160"/>
      <c r="BJ1652" s="160"/>
      <c r="BK1652" s="160"/>
      <c r="BL1652" s="160"/>
      <c r="BM1652" s="160"/>
      <c r="BN1652" s="160"/>
      <c r="BO1652" s="160"/>
      <c r="BP1652" s="160"/>
      <c r="BQ1652" s="160"/>
      <c r="BR1652" s="160"/>
      <c r="BS1652" s="160"/>
      <c r="BT1652" s="160"/>
      <c r="BU1652" s="160"/>
      <c r="BV1652" s="160"/>
      <c r="BW1652" s="160"/>
      <c r="BX1652" s="160"/>
      <c r="BY1652" s="160"/>
      <c r="BZ1652" s="160"/>
      <c r="CA1652" s="160"/>
      <c r="CB1652" s="160"/>
      <c r="CC1652" s="160"/>
      <c r="CD1652" s="160"/>
      <c r="CE1652" s="160"/>
      <c r="CF1652" s="160"/>
      <c r="CG1652" s="160"/>
      <c r="CH1652" s="160"/>
      <c r="CI1652" s="160"/>
      <c r="CJ1652" s="160"/>
      <c r="CK1652" s="160"/>
      <c r="CL1652" s="160"/>
      <c r="CM1652" s="160"/>
      <c r="CN1652" s="160"/>
      <c r="CO1652" s="160"/>
      <c r="CP1652" s="162"/>
      <c r="CQ1652" s="163"/>
      <c r="CR1652" s="162"/>
      <c r="CS1652" s="163"/>
      <c r="CT1652" s="162"/>
      <c r="CU1652" s="163"/>
      <c r="CV1652" s="164">
        <f t="shared" si="211"/>
        <v>0</v>
      </c>
      <c r="CW1652" s="165"/>
      <c r="CX1652" s="166"/>
      <c r="CY1652" s="167"/>
      <c r="CZ1652" s="168"/>
      <c r="DA1652" s="169"/>
      <c r="DB1652" s="168"/>
      <c r="DC1652" s="165"/>
      <c r="DD1652" s="166"/>
      <c r="DE1652" s="71"/>
      <c r="DF1652" s="170"/>
      <c r="EO1652" s="375" t="str">
        <f t="shared" si="213"/>
        <v>ANTIOQUIA_MEDELLIN</v>
      </c>
      <c r="EP1652" s="376"/>
      <c r="EQ1652" s="376"/>
      <c r="ER1652" s="377"/>
      <c r="ES1652" s="376"/>
      <c r="ET1652" s="376"/>
      <c r="EU1652" s="376"/>
    </row>
    <row r="1653" spans="1:151" s="171" customFormat="1" ht="25.5" x14ac:dyDescent="0.2">
      <c r="A1653" s="246">
        <v>40493</v>
      </c>
      <c r="B1653" s="280" t="s">
        <v>2401</v>
      </c>
      <c r="C1653" s="280" t="s">
        <v>2402</v>
      </c>
      <c r="D1653" s="432" t="s">
        <v>837</v>
      </c>
      <c r="E1653" s="107" t="str">
        <f>VLOOKUP(B1653&amp;C1653,Divipola!$C$2:$F$1138,4,FALSE)</f>
        <v>05475</v>
      </c>
      <c r="F1653" s="337"/>
      <c r="G1653" s="221"/>
      <c r="H1653" s="157"/>
      <c r="I1653" s="157"/>
      <c r="J1653" s="157">
        <v>506</v>
      </c>
      <c r="K1653" s="157">
        <v>136</v>
      </c>
      <c r="L1653" s="157">
        <v>136</v>
      </c>
      <c r="M1653" s="157"/>
      <c r="N1653" s="157"/>
      <c r="O1653" s="157"/>
      <c r="P1653" s="157"/>
      <c r="Q1653" s="157"/>
      <c r="R1653" s="157"/>
      <c r="S1653" s="157">
        <v>1</v>
      </c>
      <c r="T1653" s="157"/>
      <c r="U1653" s="157"/>
      <c r="V1653" s="158"/>
      <c r="W1653" s="182"/>
      <c r="X1653" s="1"/>
      <c r="Y1653" s="78">
        <f t="shared" si="208"/>
        <v>0</v>
      </c>
      <c r="Z1653" s="78">
        <f t="shared" si="209"/>
        <v>0</v>
      </c>
      <c r="AA1653" s="78">
        <f t="shared" ref="AA1653:AA1716" si="214">DB1653+DD1653</f>
        <v>0</v>
      </c>
      <c r="AB1653" s="78">
        <f t="shared" si="210"/>
        <v>0</v>
      </c>
      <c r="AC1653" s="78"/>
      <c r="AD1653" s="78">
        <v>0</v>
      </c>
      <c r="AE1653" s="80">
        <f t="shared" si="212"/>
        <v>0</v>
      </c>
      <c r="AF1653" s="82">
        <v>0</v>
      </c>
      <c r="AG1653" s="69">
        <v>40497</v>
      </c>
      <c r="AH1653" s="84"/>
      <c r="AI1653" s="69" t="s">
        <v>1984</v>
      </c>
      <c r="AJ1653" s="25" t="s">
        <v>1985</v>
      </c>
      <c r="AK1653" s="65"/>
      <c r="AL1653" s="176" t="s">
        <v>1257</v>
      </c>
      <c r="AM1653" s="173" t="s">
        <v>2811</v>
      </c>
      <c r="AN1653" s="159"/>
      <c r="AO1653" s="160"/>
      <c r="AP1653" s="161"/>
      <c r="AQ1653" s="160"/>
      <c r="AR1653" s="160"/>
      <c r="AS1653" s="160"/>
      <c r="AT1653" s="160"/>
      <c r="AU1653" s="160"/>
      <c r="AV1653" s="160"/>
      <c r="AW1653" s="160"/>
      <c r="AX1653" s="160"/>
      <c r="AY1653" s="160"/>
      <c r="AZ1653" s="160"/>
      <c r="BA1653" s="160"/>
      <c r="BB1653" s="160"/>
      <c r="BC1653" s="160"/>
      <c r="BD1653" s="160"/>
      <c r="BE1653" s="160"/>
      <c r="BF1653" s="160"/>
      <c r="BG1653" s="160"/>
      <c r="BH1653" s="160"/>
      <c r="BI1653" s="160"/>
      <c r="BJ1653" s="160"/>
      <c r="BK1653" s="160"/>
      <c r="BL1653" s="160"/>
      <c r="BM1653" s="160"/>
      <c r="BN1653" s="160"/>
      <c r="BO1653" s="160"/>
      <c r="BP1653" s="160"/>
      <c r="BQ1653" s="160"/>
      <c r="BR1653" s="160"/>
      <c r="BS1653" s="160"/>
      <c r="BT1653" s="160"/>
      <c r="BU1653" s="160"/>
      <c r="BV1653" s="160"/>
      <c r="BW1653" s="160"/>
      <c r="BX1653" s="160"/>
      <c r="BY1653" s="160"/>
      <c r="BZ1653" s="160"/>
      <c r="CA1653" s="160"/>
      <c r="CB1653" s="160"/>
      <c r="CC1653" s="160"/>
      <c r="CD1653" s="160"/>
      <c r="CE1653" s="160"/>
      <c r="CF1653" s="160"/>
      <c r="CG1653" s="160"/>
      <c r="CH1653" s="160"/>
      <c r="CI1653" s="160"/>
      <c r="CJ1653" s="160"/>
      <c r="CK1653" s="160"/>
      <c r="CL1653" s="160"/>
      <c r="CM1653" s="160"/>
      <c r="CN1653" s="160"/>
      <c r="CO1653" s="160"/>
      <c r="CP1653" s="162"/>
      <c r="CQ1653" s="163"/>
      <c r="CR1653" s="162"/>
      <c r="CS1653" s="163"/>
      <c r="CT1653" s="162"/>
      <c r="CU1653" s="163"/>
      <c r="CV1653" s="164">
        <f t="shared" si="211"/>
        <v>0</v>
      </c>
      <c r="CW1653" s="165"/>
      <c r="CX1653" s="166"/>
      <c r="CY1653" s="167"/>
      <c r="CZ1653" s="168"/>
      <c r="DA1653" s="169"/>
      <c r="DB1653" s="168"/>
      <c r="DC1653" s="165"/>
      <c r="DD1653" s="166"/>
      <c r="DE1653" s="71"/>
      <c r="DF1653" s="170"/>
      <c r="EO1653" s="375" t="str">
        <f t="shared" si="213"/>
        <v>ANTIOQUIA_MURINDO</v>
      </c>
      <c r="EP1653" s="376"/>
      <c r="EQ1653" s="376"/>
      <c r="ER1653" s="377"/>
      <c r="ES1653" s="376"/>
      <c r="ET1653" s="376"/>
      <c r="EU1653" s="376"/>
    </row>
    <row r="1654" spans="1:151" s="171" customFormat="1" ht="72" x14ac:dyDescent="0.2">
      <c r="A1654" s="242">
        <v>40493</v>
      </c>
      <c r="B1654" s="222" t="s">
        <v>828</v>
      </c>
      <c r="C1654" s="222" t="s">
        <v>828</v>
      </c>
      <c r="D1654" s="430" t="s">
        <v>2307</v>
      </c>
      <c r="E1654" s="107" t="str">
        <f>VLOOKUP(B1654&amp;C1654,Divipola!$C$2:$F$1138,4,FALSE)</f>
        <v>15104</v>
      </c>
      <c r="F1654" s="333"/>
      <c r="G1654" s="221"/>
      <c r="H1654" s="157"/>
      <c r="I1654" s="157"/>
      <c r="J1654" s="157">
        <f>138*5</f>
        <v>690</v>
      </c>
      <c r="K1654" s="157">
        <v>139</v>
      </c>
      <c r="L1654" s="157"/>
      <c r="M1654" s="157">
        <v>139</v>
      </c>
      <c r="N1654" s="157"/>
      <c r="O1654" s="157"/>
      <c r="P1654" s="157"/>
      <c r="Q1654" s="157"/>
      <c r="R1654" s="157"/>
      <c r="S1654" s="157"/>
      <c r="T1654" s="157"/>
      <c r="U1654" s="157"/>
      <c r="V1654" s="158"/>
      <c r="W1654" s="182"/>
      <c r="X1654" s="1"/>
      <c r="Y1654" s="78">
        <f t="shared" si="208"/>
        <v>0</v>
      </c>
      <c r="Z1654" s="78">
        <f t="shared" si="209"/>
        <v>0</v>
      </c>
      <c r="AA1654" s="78">
        <f t="shared" si="214"/>
        <v>0</v>
      </c>
      <c r="AB1654" s="78">
        <f t="shared" si="210"/>
        <v>0</v>
      </c>
      <c r="AC1654" s="78"/>
      <c r="AD1654" s="78">
        <v>0</v>
      </c>
      <c r="AE1654" s="80">
        <f t="shared" si="212"/>
        <v>0</v>
      </c>
      <c r="AF1654" s="82">
        <v>0</v>
      </c>
      <c r="AG1654" s="69">
        <v>40584</v>
      </c>
      <c r="AH1654" s="84"/>
      <c r="AI1654" s="69" t="s">
        <v>1984</v>
      </c>
      <c r="AJ1654" s="25" t="s">
        <v>1985</v>
      </c>
      <c r="AK1654" s="65"/>
      <c r="AL1654" s="176" t="s">
        <v>1257</v>
      </c>
      <c r="AM1654" s="173" t="s">
        <v>387</v>
      </c>
      <c r="AN1654" s="159"/>
      <c r="AO1654" s="160"/>
      <c r="AP1654" s="161"/>
      <c r="AQ1654" s="160"/>
      <c r="AR1654" s="160"/>
      <c r="AS1654" s="160"/>
      <c r="AT1654" s="160"/>
      <c r="AU1654" s="160"/>
      <c r="AV1654" s="160"/>
      <c r="AW1654" s="160"/>
      <c r="AX1654" s="160"/>
      <c r="AY1654" s="160"/>
      <c r="AZ1654" s="160"/>
      <c r="BA1654" s="160"/>
      <c r="BB1654" s="160"/>
      <c r="BC1654" s="160"/>
      <c r="BD1654" s="160"/>
      <c r="BE1654" s="160"/>
      <c r="BF1654" s="160"/>
      <c r="BG1654" s="160"/>
      <c r="BH1654" s="160"/>
      <c r="BI1654" s="160"/>
      <c r="BJ1654" s="160"/>
      <c r="BK1654" s="160"/>
      <c r="BL1654" s="160"/>
      <c r="BM1654" s="160"/>
      <c r="BN1654" s="160"/>
      <c r="BO1654" s="160"/>
      <c r="BP1654" s="160"/>
      <c r="BQ1654" s="160"/>
      <c r="BR1654" s="160"/>
      <c r="BS1654" s="160"/>
      <c r="BT1654" s="160"/>
      <c r="BU1654" s="160"/>
      <c r="BV1654" s="160"/>
      <c r="BW1654" s="160"/>
      <c r="BX1654" s="160"/>
      <c r="BY1654" s="160"/>
      <c r="BZ1654" s="160"/>
      <c r="CA1654" s="160"/>
      <c r="CB1654" s="160"/>
      <c r="CC1654" s="160"/>
      <c r="CD1654" s="160"/>
      <c r="CE1654" s="160"/>
      <c r="CF1654" s="160"/>
      <c r="CG1654" s="160"/>
      <c r="CH1654" s="160"/>
      <c r="CI1654" s="160"/>
      <c r="CJ1654" s="160"/>
      <c r="CK1654" s="160"/>
      <c r="CL1654" s="160"/>
      <c r="CM1654" s="160"/>
      <c r="CN1654" s="160"/>
      <c r="CO1654" s="160"/>
      <c r="CP1654" s="162"/>
      <c r="CQ1654" s="163"/>
      <c r="CR1654" s="162"/>
      <c r="CS1654" s="163"/>
      <c r="CT1654" s="162"/>
      <c r="CU1654" s="163"/>
      <c r="CV1654" s="164">
        <f t="shared" si="211"/>
        <v>0</v>
      </c>
      <c r="CW1654" s="165"/>
      <c r="CX1654" s="166"/>
      <c r="CY1654" s="167"/>
      <c r="CZ1654" s="168"/>
      <c r="DA1654" s="169"/>
      <c r="DB1654" s="168"/>
      <c r="DC1654" s="165"/>
      <c r="DD1654" s="166"/>
      <c r="DE1654" s="71"/>
      <c r="DF1654" s="170">
        <v>1574</v>
      </c>
      <c r="EO1654" s="375" t="str">
        <f t="shared" si="213"/>
        <v>BOYACA_BOYACA</v>
      </c>
      <c r="EP1654" s="376"/>
      <c r="EQ1654" s="376"/>
      <c r="ER1654" s="377"/>
      <c r="ES1654" s="376"/>
      <c r="ET1654" s="376"/>
      <c r="EU1654" s="376"/>
    </row>
    <row r="1655" spans="1:151" s="171" customFormat="1" ht="33.75" x14ac:dyDescent="0.2">
      <c r="A1655" s="242">
        <v>40493</v>
      </c>
      <c r="B1655" s="222" t="s">
        <v>828</v>
      </c>
      <c r="C1655" s="222" t="s">
        <v>2348</v>
      </c>
      <c r="D1655" s="427" t="s">
        <v>2307</v>
      </c>
      <c r="E1655" s="107" t="str">
        <f>VLOOKUP(B1655&amp;C1655,Divipola!$C$2:$F$1138,4,FALSE)</f>
        <v>15272</v>
      </c>
      <c r="F1655" s="330"/>
      <c r="G1655" s="221">
        <v>3</v>
      </c>
      <c r="H1655" s="157"/>
      <c r="I1655" s="157"/>
      <c r="J1655" s="157">
        <f>60*5</f>
        <v>300</v>
      </c>
      <c r="K1655" s="157">
        <v>60</v>
      </c>
      <c r="L1655" s="157">
        <v>1</v>
      </c>
      <c r="M1655" s="157">
        <v>59</v>
      </c>
      <c r="N1655" s="157"/>
      <c r="O1655" s="157"/>
      <c r="P1655" s="157"/>
      <c r="Q1655" s="157"/>
      <c r="R1655" s="157"/>
      <c r="S1655" s="157"/>
      <c r="T1655" s="157"/>
      <c r="U1655" s="157"/>
      <c r="V1655" s="158"/>
      <c r="W1655" s="182" t="s">
        <v>2535</v>
      </c>
      <c r="X1655" s="1">
        <v>40530</v>
      </c>
      <c r="Y1655" s="78">
        <f t="shared" si="208"/>
        <v>9221930.4000000004</v>
      </c>
      <c r="Z1655" s="78">
        <f t="shared" si="209"/>
        <v>5100000</v>
      </c>
      <c r="AA1655" s="78">
        <f t="shared" si="214"/>
        <v>0</v>
      </c>
      <c r="AB1655" s="78">
        <f t="shared" si="210"/>
        <v>0</v>
      </c>
      <c r="AC1655" s="78"/>
      <c r="AD1655" s="78">
        <v>0</v>
      </c>
      <c r="AE1655" s="80">
        <f t="shared" si="212"/>
        <v>14321930.4</v>
      </c>
      <c r="AF1655" s="82">
        <v>0</v>
      </c>
      <c r="AG1655" s="69">
        <v>40504</v>
      </c>
      <c r="AH1655" s="84"/>
      <c r="AI1655" s="69" t="s">
        <v>2009</v>
      </c>
      <c r="AJ1655" s="25" t="s">
        <v>2010</v>
      </c>
      <c r="AK1655" s="88" t="s">
        <v>72</v>
      </c>
      <c r="AL1655" s="176" t="s">
        <v>1676</v>
      </c>
      <c r="AM1655" s="173" t="s">
        <v>1663</v>
      </c>
      <c r="AN1655" s="159"/>
      <c r="AO1655" s="160"/>
      <c r="AP1655" s="161"/>
      <c r="AQ1655" s="160"/>
      <c r="AR1655" s="160"/>
      <c r="AS1655" s="160"/>
      <c r="AT1655" s="160"/>
      <c r="AU1655" s="160"/>
      <c r="AV1655" s="160"/>
      <c r="AW1655" s="160"/>
      <c r="AX1655" s="160"/>
      <c r="AY1655" s="160"/>
      <c r="AZ1655" s="160">
        <v>60</v>
      </c>
      <c r="BA1655" s="160">
        <f>60*56000</f>
        <v>3360000</v>
      </c>
      <c r="BB1655" s="160"/>
      <c r="BC1655" s="160"/>
      <c r="BD1655" s="160"/>
      <c r="BE1655" s="160"/>
      <c r="BF1655" s="160"/>
      <c r="BG1655" s="160"/>
      <c r="BH1655" s="160"/>
      <c r="BI1655" s="160"/>
      <c r="BJ1655" s="160"/>
      <c r="BK1655" s="160"/>
      <c r="BL1655" s="160"/>
      <c r="BM1655" s="160"/>
      <c r="BN1655" s="160"/>
      <c r="BO1655" s="160"/>
      <c r="BP1655" s="160"/>
      <c r="BQ1655" s="160"/>
      <c r="BR1655" s="160"/>
      <c r="BS1655" s="160"/>
      <c r="BT1655" s="160"/>
      <c r="BU1655" s="160"/>
      <c r="BV1655" s="160"/>
      <c r="BW1655" s="160"/>
      <c r="BX1655" s="160"/>
      <c r="BY1655" s="160"/>
      <c r="BZ1655" s="160"/>
      <c r="CA1655" s="160"/>
      <c r="CB1655" s="160"/>
      <c r="CC1655" s="160"/>
      <c r="CD1655" s="160"/>
      <c r="CE1655" s="160"/>
      <c r="CF1655" s="160"/>
      <c r="CG1655" s="160"/>
      <c r="CH1655" s="160"/>
      <c r="CI1655" s="160"/>
      <c r="CJ1655" s="160">
        <v>60</v>
      </c>
      <c r="CK1655" s="160">
        <f>60*20999.48</f>
        <v>1259968.8</v>
      </c>
      <c r="CL1655" s="160"/>
      <c r="CM1655" s="160"/>
      <c r="CN1655" s="160"/>
      <c r="CO1655" s="160"/>
      <c r="CP1655" s="162">
        <v>60</v>
      </c>
      <c r="CQ1655" s="163">
        <f>60*36999.36</f>
        <v>2219961.6</v>
      </c>
      <c r="CR1655" s="162">
        <v>60</v>
      </c>
      <c r="CS1655" s="163">
        <f>60*39700</f>
        <v>2382000</v>
      </c>
      <c r="CT1655" s="162"/>
      <c r="CU1655" s="163"/>
      <c r="CV1655" s="164">
        <f t="shared" si="211"/>
        <v>9221930.4000000004</v>
      </c>
      <c r="CW1655" s="165"/>
      <c r="CX1655" s="166"/>
      <c r="CY1655" s="167">
        <v>60</v>
      </c>
      <c r="CZ1655" s="168">
        <f>60*85000</f>
        <v>5100000</v>
      </c>
      <c r="DA1655" s="169"/>
      <c r="DB1655" s="168"/>
      <c r="DC1655" s="165"/>
      <c r="DD1655" s="166"/>
      <c r="DE1655" s="71"/>
      <c r="DF1655" s="170"/>
      <c r="EO1655" s="375" t="str">
        <f t="shared" si="213"/>
        <v>BOYACA_FIRAVITOBA</v>
      </c>
      <c r="EP1655" s="376"/>
      <c r="EQ1655" s="376"/>
      <c r="ER1655" s="377"/>
      <c r="ES1655" s="376"/>
      <c r="ET1655" s="376"/>
      <c r="EU1655" s="376"/>
    </row>
    <row r="1656" spans="1:151" s="171" customFormat="1" ht="84" x14ac:dyDescent="0.2">
      <c r="A1656" s="242">
        <v>40493</v>
      </c>
      <c r="B1656" s="222" t="s">
        <v>2007</v>
      </c>
      <c r="C1656" s="222" t="s">
        <v>2246</v>
      </c>
      <c r="D1656" s="430" t="s">
        <v>837</v>
      </c>
      <c r="E1656" s="107" t="str">
        <f>VLOOKUP(B1656&amp;C1656,Divipola!$C$2:$F$1138,4,FALSE)</f>
        <v>25307</v>
      </c>
      <c r="F1656" s="333"/>
      <c r="G1656" s="221"/>
      <c r="H1656" s="157"/>
      <c r="I1656" s="157"/>
      <c r="J1656" s="157">
        <f>489-148</f>
        <v>341</v>
      </c>
      <c r="K1656" s="157">
        <f>120-35</f>
        <v>85</v>
      </c>
      <c r="L1656" s="157"/>
      <c r="M1656" s="157">
        <v>85</v>
      </c>
      <c r="N1656" s="157"/>
      <c r="O1656" s="157"/>
      <c r="P1656" s="157"/>
      <c r="Q1656" s="157"/>
      <c r="R1656" s="157"/>
      <c r="S1656" s="157"/>
      <c r="T1656" s="157"/>
      <c r="U1656" s="157"/>
      <c r="V1656" s="158"/>
      <c r="W1656" s="182"/>
      <c r="X1656" s="1"/>
      <c r="Y1656" s="78">
        <f t="shared" si="208"/>
        <v>0</v>
      </c>
      <c r="Z1656" s="78">
        <f t="shared" si="209"/>
        <v>0</v>
      </c>
      <c r="AA1656" s="78">
        <f t="shared" si="214"/>
        <v>0</v>
      </c>
      <c r="AB1656" s="78">
        <f t="shared" si="210"/>
        <v>0</v>
      </c>
      <c r="AC1656" s="78"/>
      <c r="AD1656" s="78">
        <v>0</v>
      </c>
      <c r="AE1656" s="80">
        <f t="shared" si="212"/>
        <v>0</v>
      </c>
      <c r="AF1656" s="82">
        <v>0</v>
      </c>
      <c r="AG1656" s="69">
        <v>40497</v>
      </c>
      <c r="AH1656" s="84"/>
      <c r="AI1656" s="69" t="s">
        <v>1984</v>
      </c>
      <c r="AJ1656" s="25" t="s">
        <v>1985</v>
      </c>
      <c r="AK1656" s="65"/>
      <c r="AL1656" s="176" t="s">
        <v>1257</v>
      </c>
      <c r="AM1656" s="173" t="s">
        <v>2837</v>
      </c>
      <c r="AN1656" s="159"/>
      <c r="AO1656" s="160"/>
      <c r="AP1656" s="161"/>
      <c r="AQ1656" s="160"/>
      <c r="AR1656" s="160"/>
      <c r="AS1656" s="160"/>
      <c r="AT1656" s="160"/>
      <c r="AU1656" s="160"/>
      <c r="AV1656" s="160"/>
      <c r="AW1656" s="160"/>
      <c r="AX1656" s="160"/>
      <c r="AY1656" s="160"/>
      <c r="AZ1656" s="160"/>
      <c r="BA1656" s="160"/>
      <c r="BB1656" s="160"/>
      <c r="BC1656" s="160"/>
      <c r="BD1656" s="160"/>
      <c r="BE1656" s="160"/>
      <c r="BF1656" s="160"/>
      <c r="BG1656" s="160"/>
      <c r="BH1656" s="160"/>
      <c r="BI1656" s="160"/>
      <c r="BJ1656" s="160"/>
      <c r="BK1656" s="160"/>
      <c r="BL1656" s="160"/>
      <c r="BM1656" s="160"/>
      <c r="BN1656" s="160"/>
      <c r="BO1656" s="160"/>
      <c r="BP1656" s="160"/>
      <c r="BQ1656" s="160"/>
      <c r="BR1656" s="160"/>
      <c r="BS1656" s="160"/>
      <c r="BT1656" s="160"/>
      <c r="BU1656" s="160"/>
      <c r="BV1656" s="160"/>
      <c r="BW1656" s="160"/>
      <c r="BX1656" s="160"/>
      <c r="BY1656" s="160"/>
      <c r="BZ1656" s="160"/>
      <c r="CA1656" s="160"/>
      <c r="CB1656" s="160"/>
      <c r="CC1656" s="160"/>
      <c r="CD1656" s="160"/>
      <c r="CE1656" s="160"/>
      <c r="CF1656" s="160"/>
      <c r="CG1656" s="160"/>
      <c r="CH1656" s="160"/>
      <c r="CI1656" s="160"/>
      <c r="CJ1656" s="160"/>
      <c r="CK1656" s="160"/>
      <c r="CL1656" s="160"/>
      <c r="CM1656" s="160"/>
      <c r="CN1656" s="160"/>
      <c r="CO1656" s="160"/>
      <c r="CP1656" s="162"/>
      <c r="CQ1656" s="163"/>
      <c r="CR1656" s="162"/>
      <c r="CS1656" s="163"/>
      <c r="CT1656" s="162"/>
      <c r="CU1656" s="163"/>
      <c r="CV1656" s="164">
        <f t="shared" si="211"/>
        <v>0</v>
      </c>
      <c r="CW1656" s="165"/>
      <c r="CX1656" s="166"/>
      <c r="CY1656" s="167"/>
      <c r="CZ1656" s="168"/>
      <c r="DA1656" s="169"/>
      <c r="DB1656" s="168"/>
      <c r="DC1656" s="165"/>
      <c r="DD1656" s="166"/>
      <c r="DE1656" s="71"/>
      <c r="DF1656" s="170"/>
      <c r="EO1656" s="375" t="str">
        <f t="shared" si="213"/>
        <v>CUNDINAMARCA_GIRARDOT</v>
      </c>
      <c r="EP1656" s="376"/>
      <c r="EQ1656" s="376"/>
      <c r="ER1656" s="377"/>
      <c r="ES1656" s="376"/>
      <c r="ET1656" s="376"/>
      <c r="EU1656" s="376"/>
    </row>
    <row r="1657" spans="1:151" s="171" customFormat="1" ht="45" x14ac:dyDescent="0.2">
      <c r="A1657" s="242">
        <v>40493</v>
      </c>
      <c r="B1657" s="222" t="s">
        <v>1333</v>
      </c>
      <c r="C1657" s="222" t="s">
        <v>3091</v>
      </c>
      <c r="D1657" s="430" t="s">
        <v>2307</v>
      </c>
      <c r="E1657" s="107" t="str">
        <f>VLOOKUP(B1657&amp;C1657,Divipola!$C$2:$F$1138,4,FALSE)</f>
        <v>41676</v>
      </c>
      <c r="F1657" s="333"/>
      <c r="G1657" s="221"/>
      <c r="H1657" s="157"/>
      <c r="I1657" s="157"/>
      <c r="J1657" s="157"/>
      <c r="K1657" s="157"/>
      <c r="L1657" s="157"/>
      <c r="M1657" s="157"/>
      <c r="N1657" s="157">
        <v>5</v>
      </c>
      <c r="O1657" s="157"/>
      <c r="P1657" s="157"/>
      <c r="Q1657" s="157"/>
      <c r="R1657" s="157"/>
      <c r="S1657" s="157"/>
      <c r="T1657" s="157"/>
      <c r="U1657" s="157"/>
      <c r="V1657" s="158"/>
      <c r="W1657" s="182"/>
      <c r="X1657" s="1"/>
      <c r="Y1657" s="78">
        <f t="shared" si="208"/>
        <v>0</v>
      </c>
      <c r="Z1657" s="78">
        <f t="shared" si="209"/>
        <v>0</v>
      </c>
      <c r="AA1657" s="78">
        <f t="shared" si="214"/>
        <v>0</v>
      </c>
      <c r="AB1657" s="78">
        <f t="shared" si="210"/>
        <v>0</v>
      </c>
      <c r="AC1657" s="78"/>
      <c r="AD1657" s="78">
        <v>0</v>
      </c>
      <c r="AE1657" s="80">
        <f t="shared" si="212"/>
        <v>0</v>
      </c>
      <c r="AF1657" s="82">
        <v>0</v>
      </c>
      <c r="AG1657" s="69">
        <v>40493</v>
      </c>
      <c r="AH1657" s="84"/>
      <c r="AI1657" s="69" t="s">
        <v>2009</v>
      </c>
      <c r="AJ1657" s="424" t="s">
        <v>2010</v>
      </c>
      <c r="AK1657" s="65"/>
      <c r="AL1657" s="272" t="s">
        <v>311</v>
      </c>
      <c r="AM1657" s="173" t="s">
        <v>911</v>
      </c>
      <c r="AN1657" s="159"/>
      <c r="AO1657" s="160"/>
      <c r="AP1657" s="161"/>
      <c r="AQ1657" s="160"/>
      <c r="AR1657" s="160"/>
      <c r="AS1657" s="160"/>
      <c r="AT1657" s="160"/>
      <c r="AU1657" s="160"/>
      <c r="AV1657" s="160"/>
      <c r="AW1657" s="160"/>
      <c r="AX1657" s="160"/>
      <c r="AY1657" s="160"/>
      <c r="AZ1657" s="160"/>
      <c r="BA1657" s="160"/>
      <c r="BB1657" s="160"/>
      <c r="BC1657" s="160"/>
      <c r="BD1657" s="160"/>
      <c r="BE1657" s="160"/>
      <c r="BF1657" s="160"/>
      <c r="BG1657" s="160"/>
      <c r="BH1657" s="160"/>
      <c r="BI1657" s="160"/>
      <c r="BJ1657" s="160"/>
      <c r="BK1657" s="160"/>
      <c r="BL1657" s="160"/>
      <c r="BM1657" s="160"/>
      <c r="BN1657" s="160"/>
      <c r="BO1657" s="160"/>
      <c r="BP1657" s="160"/>
      <c r="BQ1657" s="160"/>
      <c r="BR1657" s="160"/>
      <c r="BS1657" s="160"/>
      <c r="BT1657" s="160"/>
      <c r="BU1657" s="160"/>
      <c r="BV1657" s="160"/>
      <c r="BW1657" s="160"/>
      <c r="BX1657" s="160"/>
      <c r="BY1657" s="160"/>
      <c r="BZ1657" s="160"/>
      <c r="CA1657" s="160"/>
      <c r="CB1657" s="160"/>
      <c r="CC1657" s="160"/>
      <c r="CD1657" s="160"/>
      <c r="CE1657" s="160"/>
      <c r="CF1657" s="160"/>
      <c r="CG1657" s="160"/>
      <c r="CH1657" s="160"/>
      <c r="CI1657" s="160"/>
      <c r="CJ1657" s="160"/>
      <c r="CK1657" s="160"/>
      <c r="CL1657" s="160"/>
      <c r="CM1657" s="160"/>
      <c r="CN1657" s="160"/>
      <c r="CO1657" s="160"/>
      <c r="CP1657" s="162"/>
      <c r="CQ1657" s="163"/>
      <c r="CR1657" s="162"/>
      <c r="CS1657" s="163"/>
      <c r="CT1657" s="162"/>
      <c r="CU1657" s="163"/>
      <c r="CV1657" s="164">
        <f t="shared" si="211"/>
        <v>0</v>
      </c>
      <c r="CW1657" s="165"/>
      <c r="CX1657" s="166"/>
      <c r="CY1657" s="167"/>
      <c r="CZ1657" s="168"/>
      <c r="DA1657" s="169"/>
      <c r="DB1657" s="168"/>
      <c r="DC1657" s="165"/>
      <c r="DD1657" s="166"/>
      <c r="DE1657" s="71"/>
      <c r="DF1657" s="170"/>
      <c r="EO1657" s="375" t="str">
        <f t="shared" si="213"/>
        <v>HUILA_SANTA MARIA</v>
      </c>
      <c r="EP1657" s="376"/>
      <c r="EQ1657" s="376"/>
      <c r="ER1657" s="377"/>
      <c r="ES1657" s="376"/>
      <c r="ET1657" s="376"/>
      <c r="EU1657" s="376"/>
    </row>
    <row r="1658" spans="1:151" s="171" customFormat="1" ht="25.5" x14ac:dyDescent="0.2">
      <c r="A1658" s="242">
        <v>40493</v>
      </c>
      <c r="B1658" s="222" t="s">
        <v>708</v>
      </c>
      <c r="C1658" s="222" t="s">
        <v>1738</v>
      </c>
      <c r="D1658" s="430" t="s">
        <v>2209</v>
      </c>
      <c r="E1658" s="107" t="str">
        <f>VLOOKUP(B1658&amp;C1658,Divipola!$C$2:$F$1138,4,FALSE)</f>
        <v>50400</v>
      </c>
      <c r="F1658" s="333"/>
      <c r="G1658" s="221"/>
      <c r="H1658" s="157"/>
      <c r="I1658" s="157"/>
      <c r="J1658" s="157">
        <v>40</v>
      </c>
      <c r="K1658" s="157">
        <v>8</v>
      </c>
      <c r="L1658" s="157"/>
      <c r="M1658" s="157">
        <v>8</v>
      </c>
      <c r="N1658" s="157"/>
      <c r="O1658" s="157"/>
      <c r="P1658" s="157"/>
      <c r="Q1658" s="157"/>
      <c r="R1658" s="157"/>
      <c r="S1658" s="157"/>
      <c r="T1658" s="157"/>
      <c r="U1658" s="157"/>
      <c r="V1658" s="158"/>
      <c r="W1658" s="182" t="s">
        <v>2180</v>
      </c>
      <c r="X1658" s="1"/>
      <c r="Y1658" s="78">
        <f t="shared" si="208"/>
        <v>0</v>
      </c>
      <c r="Z1658" s="78">
        <f t="shared" si="209"/>
        <v>0</v>
      </c>
      <c r="AA1658" s="78">
        <f t="shared" si="214"/>
        <v>0</v>
      </c>
      <c r="AB1658" s="78">
        <f t="shared" si="210"/>
        <v>0</v>
      </c>
      <c r="AC1658" s="78"/>
      <c r="AD1658" s="78">
        <v>0</v>
      </c>
      <c r="AE1658" s="80">
        <f t="shared" si="212"/>
        <v>0</v>
      </c>
      <c r="AF1658" s="82">
        <v>0</v>
      </c>
      <c r="AG1658" s="69">
        <v>40494</v>
      </c>
      <c r="AH1658" s="84"/>
      <c r="AI1658" s="69" t="s">
        <v>1984</v>
      </c>
      <c r="AJ1658" s="25" t="s">
        <v>1985</v>
      </c>
      <c r="AK1658" s="65"/>
      <c r="AL1658" s="176" t="s">
        <v>1257</v>
      </c>
      <c r="AM1658" s="173" t="s">
        <v>1268</v>
      </c>
      <c r="AN1658" s="159"/>
      <c r="AO1658" s="160"/>
      <c r="AP1658" s="161"/>
      <c r="AQ1658" s="160"/>
      <c r="AR1658" s="160"/>
      <c r="AS1658" s="160"/>
      <c r="AT1658" s="160"/>
      <c r="AU1658" s="160"/>
      <c r="AV1658" s="160"/>
      <c r="AW1658" s="160"/>
      <c r="AX1658" s="160"/>
      <c r="AY1658" s="160"/>
      <c r="AZ1658" s="160"/>
      <c r="BA1658" s="160"/>
      <c r="BB1658" s="160"/>
      <c r="BC1658" s="160"/>
      <c r="BD1658" s="160"/>
      <c r="BE1658" s="160"/>
      <c r="BF1658" s="160"/>
      <c r="BG1658" s="160"/>
      <c r="BH1658" s="160"/>
      <c r="BI1658" s="160"/>
      <c r="BJ1658" s="160"/>
      <c r="BK1658" s="160"/>
      <c r="BL1658" s="160"/>
      <c r="BM1658" s="160"/>
      <c r="BN1658" s="160"/>
      <c r="BO1658" s="160"/>
      <c r="BP1658" s="160"/>
      <c r="BQ1658" s="160"/>
      <c r="BR1658" s="160"/>
      <c r="BS1658" s="160"/>
      <c r="BT1658" s="160"/>
      <c r="BU1658" s="160"/>
      <c r="BV1658" s="160"/>
      <c r="BW1658" s="160"/>
      <c r="BX1658" s="160"/>
      <c r="BY1658" s="160"/>
      <c r="BZ1658" s="160"/>
      <c r="CA1658" s="160"/>
      <c r="CB1658" s="160"/>
      <c r="CC1658" s="160"/>
      <c r="CD1658" s="160"/>
      <c r="CE1658" s="160"/>
      <c r="CF1658" s="160"/>
      <c r="CG1658" s="160"/>
      <c r="CH1658" s="160"/>
      <c r="CI1658" s="160"/>
      <c r="CJ1658" s="160"/>
      <c r="CK1658" s="160"/>
      <c r="CL1658" s="160"/>
      <c r="CM1658" s="160"/>
      <c r="CN1658" s="160"/>
      <c r="CO1658" s="160"/>
      <c r="CP1658" s="162"/>
      <c r="CQ1658" s="163"/>
      <c r="CR1658" s="162"/>
      <c r="CS1658" s="163"/>
      <c r="CT1658" s="162"/>
      <c r="CU1658" s="163"/>
      <c r="CV1658" s="164">
        <f t="shared" si="211"/>
        <v>0</v>
      </c>
      <c r="CW1658" s="165"/>
      <c r="CX1658" s="166"/>
      <c r="CY1658" s="167"/>
      <c r="CZ1658" s="168"/>
      <c r="DA1658" s="169"/>
      <c r="DB1658" s="168"/>
      <c r="DC1658" s="165"/>
      <c r="DD1658" s="166"/>
      <c r="DE1658" s="71"/>
      <c r="DF1658" s="170"/>
      <c r="EO1658" s="375" t="str">
        <f t="shared" si="213"/>
        <v>META_LEJANIAS</v>
      </c>
      <c r="EP1658" s="376"/>
      <c r="EQ1658" s="376"/>
      <c r="ER1658" s="377"/>
      <c r="ES1658" s="376"/>
      <c r="ET1658" s="376"/>
      <c r="EU1658" s="376"/>
    </row>
    <row r="1659" spans="1:151" s="171" customFormat="1" ht="36" x14ac:dyDescent="0.2">
      <c r="A1659" s="242">
        <v>40493</v>
      </c>
      <c r="B1659" s="222" t="s">
        <v>708</v>
      </c>
      <c r="C1659" s="222" t="s">
        <v>2328</v>
      </c>
      <c r="D1659" s="430" t="s">
        <v>837</v>
      </c>
      <c r="E1659" s="107" t="str">
        <f>VLOOKUP(B1659&amp;C1659,Divipola!$C$2:$F$1138,4,FALSE)</f>
        <v>50001</v>
      </c>
      <c r="F1659" s="333"/>
      <c r="G1659" s="221"/>
      <c r="H1659" s="157"/>
      <c r="I1659" s="157"/>
      <c r="J1659" s="157">
        <v>71</v>
      </c>
      <c r="K1659" s="157">
        <v>17</v>
      </c>
      <c r="L1659" s="157"/>
      <c r="M1659" s="157">
        <v>17</v>
      </c>
      <c r="N1659" s="157"/>
      <c r="O1659" s="157"/>
      <c r="P1659" s="157"/>
      <c r="Q1659" s="157"/>
      <c r="R1659" s="157"/>
      <c r="S1659" s="157"/>
      <c r="T1659" s="157"/>
      <c r="U1659" s="157"/>
      <c r="V1659" s="158"/>
      <c r="W1659" s="182"/>
      <c r="X1659" s="1"/>
      <c r="Y1659" s="78">
        <f t="shared" si="208"/>
        <v>0</v>
      </c>
      <c r="Z1659" s="78">
        <f t="shared" si="209"/>
        <v>0</v>
      </c>
      <c r="AA1659" s="78">
        <f t="shared" si="214"/>
        <v>0</v>
      </c>
      <c r="AB1659" s="78">
        <f t="shared" si="210"/>
        <v>0</v>
      </c>
      <c r="AC1659" s="78"/>
      <c r="AD1659" s="78">
        <v>0</v>
      </c>
      <c r="AE1659" s="80">
        <f t="shared" si="212"/>
        <v>0</v>
      </c>
      <c r="AF1659" s="82">
        <v>0</v>
      </c>
      <c r="AG1659" s="69">
        <v>40494</v>
      </c>
      <c r="AH1659" s="84"/>
      <c r="AI1659" s="69" t="s">
        <v>1984</v>
      </c>
      <c r="AJ1659" s="25" t="s">
        <v>1985</v>
      </c>
      <c r="AK1659" s="65"/>
      <c r="AL1659" s="176" t="s">
        <v>1257</v>
      </c>
      <c r="AM1659" s="173" t="s">
        <v>2460</v>
      </c>
      <c r="AN1659" s="159"/>
      <c r="AO1659" s="160"/>
      <c r="AP1659" s="161"/>
      <c r="AQ1659" s="160"/>
      <c r="AR1659" s="160"/>
      <c r="AS1659" s="160"/>
      <c r="AT1659" s="160"/>
      <c r="AU1659" s="160"/>
      <c r="AV1659" s="160"/>
      <c r="AW1659" s="160"/>
      <c r="AX1659" s="160"/>
      <c r="AY1659" s="160"/>
      <c r="AZ1659" s="160"/>
      <c r="BA1659" s="160"/>
      <c r="BB1659" s="160"/>
      <c r="BC1659" s="160"/>
      <c r="BD1659" s="160"/>
      <c r="BE1659" s="160"/>
      <c r="BF1659" s="160"/>
      <c r="BG1659" s="160"/>
      <c r="BH1659" s="160"/>
      <c r="BI1659" s="160"/>
      <c r="BJ1659" s="160"/>
      <c r="BK1659" s="160"/>
      <c r="BL1659" s="160"/>
      <c r="BM1659" s="160"/>
      <c r="BN1659" s="160"/>
      <c r="BO1659" s="160"/>
      <c r="BP1659" s="160"/>
      <c r="BQ1659" s="160"/>
      <c r="BR1659" s="160"/>
      <c r="BS1659" s="160"/>
      <c r="BT1659" s="160"/>
      <c r="BU1659" s="160"/>
      <c r="BV1659" s="160"/>
      <c r="BW1659" s="160"/>
      <c r="BX1659" s="160"/>
      <c r="BY1659" s="160"/>
      <c r="BZ1659" s="160"/>
      <c r="CA1659" s="160"/>
      <c r="CB1659" s="160"/>
      <c r="CC1659" s="160"/>
      <c r="CD1659" s="160"/>
      <c r="CE1659" s="160"/>
      <c r="CF1659" s="160"/>
      <c r="CG1659" s="160"/>
      <c r="CH1659" s="160"/>
      <c r="CI1659" s="160"/>
      <c r="CJ1659" s="160"/>
      <c r="CK1659" s="160"/>
      <c r="CL1659" s="160"/>
      <c r="CM1659" s="160"/>
      <c r="CN1659" s="160"/>
      <c r="CO1659" s="160"/>
      <c r="CP1659" s="162"/>
      <c r="CQ1659" s="163"/>
      <c r="CR1659" s="162"/>
      <c r="CS1659" s="163"/>
      <c r="CT1659" s="162"/>
      <c r="CU1659" s="163"/>
      <c r="CV1659" s="164">
        <f t="shared" si="211"/>
        <v>0</v>
      </c>
      <c r="CW1659" s="165"/>
      <c r="CX1659" s="166"/>
      <c r="CY1659" s="167"/>
      <c r="CZ1659" s="168"/>
      <c r="DA1659" s="169"/>
      <c r="DB1659" s="168"/>
      <c r="DC1659" s="165"/>
      <c r="DD1659" s="166"/>
      <c r="DE1659" s="71"/>
      <c r="DF1659" s="170"/>
      <c r="EO1659" s="375" t="str">
        <f t="shared" si="213"/>
        <v>META_VILLAVICENCIO</v>
      </c>
      <c r="EP1659" s="376"/>
      <c r="EQ1659" s="376"/>
      <c r="ER1659" s="377"/>
      <c r="ES1659" s="376"/>
      <c r="ET1659" s="376"/>
      <c r="EU1659" s="376"/>
    </row>
    <row r="1660" spans="1:151" s="171" customFormat="1" ht="25.5" x14ac:dyDescent="0.2">
      <c r="A1660" s="242">
        <v>40493</v>
      </c>
      <c r="B1660" s="222" t="s">
        <v>2245</v>
      </c>
      <c r="C1660" s="222" t="s">
        <v>2919</v>
      </c>
      <c r="D1660" s="430" t="s">
        <v>2307</v>
      </c>
      <c r="E1660" s="107" t="str">
        <f>VLOOKUP(B1660&amp;C1660,Divipola!$C$2:$F$1138,4,FALSE)</f>
        <v>52051</v>
      </c>
      <c r="F1660" s="333"/>
      <c r="G1660" s="221"/>
      <c r="H1660" s="157"/>
      <c r="I1660" s="157"/>
      <c r="J1660" s="157">
        <v>193</v>
      </c>
      <c r="K1660" s="157">
        <v>46</v>
      </c>
      <c r="L1660" s="157"/>
      <c r="M1660" s="157"/>
      <c r="N1660" s="157">
        <v>2</v>
      </c>
      <c r="O1660" s="157"/>
      <c r="P1660" s="157"/>
      <c r="Q1660" s="157"/>
      <c r="R1660" s="157"/>
      <c r="S1660" s="157"/>
      <c r="T1660" s="157"/>
      <c r="U1660" s="157"/>
      <c r="V1660" s="158"/>
      <c r="W1660" s="182"/>
      <c r="X1660" s="1"/>
      <c r="Y1660" s="78">
        <f t="shared" si="208"/>
        <v>0</v>
      </c>
      <c r="Z1660" s="78">
        <f t="shared" si="209"/>
        <v>0</v>
      </c>
      <c r="AA1660" s="78">
        <f t="shared" si="214"/>
        <v>0</v>
      </c>
      <c r="AB1660" s="78">
        <f t="shared" si="210"/>
        <v>0</v>
      </c>
      <c r="AC1660" s="78"/>
      <c r="AD1660" s="78">
        <v>0</v>
      </c>
      <c r="AE1660" s="80">
        <f t="shared" si="212"/>
        <v>0</v>
      </c>
      <c r="AF1660" s="82">
        <v>0</v>
      </c>
      <c r="AG1660" s="69">
        <v>40508</v>
      </c>
      <c r="AH1660" s="84"/>
      <c r="AI1660" s="69" t="s">
        <v>1984</v>
      </c>
      <c r="AJ1660" s="25" t="s">
        <v>1985</v>
      </c>
      <c r="AK1660" s="65"/>
      <c r="AL1660" s="176" t="s">
        <v>1257</v>
      </c>
      <c r="AM1660" s="173" t="s">
        <v>2920</v>
      </c>
      <c r="AN1660" s="159"/>
      <c r="AO1660" s="160"/>
      <c r="AP1660" s="161"/>
      <c r="AQ1660" s="160"/>
      <c r="AR1660" s="160"/>
      <c r="AS1660" s="160"/>
      <c r="AT1660" s="160"/>
      <c r="AU1660" s="160"/>
      <c r="AV1660" s="160"/>
      <c r="AW1660" s="160"/>
      <c r="AX1660" s="160"/>
      <c r="AY1660" s="160"/>
      <c r="AZ1660" s="160"/>
      <c r="BA1660" s="160"/>
      <c r="BB1660" s="160"/>
      <c r="BC1660" s="160"/>
      <c r="BD1660" s="160"/>
      <c r="BE1660" s="160"/>
      <c r="BF1660" s="160"/>
      <c r="BG1660" s="160"/>
      <c r="BH1660" s="160"/>
      <c r="BI1660" s="160"/>
      <c r="BJ1660" s="160"/>
      <c r="BK1660" s="160"/>
      <c r="BL1660" s="160"/>
      <c r="BM1660" s="160"/>
      <c r="BN1660" s="160"/>
      <c r="BO1660" s="160"/>
      <c r="BP1660" s="160"/>
      <c r="BQ1660" s="160"/>
      <c r="BR1660" s="160"/>
      <c r="BS1660" s="160"/>
      <c r="BT1660" s="160"/>
      <c r="BU1660" s="160"/>
      <c r="BV1660" s="160"/>
      <c r="BW1660" s="160"/>
      <c r="BX1660" s="160"/>
      <c r="BY1660" s="160"/>
      <c r="BZ1660" s="160"/>
      <c r="CA1660" s="160"/>
      <c r="CB1660" s="160"/>
      <c r="CC1660" s="160"/>
      <c r="CD1660" s="160"/>
      <c r="CE1660" s="160"/>
      <c r="CF1660" s="160"/>
      <c r="CG1660" s="160"/>
      <c r="CH1660" s="160"/>
      <c r="CI1660" s="160"/>
      <c r="CJ1660" s="160"/>
      <c r="CK1660" s="160"/>
      <c r="CL1660" s="160"/>
      <c r="CM1660" s="160"/>
      <c r="CN1660" s="160"/>
      <c r="CO1660" s="160"/>
      <c r="CP1660" s="162"/>
      <c r="CQ1660" s="163"/>
      <c r="CR1660" s="162"/>
      <c r="CS1660" s="163"/>
      <c r="CT1660" s="162"/>
      <c r="CU1660" s="163"/>
      <c r="CV1660" s="164">
        <f t="shared" si="211"/>
        <v>0</v>
      </c>
      <c r="CW1660" s="165"/>
      <c r="CX1660" s="166"/>
      <c r="CY1660" s="167"/>
      <c r="CZ1660" s="168"/>
      <c r="DA1660" s="169"/>
      <c r="DB1660" s="168"/>
      <c r="DC1660" s="165"/>
      <c r="DD1660" s="166"/>
      <c r="DE1660" s="71"/>
      <c r="DF1660" s="170"/>
      <c r="EO1660" s="375" t="str">
        <f t="shared" si="213"/>
        <v>NARIÑO_ARBOLEDA</v>
      </c>
      <c r="EP1660" s="376"/>
      <c r="EQ1660" s="376"/>
      <c r="ER1660" s="377"/>
      <c r="ES1660" s="376"/>
      <c r="ET1660" s="376"/>
      <c r="EU1660" s="376"/>
    </row>
    <row r="1661" spans="1:151" s="171" customFormat="1" ht="72" x14ac:dyDescent="0.2">
      <c r="A1661" s="242">
        <v>40493</v>
      </c>
      <c r="B1661" s="107" t="s">
        <v>2012</v>
      </c>
      <c r="C1661" s="222" t="s">
        <v>2183</v>
      </c>
      <c r="D1661" s="427" t="s">
        <v>2307</v>
      </c>
      <c r="E1661" s="107" t="str">
        <f>VLOOKUP(B1661&amp;C1661,Divipola!$C$2:$F$1138,4,FALSE)</f>
        <v>66088</v>
      </c>
      <c r="F1661" s="330"/>
      <c r="G1661" s="221"/>
      <c r="H1661" s="157"/>
      <c r="I1661" s="157"/>
      <c r="J1661" s="157">
        <f>216*5</f>
        <v>1080</v>
      </c>
      <c r="K1661" s="157">
        <f>230-14</f>
        <v>216</v>
      </c>
      <c r="L1661" s="157">
        <v>181</v>
      </c>
      <c r="M1661" s="157">
        <f>216-181</f>
        <v>35</v>
      </c>
      <c r="N1661" s="157"/>
      <c r="O1661" s="157"/>
      <c r="P1661" s="157"/>
      <c r="Q1661" s="157">
        <v>10</v>
      </c>
      <c r="R1661" s="157"/>
      <c r="S1661" s="157"/>
      <c r="T1661" s="157">
        <v>3</v>
      </c>
      <c r="U1661" s="157">
        <v>2</v>
      </c>
      <c r="V1661" s="158"/>
      <c r="W1661" s="182"/>
      <c r="X1661" s="1"/>
      <c r="Y1661" s="78">
        <f t="shared" si="208"/>
        <v>0</v>
      </c>
      <c r="Z1661" s="78">
        <f t="shared" si="209"/>
        <v>0</v>
      </c>
      <c r="AA1661" s="78">
        <f t="shared" si="214"/>
        <v>0</v>
      </c>
      <c r="AB1661" s="78">
        <f t="shared" si="210"/>
        <v>0</v>
      </c>
      <c r="AC1661" s="78"/>
      <c r="AD1661" s="78">
        <v>0</v>
      </c>
      <c r="AE1661" s="80">
        <f t="shared" si="212"/>
        <v>0</v>
      </c>
      <c r="AF1661" s="82">
        <v>0</v>
      </c>
      <c r="AG1661" s="69">
        <v>40494</v>
      </c>
      <c r="AH1661" s="84"/>
      <c r="AI1661" s="69" t="s">
        <v>1984</v>
      </c>
      <c r="AJ1661" s="25" t="s">
        <v>1985</v>
      </c>
      <c r="AK1661" s="65"/>
      <c r="AL1661" s="176" t="s">
        <v>1257</v>
      </c>
      <c r="AM1661" s="173" t="s">
        <v>316</v>
      </c>
      <c r="AN1661" s="159"/>
      <c r="AO1661" s="160"/>
      <c r="AP1661" s="161"/>
      <c r="AQ1661" s="160"/>
      <c r="AR1661" s="160"/>
      <c r="AS1661" s="160"/>
      <c r="AT1661" s="160"/>
      <c r="AU1661" s="160"/>
      <c r="AV1661" s="160"/>
      <c r="AW1661" s="160"/>
      <c r="AX1661" s="160"/>
      <c r="AY1661" s="160"/>
      <c r="AZ1661" s="160"/>
      <c r="BA1661" s="160"/>
      <c r="BB1661" s="160"/>
      <c r="BC1661" s="160"/>
      <c r="BD1661" s="160"/>
      <c r="BE1661" s="160"/>
      <c r="BF1661" s="160"/>
      <c r="BG1661" s="160"/>
      <c r="BH1661" s="160"/>
      <c r="BI1661" s="160"/>
      <c r="BJ1661" s="160"/>
      <c r="BK1661" s="160"/>
      <c r="BL1661" s="160"/>
      <c r="BM1661" s="160"/>
      <c r="BN1661" s="160"/>
      <c r="BO1661" s="160"/>
      <c r="BP1661" s="160"/>
      <c r="BQ1661" s="160"/>
      <c r="BR1661" s="160"/>
      <c r="BS1661" s="160"/>
      <c r="BT1661" s="160"/>
      <c r="BU1661" s="160"/>
      <c r="BV1661" s="160"/>
      <c r="BW1661" s="160"/>
      <c r="BX1661" s="160"/>
      <c r="BY1661" s="160"/>
      <c r="BZ1661" s="160"/>
      <c r="CA1661" s="160"/>
      <c r="CB1661" s="160"/>
      <c r="CC1661" s="160"/>
      <c r="CD1661" s="160"/>
      <c r="CE1661" s="160"/>
      <c r="CF1661" s="160"/>
      <c r="CG1661" s="160"/>
      <c r="CH1661" s="160"/>
      <c r="CI1661" s="160"/>
      <c r="CJ1661" s="160"/>
      <c r="CK1661" s="160"/>
      <c r="CL1661" s="160"/>
      <c r="CM1661" s="160"/>
      <c r="CN1661" s="160"/>
      <c r="CO1661" s="160"/>
      <c r="CP1661" s="162"/>
      <c r="CQ1661" s="163"/>
      <c r="CR1661" s="162"/>
      <c r="CS1661" s="163"/>
      <c r="CT1661" s="162"/>
      <c r="CU1661" s="163"/>
      <c r="CV1661" s="164">
        <f t="shared" si="211"/>
        <v>0</v>
      </c>
      <c r="CW1661" s="165"/>
      <c r="CX1661" s="166"/>
      <c r="CY1661" s="167"/>
      <c r="CZ1661" s="168"/>
      <c r="DA1661" s="169"/>
      <c r="DB1661" s="168"/>
      <c r="DC1661" s="165"/>
      <c r="DD1661" s="166"/>
      <c r="DE1661" s="71"/>
      <c r="DF1661" s="170"/>
      <c r="EO1661" s="375" t="str">
        <f t="shared" si="213"/>
        <v>RISARALDA_BELEN DE UMBRIA</v>
      </c>
      <c r="EP1661" s="376"/>
      <c r="EQ1661" s="376"/>
      <c r="ER1661" s="377"/>
      <c r="ES1661" s="376"/>
      <c r="ET1661" s="376"/>
      <c r="EU1661" s="376"/>
    </row>
    <row r="1662" spans="1:151" s="171" customFormat="1" ht="108" x14ac:dyDescent="0.2">
      <c r="A1662" s="242">
        <v>40493</v>
      </c>
      <c r="B1662" s="107" t="s">
        <v>2012</v>
      </c>
      <c r="C1662" s="222" t="s">
        <v>2199</v>
      </c>
      <c r="D1662" s="430" t="s">
        <v>837</v>
      </c>
      <c r="E1662" s="107" t="str">
        <f>VLOOKUP(B1662&amp;C1662,Divipola!$C$2:$F$1138,4,FALSE)</f>
        <v>66383</v>
      </c>
      <c r="F1662" s="333"/>
      <c r="G1662" s="221"/>
      <c r="H1662" s="157"/>
      <c r="I1662" s="157"/>
      <c r="J1662" s="157">
        <f>32*5</f>
        <v>160</v>
      </c>
      <c r="K1662" s="157">
        <v>32</v>
      </c>
      <c r="L1662" s="157">
        <v>30</v>
      </c>
      <c r="M1662" s="157">
        <v>2</v>
      </c>
      <c r="N1662" s="157"/>
      <c r="O1662" s="157"/>
      <c r="P1662" s="157"/>
      <c r="Q1662" s="157">
        <v>2</v>
      </c>
      <c r="R1662" s="157"/>
      <c r="S1662" s="157"/>
      <c r="T1662" s="157">
        <v>2</v>
      </c>
      <c r="U1662" s="157"/>
      <c r="V1662" s="158">
        <v>744</v>
      </c>
      <c r="W1662" s="182" t="s">
        <v>466</v>
      </c>
      <c r="X1662" s="1"/>
      <c r="Y1662" s="78">
        <f t="shared" si="208"/>
        <v>0</v>
      </c>
      <c r="Z1662" s="78">
        <f t="shared" si="209"/>
        <v>0</v>
      </c>
      <c r="AA1662" s="78">
        <f t="shared" si="214"/>
        <v>0</v>
      </c>
      <c r="AB1662" s="78">
        <f t="shared" si="210"/>
        <v>0</v>
      </c>
      <c r="AC1662" s="78"/>
      <c r="AD1662" s="78">
        <v>0</v>
      </c>
      <c r="AE1662" s="80">
        <f t="shared" si="212"/>
        <v>0</v>
      </c>
      <c r="AF1662" s="82">
        <v>0</v>
      </c>
      <c r="AG1662" s="69">
        <v>40494</v>
      </c>
      <c r="AH1662" s="84"/>
      <c r="AI1662" s="69" t="s">
        <v>2009</v>
      </c>
      <c r="AJ1662" s="25" t="s">
        <v>2010</v>
      </c>
      <c r="AK1662" s="65"/>
      <c r="AL1662" s="184" t="s">
        <v>1657</v>
      </c>
      <c r="AM1662" s="173" t="s">
        <v>542</v>
      </c>
      <c r="AN1662" s="159"/>
      <c r="AO1662" s="160"/>
      <c r="AP1662" s="161"/>
      <c r="AQ1662" s="160"/>
      <c r="AR1662" s="160"/>
      <c r="AS1662" s="160"/>
      <c r="AT1662" s="160"/>
      <c r="AU1662" s="160"/>
      <c r="AV1662" s="160"/>
      <c r="AW1662" s="160"/>
      <c r="AX1662" s="160"/>
      <c r="AY1662" s="160"/>
      <c r="AZ1662" s="160"/>
      <c r="BA1662" s="160"/>
      <c r="BB1662" s="160"/>
      <c r="BC1662" s="160"/>
      <c r="BD1662" s="160"/>
      <c r="BE1662" s="160"/>
      <c r="BF1662" s="160"/>
      <c r="BG1662" s="160"/>
      <c r="BH1662" s="160"/>
      <c r="BI1662" s="160"/>
      <c r="BJ1662" s="160"/>
      <c r="BK1662" s="160"/>
      <c r="BL1662" s="160"/>
      <c r="BM1662" s="160"/>
      <c r="BN1662" s="160"/>
      <c r="BO1662" s="160"/>
      <c r="BP1662" s="160"/>
      <c r="BQ1662" s="160"/>
      <c r="BR1662" s="160"/>
      <c r="BS1662" s="160"/>
      <c r="BT1662" s="160"/>
      <c r="BU1662" s="160"/>
      <c r="BV1662" s="160"/>
      <c r="BW1662" s="160"/>
      <c r="BX1662" s="160"/>
      <c r="BY1662" s="160"/>
      <c r="BZ1662" s="160"/>
      <c r="CA1662" s="160"/>
      <c r="CB1662" s="160"/>
      <c r="CC1662" s="160"/>
      <c r="CD1662" s="160"/>
      <c r="CE1662" s="160"/>
      <c r="CF1662" s="160"/>
      <c r="CG1662" s="160"/>
      <c r="CH1662" s="160"/>
      <c r="CI1662" s="160"/>
      <c r="CJ1662" s="160"/>
      <c r="CK1662" s="160"/>
      <c r="CL1662" s="160"/>
      <c r="CM1662" s="160"/>
      <c r="CN1662" s="160"/>
      <c r="CO1662" s="160"/>
      <c r="CP1662" s="162"/>
      <c r="CQ1662" s="163"/>
      <c r="CR1662" s="162"/>
      <c r="CS1662" s="163"/>
      <c r="CT1662" s="162"/>
      <c r="CU1662" s="163"/>
      <c r="CV1662" s="164">
        <f t="shared" si="211"/>
        <v>0</v>
      </c>
      <c r="CW1662" s="165"/>
      <c r="CX1662" s="166"/>
      <c r="CY1662" s="167"/>
      <c r="CZ1662" s="168"/>
      <c r="DA1662" s="169"/>
      <c r="DB1662" s="168"/>
      <c r="DC1662" s="165"/>
      <c r="DD1662" s="166"/>
      <c r="DE1662" s="71"/>
      <c r="DF1662" s="170"/>
      <c r="EO1662" s="375" t="str">
        <f t="shared" si="213"/>
        <v>RISARALDA_LA CELIA</v>
      </c>
      <c r="EP1662" s="376"/>
      <c r="EQ1662" s="376"/>
      <c r="ER1662" s="377"/>
      <c r="ES1662" s="376"/>
      <c r="ET1662" s="376"/>
      <c r="EU1662" s="376"/>
    </row>
    <row r="1663" spans="1:151" s="171" customFormat="1" ht="38.25" x14ac:dyDescent="0.2">
      <c r="A1663" s="242">
        <v>40493</v>
      </c>
      <c r="B1663" s="107" t="s">
        <v>2012</v>
      </c>
      <c r="C1663" s="222" t="s">
        <v>2766</v>
      </c>
      <c r="D1663" s="430" t="s">
        <v>837</v>
      </c>
      <c r="E1663" s="107" t="str">
        <f>VLOOKUP(B1663&amp;C1663,Divipola!$C$2:$F$1138,4,FALSE)</f>
        <v>66440</v>
      </c>
      <c r="F1663" s="333"/>
      <c r="G1663" s="221"/>
      <c r="H1663" s="157"/>
      <c r="I1663" s="157"/>
      <c r="J1663" s="157">
        <f>34*5</f>
        <v>170</v>
      </c>
      <c r="K1663" s="157">
        <v>34</v>
      </c>
      <c r="L1663" s="157"/>
      <c r="M1663" s="157">
        <v>34</v>
      </c>
      <c r="N1663" s="157">
        <v>4</v>
      </c>
      <c r="O1663" s="157">
        <v>3</v>
      </c>
      <c r="P1663" s="157"/>
      <c r="Q1663" s="157">
        <v>5</v>
      </c>
      <c r="R1663" s="157"/>
      <c r="S1663" s="157"/>
      <c r="T1663" s="157"/>
      <c r="U1663" s="157"/>
      <c r="V1663" s="158"/>
      <c r="W1663" s="182"/>
      <c r="X1663" s="1"/>
      <c r="Y1663" s="78">
        <f t="shared" si="208"/>
        <v>0</v>
      </c>
      <c r="Z1663" s="78">
        <f t="shared" si="209"/>
        <v>0</v>
      </c>
      <c r="AA1663" s="78">
        <f t="shared" si="214"/>
        <v>0</v>
      </c>
      <c r="AB1663" s="78">
        <f t="shared" si="210"/>
        <v>0</v>
      </c>
      <c r="AC1663" s="78"/>
      <c r="AD1663" s="78">
        <v>0</v>
      </c>
      <c r="AE1663" s="80">
        <f t="shared" si="212"/>
        <v>0</v>
      </c>
      <c r="AF1663" s="82">
        <v>0</v>
      </c>
      <c r="AG1663" s="69">
        <v>40494</v>
      </c>
      <c r="AH1663" s="84"/>
      <c r="AI1663" s="69" t="s">
        <v>2009</v>
      </c>
      <c r="AJ1663" s="25" t="s">
        <v>2010</v>
      </c>
      <c r="AK1663" s="65"/>
      <c r="AL1663" s="184" t="s">
        <v>1657</v>
      </c>
      <c r="AM1663" s="173" t="s">
        <v>1570</v>
      </c>
      <c r="AN1663" s="159"/>
      <c r="AO1663" s="160"/>
      <c r="AP1663" s="161"/>
      <c r="AQ1663" s="160"/>
      <c r="AR1663" s="160"/>
      <c r="AS1663" s="160"/>
      <c r="AT1663" s="160"/>
      <c r="AU1663" s="160"/>
      <c r="AV1663" s="160"/>
      <c r="AW1663" s="160"/>
      <c r="AX1663" s="160"/>
      <c r="AY1663" s="160"/>
      <c r="AZ1663" s="160"/>
      <c r="BA1663" s="160"/>
      <c r="BB1663" s="160"/>
      <c r="BC1663" s="160"/>
      <c r="BD1663" s="160"/>
      <c r="BE1663" s="160"/>
      <c r="BF1663" s="160"/>
      <c r="BG1663" s="160"/>
      <c r="BH1663" s="160"/>
      <c r="BI1663" s="160"/>
      <c r="BJ1663" s="160"/>
      <c r="BK1663" s="160"/>
      <c r="BL1663" s="160"/>
      <c r="BM1663" s="160"/>
      <c r="BN1663" s="160"/>
      <c r="BO1663" s="160"/>
      <c r="BP1663" s="160"/>
      <c r="BQ1663" s="160"/>
      <c r="BR1663" s="160"/>
      <c r="BS1663" s="160"/>
      <c r="BT1663" s="160"/>
      <c r="BU1663" s="160"/>
      <c r="BV1663" s="160"/>
      <c r="BW1663" s="160"/>
      <c r="BX1663" s="160"/>
      <c r="BY1663" s="160"/>
      <c r="BZ1663" s="160"/>
      <c r="CA1663" s="160"/>
      <c r="CB1663" s="160"/>
      <c r="CC1663" s="160"/>
      <c r="CD1663" s="160"/>
      <c r="CE1663" s="160"/>
      <c r="CF1663" s="160"/>
      <c r="CG1663" s="160"/>
      <c r="CH1663" s="160"/>
      <c r="CI1663" s="160"/>
      <c r="CJ1663" s="160"/>
      <c r="CK1663" s="160"/>
      <c r="CL1663" s="160"/>
      <c r="CM1663" s="160"/>
      <c r="CN1663" s="160"/>
      <c r="CO1663" s="160"/>
      <c r="CP1663" s="162"/>
      <c r="CQ1663" s="163"/>
      <c r="CR1663" s="162"/>
      <c r="CS1663" s="163"/>
      <c r="CT1663" s="162"/>
      <c r="CU1663" s="163"/>
      <c r="CV1663" s="164">
        <f t="shared" si="211"/>
        <v>0</v>
      </c>
      <c r="CW1663" s="165"/>
      <c r="CX1663" s="166"/>
      <c r="CY1663" s="167"/>
      <c r="CZ1663" s="168"/>
      <c r="DA1663" s="169"/>
      <c r="DB1663" s="168"/>
      <c r="DC1663" s="165"/>
      <c r="DD1663" s="166"/>
      <c r="DE1663" s="71"/>
      <c r="DF1663" s="170"/>
      <c r="EO1663" s="375" t="str">
        <f t="shared" si="213"/>
        <v>RISARALDA_MARSELLA</v>
      </c>
      <c r="EP1663" s="376"/>
      <c r="EQ1663" s="376"/>
      <c r="ER1663" s="377"/>
      <c r="ES1663" s="376"/>
      <c r="ET1663" s="376"/>
      <c r="EU1663" s="376"/>
    </row>
    <row r="1664" spans="1:151" s="171" customFormat="1" ht="38.25" x14ac:dyDescent="0.2">
      <c r="A1664" s="242">
        <v>40493</v>
      </c>
      <c r="B1664" s="107" t="s">
        <v>2012</v>
      </c>
      <c r="C1664" s="222" t="s">
        <v>1938</v>
      </c>
      <c r="D1664" s="430" t="s">
        <v>837</v>
      </c>
      <c r="E1664" s="107" t="str">
        <f>VLOOKUP(B1664&amp;C1664,Divipola!$C$2:$F$1138,4,FALSE)</f>
        <v>66687</v>
      </c>
      <c r="F1664" s="333"/>
      <c r="G1664" s="221"/>
      <c r="H1664" s="157"/>
      <c r="I1664" s="157"/>
      <c r="J1664" s="157">
        <v>30</v>
      </c>
      <c r="K1664" s="157">
        <v>6</v>
      </c>
      <c r="L1664" s="157">
        <v>6</v>
      </c>
      <c r="M1664" s="157"/>
      <c r="N1664" s="157"/>
      <c r="O1664" s="157"/>
      <c r="P1664" s="157"/>
      <c r="Q1664" s="157"/>
      <c r="R1664" s="157"/>
      <c r="S1664" s="157"/>
      <c r="T1664" s="157"/>
      <c r="U1664" s="157"/>
      <c r="V1664" s="158"/>
      <c r="W1664" s="182"/>
      <c r="X1664" s="1"/>
      <c r="Y1664" s="78">
        <f t="shared" si="208"/>
        <v>0</v>
      </c>
      <c r="Z1664" s="78">
        <f t="shared" si="209"/>
        <v>0</v>
      </c>
      <c r="AA1664" s="78">
        <f t="shared" si="214"/>
        <v>0</v>
      </c>
      <c r="AB1664" s="78">
        <f t="shared" si="210"/>
        <v>0</v>
      </c>
      <c r="AC1664" s="78"/>
      <c r="AD1664" s="78">
        <v>0</v>
      </c>
      <c r="AE1664" s="80">
        <f t="shared" si="212"/>
        <v>0</v>
      </c>
      <c r="AF1664" s="82">
        <v>0</v>
      </c>
      <c r="AG1664" s="69">
        <v>40494</v>
      </c>
      <c r="AH1664" s="84"/>
      <c r="AI1664" s="69" t="s">
        <v>1984</v>
      </c>
      <c r="AJ1664" s="25" t="s">
        <v>1985</v>
      </c>
      <c r="AK1664" s="65"/>
      <c r="AL1664" s="176" t="s">
        <v>1257</v>
      </c>
      <c r="AM1664" s="173" t="s">
        <v>2538</v>
      </c>
      <c r="AN1664" s="159"/>
      <c r="AO1664" s="160"/>
      <c r="AP1664" s="161"/>
      <c r="AQ1664" s="160"/>
      <c r="AR1664" s="160"/>
      <c r="AS1664" s="160"/>
      <c r="AT1664" s="160"/>
      <c r="AU1664" s="160"/>
      <c r="AV1664" s="160"/>
      <c r="AW1664" s="160"/>
      <c r="AX1664" s="160"/>
      <c r="AY1664" s="160"/>
      <c r="AZ1664" s="160"/>
      <c r="BA1664" s="160"/>
      <c r="BB1664" s="160"/>
      <c r="BC1664" s="160"/>
      <c r="BD1664" s="160"/>
      <c r="BE1664" s="160"/>
      <c r="BF1664" s="160"/>
      <c r="BG1664" s="160"/>
      <c r="BH1664" s="160"/>
      <c r="BI1664" s="160"/>
      <c r="BJ1664" s="160"/>
      <c r="BK1664" s="160"/>
      <c r="BL1664" s="160"/>
      <c r="BM1664" s="160"/>
      <c r="BN1664" s="160"/>
      <c r="BO1664" s="160"/>
      <c r="BP1664" s="160"/>
      <c r="BQ1664" s="160"/>
      <c r="BR1664" s="160"/>
      <c r="BS1664" s="160"/>
      <c r="BT1664" s="160"/>
      <c r="BU1664" s="160"/>
      <c r="BV1664" s="160"/>
      <c r="BW1664" s="160"/>
      <c r="BX1664" s="160"/>
      <c r="BY1664" s="160"/>
      <c r="BZ1664" s="160"/>
      <c r="CA1664" s="160"/>
      <c r="CB1664" s="160"/>
      <c r="CC1664" s="160"/>
      <c r="CD1664" s="160"/>
      <c r="CE1664" s="160"/>
      <c r="CF1664" s="160"/>
      <c r="CG1664" s="160"/>
      <c r="CH1664" s="160"/>
      <c r="CI1664" s="160"/>
      <c r="CJ1664" s="160"/>
      <c r="CK1664" s="160"/>
      <c r="CL1664" s="160"/>
      <c r="CM1664" s="160"/>
      <c r="CN1664" s="160"/>
      <c r="CO1664" s="160"/>
      <c r="CP1664" s="162"/>
      <c r="CQ1664" s="163"/>
      <c r="CR1664" s="162"/>
      <c r="CS1664" s="163"/>
      <c r="CT1664" s="162"/>
      <c r="CU1664" s="163"/>
      <c r="CV1664" s="164">
        <f t="shared" si="211"/>
        <v>0</v>
      </c>
      <c r="CW1664" s="165"/>
      <c r="CX1664" s="166"/>
      <c r="CY1664" s="167"/>
      <c r="CZ1664" s="168"/>
      <c r="DA1664" s="169"/>
      <c r="DB1664" s="168"/>
      <c r="DC1664" s="165"/>
      <c r="DD1664" s="166"/>
      <c r="DE1664" s="71"/>
      <c r="DF1664" s="170"/>
      <c r="EO1664" s="375" t="str">
        <f t="shared" si="213"/>
        <v>RISARALDA_SANTUARIO</v>
      </c>
      <c r="EP1664" s="376"/>
      <c r="EQ1664" s="376"/>
      <c r="ER1664" s="377"/>
      <c r="ES1664" s="376"/>
      <c r="ET1664" s="376"/>
      <c r="EU1664" s="376"/>
    </row>
    <row r="1665" spans="1:151" s="171" customFormat="1" ht="25.5" x14ac:dyDescent="0.2">
      <c r="A1665" s="242">
        <v>40493</v>
      </c>
      <c r="B1665" s="222" t="s">
        <v>2791</v>
      </c>
      <c r="C1665" s="222" t="s">
        <v>888</v>
      </c>
      <c r="D1665" s="430" t="s">
        <v>837</v>
      </c>
      <c r="E1665" s="107" t="str">
        <f>VLOOKUP(B1665&amp;C1665,Divipola!$C$2:$F$1138,4,FALSE)</f>
        <v>73217</v>
      </c>
      <c r="F1665" s="333"/>
      <c r="G1665" s="221"/>
      <c r="H1665" s="157"/>
      <c r="I1665" s="157"/>
      <c r="J1665" s="157">
        <f>384*5</f>
        <v>1920</v>
      </c>
      <c r="K1665" s="157">
        <f>430-2-44</f>
        <v>384</v>
      </c>
      <c r="L1665" s="157"/>
      <c r="M1665" s="157"/>
      <c r="N1665" s="157"/>
      <c r="O1665" s="157"/>
      <c r="P1665" s="157"/>
      <c r="Q1665" s="157"/>
      <c r="R1665" s="157"/>
      <c r="S1665" s="157"/>
      <c r="T1665" s="157"/>
      <c r="U1665" s="157"/>
      <c r="V1665" s="158">
        <v>427</v>
      </c>
      <c r="W1665" s="182"/>
      <c r="X1665" s="1"/>
      <c r="Y1665" s="78">
        <f t="shared" si="208"/>
        <v>0</v>
      </c>
      <c r="Z1665" s="78">
        <f t="shared" si="209"/>
        <v>0</v>
      </c>
      <c r="AA1665" s="78">
        <f t="shared" si="214"/>
        <v>0</v>
      </c>
      <c r="AB1665" s="78">
        <f t="shared" si="210"/>
        <v>0</v>
      </c>
      <c r="AC1665" s="78"/>
      <c r="AD1665" s="78">
        <v>0</v>
      </c>
      <c r="AE1665" s="80">
        <f t="shared" si="212"/>
        <v>0</v>
      </c>
      <c r="AF1665" s="82">
        <v>0</v>
      </c>
      <c r="AG1665" s="69">
        <v>40581</v>
      </c>
      <c r="AH1665" s="84"/>
      <c r="AI1665" s="69" t="s">
        <v>1984</v>
      </c>
      <c r="AJ1665" s="25" t="s">
        <v>1985</v>
      </c>
      <c r="AK1665" s="65"/>
      <c r="AL1665" s="176" t="s">
        <v>1257</v>
      </c>
      <c r="AM1665" s="173" t="s">
        <v>349</v>
      </c>
      <c r="AN1665" s="159"/>
      <c r="AO1665" s="160"/>
      <c r="AP1665" s="161"/>
      <c r="AQ1665" s="160"/>
      <c r="AR1665" s="160"/>
      <c r="AS1665" s="160"/>
      <c r="AT1665" s="160"/>
      <c r="AU1665" s="160"/>
      <c r="AV1665" s="160"/>
      <c r="AW1665" s="160"/>
      <c r="AX1665" s="160"/>
      <c r="AY1665" s="160"/>
      <c r="AZ1665" s="160"/>
      <c r="BA1665" s="160"/>
      <c r="BB1665" s="160"/>
      <c r="BC1665" s="160"/>
      <c r="BD1665" s="160"/>
      <c r="BE1665" s="160"/>
      <c r="BF1665" s="160"/>
      <c r="BG1665" s="160"/>
      <c r="BH1665" s="160"/>
      <c r="BI1665" s="160"/>
      <c r="BJ1665" s="160"/>
      <c r="BK1665" s="160"/>
      <c r="BL1665" s="160"/>
      <c r="BM1665" s="160"/>
      <c r="BN1665" s="160"/>
      <c r="BO1665" s="160"/>
      <c r="BP1665" s="160"/>
      <c r="BQ1665" s="160"/>
      <c r="BR1665" s="160"/>
      <c r="BS1665" s="160"/>
      <c r="BT1665" s="160"/>
      <c r="BU1665" s="160"/>
      <c r="BV1665" s="160"/>
      <c r="BW1665" s="160"/>
      <c r="BX1665" s="160"/>
      <c r="BY1665" s="160"/>
      <c r="BZ1665" s="160"/>
      <c r="CA1665" s="160"/>
      <c r="CB1665" s="160"/>
      <c r="CC1665" s="160"/>
      <c r="CD1665" s="160"/>
      <c r="CE1665" s="160"/>
      <c r="CF1665" s="160"/>
      <c r="CG1665" s="160"/>
      <c r="CH1665" s="160"/>
      <c r="CI1665" s="160"/>
      <c r="CJ1665" s="160"/>
      <c r="CK1665" s="160"/>
      <c r="CL1665" s="160"/>
      <c r="CM1665" s="160"/>
      <c r="CN1665" s="160"/>
      <c r="CO1665" s="160"/>
      <c r="CP1665" s="162"/>
      <c r="CQ1665" s="163"/>
      <c r="CR1665" s="162"/>
      <c r="CS1665" s="163"/>
      <c r="CT1665" s="162"/>
      <c r="CU1665" s="163"/>
      <c r="CV1665" s="164">
        <f t="shared" si="211"/>
        <v>0</v>
      </c>
      <c r="CW1665" s="165"/>
      <c r="CX1665" s="166"/>
      <c r="CY1665" s="167"/>
      <c r="CZ1665" s="168"/>
      <c r="DA1665" s="169"/>
      <c r="DB1665" s="168"/>
      <c r="DC1665" s="165"/>
      <c r="DD1665" s="166"/>
      <c r="DE1665" s="71"/>
      <c r="DF1665" s="170"/>
      <c r="EO1665" s="375" t="str">
        <f t="shared" si="213"/>
        <v>TOLIMA_COYAIMA</v>
      </c>
      <c r="EP1665" s="376"/>
      <c r="EQ1665" s="376"/>
      <c r="ER1665" s="377"/>
      <c r="ES1665" s="376"/>
      <c r="ET1665" s="376"/>
      <c r="EU1665" s="376"/>
    </row>
    <row r="1666" spans="1:151" s="171" customFormat="1" ht="25.5" x14ac:dyDescent="0.2">
      <c r="A1666" s="242">
        <v>40493</v>
      </c>
      <c r="B1666" s="222" t="s">
        <v>2791</v>
      </c>
      <c r="C1666" s="222" t="s">
        <v>2390</v>
      </c>
      <c r="D1666" s="430" t="s">
        <v>837</v>
      </c>
      <c r="E1666" s="107" t="str">
        <f>VLOOKUP(B1666&amp;C1666,Divipola!$C$2:$F$1138,4,FALSE)</f>
        <v>73504</v>
      </c>
      <c r="F1666" s="333"/>
      <c r="G1666" s="221"/>
      <c r="H1666" s="157"/>
      <c r="I1666" s="157"/>
      <c r="J1666" s="157">
        <f>1000*5</f>
        <v>5000</v>
      </c>
      <c r="K1666" s="157">
        <v>1000</v>
      </c>
      <c r="L1666" s="157">
        <v>2</v>
      </c>
      <c r="M1666" s="157">
        <f>165+40</f>
        <v>205</v>
      </c>
      <c r="N1666" s="157"/>
      <c r="O1666" s="157"/>
      <c r="P1666" s="157">
        <v>1</v>
      </c>
      <c r="Q1666" s="157">
        <v>2</v>
      </c>
      <c r="R1666" s="157"/>
      <c r="S1666" s="157"/>
      <c r="T1666" s="157">
        <v>2</v>
      </c>
      <c r="U1666" s="157"/>
      <c r="V1666" s="158">
        <v>175.85</v>
      </c>
      <c r="W1666" s="182"/>
      <c r="X1666" s="1"/>
      <c r="Y1666" s="78">
        <f t="shared" si="208"/>
        <v>0</v>
      </c>
      <c r="Z1666" s="78">
        <f t="shared" si="209"/>
        <v>0</v>
      </c>
      <c r="AA1666" s="78">
        <f t="shared" si="214"/>
        <v>0</v>
      </c>
      <c r="AB1666" s="78">
        <f t="shared" si="210"/>
        <v>0</v>
      </c>
      <c r="AC1666" s="78"/>
      <c r="AD1666" s="78">
        <v>0</v>
      </c>
      <c r="AE1666" s="80">
        <f t="shared" si="212"/>
        <v>0</v>
      </c>
      <c r="AF1666" s="82">
        <v>0</v>
      </c>
      <c r="AG1666" s="69">
        <v>40494</v>
      </c>
      <c r="AH1666" s="84"/>
      <c r="AI1666" s="69" t="s">
        <v>1984</v>
      </c>
      <c r="AJ1666" s="25" t="s">
        <v>1985</v>
      </c>
      <c r="AK1666" s="65"/>
      <c r="AL1666" s="176" t="s">
        <v>1257</v>
      </c>
      <c r="AM1666" s="173" t="s">
        <v>1571</v>
      </c>
      <c r="AN1666" s="159"/>
      <c r="AO1666" s="160"/>
      <c r="AP1666" s="161"/>
      <c r="AQ1666" s="160"/>
      <c r="AR1666" s="160"/>
      <c r="AS1666" s="160"/>
      <c r="AT1666" s="160"/>
      <c r="AU1666" s="160"/>
      <c r="AV1666" s="160"/>
      <c r="AW1666" s="160"/>
      <c r="AX1666" s="160"/>
      <c r="AY1666" s="160"/>
      <c r="AZ1666" s="160"/>
      <c r="BA1666" s="160"/>
      <c r="BB1666" s="160"/>
      <c r="BC1666" s="160"/>
      <c r="BD1666" s="160"/>
      <c r="BE1666" s="160"/>
      <c r="BF1666" s="160"/>
      <c r="BG1666" s="160"/>
      <c r="BH1666" s="160"/>
      <c r="BI1666" s="160"/>
      <c r="BJ1666" s="160"/>
      <c r="BK1666" s="160"/>
      <c r="BL1666" s="160"/>
      <c r="BM1666" s="160"/>
      <c r="BN1666" s="160"/>
      <c r="BO1666" s="160"/>
      <c r="BP1666" s="160"/>
      <c r="BQ1666" s="160"/>
      <c r="BR1666" s="160"/>
      <c r="BS1666" s="160"/>
      <c r="BT1666" s="160"/>
      <c r="BU1666" s="160"/>
      <c r="BV1666" s="160"/>
      <c r="BW1666" s="160"/>
      <c r="BX1666" s="160"/>
      <c r="BY1666" s="160"/>
      <c r="BZ1666" s="160"/>
      <c r="CA1666" s="160"/>
      <c r="CB1666" s="160"/>
      <c r="CC1666" s="160"/>
      <c r="CD1666" s="160"/>
      <c r="CE1666" s="160"/>
      <c r="CF1666" s="160"/>
      <c r="CG1666" s="160"/>
      <c r="CH1666" s="160"/>
      <c r="CI1666" s="160"/>
      <c r="CJ1666" s="160"/>
      <c r="CK1666" s="160"/>
      <c r="CL1666" s="160"/>
      <c r="CM1666" s="160"/>
      <c r="CN1666" s="160"/>
      <c r="CO1666" s="160"/>
      <c r="CP1666" s="162"/>
      <c r="CQ1666" s="163"/>
      <c r="CR1666" s="162"/>
      <c r="CS1666" s="163"/>
      <c r="CT1666" s="162"/>
      <c r="CU1666" s="163"/>
      <c r="CV1666" s="164">
        <f t="shared" si="211"/>
        <v>0</v>
      </c>
      <c r="CW1666" s="165"/>
      <c r="CX1666" s="166"/>
      <c r="CY1666" s="167"/>
      <c r="CZ1666" s="168"/>
      <c r="DA1666" s="169"/>
      <c r="DB1666" s="168"/>
      <c r="DC1666" s="165"/>
      <c r="DD1666" s="166"/>
      <c r="DE1666" s="71"/>
      <c r="DF1666" s="170"/>
      <c r="EO1666" s="375" t="str">
        <f t="shared" si="213"/>
        <v>TOLIMA_ORTEGA</v>
      </c>
      <c r="EP1666" s="376"/>
      <c r="EQ1666" s="376"/>
      <c r="ER1666" s="377"/>
      <c r="ES1666" s="376"/>
      <c r="ET1666" s="376"/>
      <c r="EU1666" s="376"/>
    </row>
    <row r="1667" spans="1:151" s="171" customFormat="1" ht="63.75" x14ac:dyDescent="0.2">
      <c r="A1667" s="242">
        <v>40493</v>
      </c>
      <c r="B1667" s="222" t="s">
        <v>1462</v>
      </c>
      <c r="C1667" s="222" t="s">
        <v>1944</v>
      </c>
      <c r="D1667" s="430" t="s">
        <v>837</v>
      </c>
      <c r="E1667" s="107" t="str">
        <f>VLOOKUP(B1667&amp;C1667,Divipola!$C$2:$F$1138,4,FALSE)</f>
        <v>76109</v>
      </c>
      <c r="F1667" s="333"/>
      <c r="G1667" s="221"/>
      <c r="H1667" s="157"/>
      <c r="I1667" s="157"/>
      <c r="J1667" s="157">
        <v>1619</v>
      </c>
      <c r="K1667" s="157">
        <v>285</v>
      </c>
      <c r="L1667" s="157"/>
      <c r="M1667" s="157">
        <v>285</v>
      </c>
      <c r="N1667" s="157"/>
      <c r="O1667" s="157"/>
      <c r="P1667" s="157"/>
      <c r="Q1667" s="157"/>
      <c r="R1667" s="157"/>
      <c r="S1667" s="157"/>
      <c r="T1667" s="157"/>
      <c r="U1667" s="157"/>
      <c r="V1667" s="158"/>
      <c r="W1667" s="182"/>
      <c r="X1667" s="1"/>
      <c r="Y1667" s="78">
        <f t="shared" ref="Y1667:Y1730" si="215">CV1667</f>
        <v>0</v>
      </c>
      <c r="Z1667" s="78">
        <f t="shared" ref="Z1667:Z1730" si="216">CZ1667</f>
        <v>0</v>
      </c>
      <c r="AA1667" s="78">
        <f t="shared" si="214"/>
        <v>0</v>
      </c>
      <c r="AB1667" s="78">
        <f t="shared" ref="AB1667:AB1730" si="217">CX1667</f>
        <v>0</v>
      </c>
      <c r="AC1667" s="78"/>
      <c r="AD1667" s="78">
        <v>0</v>
      </c>
      <c r="AE1667" s="80">
        <f t="shared" si="212"/>
        <v>0</v>
      </c>
      <c r="AF1667" s="82">
        <v>0</v>
      </c>
      <c r="AG1667" s="69">
        <v>40497</v>
      </c>
      <c r="AH1667" s="84"/>
      <c r="AI1667" s="69" t="s">
        <v>1984</v>
      </c>
      <c r="AJ1667" s="25" t="s">
        <v>1985</v>
      </c>
      <c r="AK1667" s="65"/>
      <c r="AL1667" s="176" t="s">
        <v>1257</v>
      </c>
      <c r="AM1667" s="173" t="s">
        <v>2814</v>
      </c>
      <c r="AN1667" s="159"/>
      <c r="AO1667" s="160"/>
      <c r="AP1667" s="161"/>
      <c r="AQ1667" s="160"/>
      <c r="AR1667" s="160"/>
      <c r="AS1667" s="160"/>
      <c r="AT1667" s="160"/>
      <c r="AU1667" s="160"/>
      <c r="AV1667" s="160"/>
      <c r="AW1667" s="160"/>
      <c r="AX1667" s="160"/>
      <c r="AY1667" s="160"/>
      <c r="AZ1667" s="160"/>
      <c r="BA1667" s="160"/>
      <c r="BB1667" s="160"/>
      <c r="BC1667" s="160"/>
      <c r="BD1667" s="160"/>
      <c r="BE1667" s="160"/>
      <c r="BF1667" s="160"/>
      <c r="BG1667" s="160"/>
      <c r="BH1667" s="160"/>
      <c r="BI1667" s="160"/>
      <c r="BJ1667" s="160"/>
      <c r="BK1667" s="160"/>
      <c r="BL1667" s="160"/>
      <c r="BM1667" s="160"/>
      <c r="BN1667" s="160"/>
      <c r="BO1667" s="160"/>
      <c r="BP1667" s="160"/>
      <c r="BQ1667" s="160"/>
      <c r="BR1667" s="160"/>
      <c r="BS1667" s="160"/>
      <c r="BT1667" s="160"/>
      <c r="BU1667" s="160"/>
      <c r="BV1667" s="160"/>
      <c r="BW1667" s="160"/>
      <c r="BX1667" s="160"/>
      <c r="BY1667" s="160"/>
      <c r="BZ1667" s="160"/>
      <c r="CA1667" s="160"/>
      <c r="CB1667" s="160"/>
      <c r="CC1667" s="160"/>
      <c r="CD1667" s="160"/>
      <c r="CE1667" s="160"/>
      <c r="CF1667" s="160"/>
      <c r="CG1667" s="160"/>
      <c r="CH1667" s="160"/>
      <c r="CI1667" s="160"/>
      <c r="CJ1667" s="160"/>
      <c r="CK1667" s="160"/>
      <c r="CL1667" s="160"/>
      <c r="CM1667" s="160"/>
      <c r="CN1667" s="160"/>
      <c r="CO1667" s="160"/>
      <c r="CP1667" s="162"/>
      <c r="CQ1667" s="163"/>
      <c r="CR1667" s="162"/>
      <c r="CS1667" s="163"/>
      <c r="CT1667" s="162"/>
      <c r="CU1667" s="163"/>
      <c r="CV1667" s="164">
        <f t="shared" ref="CV1667:CV1730" si="218">AO1667+AQ1667+AS1667+AU1667+AW1667+AY1667+BA1667+BC1667+BE1667+BG1667+BI1667+BK1667+BM1667+BO1667+BQ1667+BS1667+BU1667+BW1667+BY1667+CA1667+CC1667+CE1667+CG1667+CI1667+CK1667+CM1667+CO1667+CQ1667+CS1667+CU1667</f>
        <v>0</v>
      </c>
      <c r="CW1667" s="165"/>
      <c r="CX1667" s="166"/>
      <c r="CY1667" s="167"/>
      <c r="CZ1667" s="168"/>
      <c r="DA1667" s="169"/>
      <c r="DB1667" s="168"/>
      <c r="DC1667" s="165"/>
      <c r="DD1667" s="166"/>
      <c r="DE1667" s="71"/>
      <c r="DF1667" s="170"/>
      <c r="EO1667" s="375" t="str">
        <f t="shared" si="213"/>
        <v>VALLE DEL CAUCA_BUENAVENTURA</v>
      </c>
      <c r="EP1667" s="376"/>
      <c r="EQ1667" s="376"/>
      <c r="ER1667" s="377"/>
      <c r="ES1667" s="376"/>
      <c r="ET1667" s="376"/>
      <c r="EU1667" s="376"/>
    </row>
    <row r="1668" spans="1:151" s="171" customFormat="1" ht="51" x14ac:dyDescent="0.2">
      <c r="A1668" s="242">
        <v>40493</v>
      </c>
      <c r="B1668" s="222" t="s">
        <v>1462</v>
      </c>
      <c r="C1668" s="222" t="s">
        <v>2040</v>
      </c>
      <c r="D1668" s="430" t="s">
        <v>837</v>
      </c>
      <c r="E1668" s="107" t="str">
        <f>VLOOKUP(B1668&amp;C1668,Divipola!$C$2:$F$1138,4,FALSE)</f>
        <v>76275</v>
      </c>
      <c r="F1668" s="333"/>
      <c r="G1668" s="221"/>
      <c r="H1668" s="157"/>
      <c r="I1668" s="157"/>
      <c r="J1668" s="157">
        <f>842*5</f>
        <v>4210</v>
      </c>
      <c r="K1668" s="157">
        <f>880-32-6</f>
        <v>842</v>
      </c>
      <c r="L1668" s="157"/>
      <c r="M1668" s="157">
        <v>842</v>
      </c>
      <c r="N1668" s="157"/>
      <c r="O1668" s="157"/>
      <c r="P1668" s="157"/>
      <c r="Q1668" s="157">
        <v>1</v>
      </c>
      <c r="R1668" s="157"/>
      <c r="S1668" s="157"/>
      <c r="T1668" s="157"/>
      <c r="U1668" s="157"/>
      <c r="V1668" s="158"/>
      <c r="W1668" s="182"/>
      <c r="X1668" s="1"/>
      <c r="Y1668" s="78">
        <f t="shared" si="215"/>
        <v>0</v>
      </c>
      <c r="Z1668" s="78">
        <f t="shared" si="216"/>
        <v>0</v>
      </c>
      <c r="AA1668" s="78">
        <f t="shared" si="214"/>
        <v>0</v>
      </c>
      <c r="AB1668" s="78">
        <f t="shared" si="217"/>
        <v>0</v>
      </c>
      <c r="AC1668" s="78"/>
      <c r="AD1668" s="78">
        <v>0</v>
      </c>
      <c r="AE1668" s="80">
        <f t="shared" si="212"/>
        <v>0</v>
      </c>
      <c r="AF1668" s="82">
        <v>0</v>
      </c>
      <c r="AG1668" s="69">
        <v>40494</v>
      </c>
      <c r="AH1668" s="84"/>
      <c r="AI1668" s="69" t="s">
        <v>1984</v>
      </c>
      <c r="AJ1668" s="25" t="s">
        <v>1985</v>
      </c>
      <c r="AK1668" s="65"/>
      <c r="AL1668" s="176" t="s">
        <v>1257</v>
      </c>
      <c r="AM1668" s="173" t="s">
        <v>2815</v>
      </c>
      <c r="AN1668" s="159"/>
      <c r="AO1668" s="160"/>
      <c r="AP1668" s="161"/>
      <c r="AQ1668" s="160"/>
      <c r="AR1668" s="160"/>
      <c r="AS1668" s="160"/>
      <c r="AT1668" s="160"/>
      <c r="AU1668" s="160"/>
      <c r="AV1668" s="160"/>
      <c r="AW1668" s="160"/>
      <c r="AX1668" s="160"/>
      <c r="AY1668" s="160"/>
      <c r="AZ1668" s="160"/>
      <c r="BA1668" s="160"/>
      <c r="BB1668" s="160"/>
      <c r="BC1668" s="160"/>
      <c r="BD1668" s="160"/>
      <c r="BE1668" s="160"/>
      <c r="BF1668" s="160"/>
      <c r="BG1668" s="160"/>
      <c r="BH1668" s="160"/>
      <c r="BI1668" s="160"/>
      <c r="BJ1668" s="160"/>
      <c r="BK1668" s="160"/>
      <c r="BL1668" s="160"/>
      <c r="BM1668" s="160"/>
      <c r="BN1668" s="160"/>
      <c r="BO1668" s="160"/>
      <c r="BP1668" s="160"/>
      <c r="BQ1668" s="160"/>
      <c r="BR1668" s="160"/>
      <c r="BS1668" s="160"/>
      <c r="BT1668" s="160"/>
      <c r="BU1668" s="160"/>
      <c r="BV1668" s="160"/>
      <c r="BW1668" s="160"/>
      <c r="BX1668" s="160"/>
      <c r="BY1668" s="160"/>
      <c r="BZ1668" s="160"/>
      <c r="CA1668" s="160"/>
      <c r="CB1668" s="160"/>
      <c r="CC1668" s="160"/>
      <c r="CD1668" s="160"/>
      <c r="CE1668" s="160"/>
      <c r="CF1668" s="160"/>
      <c r="CG1668" s="160"/>
      <c r="CH1668" s="160"/>
      <c r="CI1668" s="160"/>
      <c r="CJ1668" s="160"/>
      <c r="CK1668" s="160"/>
      <c r="CL1668" s="160"/>
      <c r="CM1668" s="160"/>
      <c r="CN1668" s="160"/>
      <c r="CO1668" s="160"/>
      <c r="CP1668" s="162"/>
      <c r="CQ1668" s="163"/>
      <c r="CR1668" s="162"/>
      <c r="CS1668" s="163"/>
      <c r="CT1668" s="162"/>
      <c r="CU1668" s="163"/>
      <c r="CV1668" s="164">
        <f t="shared" si="218"/>
        <v>0</v>
      </c>
      <c r="CW1668" s="165"/>
      <c r="CX1668" s="166"/>
      <c r="CY1668" s="167"/>
      <c r="CZ1668" s="168"/>
      <c r="DA1668" s="169"/>
      <c r="DB1668" s="168"/>
      <c r="DC1668" s="165"/>
      <c r="DD1668" s="166"/>
      <c r="DE1668" s="71"/>
      <c r="DF1668" s="170"/>
      <c r="EO1668" s="375" t="str">
        <f t="shared" si="213"/>
        <v>VALLE DEL CAUCA_FLORIDA</v>
      </c>
      <c r="EP1668" s="376"/>
      <c r="EQ1668" s="376"/>
      <c r="ER1668" s="377"/>
      <c r="ES1668" s="376"/>
      <c r="ET1668" s="376"/>
      <c r="EU1668" s="376"/>
    </row>
    <row r="1669" spans="1:151" s="171" customFormat="1" ht="96" x14ac:dyDescent="0.2">
      <c r="A1669" s="242">
        <v>40493</v>
      </c>
      <c r="B1669" s="222" t="s">
        <v>1462</v>
      </c>
      <c r="C1669" s="222" t="s">
        <v>2359</v>
      </c>
      <c r="D1669" s="430" t="s">
        <v>837</v>
      </c>
      <c r="E1669" s="107" t="str">
        <f>VLOOKUP(B1669&amp;C1669,Divipola!$C$2:$F$1138,4,FALSE)</f>
        <v>76403</v>
      </c>
      <c r="F1669" s="333"/>
      <c r="G1669" s="221"/>
      <c r="H1669" s="157"/>
      <c r="I1669" s="157"/>
      <c r="J1669" s="157">
        <f>514*5</f>
        <v>2570</v>
      </c>
      <c r="K1669" s="157">
        <v>514</v>
      </c>
      <c r="L1669" s="157"/>
      <c r="M1669" s="157">
        <v>500</v>
      </c>
      <c r="N1669" s="157"/>
      <c r="O1669" s="157"/>
      <c r="P1669" s="157"/>
      <c r="Q1669" s="157"/>
      <c r="R1669" s="157"/>
      <c r="S1669" s="157"/>
      <c r="T1669" s="157"/>
      <c r="U1669" s="157"/>
      <c r="V1669" s="158"/>
      <c r="W1669" s="182"/>
      <c r="X1669" s="1">
        <v>40536</v>
      </c>
      <c r="Y1669" s="78">
        <f t="shared" si="215"/>
        <v>23250000</v>
      </c>
      <c r="Z1669" s="78">
        <f t="shared" si="216"/>
        <v>21250000</v>
      </c>
      <c r="AA1669" s="78">
        <f t="shared" si="214"/>
        <v>0</v>
      </c>
      <c r="AB1669" s="78">
        <f t="shared" si="217"/>
        <v>0</v>
      </c>
      <c r="AC1669" s="78"/>
      <c r="AD1669" s="78">
        <v>150000000</v>
      </c>
      <c r="AE1669" s="80">
        <f t="shared" si="212"/>
        <v>194500000</v>
      </c>
      <c r="AF1669" s="82">
        <v>0</v>
      </c>
      <c r="AG1669" s="69">
        <v>40494</v>
      </c>
      <c r="AH1669" s="84"/>
      <c r="AI1669" s="69" t="s">
        <v>2009</v>
      </c>
      <c r="AJ1669" s="25" t="s">
        <v>2010</v>
      </c>
      <c r="AK1669" s="65">
        <v>526</v>
      </c>
      <c r="AL1669" s="176" t="s">
        <v>1257</v>
      </c>
      <c r="AM1669" s="173" t="s">
        <v>3859</v>
      </c>
      <c r="AN1669" s="159"/>
      <c r="AO1669" s="160"/>
      <c r="AP1669" s="161"/>
      <c r="AQ1669" s="160"/>
      <c r="AR1669" s="160"/>
      <c r="AS1669" s="160"/>
      <c r="AT1669" s="160"/>
      <c r="AU1669" s="160"/>
      <c r="AV1669" s="160"/>
      <c r="AW1669" s="160"/>
      <c r="AX1669" s="160"/>
      <c r="AY1669" s="160"/>
      <c r="AZ1669" s="160">
        <v>250</v>
      </c>
      <c r="BA1669" s="160">
        <f>250*56000</f>
        <v>14000000</v>
      </c>
      <c r="BB1669" s="160"/>
      <c r="BC1669" s="160"/>
      <c r="BD1669" s="160"/>
      <c r="BE1669" s="160"/>
      <c r="BF1669" s="160"/>
      <c r="BG1669" s="160"/>
      <c r="BH1669" s="160"/>
      <c r="BI1669" s="160"/>
      <c r="BJ1669" s="160"/>
      <c r="BK1669" s="160"/>
      <c r="BL1669" s="160"/>
      <c r="BM1669" s="160"/>
      <c r="BN1669" s="160"/>
      <c r="BO1669" s="160"/>
      <c r="BP1669" s="160"/>
      <c r="BQ1669" s="160"/>
      <c r="BR1669" s="160"/>
      <c r="BS1669" s="160"/>
      <c r="BT1669" s="160"/>
      <c r="BU1669" s="160"/>
      <c r="BV1669" s="160"/>
      <c r="BW1669" s="160"/>
      <c r="BX1669" s="160"/>
      <c r="BY1669" s="160"/>
      <c r="BZ1669" s="160"/>
      <c r="CA1669" s="160"/>
      <c r="CB1669" s="160"/>
      <c r="CC1669" s="160"/>
      <c r="CD1669" s="160"/>
      <c r="CE1669" s="160"/>
      <c r="CF1669" s="160"/>
      <c r="CG1669" s="160"/>
      <c r="CH1669" s="160"/>
      <c r="CI1669" s="160"/>
      <c r="CJ1669" s="160"/>
      <c r="CK1669" s="160"/>
      <c r="CL1669" s="160"/>
      <c r="CM1669" s="160"/>
      <c r="CN1669" s="160"/>
      <c r="CO1669" s="160"/>
      <c r="CP1669" s="162">
        <v>250</v>
      </c>
      <c r="CQ1669" s="163">
        <f>250*37000</f>
        <v>9250000</v>
      </c>
      <c r="CR1669" s="162"/>
      <c r="CS1669" s="163"/>
      <c r="CT1669" s="162"/>
      <c r="CU1669" s="163"/>
      <c r="CV1669" s="164">
        <f t="shared" si="218"/>
        <v>23250000</v>
      </c>
      <c r="CW1669" s="165"/>
      <c r="CX1669" s="166"/>
      <c r="CY1669" s="167">
        <v>250</v>
      </c>
      <c r="CZ1669" s="168">
        <f>250*85000</f>
        <v>21250000</v>
      </c>
      <c r="DA1669" s="169"/>
      <c r="DB1669" s="168"/>
      <c r="DC1669" s="165"/>
      <c r="DD1669" s="166"/>
      <c r="DE1669" s="71"/>
      <c r="DF1669" s="170"/>
      <c r="EO1669" s="375" t="str">
        <f t="shared" si="213"/>
        <v>VALLE DEL CAUCA_LA VICTORIA</v>
      </c>
      <c r="EP1669" s="376"/>
      <c r="EQ1669" s="376"/>
      <c r="ER1669" s="377"/>
      <c r="ES1669" s="376"/>
      <c r="ET1669" s="376"/>
      <c r="EU1669" s="376"/>
    </row>
    <row r="1670" spans="1:151" s="171" customFormat="1" ht="25.5" x14ac:dyDescent="0.2">
      <c r="A1670" s="246">
        <v>40494</v>
      </c>
      <c r="B1670" s="280" t="s">
        <v>2401</v>
      </c>
      <c r="C1670" s="280" t="s">
        <v>856</v>
      </c>
      <c r="D1670" s="432" t="s">
        <v>837</v>
      </c>
      <c r="E1670" s="107" t="str">
        <f>VLOOKUP(B1670&amp;C1670,Divipola!$C$2:$F$1138,4,FALSE)</f>
        <v>05088</v>
      </c>
      <c r="F1670" s="337"/>
      <c r="G1670" s="221"/>
      <c r="H1670" s="157"/>
      <c r="I1670" s="157"/>
      <c r="J1670" s="157">
        <v>1250</v>
      </c>
      <c r="K1670" s="157">
        <v>250</v>
      </c>
      <c r="L1670" s="157"/>
      <c r="M1670" s="157">
        <v>250</v>
      </c>
      <c r="N1670" s="157"/>
      <c r="O1670" s="157"/>
      <c r="P1670" s="157"/>
      <c r="Q1670" s="157"/>
      <c r="R1670" s="157"/>
      <c r="S1670" s="157"/>
      <c r="T1670" s="157"/>
      <c r="U1670" s="157"/>
      <c r="V1670" s="158"/>
      <c r="W1670" s="182"/>
      <c r="X1670" s="1"/>
      <c r="Y1670" s="78">
        <f t="shared" si="215"/>
        <v>0</v>
      </c>
      <c r="Z1670" s="78">
        <f t="shared" si="216"/>
        <v>0</v>
      </c>
      <c r="AA1670" s="78">
        <f t="shared" si="214"/>
        <v>0</v>
      </c>
      <c r="AB1670" s="78">
        <f t="shared" si="217"/>
        <v>0</v>
      </c>
      <c r="AC1670" s="78"/>
      <c r="AD1670" s="78">
        <v>0</v>
      </c>
      <c r="AE1670" s="80">
        <f t="shared" si="212"/>
        <v>0</v>
      </c>
      <c r="AF1670" s="82">
        <v>0</v>
      </c>
      <c r="AG1670" s="69">
        <v>40497</v>
      </c>
      <c r="AH1670" s="84"/>
      <c r="AI1670" s="69" t="s">
        <v>1984</v>
      </c>
      <c r="AJ1670" s="25" t="s">
        <v>1985</v>
      </c>
      <c r="AK1670" s="65"/>
      <c r="AL1670" s="176" t="s">
        <v>1257</v>
      </c>
      <c r="AM1670" s="173" t="s">
        <v>2817</v>
      </c>
      <c r="AN1670" s="159"/>
      <c r="AO1670" s="160"/>
      <c r="AP1670" s="161"/>
      <c r="AQ1670" s="160"/>
      <c r="AR1670" s="160"/>
      <c r="AS1670" s="160"/>
      <c r="AT1670" s="160"/>
      <c r="AU1670" s="160"/>
      <c r="AV1670" s="160"/>
      <c r="AW1670" s="160"/>
      <c r="AX1670" s="160"/>
      <c r="AY1670" s="160"/>
      <c r="AZ1670" s="160"/>
      <c r="BA1670" s="160"/>
      <c r="BB1670" s="160"/>
      <c r="BC1670" s="160"/>
      <c r="BD1670" s="160"/>
      <c r="BE1670" s="160"/>
      <c r="BF1670" s="160"/>
      <c r="BG1670" s="160"/>
      <c r="BH1670" s="160"/>
      <c r="BI1670" s="160"/>
      <c r="BJ1670" s="160"/>
      <c r="BK1670" s="160"/>
      <c r="BL1670" s="160"/>
      <c r="BM1670" s="160"/>
      <c r="BN1670" s="160"/>
      <c r="BO1670" s="160"/>
      <c r="BP1670" s="160"/>
      <c r="BQ1670" s="160"/>
      <c r="BR1670" s="160"/>
      <c r="BS1670" s="160"/>
      <c r="BT1670" s="160"/>
      <c r="BU1670" s="160"/>
      <c r="BV1670" s="160"/>
      <c r="BW1670" s="160"/>
      <c r="BX1670" s="160"/>
      <c r="BY1670" s="160"/>
      <c r="BZ1670" s="160"/>
      <c r="CA1670" s="160"/>
      <c r="CB1670" s="160"/>
      <c r="CC1670" s="160"/>
      <c r="CD1670" s="160"/>
      <c r="CE1670" s="160"/>
      <c r="CF1670" s="160"/>
      <c r="CG1670" s="160"/>
      <c r="CH1670" s="160"/>
      <c r="CI1670" s="160"/>
      <c r="CJ1670" s="160"/>
      <c r="CK1670" s="160"/>
      <c r="CL1670" s="160"/>
      <c r="CM1670" s="160"/>
      <c r="CN1670" s="160"/>
      <c r="CO1670" s="160"/>
      <c r="CP1670" s="162"/>
      <c r="CQ1670" s="163"/>
      <c r="CR1670" s="162"/>
      <c r="CS1670" s="163"/>
      <c r="CT1670" s="162"/>
      <c r="CU1670" s="163"/>
      <c r="CV1670" s="164">
        <f t="shared" si="218"/>
        <v>0</v>
      </c>
      <c r="CW1670" s="165"/>
      <c r="CX1670" s="166"/>
      <c r="CY1670" s="167"/>
      <c r="CZ1670" s="168"/>
      <c r="DA1670" s="169"/>
      <c r="DB1670" s="168"/>
      <c r="DC1670" s="165"/>
      <c r="DD1670" s="166"/>
      <c r="DE1670" s="71"/>
      <c r="DF1670" s="170"/>
      <c r="EO1670" s="375" t="str">
        <f t="shared" si="213"/>
        <v>ANTIOQUIA_BELLO</v>
      </c>
      <c r="EP1670" s="376"/>
      <c r="EQ1670" s="376"/>
      <c r="ER1670" s="377"/>
      <c r="ES1670" s="376"/>
      <c r="ET1670" s="376"/>
      <c r="EU1670" s="376"/>
    </row>
    <row r="1671" spans="1:151" s="171" customFormat="1" ht="25.5" x14ac:dyDescent="0.2">
      <c r="A1671" s="246">
        <v>40494</v>
      </c>
      <c r="B1671" s="280" t="s">
        <v>2401</v>
      </c>
      <c r="C1671" s="280" t="s">
        <v>2234</v>
      </c>
      <c r="D1671" s="432" t="s">
        <v>837</v>
      </c>
      <c r="E1671" s="107" t="str">
        <f>VLOOKUP(B1671&amp;C1671,Divipola!$C$2:$F$1138,4,FALSE)</f>
        <v>05282</v>
      </c>
      <c r="F1671" s="337"/>
      <c r="G1671" s="221"/>
      <c r="H1671" s="157"/>
      <c r="I1671" s="157"/>
      <c r="J1671" s="157">
        <v>21</v>
      </c>
      <c r="K1671" s="157">
        <v>10</v>
      </c>
      <c r="L1671" s="157">
        <v>2</v>
      </c>
      <c r="M1671" s="157">
        <v>8</v>
      </c>
      <c r="N1671" s="157"/>
      <c r="O1671" s="157"/>
      <c r="P1671" s="157"/>
      <c r="Q1671" s="157"/>
      <c r="R1671" s="157"/>
      <c r="S1671" s="157"/>
      <c r="T1671" s="157"/>
      <c r="U1671" s="157"/>
      <c r="V1671" s="158"/>
      <c r="W1671" s="182"/>
      <c r="X1671" s="1"/>
      <c r="Y1671" s="78">
        <f t="shared" si="215"/>
        <v>0</v>
      </c>
      <c r="Z1671" s="78">
        <f t="shared" si="216"/>
        <v>0</v>
      </c>
      <c r="AA1671" s="78">
        <f t="shared" si="214"/>
        <v>0</v>
      </c>
      <c r="AB1671" s="78">
        <f t="shared" si="217"/>
        <v>0</v>
      </c>
      <c r="AC1671" s="78"/>
      <c r="AD1671" s="78">
        <v>0</v>
      </c>
      <c r="AE1671" s="80">
        <f t="shared" si="212"/>
        <v>0</v>
      </c>
      <c r="AF1671" s="82">
        <v>0</v>
      </c>
      <c r="AG1671" s="69">
        <v>40497</v>
      </c>
      <c r="AH1671" s="84"/>
      <c r="AI1671" s="69" t="s">
        <v>1984</v>
      </c>
      <c r="AJ1671" s="25" t="s">
        <v>1985</v>
      </c>
      <c r="AK1671" s="65"/>
      <c r="AL1671" s="176" t="s">
        <v>1257</v>
      </c>
      <c r="AM1671" s="173" t="s">
        <v>2818</v>
      </c>
      <c r="AN1671" s="159"/>
      <c r="AO1671" s="160"/>
      <c r="AP1671" s="161"/>
      <c r="AQ1671" s="160"/>
      <c r="AR1671" s="160"/>
      <c r="AS1671" s="160"/>
      <c r="AT1671" s="160"/>
      <c r="AU1671" s="160"/>
      <c r="AV1671" s="160"/>
      <c r="AW1671" s="160"/>
      <c r="AX1671" s="160"/>
      <c r="AY1671" s="160"/>
      <c r="AZ1671" s="160"/>
      <c r="BA1671" s="160"/>
      <c r="BB1671" s="160"/>
      <c r="BC1671" s="160"/>
      <c r="BD1671" s="160"/>
      <c r="BE1671" s="160"/>
      <c r="BF1671" s="160"/>
      <c r="BG1671" s="160"/>
      <c r="BH1671" s="160"/>
      <c r="BI1671" s="160"/>
      <c r="BJ1671" s="160"/>
      <c r="BK1671" s="160"/>
      <c r="BL1671" s="160"/>
      <c r="BM1671" s="160"/>
      <c r="BN1671" s="160"/>
      <c r="BO1671" s="160"/>
      <c r="BP1671" s="160"/>
      <c r="BQ1671" s="160"/>
      <c r="BR1671" s="160"/>
      <c r="BS1671" s="160"/>
      <c r="BT1671" s="160"/>
      <c r="BU1671" s="160"/>
      <c r="BV1671" s="160"/>
      <c r="BW1671" s="160"/>
      <c r="BX1671" s="160"/>
      <c r="BY1671" s="160"/>
      <c r="BZ1671" s="160"/>
      <c r="CA1671" s="160"/>
      <c r="CB1671" s="160"/>
      <c r="CC1671" s="160"/>
      <c r="CD1671" s="160"/>
      <c r="CE1671" s="160"/>
      <c r="CF1671" s="160"/>
      <c r="CG1671" s="160"/>
      <c r="CH1671" s="160"/>
      <c r="CI1671" s="160"/>
      <c r="CJ1671" s="160"/>
      <c r="CK1671" s="160"/>
      <c r="CL1671" s="160"/>
      <c r="CM1671" s="160"/>
      <c r="CN1671" s="160"/>
      <c r="CO1671" s="160"/>
      <c r="CP1671" s="162"/>
      <c r="CQ1671" s="163"/>
      <c r="CR1671" s="162"/>
      <c r="CS1671" s="163"/>
      <c r="CT1671" s="162"/>
      <c r="CU1671" s="163"/>
      <c r="CV1671" s="164">
        <f t="shared" si="218"/>
        <v>0</v>
      </c>
      <c r="CW1671" s="165"/>
      <c r="CX1671" s="166"/>
      <c r="CY1671" s="167"/>
      <c r="CZ1671" s="168"/>
      <c r="DA1671" s="169"/>
      <c r="DB1671" s="168"/>
      <c r="DC1671" s="165"/>
      <c r="DD1671" s="166"/>
      <c r="DE1671" s="71"/>
      <c r="DF1671" s="170"/>
      <c r="EO1671" s="375" t="str">
        <f t="shared" si="213"/>
        <v>ANTIOQUIA_FREDONIA</v>
      </c>
      <c r="EP1671" s="376"/>
      <c r="EQ1671" s="376"/>
      <c r="ER1671" s="377"/>
      <c r="ES1671" s="376"/>
      <c r="ET1671" s="376"/>
      <c r="EU1671" s="376"/>
    </row>
    <row r="1672" spans="1:151" s="171" customFormat="1" ht="48" x14ac:dyDescent="0.2">
      <c r="A1672" s="242">
        <v>40494</v>
      </c>
      <c r="B1672" s="222" t="s">
        <v>1951</v>
      </c>
      <c r="C1672" s="222" t="s">
        <v>1989</v>
      </c>
      <c r="D1672" s="430" t="s">
        <v>837</v>
      </c>
      <c r="E1672" s="107" t="str">
        <f>VLOOKUP(B1672&amp;C1672,Divipola!$C$2:$F$1138,4,FALSE)</f>
        <v>08001</v>
      </c>
      <c r="F1672" s="333"/>
      <c r="G1672" s="221"/>
      <c r="H1672" s="157"/>
      <c r="I1672" s="157"/>
      <c r="J1672" s="157">
        <f>2245*5</f>
        <v>11225</v>
      </c>
      <c r="K1672" s="157">
        <f>10+2235</f>
        <v>2245</v>
      </c>
      <c r="L1672" s="157"/>
      <c r="M1672" s="157">
        <v>2245</v>
      </c>
      <c r="N1672" s="157"/>
      <c r="O1672" s="157"/>
      <c r="P1672" s="157"/>
      <c r="Q1672" s="157"/>
      <c r="R1672" s="157"/>
      <c r="S1672" s="157"/>
      <c r="T1672" s="157"/>
      <c r="U1672" s="157"/>
      <c r="V1672" s="158"/>
      <c r="W1672" s="182" t="s">
        <v>2828</v>
      </c>
      <c r="X1672" s="1"/>
      <c r="Y1672" s="78">
        <f t="shared" si="215"/>
        <v>0</v>
      </c>
      <c r="Z1672" s="78">
        <f t="shared" si="216"/>
        <v>0</v>
      </c>
      <c r="AA1672" s="78">
        <f t="shared" si="214"/>
        <v>0</v>
      </c>
      <c r="AB1672" s="78">
        <f t="shared" si="217"/>
        <v>0</v>
      </c>
      <c r="AC1672" s="78"/>
      <c r="AD1672" s="78">
        <v>0</v>
      </c>
      <c r="AE1672" s="80">
        <f t="shared" si="212"/>
        <v>0</v>
      </c>
      <c r="AF1672" s="82">
        <v>0</v>
      </c>
      <c r="AG1672" s="69">
        <v>40497</v>
      </c>
      <c r="AH1672" s="84"/>
      <c r="AI1672" s="69" t="s">
        <v>1984</v>
      </c>
      <c r="AJ1672" s="25" t="s">
        <v>1985</v>
      </c>
      <c r="AK1672" s="65"/>
      <c r="AL1672" s="176" t="s">
        <v>1257</v>
      </c>
      <c r="AM1672" s="173" t="s">
        <v>46</v>
      </c>
      <c r="AN1672" s="159"/>
      <c r="AO1672" s="160"/>
      <c r="AP1672" s="161"/>
      <c r="AQ1672" s="160"/>
      <c r="AR1672" s="160"/>
      <c r="AS1672" s="160"/>
      <c r="AT1672" s="160"/>
      <c r="AU1672" s="160"/>
      <c r="AV1672" s="160"/>
      <c r="AW1672" s="160"/>
      <c r="AX1672" s="160"/>
      <c r="AY1672" s="160"/>
      <c r="AZ1672" s="160"/>
      <c r="BA1672" s="160"/>
      <c r="BB1672" s="160"/>
      <c r="BC1672" s="160"/>
      <c r="BD1672" s="160"/>
      <c r="BE1672" s="160"/>
      <c r="BF1672" s="160"/>
      <c r="BG1672" s="160"/>
      <c r="BH1672" s="160"/>
      <c r="BI1672" s="160"/>
      <c r="BJ1672" s="160"/>
      <c r="BK1672" s="160"/>
      <c r="BL1672" s="160"/>
      <c r="BM1672" s="160"/>
      <c r="BN1672" s="160"/>
      <c r="BO1672" s="160"/>
      <c r="BP1672" s="160"/>
      <c r="BQ1672" s="160"/>
      <c r="BR1672" s="160"/>
      <c r="BS1672" s="160"/>
      <c r="BT1672" s="160"/>
      <c r="BU1672" s="160"/>
      <c r="BV1672" s="160"/>
      <c r="BW1672" s="160"/>
      <c r="BX1672" s="160"/>
      <c r="BY1672" s="160"/>
      <c r="BZ1672" s="160"/>
      <c r="CA1672" s="160"/>
      <c r="CB1672" s="160"/>
      <c r="CC1672" s="160"/>
      <c r="CD1672" s="160"/>
      <c r="CE1672" s="160"/>
      <c r="CF1672" s="160"/>
      <c r="CG1672" s="160"/>
      <c r="CH1672" s="160"/>
      <c r="CI1672" s="160"/>
      <c r="CJ1672" s="160"/>
      <c r="CK1672" s="160"/>
      <c r="CL1672" s="160"/>
      <c r="CM1672" s="160"/>
      <c r="CN1672" s="160"/>
      <c r="CO1672" s="160"/>
      <c r="CP1672" s="162"/>
      <c r="CQ1672" s="163"/>
      <c r="CR1672" s="162"/>
      <c r="CS1672" s="163"/>
      <c r="CT1672" s="162"/>
      <c r="CU1672" s="163"/>
      <c r="CV1672" s="164">
        <f t="shared" si="218"/>
        <v>0</v>
      </c>
      <c r="CW1672" s="165"/>
      <c r="CX1672" s="166"/>
      <c r="CY1672" s="167"/>
      <c r="CZ1672" s="168"/>
      <c r="DA1672" s="169"/>
      <c r="DB1672" s="168"/>
      <c r="DC1672" s="165"/>
      <c r="DD1672" s="166"/>
      <c r="DE1672" s="71"/>
      <c r="DF1672" s="170"/>
      <c r="EO1672" s="375" t="str">
        <f t="shared" si="213"/>
        <v>ATLANTICO_BARRANQUILLA</v>
      </c>
      <c r="EP1672" s="376"/>
      <c r="EQ1672" s="376"/>
      <c r="ER1672" s="377"/>
      <c r="ES1672" s="376"/>
      <c r="ET1672" s="376"/>
      <c r="EU1672" s="376"/>
    </row>
    <row r="1673" spans="1:151" s="171" customFormat="1" ht="36" x14ac:dyDescent="0.2">
      <c r="A1673" s="242">
        <v>40494</v>
      </c>
      <c r="B1673" s="222" t="s">
        <v>1189</v>
      </c>
      <c r="C1673" s="222" t="s">
        <v>492</v>
      </c>
      <c r="D1673" s="430" t="s">
        <v>837</v>
      </c>
      <c r="E1673" s="107" t="str">
        <f>VLOOKUP(B1673&amp;C1673,Divipola!$C$2:$F$1138,4,FALSE)</f>
        <v>85225</v>
      </c>
      <c r="F1673" s="333"/>
      <c r="G1673" s="221"/>
      <c r="H1673" s="157"/>
      <c r="I1673" s="157"/>
      <c r="J1673" s="157">
        <f>47*5</f>
        <v>235</v>
      </c>
      <c r="K1673" s="157">
        <v>47</v>
      </c>
      <c r="L1673" s="157"/>
      <c r="M1673" s="157">
        <v>47</v>
      </c>
      <c r="N1673" s="157"/>
      <c r="O1673" s="157"/>
      <c r="P1673" s="157"/>
      <c r="Q1673" s="157"/>
      <c r="R1673" s="157"/>
      <c r="S1673" s="157"/>
      <c r="T1673" s="157"/>
      <c r="U1673" s="157"/>
      <c r="V1673" s="158"/>
      <c r="W1673" s="182"/>
      <c r="X1673" s="1"/>
      <c r="Y1673" s="78">
        <f t="shared" si="215"/>
        <v>0</v>
      </c>
      <c r="Z1673" s="78">
        <f t="shared" si="216"/>
        <v>0</v>
      </c>
      <c r="AA1673" s="78">
        <f t="shared" si="214"/>
        <v>0</v>
      </c>
      <c r="AB1673" s="78">
        <f t="shared" si="217"/>
        <v>0</v>
      </c>
      <c r="AC1673" s="78"/>
      <c r="AD1673" s="78">
        <v>0</v>
      </c>
      <c r="AE1673" s="80">
        <f t="shared" ref="AE1673:AE1736" si="219">Y1673+Z1673+AA1673+AB1673+AC1673+AD1673</f>
        <v>0</v>
      </c>
      <c r="AF1673" s="82">
        <v>0</v>
      </c>
      <c r="AG1673" s="69">
        <v>40492</v>
      </c>
      <c r="AH1673" s="84"/>
      <c r="AI1673" s="69" t="s">
        <v>1984</v>
      </c>
      <c r="AJ1673" s="25" t="s">
        <v>1985</v>
      </c>
      <c r="AK1673" s="65"/>
      <c r="AL1673" s="176" t="s">
        <v>1257</v>
      </c>
      <c r="AM1673" s="173" t="s">
        <v>2612</v>
      </c>
      <c r="AN1673" s="159"/>
      <c r="AO1673" s="160"/>
      <c r="AP1673" s="161"/>
      <c r="AQ1673" s="160"/>
      <c r="AR1673" s="160"/>
      <c r="AS1673" s="160"/>
      <c r="AT1673" s="160"/>
      <c r="AU1673" s="160"/>
      <c r="AV1673" s="160"/>
      <c r="AW1673" s="160"/>
      <c r="AX1673" s="160"/>
      <c r="AY1673" s="160"/>
      <c r="AZ1673" s="160"/>
      <c r="BA1673" s="160"/>
      <c r="BB1673" s="160"/>
      <c r="BC1673" s="160"/>
      <c r="BD1673" s="160"/>
      <c r="BE1673" s="160"/>
      <c r="BF1673" s="160"/>
      <c r="BG1673" s="160"/>
      <c r="BH1673" s="160"/>
      <c r="BI1673" s="160"/>
      <c r="BJ1673" s="160"/>
      <c r="BK1673" s="160"/>
      <c r="BL1673" s="160"/>
      <c r="BM1673" s="160"/>
      <c r="BN1673" s="160"/>
      <c r="BO1673" s="160"/>
      <c r="BP1673" s="160"/>
      <c r="BQ1673" s="160"/>
      <c r="BR1673" s="160"/>
      <c r="BS1673" s="160"/>
      <c r="BT1673" s="160"/>
      <c r="BU1673" s="160"/>
      <c r="BV1673" s="160"/>
      <c r="BW1673" s="160"/>
      <c r="BX1673" s="160"/>
      <c r="BY1673" s="160"/>
      <c r="BZ1673" s="160"/>
      <c r="CA1673" s="160"/>
      <c r="CB1673" s="160"/>
      <c r="CC1673" s="160"/>
      <c r="CD1673" s="160"/>
      <c r="CE1673" s="160"/>
      <c r="CF1673" s="160"/>
      <c r="CG1673" s="160"/>
      <c r="CH1673" s="160"/>
      <c r="CI1673" s="160"/>
      <c r="CJ1673" s="160"/>
      <c r="CK1673" s="160"/>
      <c r="CL1673" s="160"/>
      <c r="CM1673" s="160"/>
      <c r="CN1673" s="160"/>
      <c r="CO1673" s="160"/>
      <c r="CP1673" s="162"/>
      <c r="CQ1673" s="163"/>
      <c r="CR1673" s="162"/>
      <c r="CS1673" s="163"/>
      <c r="CT1673" s="162"/>
      <c r="CU1673" s="163"/>
      <c r="CV1673" s="164">
        <f t="shared" si="218"/>
        <v>0</v>
      </c>
      <c r="CW1673" s="165"/>
      <c r="CX1673" s="166"/>
      <c r="CY1673" s="167"/>
      <c r="CZ1673" s="168"/>
      <c r="DA1673" s="169"/>
      <c r="DB1673" s="168"/>
      <c r="DC1673" s="165"/>
      <c r="DD1673" s="166"/>
      <c r="DE1673" s="71"/>
      <c r="DF1673" s="170"/>
      <c r="EO1673" s="375" t="str">
        <f t="shared" si="213"/>
        <v>CASANARE_NUNCHIA</v>
      </c>
      <c r="EP1673" s="376"/>
      <c r="EQ1673" s="376"/>
      <c r="ER1673" s="377"/>
      <c r="ES1673" s="376"/>
      <c r="ET1673" s="376"/>
      <c r="EU1673" s="376"/>
    </row>
    <row r="1674" spans="1:151" s="171" customFormat="1" ht="60" x14ac:dyDescent="0.2">
      <c r="A1674" s="242">
        <v>40494</v>
      </c>
      <c r="B1674" s="222" t="s">
        <v>1719</v>
      </c>
      <c r="C1674" s="222" t="s">
        <v>2640</v>
      </c>
      <c r="D1674" s="430" t="s">
        <v>2307</v>
      </c>
      <c r="E1674" s="107" t="str">
        <f>VLOOKUP(B1674&amp;C1674,Divipola!$C$2:$F$1138,4,FALSE)</f>
        <v>19548</v>
      </c>
      <c r="F1674" s="333"/>
      <c r="G1674" s="221"/>
      <c r="H1674" s="157"/>
      <c r="I1674" s="157"/>
      <c r="J1674" s="157">
        <f>644*5</f>
        <v>3220</v>
      </c>
      <c r="K1674" s="157">
        <f>688-44</f>
        <v>644</v>
      </c>
      <c r="L1674" s="157"/>
      <c r="M1674" s="157">
        <v>447</v>
      </c>
      <c r="N1674" s="157">
        <v>3</v>
      </c>
      <c r="O1674" s="157"/>
      <c r="P1674" s="157"/>
      <c r="Q1674" s="157">
        <v>1</v>
      </c>
      <c r="R1674" s="157"/>
      <c r="S1674" s="157"/>
      <c r="T1674" s="157">
        <v>1</v>
      </c>
      <c r="U1674" s="157">
        <v>1</v>
      </c>
      <c r="V1674" s="158">
        <v>81.77</v>
      </c>
      <c r="W1674" s="182" t="s">
        <v>765</v>
      </c>
      <c r="X1674" s="1"/>
      <c r="Y1674" s="78">
        <f t="shared" si="215"/>
        <v>0</v>
      </c>
      <c r="Z1674" s="78">
        <f t="shared" si="216"/>
        <v>0</v>
      </c>
      <c r="AA1674" s="78">
        <f t="shared" si="214"/>
        <v>0</v>
      </c>
      <c r="AB1674" s="78">
        <f t="shared" si="217"/>
        <v>0</v>
      </c>
      <c r="AC1674" s="78"/>
      <c r="AD1674" s="78">
        <v>0</v>
      </c>
      <c r="AE1674" s="80">
        <f t="shared" si="219"/>
        <v>0</v>
      </c>
      <c r="AF1674" s="82">
        <v>0</v>
      </c>
      <c r="AG1674" s="69"/>
      <c r="AH1674" s="84"/>
      <c r="AI1674" s="69" t="s">
        <v>2009</v>
      </c>
      <c r="AJ1674" s="276" t="s">
        <v>2010</v>
      </c>
      <c r="AK1674" s="65"/>
      <c r="AL1674" s="272" t="s">
        <v>311</v>
      </c>
      <c r="AM1674" s="173" t="s">
        <v>2641</v>
      </c>
      <c r="AN1674" s="159"/>
      <c r="AO1674" s="160"/>
      <c r="AP1674" s="161"/>
      <c r="AQ1674" s="160"/>
      <c r="AR1674" s="160"/>
      <c r="AS1674" s="160"/>
      <c r="AT1674" s="160"/>
      <c r="AU1674" s="160"/>
      <c r="AV1674" s="160"/>
      <c r="AW1674" s="160"/>
      <c r="AX1674" s="160"/>
      <c r="AY1674" s="160"/>
      <c r="AZ1674" s="160"/>
      <c r="BA1674" s="160"/>
      <c r="BB1674" s="160"/>
      <c r="BC1674" s="160"/>
      <c r="BD1674" s="160"/>
      <c r="BE1674" s="160"/>
      <c r="BF1674" s="160"/>
      <c r="BG1674" s="160"/>
      <c r="BH1674" s="160"/>
      <c r="BI1674" s="160"/>
      <c r="BJ1674" s="160"/>
      <c r="BK1674" s="160"/>
      <c r="BL1674" s="160"/>
      <c r="BM1674" s="160"/>
      <c r="BN1674" s="160"/>
      <c r="BO1674" s="160"/>
      <c r="BP1674" s="160"/>
      <c r="BQ1674" s="160"/>
      <c r="BR1674" s="160"/>
      <c r="BS1674" s="160"/>
      <c r="BT1674" s="160"/>
      <c r="BU1674" s="160"/>
      <c r="BV1674" s="160"/>
      <c r="BW1674" s="160"/>
      <c r="BX1674" s="160"/>
      <c r="BY1674" s="160"/>
      <c r="BZ1674" s="160"/>
      <c r="CA1674" s="160"/>
      <c r="CB1674" s="160"/>
      <c r="CC1674" s="160"/>
      <c r="CD1674" s="160"/>
      <c r="CE1674" s="160"/>
      <c r="CF1674" s="160"/>
      <c r="CG1674" s="160"/>
      <c r="CH1674" s="160"/>
      <c r="CI1674" s="160"/>
      <c r="CJ1674" s="160"/>
      <c r="CK1674" s="160"/>
      <c r="CL1674" s="160"/>
      <c r="CM1674" s="160"/>
      <c r="CN1674" s="160"/>
      <c r="CO1674" s="160"/>
      <c r="CP1674" s="162"/>
      <c r="CQ1674" s="163"/>
      <c r="CR1674" s="162"/>
      <c r="CS1674" s="163"/>
      <c r="CT1674" s="162"/>
      <c r="CU1674" s="163"/>
      <c r="CV1674" s="164">
        <f t="shared" si="218"/>
        <v>0</v>
      </c>
      <c r="CW1674" s="165"/>
      <c r="CX1674" s="166"/>
      <c r="CY1674" s="167"/>
      <c r="CZ1674" s="168"/>
      <c r="DA1674" s="169"/>
      <c r="DB1674" s="168"/>
      <c r="DC1674" s="165"/>
      <c r="DD1674" s="166"/>
      <c r="DE1674" s="71"/>
      <c r="DF1674" s="170"/>
      <c r="EO1674" s="375" t="str">
        <f t="shared" si="213"/>
        <v>CAUCA_PIENDAMO</v>
      </c>
      <c r="EP1674" s="376"/>
      <c r="EQ1674" s="376"/>
      <c r="ER1674" s="377"/>
      <c r="ES1674" s="376"/>
      <c r="ET1674" s="376"/>
      <c r="EU1674" s="376"/>
    </row>
    <row r="1675" spans="1:151" s="171" customFormat="1" ht="25.5" x14ac:dyDescent="0.2">
      <c r="A1675" s="242">
        <v>40494</v>
      </c>
      <c r="B1675" s="222" t="s">
        <v>2242</v>
      </c>
      <c r="C1675" s="222" t="s">
        <v>189</v>
      </c>
      <c r="D1675" s="430" t="s">
        <v>837</v>
      </c>
      <c r="E1675" s="107" t="str">
        <f>VLOOKUP(B1675&amp;C1675,Divipola!$C$2:$F$1138,4,FALSE)</f>
        <v>20175</v>
      </c>
      <c r="F1675" s="333"/>
      <c r="G1675" s="221"/>
      <c r="H1675" s="157"/>
      <c r="I1675" s="157"/>
      <c r="J1675" s="157">
        <f>733*5</f>
        <v>3665</v>
      </c>
      <c r="K1675" s="157">
        <f>3060-2118-200</f>
        <v>742</v>
      </c>
      <c r="L1675" s="157"/>
      <c r="M1675" s="157">
        <v>82</v>
      </c>
      <c r="N1675" s="157"/>
      <c r="O1675" s="157"/>
      <c r="P1675" s="157"/>
      <c r="Q1675" s="157"/>
      <c r="R1675" s="157"/>
      <c r="S1675" s="157"/>
      <c r="T1675" s="157"/>
      <c r="U1675" s="157"/>
      <c r="V1675" s="158"/>
      <c r="W1675" s="182"/>
      <c r="X1675" s="1"/>
      <c r="Y1675" s="78">
        <f t="shared" si="215"/>
        <v>0</v>
      </c>
      <c r="Z1675" s="78">
        <f t="shared" si="216"/>
        <v>0</v>
      </c>
      <c r="AA1675" s="78">
        <f t="shared" si="214"/>
        <v>0</v>
      </c>
      <c r="AB1675" s="78">
        <f t="shared" si="217"/>
        <v>0</v>
      </c>
      <c r="AC1675" s="78"/>
      <c r="AD1675" s="78">
        <v>0</v>
      </c>
      <c r="AE1675" s="80">
        <f t="shared" si="219"/>
        <v>0</v>
      </c>
      <c r="AF1675" s="82">
        <v>0</v>
      </c>
      <c r="AG1675" s="69">
        <v>40497</v>
      </c>
      <c r="AH1675" s="84"/>
      <c r="AI1675" s="69" t="s">
        <v>1984</v>
      </c>
      <c r="AJ1675" s="25" t="s">
        <v>1985</v>
      </c>
      <c r="AK1675" s="65"/>
      <c r="AL1675" s="176" t="s">
        <v>1257</v>
      </c>
      <c r="AM1675" s="173" t="s">
        <v>2827</v>
      </c>
      <c r="AN1675" s="159"/>
      <c r="AO1675" s="160"/>
      <c r="AP1675" s="161"/>
      <c r="AQ1675" s="160"/>
      <c r="AR1675" s="160"/>
      <c r="AS1675" s="160"/>
      <c r="AT1675" s="160"/>
      <c r="AU1675" s="160"/>
      <c r="AV1675" s="160"/>
      <c r="AW1675" s="160"/>
      <c r="AX1675" s="160"/>
      <c r="AY1675" s="160"/>
      <c r="AZ1675" s="160"/>
      <c r="BA1675" s="160"/>
      <c r="BB1675" s="160"/>
      <c r="BC1675" s="160"/>
      <c r="BD1675" s="160"/>
      <c r="BE1675" s="160"/>
      <c r="BF1675" s="160"/>
      <c r="BG1675" s="160"/>
      <c r="BH1675" s="160"/>
      <c r="BI1675" s="160"/>
      <c r="BJ1675" s="160"/>
      <c r="BK1675" s="160"/>
      <c r="BL1675" s="160"/>
      <c r="BM1675" s="160"/>
      <c r="BN1675" s="160"/>
      <c r="BO1675" s="160"/>
      <c r="BP1675" s="160"/>
      <c r="BQ1675" s="160"/>
      <c r="BR1675" s="160"/>
      <c r="BS1675" s="160"/>
      <c r="BT1675" s="160"/>
      <c r="BU1675" s="160"/>
      <c r="BV1675" s="160"/>
      <c r="BW1675" s="160"/>
      <c r="BX1675" s="160"/>
      <c r="BY1675" s="160"/>
      <c r="BZ1675" s="160"/>
      <c r="CA1675" s="160"/>
      <c r="CB1675" s="160"/>
      <c r="CC1675" s="160"/>
      <c r="CD1675" s="160"/>
      <c r="CE1675" s="160"/>
      <c r="CF1675" s="160"/>
      <c r="CG1675" s="160"/>
      <c r="CH1675" s="160"/>
      <c r="CI1675" s="160"/>
      <c r="CJ1675" s="160"/>
      <c r="CK1675" s="160"/>
      <c r="CL1675" s="160"/>
      <c r="CM1675" s="160"/>
      <c r="CN1675" s="160"/>
      <c r="CO1675" s="160"/>
      <c r="CP1675" s="162"/>
      <c r="CQ1675" s="163"/>
      <c r="CR1675" s="162"/>
      <c r="CS1675" s="163"/>
      <c r="CT1675" s="162"/>
      <c r="CU1675" s="163"/>
      <c r="CV1675" s="164">
        <f t="shared" si="218"/>
        <v>0</v>
      </c>
      <c r="CW1675" s="165"/>
      <c r="CX1675" s="166"/>
      <c r="CY1675" s="167"/>
      <c r="CZ1675" s="168"/>
      <c r="DA1675" s="169"/>
      <c r="DB1675" s="168"/>
      <c r="DC1675" s="165"/>
      <c r="DD1675" s="166"/>
      <c r="DE1675" s="71"/>
      <c r="DF1675" s="170"/>
      <c r="EO1675" s="375" t="str">
        <f t="shared" si="213"/>
        <v>CESAR_CHIMICHAGUA</v>
      </c>
      <c r="EP1675" s="376"/>
      <c r="EQ1675" s="376"/>
      <c r="ER1675" s="377"/>
      <c r="ES1675" s="376"/>
      <c r="ET1675" s="376"/>
      <c r="EU1675" s="376"/>
    </row>
    <row r="1676" spans="1:151" s="171" customFormat="1" ht="51" x14ac:dyDescent="0.2">
      <c r="A1676" s="242">
        <v>40494</v>
      </c>
      <c r="B1676" s="107" t="s">
        <v>1700</v>
      </c>
      <c r="C1676" s="222" t="s">
        <v>2825</v>
      </c>
      <c r="D1676" s="430" t="s">
        <v>837</v>
      </c>
      <c r="E1676" s="107" t="str">
        <f>VLOOKUP(B1676&amp;C1676,Divipola!$C$2:$F$1138,4,FALSE)</f>
        <v>23574</v>
      </c>
      <c r="F1676" s="333"/>
      <c r="G1676" s="221"/>
      <c r="H1676" s="157"/>
      <c r="I1676" s="157"/>
      <c r="J1676" s="157">
        <f>1465-138</f>
        <v>1327</v>
      </c>
      <c r="K1676" s="157">
        <f>293-28</f>
        <v>265</v>
      </c>
      <c r="L1676" s="157"/>
      <c r="M1676" s="157"/>
      <c r="N1676" s="157"/>
      <c r="O1676" s="157"/>
      <c r="P1676" s="157"/>
      <c r="Q1676" s="157"/>
      <c r="R1676" s="157"/>
      <c r="S1676" s="157"/>
      <c r="T1676" s="157"/>
      <c r="U1676" s="157"/>
      <c r="V1676" s="158"/>
      <c r="W1676" s="182"/>
      <c r="X1676" s="1"/>
      <c r="Y1676" s="78">
        <f t="shared" si="215"/>
        <v>0</v>
      </c>
      <c r="Z1676" s="78">
        <f t="shared" si="216"/>
        <v>0</v>
      </c>
      <c r="AA1676" s="78">
        <f t="shared" si="214"/>
        <v>0</v>
      </c>
      <c r="AB1676" s="78">
        <f t="shared" si="217"/>
        <v>0</v>
      </c>
      <c r="AC1676" s="78"/>
      <c r="AD1676" s="78">
        <v>0</v>
      </c>
      <c r="AE1676" s="80">
        <f t="shared" si="219"/>
        <v>0</v>
      </c>
      <c r="AF1676" s="82">
        <v>0</v>
      </c>
      <c r="AG1676" s="69">
        <v>40497</v>
      </c>
      <c r="AH1676" s="84"/>
      <c r="AI1676" s="69" t="s">
        <v>1984</v>
      </c>
      <c r="AJ1676" s="25" t="s">
        <v>1985</v>
      </c>
      <c r="AK1676" s="65"/>
      <c r="AL1676" s="176" t="s">
        <v>1257</v>
      </c>
      <c r="AM1676" s="173" t="s">
        <v>2826</v>
      </c>
      <c r="AN1676" s="159"/>
      <c r="AO1676" s="160"/>
      <c r="AP1676" s="161"/>
      <c r="AQ1676" s="160"/>
      <c r="AR1676" s="160"/>
      <c r="AS1676" s="160"/>
      <c r="AT1676" s="160"/>
      <c r="AU1676" s="160"/>
      <c r="AV1676" s="160"/>
      <c r="AW1676" s="160"/>
      <c r="AX1676" s="160"/>
      <c r="AY1676" s="160"/>
      <c r="AZ1676" s="160"/>
      <c r="BA1676" s="160"/>
      <c r="BB1676" s="160"/>
      <c r="BC1676" s="160"/>
      <c r="BD1676" s="160"/>
      <c r="BE1676" s="160"/>
      <c r="BF1676" s="160"/>
      <c r="BG1676" s="160"/>
      <c r="BH1676" s="160"/>
      <c r="BI1676" s="160"/>
      <c r="BJ1676" s="160"/>
      <c r="BK1676" s="160"/>
      <c r="BL1676" s="160"/>
      <c r="BM1676" s="160"/>
      <c r="BN1676" s="160"/>
      <c r="BO1676" s="160"/>
      <c r="BP1676" s="160"/>
      <c r="BQ1676" s="160"/>
      <c r="BR1676" s="160"/>
      <c r="BS1676" s="160"/>
      <c r="BT1676" s="160"/>
      <c r="BU1676" s="160"/>
      <c r="BV1676" s="160"/>
      <c r="BW1676" s="160"/>
      <c r="BX1676" s="160"/>
      <c r="BY1676" s="160"/>
      <c r="BZ1676" s="160"/>
      <c r="CA1676" s="160"/>
      <c r="CB1676" s="160"/>
      <c r="CC1676" s="160"/>
      <c r="CD1676" s="160"/>
      <c r="CE1676" s="160"/>
      <c r="CF1676" s="160"/>
      <c r="CG1676" s="160"/>
      <c r="CH1676" s="160"/>
      <c r="CI1676" s="160"/>
      <c r="CJ1676" s="160"/>
      <c r="CK1676" s="160"/>
      <c r="CL1676" s="160"/>
      <c r="CM1676" s="160"/>
      <c r="CN1676" s="160"/>
      <c r="CO1676" s="160"/>
      <c r="CP1676" s="162"/>
      <c r="CQ1676" s="163"/>
      <c r="CR1676" s="162"/>
      <c r="CS1676" s="163"/>
      <c r="CT1676" s="162"/>
      <c r="CU1676" s="163"/>
      <c r="CV1676" s="164">
        <f t="shared" si="218"/>
        <v>0</v>
      </c>
      <c r="CW1676" s="165"/>
      <c r="CX1676" s="166"/>
      <c r="CY1676" s="167"/>
      <c r="CZ1676" s="168"/>
      <c r="DA1676" s="169"/>
      <c r="DB1676" s="168"/>
      <c r="DC1676" s="165"/>
      <c r="DD1676" s="166"/>
      <c r="DE1676" s="71"/>
      <c r="DF1676" s="170"/>
      <c r="EO1676" s="375" t="str">
        <f t="shared" si="213"/>
        <v>CORDOBA_PUERTO ESCONDIDO</v>
      </c>
      <c r="EP1676" s="376"/>
      <c r="EQ1676" s="376"/>
      <c r="ER1676" s="377"/>
      <c r="ES1676" s="376"/>
      <c r="ET1676" s="376"/>
      <c r="EU1676" s="376"/>
    </row>
    <row r="1677" spans="1:151" s="171" customFormat="1" ht="25.5" x14ac:dyDescent="0.2">
      <c r="A1677" s="242">
        <v>40494</v>
      </c>
      <c r="B1677" s="222" t="s">
        <v>2013</v>
      </c>
      <c r="C1677" s="222" t="s">
        <v>2013</v>
      </c>
      <c r="D1677" s="430" t="s">
        <v>837</v>
      </c>
      <c r="E1677" s="107" t="str">
        <f>VLOOKUP(B1677&amp;C1677,Divipola!$C$2:$F$1138,4,FALSE)</f>
        <v>00000</v>
      </c>
      <c r="F1677" s="333"/>
      <c r="G1677" s="221"/>
      <c r="H1677" s="157"/>
      <c r="I1677" s="157"/>
      <c r="J1677" s="157"/>
      <c r="K1677" s="157"/>
      <c r="L1677" s="157"/>
      <c r="M1677" s="157"/>
      <c r="N1677" s="157"/>
      <c r="O1677" s="157"/>
      <c r="P1677" s="157"/>
      <c r="Q1677" s="157"/>
      <c r="R1677" s="157"/>
      <c r="S1677" s="157"/>
      <c r="T1677" s="157"/>
      <c r="U1677" s="157"/>
      <c r="V1677" s="158"/>
      <c r="W1677" s="182"/>
      <c r="X1677" s="1"/>
      <c r="Y1677" s="78">
        <f t="shared" si="215"/>
        <v>0</v>
      </c>
      <c r="Z1677" s="78">
        <f t="shared" si="216"/>
        <v>0</v>
      </c>
      <c r="AA1677" s="78">
        <f t="shared" si="214"/>
        <v>0</v>
      </c>
      <c r="AB1677" s="78">
        <f t="shared" si="217"/>
        <v>72012800</v>
      </c>
      <c r="AC1677" s="78"/>
      <c r="AD1677" s="78">
        <v>0</v>
      </c>
      <c r="AE1677" s="80">
        <f t="shared" si="219"/>
        <v>72012800</v>
      </c>
      <c r="AF1677" s="82">
        <v>0</v>
      </c>
      <c r="AG1677" s="69">
        <v>40500</v>
      </c>
      <c r="AH1677" s="84"/>
      <c r="AI1677" s="69" t="s">
        <v>2009</v>
      </c>
      <c r="AJ1677" s="25" t="s">
        <v>2010</v>
      </c>
      <c r="AK1677" s="65"/>
      <c r="AL1677" s="176" t="s">
        <v>1831</v>
      </c>
      <c r="AM1677" s="173" t="s">
        <v>1656</v>
      </c>
      <c r="AN1677" s="159"/>
      <c r="AO1677" s="160"/>
      <c r="AP1677" s="161"/>
      <c r="AQ1677" s="160"/>
      <c r="AR1677" s="160"/>
      <c r="AS1677" s="160"/>
      <c r="AT1677" s="160"/>
      <c r="AU1677" s="160"/>
      <c r="AV1677" s="160"/>
      <c r="AW1677" s="160"/>
      <c r="AX1677" s="160"/>
      <c r="AY1677" s="160"/>
      <c r="AZ1677" s="160"/>
      <c r="BA1677" s="160"/>
      <c r="BB1677" s="160"/>
      <c r="BC1677" s="160"/>
      <c r="BD1677" s="160"/>
      <c r="BE1677" s="160"/>
      <c r="BF1677" s="160"/>
      <c r="BG1677" s="160"/>
      <c r="BH1677" s="160"/>
      <c r="BI1677" s="160"/>
      <c r="BJ1677" s="160"/>
      <c r="BK1677" s="160"/>
      <c r="BL1677" s="160"/>
      <c r="BM1677" s="160"/>
      <c r="BN1677" s="160"/>
      <c r="BO1677" s="160"/>
      <c r="BP1677" s="160"/>
      <c r="BQ1677" s="160"/>
      <c r="BR1677" s="160"/>
      <c r="BS1677" s="160"/>
      <c r="BT1677" s="160"/>
      <c r="BU1677" s="160"/>
      <c r="BV1677" s="160"/>
      <c r="BW1677" s="160"/>
      <c r="BX1677" s="160"/>
      <c r="BY1677" s="160"/>
      <c r="BZ1677" s="160"/>
      <c r="CA1677" s="160"/>
      <c r="CB1677" s="160"/>
      <c r="CC1677" s="160"/>
      <c r="CD1677" s="160"/>
      <c r="CE1677" s="160"/>
      <c r="CF1677" s="160"/>
      <c r="CG1677" s="160"/>
      <c r="CH1677" s="160"/>
      <c r="CI1677" s="160"/>
      <c r="CJ1677" s="160"/>
      <c r="CK1677" s="160"/>
      <c r="CL1677" s="160"/>
      <c r="CM1677" s="160"/>
      <c r="CN1677" s="160"/>
      <c r="CO1677" s="160"/>
      <c r="CP1677" s="162"/>
      <c r="CQ1677" s="163"/>
      <c r="CR1677" s="162"/>
      <c r="CS1677" s="163"/>
      <c r="CT1677" s="162"/>
      <c r="CU1677" s="163"/>
      <c r="CV1677" s="164">
        <f t="shared" si="218"/>
        <v>0</v>
      </c>
      <c r="CW1677" s="165">
        <v>80000</v>
      </c>
      <c r="CX1677" s="166">
        <f>80000*900.16</f>
        <v>72012800</v>
      </c>
      <c r="CY1677" s="167"/>
      <c r="CZ1677" s="168"/>
      <c r="DA1677" s="169"/>
      <c r="DB1677" s="168"/>
      <c r="DC1677" s="165"/>
      <c r="DD1677" s="166"/>
      <c r="DE1677" s="71"/>
      <c r="DF1677" s="170"/>
      <c r="EO1677" s="375" t="str">
        <f t="shared" si="213"/>
        <v>NACION_NACION</v>
      </c>
      <c r="EP1677" s="376"/>
      <c r="EQ1677" s="376"/>
      <c r="ER1677" s="377"/>
      <c r="ES1677" s="376"/>
      <c r="ET1677" s="376"/>
      <c r="EU1677" s="376"/>
    </row>
    <row r="1678" spans="1:151" s="171" customFormat="1" ht="36" x14ac:dyDescent="0.2">
      <c r="A1678" s="242">
        <v>40494</v>
      </c>
      <c r="B1678" s="222" t="s">
        <v>2245</v>
      </c>
      <c r="C1678" s="222" t="s">
        <v>893</v>
      </c>
      <c r="D1678" s="430" t="s">
        <v>837</v>
      </c>
      <c r="E1678" s="107" t="str">
        <f>VLOOKUP(B1678&amp;C1678,Divipola!$C$2:$F$1138,4,FALSE)</f>
        <v>52079</v>
      </c>
      <c r="F1678" s="333"/>
      <c r="G1678" s="221"/>
      <c r="H1678" s="157"/>
      <c r="I1678" s="157"/>
      <c r="J1678" s="157"/>
      <c r="K1678" s="157"/>
      <c r="L1678" s="157"/>
      <c r="M1678" s="157"/>
      <c r="N1678" s="157"/>
      <c r="O1678" s="157"/>
      <c r="P1678" s="157"/>
      <c r="Q1678" s="157"/>
      <c r="R1678" s="157"/>
      <c r="S1678" s="157"/>
      <c r="T1678" s="157"/>
      <c r="U1678" s="157"/>
      <c r="V1678" s="158"/>
      <c r="W1678" s="182"/>
      <c r="X1678" s="1"/>
      <c r="Y1678" s="78">
        <f t="shared" si="215"/>
        <v>0</v>
      </c>
      <c r="Z1678" s="78">
        <f t="shared" si="216"/>
        <v>0</v>
      </c>
      <c r="AA1678" s="78">
        <f t="shared" si="214"/>
        <v>0</v>
      </c>
      <c r="AB1678" s="78">
        <f t="shared" si="217"/>
        <v>0</v>
      </c>
      <c r="AC1678" s="78"/>
      <c r="AD1678" s="78">
        <v>0</v>
      </c>
      <c r="AE1678" s="80">
        <f t="shared" si="219"/>
        <v>0</v>
      </c>
      <c r="AF1678" s="82">
        <v>0</v>
      </c>
      <c r="AG1678" s="69">
        <v>40497</v>
      </c>
      <c r="AH1678" s="84"/>
      <c r="AI1678" s="69" t="s">
        <v>1984</v>
      </c>
      <c r="AJ1678" s="25" t="s">
        <v>1985</v>
      </c>
      <c r="AK1678" s="65"/>
      <c r="AL1678" s="176" t="s">
        <v>1257</v>
      </c>
      <c r="AM1678" s="173" t="s">
        <v>2810</v>
      </c>
      <c r="AN1678" s="159"/>
      <c r="AO1678" s="160"/>
      <c r="AP1678" s="161"/>
      <c r="AQ1678" s="160"/>
      <c r="AR1678" s="160"/>
      <c r="AS1678" s="160"/>
      <c r="AT1678" s="160"/>
      <c r="AU1678" s="160"/>
      <c r="AV1678" s="160"/>
      <c r="AW1678" s="160"/>
      <c r="AX1678" s="160"/>
      <c r="AY1678" s="160"/>
      <c r="AZ1678" s="160"/>
      <c r="BA1678" s="160"/>
      <c r="BB1678" s="160"/>
      <c r="BC1678" s="160"/>
      <c r="BD1678" s="160"/>
      <c r="BE1678" s="160"/>
      <c r="BF1678" s="160"/>
      <c r="BG1678" s="160"/>
      <c r="BH1678" s="160"/>
      <c r="BI1678" s="160"/>
      <c r="BJ1678" s="160"/>
      <c r="BK1678" s="160"/>
      <c r="BL1678" s="160"/>
      <c r="BM1678" s="160"/>
      <c r="BN1678" s="160"/>
      <c r="BO1678" s="160"/>
      <c r="BP1678" s="160"/>
      <c r="BQ1678" s="160"/>
      <c r="BR1678" s="160"/>
      <c r="BS1678" s="160"/>
      <c r="BT1678" s="160"/>
      <c r="BU1678" s="160"/>
      <c r="BV1678" s="160"/>
      <c r="BW1678" s="160"/>
      <c r="BX1678" s="160"/>
      <c r="BY1678" s="160"/>
      <c r="BZ1678" s="160"/>
      <c r="CA1678" s="160"/>
      <c r="CB1678" s="160"/>
      <c r="CC1678" s="160"/>
      <c r="CD1678" s="160"/>
      <c r="CE1678" s="160"/>
      <c r="CF1678" s="160"/>
      <c r="CG1678" s="160"/>
      <c r="CH1678" s="160"/>
      <c r="CI1678" s="160"/>
      <c r="CJ1678" s="160"/>
      <c r="CK1678" s="160"/>
      <c r="CL1678" s="160"/>
      <c r="CM1678" s="160"/>
      <c r="CN1678" s="160"/>
      <c r="CO1678" s="160"/>
      <c r="CP1678" s="162"/>
      <c r="CQ1678" s="163"/>
      <c r="CR1678" s="162"/>
      <c r="CS1678" s="163"/>
      <c r="CT1678" s="162"/>
      <c r="CU1678" s="163"/>
      <c r="CV1678" s="164">
        <f t="shared" si="218"/>
        <v>0</v>
      </c>
      <c r="CW1678" s="165"/>
      <c r="CX1678" s="166"/>
      <c r="CY1678" s="167"/>
      <c r="CZ1678" s="168"/>
      <c r="DA1678" s="169"/>
      <c r="DB1678" s="168"/>
      <c r="DC1678" s="165"/>
      <c r="DD1678" s="166"/>
      <c r="DE1678" s="71"/>
      <c r="DF1678" s="170"/>
      <c r="EO1678" s="375" t="str">
        <f t="shared" si="213"/>
        <v>NARIÑO_BARBACOAS</v>
      </c>
      <c r="EP1678" s="376"/>
      <c r="EQ1678" s="376"/>
      <c r="ER1678" s="377"/>
      <c r="ES1678" s="376"/>
      <c r="ET1678" s="376"/>
      <c r="EU1678" s="376"/>
    </row>
    <row r="1679" spans="1:151" s="171" customFormat="1" ht="51" x14ac:dyDescent="0.2">
      <c r="A1679" s="242">
        <v>40494</v>
      </c>
      <c r="B1679" s="222" t="s">
        <v>1336</v>
      </c>
      <c r="C1679" s="222" t="s">
        <v>2812</v>
      </c>
      <c r="D1679" s="427" t="s">
        <v>2307</v>
      </c>
      <c r="E1679" s="107" t="str">
        <f>VLOOKUP(B1679&amp;C1679,Divipola!$C$2:$F$1138,4,FALSE)</f>
        <v>54599</v>
      </c>
      <c r="F1679" s="330"/>
      <c r="G1679" s="221"/>
      <c r="H1679" s="157"/>
      <c r="I1679" s="157"/>
      <c r="J1679" s="157">
        <v>519</v>
      </c>
      <c r="K1679" s="157">
        <v>124</v>
      </c>
      <c r="L1679" s="157">
        <v>44</v>
      </c>
      <c r="M1679" s="157">
        <v>21</v>
      </c>
      <c r="N1679" s="157"/>
      <c r="O1679" s="157"/>
      <c r="P1679" s="157"/>
      <c r="Q1679" s="157"/>
      <c r="R1679" s="157"/>
      <c r="S1679" s="157"/>
      <c r="T1679" s="157"/>
      <c r="U1679" s="157"/>
      <c r="V1679" s="158"/>
      <c r="W1679" s="182"/>
      <c r="X1679" s="1"/>
      <c r="Y1679" s="78">
        <f t="shared" si="215"/>
        <v>5550000</v>
      </c>
      <c r="Z1679" s="78">
        <f t="shared" si="216"/>
        <v>0</v>
      </c>
      <c r="AA1679" s="78">
        <f t="shared" si="214"/>
        <v>0</v>
      </c>
      <c r="AB1679" s="78">
        <f t="shared" si="217"/>
        <v>0</v>
      </c>
      <c r="AC1679" s="78"/>
      <c r="AD1679" s="78">
        <v>0</v>
      </c>
      <c r="AE1679" s="80">
        <f t="shared" si="219"/>
        <v>5550000</v>
      </c>
      <c r="AF1679" s="82">
        <v>0</v>
      </c>
      <c r="AG1679" s="69">
        <v>40497</v>
      </c>
      <c r="AH1679" s="84"/>
      <c r="AI1679" s="69" t="s">
        <v>2009</v>
      </c>
      <c r="AJ1679" s="25" t="s">
        <v>2010</v>
      </c>
      <c r="AK1679" s="65"/>
      <c r="AL1679" s="176" t="s">
        <v>1257</v>
      </c>
      <c r="AM1679" s="173" t="s">
        <v>2813</v>
      </c>
      <c r="AN1679" s="159"/>
      <c r="AO1679" s="160"/>
      <c r="AP1679" s="161"/>
      <c r="AQ1679" s="160"/>
      <c r="AR1679" s="160"/>
      <c r="AS1679" s="160"/>
      <c r="AT1679" s="160"/>
      <c r="AU1679" s="160"/>
      <c r="AV1679" s="160"/>
      <c r="AW1679" s="160"/>
      <c r="AX1679" s="160"/>
      <c r="AY1679" s="160"/>
      <c r="AZ1679" s="160"/>
      <c r="BA1679" s="160"/>
      <c r="BB1679" s="160"/>
      <c r="BC1679" s="160"/>
      <c r="BD1679" s="160"/>
      <c r="BE1679" s="160"/>
      <c r="BF1679" s="160"/>
      <c r="BG1679" s="160"/>
      <c r="BH1679" s="160"/>
      <c r="BI1679" s="160"/>
      <c r="BJ1679" s="160"/>
      <c r="BK1679" s="160"/>
      <c r="BL1679" s="160"/>
      <c r="BM1679" s="160"/>
      <c r="BN1679" s="160"/>
      <c r="BO1679" s="160"/>
      <c r="BP1679" s="160"/>
      <c r="BQ1679" s="160"/>
      <c r="BR1679" s="160"/>
      <c r="BS1679" s="160"/>
      <c r="BT1679" s="160"/>
      <c r="BU1679" s="160"/>
      <c r="BV1679" s="160"/>
      <c r="BW1679" s="160"/>
      <c r="BX1679" s="160"/>
      <c r="BY1679" s="160"/>
      <c r="BZ1679" s="160"/>
      <c r="CA1679" s="160"/>
      <c r="CB1679" s="160"/>
      <c r="CC1679" s="160"/>
      <c r="CD1679" s="160"/>
      <c r="CE1679" s="160"/>
      <c r="CF1679" s="160"/>
      <c r="CG1679" s="160"/>
      <c r="CH1679" s="160"/>
      <c r="CI1679" s="160"/>
      <c r="CJ1679" s="160"/>
      <c r="CK1679" s="160"/>
      <c r="CL1679" s="160"/>
      <c r="CM1679" s="160"/>
      <c r="CN1679" s="160"/>
      <c r="CO1679" s="160"/>
      <c r="CP1679" s="162">
        <v>150</v>
      </c>
      <c r="CQ1679" s="163">
        <f>150*37000</f>
        <v>5550000</v>
      </c>
      <c r="CR1679" s="162"/>
      <c r="CS1679" s="163"/>
      <c r="CT1679" s="162"/>
      <c r="CU1679" s="163"/>
      <c r="CV1679" s="164">
        <f t="shared" si="218"/>
        <v>5550000</v>
      </c>
      <c r="CW1679" s="165"/>
      <c r="CX1679" s="166"/>
      <c r="CY1679" s="167"/>
      <c r="CZ1679" s="168"/>
      <c r="DA1679" s="169"/>
      <c r="DB1679" s="168"/>
      <c r="DC1679" s="165"/>
      <c r="DD1679" s="166"/>
      <c r="DE1679" s="71"/>
      <c r="DF1679" s="170"/>
      <c r="EO1679" s="375" t="str">
        <f t="shared" si="213"/>
        <v>NORTE DE SANTANDER_RAGONVALIA</v>
      </c>
      <c r="EP1679" s="376"/>
      <c r="EQ1679" s="376"/>
      <c r="ER1679" s="377"/>
      <c r="ES1679" s="376"/>
      <c r="ET1679" s="376"/>
      <c r="EU1679" s="376"/>
    </row>
    <row r="1680" spans="1:151" s="171" customFormat="1" ht="38.25" x14ac:dyDescent="0.2">
      <c r="A1680" s="242">
        <v>40494</v>
      </c>
      <c r="B1680" s="107" t="s">
        <v>2012</v>
      </c>
      <c r="C1680" s="222" t="s">
        <v>2260</v>
      </c>
      <c r="D1680" s="427" t="s">
        <v>2307</v>
      </c>
      <c r="E1680" s="107" t="str">
        <f>VLOOKUP(B1680&amp;C1680,Divipola!$C$2:$F$1138,4,FALSE)</f>
        <v>66170</v>
      </c>
      <c r="F1680" s="330"/>
      <c r="G1680" s="221"/>
      <c r="H1680" s="157"/>
      <c r="I1680" s="157"/>
      <c r="J1680" s="157">
        <v>10</v>
      </c>
      <c r="K1680" s="157">
        <v>2</v>
      </c>
      <c r="L1680" s="157"/>
      <c r="M1680" s="157"/>
      <c r="N1680" s="157"/>
      <c r="O1680" s="157"/>
      <c r="P1680" s="157"/>
      <c r="Q1680" s="157">
        <v>1</v>
      </c>
      <c r="R1680" s="157"/>
      <c r="S1680" s="157"/>
      <c r="T1680" s="157">
        <v>2</v>
      </c>
      <c r="U1680" s="157"/>
      <c r="V1680" s="158"/>
      <c r="W1680" s="182"/>
      <c r="X1680" s="1"/>
      <c r="Y1680" s="78">
        <f t="shared" si="215"/>
        <v>0</v>
      </c>
      <c r="Z1680" s="78">
        <f t="shared" si="216"/>
        <v>0</v>
      </c>
      <c r="AA1680" s="78">
        <f t="shared" si="214"/>
        <v>0</v>
      </c>
      <c r="AB1680" s="78">
        <f t="shared" si="217"/>
        <v>0</v>
      </c>
      <c r="AC1680" s="78"/>
      <c r="AD1680" s="78">
        <v>0</v>
      </c>
      <c r="AE1680" s="80">
        <f t="shared" si="219"/>
        <v>0</v>
      </c>
      <c r="AF1680" s="82">
        <v>0</v>
      </c>
      <c r="AG1680" s="69">
        <v>40497</v>
      </c>
      <c r="AH1680" s="84"/>
      <c r="AI1680" s="69" t="s">
        <v>1984</v>
      </c>
      <c r="AJ1680" s="25" t="s">
        <v>1985</v>
      </c>
      <c r="AK1680" s="65"/>
      <c r="AL1680" s="176" t="s">
        <v>1257</v>
      </c>
      <c r="AM1680" s="173" t="s">
        <v>2822</v>
      </c>
      <c r="AN1680" s="159"/>
      <c r="AO1680" s="160"/>
      <c r="AP1680" s="161"/>
      <c r="AQ1680" s="160"/>
      <c r="AR1680" s="160"/>
      <c r="AS1680" s="160"/>
      <c r="AT1680" s="160"/>
      <c r="AU1680" s="160"/>
      <c r="AV1680" s="160"/>
      <c r="AW1680" s="160"/>
      <c r="AX1680" s="160"/>
      <c r="AY1680" s="160"/>
      <c r="AZ1680" s="160"/>
      <c r="BA1680" s="160"/>
      <c r="BB1680" s="160"/>
      <c r="BC1680" s="160"/>
      <c r="BD1680" s="160"/>
      <c r="BE1680" s="160"/>
      <c r="BF1680" s="160"/>
      <c r="BG1680" s="160"/>
      <c r="BH1680" s="160"/>
      <c r="BI1680" s="160"/>
      <c r="BJ1680" s="160"/>
      <c r="BK1680" s="160"/>
      <c r="BL1680" s="160"/>
      <c r="BM1680" s="160"/>
      <c r="BN1680" s="160"/>
      <c r="BO1680" s="160"/>
      <c r="BP1680" s="160"/>
      <c r="BQ1680" s="160"/>
      <c r="BR1680" s="160"/>
      <c r="BS1680" s="160"/>
      <c r="BT1680" s="160"/>
      <c r="BU1680" s="160"/>
      <c r="BV1680" s="160"/>
      <c r="BW1680" s="160"/>
      <c r="BX1680" s="160"/>
      <c r="BY1680" s="160"/>
      <c r="BZ1680" s="160"/>
      <c r="CA1680" s="160"/>
      <c r="CB1680" s="160"/>
      <c r="CC1680" s="160"/>
      <c r="CD1680" s="160"/>
      <c r="CE1680" s="160"/>
      <c r="CF1680" s="160"/>
      <c r="CG1680" s="160"/>
      <c r="CH1680" s="160"/>
      <c r="CI1680" s="160"/>
      <c r="CJ1680" s="160"/>
      <c r="CK1680" s="160"/>
      <c r="CL1680" s="160"/>
      <c r="CM1680" s="160"/>
      <c r="CN1680" s="160"/>
      <c r="CO1680" s="160"/>
      <c r="CP1680" s="162"/>
      <c r="CQ1680" s="163"/>
      <c r="CR1680" s="162"/>
      <c r="CS1680" s="163"/>
      <c r="CT1680" s="162"/>
      <c r="CU1680" s="163"/>
      <c r="CV1680" s="164">
        <f t="shared" si="218"/>
        <v>0</v>
      </c>
      <c r="CW1680" s="165"/>
      <c r="CX1680" s="166"/>
      <c r="CY1680" s="167"/>
      <c r="CZ1680" s="168"/>
      <c r="DA1680" s="169"/>
      <c r="DB1680" s="168"/>
      <c r="DC1680" s="165"/>
      <c r="DD1680" s="166"/>
      <c r="DE1680" s="71"/>
      <c r="DF1680" s="170"/>
      <c r="EO1680" s="375" t="str">
        <f t="shared" si="213"/>
        <v>RISARALDA_DOSQUEBRADAS</v>
      </c>
      <c r="EP1680" s="376"/>
      <c r="EQ1680" s="376"/>
      <c r="ER1680" s="377"/>
      <c r="ES1680" s="376"/>
      <c r="ET1680" s="376"/>
      <c r="EU1680" s="376"/>
    </row>
    <row r="1681" spans="1:151" s="171" customFormat="1" ht="25.5" x14ac:dyDescent="0.2">
      <c r="A1681" s="242">
        <v>40494</v>
      </c>
      <c r="B1681" s="107" t="s">
        <v>2012</v>
      </c>
      <c r="C1681" s="222" t="s">
        <v>2762</v>
      </c>
      <c r="D1681" s="427" t="s">
        <v>2307</v>
      </c>
      <c r="E1681" s="107" t="str">
        <f>VLOOKUP(B1681&amp;C1681,Divipola!$C$2:$F$1138,4,FALSE)</f>
        <v>66456</v>
      </c>
      <c r="F1681" s="330"/>
      <c r="G1681" s="221"/>
      <c r="H1681" s="157"/>
      <c r="I1681" s="157"/>
      <c r="J1681" s="157">
        <v>15</v>
      </c>
      <c r="K1681" s="157">
        <v>3</v>
      </c>
      <c r="L1681" s="157"/>
      <c r="M1681" s="157">
        <v>3</v>
      </c>
      <c r="N1681" s="157"/>
      <c r="O1681" s="157"/>
      <c r="P1681" s="157"/>
      <c r="Q1681" s="157"/>
      <c r="R1681" s="157"/>
      <c r="S1681" s="157"/>
      <c r="T1681" s="157"/>
      <c r="U1681" s="157"/>
      <c r="V1681" s="158"/>
      <c r="W1681" s="182"/>
      <c r="X1681" s="1"/>
      <c r="Y1681" s="78">
        <f t="shared" si="215"/>
        <v>0</v>
      </c>
      <c r="Z1681" s="78">
        <f t="shared" si="216"/>
        <v>0</v>
      </c>
      <c r="AA1681" s="78">
        <f t="shared" si="214"/>
        <v>0</v>
      </c>
      <c r="AB1681" s="78">
        <f t="shared" si="217"/>
        <v>0</v>
      </c>
      <c r="AC1681" s="78"/>
      <c r="AD1681" s="78">
        <v>0</v>
      </c>
      <c r="AE1681" s="80">
        <f t="shared" si="219"/>
        <v>0</v>
      </c>
      <c r="AF1681" s="82">
        <v>0</v>
      </c>
      <c r="AG1681" s="69">
        <v>40497</v>
      </c>
      <c r="AH1681" s="84"/>
      <c r="AI1681" s="69" t="s">
        <v>1984</v>
      </c>
      <c r="AJ1681" s="25" t="s">
        <v>1985</v>
      </c>
      <c r="AK1681" s="65"/>
      <c r="AL1681" s="176" t="s">
        <v>1257</v>
      </c>
      <c r="AM1681" s="173" t="s">
        <v>2823</v>
      </c>
      <c r="AN1681" s="159"/>
      <c r="AO1681" s="160"/>
      <c r="AP1681" s="161"/>
      <c r="AQ1681" s="160"/>
      <c r="AR1681" s="160"/>
      <c r="AS1681" s="160"/>
      <c r="AT1681" s="160"/>
      <c r="AU1681" s="160"/>
      <c r="AV1681" s="160"/>
      <c r="AW1681" s="160"/>
      <c r="AX1681" s="160"/>
      <c r="AY1681" s="160"/>
      <c r="AZ1681" s="160"/>
      <c r="BA1681" s="160"/>
      <c r="BB1681" s="160"/>
      <c r="BC1681" s="160"/>
      <c r="BD1681" s="160"/>
      <c r="BE1681" s="160"/>
      <c r="BF1681" s="160"/>
      <c r="BG1681" s="160"/>
      <c r="BH1681" s="160"/>
      <c r="BI1681" s="160"/>
      <c r="BJ1681" s="160"/>
      <c r="BK1681" s="160"/>
      <c r="BL1681" s="160"/>
      <c r="BM1681" s="160"/>
      <c r="BN1681" s="160"/>
      <c r="BO1681" s="160"/>
      <c r="BP1681" s="160"/>
      <c r="BQ1681" s="160"/>
      <c r="BR1681" s="160"/>
      <c r="BS1681" s="160"/>
      <c r="BT1681" s="160"/>
      <c r="BU1681" s="160"/>
      <c r="BV1681" s="160"/>
      <c r="BW1681" s="160"/>
      <c r="BX1681" s="160"/>
      <c r="BY1681" s="160"/>
      <c r="BZ1681" s="160"/>
      <c r="CA1681" s="160"/>
      <c r="CB1681" s="160"/>
      <c r="CC1681" s="160"/>
      <c r="CD1681" s="160"/>
      <c r="CE1681" s="160"/>
      <c r="CF1681" s="160"/>
      <c r="CG1681" s="160"/>
      <c r="CH1681" s="160"/>
      <c r="CI1681" s="160"/>
      <c r="CJ1681" s="160"/>
      <c r="CK1681" s="160"/>
      <c r="CL1681" s="160"/>
      <c r="CM1681" s="160"/>
      <c r="CN1681" s="160"/>
      <c r="CO1681" s="160"/>
      <c r="CP1681" s="162"/>
      <c r="CQ1681" s="163"/>
      <c r="CR1681" s="162"/>
      <c r="CS1681" s="163"/>
      <c r="CT1681" s="162"/>
      <c r="CU1681" s="163"/>
      <c r="CV1681" s="164">
        <f t="shared" si="218"/>
        <v>0</v>
      </c>
      <c r="CW1681" s="165"/>
      <c r="CX1681" s="166"/>
      <c r="CY1681" s="167"/>
      <c r="CZ1681" s="168"/>
      <c r="DA1681" s="169"/>
      <c r="DB1681" s="168"/>
      <c r="DC1681" s="165"/>
      <c r="DD1681" s="166"/>
      <c r="DE1681" s="71"/>
      <c r="DF1681" s="170"/>
      <c r="EO1681" s="375" t="str">
        <f t="shared" si="213"/>
        <v>RISARALDA_MISTRATO</v>
      </c>
      <c r="EP1681" s="376"/>
      <c r="EQ1681" s="376"/>
      <c r="ER1681" s="377"/>
      <c r="ES1681" s="376"/>
      <c r="ET1681" s="376"/>
      <c r="EU1681" s="376"/>
    </row>
    <row r="1682" spans="1:151" s="171" customFormat="1" ht="25.5" x14ac:dyDescent="0.2">
      <c r="A1682" s="242">
        <v>40494</v>
      </c>
      <c r="B1682" s="107" t="s">
        <v>2012</v>
      </c>
      <c r="C1682" s="222" t="s">
        <v>2593</v>
      </c>
      <c r="D1682" s="427" t="s">
        <v>2307</v>
      </c>
      <c r="E1682" s="107" t="str">
        <f>VLOOKUP(B1682&amp;C1682,Divipola!$C$2:$F$1138,4,FALSE)</f>
        <v>66594</v>
      </c>
      <c r="F1682" s="330"/>
      <c r="G1682" s="221"/>
      <c r="H1682" s="157"/>
      <c r="I1682" s="157"/>
      <c r="J1682" s="157">
        <v>10</v>
      </c>
      <c r="K1682" s="157">
        <v>2</v>
      </c>
      <c r="L1682" s="157">
        <v>2</v>
      </c>
      <c r="M1682" s="157"/>
      <c r="N1682" s="157"/>
      <c r="O1682" s="157"/>
      <c r="P1682" s="157"/>
      <c r="Q1682" s="157">
        <v>1</v>
      </c>
      <c r="R1682" s="157"/>
      <c r="S1682" s="157"/>
      <c r="T1682" s="157"/>
      <c r="U1682" s="157"/>
      <c r="V1682" s="158"/>
      <c r="W1682" s="182"/>
      <c r="X1682" s="1"/>
      <c r="Y1682" s="78">
        <f t="shared" si="215"/>
        <v>0</v>
      </c>
      <c r="Z1682" s="78">
        <f t="shared" si="216"/>
        <v>0</v>
      </c>
      <c r="AA1682" s="78">
        <f t="shared" si="214"/>
        <v>0</v>
      </c>
      <c r="AB1682" s="78">
        <f t="shared" si="217"/>
        <v>0</v>
      </c>
      <c r="AC1682" s="78"/>
      <c r="AD1682" s="78">
        <v>0</v>
      </c>
      <c r="AE1682" s="80">
        <f t="shared" si="219"/>
        <v>0</v>
      </c>
      <c r="AF1682" s="82">
        <v>0</v>
      </c>
      <c r="AG1682" s="69">
        <v>40497</v>
      </c>
      <c r="AH1682" s="84"/>
      <c r="AI1682" s="69" t="s">
        <v>1984</v>
      </c>
      <c r="AJ1682" s="25" t="s">
        <v>1985</v>
      </c>
      <c r="AK1682" s="65"/>
      <c r="AL1682" s="176" t="s">
        <v>1257</v>
      </c>
      <c r="AM1682" s="173" t="s">
        <v>2821</v>
      </c>
      <c r="AN1682" s="159"/>
      <c r="AO1682" s="160"/>
      <c r="AP1682" s="161"/>
      <c r="AQ1682" s="160"/>
      <c r="AR1682" s="160"/>
      <c r="AS1682" s="160"/>
      <c r="AT1682" s="160"/>
      <c r="AU1682" s="160"/>
      <c r="AV1682" s="160"/>
      <c r="AW1682" s="160"/>
      <c r="AX1682" s="160"/>
      <c r="AY1682" s="160"/>
      <c r="AZ1682" s="160"/>
      <c r="BA1682" s="160"/>
      <c r="BB1682" s="160"/>
      <c r="BC1682" s="160"/>
      <c r="BD1682" s="160"/>
      <c r="BE1682" s="160"/>
      <c r="BF1682" s="160"/>
      <c r="BG1682" s="160"/>
      <c r="BH1682" s="160"/>
      <c r="BI1682" s="160"/>
      <c r="BJ1682" s="160"/>
      <c r="BK1682" s="160"/>
      <c r="BL1682" s="160"/>
      <c r="BM1682" s="160"/>
      <c r="BN1682" s="160"/>
      <c r="BO1682" s="160"/>
      <c r="BP1682" s="160"/>
      <c r="BQ1682" s="160"/>
      <c r="BR1682" s="160"/>
      <c r="BS1682" s="160"/>
      <c r="BT1682" s="160"/>
      <c r="BU1682" s="160"/>
      <c r="BV1682" s="160"/>
      <c r="BW1682" s="160"/>
      <c r="BX1682" s="160"/>
      <c r="BY1682" s="160"/>
      <c r="BZ1682" s="160"/>
      <c r="CA1682" s="160"/>
      <c r="CB1682" s="160"/>
      <c r="CC1682" s="160"/>
      <c r="CD1682" s="160"/>
      <c r="CE1682" s="160"/>
      <c r="CF1682" s="160"/>
      <c r="CG1682" s="160"/>
      <c r="CH1682" s="160"/>
      <c r="CI1682" s="160"/>
      <c r="CJ1682" s="160"/>
      <c r="CK1682" s="160"/>
      <c r="CL1682" s="160"/>
      <c r="CM1682" s="160"/>
      <c r="CN1682" s="160"/>
      <c r="CO1682" s="160"/>
      <c r="CP1682" s="162"/>
      <c r="CQ1682" s="163"/>
      <c r="CR1682" s="162"/>
      <c r="CS1682" s="163"/>
      <c r="CT1682" s="162"/>
      <c r="CU1682" s="163"/>
      <c r="CV1682" s="164">
        <f t="shared" si="218"/>
        <v>0</v>
      </c>
      <c r="CW1682" s="165"/>
      <c r="CX1682" s="166"/>
      <c r="CY1682" s="167"/>
      <c r="CZ1682" s="168"/>
      <c r="DA1682" s="169"/>
      <c r="DB1682" s="168"/>
      <c r="DC1682" s="165"/>
      <c r="DD1682" s="166"/>
      <c r="DE1682" s="71"/>
      <c r="DF1682" s="170"/>
      <c r="EO1682" s="375" t="str">
        <f t="shared" si="213"/>
        <v>RISARALDA_QUINCHIA</v>
      </c>
      <c r="EP1682" s="376"/>
      <c r="EQ1682" s="376"/>
      <c r="ER1682" s="377"/>
      <c r="ES1682" s="376"/>
      <c r="ET1682" s="376"/>
      <c r="EU1682" s="376"/>
    </row>
    <row r="1683" spans="1:151" s="171" customFormat="1" ht="38.25" x14ac:dyDescent="0.2">
      <c r="A1683" s="242">
        <v>40494</v>
      </c>
      <c r="B1683" s="107" t="s">
        <v>2012</v>
      </c>
      <c r="C1683" s="222" t="s">
        <v>1938</v>
      </c>
      <c r="D1683" s="427" t="s">
        <v>2307</v>
      </c>
      <c r="E1683" s="107" t="str">
        <f>VLOOKUP(B1683&amp;C1683,Divipola!$C$2:$F$1138,4,FALSE)</f>
        <v>66687</v>
      </c>
      <c r="F1683" s="330"/>
      <c r="G1683" s="221"/>
      <c r="H1683" s="157"/>
      <c r="I1683" s="157"/>
      <c r="J1683" s="157">
        <f>35*5</f>
        <v>175</v>
      </c>
      <c r="K1683" s="157">
        <f>27+8</f>
        <v>35</v>
      </c>
      <c r="L1683" s="157">
        <v>23</v>
      </c>
      <c r="M1683" s="157">
        <v>12</v>
      </c>
      <c r="N1683" s="157">
        <v>1</v>
      </c>
      <c r="O1683" s="157"/>
      <c r="P1683" s="157"/>
      <c r="Q1683" s="157"/>
      <c r="R1683" s="157"/>
      <c r="S1683" s="157"/>
      <c r="T1683" s="157">
        <v>1</v>
      </c>
      <c r="U1683" s="157"/>
      <c r="V1683" s="158">
        <v>334</v>
      </c>
      <c r="W1683" s="182" t="s">
        <v>472</v>
      </c>
      <c r="X1683" s="1"/>
      <c r="Y1683" s="78">
        <f t="shared" si="215"/>
        <v>0</v>
      </c>
      <c r="Z1683" s="78">
        <f t="shared" si="216"/>
        <v>0</v>
      </c>
      <c r="AA1683" s="78">
        <f t="shared" si="214"/>
        <v>0</v>
      </c>
      <c r="AB1683" s="78">
        <f t="shared" si="217"/>
        <v>0</v>
      </c>
      <c r="AC1683" s="78"/>
      <c r="AD1683" s="78">
        <v>0</v>
      </c>
      <c r="AE1683" s="80">
        <f t="shared" si="219"/>
        <v>0</v>
      </c>
      <c r="AF1683" s="82">
        <v>0</v>
      </c>
      <c r="AG1683" s="69">
        <v>40497</v>
      </c>
      <c r="AH1683" s="84"/>
      <c r="AI1683" s="69" t="s">
        <v>1984</v>
      </c>
      <c r="AJ1683" s="25" t="s">
        <v>1985</v>
      </c>
      <c r="AK1683" s="65"/>
      <c r="AL1683" s="176" t="s">
        <v>1257</v>
      </c>
      <c r="AM1683" s="173" t="s">
        <v>2816</v>
      </c>
      <c r="AN1683" s="159"/>
      <c r="AO1683" s="160"/>
      <c r="AP1683" s="161"/>
      <c r="AQ1683" s="160"/>
      <c r="AR1683" s="160"/>
      <c r="AS1683" s="160"/>
      <c r="AT1683" s="160"/>
      <c r="AU1683" s="160"/>
      <c r="AV1683" s="160"/>
      <c r="AW1683" s="160"/>
      <c r="AX1683" s="160"/>
      <c r="AY1683" s="160"/>
      <c r="AZ1683" s="160"/>
      <c r="BA1683" s="160"/>
      <c r="BB1683" s="160"/>
      <c r="BC1683" s="160"/>
      <c r="BD1683" s="160"/>
      <c r="BE1683" s="160"/>
      <c r="BF1683" s="160"/>
      <c r="BG1683" s="160"/>
      <c r="BH1683" s="160"/>
      <c r="BI1683" s="160"/>
      <c r="BJ1683" s="160"/>
      <c r="BK1683" s="160"/>
      <c r="BL1683" s="160"/>
      <c r="BM1683" s="160"/>
      <c r="BN1683" s="160"/>
      <c r="BO1683" s="160"/>
      <c r="BP1683" s="160"/>
      <c r="BQ1683" s="160"/>
      <c r="BR1683" s="160"/>
      <c r="BS1683" s="160"/>
      <c r="BT1683" s="160"/>
      <c r="BU1683" s="160"/>
      <c r="BV1683" s="160"/>
      <c r="BW1683" s="160"/>
      <c r="BX1683" s="160"/>
      <c r="BY1683" s="160"/>
      <c r="BZ1683" s="160"/>
      <c r="CA1683" s="160"/>
      <c r="CB1683" s="160"/>
      <c r="CC1683" s="160"/>
      <c r="CD1683" s="160"/>
      <c r="CE1683" s="160"/>
      <c r="CF1683" s="160"/>
      <c r="CG1683" s="160"/>
      <c r="CH1683" s="160"/>
      <c r="CI1683" s="160"/>
      <c r="CJ1683" s="160"/>
      <c r="CK1683" s="160"/>
      <c r="CL1683" s="160"/>
      <c r="CM1683" s="160"/>
      <c r="CN1683" s="160"/>
      <c r="CO1683" s="160"/>
      <c r="CP1683" s="162"/>
      <c r="CQ1683" s="163"/>
      <c r="CR1683" s="162"/>
      <c r="CS1683" s="163"/>
      <c r="CT1683" s="162"/>
      <c r="CU1683" s="163"/>
      <c r="CV1683" s="164">
        <f t="shared" si="218"/>
        <v>0</v>
      </c>
      <c r="CW1683" s="165"/>
      <c r="CX1683" s="166"/>
      <c r="CY1683" s="167"/>
      <c r="CZ1683" s="168"/>
      <c r="DA1683" s="169"/>
      <c r="DB1683" s="168"/>
      <c r="DC1683" s="165"/>
      <c r="DD1683" s="166"/>
      <c r="DE1683" s="71"/>
      <c r="DF1683" s="170"/>
      <c r="EO1683" s="375" t="str">
        <f t="shared" si="213"/>
        <v>RISARALDA_SANTUARIO</v>
      </c>
      <c r="EP1683" s="376"/>
      <c r="EQ1683" s="376"/>
      <c r="ER1683" s="377"/>
      <c r="ES1683" s="376"/>
      <c r="ET1683" s="376"/>
      <c r="EU1683" s="376"/>
    </row>
    <row r="1684" spans="1:151" s="171" customFormat="1" ht="25.5" x14ac:dyDescent="0.2">
      <c r="A1684" s="242">
        <v>40495</v>
      </c>
      <c r="B1684" s="222" t="s">
        <v>828</v>
      </c>
      <c r="C1684" s="222" t="s">
        <v>1804</v>
      </c>
      <c r="D1684" s="427" t="s">
        <v>2307</v>
      </c>
      <c r="E1684" s="107" t="str">
        <f>VLOOKUP(B1684&amp;C1684,Divipola!$C$2:$F$1138,4,FALSE)</f>
        <v>15757</v>
      </c>
      <c r="F1684" s="330"/>
      <c r="G1684" s="221"/>
      <c r="H1684" s="157"/>
      <c r="I1684" s="157"/>
      <c r="J1684" s="157"/>
      <c r="K1684" s="157"/>
      <c r="L1684" s="157"/>
      <c r="M1684" s="157"/>
      <c r="N1684" s="157">
        <v>1</v>
      </c>
      <c r="O1684" s="157"/>
      <c r="P1684" s="157"/>
      <c r="Q1684" s="157"/>
      <c r="R1684" s="157"/>
      <c r="S1684" s="157"/>
      <c r="T1684" s="157"/>
      <c r="U1684" s="157"/>
      <c r="V1684" s="158"/>
      <c r="W1684" s="182"/>
      <c r="X1684" s="1"/>
      <c r="Y1684" s="78">
        <f t="shared" si="215"/>
        <v>0</v>
      </c>
      <c r="Z1684" s="78">
        <f t="shared" si="216"/>
        <v>0</v>
      </c>
      <c r="AA1684" s="78">
        <f t="shared" si="214"/>
        <v>0</v>
      </c>
      <c r="AB1684" s="78">
        <f t="shared" si="217"/>
        <v>0</v>
      </c>
      <c r="AC1684" s="78"/>
      <c r="AD1684" s="78">
        <v>0</v>
      </c>
      <c r="AE1684" s="80">
        <f t="shared" si="219"/>
        <v>0</v>
      </c>
      <c r="AF1684" s="82">
        <v>0</v>
      </c>
      <c r="AG1684" s="69">
        <v>40497</v>
      </c>
      <c r="AH1684" s="84"/>
      <c r="AI1684" s="69" t="s">
        <v>1984</v>
      </c>
      <c r="AJ1684" s="25" t="s">
        <v>1985</v>
      </c>
      <c r="AK1684" s="65"/>
      <c r="AL1684" s="176" t="s">
        <v>1257</v>
      </c>
      <c r="AM1684" s="173" t="s">
        <v>2820</v>
      </c>
      <c r="AN1684" s="159"/>
      <c r="AO1684" s="160"/>
      <c r="AP1684" s="161"/>
      <c r="AQ1684" s="160"/>
      <c r="AR1684" s="160"/>
      <c r="AS1684" s="160"/>
      <c r="AT1684" s="160"/>
      <c r="AU1684" s="160"/>
      <c r="AV1684" s="160"/>
      <c r="AW1684" s="160"/>
      <c r="AX1684" s="160"/>
      <c r="AY1684" s="160"/>
      <c r="AZ1684" s="160"/>
      <c r="BA1684" s="160"/>
      <c r="BB1684" s="160"/>
      <c r="BC1684" s="160"/>
      <c r="BD1684" s="160"/>
      <c r="BE1684" s="160"/>
      <c r="BF1684" s="160"/>
      <c r="BG1684" s="160"/>
      <c r="BH1684" s="160"/>
      <c r="BI1684" s="160"/>
      <c r="BJ1684" s="160"/>
      <c r="BK1684" s="160"/>
      <c r="BL1684" s="160"/>
      <c r="BM1684" s="160"/>
      <c r="BN1684" s="160"/>
      <c r="BO1684" s="160"/>
      <c r="BP1684" s="160"/>
      <c r="BQ1684" s="160"/>
      <c r="BR1684" s="160"/>
      <c r="BS1684" s="160"/>
      <c r="BT1684" s="160"/>
      <c r="BU1684" s="160"/>
      <c r="BV1684" s="160"/>
      <c r="BW1684" s="160"/>
      <c r="BX1684" s="160"/>
      <c r="BY1684" s="160"/>
      <c r="BZ1684" s="160"/>
      <c r="CA1684" s="160"/>
      <c r="CB1684" s="160"/>
      <c r="CC1684" s="160"/>
      <c r="CD1684" s="160"/>
      <c r="CE1684" s="160"/>
      <c r="CF1684" s="160"/>
      <c r="CG1684" s="160"/>
      <c r="CH1684" s="160"/>
      <c r="CI1684" s="160"/>
      <c r="CJ1684" s="160"/>
      <c r="CK1684" s="160"/>
      <c r="CL1684" s="160"/>
      <c r="CM1684" s="160"/>
      <c r="CN1684" s="160"/>
      <c r="CO1684" s="160"/>
      <c r="CP1684" s="162"/>
      <c r="CQ1684" s="163"/>
      <c r="CR1684" s="162"/>
      <c r="CS1684" s="163"/>
      <c r="CT1684" s="162"/>
      <c r="CU1684" s="163"/>
      <c r="CV1684" s="164">
        <f t="shared" si="218"/>
        <v>0</v>
      </c>
      <c r="CW1684" s="165"/>
      <c r="CX1684" s="166"/>
      <c r="CY1684" s="167"/>
      <c r="CZ1684" s="168"/>
      <c r="DA1684" s="169"/>
      <c r="DB1684" s="168"/>
      <c r="DC1684" s="165"/>
      <c r="DD1684" s="166"/>
      <c r="DE1684" s="71"/>
      <c r="DF1684" s="170"/>
      <c r="EO1684" s="375" t="str">
        <f t="shared" ref="EO1684:EO1743" si="220">B1684&amp;"_"&amp;C1684</f>
        <v>BOYACA_SOCHA</v>
      </c>
      <c r="EP1684" s="376"/>
      <c r="EQ1684" s="376"/>
      <c r="ER1684" s="377"/>
      <c r="ES1684" s="376"/>
      <c r="ET1684" s="376"/>
      <c r="EU1684" s="376"/>
    </row>
    <row r="1685" spans="1:151" s="171" customFormat="1" ht="25.5" x14ac:dyDescent="0.2">
      <c r="A1685" s="242">
        <v>40495</v>
      </c>
      <c r="B1685" s="222" t="s">
        <v>828</v>
      </c>
      <c r="C1685" s="222" t="s">
        <v>1775</v>
      </c>
      <c r="D1685" s="427" t="s">
        <v>2307</v>
      </c>
      <c r="E1685" s="107" t="str">
        <f>VLOOKUP(B1685&amp;C1685,Divipola!$C$2:$F$1138,4,FALSE)</f>
        <v>15759</v>
      </c>
      <c r="F1685" s="330"/>
      <c r="G1685" s="221"/>
      <c r="H1685" s="157"/>
      <c r="I1685" s="157"/>
      <c r="J1685" s="157"/>
      <c r="K1685" s="157"/>
      <c r="L1685" s="157"/>
      <c r="M1685" s="157"/>
      <c r="N1685" s="157">
        <v>1</v>
      </c>
      <c r="O1685" s="157"/>
      <c r="P1685" s="157"/>
      <c r="Q1685" s="157"/>
      <c r="R1685" s="157"/>
      <c r="S1685" s="157"/>
      <c r="T1685" s="157"/>
      <c r="U1685" s="157"/>
      <c r="V1685" s="158"/>
      <c r="W1685" s="182"/>
      <c r="X1685" s="1"/>
      <c r="Y1685" s="78">
        <f t="shared" si="215"/>
        <v>0</v>
      </c>
      <c r="Z1685" s="78">
        <f t="shared" si="216"/>
        <v>0</v>
      </c>
      <c r="AA1685" s="78">
        <f t="shared" si="214"/>
        <v>0</v>
      </c>
      <c r="AB1685" s="78">
        <f t="shared" si="217"/>
        <v>0</v>
      </c>
      <c r="AC1685" s="78"/>
      <c r="AD1685" s="78">
        <v>0</v>
      </c>
      <c r="AE1685" s="80">
        <f t="shared" si="219"/>
        <v>0</v>
      </c>
      <c r="AF1685" s="82">
        <v>0</v>
      </c>
      <c r="AG1685" s="69">
        <v>40497</v>
      </c>
      <c r="AH1685" s="84"/>
      <c r="AI1685" s="69" t="s">
        <v>1984</v>
      </c>
      <c r="AJ1685" s="25" t="s">
        <v>1985</v>
      </c>
      <c r="AK1685" s="65"/>
      <c r="AL1685" s="176" t="s">
        <v>1257</v>
      </c>
      <c r="AM1685" s="173" t="s">
        <v>2819</v>
      </c>
      <c r="AN1685" s="159"/>
      <c r="AO1685" s="160"/>
      <c r="AP1685" s="161"/>
      <c r="AQ1685" s="160"/>
      <c r="AR1685" s="160"/>
      <c r="AS1685" s="160"/>
      <c r="AT1685" s="160"/>
      <c r="AU1685" s="160"/>
      <c r="AV1685" s="160"/>
      <c r="AW1685" s="160"/>
      <c r="AX1685" s="160"/>
      <c r="AY1685" s="160"/>
      <c r="AZ1685" s="160"/>
      <c r="BA1685" s="160"/>
      <c r="BB1685" s="160"/>
      <c r="BC1685" s="160"/>
      <c r="BD1685" s="160"/>
      <c r="BE1685" s="160"/>
      <c r="BF1685" s="160"/>
      <c r="BG1685" s="160"/>
      <c r="BH1685" s="160"/>
      <c r="BI1685" s="160"/>
      <c r="BJ1685" s="160"/>
      <c r="BK1685" s="160"/>
      <c r="BL1685" s="160"/>
      <c r="BM1685" s="160"/>
      <c r="BN1685" s="160"/>
      <c r="BO1685" s="160"/>
      <c r="BP1685" s="160"/>
      <c r="BQ1685" s="160"/>
      <c r="BR1685" s="160"/>
      <c r="BS1685" s="160"/>
      <c r="BT1685" s="160"/>
      <c r="BU1685" s="160"/>
      <c r="BV1685" s="160"/>
      <c r="BW1685" s="160"/>
      <c r="BX1685" s="160"/>
      <c r="BY1685" s="160"/>
      <c r="BZ1685" s="160"/>
      <c r="CA1685" s="160"/>
      <c r="CB1685" s="160"/>
      <c r="CC1685" s="160"/>
      <c r="CD1685" s="160"/>
      <c r="CE1685" s="160"/>
      <c r="CF1685" s="160"/>
      <c r="CG1685" s="160"/>
      <c r="CH1685" s="160"/>
      <c r="CI1685" s="160"/>
      <c r="CJ1685" s="160"/>
      <c r="CK1685" s="160"/>
      <c r="CL1685" s="160"/>
      <c r="CM1685" s="160"/>
      <c r="CN1685" s="160"/>
      <c r="CO1685" s="160"/>
      <c r="CP1685" s="162"/>
      <c r="CQ1685" s="163"/>
      <c r="CR1685" s="162"/>
      <c r="CS1685" s="163"/>
      <c r="CT1685" s="162"/>
      <c r="CU1685" s="163"/>
      <c r="CV1685" s="164">
        <f t="shared" si="218"/>
        <v>0</v>
      </c>
      <c r="CW1685" s="165"/>
      <c r="CX1685" s="166"/>
      <c r="CY1685" s="167"/>
      <c r="CZ1685" s="168"/>
      <c r="DA1685" s="169"/>
      <c r="DB1685" s="168"/>
      <c r="DC1685" s="165"/>
      <c r="DD1685" s="166"/>
      <c r="DE1685" s="71"/>
      <c r="DF1685" s="170"/>
      <c r="EO1685" s="375" t="str">
        <f t="shared" si="220"/>
        <v>BOYACA_SOGAMOSO</v>
      </c>
      <c r="EP1685" s="376"/>
      <c r="EQ1685" s="376"/>
      <c r="ER1685" s="377"/>
      <c r="ES1685" s="376"/>
      <c r="ET1685" s="376"/>
      <c r="EU1685" s="376"/>
    </row>
    <row r="1686" spans="1:151" s="171" customFormat="1" ht="25.5" x14ac:dyDescent="0.2">
      <c r="A1686" s="242">
        <v>40495</v>
      </c>
      <c r="B1686" s="222" t="s">
        <v>289</v>
      </c>
      <c r="C1686" s="222" t="s">
        <v>2504</v>
      </c>
      <c r="D1686" s="430" t="s">
        <v>2307</v>
      </c>
      <c r="E1686" s="107" t="str">
        <f>VLOOKUP(B1686&amp;C1686,Divipola!$C$2:$F$1138,4,FALSE)</f>
        <v>17524</v>
      </c>
      <c r="F1686" s="333"/>
      <c r="G1686" s="221"/>
      <c r="H1686" s="157"/>
      <c r="I1686" s="157"/>
      <c r="J1686" s="157">
        <f>153*5</f>
        <v>765</v>
      </c>
      <c r="K1686" s="157">
        <v>153</v>
      </c>
      <c r="L1686" s="157">
        <v>1</v>
      </c>
      <c r="M1686" s="157">
        <v>43</v>
      </c>
      <c r="N1686" s="157"/>
      <c r="O1686" s="157"/>
      <c r="P1686" s="157"/>
      <c r="Q1686" s="157"/>
      <c r="R1686" s="157"/>
      <c r="S1686" s="157"/>
      <c r="T1686" s="157"/>
      <c r="U1686" s="157"/>
      <c r="V1686" s="158"/>
      <c r="W1686" s="182"/>
      <c r="X1686" s="1"/>
      <c r="Y1686" s="78">
        <f t="shared" si="215"/>
        <v>0</v>
      </c>
      <c r="Z1686" s="78">
        <f t="shared" si="216"/>
        <v>0</v>
      </c>
      <c r="AA1686" s="78">
        <f t="shared" si="214"/>
        <v>0</v>
      </c>
      <c r="AB1686" s="78">
        <f t="shared" si="217"/>
        <v>0</v>
      </c>
      <c r="AC1686" s="78"/>
      <c r="AD1686" s="78">
        <v>0</v>
      </c>
      <c r="AE1686" s="80">
        <f t="shared" si="219"/>
        <v>0</v>
      </c>
      <c r="AF1686" s="82">
        <v>0</v>
      </c>
      <c r="AG1686" s="69">
        <v>40492</v>
      </c>
      <c r="AH1686" s="84"/>
      <c r="AI1686" s="69" t="s">
        <v>2009</v>
      </c>
      <c r="AJ1686" s="25" t="s">
        <v>2010</v>
      </c>
      <c r="AK1686" s="65"/>
      <c r="AL1686" s="184" t="s">
        <v>3833</v>
      </c>
      <c r="AM1686" s="173" t="s">
        <v>499</v>
      </c>
      <c r="AN1686" s="159"/>
      <c r="AO1686" s="160"/>
      <c r="AP1686" s="161"/>
      <c r="AQ1686" s="160"/>
      <c r="AR1686" s="160"/>
      <c r="AS1686" s="160"/>
      <c r="AT1686" s="160"/>
      <c r="AU1686" s="160"/>
      <c r="AV1686" s="160"/>
      <c r="AW1686" s="160"/>
      <c r="AX1686" s="160"/>
      <c r="AY1686" s="160"/>
      <c r="AZ1686" s="160"/>
      <c r="BA1686" s="160"/>
      <c r="BB1686" s="160"/>
      <c r="BC1686" s="160"/>
      <c r="BD1686" s="160"/>
      <c r="BE1686" s="160"/>
      <c r="BF1686" s="160"/>
      <c r="BG1686" s="160"/>
      <c r="BH1686" s="160"/>
      <c r="BI1686" s="160"/>
      <c r="BJ1686" s="160"/>
      <c r="BK1686" s="160"/>
      <c r="BL1686" s="160"/>
      <c r="BM1686" s="160"/>
      <c r="BN1686" s="160"/>
      <c r="BO1686" s="160"/>
      <c r="BP1686" s="160"/>
      <c r="BQ1686" s="160"/>
      <c r="BR1686" s="160"/>
      <c r="BS1686" s="160"/>
      <c r="BT1686" s="160"/>
      <c r="BU1686" s="160"/>
      <c r="BV1686" s="160"/>
      <c r="BW1686" s="160"/>
      <c r="BX1686" s="160"/>
      <c r="BY1686" s="160"/>
      <c r="BZ1686" s="160"/>
      <c r="CA1686" s="160"/>
      <c r="CB1686" s="160"/>
      <c r="CC1686" s="160"/>
      <c r="CD1686" s="160"/>
      <c r="CE1686" s="160"/>
      <c r="CF1686" s="160"/>
      <c r="CG1686" s="160"/>
      <c r="CH1686" s="160"/>
      <c r="CI1686" s="160"/>
      <c r="CJ1686" s="160"/>
      <c r="CK1686" s="160"/>
      <c r="CL1686" s="160"/>
      <c r="CM1686" s="160"/>
      <c r="CN1686" s="160"/>
      <c r="CO1686" s="160"/>
      <c r="CP1686" s="162"/>
      <c r="CQ1686" s="163"/>
      <c r="CR1686" s="162"/>
      <c r="CS1686" s="163"/>
      <c r="CT1686" s="162"/>
      <c r="CU1686" s="163"/>
      <c r="CV1686" s="164">
        <f t="shared" si="218"/>
        <v>0</v>
      </c>
      <c r="CW1686" s="165"/>
      <c r="CX1686" s="166"/>
      <c r="CY1686" s="167"/>
      <c r="CZ1686" s="168"/>
      <c r="DA1686" s="169"/>
      <c r="DB1686" s="168"/>
      <c r="DC1686" s="165"/>
      <c r="DD1686" s="166"/>
      <c r="DE1686" s="71"/>
      <c r="DF1686" s="170"/>
      <c r="EO1686" s="375" t="str">
        <f t="shared" si="220"/>
        <v>CALDAS_PALESTINA</v>
      </c>
      <c r="EP1686" s="376"/>
      <c r="EQ1686" s="376"/>
      <c r="ER1686" s="377"/>
      <c r="ES1686" s="376"/>
      <c r="ET1686" s="376"/>
      <c r="EU1686" s="376"/>
    </row>
    <row r="1687" spans="1:151" s="171" customFormat="1" ht="25.5" x14ac:dyDescent="0.2">
      <c r="A1687" s="242">
        <v>40495</v>
      </c>
      <c r="B1687" s="222" t="s">
        <v>289</v>
      </c>
      <c r="C1687" s="222" t="s">
        <v>1646</v>
      </c>
      <c r="D1687" s="427" t="s">
        <v>2307</v>
      </c>
      <c r="E1687" s="107" t="str">
        <f>VLOOKUP(B1687&amp;C1687,Divipola!$C$2:$F$1138,4,FALSE)</f>
        <v>17777</v>
      </c>
      <c r="F1687" s="330"/>
      <c r="G1687" s="221"/>
      <c r="H1687" s="157"/>
      <c r="I1687" s="157"/>
      <c r="J1687" s="157">
        <f>84*5</f>
        <v>420</v>
      </c>
      <c r="K1687" s="157">
        <f>64+20</f>
        <v>84</v>
      </c>
      <c r="L1687" s="157">
        <v>1</v>
      </c>
      <c r="M1687" s="157">
        <v>12</v>
      </c>
      <c r="N1687" s="157"/>
      <c r="O1687" s="157"/>
      <c r="P1687" s="157"/>
      <c r="Q1687" s="157"/>
      <c r="R1687" s="157"/>
      <c r="S1687" s="157"/>
      <c r="T1687" s="157"/>
      <c r="U1687" s="157"/>
      <c r="V1687" s="158"/>
      <c r="W1687" s="182"/>
      <c r="X1687" s="1"/>
      <c r="Y1687" s="78">
        <f t="shared" si="215"/>
        <v>0</v>
      </c>
      <c r="Z1687" s="78">
        <f t="shared" si="216"/>
        <v>0</v>
      </c>
      <c r="AA1687" s="78">
        <f t="shared" si="214"/>
        <v>0</v>
      </c>
      <c r="AB1687" s="78">
        <f t="shared" si="217"/>
        <v>0</v>
      </c>
      <c r="AC1687" s="78"/>
      <c r="AD1687" s="78">
        <v>0</v>
      </c>
      <c r="AE1687" s="80">
        <f t="shared" si="219"/>
        <v>0</v>
      </c>
      <c r="AF1687" s="82">
        <v>0</v>
      </c>
      <c r="AG1687" s="69">
        <v>40492</v>
      </c>
      <c r="AH1687" s="84"/>
      <c r="AI1687" s="69" t="s">
        <v>2009</v>
      </c>
      <c r="AJ1687" s="25" t="s">
        <v>2010</v>
      </c>
      <c r="AK1687" s="65"/>
      <c r="AL1687" s="184" t="s">
        <v>3833</v>
      </c>
      <c r="AM1687" s="173" t="s">
        <v>1647</v>
      </c>
      <c r="AN1687" s="159"/>
      <c r="AO1687" s="160"/>
      <c r="AP1687" s="161"/>
      <c r="AQ1687" s="160"/>
      <c r="AR1687" s="160"/>
      <c r="AS1687" s="160"/>
      <c r="AT1687" s="160"/>
      <c r="AU1687" s="160"/>
      <c r="AV1687" s="160"/>
      <c r="AW1687" s="160"/>
      <c r="AX1687" s="160"/>
      <c r="AY1687" s="160"/>
      <c r="AZ1687" s="160"/>
      <c r="BA1687" s="160"/>
      <c r="BB1687" s="160"/>
      <c r="BC1687" s="160"/>
      <c r="BD1687" s="160"/>
      <c r="BE1687" s="160"/>
      <c r="BF1687" s="160"/>
      <c r="BG1687" s="160"/>
      <c r="BH1687" s="160"/>
      <c r="BI1687" s="160"/>
      <c r="BJ1687" s="160"/>
      <c r="BK1687" s="160"/>
      <c r="BL1687" s="160"/>
      <c r="BM1687" s="160"/>
      <c r="BN1687" s="160"/>
      <c r="BO1687" s="160"/>
      <c r="BP1687" s="160"/>
      <c r="BQ1687" s="160"/>
      <c r="BR1687" s="160"/>
      <c r="BS1687" s="160"/>
      <c r="BT1687" s="160"/>
      <c r="BU1687" s="160"/>
      <c r="BV1687" s="160"/>
      <c r="BW1687" s="160"/>
      <c r="BX1687" s="160"/>
      <c r="BY1687" s="160"/>
      <c r="BZ1687" s="160"/>
      <c r="CA1687" s="160"/>
      <c r="CB1687" s="160"/>
      <c r="CC1687" s="160"/>
      <c r="CD1687" s="160"/>
      <c r="CE1687" s="160"/>
      <c r="CF1687" s="160"/>
      <c r="CG1687" s="160"/>
      <c r="CH1687" s="160"/>
      <c r="CI1687" s="160"/>
      <c r="CJ1687" s="160"/>
      <c r="CK1687" s="160"/>
      <c r="CL1687" s="160"/>
      <c r="CM1687" s="160"/>
      <c r="CN1687" s="160"/>
      <c r="CO1687" s="160"/>
      <c r="CP1687" s="162"/>
      <c r="CQ1687" s="163"/>
      <c r="CR1687" s="162"/>
      <c r="CS1687" s="163"/>
      <c r="CT1687" s="162"/>
      <c r="CU1687" s="163"/>
      <c r="CV1687" s="164">
        <f t="shared" si="218"/>
        <v>0</v>
      </c>
      <c r="CW1687" s="165"/>
      <c r="CX1687" s="166"/>
      <c r="CY1687" s="167"/>
      <c r="CZ1687" s="168"/>
      <c r="DA1687" s="169"/>
      <c r="DB1687" s="168"/>
      <c r="DC1687" s="165"/>
      <c r="DD1687" s="166"/>
      <c r="DE1687" s="71"/>
      <c r="DF1687" s="170"/>
      <c r="EO1687" s="375" t="str">
        <f t="shared" si="220"/>
        <v>CALDAS_SUPIA</v>
      </c>
      <c r="EP1687" s="376"/>
      <c r="EQ1687" s="376"/>
      <c r="ER1687" s="377"/>
      <c r="ES1687" s="376"/>
      <c r="ET1687" s="376"/>
      <c r="EU1687" s="376"/>
    </row>
    <row r="1688" spans="1:151" s="171" customFormat="1" ht="48" x14ac:dyDescent="0.2">
      <c r="A1688" s="242">
        <v>40495</v>
      </c>
      <c r="B1688" s="222" t="s">
        <v>2007</v>
      </c>
      <c r="C1688" s="222" t="s">
        <v>2740</v>
      </c>
      <c r="D1688" s="430" t="s">
        <v>837</v>
      </c>
      <c r="E1688" s="107" t="str">
        <f>VLOOKUP(B1688&amp;C1688,Divipola!$C$2:$F$1138,4,FALSE)</f>
        <v>25754</v>
      </c>
      <c r="F1688" s="333"/>
      <c r="G1688" s="221"/>
      <c r="H1688" s="157"/>
      <c r="I1688" s="157"/>
      <c r="J1688" s="157">
        <v>715</v>
      </c>
      <c r="K1688" s="157">
        <v>143</v>
      </c>
      <c r="L1688" s="157">
        <v>3</v>
      </c>
      <c r="M1688" s="157">
        <v>140</v>
      </c>
      <c r="N1688" s="157"/>
      <c r="O1688" s="157"/>
      <c r="P1688" s="157"/>
      <c r="Q1688" s="157"/>
      <c r="R1688" s="157"/>
      <c r="S1688" s="157"/>
      <c r="T1688" s="157"/>
      <c r="U1688" s="157"/>
      <c r="V1688" s="158"/>
      <c r="W1688" s="182"/>
      <c r="X1688" s="1"/>
      <c r="Y1688" s="78">
        <f t="shared" si="215"/>
        <v>0</v>
      </c>
      <c r="Z1688" s="78">
        <f t="shared" si="216"/>
        <v>0</v>
      </c>
      <c r="AA1688" s="78">
        <f t="shared" si="214"/>
        <v>0</v>
      </c>
      <c r="AB1688" s="78">
        <f t="shared" si="217"/>
        <v>0</v>
      </c>
      <c r="AC1688" s="78"/>
      <c r="AD1688" s="80">
        <v>0</v>
      </c>
      <c r="AE1688" s="80">
        <f t="shared" si="219"/>
        <v>0</v>
      </c>
      <c r="AF1688" s="82">
        <v>0</v>
      </c>
      <c r="AG1688" s="69">
        <v>40497</v>
      </c>
      <c r="AH1688" s="84"/>
      <c r="AI1688" s="69" t="s">
        <v>1984</v>
      </c>
      <c r="AJ1688" s="25" t="s">
        <v>1985</v>
      </c>
      <c r="AK1688" s="65"/>
      <c r="AL1688" s="176" t="s">
        <v>1257</v>
      </c>
      <c r="AM1688" s="173" t="s">
        <v>2981</v>
      </c>
      <c r="AN1688" s="159"/>
      <c r="AO1688" s="160"/>
      <c r="AP1688" s="161"/>
      <c r="AQ1688" s="160"/>
      <c r="AR1688" s="160"/>
      <c r="AS1688" s="160"/>
      <c r="AT1688" s="160"/>
      <c r="AU1688" s="160"/>
      <c r="AV1688" s="160"/>
      <c r="AW1688" s="160"/>
      <c r="AX1688" s="160"/>
      <c r="AY1688" s="160"/>
      <c r="AZ1688" s="160"/>
      <c r="BA1688" s="160"/>
      <c r="BB1688" s="160"/>
      <c r="BC1688" s="160"/>
      <c r="BD1688" s="160"/>
      <c r="BE1688" s="160"/>
      <c r="BF1688" s="160"/>
      <c r="BG1688" s="160"/>
      <c r="BH1688" s="160"/>
      <c r="BI1688" s="160"/>
      <c r="BJ1688" s="160"/>
      <c r="BK1688" s="160"/>
      <c r="BL1688" s="160"/>
      <c r="BM1688" s="160"/>
      <c r="BN1688" s="160"/>
      <c r="BO1688" s="160"/>
      <c r="BP1688" s="160"/>
      <c r="BQ1688" s="160"/>
      <c r="BR1688" s="160"/>
      <c r="BS1688" s="160"/>
      <c r="BT1688" s="160"/>
      <c r="BU1688" s="160"/>
      <c r="BV1688" s="160"/>
      <c r="BW1688" s="160"/>
      <c r="BX1688" s="160"/>
      <c r="BY1688" s="160"/>
      <c r="BZ1688" s="160"/>
      <c r="CA1688" s="160"/>
      <c r="CB1688" s="160"/>
      <c r="CC1688" s="160"/>
      <c r="CD1688" s="160"/>
      <c r="CE1688" s="160"/>
      <c r="CF1688" s="160"/>
      <c r="CG1688" s="160"/>
      <c r="CH1688" s="160"/>
      <c r="CI1688" s="160"/>
      <c r="CJ1688" s="160"/>
      <c r="CK1688" s="160"/>
      <c r="CL1688" s="160"/>
      <c r="CM1688" s="160"/>
      <c r="CN1688" s="160"/>
      <c r="CO1688" s="160"/>
      <c r="CP1688" s="162"/>
      <c r="CQ1688" s="163"/>
      <c r="CR1688" s="162"/>
      <c r="CS1688" s="163"/>
      <c r="CT1688" s="162"/>
      <c r="CU1688" s="163"/>
      <c r="CV1688" s="164">
        <f t="shared" si="218"/>
        <v>0</v>
      </c>
      <c r="CW1688" s="165"/>
      <c r="CX1688" s="166"/>
      <c r="CY1688" s="167"/>
      <c r="CZ1688" s="168"/>
      <c r="DA1688" s="169"/>
      <c r="DB1688" s="168"/>
      <c r="DC1688" s="165"/>
      <c r="DD1688" s="166"/>
      <c r="DE1688" s="71"/>
      <c r="DF1688" s="170"/>
      <c r="EO1688" s="375" t="str">
        <f t="shared" si="220"/>
        <v>CUNDINAMARCA_SOACHA</v>
      </c>
      <c r="EP1688" s="376"/>
      <c r="EQ1688" s="376"/>
      <c r="ER1688" s="377"/>
      <c r="ES1688" s="376"/>
      <c r="ET1688" s="376"/>
      <c r="EU1688" s="376"/>
    </row>
    <row r="1689" spans="1:151" s="171" customFormat="1" ht="25.5" x14ac:dyDescent="0.2">
      <c r="A1689" s="242">
        <v>40495</v>
      </c>
      <c r="B1689" s="222" t="s">
        <v>708</v>
      </c>
      <c r="C1689" s="222" t="s">
        <v>2328</v>
      </c>
      <c r="D1689" s="430" t="s">
        <v>837</v>
      </c>
      <c r="E1689" s="107" t="str">
        <f>VLOOKUP(B1689&amp;C1689,Divipola!$C$2:$F$1138,4,FALSE)</f>
        <v>50001</v>
      </c>
      <c r="F1689" s="333"/>
      <c r="G1689" s="221"/>
      <c r="H1689" s="157"/>
      <c r="I1689" s="157"/>
      <c r="J1689" s="157">
        <v>10</v>
      </c>
      <c r="K1689" s="157">
        <v>2</v>
      </c>
      <c r="L1689" s="157"/>
      <c r="M1689" s="157">
        <v>2</v>
      </c>
      <c r="N1689" s="157"/>
      <c r="O1689" s="157"/>
      <c r="P1689" s="157"/>
      <c r="Q1689" s="157"/>
      <c r="R1689" s="157"/>
      <c r="S1689" s="157"/>
      <c r="T1689" s="157"/>
      <c r="U1689" s="157"/>
      <c r="V1689" s="158"/>
      <c r="W1689" s="182"/>
      <c r="X1689" s="1"/>
      <c r="Y1689" s="78">
        <f t="shared" si="215"/>
        <v>0</v>
      </c>
      <c r="Z1689" s="78">
        <f t="shared" si="216"/>
        <v>0</v>
      </c>
      <c r="AA1689" s="78">
        <f t="shared" si="214"/>
        <v>0</v>
      </c>
      <c r="AB1689" s="78">
        <f t="shared" si="217"/>
        <v>0</v>
      </c>
      <c r="AC1689" s="78"/>
      <c r="AD1689" s="78">
        <v>0</v>
      </c>
      <c r="AE1689" s="80">
        <f t="shared" si="219"/>
        <v>0</v>
      </c>
      <c r="AF1689" s="82">
        <v>0</v>
      </c>
      <c r="AG1689" s="69">
        <v>40497</v>
      </c>
      <c r="AH1689" s="84"/>
      <c r="AI1689" s="69" t="s">
        <v>1984</v>
      </c>
      <c r="AJ1689" s="25" t="s">
        <v>1985</v>
      </c>
      <c r="AK1689" s="65"/>
      <c r="AL1689" s="176" t="s">
        <v>1257</v>
      </c>
      <c r="AM1689" s="173" t="s">
        <v>2824</v>
      </c>
      <c r="AN1689" s="159"/>
      <c r="AO1689" s="160"/>
      <c r="AP1689" s="161"/>
      <c r="AQ1689" s="160"/>
      <c r="AR1689" s="160"/>
      <c r="AS1689" s="160"/>
      <c r="AT1689" s="160"/>
      <c r="AU1689" s="160"/>
      <c r="AV1689" s="160"/>
      <c r="AW1689" s="160"/>
      <c r="AX1689" s="160"/>
      <c r="AY1689" s="160"/>
      <c r="AZ1689" s="160"/>
      <c r="BA1689" s="160"/>
      <c r="BB1689" s="160"/>
      <c r="BC1689" s="160"/>
      <c r="BD1689" s="160"/>
      <c r="BE1689" s="160"/>
      <c r="BF1689" s="160"/>
      <c r="BG1689" s="160"/>
      <c r="BH1689" s="160"/>
      <c r="BI1689" s="160"/>
      <c r="BJ1689" s="160"/>
      <c r="BK1689" s="160"/>
      <c r="BL1689" s="160"/>
      <c r="BM1689" s="160"/>
      <c r="BN1689" s="160"/>
      <c r="BO1689" s="160"/>
      <c r="BP1689" s="160"/>
      <c r="BQ1689" s="160"/>
      <c r="BR1689" s="160"/>
      <c r="BS1689" s="160"/>
      <c r="BT1689" s="160"/>
      <c r="BU1689" s="160"/>
      <c r="BV1689" s="160"/>
      <c r="BW1689" s="160"/>
      <c r="BX1689" s="160"/>
      <c r="BY1689" s="160"/>
      <c r="BZ1689" s="160"/>
      <c r="CA1689" s="160"/>
      <c r="CB1689" s="160"/>
      <c r="CC1689" s="160"/>
      <c r="CD1689" s="160"/>
      <c r="CE1689" s="160"/>
      <c r="CF1689" s="160"/>
      <c r="CG1689" s="160"/>
      <c r="CH1689" s="160"/>
      <c r="CI1689" s="160"/>
      <c r="CJ1689" s="160"/>
      <c r="CK1689" s="160"/>
      <c r="CL1689" s="160"/>
      <c r="CM1689" s="160"/>
      <c r="CN1689" s="160"/>
      <c r="CO1689" s="160"/>
      <c r="CP1689" s="162"/>
      <c r="CQ1689" s="163"/>
      <c r="CR1689" s="162"/>
      <c r="CS1689" s="163"/>
      <c r="CT1689" s="162"/>
      <c r="CU1689" s="163"/>
      <c r="CV1689" s="164">
        <f t="shared" si="218"/>
        <v>0</v>
      </c>
      <c r="CW1689" s="165"/>
      <c r="CX1689" s="166"/>
      <c r="CY1689" s="167"/>
      <c r="CZ1689" s="168"/>
      <c r="DA1689" s="169"/>
      <c r="DB1689" s="168"/>
      <c r="DC1689" s="165"/>
      <c r="DD1689" s="166"/>
      <c r="DE1689" s="71"/>
      <c r="DF1689" s="170"/>
      <c r="EO1689" s="375" t="str">
        <f t="shared" si="220"/>
        <v>META_VILLAVICENCIO</v>
      </c>
      <c r="EP1689" s="376"/>
      <c r="EQ1689" s="376"/>
      <c r="ER1689" s="377"/>
      <c r="ES1689" s="376"/>
      <c r="ET1689" s="376"/>
      <c r="EU1689" s="376"/>
    </row>
    <row r="1690" spans="1:151" s="171" customFormat="1" ht="25.5" x14ac:dyDescent="0.2">
      <c r="A1690" s="242">
        <v>40495</v>
      </c>
      <c r="B1690" s="222" t="s">
        <v>2245</v>
      </c>
      <c r="C1690" s="222" t="s">
        <v>2921</v>
      </c>
      <c r="D1690" s="430" t="s">
        <v>2307</v>
      </c>
      <c r="E1690" s="107" t="str">
        <f>VLOOKUP(B1690&amp;C1690,Divipola!$C$2:$F$1138,4,FALSE)</f>
        <v>52788</v>
      </c>
      <c r="F1690" s="333"/>
      <c r="G1690" s="221"/>
      <c r="H1690" s="157"/>
      <c r="I1690" s="157"/>
      <c r="J1690" s="157"/>
      <c r="K1690" s="157"/>
      <c r="L1690" s="157"/>
      <c r="M1690" s="157"/>
      <c r="N1690" s="157"/>
      <c r="O1690" s="157"/>
      <c r="P1690" s="157"/>
      <c r="Q1690" s="157"/>
      <c r="R1690" s="157"/>
      <c r="S1690" s="157"/>
      <c r="T1690" s="157"/>
      <c r="U1690" s="157"/>
      <c r="V1690" s="158"/>
      <c r="W1690" s="182"/>
      <c r="X1690" s="1"/>
      <c r="Y1690" s="78">
        <f t="shared" si="215"/>
        <v>0</v>
      </c>
      <c r="Z1690" s="78">
        <f t="shared" si="216"/>
        <v>0</v>
      </c>
      <c r="AA1690" s="78">
        <f t="shared" si="214"/>
        <v>0</v>
      </c>
      <c r="AB1690" s="78">
        <f t="shared" si="217"/>
        <v>0</v>
      </c>
      <c r="AC1690" s="78"/>
      <c r="AD1690" s="78">
        <v>0</v>
      </c>
      <c r="AE1690" s="80">
        <f t="shared" si="219"/>
        <v>0</v>
      </c>
      <c r="AF1690" s="82">
        <v>0</v>
      </c>
      <c r="AG1690" s="69">
        <v>40508</v>
      </c>
      <c r="AH1690" s="84"/>
      <c r="AI1690" s="69" t="s">
        <v>1984</v>
      </c>
      <c r="AJ1690" s="25" t="s">
        <v>1985</v>
      </c>
      <c r="AK1690" s="65"/>
      <c r="AL1690" s="176" t="s">
        <v>1257</v>
      </c>
      <c r="AM1690" s="173" t="s">
        <v>2922</v>
      </c>
      <c r="AN1690" s="159"/>
      <c r="AO1690" s="160"/>
      <c r="AP1690" s="161"/>
      <c r="AQ1690" s="160"/>
      <c r="AR1690" s="160"/>
      <c r="AS1690" s="160"/>
      <c r="AT1690" s="160"/>
      <c r="AU1690" s="160"/>
      <c r="AV1690" s="160"/>
      <c r="AW1690" s="160"/>
      <c r="AX1690" s="160"/>
      <c r="AY1690" s="160"/>
      <c r="AZ1690" s="160"/>
      <c r="BA1690" s="160"/>
      <c r="BB1690" s="160"/>
      <c r="BC1690" s="160"/>
      <c r="BD1690" s="160"/>
      <c r="BE1690" s="160"/>
      <c r="BF1690" s="160"/>
      <c r="BG1690" s="160"/>
      <c r="BH1690" s="160"/>
      <c r="BI1690" s="160"/>
      <c r="BJ1690" s="160"/>
      <c r="BK1690" s="160"/>
      <c r="BL1690" s="160"/>
      <c r="BM1690" s="160"/>
      <c r="BN1690" s="160"/>
      <c r="BO1690" s="160"/>
      <c r="BP1690" s="160"/>
      <c r="BQ1690" s="160"/>
      <c r="BR1690" s="160"/>
      <c r="BS1690" s="160"/>
      <c r="BT1690" s="160"/>
      <c r="BU1690" s="160"/>
      <c r="BV1690" s="160"/>
      <c r="BW1690" s="160"/>
      <c r="BX1690" s="160"/>
      <c r="BY1690" s="160"/>
      <c r="BZ1690" s="160"/>
      <c r="CA1690" s="160"/>
      <c r="CB1690" s="160"/>
      <c r="CC1690" s="160"/>
      <c r="CD1690" s="160"/>
      <c r="CE1690" s="160"/>
      <c r="CF1690" s="160"/>
      <c r="CG1690" s="160"/>
      <c r="CH1690" s="160"/>
      <c r="CI1690" s="160"/>
      <c r="CJ1690" s="160"/>
      <c r="CK1690" s="160"/>
      <c r="CL1690" s="160"/>
      <c r="CM1690" s="160"/>
      <c r="CN1690" s="160"/>
      <c r="CO1690" s="160"/>
      <c r="CP1690" s="162"/>
      <c r="CQ1690" s="163"/>
      <c r="CR1690" s="162"/>
      <c r="CS1690" s="163"/>
      <c r="CT1690" s="162"/>
      <c r="CU1690" s="163"/>
      <c r="CV1690" s="164">
        <f t="shared" si="218"/>
        <v>0</v>
      </c>
      <c r="CW1690" s="165"/>
      <c r="CX1690" s="166"/>
      <c r="CY1690" s="167"/>
      <c r="CZ1690" s="168"/>
      <c r="DA1690" s="169"/>
      <c r="DB1690" s="168"/>
      <c r="DC1690" s="165"/>
      <c r="DD1690" s="166"/>
      <c r="DE1690" s="71"/>
      <c r="DF1690" s="170"/>
      <c r="EO1690" s="375" t="str">
        <f t="shared" si="220"/>
        <v>NARIÑO_TANGUA</v>
      </c>
      <c r="EP1690" s="376"/>
      <c r="EQ1690" s="376"/>
      <c r="ER1690" s="377"/>
      <c r="ES1690" s="376"/>
      <c r="ET1690" s="376"/>
      <c r="EU1690" s="376"/>
    </row>
    <row r="1691" spans="1:151" s="171" customFormat="1" ht="45" x14ac:dyDescent="0.2">
      <c r="A1691" s="242">
        <v>40495</v>
      </c>
      <c r="B1691" s="222" t="s">
        <v>2791</v>
      </c>
      <c r="C1691" s="107" t="s">
        <v>1095</v>
      </c>
      <c r="D1691" s="430" t="s">
        <v>837</v>
      </c>
      <c r="E1691" s="107" t="str">
        <f>VLOOKUP(B1691&amp;C1691,Divipola!$C$2:$F$1138,4,FALSE)</f>
        <v>73861</v>
      </c>
      <c r="F1691" s="333"/>
      <c r="G1691" s="221"/>
      <c r="H1691" s="157"/>
      <c r="I1691" s="157"/>
      <c r="J1691" s="157">
        <v>900</v>
      </c>
      <c r="K1691" s="157">
        <v>200</v>
      </c>
      <c r="L1691" s="157"/>
      <c r="M1691" s="157"/>
      <c r="N1691" s="157"/>
      <c r="O1691" s="157"/>
      <c r="P1691" s="157"/>
      <c r="Q1691" s="157"/>
      <c r="R1691" s="157"/>
      <c r="S1691" s="157"/>
      <c r="T1691" s="157"/>
      <c r="U1691" s="157"/>
      <c r="V1691" s="158">
        <v>193</v>
      </c>
      <c r="W1691" s="182"/>
      <c r="X1691" s="1"/>
      <c r="Y1691" s="78">
        <f t="shared" si="215"/>
        <v>0</v>
      </c>
      <c r="Z1691" s="78">
        <f t="shared" si="216"/>
        <v>0</v>
      </c>
      <c r="AA1691" s="78">
        <f t="shared" si="214"/>
        <v>0</v>
      </c>
      <c r="AB1691" s="78">
        <f t="shared" si="217"/>
        <v>0</v>
      </c>
      <c r="AC1691" s="78"/>
      <c r="AD1691" s="78">
        <v>0</v>
      </c>
      <c r="AE1691" s="80">
        <f t="shared" si="219"/>
        <v>0</v>
      </c>
      <c r="AF1691" s="82">
        <v>0</v>
      </c>
      <c r="AG1691" s="69"/>
      <c r="AH1691" s="84"/>
      <c r="AI1691" s="69" t="s">
        <v>2009</v>
      </c>
      <c r="AJ1691" s="276" t="s">
        <v>2010</v>
      </c>
      <c r="AK1691" s="65"/>
      <c r="AL1691" s="272" t="s">
        <v>311</v>
      </c>
      <c r="AM1691" s="173" t="s">
        <v>321</v>
      </c>
      <c r="AN1691" s="159"/>
      <c r="AO1691" s="160"/>
      <c r="AP1691" s="161"/>
      <c r="AQ1691" s="160"/>
      <c r="AR1691" s="160"/>
      <c r="AS1691" s="160"/>
      <c r="AT1691" s="160"/>
      <c r="AU1691" s="160"/>
      <c r="AV1691" s="160"/>
      <c r="AW1691" s="160"/>
      <c r="AX1691" s="160"/>
      <c r="AY1691" s="160"/>
      <c r="AZ1691" s="160"/>
      <c r="BA1691" s="160"/>
      <c r="BB1691" s="160"/>
      <c r="BC1691" s="160"/>
      <c r="BD1691" s="160"/>
      <c r="BE1691" s="160"/>
      <c r="BF1691" s="160"/>
      <c r="BG1691" s="160"/>
      <c r="BH1691" s="160"/>
      <c r="BI1691" s="160"/>
      <c r="BJ1691" s="160"/>
      <c r="BK1691" s="160"/>
      <c r="BL1691" s="160"/>
      <c r="BM1691" s="160"/>
      <c r="BN1691" s="160"/>
      <c r="BO1691" s="160"/>
      <c r="BP1691" s="160"/>
      <c r="BQ1691" s="160"/>
      <c r="BR1691" s="160"/>
      <c r="BS1691" s="160"/>
      <c r="BT1691" s="160"/>
      <c r="BU1691" s="160"/>
      <c r="BV1691" s="160"/>
      <c r="BW1691" s="160"/>
      <c r="BX1691" s="160"/>
      <c r="BY1691" s="160"/>
      <c r="BZ1691" s="160"/>
      <c r="CA1691" s="160"/>
      <c r="CB1691" s="160"/>
      <c r="CC1691" s="160"/>
      <c r="CD1691" s="160"/>
      <c r="CE1691" s="160"/>
      <c r="CF1691" s="160"/>
      <c r="CG1691" s="160"/>
      <c r="CH1691" s="160"/>
      <c r="CI1691" s="160"/>
      <c r="CJ1691" s="160"/>
      <c r="CK1691" s="160"/>
      <c r="CL1691" s="160"/>
      <c r="CM1691" s="160"/>
      <c r="CN1691" s="160"/>
      <c r="CO1691" s="160"/>
      <c r="CP1691" s="162"/>
      <c r="CQ1691" s="163"/>
      <c r="CR1691" s="162"/>
      <c r="CS1691" s="163"/>
      <c r="CT1691" s="162"/>
      <c r="CU1691" s="163"/>
      <c r="CV1691" s="164">
        <f t="shared" si="218"/>
        <v>0</v>
      </c>
      <c r="CW1691" s="165"/>
      <c r="CX1691" s="166"/>
      <c r="CY1691" s="167"/>
      <c r="CZ1691" s="168"/>
      <c r="DA1691" s="169"/>
      <c r="DB1691" s="168"/>
      <c r="DC1691" s="165"/>
      <c r="DD1691" s="166"/>
      <c r="DE1691" s="71"/>
      <c r="DF1691" s="170"/>
      <c r="EO1691" s="375" t="str">
        <f t="shared" si="220"/>
        <v>TOLIMA_VENADILLO</v>
      </c>
      <c r="EP1691" s="376"/>
      <c r="EQ1691" s="376"/>
      <c r="ER1691" s="377"/>
      <c r="ES1691" s="376"/>
      <c r="ET1691" s="376"/>
      <c r="EU1691" s="376"/>
    </row>
    <row r="1692" spans="1:151" s="171" customFormat="1" ht="38.25" x14ac:dyDescent="0.2">
      <c r="A1692" s="242">
        <v>40495.658333333333</v>
      </c>
      <c r="B1692" s="107" t="s">
        <v>6305</v>
      </c>
      <c r="C1692" s="107" t="s">
        <v>6305</v>
      </c>
      <c r="D1692" s="430" t="s">
        <v>837</v>
      </c>
      <c r="E1692" s="107" t="str">
        <f>VLOOKUP(B1692&amp;C1692,Divipola!$C$2:$F$1138,4,FALSE)</f>
        <v>11001</v>
      </c>
      <c r="F1692" s="333"/>
      <c r="G1692" s="221"/>
      <c r="H1692" s="157"/>
      <c r="I1692" s="157"/>
      <c r="J1692" s="157"/>
      <c r="K1692" s="414"/>
      <c r="L1692" s="157"/>
      <c r="M1692" s="157"/>
      <c r="N1692" s="157"/>
      <c r="O1692" s="157"/>
      <c r="P1692" s="157"/>
      <c r="Q1692" s="157"/>
      <c r="R1692" s="157"/>
      <c r="S1692" s="157"/>
      <c r="T1692" s="157"/>
      <c r="U1692" s="157"/>
      <c r="V1692" s="158"/>
      <c r="W1692" s="182"/>
      <c r="X1692" s="1"/>
      <c r="Y1692" s="78">
        <f t="shared" si="215"/>
        <v>0</v>
      </c>
      <c r="Z1692" s="78">
        <f t="shared" si="216"/>
        <v>0</v>
      </c>
      <c r="AA1692" s="78">
        <f t="shared" si="214"/>
        <v>0</v>
      </c>
      <c r="AB1692" s="78">
        <f t="shared" si="217"/>
        <v>0</v>
      </c>
      <c r="AC1692" s="78"/>
      <c r="AD1692" s="78">
        <v>0</v>
      </c>
      <c r="AE1692" s="80">
        <f t="shared" si="219"/>
        <v>0</v>
      </c>
      <c r="AF1692" s="82">
        <v>0</v>
      </c>
      <c r="AG1692" s="306">
        <v>40624</v>
      </c>
      <c r="AH1692" s="307"/>
      <c r="AI1692" s="306" t="s">
        <v>1984</v>
      </c>
      <c r="AJ1692" s="308" t="s">
        <v>1985</v>
      </c>
      <c r="AK1692" s="309"/>
      <c r="AL1692" s="310" t="s">
        <v>1257</v>
      </c>
      <c r="AM1692" s="419" t="s">
        <v>3760</v>
      </c>
      <c r="AN1692" s="159"/>
      <c r="AO1692" s="160"/>
      <c r="AP1692" s="161"/>
      <c r="AQ1692" s="160"/>
      <c r="AR1692" s="160"/>
      <c r="AS1692" s="160"/>
      <c r="AT1692" s="160"/>
      <c r="AU1692" s="160"/>
      <c r="AV1692" s="160"/>
      <c r="AW1692" s="160"/>
      <c r="AX1692" s="160"/>
      <c r="AY1692" s="160"/>
      <c r="AZ1692" s="160"/>
      <c r="BA1692" s="160"/>
      <c r="BB1692" s="160"/>
      <c r="BC1692" s="160"/>
      <c r="BD1692" s="160"/>
      <c r="BE1692" s="160"/>
      <c r="BF1692" s="160"/>
      <c r="BG1692" s="160"/>
      <c r="BH1692" s="160"/>
      <c r="BI1692" s="160"/>
      <c r="BJ1692" s="160"/>
      <c r="BK1692" s="160"/>
      <c r="BL1692" s="160"/>
      <c r="BM1692" s="160"/>
      <c r="BN1692" s="160"/>
      <c r="BO1692" s="160"/>
      <c r="BP1692" s="160"/>
      <c r="BQ1692" s="160"/>
      <c r="BR1692" s="160"/>
      <c r="BS1692" s="160"/>
      <c r="BT1692" s="160"/>
      <c r="BU1692" s="160"/>
      <c r="BV1692" s="160"/>
      <c r="BW1692" s="160"/>
      <c r="BX1692" s="160"/>
      <c r="BY1692" s="160"/>
      <c r="BZ1692" s="160"/>
      <c r="CA1692" s="160"/>
      <c r="CB1692" s="160"/>
      <c r="CC1692" s="160"/>
      <c r="CD1692" s="160"/>
      <c r="CE1692" s="160"/>
      <c r="CF1692" s="160"/>
      <c r="CG1692" s="160"/>
      <c r="CH1692" s="160"/>
      <c r="CI1692" s="160"/>
      <c r="CJ1692" s="160"/>
      <c r="CK1692" s="160"/>
      <c r="CL1692" s="160"/>
      <c r="CM1692" s="160"/>
      <c r="CN1692" s="160"/>
      <c r="CO1692" s="160"/>
      <c r="CP1692" s="162"/>
      <c r="CQ1692" s="163"/>
      <c r="CR1692" s="162"/>
      <c r="CS1692" s="163"/>
      <c r="CT1692" s="162"/>
      <c r="CU1692" s="163"/>
      <c r="CV1692" s="164">
        <f t="shared" si="218"/>
        <v>0</v>
      </c>
      <c r="CW1692" s="165"/>
      <c r="CX1692" s="166"/>
      <c r="CY1692" s="167"/>
      <c r="CZ1692" s="168"/>
      <c r="DA1692" s="169"/>
      <c r="DB1692" s="168"/>
      <c r="DC1692" s="165"/>
      <c r="DD1692" s="166"/>
      <c r="DE1692" s="71"/>
      <c r="DF1692" s="170"/>
      <c r="EO1692" s="375" t="str">
        <f t="shared" si="220"/>
        <v>BOGOTA, D.C._BOGOTA, D.C.</v>
      </c>
      <c r="EP1692" s="376"/>
      <c r="EQ1692" s="376"/>
      <c r="ER1692" s="377"/>
      <c r="ES1692" s="376"/>
      <c r="ET1692" s="376"/>
      <c r="EU1692" s="376"/>
    </row>
    <row r="1693" spans="1:151" s="171" customFormat="1" ht="84" x14ac:dyDescent="0.2">
      <c r="A1693" s="246">
        <v>40496</v>
      </c>
      <c r="B1693" s="280" t="s">
        <v>2401</v>
      </c>
      <c r="C1693" s="280" t="s">
        <v>2840</v>
      </c>
      <c r="D1693" s="432" t="s">
        <v>837</v>
      </c>
      <c r="E1693" s="107" t="str">
        <f>VLOOKUP(B1693&amp;C1693,Divipola!$C$2:$F$1138,4,FALSE)</f>
        <v>05380</v>
      </c>
      <c r="F1693" s="337"/>
      <c r="G1693" s="221"/>
      <c r="H1693" s="157"/>
      <c r="I1693" s="157"/>
      <c r="J1693" s="157">
        <v>1266</v>
      </c>
      <c r="K1693" s="157">
        <v>338</v>
      </c>
      <c r="L1693" s="157">
        <v>10</v>
      </c>
      <c r="M1693" s="157">
        <v>328</v>
      </c>
      <c r="N1693" s="157"/>
      <c r="O1693" s="157"/>
      <c r="P1693" s="157"/>
      <c r="Q1693" s="157"/>
      <c r="R1693" s="157"/>
      <c r="S1693" s="157"/>
      <c r="T1693" s="157"/>
      <c r="U1693" s="157"/>
      <c r="V1693" s="158"/>
      <c r="W1693" s="182"/>
      <c r="X1693" s="1"/>
      <c r="Y1693" s="78">
        <f t="shared" si="215"/>
        <v>0</v>
      </c>
      <c r="Z1693" s="78">
        <f t="shared" si="216"/>
        <v>0</v>
      </c>
      <c r="AA1693" s="78">
        <f t="shared" si="214"/>
        <v>0</v>
      </c>
      <c r="AB1693" s="78">
        <f t="shared" si="217"/>
        <v>0</v>
      </c>
      <c r="AC1693" s="78"/>
      <c r="AD1693" s="78">
        <v>0</v>
      </c>
      <c r="AE1693" s="80">
        <f t="shared" si="219"/>
        <v>0</v>
      </c>
      <c r="AF1693" s="82">
        <v>0</v>
      </c>
      <c r="AG1693" s="69">
        <v>40497</v>
      </c>
      <c r="AH1693" s="84"/>
      <c r="AI1693" s="69" t="s">
        <v>1984</v>
      </c>
      <c r="AJ1693" s="25" t="s">
        <v>1985</v>
      </c>
      <c r="AK1693" s="65"/>
      <c r="AL1693" s="176" t="s">
        <v>1257</v>
      </c>
      <c r="AM1693" s="173" t="s">
        <v>531</v>
      </c>
      <c r="AN1693" s="159"/>
      <c r="AO1693" s="160"/>
      <c r="AP1693" s="161"/>
      <c r="AQ1693" s="160"/>
      <c r="AR1693" s="160"/>
      <c r="AS1693" s="160"/>
      <c r="AT1693" s="160"/>
      <c r="AU1693" s="160"/>
      <c r="AV1693" s="160"/>
      <c r="AW1693" s="160"/>
      <c r="AX1693" s="160"/>
      <c r="AY1693" s="160"/>
      <c r="AZ1693" s="160"/>
      <c r="BA1693" s="160"/>
      <c r="BB1693" s="160"/>
      <c r="BC1693" s="160"/>
      <c r="BD1693" s="160"/>
      <c r="BE1693" s="160"/>
      <c r="BF1693" s="160"/>
      <c r="BG1693" s="160"/>
      <c r="BH1693" s="160"/>
      <c r="BI1693" s="160"/>
      <c r="BJ1693" s="160"/>
      <c r="BK1693" s="160"/>
      <c r="BL1693" s="160"/>
      <c r="BM1693" s="160"/>
      <c r="BN1693" s="160"/>
      <c r="BO1693" s="160"/>
      <c r="BP1693" s="160"/>
      <c r="BQ1693" s="160"/>
      <c r="BR1693" s="160"/>
      <c r="BS1693" s="160"/>
      <c r="BT1693" s="160"/>
      <c r="BU1693" s="160"/>
      <c r="BV1693" s="160"/>
      <c r="BW1693" s="160"/>
      <c r="BX1693" s="160"/>
      <c r="BY1693" s="160"/>
      <c r="BZ1693" s="160"/>
      <c r="CA1693" s="160"/>
      <c r="CB1693" s="160"/>
      <c r="CC1693" s="160"/>
      <c r="CD1693" s="160"/>
      <c r="CE1693" s="160"/>
      <c r="CF1693" s="160"/>
      <c r="CG1693" s="160"/>
      <c r="CH1693" s="160"/>
      <c r="CI1693" s="160"/>
      <c r="CJ1693" s="160"/>
      <c r="CK1693" s="160"/>
      <c r="CL1693" s="160"/>
      <c r="CM1693" s="160"/>
      <c r="CN1693" s="160"/>
      <c r="CO1693" s="160"/>
      <c r="CP1693" s="162"/>
      <c r="CQ1693" s="163"/>
      <c r="CR1693" s="162"/>
      <c r="CS1693" s="163"/>
      <c r="CT1693" s="162"/>
      <c r="CU1693" s="163"/>
      <c r="CV1693" s="164">
        <f t="shared" si="218"/>
        <v>0</v>
      </c>
      <c r="CW1693" s="165"/>
      <c r="CX1693" s="166"/>
      <c r="CY1693" s="167"/>
      <c r="CZ1693" s="168"/>
      <c r="DA1693" s="169"/>
      <c r="DB1693" s="168"/>
      <c r="DC1693" s="165"/>
      <c r="DD1693" s="166"/>
      <c r="DE1693" s="71"/>
      <c r="DF1693" s="170"/>
      <c r="EO1693" s="375" t="str">
        <f t="shared" si="220"/>
        <v>ANTIOQUIA_LA ESTRELLA</v>
      </c>
      <c r="EP1693" s="376"/>
      <c r="EQ1693" s="376"/>
      <c r="ER1693" s="377"/>
      <c r="ES1693" s="376"/>
      <c r="ET1693" s="376"/>
      <c r="EU1693" s="376"/>
    </row>
    <row r="1694" spans="1:151" s="171" customFormat="1" ht="25.5" x14ac:dyDescent="0.2">
      <c r="A1694" s="246">
        <v>40496</v>
      </c>
      <c r="B1694" s="280" t="s">
        <v>2401</v>
      </c>
      <c r="C1694" s="280" t="s">
        <v>2747</v>
      </c>
      <c r="D1694" s="431" t="s">
        <v>2307</v>
      </c>
      <c r="E1694" s="107" t="str">
        <f>VLOOKUP(B1694&amp;C1694,Divipola!$C$2:$F$1138,4,FALSE)</f>
        <v>05001</v>
      </c>
      <c r="F1694" s="334"/>
      <c r="G1694" s="221">
        <v>4</v>
      </c>
      <c r="H1694" s="157"/>
      <c r="I1694" s="157"/>
      <c r="J1694" s="157">
        <v>130</v>
      </c>
      <c r="K1694" s="157">
        <v>26</v>
      </c>
      <c r="L1694" s="157">
        <v>7</v>
      </c>
      <c r="M1694" s="157">
        <v>19</v>
      </c>
      <c r="N1694" s="157"/>
      <c r="O1694" s="157"/>
      <c r="P1694" s="157"/>
      <c r="Q1694" s="157"/>
      <c r="R1694" s="157"/>
      <c r="S1694" s="157"/>
      <c r="T1694" s="157"/>
      <c r="U1694" s="157"/>
      <c r="V1694" s="158"/>
      <c r="W1694" s="182"/>
      <c r="X1694" s="1"/>
      <c r="Y1694" s="78">
        <f t="shared" si="215"/>
        <v>0</v>
      </c>
      <c r="Z1694" s="78">
        <f t="shared" si="216"/>
        <v>0</v>
      </c>
      <c r="AA1694" s="78">
        <f t="shared" si="214"/>
        <v>0</v>
      </c>
      <c r="AB1694" s="78">
        <f t="shared" si="217"/>
        <v>0</v>
      </c>
      <c r="AC1694" s="78"/>
      <c r="AD1694" s="78">
        <v>0</v>
      </c>
      <c r="AE1694" s="80">
        <f t="shared" si="219"/>
        <v>0</v>
      </c>
      <c r="AF1694" s="82">
        <v>0</v>
      </c>
      <c r="AG1694" s="69">
        <v>40497</v>
      </c>
      <c r="AH1694" s="84"/>
      <c r="AI1694" s="69" t="s">
        <v>1984</v>
      </c>
      <c r="AJ1694" s="25" t="s">
        <v>1985</v>
      </c>
      <c r="AK1694" s="65"/>
      <c r="AL1694" s="176" t="s">
        <v>1257</v>
      </c>
      <c r="AM1694" s="173" t="s">
        <v>2831</v>
      </c>
      <c r="AN1694" s="159"/>
      <c r="AO1694" s="160"/>
      <c r="AP1694" s="161"/>
      <c r="AQ1694" s="160"/>
      <c r="AR1694" s="160"/>
      <c r="AS1694" s="160"/>
      <c r="AT1694" s="160"/>
      <c r="AU1694" s="160"/>
      <c r="AV1694" s="160"/>
      <c r="AW1694" s="160"/>
      <c r="AX1694" s="160"/>
      <c r="AY1694" s="160"/>
      <c r="AZ1694" s="160"/>
      <c r="BA1694" s="160"/>
      <c r="BB1694" s="160"/>
      <c r="BC1694" s="160"/>
      <c r="BD1694" s="160"/>
      <c r="BE1694" s="160"/>
      <c r="BF1694" s="160"/>
      <c r="BG1694" s="160"/>
      <c r="BH1694" s="160"/>
      <c r="BI1694" s="160"/>
      <c r="BJ1694" s="160"/>
      <c r="BK1694" s="160"/>
      <c r="BL1694" s="160"/>
      <c r="BM1694" s="160"/>
      <c r="BN1694" s="160"/>
      <c r="BO1694" s="160"/>
      <c r="BP1694" s="160"/>
      <c r="BQ1694" s="160"/>
      <c r="BR1694" s="160"/>
      <c r="BS1694" s="160"/>
      <c r="BT1694" s="160"/>
      <c r="BU1694" s="160"/>
      <c r="BV1694" s="160"/>
      <c r="BW1694" s="160"/>
      <c r="BX1694" s="160"/>
      <c r="BY1694" s="160"/>
      <c r="BZ1694" s="160"/>
      <c r="CA1694" s="160"/>
      <c r="CB1694" s="160"/>
      <c r="CC1694" s="160"/>
      <c r="CD1694" s="160"/>
      <c r="CE1694" s="160"/>
      <c r="CF1694" s="160"/>
      <c r="CG1694" s="160"/>
      <c r="CH1694" s="160"/>
      <c r="CI1694" s="160"/>
      <c r="CJ1694" s="160"/>
      <c r="CK1694" s="160"/>
      <c r="CL1694" s="160"/>
      <c r="CM1694" s="160"/>
      <c r="CN1694" s="160"/>
      <c r="CO1694" s="160"/>
      <c r="CP1694" s="162"/>
      <c r="CQ1694" s="163"/>
      <c r="CR1694" s="162"/>
      <c r="CS1694" s="163"/>
      <c r="CT1694" s="162"/>
      <c r="CU1694" s="163"/>
      <c r="CV1694" s="164">
        <f t="shared" si="218"/>
        <v>0</v>
      </c>
      <c r="CW1694" s="165"/>
      <c r="CX1694" s="166"/>
      <c r="CY1694" s="167"/>
      <c r="CZ1694" s="168"/>
      <c r="DA1694" s="169"/>
      <c r="DB1694" s="168"/>
      <c r="DC1694" s="165"/>
      <c r="DD1694" s="166"/>
      <c r="DE1694" s="71"/>
      <c r="DF1694" s="170"/>
      <c r="EO1694" s="375" t="str">
        <f t="shared" si="220"/>
        <v>ANTIOQUIA_MEDELLIN</v>
      </c>
      <c r="EP1694" s="376"/>
      <c r="EQ1694" s="376"/>
      <c r="ER1694" s="377"/>
      <c r="ES1694" s="376"/>
      <c r="ET1694" s="376"/>
      <c r="EU1694" s="376"/>
    </row>
    <row r="1695" spans="1:151" s="171" customFormat="1" ht="36" x14ac:dyDescent="0.2">
      <c r="A1695" s="242">
        <v>40496</v>
      </c>
      <c r="B1695" s="222" t="s">
        <v>2017</v>
      </c>
      <c r="C1695" s="222" t="s">
        <v>1955</v>
      </c>
      <c r="D1695" s="430" t="s">
        <v>837</v>
      </c>
      <c r="E1695" s="107" t="str">
        <f>VLOOKUP(B1695&amp;C1695,Divipola!$C$2:$F$1138,4,FALSE)</f>
        <v>13433</v>
      </c>
      <c r="F1695" s="333"/>
      <c r="G1695" s="221"/>
      <c r="H1695" s="157"/>
      <c r="I1695" s="157"/>
      <c r="J1695" s="157">
        <f>520*5</f>
        <v>2600</v>
      </c>
      <c r="K1695" s="157">
        <f>802-282</f>
        <v>520</v>
      </c>
      <c r="L1695" s="157"/>
      <c r="M1695" s="157">
        <v>520</v>
      </c>
      <c r="N1695" s="157"/>
      <c r="O1695" s="157"/>
      <c r="P1695" s="157"/>
      <c r="Q1695" s="157"/>
      <c r="R1695" s="157"/>
      <c r="S1695" s="157"/>
      <c r="T1695" s="157"/>
      <c r="U1695" s="157"/>
      <c r="V1695" s="158"/>
      <c r="W1695" s="182"/>
      <c r="X1695" s="1"/>
      <c r="Y1695" s="78">
        <f t="shared" si="215"/>
        <v>0</v>
      </c>
      <c r="Z1695" s="78">
        <f t="shared" si="216"/>
        <v>0</v>
      </c>
      <c r="AA1695" s="78">
        <f t="shared" si="214"/>
        <v>0</v>
      </c>
      <c r="AB1695" s="78">
        <f t="shared" si="217"/>
        <v>0</v>
      </c>
      <c r="AC1695" s="78"/>
      <c r="AD1695" s="78">
        <v>0</v>
      </c>
      <c r="AE1695" s="80">
        <f t="shared" si="219"/>
        <v>0</v>
      </c>
      <c r="AF1695" s="82">
        <v>0</v>
      </c>
      <c r="AG1695" s="69">
        <v>40496</v>
      </c>
      <c r="AH1695" s="84"/>
      <c r="AI1695" s="69" t="s">
        <v>1984</v>
      </c>
      <c r="AJ1695" s="25" t="s">
        <v>1985</v>
      </c>
      <c r="AK1695" s="65"/>
      <c r="AL1695" s="176" t="s">
        <v>1257</v>
      </c>
      <c r="AM1695" s="173" t="s">
        <v>48</v>
      </c>
      <c r="AN1695" s="159"/>
      <c r="AO1695" s="160"/>
      <c r="AP1695" s="161"/>
      <c r="AQ1695" s="160"/>
      <c r="AR1695" s="160"/>
      <c r="AS1695" s="160"/>
      <c r="AT1695" s="160"/>
      <c r="AU1695" s="160"/>
      <c r="AV1695" s="160"/>
      <c r="AW1695" s="160"/>
      <c r="AX1695" s="160"/>
      <c r="AY1695" s="160"/>
      <c r="AZ1695" s="160"/>
      <c r="BA1695" s="160"/>
      <c r="BB1695" s="160"/>
      <c r="BC1695" s="160"/>
      <c r="BD1695" s="160"/>
      <c r="BE1695" s="160"/>
      <c r="BF1695" s="160"/>
      <c r="BG1695" s="160"/>
      <c r="BH1695" s="160"/>
      <c r="BI1695" s="160"/>
      <c r="BJ1695" s="160"/>
      <c r="BK1695" s="160"/>
      <c r="BL1695" s="160"/>
      <c r="BM1695" s="160"/>
      <c r="BN1695" s="160"/>
      <c r="BO1695" s="160"/>
      <c r="BP1695" s="160"/>
      <c r="BQ1695" s="160"/>
      <c r="BR1695" s="160"/>
      <c r="BS1695" s="160"/>
      <c r="BT1695" s="160"/>
      <c r="BU1695" s="160"/>
      <c r="BV1695" s="160"/>
      <c r="BW1695" s="160"/>
      <c r="BX1695" s="160"/>
      <c r="BY1695" s="160"/>
      <c r="BZ1695" s="160"/>
      <c r="CA1695" s="160"/>
      <c r="CB1695" s="160"/>
      <c r="CC1695" s="160"/>
      <c r="CD1695" s="160"/>
      <c r="CE1695" s="160"/>
      <c r="CF1695" s="160"/>
      <c r="CG1695" s="160"/>
      <c r="CH1695" s="160"/>
      <c r="CI1695" s="160"/>
      <c r="CJ1695" s="160"/>
      <c r="CK1695" s="160"/>
      <c r="CL1695" s="160"/>
      <c r="CM1695" s="160"/>
      <c r="CN1695" s="160"/>
      <c r="CO1695" s="160"/>
      <c r="CP1695" s="162"/>
      <c r="CQ1695" s="163"/>
      <c r="CR1695" s="162"/>
      <c r="CS1695" s="163"/>
      <c r="CT1695" s="162"/>
      <c r="CU1695" s="163"/>
      <c r="CV1695" s="164">
        <f t="shared" si="218"/>
        <v>0</v>
      </c>
      <c r="CW1695" s="165"/>
      <c r="CX1695" s="166"/>
      <c r="CY1695" s="167"/>
      <c r="CZ1695" s="168"/>
      <c r="DA1695" s="169"/>
      <c r="DB1695" s="168"/>
      <c r="DC1695" s="165"/>
      <c r="DD1695" s="166"/>
      <c r="DE1695" s="71"/>
      <c r="DF1695" s="170"/>
      <c r="EO1695" s="375" t="str">
        <f t="shared" si="220"/>
        <v>BOLIVAR_MAHATES</v>
      </c>
      <c r="EP1695" s="376"/>
      <c r="EQ1695" s="376"/>
      <c r="ER1695" s="377"/>
      <c r="ES1695" s="376"/>
      <c r="ET1695" s="376"/>
      <c r="EU1695" s="376"/>
    </row>
    <row r="1696" spans="1:151" s="171" customFormat="1" ht="36" x14ac:dyDescent="0.2">
      <c r="A1696" s="242">
        <v>40496</v>
      </c>
      <c r="B1696" s="222" t="s">
        <v>2017</v>
      </c>
      <c r="C1696" s="222" t="s">
        <v>1842</v>
      </c>
      <c r="D1696" s="430" t="s">
        <v>837</v>
      </c>
      <c r="E1696" s="107" t="str">
        <f>VLOOKUP(B1696&amp;C1696,Divipola!$C$2:$F$1138,4,FALSE)</f>
        <v>13894</v>
      </c>
      <c r="F1696" s="333"/>
      <c r="G1696" s="221"/>
      <c r="H1696" s="157"/>
      <c r="I1696" s="157"/>
      <c r="J1696" s="157">
        <v>1000</v>
      </c>
      <c r="K1696" s="157">
        <v>200</v>
      </c>
      <c r="L1696" s="157"/>
      <c r="M1696" s="157">
        <v>200</v>
      </c>
      <c r="N1696" s="157"/>
      <c r="O1696" s="157"/>
      <c r="P1696" s="157"/>
      <c r="Q1696" s="157"/>
      <c r="R1696" s="157"/>
      <c r="S1696" s="157"/>
      <c r="T1696" s="157"/>
      <c r="U1696" s="157"/>
      <c r="V1696" s="158"/>
      <c r="W1696" s="182"/>
      <c r="X1696" s="1"/>
      <c r="Y1696" s="78">
        <f t="shared" si="215"/>
        <v>0</v>
      </c>
      <c r="Z1696" s="78">
        <f t="shared" si="216"/>
        <v>0</v>
      </c>
      <c r="AA1696" s="78">
        <f t="shared" si="214"/>
        <v>0</v>
      </c>
      <c r="AB1696" s="78">
        <f t="shared" si="217"/>
        <v>0</v>
      </c>
      <c r="AC1696" s="78"/>
      <c r="AD1696" s="78">
        <v>0</v>
      </c>
      <c r="AE1696" s="80">
        <f t="shared" si="219"/>
        <v>0</v>
      </c>
      <c r="AF1696" s="82">
        <v>0</v>
      </c>
      <c r="AG1696" s="69">
        <v>40496</v>
      </c>
      <c r="AH1696" s="84"/>
      <c r="AI1696" s="69" t="s">
        <v>1984</v>
      </c>
      <c r="AJ1696" s="25" t="s">
        <v>1985</v>
      </c>
      <c r="AK1696" s="65"/>
      <c r="AL1696" s="176" t="s">
        <v>1257</v>
      </c>
      <c r="AM1696" s="173" t="s">
        <v>47</v>
      </c>
      <c r="AN1696" s="159"/>
      <c r="AO1696" s="160"/>
      <c r="AP1696" s="161"/>
      <c r="AQ1696" s="160"/>
      <c r="AR1696" s="160"/>
      <c r="AS1696" s="160"/>
      <c r="AT1696" s="160"/>
      <c r="AU1696" s="160"/>
      <c r="AV1696" s="160"/>
      <c r="AW1696" s="160"/>
      <c r="AX1696" s="160"/>
      <c r="AY1696" s="160"/>
      <c r="AZ1696" s="160"/>
      <c r="BA1696" s="160"/>
      <c r="BB1696" s="160"/>
      <c r="BC1696" s="160"/>
      <c r="BD1696" s="160"/>
      <c r="BE1696" s="160"/>
      <c r="BF1696" s="160"/>
      <c r="BG1696" s="160"/>
      <c r="BH1696" s="160"/>
      <c r="BI1696" s="160"/>
      <c r="BJ1696" s="160"/>
      <c r="BK1696" s="160"/>
      <c r="BL1696" s="160"/>
      <c r="BM1696" s="160"/>
      <c r="BN1696" s="160"/>
      <c r="BO1696" s="160"/>
      <c r="BP1696" s="160"/>
      <c r="BQ1696" s="160"/>
      <c r="BR1696" s="160"/>
      <c r="BS1696" s="160"/>
      <c r="BT1696" s="160"/>
      <c r="BU1696" s="160"/>
      <c r="BV1696" s="160"/>
      <c r="BW1696" s="160"/>
      <c r="BX1696" s="160"/>
      <c r="BY1696" s="160"/>
      <c r="BZ1696" s="160"/>
      <c r="CA1696" s="160"/>
      <c r="CB1696" s="160"/>
      <c r="CC1696" s="160"/>
      <c r="CD1696" s="160"/>
      <c r="CE1696" s="160"/>
      <c r="CF1696" s="160"/>
      <c r="CG1696" s="160"/>
      <c r="CH1696" s="160"/>
      <c r="CI1696" s="160"/>
      <c r="CJ1696" s="160"/>
      <c r="CK1696" s="160"/>
      <c r="CL1696" s="160"/>
      <c r="CM1696" s="160"/>
      <c r="CN1696" s="160"/>
      <c r="CO1696" s="160"/>
      <c r="CP1696" s="162"/>
      <c r="CQ1696" s="163"/>
      <c r="CR1696" s="162"/>
      <c r="CS1696" s="163"/>
      <c r="CT1696" s="162"/>
      <c r="CU1696" s="163"/>
      <c r="CV1696" s="164">
        <f t="shared" si="218"/>
        <v>0</v>
      </c>
      <c r="CW1696" s="165"/>
      <c r="CX1696" s="166"/>
      <c r="CY1696" s="167"/>
      <c r="CZ1696" s="168"/>
      <c r="DA1696" s="169"/>
      <c r="DB1696" s="168"/>
      <c r="DC1696" s="165"/>
      <c r="DD1696" s="166"/>
      <c r="DE1696" s="71"/>
      <c r="DF1696" s="170"/>
      <c r="EO1696" s="375" t="str">
        <f t="shared" si="220"/>
        <v>BOLIVAR_ZAMBRANO</v>
      </c>
      <c r="EP1696" s="376"/>
      <c r="EQ1696" s="376"/>
      <c r="ER1696" s="377"/>
      <c r="ES1696" s="376"/>
      <c r="ET1696" s="376"/>
      <c r="EU1696" s="376"/>
    </row>
    <row r="1697" spans="1:151" s="171" customFormat="1" ht="25.5" x14ac:dyDescent="0.2">
      <c r="A1697" s="242">
        <v>40496</v>
      </c>
      <c r="B1697" s="222" t="s">
        <v>1719</v>
      </c>
      <c r="C1697" s="222" t="s">
        <v>1258</v>
      </c>
      <c r="D1697" s="427" t="s">
        <v>837</v>
      </c>
      <c r="E1697" s="107" t="str">
        <f>VLOOKUP(B1697&amp;C1697,Divipola!$C$2:$F$1138,4,FALSE)</f>
        <v>19392</v>
      </c>
      <c r="F1697" s="330"/>
      <c r="G1697" s="221"/>
      <c r="H1697" s="157"/>
      <c r="I1697" s="157"/>
      <c r="J1697" s="423">
        <f>4235*3</f>
        <v>12705</v>
      </c>
      <c r="K1697" s="157">
        <v>4235</v>
      </c>
      <c r="L1697" s="157"/>
      <c r="M1697" s="157">
        <v>1753</v>
      </c>
      <c r="N1697" s="157">
        <v>1</v>
      </c>
      <c r="O1697" s="157"/>
      <c r="P1697" s="157"/>
      <c r="Q1697" s="157"/>
      <c r="R1697" s="157"/>
      <c r="S1697" s="157"/>
      <c r="T1697" s="157"/>
      <c r="U1697" s="157"/>
      <c r="V1697" s="158">
        <v>8104</v>
      </c>
      <c r="W1697" s="182" t="s">
        <v>757</v>
      </c>
      <c r="X1697" s="1"/>
      <c r="Y1697" s="78">
        <f t="shared" si="215"/>
        <v>0</v>
      </c>
      <c r="Z1697" s="78">
        <f t="shared" si="216"/>
        <v>0</v>
      </c>
      <c r="AA1697" s="78">
        <f t="shared" si="214"/>
        <v>0</v>
      </c>
      <c r="AB1697" s="78">
        <f t="shared" si="217"/>
        <v>0</v>
      </c>
      <c r="AC1697" s="78"/>
      <c r="AD1697" s="78">
        <v>0</v>
      </c>
      <c r="AE1697" s="80">
        <f t="shared" si="219"/>
        <v>0</v>
      </c>
      <c r="AF1697" s="82">
        <v>0</v>
      </c>
      <c r="AG1697" s="69">
        <v>40497</v>
      </c>
      <c r="AH1697" s="84"/>
      <c r="AI1697" s="69" t="s">
        <v>1984</v>
      </c>
      <c r="AJ1697" s="70" t="s">
        <v>1985</v>
      </c>
      <c r="AK1697" s="65"/>
      <c r="AL1697" s="176" t="s">
        <v>1257</v>
      </c>
      <c r="AM1697" s="173" t="s">
        <v>2839</v>
      </c>
      <c r="AN1697" s="159"/>
      <c r="AO1697" s="160"/>
      <c r="AP1697" s="161"/>
      <c r="AQ1697" s="160"/>
      <c r="AR1697" s="160"/>
      <c r="AS1697" s="160"/>
      <c r="AT1697" s="160"/>
      <c r="AU1697" s="160"/>
      <c r="AV1697" s="160"/>
      <c r="AW1697" s="160"/>
      <c r="AX1697" s="160"/>
      <c r="AY1697" s="160"/>
      <c r="AZ1697" s="160"/>
      <c r="BA1697" s="160"/>
      <c r="BB1697" s="160"/>
      <c r="BC1697" s="160"/>
      <c r="BD1697" s="160"/>
      <c r="BE1697" s="160"/>
      <c r="BF1697" s="160"/>
      <c r="BG1697" s="160"/>
      <c r="BH1697" s="160"/>
      <c r="BI1697" s="160"/>
      <c r="BJ1697" s="160"/>
      <c r="BK1697" s="160"/>
      <c r="BL1697" s="160"/>
      <c r="BM1697" s="160"/>
      <c r="BN1697" s="160"/>
      <c r="BO1697" s="160"/>
      <c r="BP1697" s="160"/>
      <c r="BQ1697" s="160"/>
      <c r="BR1697" s="160"/>
      <c r="BS1697" s="160"/>
      <c r="BT1697" s="160"/>
      <c r="BU1697" s="160"/>
      <c r="BV1697" s="160"/>
      <c r="BW1697" s="160"/>
      <c r="BX1697" s="160"/>
      <c r="BY1697" s="160"/>
      <c r="BZ1697" s="160"/>
      <c r="CA1697" s="160"/>
      <c r="CB1697" s="160"/>
      <c r="CC1697" s="160"/>
      <c r="CD1697" s="160"/>
      <c r="CE1697" s="160"/>
      <c r="CF1697" s="160"/>
      <c r="CG1697" s="160"/>
      <c r="CH1697" s="160"/>
      <c r="CI1697" s="160"/>
      <c r="CJ1697" s="160"/>
      <c r="CK1697" s="160"/>
      <c r="CL1697" s="160"/>
      <c r="CM1697" s="160"/>
      <c r="CN1697" s="160"/>
      <c r="CO1697" s="160"/>
      <c r="CP1697" s="162"/>
      <c r="CQ1697" s="163"/>
      <c r="CR1697" s="162"/>
      <c r="CS1697" s="163"/>
      <c r="CT1697" s="162"/>
      <c r="CU1697" s="163"/>
      <c r="CV1697" s="164">
        <f t="shared" si="218"/>
        <v>0</v>
      </c>
      <c r="CW1697" s="165"/>
      <c r="CX1697" s="166"/>
      <c r="CY1697" s="167"/>
      <c r="CZ1697" s="168"/>
      <c r="DA1697" s="169"/>
      <c r="DB1697" s="168"/>
      <c r="DC1697" s="165"/>
      <c r="DD1697" s="166"/>
      <c r="DE1697" s="71"/>
      <c r="DF1697" s="170"/>
      <c r="EO1697" s="375" t="str">
        <f t="shared" si="220"/>
        <v>CAUCA_LA SIERRA</v>
      </c>
      <c r="EP1697" s="376"/>
      <c r="EQ1697" s="376"/>
      <c r="ER1697" s="377"/>
      <c r="ES1697" s="376"/>
      <c r="ET1697" s="376"/>
      <c r="EU1697" s="376"/>
    </row>
    <row r="1698" spans="1:151" s="171" customFormat="1" ht="25.5" x14ac:dyDescent="0.2">
      <c r="A1698" s="242">
        <v>40496</v>
      </c>
      <c r="B1698" s="222" t="s">
        <v>1719</v>
      </c>
      <c r="C1698" s="222" t="s">
        <v>4267</v>
      </c>
      <c r="D1698" s="430" t="s">
        <v>837</v>
      </c>
      <c r="E1698" s="107" t="str">
        <f>VLOOKUP(B1698&amp;C1698,Divipola!$C$2:$F$1138,4,FALSE)</f>
        <v>19418</v>
      </c>
      <c r="F1698" s="333"/>
      <c r="G1698" s="221"/>
      <c r="H1698" s="157"/>
      <c r="I1698" s="157"/>
      <c r="J1698" s="157">
        <v>200</v>
      </c>
      <c r="K1698" s="157">
        <v>40</v>
      </c>
      <c r="L1698" s="157"/>
      <c r="M1698" s="157"/>
      <c r="N1698" s="157"/>
      <c r="O1698" s="157"/>
      <c r="P1698" s="157"/>
      <c r="Q1698" s="157"/>
      <c r="R1698" s="157"/>
      <c r="S1698" s="157"/>
      <c r="T1698" s="157"/>
      <c r="U1698" s="157"/>
      <c r="V1698" s="158"/>
      <c r="W1698" s="182"/>
      <c r="X1698" s="1"/>
      <c r="Y1698" s="78">
        <f t="shared" si="215"/>
        <v>0</v>
      </c>
      <c r="Z1698" s="78">
        <f t="shared" si="216"/>
        <v>0</v>
      </c>
      <c r="AA1698" s="78">
        <f t="shared" si="214"/>
        <v>0</v>
      </c>
      <c r="AB1698" s="78">
        <f t="shared" si="217"/>
        <v>0</v>
      </c>
      <c r="AC1698" s="78"/>
      <c r="AD1698" s="78">
        <v>0</v>
      </c>
      <c r="AE1698" s="80">
        <f t="shared" si="219"/>
        <v>0</v>
      </c>
      <c r="AF1698" s="82">
        <v>0</v>
      </c>
      <c r="AG1698" s="69">
        <v>40497</v>
      </c>
      <c r="AH1698" s="84"/>
      <c r="AI1698" s="69" t="s">
        <v>1984</v>
      </c>
      <c r="AJ1698" s="70" t="s">
        <v>1985</v>
      </c>
      <c r="AK1698" s="65"/>
      <c r="AL1698" s="176" t="s">
        <v>1257</v>
      </c>
      <c r="AM1698" s="173" t="s">
        <v>1268</v>
      </c>
      <c r="AN1698" s="159"/>
      <c r="AO1698" s="160"/>
      <c r="AP1698" s="161"/>
      <c r="AQ1698" s="160"/>
      <c r="AR1698" s="160"/>
      <c r="AS1698" s="160"/>
      <c r="AT1698" s="160"/>
      <c r="AU1698" s="160"/>
      <c r="AV1698" s="160"/>
      <c r="AW1698" s="160"/>
      <c r="AX1698" s="160"/>
      <c r="AY1698" s="160"/>
      <c r="AZ1698" s="160"/>
      <c r="BA1698" s="160"/>
      <c r="BB1698" s="160"/>
      <c r="BC1698" s="160"/>
      <c r="BD1698" s="160"/>
      <c r="BE1698" s="160"/>
      <c r="BF1698" s="160"/>
      <c r="BG1698" s="160"/>
      <c r="BH1698" s="160"/>
      <c r="BI1698" s="160"/>
      <c r="BJ1698" s="160"/>
      <c r="BK1698" s="160"/>
      <c r="BL1698" s="160"/>
      <c r="BM1698" s="160"/>
      <c r="BN1698" s="160"/>
      <c r="BO1698" s="160"/>
      <c r="BP1698" s="160"/>
      <c r="BQ1698" s="160"/>
      <c r="BR1698" s="160"/>
      <c r="BS1698" s="160"/>
      <c r="BT1698" s="160"/>
      <c r="BU1698" s="160"/>
      <c r="BV1698" s="160"/>
      <c r="BW1698" s="160"/>
      <c r="BX1698" s="160"/>
      <c r="BY1698" s="160"/>
      <c r="BZ1698" s="160"/>
      <c r="CA1698" s="160"/>
      <c r="CB1698" s="160"/>
      <c r="CC1698" s="160"/>
      <c r="CD1698" s="160"/>
      <c r="CE1698" s="160"/>
      <c r="CF1698" s="160"/>
      <c r="CG1698" s="160"/>
      <c r="CH1698" s="160"/>
      <c r="CI1698" s="160"/>
      <c r="CJ1698" s="160"/>
      <c r="CK1698" s="160"/>
      <c r="CL1698" s="160"/>
      <c r="CM1698" s="160"/>
      <c r="CN1698" s="160"/>
      <c r="CO1698" s="160"/>
      <c r="CP1698" s="162"/>
      <c r="CQ1698" s="163"/>
      <c r="CR1698" s="162"/>
      <c r="CS1698" s="163"/>
      <c r="CT1698" s="162"/>
      <c r="CU1698" s="163"/>
      <c r="CV1698" s="164">
        <f t="shared" si="218"/>
        <v>0</v>
      </c>
      <c r="CW1698" s="165"/>
      <c r="CX1698" s="166"/>
      <c r="CY1698" s="167"/>
      <c r="CZ1698" s="168"/>
      <c r="DA1698" s="169"/>
      <c r="DB1698" s="168"/>
      <c r="DC1698" s="165"/>
      <c r="DD1698" s="166"/>
      <c r="DE1698" s="71"/>
      <c r="DF1698" s="170"/>
      <c r="EO1698" s="375" t="str">
        <f t="shared" si="220"/>
        <v>CAUCA_LOPEZ</v>
      </c>
      <c r="EP1698" s="376"/>
      <c r="EQ1698" s="376"/>
      <c r="ER1698" s="377"/>
      <c r="ES1698" s="376"/>
      <c r="ET1698" s="376"/>
      <c r="EU1698" s="376"/>
    </row>
    <row r="1699" spans="1:151" s="171" customFormat="1" ht="25.5" x14ac:dyDescent="0.2">
      <c r="A1699" s="242">
        <v>40496</v>
      </c>
      <c r="B1699" s="222" t="s">
        <v>1719</v>
      </c>
      <c r="C1699" s="222" t="s">
        <v>1260</v>
      </c>
      <c r="D1699" s="427" t="s">
        <v>2307</v>
      </c>
      <c r="E1699" s="107" t="str">
        <f>VLOOKUP(B1699&amp;C1699,Divipola!$C$2:$F$1138,4,FALSE)</f>
        <v>19450</v>
      </c>
      <c r="F1699" s="330"/>
      <c r="G1699" s="221">
        <v>2</v>
      </c>
      <c r="H1699" s="157">
        <v>4</v>
      </c>
      <c r="I1699" s="157"/>
      <c r="J1699" s="157">
        <v>10</v>
      </c>
      <c r="K1699" s="157">
        <v>2</v>
      </c>
      <c r="L1699" s="157"/>
      <c r="M1699" s="157">
        <v>2</v>
      </c>
      <c r="N1699" s="157"/>
      <c r="O1699" s="157"/>
      <c r="P1699" s="157"/>
      <c r="Q1699" s="157"/>
      <c r="R1699" s="157"/>
      <c r="S1699" s="157"/>
      <c r="T1699" s="157"/>
      <c r="U1699" s="157"/>
      <c r="V1699" s="158"/>
      <c r="W1699" s="182"/>
      <c r="X1699" s="1"/>
      <c r="Y1699" s="78">
        <f t="shared" si="215"/>
        <v>0</v>
      </c>
      <c r="Z1699" s="78">
        <f t="shared" si="216"/>
        <v>0</v>
      </c>
      <c r="AA1699" s="78">
        <f t="shared" si="214"/>
        <v>0</v>
      </c>
      <c r="AB1699" s="78">
        <f t="shared" si="217"/>
        <v>0</v>
      </c>
      <c r="AC1699" s="78"/>
      <c r="AD1699" s="78">
        <v>0</v>
      </c>
      <c r="AE1699" s="80">
        <f t="shared" si="219"/>
        <v>0</v>
      </c>
      <c r="AF1699" s="82">
        <v>0</v>
      </c>
      <c r="AG1699" s="69">
        <v>40497</v>
      </c>
      <c r="AH1699" s="84"/>
      <c r="AI1699" s="69" t="s">
        <v>1984</v>
      </c>
      <c r="AJ1699" s="25" t="s">
        <v>1985</v>
      </c>
      <c r="AK1699" s="65"/>
      <c r="AL1699" s="176" t="s">
        <v>1257</v>
      </c>
      <c r="AM1699" s="173" t="s">
        <v>2838</v>
      </c>
      <c r="AN1699" s="159"/>
      <c r="AO1699" s="160"/>
      <c r="AP1699" s="161"/>
      <c r="AQ1699" s="160"/>
      <c r="AR1699" s="160"/>
      <c r="AS1699" s="160"/>
      <c r="AT1699" s="160"/>
      <c r="AU1699" s="160"/>
      <c r="AV1699" s="160"/>
      <c r="AW1699" s="160"/>
      <c r="AX1699" s="160"/>
      <c r="AY1699" s="160"/>
      <c r="AZ1699" s="160"/>
      <c r="BA1699" s="160"/>
      <c r="BB1699" s="160"/>
      <c r="BC1699" s="160"/>
      <c r="BD1699" s="160"/>
      <c r="BE1699" s="160"/>
      <c r="BF1699" s="160"/>
      <c r="BG1699" s="160"/>
      <c r="BH1699" s="160"/>
      <c r="BI1699" s="160"/>
      <c r="BJ1699" s="160"/>
      <c r="BK1699" s="160"/>
      <c r="BL1699" s="160"/>
      <c r="BM1699" s="160"/>
      <c r="BN1699" s="160"/>
      <c r="BO1699" s="160"/>
      <c r="BP1699" s="160"/>
      <c r="BQ1699" s="160"/>
      <c r="BR1699" s="160"/>
      <c r="BS1699" s="160"/>
      <c r="BT1699" s="160"/>
      <c r="BU1699" s="160"/>
      <c r="BV1699" s="160"/>
      <c r="BW1699" s="160"/>
      <c r="BX1699" s="160"/>
      <c r="BY1699" s="160"/>
      <c r="BZ1699" s="160"/>
      <c r="CA1699" s="160"/>
      <c r="CB1699" s="160"/>
      <c r="CC1699" s="160"/>
      <c r="CD1699" s="160"/>
      <c r="CE1699" s="160"/>
      <c r="CF1699" s="160"/>
      <c r="CG1699" s="160"/>
      <c r="CH1699" s="160"/>
      <c r="CI1699" s="160"/>
      <c r="CJ1699" s="160"/>
      <c r="CK1699" s="160"/>
      <c r="CL1699" s="160"/>
      <c r="CM1699" s="160"/>
      <c r="CN1699" s="160"/>
      <c r="CO1699" s="160"/>
      <c r="CP1699" s="162"/>
      <c r="CQ1699" s="163"/>
      <c r="CR1699" s="162"/>
      <c r="CS1699" s="163"/>
      <c r="CT1699" s="162"/>
      <c r="CU1699" s="163"/>
      <c r="CV1699" s="164">
        <f t="shared" si="218"/>
        <v>0</v>
      </c>
      <c r="CW1699" s="165"/>
      <c r="CX1699" s="166"/>
      <c r="CY1699" s="167"/>
      <c r="CZ1699" s="168"/>
      <c r="DA1699" s="169"/>
      <c r="DB1699" s="168"/>
      <c r="DC1699" s="165"/>
      <c r="DD1699" s="166"/>
      <c r="DE1699" s="71"/>
      <c r="DF1699" s="170"/>
      <c r="EO1699" s="375" t="str">
        <f t="shared" si="220"/>
        <v>CAUCA_MERCADERES</v>
      </c>
      <c r="EP1699" s="376"/>
      <c r="EQ1699" s="376"/>
      <c r="ER1699" s="377"/>
      <c r="ES1699" s="376"/>
      <c r="ET1699" s="376"/>
      <c r="EU1699" s="376"/>
    </row>
    <row r="1700" spans="1:151" s="171" customFormat="1" ht="25.5" x14ac:dyDescent="0.2">
      <c r="A1700" s="242">
        <v>40496</v>
      </c>
      <c r="B1700" s="222" t="s">
        <v>2242</v>
      </c>
      <c r="C1700" s="222" t="s">
        <v>737</v>
      </c>
      <c r="D1700" s="430" t="s">
        <v>837</v>
      </c>
      <c r="E1700" s="107" t="str">
        <f>VLOOKUP(B1700&amp;C1700,Divipola!$C$2:$F$1138,4,FALSE)</f>
        <v>20060</v>
      </c>
      <c r="F1700" s="333"/>
      <c r="G1700" s="221"/>
      <c r="H1700" s="157"/>
      <c r="I1700" s="157"/>
      <c r="J1700" s="157">
        <f>1482*5</f>
        <v>7410</v>
      </c>
      <c r="K1700" s="157">
        <v>1482</v>
      </c>
      <c r="L1700" s="157"/>
      <c r="M1700" s="157">
        <v>917</v>
      </c>
      <c r="N1700" s="157"/>
      <c r="O1700" s="157"/>
      <c r="P1700" s="157"/>
      <c r="Q1700" s="157"/>
      <c r="R1700" s="157"/>
      <c r="S1700" s="157"/>
      <c r="T1700" s="157"/>
      <c r="U1700" s="157"/>
      <c r="V1700" s="158"/>
      <c r="W1700" s="182"/>
      <c r="X1700" s="1"/>
      <c r="Y1700" s="78">
        <f t="shared" si="215"/>
        <v>0</v>
      </c>
      <c r="Z1700" s="78">
        <f t="shared" si="216"/>
        <v>0</v>
      </c>
      <c r="AA1700" s="78">
        <f t="shared" si="214"/>
        <v>0</v>
      </c>
      <c r="AB1700" s="78">
        <f t="shared" si="217"/>
        <v>0</v>
      </c>
      <c r="AC1700" s="78"/>
      <c r="AD1700" s="78">
        <v>0</v>
      </c>
      <c r="AE1700" s="80">
        <f t="shared" si="219"/>
        <v>0</v>
      </c>
      <c r="AF1700" s="82">
        <v>0</v>
      </c>
      <c r="AG1700" s="69">
        <v>40496</v>
      </c>
      <c r="AH1700" s="84"/>
      <c r="AI1700" s="69" t="s">
        <v>1984</v>
      </c>
      <c r="AJ1700" s="25" t="s">
        <v>1985</v>
      </c>
      <c r="AK1700" s="65"/>
      <c r="AL1700" s="176" t="s">
        <v>1257</v>
      </c>
      <c r="AM1700" s="173" t="s">
        <v>45</v>
      </c>
      <c r="AN1700" s="159"/>
      <c r="AO1700" s="160"/>
      <c r="AP1700" s="161"/>
      <c r="AQ1700" s="160"/>
      <c r="AR1700" s="160"/>
      <c r="AS1700" s="160"/>
      <c r="AT1700" s="160"/>
      <c r="AU1700" s="160"/>
      <c r="AV1700" s="160"/>
      <c r="AW1700" s="160"/>
      <c r="AX1700" s="160"/>
      <c r="AY1700" s="160"/>
      <c r="AZ1700" s="160"/>
      <c r="BA1700" s="160"/>
      <c r="BB1700" s="160"/>
      <c r="BC1700" s="160"/>
      <c r="BD1700" s="160"/>
      <c r="BE1700" s="160"/>
      <c r="BF1700" s="160"/>
      <c r="BG1700" s="160"/>
      <c r="BH1700" s="160"/>
      <c r="BI1700" s="160"/>
      <c r="BJ1700" s="160"/>
      <c r="BK1700" s="160"/>
      <c r="BL1700" s="160"/>
      <c r="BM1700" s="160"/>
      <c r="BN1700" s="160"/>
      <c r="BO1700" s="160"/>
      <c r="BP1700" s="160"/>
      <c r="BQ1700" s="160"/>
      <c r="BR1700" s="160"/>
      <c r="BS1700" s="160"/>
      <c r="BT1700" s="160"/>
      <c r="BU1700" s="160"/>
      <c r="BV1700" s="160"/>
      <c r="BW1700" s="160"/>
      <c r="BX1700" s="160"/>
      <c r="BY1700" s="160"/>
      <c r="BZ1700" s="160"/>
      <c r="CA1700" s="160"/>
      <c r="CB1700" s="160"/>
      <c r="CC1700" s="160"/>
      <c r="CD1700" s="160"/>
      <c r="CE1700" s="160"/>
      <c r="CF1700" s="160"/>
      <c r="CG1700" s="160"/>
      <c r="CH1700" s="160"/>
      <c r="CI1700" s="160"/>
      <c r="CJ1700" s="160"/>
      <c r="CK1700" s="160"/>
      <c r="CL1700" s="160"/>
      <c r="CM1700" s="160"/>
      <c r="CN1700" s="160"/>
      <c r="CO1700" s="160"/>
      <c r="CP1700" s="162"/>
      <c r="CQ1700" s="163"/>
      <c r="CR1700" s="162"/>
      <c r="CS1700" s="163"/>
      <c r="CT1700" s="162"/>
      <c r="CU1700" s="163"/>
      <c r="CV1700" s="164">
        <f t="shared" si="218"/>
        <v>0</v>
      </c>
      <c r="CW1700" s="165"/>
      <c r="CX1700" s="166"/>
      <c r="CY1700" s="167"/>
      <c r="CZ1700" s="168"/>
      <c r="DA1700" s="169"/>
      <c r="DB1700" s="168"/>
      <c r="DC1700" s="165"/>
      <c r="DD1700" s="166"/>
      <c r="DE1700" s="71"/>
      <c r="DF1700" s="170"/>
      <c r="EO1700" s="375" t="str">
        <f t="shared" si="220"/>
        <v>CESAR_BOSCONIA</v>
      </c>
      <c r="EP1700" s="376"/>
      <c r="EQ1700" s="376"/>
      <c r="ER1700" s="377"/>
      <c r="ES1700" s="376"/>
      <c r="ET1700" s="376"/>
      <c r="EU1700" s="376"/>
    </row>
    <row r="1701" spans="1:151" s="171" customFormat="1" ht="38.25" x14ac:dyDescent="0.2">
      <c r="A1701" s="242">
        <v>40496</v>
      </c>
      <c r="B1701" s="222" t="s">
        <v>1336</v>
      </c>
      <c r="C1701" s="222" t="s">
        <v>1732</v>
      </c>
      <c r="D1701" s="430" t="s">
        <v>837</v>
      </c>
      <c r="E1701" s="107" t="str">
        <f>VLOOKUP(B1701&amp;C1701,Divipola!$C$2:$F$1138,4,FALSE)</f>
        <v>54001</v>
      </c>
      <c r="F1701" s="333"/>
      <c r="G1701" s="221"/>
      <c r="H1701" s="157"/>
      <c r="I1701" s="157"/>
      <c r="J1701" s="157">
        <v>175</v>
      </c>
      <c r="K1701" s="157">
        <v>35</v>
      </c>
      <c r="L1701" s="157"/>
      <c r="M1701" s="157">
        <v>35</v>
      </c>
      <c r="N1701" s="157"/>
      <c r="O1701" s="157"/>
      <c r="P1701" s="157"/>
      <c r="Q1701" s="157"/>
      <c r="R1701" s="157"/>
      <c r="S1701" s="157"/>
      <c r="T1701" s="157"/>
      <c r="U1701" s="157"/>
      <c r="V1701" s="158"/>
      <c r="W1701" s="182"/>
      <c r="X1701" s="1"/>
      <c r="Y1701" s="78">
        <f t="shared" si="215"/>
        <v>0</v>
      </c>
      <c r="Z1701" s="78">
        <f t="shared" si="216"/>
        <v>0</v>
      </c>
      <c r="AA1701" s="78">
        <f t="shared" si="214"/>
        <v>0</v>
      </c>
      <c r="AB1701" s="78">
        <f t="shared" si="217"/>
        <v>0</v>
      </c>
      <c r="AC1701" s="78"/>
      <c r="AD1701" s="78">
        <v>0</v>
      </c>
      <c r="AE1701" s="80">
        <f t="shared" si="219"/>
        <v>0</v>
      </c>
      <c r="AF1701" s="82">
        <v>0</v>
      </c>
      <c r="AG1701" s="69">
        <v>40497</v>
      </c>
      <c r="AH1701" s="84"/>
      <c r="AI1701" s="69" t="s">
        <v>1984</v>
      </c>
      <c r="AJ1701" s="25" t="s">
        <v>1985</v>
      </c>
      <c r="AK1701" s="65"/>
      <c r="AL1701" s="176" t="s">
        <v>1257</v>
      </c>
      <c r="AM1701" s="173" t="s">
        <v>2853</v>
      </c>
      <c r="AN1701" s="159"/>
      <c r="AO1701" s="160"/>
      <c r="AP1701" s="161"/>
      <c r="AQ1701" s="160"/>
      <c r="AR1701" s="160"/>
      <c r="AS1701" s="160"/>
      <c r="AT1701" s="160"/>
      <c r="AU1701" s="160"/>
      <c r="AV1701" s="160"/>
      <c r="AW1701" s="160"/>
      <c r="AX1701" s="160"/>
      <c r="AY1701" s="160"/>
      <c r="AZ1701" s="160"/>
      <c r="BA1701" s="160"/>
      <c r="BB1701" s="160"/>
      <c r="BC1701" s="160"/>
      <c r="BD1701" s="160"/>
      <c r="BE1701" s="160"/>
      <c r="BF1701" s="160"/>
      <c r="BG1701" s="160"/>
      <c r="BH1701" s="160"/>
      <c r="BI1701" s="160"/>
      <c r="BJ1701" s="160"/>
      <c r="BK1701" s="160"/>
      <c r="BL1701" s="160"/>
      <c r="BM1701" s="160"/>
      <c r="BN1701" s="160"/>
      <c r="BO1701" s="160"/>
      <c r="BP1701" s="160"/>
      <c r="BQ1701" s="160"/>
      <c r="BR1701" s="160"/>
      <c r="BS1701" s="160"/>
      <c r="BT1701" s="160"/>
      <c r="BU1701" s="160"/>
      <c r="BV1701" s="160"/>
      <c r="BW1701" s="160"/>
      <c r="BX1701" s="160"/>
      <c r="BY1701" s="160"/>
      <c r="BZ1701" s="160"/>
      <c r="CA1701" s="160"/>
      <c r="CB1701" s="160"/>
      <c r="CC1701" s="160"/>
      <c r="CD1701" s="160"/>
      <c r="CE1701" s="160"/>
      <c r="CF1701" s="160"/>
      <c r="CG1701" s="160"/>
      <c r="CH1701" s="160"/>
      <c r="CI1701" s="160"/>
      <c r="CJ1701" s="160"/>
      <c r="CK1701" s="160"/>
      <c r="CL1701" s="160"/>
      <c r="CM1701" s="160"/>
      <c r="CN1701" s="160"/>
      <c r="CO1701" s="160"/>
      <c r="CP1701" s="162"/>
      <c r="CQ1701" s="163"/>
      <c r="CR1701" s="162"/>
      <c r="CS1701" s="163"/>
      <c r="CT1701" s="162"/>
      <c r="CU1701" s="163"/>
      <c r="CV1701" s="164">
        <f t="shared" si="218"/>
        <v>0</v>
      </c>
      <c r="CW1701" s="165"/>
      <c r="CX1701" s="166"/>
      <c r="CY1701" s="167"/>
      <c r="CZ1701" s="168"/>
      <c r="DA1701" s="169"/>
      <c r="DB1701" s="168"/>
      <c r="DC1701" s="165"/>
      <c r="DD1701" s="166"/>
      <c r="DE1701" s="71"/>
      <c r="DF1701" s="170"/>
      <c r="EO1701" s="375" t="str">
        <f t="shared" si="220"/>
        <v>NORTE DE SANTANDER_CUCUTA</v>
      </c>
      <c r="EP1701" s="376"/>
      <c r="EQ1701" s="376"/>
      <c r="ER1701" s="377"/>
      <c r="ES1701" s="376"/>
      <c r="ET1701" s="376"/>
      <c r="EU1701" s="376"/>
    </row>
    <row r="1702" spans="1:151" s="171" customFormat="1" ht="72" x14ac:dyDescent="0.2">
      <c r="A1702" s="242">
        <v>40496</v>
      </c>
      <c r="B1702" s="107" t="s">
        <v>2012</v>
      </c>
      <c r="C1702" s="222" t="s">
        <v>2008</v>
      </c>
      <c r="D1702" s="430" t="s">
        <v>837</v>
      </c>
      <c r="E1702" s="107">
        <f>VLOOKUP(B1702&amp;C1702,Divipola!$C$2:$F$1138,4,FALSE)</f>
        <v>66</v>
      </c>
      <c r="F1702" s="338"/>
      <c r="G1702" s="251"/>
      <c r="H1702" s="157"/>
      <c r="I1702" s="157"/>
      <c r="J1702" s="157"/>
      <c r="K1702" s="157"/>
      <c r="L1702" s="157"/>
      <c r="M1702" s="157"/>
      <c r="N1702" s="157"/>
      <c r="O1702" s="157"/>
      <c r="P1702" s="157"/>
      <c r="Q1702" s="157"/>
      <c r="R1702" s="157"/>
      <c r="S1702" s="157"/>
      <c r="T1702" s="157"/>
      <c r="U1702" s="157"/>
      <c r="V1702" s="158"/>
      <c r="W1702" s="182"/>
      <c r="X1702" s="1">
        <v>40515</v>
      </c>
      <c r="Y1702" s="78">
        <f t="shared" si="215"/>
        <v>103140000</v>
      </c>
      <c r="Z1702" s="78">
        <f t="shared" si="216"/>
        <v>425000000</v>
      </c>
      <c r="AA1702" s="78">
        <f t="shared" si="214"/>
        <v>0</v>
      </c>
      <c r="AB1702" s="78">
        <f t="shared" si="217"/>
        <v>0</v>
      </c>
      <c r="AC1702" s="78"/>
      <c r="AD1702" s="78">
        <v>40000000</v>
      </c>
      <c r="AE1702" s="80">
        <f t="shared" si="219"/>
        <v>568140000</v>
      </c>
      <c r="AF1702" s="82">
        <v>0</v>
      </c>
      <c r="AG1702" s="69">
        <v>40500</v>
      </c>
      <c r="AH1702" s="84">
        <v>64406</v>
      </c>
      <c r="AI1702" s="69" t="s">
        <v>2009</v>
      </c>
      <c r="AJ1702" s="25" t="s">
        <v>2010</v>
      </c>
      <c r="AK1702" s="88" t="s">
        <v>125</v>
      </c>
      <c r="AL1702" s="176" t="s">
        <v>1831</v>
      </c>
      <c r="AM1702" s="173" t="s">
        <v>6314</v>
      </c>
      <c r="AN1702" s="159"/>
      <c r="AO1702" s="160"/>
      <c r="AP1702" s="161"/>
      <c r="AQ1702" s="160"/>
      <c r="AR1702" s="160"/>
      <c r="AS1702" s="160"/>
      <c r="AT1702" s="160"/>
      <c r="AU1702" s="160"/>
      <c r="AV1702" s="160"/>
      <c r="AW1702" s="160"/>
      <c r="AX1702" s="160"/>
      <c r="AY1702" s="160"/>
      <c r="AZ1702" s="160">
        <f>200+200</f>
        <v>400</v>
      </c>
      <c r="BA1702" s="160">
        <f>200*56000+200*56000</f>
        <v>22400000</v>
      </c>
      <c r="BB1702" s="160"/>
      <c r="BC1702" s="160"/>
      <c r="BD1702" s="160"/>
      <c r="BE1702" s="160"/>
      <c r="BF1702" s="160"/>
      <c r="BG1702" s="160"/>
      <c r="BH1702" s="160"/>
      <c r="BI1702" s="160"/>
      <c r="BJ1702" s="160"/>
      <c r="BK1702" s="160"/>
      <c r="BL1702" s="160"/>
      <c r="BM1702" s="160"/>
      <c r="BN1702" s="160"/>
      <c r="BO1702" s="160"/>
      <c r="BP1702" s="160"/>
      <c r="BQ1702" s="160"/>
      <c r="BR1702" s="160"/>
      <c r="BS1702" s="160"/>
      <c r="BT1702" s="160"/>
      <c r="BU1702" s="160"/>
      <c r="BV1702" s="160"/>
      <c r="BW1702" s="160"/>
      <c r="BX1702" s="160"/>
      <c r="BY1702" s="160"/>
      <c r="BZ1702" s="160">
        <v>20</v>
      </c>
      <c r="CA1702" s="160">
        <f>20*470000</f>
        <v>9400000</v>
      </c>
      <c r="CB1702" s="160"/>
      <c r="CC1702" s="160"/>
      <c r="CD1702" s="160"/>
      <c r="CE1702" s="160"/>
      <c r="CF1702" s="160"/>
      <c r="CG1702" s="160"/>
      <c r="CH1702" s="160">
        <v>200</v>
      </c>
      <c r="CI1702" s="160">
        <f>200*18000</f>
        <v>3600000</v>
      </c>
      <c r="CJ1702" s="160">
        <v>200</v>
      </c>
      <c r="CK1702" s="160">
        <f>200*21500</f>
        <v>4300000</v>
      </c>
      <c r="CL1702" s="160"/>
      <c r="CM1702" s="160"/>
      <c r="CN1702" s="160"/>
      <c r="CO1702" s="160"/>
      <c r="CP1702" s="162">
        <v>1500</v>
      </c>
      <c r="CQ1702" s="163">
        <f>1500*37000</f>
        <v>55500000</v>
      </c>
      <c r="CR1702" s="162">
        <v>200</v>
      </c>
      <c r="CS1702" s="163">
        <f>200*39700</f>
        <v>7940000</v>
      </c>
      <c r="CT1702" s="162"/>
      <c r="CU1702" s="163"/>
      <c r="CV1702" s="164">
        <f t="shared" si="218"/>
        <v>103140000</v>
      </c>
      <c r="CW1702" s="165"/>
      <c r="CX1702" s="166"/>
      <c r="CY1702" s="167">
        <f>1500+3500</f>
        <v>5000</v>
      </c>
      <c r="CZ1702" s="168">
        <f>1500*85000+3500*85000</f>
        <v>425000000</v>
      </c>
      <c r="DA1702" s="169"/>
      <c r="DB1702" s="168"/>
      <c r="DC1702" s="165"/>
      <c r="DD1702" s="166"/>
      <c r="DE1702" s="71"/>
      <c r="DF1702" s="170"/>
      <c r="EO1702" s="375" t="str">
        <f t="shared" si="220"/>
        <v>RISARALDA_DEPARTAMENTO</v>
      </c>
      <c r="EP1702" s="376"/>
      <c r="EQ1702" s="376"/>
      <c r="ER1702" s="377"/>
      <c r="ES1702" s="376"/>
      <c r="ET1702" s="376"/>
      <c r="EU1702" s="376"/>
    </row>
    <row r="1703" spans="1:151" s="171" customFormat="1" ht="48" x14ac:dyDescent="0.2">
      <c r="A1703" s="242">
        <v>40496</v>
      </c>
      <c r="B1703" s="107" t="s">
        <v>2012</v>
      </c>
      <c r="C1703" s="222" t="s">
        <v>1853</v>
      </c>
      <c r="D1703" s="427" t="s">
        <v>2307</v>
      </c>
      <c r="E1703" s="107" t="str">
        <f>VLOOKUP(B1703&amp;C1703,Divipola!$C$2:$F$1138,4,FALSE)</f>
        <v>66318</v>
      </c>
      <c r="F1703" s="330"/>
      <c r="G1703" s="221"/>
      <c r="H1703" s="157"/>
      <c r="I1703" s="157"/>
      <c r="J1703" s="157">
        <f>188*5</f>
        <v>940</v>
      </c>
      <c r="K1703" s="157">
        <v>188</v>
      </c>
      <c r="L1703" s="157">
        <v>96</v>
      </c>
      <c r="M1703" s="157">
        <v>92</v>
      </c>
      <c r="N1703" s="157"/>
      <c r="O1703" s="157"/>
      <c r="P1703" s="157">
        <v>7</v>
      </c>
      <c r="Q1703" s="157">
        <v>5</v>
      </c>
      <c r="R1703" s="157">
        <v>1</v>
      </c>
      <c r="S1703" s="157">
        <v>1</v>
      </c>
      <c r="T1703" s="157">
        <v>4</v>
      </c>
      <c r="U1703" s="157"/>
      <c r="V1703" s="158"/>
      <c r="W1703" s="182"/>
      <c r="X1703" s="1"/>
      <c r="Y1703" s="78">
        <f t="shared" si="215"/>
        <v>0</v>
      </c>
      <c r="Z1703" s="78">
        <f t="shared" si="216"/>
        <v>0</v>
      </c>
      <c r="AA1703" s="78">
        <f t="shared" si="214"/>
        <v>0</v>
      </c>
      <c r="AB1703" s="78">
        <f t="shared" si="217"/>
        <v>0</v>
      </c>
      <c r="AC1703" s="78"/>
      <c r="AD1703" s="78">
        <v>0</v>
      </c>
      <c r="AE1703" s="80">
        <f t="shared" si="219"/>
        <v>0</v>
      </c>
      <c r="AF1703" s="82">
        <v>0</v>
      </c>
      <c r="AG1703" s="69">
        <v>40505</v>
      </c>
      <c r="AH1703" s="84"/>
      <c r="AI1703" s="69" t="s">
        <v>1984</v>
      </c>
      <c r="AJ1703" s="25" t="s">
        <v>1985</v>
      </c>
      <c r="AK1703" s="65"/>
      <c r="AL1703" s="176" t="s">
        <v>1257</v>
      </c>
      <c r="AM1703" s="173" t="s">
        <v>315</v>
      </c>
      <c r="AN1703" s="159"/>
      <c r="AO1703" s="160"/>
      <c r="AP1703" s="161"/>
      <c r="AQ1703" s="160"/>
      <c r="AR1703" s="160"/>
      <c r="AS1703" s="160"/>
      <c r="AT1703" s="160"/>
      <c r="AU1703" s="160"/>
      <c r="AV1703" s="160"/>
      <c r="AW1703" s="160"/>
      <c r="AX1703" s="160"/>
      <c r="AY1703" s="160"/>
      <c r="AZ1703" s="160"/>
      <c r="BA1703" s="160"/>
      <c r="BB1703" s="160"/>
      <c r="BC1703" s="160"/>
      <c r="BD1703" s="160"/>
      <c r="BE1703" s="160"/>
      <c r="BF1703" s="160"/>
      <c r="BG1703" s="160"/>
      <c r="BH1703" s="160"/>
      <c r="BI1703" s="160"/>
      <c r="BJ1703" s="160"/>
      <c r="BK1703" s="160"/>
      <c r="BL1703" s="160"/>
      <c r="BM1703" s="160"/>
      <c r="BN1703" s="160"/>
      <c r="BO1703" s="160"/>
      <c r="BP1703" s="160"/>
      <c r="BQ1703" s="160"/>
      <c r="BR1703" s="160"/>
      <c r="BS1703" s="160"/>
      <c r="BT1703" s="160"/>
      <c r="BU1703" s="160"/>
      <c r="BV1703" s="160"/>
      <c r="BW1703" s="160"/>
      <c r="BX1703" s="160"/>
      <c r="BY1703" s="160"/>
      <c r="BZ1703" s="160"/>
      <c r="CA1703" s="160"/>
      <c r="CB1703" s="160"/>
      <c r="CC1703" s="160"/>
      <c r="CD1703" s="160"/>
      <c r="CE1703" s="160"/>
      <c r="CF1703" s="160"/>
      <c r="CG1703" s="160"/>
      <c r="CH1703" s="160"/>
      <c r="CI1703" s="160"/>
      <c r="CJ1703" s="160"/>
      <c r="CK1703" s="160"/>
      <c r="CL1703" s="160"/>
      <c r="CM1703" s="160"/>
      <c r="CN1703" s="160"/>
      <c r="CO1703" s="160"/>
      <c r="CP1703" s="162"/>
      <c r="CQ1703" s="163"/>
      <c r="CR1703" s="162"/>
      <c r="CS1703" s="163"/>
      <c r="CT1703" s="162"/>
      <c r="CU1703" s="163"/>
      <c r="CV1703" s="164">
        <f t="shared" si="218"/>
        <v>0</v>
      </c>
      <c r="CW1703" s="165"/>
      <c r="CX1703" s="166"/>
      <c r="CY1703" s="167"/>
      <c r="CZ1703" s="168"/>
      <c r="DA1703" s="169"/>
      <c r="DB1703" s="168"/>
      <c r="DC1703" s="165"/>
      <c r="DD1703" s="166"/>
      <c r="DE1703" s="71"/>
      <c r="DF1703" s="170"/>
      <c r="EO1703" s="375" t="str">
        <f t="shared" si="220"/>
        <v>RISARALDA_GUATICA</v>
      </c>
      <c r="EP1703" s="376"/>
      <c r="EQ1703" s="376"/>
      <c r="ER1703" s="377"/>
      <c r="ES1703" s="376"/>
      <c r="ET1703" s="376"/>
      <c r="EU1703" s="376"/>
    </row>
    <row r="1704" spans="1:151" s="171" customFormat="1" ht="25.5" x14ac:dyDescent="0.2">
      <c r="A1704" s="242">
        <v>40496</v>
      </c>
      <c r="B1704" s="107" t="s">
        <v>2012</v>
      </c>
      <c r="C1704" s="222" t="s">
        <v>2433</v>
      </c>
      <c r="D1704" s="430" t="s">
        <v>837</v>
      </c>
      <c r="E1704" s="107" t="str">
        <f>VLOOKUP(B1704&amp;C1704,Divipola!$C$2:$F$1138,4,FALSE)</f>
        <v>66001</v>
      </c>
      <c r="F1704" s="333"/>
      <c r="G1704" s="221"/>
      <c r="H1704" s="157"/>
      <c r="I1704" s="157"/>
      <c r="J1704" s="157">
        <f>744*5</f>
        <v>3720</v>
      </c>
      <c r="K1704" s="157">
        <f>574+170</f>
        <v>744</v>
      </c>
      <c r="L1704" s="157">
        <v>262</v>
      </c>
      <c r="M1704" s="157">
        <f>744-262</f>
        <v>482</v>
      </c>
      <c r="N1704" s="157"/>
      <c r="O1704" s="157"/>
      <c r="P1704" s="157"/>
      <c r="Q1704" s="157"/>
      <c r="R1704" s="157"/>
      <c r="S1704" s="157"/>
      <c r="T1704" s="157"/>
      <c r="U1704" s="157"/>
      <c r="V1704" s="158">
        <v>1984</v>
      </c>
      <c r="W1704" s="182" t="s">
        <v>468</v>
      </c>
      <c r="X1704" s="1"/>
      <c r="Y1704" s="78">
        <f t="shared" si="215"/>
        <v>0</v>
      </c>
      <c r="Z1704" s="78">
        <f t="shared" si="216"/>
        <v>0</v>
      </c>
      <c r="AA1704" s="78">
        <f t="shared" si="214"/>
        <v>0</v>
      </c>
      <c r="AB1704" s="78">
        <f t="shared" si="217"/>
        <v>0</v>
      </c>
      <c r="AC1704" s="78"/>
      <c r="AD1704" s="78">
        <v>0</v>
      </c>
      <c r="AE1704" s="80">
        <f t="shared" si="219"/>
        <v>0</v>
      </c>
      <c r="AF1704" s="82">
        <v>0</v>
      </c>
      <c r="AG1704" s="69">
        <v>40497</v>
      </c>
      <c r="AH1704" s="84"/>
      <c r="AI1704" s="69" t="s">
        <v>2009</v>
      </c>
      <c r="AJ1704" s="25" t="s">
        <v>2010</v>
      </c>
      <c r="AK1704" s="65"/>
      <c r="AL1704" s="184" t="s">
        <v>2851</v>
      </c>
      <c r="AM1704" s="173" t="s">
        <v>2850</v>
      </c>
      <c r="AN1704" s="159"/>
      <c r="AO1704" s="160"/>
      <c r="AP1704" s="161"/>
      <c r="AQ1704" s="160"/>
      <c r="AR1704" s="160"/>
      <c r="AS1704" s="160"/>
      <c r="AT1704" s="160"/>
      <c r="AU1704" s="160"/>
      <c r="AV1704" s="160"/>
      <c r="AW1704" s="160"/>
      <c r="AX1704" s="160"/>
      <c r="AY1704" s="160"/>
      <c r="AZ1704" s="160"/>
      <c r="BA1704" s="160"/>
      <c r="BB1704" s="160"/>
      <c r="BC1704" s="160"/>
      <c r="BD1704" s="160"/>
      <c r="BE1704" s="160"/>
      <c r="BF1704" s="160"/>
      <c r="BG1704" s="160"/>
      <c r="BH1704" s="160"/>
      <c r="BI1704" s="160"/>
      <c r="BJ1704" s="160"/>
      <c r="BK1704" s="160"/>
      <c r="BL1704" s="160"/>
      <c r="BM1704" s="160"/>
      <c r="BN1704" s="160"/>
      <c r="BO1704" s="160"/>
      <c r="BP1704" s="160"/>
      <c r="BQ1704" s="160"/>
      <c r="BR1704" s="160"/>
      <c r="BS1704" s="160"/>
      <c r="BT1704" s="160"/>
      <c r="BU1704" s="160"/>
      <c r="BV1704" s="160"/>
      <c r="BW1704" s="160"/>
      <c r="BX1704" s="160"/>
      <c r="BY1704" s="160"/>
      <c r="BZ1704" s="160"/>
      <c r="CA1704" s="160"/>
      <c r="CB1704" s="160"/>
      <c r="CC1704" s="160"/>
      <c r="CD1704" s="160"/>
      <c r="CE1704" s="160"/>
      <c r="CF1704" s="160"/>
      <c r="CG1704" s="160"/>
      <c r="CH1704" s="160"/>
      <c r="CI1704" s="160"/>
      <c r="CJ1704" s="160"/>
      <c r="CK1704" s="160"/>
      <c r="CL1704" s="160"/>
      <c r="CM1704" s="160"/>
      <c r="CN1704" s="160"/>
      <c r="CO1704" s="160"/>
      <c r="CP1704" s="162"/>
      <c r="CQ1704" s="163"/>
      <c r="CR1704" s="162"/>
      <c r="CS1704" s="163"/>
      <c r="CT1704" s="162"/>
      <c r="CU1704" s="163"/>
      <c r="CV1704" s="164">
        <f t="shared" si="218"/>
        <v>0</v>
      </c>
      <c r="CW1704" s="165"/>
      <c r="CX1704" s="166"/>
      <c r="CY1704" s="167"/>
      <c r="CZ1704" s="168"/>
      <c r="DA1704" s="169"/>
      <c r="DB1704" s="168"/>
      <c r="DC1704" s="165"/>
      <c r="DD1704" s="166"/>
      <c r="DE1704" s="71"/>
      <c r="DF1704" s="170"/>
      <c r="EO1704" s="375" t="str">
        <f t="shared" si="220"/>
        <v>RISARALDA_PEREIRA</v>
      </c>
      <c r="EP1704" s="376"/>
      <c r="EQ1704" s="376"/>
      <c r="ER1704" s="377"/>
      <c r="ES1704" s="376"/>
      <c r="ET1704" s="376"/>
      <c r="EU1704" s="376"/>
    </row>
    <row r="1705" spans="1:151" s="171" customFormat="1" ht="25.5" x14ac:dyDescent="0.2">
      <c r="A1705" s="242">
        <v>40496</v>
      </c>
      <c r="B1705" s="107" t="s">
        <v>2012</v>
      </c>
      <c r="C1705" s="222" t="s">
        <v>2593</v>
      </c>
      <c r="D1705" s="427" t="s">
        <v>2307</v>
      </c>
      <c r="E1705" s="107" t="str">
        <f>VLOOKUP(B1705&amp;C1705,Divipola!$C$2:$F$1138,4,FALSE)</f>
        <v>66594</v>
      </c>
      <c r="F1705" s="330"/>
      <c r="G1705" s="221">
        <v>4</v>
      </c>
      <c r="H1705" s="157">
        <v>4</v>
      </c>
      <c r="I1705" s="157"/>
      <c r="J1705" s="157">
        <f>87*5</f>
        <v>435</v>
      </c>
      <c r="K1705" s="157">
        <f>94-7</f>
        <v>87</v>
      </c>
      <c r="L1705" s="157">
        <v>68</v>
      </c>
      <c r="M1705" s="157">
        <f>87-68</f>
        <v>19</v>
      </c>
      <c r="N1705" s="157"/>
      <c r="O1705" s="157"/>
      <c r="P1705" s="157"/>
      <c r="Q1705" s="157">
        <v>1</v>
      </c>
      <c r="R1705" s="157"/>
      <c r="S1705" s="157"/>
      <c r="T1705" s="157"/>
      <c r="U1705" s="157"/>
      <c r="V1705" s="158">
        <v>146</v>
      </c>
      <c r="W1705" s="182" t="s">
        <v>470</v>
      </c>
      <c r="X1705" s="1"/>
      <c r="Y1705" s="78">
        <f t="shared" si="215"/>
        <v>0</v>
      </c>
      <c r="Z1705" s="78">
        <f t="shared" si="216"/>
        <v>0</v>
      </c>
      <c r="AA1705" s="78">
        <f t="shared" si="214"/>
        <v>0</v>
      </c>
      <c r="AB1705" s="78">
        <f t="shared" si="217"/>
        <v>0</v>
      </c>
      <c r="AC1705" s="78"/>
      <c r="AD1705" s="78">
        <v>0</v>
      </c>
      <c r="AE1705" s="80">
        <f t="shared" si="219"/>
        <v>0</v>
      </c>
      <c r="AF1705" s="82">
        <v>0</v>
      </c>
      <c r="AG1705" s="69">
        <v>40497</v>
      </c>
      <c r="AH1705" s="84"/>
      <c r="AI1705" s="69" t="s">
        <v>2009</v>
      </c>
      <c r="AJ1705" s="25" t="s">
        <v>2010</v>
      </c>
      <c r="AK1705" s="65"/>
      <c r="AL1705" s="184" t="s">
        <v>1657</v>
      </c>
      <c r="AM1705" s="173" t="s">
        <v>2829</v>
      </c>
      <c r="AN1705" s="159"/>
      <c r="AO1705" s="160"/>
      <c r="AP1705" s="161"/>
      <c r="AQ1705" s="160"/>
      <c r="AR1705" s="160"/>
      <c r="AS1705" s="160"/>
      <c r="AT1705" s="160"/>
      <c r="AU1705" s="160"/>
      <c r="AV1705" s="160"/>
      <c r="AW1705" s="160"/>
      <c r="AX1705" s="160"/>
      <c r="AY1705" s="160"/>
      <c r="AZ1705" s="160"/>
      <c r="BA1705" s="160"/>
      <c r="BB1705" s="160"/>
      <c r="BC1705" s="160"/>
      <c r="BD1705" s="160"/>
      <c r="BE1705" s="160"/>
      <c r="BF1705" s="160"/>
      <c r="BG1705" s="160"/>
      <c r="BH1705" s="160"/>
      <c r="BI1705" s="160"/>
      <c r="BJ1705" s="160"/>
      <c r="BK1705" s="160"/>
      <c r="BL1705" s="160"/>
      <c r="BM1705" s="160"/>
      <c r="BN1705" s="160"/>
      <c r="BO1705" s="160"/>
      <c r="BP1705" s="160"/>
      <c r="BQ1705" s="160"/>
      <c r="BR1705" s="160"/>
      <c r="BS1705" s="160"/>
      <c r="BT1705" s="160"/>
      <c r="BU1705" s="160"/>
      <c r="BV1705" s="160"/>
      <c r="BW1705" s="160"/>
      <c r="BX1705" s="160"/>
      <c r="BY1705" s="160"/>
      <c r="BZ1705" s="160"/>
      <c r="CA1705" s="160"/>
      <c r="CB1705" s="160"/>
      <c r="CC1705" s="160"/>
      <c r="CD1705" s="160"/>
      <c r="CE1705" s="160"/>
      <c r="CF1705" s="160"/>
      <c r="CG1705" s="160"/>
      <c r="CH1705" s="160"/>
      <c r="CI1705" s="160"/>
      <c r="CJ1705" s="160"/>
      <c r="CK1705" s="160"/>
      <c r="CL1705" s="160"/>
      <c r="CM1705" s="160"/>
      <c r="CN1705" s="160"/>
      <c r="CO1705" s="160"/>
      <c r="CP1705" s="162"/>
      <c r="CQ1705" s="163"/>
      <c r="CR1705" s="162"/>
      <c r="CS1705" s="163"/>
      <c r="CT1705" s="162"/>
      <c r="CU1705" s="163"/>
      <c r="CV1705" s="164">
        <f t="shared" si="218"/>
        <v>0</v>
      </c>
      <c r="CW1705" s="165"/>
      <c r="CX1705" s="166"/>
      <c r="CY1705" s="167"/>
      <c r="CZ1705" s="168"/>
      <c r="DA1705" s="169"/>
      <c r="DB1705" s="168"/>
      <c r="DC1705" s="165"/>
      <c r="DD1705" s="166"/>
      <c r="DE1705" s="71"/>
      <c r="DF1705" s="170"/>
      <c r="EO1705" s="375" t="str">
        <f t="shared" si="220"/>
        <v>RISARALDA_QUINCHIA</v>
      </c>
      <c r="EP1705" s="376"/>
      <c r="EQ1705" s="376"/>
      <c r="ER1705" s="377"/>
      <c r="ES1705" s="376"/>
      <c r="ET1705" s="376"/>
      <c r="EU1705" s="376"/>
    </row>
    <row r="1706" spans="1:151" s="171" customFormat="1" ht="25.5" x14ac:dyDescent="0.2">
      <c r="A1706" s="242">
        <v>40496</v>
      </c>
      <c r="B1706" s="222" t="s">
        <v>2791</v>
      </c>
      <c r="C1706" s="222" t="s">
        <v>1945</v>
      </c>
      <c r="D1706" s="427" t="s">
        <v>2307</v>
      </c>
      <c r="E1706" s="107" t="str">
        <f>VLOOKUP(B1706&amp;C1706,Divipola!$C$2:$F$1138,4,FALSE)</f>
        <v>73001</v>
      </c>
      <c r="F1706" s="330"/>
      <c r="G1706" s="221"/>
      <c r="H1706" s="157"/>
      <c r="I1706" s="157"/>
      <c r="J1706" s="157">
        <v>55</v>
      </c>
      <c r="K1706" s="157">
        <v>11</v>
      </c>
      <c r="L1706" s="157"/>
      <c r="M1706" s="157">
        <v>11</v>
      </c>
      <c r="N1706" s="157"/>
      <c r="O1706" s="157"/>
      <c r="P1706" s="157"/>
      <c r="Q1706" s="157"/>
      <c r="R1706" s="157"/>
      <c r="S1706" s="157"/>
      <c r="T1706" s="157"/>
      <c r="U1706" s="157"/>
      <c r="V1706" s="158"/>
      <c r="W1706" s="182"/>
      <c r="X1706" s="1"/>
      <c r="Y1706" s="78">
        <f t="shared" si="215"/>
        <v>0</v>
      </c>
      <c r="Z1706" s="78">
        <f t="shared" si="216"/>
        <v>0</v>
      </c>
      <c r="AA1706" s="78">
        <f t="shared" si="214"/>
        <v>0</v>
      </c>
      <c r="AB1706" s="78">
        <f t="shared" si="217"/>
        <v>0</v>
      </c>
      <c r="AC1706" s="78"/>
      <c r="AD1706" s="78">
        <v>0</v>
      </c>
      <c r="AE1706" s="80">
        <f t="shared" si="219"/>
        <v>0</v>
      </c>
      <c r="AF1706" s="82">
        <v>0</v>
      </c>
      <c r="AG1706" s="69">
        <v>40497</v>
      </c>
      <c r="AH1706" s="84"/>
      <c r="AI1706" s="69" t="s">
        <v>1984</v>
      </c>
      <c r="AJ1706" s="25" t="s">
        <v>1985</v>
      </c>
      <c r="AK1706" s="65"/>
      <c r="AL1706" s="176" t="s">
        <v>1257</v>
      </c>
      <c r="AM1706" s="173" t="s">
        <v>2830</v>
      </c>
      <c r="AN1706" s="159"/>
      <c r="AO1706" s="160"/>
      <c r="AP1706" s="161"/>
      <c r="AQ1706" s="160"/>
      <c r="AR1706" s="160"/>
      <c r="AS1706" s="160"/>
      <c r="AT1706" s="160"/>
      <c r="AU1706" s="160"/>
      <c r="AV1706" s="160"/>
      <c r="AW1706" s="160"/>
      <c r="AX1706" s="160"/>
      <c r="AY1706" s="160"/>
      <c r="AZ1706" s="160"/>
      <c r="BA1706" s="160"/>
      <c r="BB1706" s="160"/>
      <c r="BC1706" s="160"/>
      <c r="BD1706" s="160"/>
      <c r="BE1706" s="160"/>
      <c r="BF1706" s="160"/>
      <c r="BG1706" s="160"/>
      <c r="BH1706" s="160"/>
      <c r="BI1706" s="160"/>
      <c r="BJ1706" s="160"/>
      <c r="BK1706" s="160"/>
      <c r="BL1706" s="160"/>
      <c r="BM1706" s="160"/>
      <c r="BN1706" s="160"/>
      <c r="BO1706" s="160"/>
      <c r="BP1706" s="160"/>
      <c r="BQ1706" s="160"/>
      <c r="BR1706" s="160"/>
      <c r="BS1706" s="160"/>
      <c r="BT1706" s="160"/>
      <c r="BU1706" s="160"/>
      <c r="BV1706" s="160"/>
      <c r="BW1706" s="160"/>
      <c r="BX1706" s="160"/>
      <c r="BY1706" s="160"/>
      <c r="BZ1706" s="160"/>
      <c r="CA1706" s="160"/>
      <c r="CB1706" s="160"/>
      <c r="CC1706" s="160"/>
      <c r="CD1706" s="160"/>
      <c r="CE1706" s="160"/>
      <c r="CF1706" s="160"/>
      <c r="CG1706" s="160"/>
      <c r="CH1706" s="160"/>
      <c r="CI1706" s="160"/>
      <c r="CJ1706" s="160"/>
      <c r="CK1706" s="160"/>
      <c r="CL1706" s="160"/>
      <c r="CM1706" s="160"/>
      <c r="CN1706" s="160"/>
      <c r="CO1706" s="160"/>
      <c r="CP1706" s="162"/>
      <c r="CQ1706" s="163"/>
      <c r="CR1706" s="162"/>
      <c r="CS1706" s="163"/>
      <c r="CT1706" s="162"/>
      <c r="CU1706" s="163"/>
      <c r="CV1706" s="164">
        <f t="shared" si="218"/>
        <v>0</v>
      </c>
      <c r="CW1706" s="165"/>
      <c r="CX1706" s="166"/>
      <c r="CY1706" s="167"/>
      <c r="CZ1706" s="168"/>
      <c r="DA1706" s="169"/>
      <c r="DB1706" s="168"/>
      <c r="DC1706" s="165"/>
      <c r="DD1706" s="166"/>
      <c r="DE1706" s="71"/>
      <c r="DF1706" s="170"/>
      <c r="EO1706" s="375" t="str">
        <f t="shared" si="220"/>
        <v>TOLIMA_IBAGUE</v>
      </c>
      <c r="EP1706" s="376"/>
      <c r="EQ1706" s="376"/>
      <c r="ER1706" s="377"/>
      <c r="ES1706" s="376"/>
      <c r="ET1706" s="376"/>
      <c r="EU1706" s="376"/>
    </row>
    <row r="1707" spans="1:151" s="171" customFormat="1" ht="51" x14ac:dyDescent="0.2">
      <c r="A1707" s="242">
        <v>40496</v>
      </c>
      <c r="B1707" s="222" t="s">
        <v>1462</v>
      </c>
      <c r="C1707" s="222" t="s">
        <v>1948</v>
      </c>
      <c r="D1707" s="430" t="s">
        <v>837</v>
      </c>
      <c r="E1707" s="107" t="str">
        <f>VLOOKUP(B1707&amp;C1707,Divipola!$C$2:$F$1138,4,FALSE)</f>
        <v>76130</v>
      </c>
      <c r="F1707" s="333"/>
      <c r="G1707" s="221"/>
      <c r="H1707" s="157"/>
      <c r="I1707" s="157"/>
      <c r="J1707" s="157">
        <f>300*5</f>
        <v>1500</v>
      </c>
      <c r="K1707" s="157">
        <v>300</v>
      </c>
      <c r="L1707" s="157">
        <v>23</v>
      </c>
      <c r="M1707" s="157">
        <f>300-14-175</f>
        <v>111</v>
      </c>
      <c r="N1707" s="157"/>
      <c r="O1707" s="157"/>
      <c r="P1707" s="157"/>
      <c r="Q1707" s="157"/>
      <c r="R1707" s="157"/>
      <c r="S1707" s="157"/>
      <c r="T1707" s="157"/>
      <c r="U1707" s="157"/>
      <c r="V1707" s="158"/>
      <c r="W1707" s="182"/>
      <c r="X1707" s="1"/>
      <c r="Y1707" s="78">
        <f t="shared" si="215"/>
        <v>0</v>
      </c>
      <c r="Z1707" s="78">
        <f t="shared" si="216"/>
        <v>0</v>
      </c>
      <c r="AA1707" s="78">
        <f t="shared" si="214"/>
        <v>0</v>
      </c>
      <c r="AB1707" s="78">
        <f t="shared" si="217"/>
        <v>0</v>
      </c>
      <c r="AC1707" s="78"/>
      <c r="AD1707" s="78">
        <v>0</v>
      </c>
      <c r="AE1707" s="80">
        <f t="shared" si="219"/>
        <v>0</v>
      </c>
      <c r="AF1707" s="82">
        <v>0</v>
      </c>
      <c r="AG1707" s="69">
        <v>40497</v>
      </c>
      <c r="AH1707" s="84"/>
      <c r="AI1707" s="69" t="s">
        <v>1984</v>
      </c>
      <c r="AJ1707" s="25" t="s">
        <v>1985</v>
      </c>
      <c r="AK1707" s="65"/>
      <c r="AL1707" s="176" t="s">
        <v>1257</v>
      </c>
      <c r="AM1707" s="173" t="s">
        <v>2636</v>
      </c>
      <c r="AN1707" s="159"/>
      <c r="AO1707" s="160"/>
      <c r="AP1707" s="161"/>
      <c r="AQ1707" s="160"/>
      <c r="AR1707" s="160"/>
      <c r="AS1707" s="160"/>
      <c r="AT1707" s="160"/>
      <c r="AU1707" s="160"/>
      <c r="AV1707" s="160"/>
      <c r="AW1707" s="160"/>
      <c r="AX1707" s="160"/>
      <c r="AY1707" s="160"/>
      <c r="AZ1707" s="160"/>
      <c r="BA1707" s="160"/>
      <c r="BB1707" s="160"/>
      <c r="BC1707" s="160"/>
      <c r="BD1707" s="160"/>
      <c r="BE1707" s="160"/>
      <c r="BF1707" s="160"/>
      <c r="BG1707" s="160"/>
      <c r="BH1707" s="160"/>
      <c r="BI1707" s="160"/>
      <c r="BJ1707" s="160"/>
      <c r="BK1707" s="160"/>
      <c r="BL1707" s="160"/>
      <c r="BM1707" s="160"/>
      <c r="BN1707" s="160"/>
      <c r="BO1707" s="160"/>
      <c r="BP1707" s="160"/>
      <c r="BQ1707" s="160"/>
      <c r="BR1707" s="160"/>
      <c r="BS1707" s="160"/>
      <c r="BT1707" s="160"/>
      <c r="BU1707" s="160"/>
      <c r="BV1707" s="160"/>
      <c r="BW1707" s="160"/>
      <c r="BX1707" s="160"/>
      <c r="BY1707" s="160"/>
      <c r="BZ1707" s="160"/>
      <c r="CA1707" s="160"/>
      <c r="CB1707" s="160"/>
      <c r="CC1707" s="160"/>
      <c r="CD1707" s="160"/>
      <c r="CE1707" s="160"/>
      <c r="CF1707" s="160"/>
      <c r="CG1707" s="160"/>
      <c r="CH1707" s="160"/>
      <c r="CI1707" s="160"/>
      <c r="CJ1707" s="160"/>
      <c r="CK1707" s="160"/>
      <c r="CL1707" s="160"/>
      <c r="CM1707" s="160"/>
      <c r="CN1707" s="160"/>
      <c r="CO1707" s="160"/>
      <c r="CP1707" s="162"/>
      <c r="CQ1707" s="163"/>
      <c r="CR1707" s="162"/>
      <c r="CS1707" s="163"/>
      <c r="CT1707" s="162"/>
      <c r="CU1707" s="163"/>
      <c r="CV1707" s="164">
        <f t="shared" si="218"/>
        <v>0</v>
      </c>
      <c r="CW1707" s="165"/>
      <c r="CX1707" s="166"/>
      <c r="CY1707" s="167"/>
      <c r="CZ1707" s="168"/>
      <c r="DA1707" s="169"/>
      <c r="DB1707" s="168"/>
      <c r="DC1707" s="165"/>
      <c r="DD1707" s="166"/>
      <c r="DE1707" s="71"/>
      <c r="DF1707" s="170"/>
      <c r="EO1707" s="375" t="str">
        <f t="shared" si="220"/>
        <v>VALLE DEL CAUCA_CANDELARIA</v>
      </c>
      <c r="EP1707" s="376"/>
      <c r="EQ1707" s="376"/>
      <c r="ER1707" s="377"/>
      <c r="ES1707" s="376"/>
      <c r="ET1707" s="376"/>
      <c r="EU1707" s="376"/>
    </row>
    <row r="1708" spans="1:151" s="171" customFormat="1" ht="51" x14ac:dyDescent="0.2">
      <c r="A1708" s="242">
        <v>40496</v>
      </c>
      <c r="B1708" s="222" t="s">
        <v>1462</v>
      </c>
      <c r="C1708" s="222" t="s">
        <v>2506</v>
      </c>
      <c r="D1708" s="430" t="s">
        <v>837</v>
      </c>
      <c r="E1708" s="107" t="str">
        <f>VLOOKUP(B1708&amp;C1708,Divipola!$C$2:$F$1138,4,FALSE)</f>
        <v>76892</v>
      </c>
      <c r="F1708" s="333"/>
      <c r="G1708" s="221"/>
      <c r="H1708" s="157"/>
      <c r="I1708" s="157"/>
      <c r="J1708" s="157">
        <f>260*5</f>
        <v>1300</v>
      </c>
      <c r="K1708" s="157">
        <f>325-60-5</f>
        <v>260</v>
      </c>
      <c r="L1708" s="157"/>
      <c r="M1708" s="157">
        <v>260</v>
      </c>
      <c r="N1708" s="157"/>
      <c r="O1708" s="157"/>
      <c r="P1708" s="157"/>
      <c r="Q1708" s="157"/>
      <c r="R1708" s="157"/>
      <c r="S1708" s="157"/>
      <c r="T1708" s="157"/>
      <c r="U1708" s="157"/>
      <c r="V1708" s="158"/>
      <c r="W1708" s="182"/>
      <c r="X1708" s="1"/>
      <c r="Y1708" s="78">
        <f t="shared" si="215"/>
        <v>0</v>
      </c>
      <c r="Z1708" s="78">
        <f t="shared" si="216"/>
        <v>0</v>
      </c>
      <c r="AA1708" s="78">
        <f t="shared" si="214"/>
        <v>0</v>
      </c>
      <c r="AB1708" s="78">
        <f t="shared" si="217"/>
        <v>0</v>
      </c>
      <c r="AC1708" s="78"/>
      <c r="AD1708" s="78">
        <v>0</v>
      </c>
      <c r="AE1708" s="80">
        <f t="shared" si="219"/>
        <v>0</v>
      </c>
      <c r="AF1708" s="82">
        <v>0</v>
      </c>
      <c r="AG1708" s="69">
        <v>40497</v>
      </c>
      <c r="AH1708" s="84"/>
      <c r="AI1708" s="69" t="s">
        <v>1984</v>
      </c>
      <c r="AJ1708" s="25" t="s">
        <v>1985</v>
      </c>
      <c r="AK1708" s="65"/>
      <c r="AL1708" s="176" t="s">
        <v>1257</v>
      </c>
      <c r="AM1708" s="173" t="s">
        <v>2523</v>
      </c>
      <c r="AN1708" s="159"/>
      <c r="AO1708" s="160"/>
      <c r="AP1708" s="161"/>
      <c r="AQ1708" s="160"/>
      <c r="AR1708" s="160"/>
      <c r="AS1708" s="160"/>
      <c r="AT1708" s="160"/>
      <c r="AU1708" s="160"/>
      <c r="AV1708" s="160"/>
      <c r="AW1708" s="160"/>
      <c r="AX1708" s="160"/>
      <c r="AY1708" s="160"/>
      <c r="AZ1708" s="160"/>
      <c r="BA1708" s="160"/>
      <c r="BB1708" s="160"/>
      <c r="BC1708" s="160"/>
      <c r="BD1708" s="160"/>
      <c r="BE1708" s="160"/>
      <c r="BF1708" s="160"/>
      <c r="BG1708" s="160"/>
      <c r="BH1708" s="160"/>
      <c r="BI1708" s="160"/>
      <c r="BJ1708" s="160"/>
      <c r="BK1708" s="160"/>
      <c r="BL1708" s="160"/>
      <c r="BM1708" s="160"/>
      <c r="BN1708" s="160"/>
      <c r="BO1708" s="160"/>
      <c r="BP1708" s="160"/>
      <c r="BQ1708" s="160"/>
      <c r="BR1708" s="160"/>
      <c r="BS1708" s="160"/>
      <c r="BT1708" s="160"/>
      <c r="BU1708" s="160"/>
      <c r="BV1708" s="160"/>
      <c r="BW1708" s="160"/>
      <c r="BX1708" s="160"/>
      <c r="BY1708" s="160"/>
      <c r="BZ1708" s="160"/>
      <c r="CA1708" s="160"/>
      <c r="CB1708" s="160"/>
      <c r="CC1708" s="160"/>
      <c r="CD1708" s="160"/>
      <c r="CE1708" s="160"/>
      <c r="CF1708" s="160"/>
      <c r="CG1708" s="160"/>
      <c r="CH1708" s="160"/>
      <c r="CI1708" s="160"/>
      <c r="CJ1708" s="160"/>
      <c r="CK1708" s="160"/>
      <c r="CL1708" s="160"/>
      <c r="CM1708" s="160"/>
      <c r="CN1708" s="160"/>
      <c r="CO1708" s="160"/>
      <c r="CP1708" s="162"/>
      <c r="CQ1708" s="163"/>
      <c r="CR1708" s="162"/>
      <c r="CS1708" s="163"/>
      <c r="CT1708" s="162"/>
      <c r="CU1708" s="163"/>
      <c r="CV1708" s="164">
        <f t="shared" si="218"/>
        <v>0</v>
      </c>
      <c r="CW1708" s="165"/>
      <c r="CX1708" s="166"/>
      <c r="CY1708" s="167"/>
      <c r="CZ1708" s="168"/>
      <c r="DA1708" s="169"/>
      <c r="DB1708" s="168"/>
      <c r="DC1708" s="165"/>
      <c r="DD1708" s="166"/>
      <c r="DE1708" s="71"/>
      <c r="DF1708" s="170"/>
      <c r="EO1708" s="375" t="str">
        <f t="shared" si="220"/>
        <v>VALLE DEL CAUCA_YUMBO</v>
      </c>
      <c r="EP1708" s="376"/>
      <c r="EQ1708" s="376"/>
      <c r="ER1708" s="377"/>
      <c r="ES1708" s="376"/>
      <c r="ET1708" s="376"/>
      <c r="EU1708" s="376"/>
    </row>
    <row r="1709" spans="1:151" s="171" customFormat="1" ht="25.5" x14ac:dyDescent="0.2">
      <c r="A1709" s="242">
        <v>40497</v>
      </c>
      <c r="B1709" s="222" t="s">
        <v>828</v>
      </c>
      <c r="C1709" s="222" t="s">
        <v>2358</v>
      </c>
      <c r="D1709" s="427" t="s">
        <v>2307</v>
      </c>
      <c r="E1709" s="107" t="str">
        <f>VLOOKUP(B1709&amp;C1709,Divipola!$C$2:$F$1138,4,FALSE)</f>
        <v>15455</v>
      </c>
      <c r="F1709" s="330"/>
      <c r="G1709" s="221"/>
      <c r="H1709" s="157"/>
      <c r="I1709" s="157"/>
      <c r="J1709" s="157">
        <v>300</v>
      </c>
      <c r="K1709" s="157">
        <v>60</v>
      </c>
      <c r="L1709" s="157">
        <v>2</v>
      </c>
      <c r="M1709" s="157">
        <v>58</v>
      </c>
      <c r="N1709" s="157"/>
      <c r="O1709" s="157"/>
      <c r="P1709" s="157"/>
      <c r="Q1709" s="157"/>
      <c r="R1709" s="157"/>
      <c r="S1709" s="157"/>
      <c r="T1709" s="157"/>
      <c r="U1709" s="157"/>
      <c r="V1709" s="158"/>
      <c r="W1709" s="182"/>
      <c r="X1709" s="1">
        <v>40530</v>
      </c>
      <c r="Y1709" s="78">
        <f t="shared" si="215"/>
        <v>6009968</v>
      </c>
      <c r="Z1709" s="78">
        <f t="shared" si="216"/>
        <v>4250000</v>
      </c>
      <c r="AA1709" s="78">
        <f t="shared" si="214"/>
        <v>0</v>
      </c>
      <c r="AB1709" s="78">
        <f t="shared" si="217"/>
        <v>0</v>
      </c>
      <c r="AC1709" s="78"/>
      <c r="AD1709" s="78">
        <v>0</v>
      </c>
      <c r="AE1709" s="80">
        <f t="shared" si="219"/>
        <v>10259968</v>
      </c>
      <c r="AF1709" s="82">
        <v>0</v>
      </c>
      <c r="AG1709" s="69">
        <v>40498</v>
      </c>
      <c r="AH1709" s="84"/>
      <c r="AI1709" s="69" t="s">
        <v>2009</v>
      </c>
      <c r="AJ1709" s="25" t="s">
        <v>2010</v>
      </c>
      <c r="AK1709" s="88" t="s">
        <v>72</v>
      </c>
      <c r="AL1709" s="176" t="s">
        <v>2851</v>
      </c>
      <c r="AM1709" s="173" t="s">
        <v>2858</v>
      </c>
      <c r="AN1709" s="159"/>
      <c r="AO1709" s="160"/>
      <c r="AP1709" s="161"/>
      <c r="AQ1709" s="160"/>
      <c r="AR1709" s="160"/>
      <c r="AS1709" s="160"/>
      <c r="AT1709" s="160"/>
      <c r="AU1709" s="160"/>
      <c r="AV1709" s="160"/>
      <c r="AW1709" s="160"/>
      <c r="AX1709" s="160"/>
      <c r="AY1709" s="160"/>
      <c r="AZ1709" s="160"/>
      <c r="BA1709" s="160"/>
      <c r="BB1709" s="160"/>
      <c r="BC1709" s="160"/>
      <c r="BD1709" s="160"/>
      <c r="BE1709" s="160"/>
      <c r="BF1709" s="160"/>
      <c r="BG1709" s="160"/>
      <c r="BH1709" s="160"/>
      <c r="BI1709" s="160"/>
      <c r="BJ1709" s="160"/>
      <c r="BK1709" s="160"/>
      <c r="BL1709" s="160">
        <v>50</v>
      </c>
      <c r="BM1709" s="160">
        <f>50*25500</f>
        <v>1275000</v>
      </c>
      <c r="BN1709" s="160"/>
      <c r="BO1709" s="160"/>
      <c r="BP1709" s="160"/>
      <c r="BQ1709" s="160"/>
      <c r="BR1709" s="160"/>
      <c r="BS1709" s="160"/>
      <c r="BT1709" s="160"/>
      <c r="BU1709" s="160"/>
      <c r="BV1709" s="160"/>
      <c r="BW1709" s="160"/>
      <c r="BX1709" s="160"/>
      <c r="BY1709" s="160"/>
      <c r="BZ1709" s="160"/>
      <c r="CA1709" s="160"/>
      <c r="CB1709" s="160"/>
      <c r="CC1709" s="160"/>
      <c r="CD1709" s="160"/>
      <c r="CE1709" s="160"/>
      <c r="CF1709" s="160"/>
      <c r="CG1709" s="160"/>
      <c r="CH1709" s="160"/>
      <c r="CI1709" s="160"/>
      <c r="CJ1709" s="160"/>
      <c r="CK1709" s="160"/>
      <c r="CL1709" s="160"/>
      <c r="CM1709" s="160"/>
      <c r="CN1709" s="160">
        <v>50</v>
      </c>
      <c r="CO1709" s="160">
        <f>50*18000</f>
        <v>900000</v>
      </c>
      <c r="CP1709" s="162">
        <v>50</v>
      </c>
      <c r="CQ1709" s="163">
        <f>50*36999.36</f>
        <v>1849968</v>
      </c>
      <c r="CR1709" s="162">
        <v>50</v>
      </c>
      <c r="CS1709" s="163">
        <f>50*39700</f>
        <v>1985000</v>
      </c>
      <c r="CT1709" s="162"/>
      <c r="CU1709" s="163"/>
      <c r="CV1709" s="164">
        <f t="shared" si="218"/>
        <v>6009968</v>
      </c>
      <c r="CW1709" s="165"/>
      <c r="CX1709" s="166"/>
      <c r="CY1709" s="167">
        <v>50</v>
      </c>
      <c r="CZ1709" s="168">
        <f>50*85000</f>
        <v>4250000</v>
      </c>
      <c r="DA1709" s="169"/>
      <c r="DB1709" s="168"/>
      <c r="DC1709" s="165"/>
      <c r="DD1709" s="166"/>
      <c r="DE1709" s="71"/>
      <c r="DF1709" s="170"/>
      <c r="EO1709" s="375" t="str">
        <f t="shared" si="220"/>
        <v>BOYACA_MIRAFLORES</v>
      </c>
      <c r="EP1709" s="376"/>
      <c r="EQ1709" s="376"/>
      <c r="ER1709" s="377"/>
      <c r="ES1709" s="376"/>
      <c r="ET1709" s="376"/>
      <c r="EU1709" s="376"/>
    </row>
    <row r="1710" spans="1:151" s="171" customFormat="1" ht="25.5" x14ac:dyDescent="0.2">
      <c r="A1710" s="242">
        <v>40497</v>
      </c>
      <c r="B1710" s="222" t="s">
        <v>1719</v>
      </c>
      <c r="C1710" s="222" t="s">
        <v>2948</v>
      </c>
      <c r="D1710" s="427" t="s">
        <v>2307</v>
      </c>
      <c r="E1710" s="107" t="str">
        <f>VLOOKUP(B1710&amp;C1710,Divipola!$C$2:$F$1138,4,FALSE)</f>
        <v>19130</v>
      </c>
      <c r="F1710" s="330"/>
      <c r="G1710" s="221"/>
      <c r="H1710" s="157"/>
      <c r="I1710" s="157"/>
      <c r="J1710" s="157">
        <v>250</v>
      </c>
      <c r="K1710" s="157">
        <v>50</v>
      </c>
      <c r="L1710" s="157"/>
      <c r="M1710" s="157">
        <v>50</v>
      </c>
      <c r="N1710" s="157"/>
      <c r="O1710" s="157"/>
      <c r="P1710" s="157"/>
      <c r="Q1710" s="157"/>
      <c r="R1710" s="157"/>
      <c r="S1710" s="157"/>
      <c r="T1710" s="157"/>
      <c r="U1710" s="157"/>
      <c r="V1710" s="158"/>
      <c r="W1710" s="182"/>
      <c r="X1710" s="1"/>
      <c r="Y1710" s="78">
        <f t="shared" si="215"/>
        <v>0</v>
      </c>
      <c r="Z1710" s="78">
        <f t="shared" si="216"/>
        <v>0</v>
      </c>
      <c r="AA1710" s="78">
        <f t="shared" si="214"/>
        <v>0</v>
      </c>
      <c r="AB1710" s="78">
        <f t="shared" si="217"/>
        <v>0</v>
      </c>
      <c r="AC1710" s="78"/>
      <c r="AD1710" s="78">
        <v>0</v>
      </c>
      <c r="AE1710" s="80">
        <f t="shared" si="219"/>
        <v>0</v>
      </c>
      <c r="AF1710" s="82">
        <v>0</v>
      </c>
      <c r="AG1710" s="69">
        <v>40498</v>
      </c>
      <c r="AH1710" s="84"/>
      <c r="AI1710" s="69" t="s">
        <v>1984</v>
      </c>
      <c r="AJ1710" s="25" t="s">
        <v>1985</v>
      </c>
      <c r="AK1710" s="65"/>
      <c r="AL1710" s="176" t="s">
        <v>2851</v>
      </c>
      <c r="AM1710" s="173" t="s">
        <v>2857</v>
      </c>
      <c r="AN1710" s="159"/>
      <c r="AO1710" s="160"/>
      <c r="AP1710" s="161"/>
      <c r="AQ1710" s="160"/>
      <c r="AR1710" s="160"/>
      <c r="AS1710" s="160"/>
      <c r="AT1710" s="160"/>
      <c r="AU1710" s="160"/>
      <c r="AV1710" s="160"/>
      <c r="AW1710" s="160"/>
      <c r="AX1710" s="160"/>
      <c r="AY1710" s="160"/>
      <c r="AZ1710" s="160"/>
      <c r="BA1710" s="160"/>
      <c r="BB1710" s="160"/>
      <c r="BC1710" s="160"/>
      <c r="BD1710" s="160"/>
      <c r="BE1710" s="160"/>
      <c r="BF1710" s="160"/>
      <c r="BG1710" s="160"/>
      <c r="BH1710" s="160"/>
      <c r="BI1710" s="160"/>
      <c r="BJ1710" s="160"/>
      <c r="BK1710" s="160"/>
      <c r="BL1710" s="160"/>
      <c r="BM1710" s="160"/>
      <c r="BN1710" s="160"/>
      <c r="BO1710" s="160"/>
      <c r="BP1710" s="160"/>
      <c r="BQ1710" s="160"/>
      <c r="BR1710" s="160"/>
      <c r="BS1710" s="160"/>
      <c r="BT1710" s="160"/>
      <c r="BU1710" s="160"/>
      <c r="BV1710" s="160"/>
      <c r="BW1710" s="160"/>
      <c r="BX1710" s="160"/>
      <c r="BY1710" s="160"/>
      <c r="BZ1710" s="160"/>
      <c r="CA1710" s="160"/>
      <c r="CB1710" s="160"/>
      <c r="CC1710" s="160"/>
      <c r="CD1710" s="160"/>
      <c r="CE1710" s="160"/>
      <c r="CF1710" s="160"/>
      <c r="CG1710" s="160"/>
      <c r="CH1710" s="160"/>
      <c r="CI1710" s="160"/>
      <c r="CJ1710" s="160"/>
      <c r="CK1710" s="160"/>
      <c r="CL1710" s="160"/>
      <c r="CM1710" s="160"/>
      <c r="CN1710" s="160"/>
      <c r="CO1710" s="160"/>
      <c r="CP1710" s="162"/>
      <c r="CQ1710" s="163"/>
      <c r="CR1710" s="162"/>
      <c r="CS1710" s="163"/>
      <c r="CT1710" s="162"/>
      <c r="CU1710" s="163"/>
      <c r="CV1710" s="164">
        <f t="shared" si="218"/>
        <v>0</v>
      </c>
      <c r="CW1710" s="165"/>
      <c r="CX1710" s="166"/>
      <c r="CY1710" s="167"/>
      <c r="CZ1710" s="168"/>
      <c r="DA1710" s="169"/>
      <c r="DB1710" s="168"/>
      <c r="DC1710" s="165"/>
      <c r="DD1710" s="166"/>
      <c r="DE1710" s="71"/>
      <c r="DF1710" s="170"/>
      <c r="EO1710" s="375" t="str">
        <f t="shared" si="220"/>
        <v>CAUCA_CAJIBIO</v>
      </c>
      <c r="EP1710" s="376"/>
      <c r="EQ1710" s="376"/>
      <c r="ER1710" s="377"/>
      <c r="ES1710" s="376"/>
      <c r="ET1710" s="376"/>
      <c r="EU1710" s="376"/>
    </row>
    <row r="1711" spans="1:151" s="171" customFormat="1" ht="38.25" x14ac:dyDescent="0.2">
      <c r="A1711" s="242">
        <v>40497</v>
      </c>
      <c r="B1711" s="222" t="s">
        <v>2007</v>
      </c>
      <c r="C1711" s="222" t="s">
        <v>2842</v>
      </c>
      <c r="D1711" s="427" t="s">
        <v>2307</v>
      </c>
      <c r="E1711" s="107" t="str">
        <f>VLOOKUP(B1711&amp;C1711,Divipola!$C$2:$F$1138,4,FALSE)</f>
        <v>25785</v>
      </c>
      <c r="F1711" s="330"/>
      <c r="G1711" s="221"/>
      <c r="H1711" s="157"/>
      <c r="I1711" s="157"/>
      <c r="J1711" s="157">
        <v>5</v>
      </c>
      <c r="K1711" s="157">
        <v>1</v>
      </c>
      <c r="L1711" s="157"/>
      <c r="M1711" s="157">
        <v>1</v>
      </c>
      <c r="N1711" s="157">
        <v>1</v>
      </c>
      <c r="O1711" s="157"/>
      <c r="P1711" s="157"/>
      <c r="Q1711" s="157"/>
      <c r="R1711" s="157"/>
      <c r="S1711" s="157"/>
      <c r="T1711" s="157"/>
      <c r="U1711" s="157"/>
      <c r="V1711" s="158"/>
      <c r="W1711" s="182"/>
      <c r="X1711" s="1"/>
      <c r="Y1711" s="78">
        <f t="shared" si="215"/>
        <v>0</v>
      </c>
      <c r="Z1711" s="78">
        <f t="shared" si="216"/>
        <v>0</v>
      </c>
      <c r="AA1711" s="78">
        <f t="shared" si="214"/>
        <v>0</v>
      </c>
      <c r="AB1711" s="78">
        <f t="shared" si="217"/>
        <v>0</v>
      </c>
      <c r="AC1711" s="78"/>
      <c r="AD1711" s="78">
        <v>0</v>
      </c>
      <c r="AE1711" s="80">
        <f t="shared" si="219"/>
        <v>0</v>
      </c>
      <c r="AF1711" s="82">
        <v>0</v>
      </c>
      <c r="AG1711" s="69">
        <v>40498</v>
      </c>
      <c r="AH1711" s="84"/>
      <c r="AI1711" s="69" t="s">
        <v>1984</v>
      </c>
      <c r="AJ1711" s="25" t="s">
        <v>1985</v>
      </c>
      <c r="AK1711" s="65"/>
      <c r="AL1711" s="176" t="s">
        <v>2851</v>
      </c>
      <c r="AM1711" s="173" t="s">
        <v>2843</v>
      </c>
      <c r="AN1711" s="159"/>
      <c r="AO1711" s="160"/>
      <c r="AP1711" s="161"/>
      <c r="AQ1711" s="160"/>
      <c r="AR1711" s="160"/>
      <c r="AS1711" s="160"/>
      <c r="AT1711" s="160"/>
      <c r="AU1711" s="160"/>
      <c r="AV1711" s="160"/>
      <c r="AW1711" s="160"/>
      <c r="AX1711" s="160"/>
      <c r="AY1711" s="160"/>
      <c r="AZ1711" s="160"/>
      <c r="BA1711" s="160"/>
      <c r="BB1711" s="160"/>
      <c r="BC1711" s="160"/>
      <c r="BD1711" s="160"/>
      <c r="BE1711" s="160"/>
      <c r="BF1711" s="160"/>
      <c r="BG1711" s="160"/>
      <c r="BH1711" s="160"/>
      <c r="BI1711" s="160"/>
      <c r="BJ1711" s="160"/>
      <c r="BK1711" s="160"/>
      <c r="BL1711" s="160"/>
      <c r="BM1711" s="160"/>
      <c r="BN1711" s="160"/>
      <c r="BO1711" s="160"/>
      <c r="BP1711" s="160"/>
      <c r="BQ1711" s="160"/>
      <c r="BR1711" s="160"/>
      <c r="BS1711" s="160"/>
      <c r="BT1711" s="160"/>
      <c r="BU1711" s="160"/>
      <c r="BV1711" s="160"/>
      <c r="BW1711" s="160"/>
      <c r="BX1711" s="160"/>
      <c r="BY1711" s="160"/>
      <c r="BZ1711" s="160"/>
      <c r="CA1711" s="160"/>
      <c r="CB1711" s="160"/>
      <c r="CC1711" s="160"/>
      <c r="CD1711" s="160"/>
      <c r="CE1711" s="160"/>
      <c r="CF1711" s="160"/>
      <c r="CG1711" s="160"/>
      <c r="CH1711" s="160"/>
      <c r="CI1711" s="160"/>
      <c r="CJ1711" s="160"/>
      <c r="CK1711" s="160"/>
      <c r="CL1711" s="160"/>
      <c r="CM1711" s="160"/>
      <c r="CN1711" s="160"/>
      <c r="CO1711" s="160"/>
      <c r="CP1711" s="162"/>
      <c r="CQ1711" s="163"/>
      <c r="CR1711" s="162"/>
      <c r="CS1711" s="163"/>
      <c r="CT1711" s="162"/>
      <c r="CU1711" s="163"/>
      <c r="CV1711" s="164">
        <f t="shared" si="218"/>
        <v>0</v>
      </c>
      <c r="CW1711" s="165"/>
      <c r="CX1711" s="166"/>
      <c r="CY1711" s="167"/>
      <c r="CZ1711" s="168"/>
      <c r="DA1711" s="169"/>
      <c r="DB1711" s="168"/>
      <c r="DC1711" s="165"/>
      <c r="DD1711" s="166"/>
      <c r="DE1711" s="71"/>
      <c r="DF1711" s="170"/>
      <c r="EO1711" s="375" t="str">
        <f t="shared" si="220"/>
        <v>CUNDINAMARCA_TABIO</v>
      </c>
      <c r="EP1711" s="376"/>
      <c r="EQ1711" s="376"/>
      <c r="ER1711" s="377"/>
      <c r="ES1711" s="376"/>
      <c r="ET1711" s="376"/>
      <c r="EU1711" s="376"/>
    </row>
    <row r="1712" spans="1:151" s="171" customFormat="1" ht="25.5" x14ac:dyDescent="0.2">
      <c r="A1712" s="242">
        <v>40497</v>
      </c>
      <c r="B1712" s="222" t="s">
        <v>1333</v>
      </c>
      <c r="C1712" s="222" t="s">
        <v>3091</v>
      </c>
      <c r="D1712" s="427" t="s">
        <v>2307</v>
      </c>
      <c r="E1712" s="107" t="str">
        <f>VLOOKUP(B1712&amp;C1712,Divipola!$C$2:$F$1138,4,FALSE)</f>
        <v>41676</v>
      </c>
      <c r="F1712" s="330"/>
      <c r="G1712" s="221"/>
      <c r="H1712" s="157"/>
      <c r="I1712" s="157"/>
      <c r="J1712" s="157">
        <v>5</v>
      </c>
      <c r="K1712" s="157">
        <v>1</v>
      </c>
      <c r="L1712" s="157"/>
      <c r="M1712" s="157">
        <v>1</v>
      </c>
      <c r="N1712" s="157"/>
      <c r="O1712" s="157"/>
      <c r="P1712" s="157"/>
      <c r="Q1712" s="157"/>
      <c r="R1712" s="157"/>
      <c r="S1712" s="157"/>
      <c r="T1712" s="157"/>
      <c r="U1712" s="157"/>
      <c r="V1712" s="158"/>
      <c r="W1712" s="182"/>
      <c r="X1712" s="1"/>
      <c r="Y1712" s="78">
        <f t="shared" si="215"/>
        <v>0</v>
      </c>
      <c r="Z1712" s="78">
        <f t="shared" si="216"/>
        <v>0</v>
      </c>
      <c r="AA1712" s="78">
        <f t="shared" si="214"/>
        <v>0</v>
      </c>
      <c r="AB1712" s="78">
        <f t="shared" si="217"/>
        <v>0</v>
      </c>
      <c r="AC1712" s="78"/>
      <c r="AD1712" s="78">
        <v>0</v>
      </c>
      <c r="AE1712" s="80">
        <f t="shared" si="219"/>
        <v>0</v>
      </c>
      <c r="AF1712" s="82">
        <v>0</v>
      </c>
      <c r="AG1712" s="69">
        <v>40498</v>
      </c>
      <c r="AH1712" s="84"/>
      <c r="AI1712" s="69" t="s">
        <v>1984</v>
      </c>
      <c r="AJ1712" s="25" t="s">
        <v>1985</v>
      </c>
      <c r="AK1712" s="65"/>
      <c r="AL1712" s="176" t="s">
        <v>2851</v>
      </c>
      <c r="AM1712" s="173" t="s">
        <v>2852</v>
      </c>
      <c r="AN1712" s="159"/>
      <c r="AO1712" s="160"/>
      <c r="AP1712" s="161"/>
      <c r="AQ1712" s="160"/>
      <c r="AR1712" s="160"/>
      <c r="AS1712" s="160"/>
      <c r="AT1712" s="160"/>
      <c r="AU1712" s="160"/>
      <c r="AV1712" s="160"/>
      <c r="AW1712" s="160"/>
      <c r="AX1712" s="160"/>
      <c r="AY1712" s="160"/>
      <c r="AZ1712" s="160"/>
      <c r="BA1712" s="160"/>
      <c r="BB1712" s="160"/>
      <c r="BC1712" s="160"/>
      <c r="BD1712" s="160"/>
      <c r="BE1712" s="160"/>
      <c r="BF1712" s="160"/>
      <c r="BG1712" s="160"/>
      <c r="BH1712" s="160"/>
      <c r="BI1712" s="160"/>
      <c r="BJ1712" s="160"/>
      <c r="BK1712" s="160"/>
      <c r="BL1712" s="160"/>
      <c r="BM1712" s="160"/>
      <c r="BN1712" s="160"/>
      <c r="BO1712" s="160"/>
      <c r="BP1712" s="160"/>
      <c r="BQ1712" s="160"/>
      <c r="BR1712" s="160"/>
      <c r="BS1712" s="160"/>
      <c r="BT1712" s="160"/>
      <c r="BU1712" s="160"/>
      <c r="BV1712" s="160"/>
      <c r="BW1712" s="160"/>
      <c r="BX1712" s="160"/>
      <c r="BY1712" s="160"/>
      <c r="BZ1712" s="160"/>
      <c r="CA1712" s="160"/>
      <c r="CB1712" s="160"/>
      <c r="CC1712" s="160"/>
      <c r="CD1712" s="160"/>
      <c r="CE1712" s="160"/>
      <c r="CF1712" s="160"/>
      <c r="CG1712" s="160"/>
      <c r="CH1712" s="160"/>
      <c r="CI1712" s="160"/>
      <c r="CJ1712" s="160"/>
      <c r="CK1712" s="160"/>
      <c r="CL1712" s="160"/>
      <c r="CM1712" s="160"/>
      <c r="CN1712" s="160"/>
      <c r="CO1712" s="160"/>
      <c r="CP1712" s="162"/>
      <c r="CQ1712" s="163"/>
      <c r="CR1712" s="162"/>
      <c r="CS1712" s="163"/>
      <c r="CT1712" s="162"/>
      <c r="CU1712" s="163"/>
      <c r="CV1712" s="164">
        <f t="shared" si="218"/>
        <v>0</v>
      </c>
      <c r="CW1712" s="165"/>
      <c r="CX1712" s="166"/>
      <c r="CY1712" s="167"/>
      <c r="CZ1712" s="168"/>
      <c r="DA1712" s="169"/>
      <c r="DB1712" s="168"/>
      <c r="DC1712" s="165"/>
      <c r="DD1712" s="166"/>
      <c r="DE1712" s="71"/>
      <c r="DF1712" s="170"/>
      <c r="EO1712" s="375" t="str">
        <f t="shared" si="220"/>
        <v>HUILA_SANTA MARIA</v>
      </c>
      <c r="EP1712" s="376"/>
      <c r="EQ1712" s="376"/>
      <c r="ER1712" s="377"/>
      <c r="ES1712" s="376"/>
      <c r="ET1712" s="376"/>
      <c r="EU1712" s="376"/>
    </row>
    <row r="1713" spans="1:151" s="171" customFormat="1" ht="38.25" x14ac:dyDescent="0.2">
      <c r="A1713" s="242">
        <v>40497</v>
      </c>
      <c r="B1713" s="222" t="s">
        <v>708</v>
      </c>
      <c r="C1713" s="222" t="s">
        <v>2833</v>
      </c>
      <c r="D1713" s="430" t="s">
        <v>1721</v>
      </c>
      <c r="E1713" s="107" t="str">
        <f>VLOOKUP(B1713&amp;C1713,Divipola!$C$2:$F$1138,4,FALSE)</f>
        <v>50711</v>
      </c>
      <c r="F1713" s="333"/>
      <c r="G1713" s="221"/>
      <c r="H1713" s="157"/>
      <c r="I1713" s="157"/>
      <c r="J1713" s="157">
        <v>10</v>
      </c>
      <c r="K1713" s="157">
        <v>2</v>
      </c>
      <c r="L1713" s="157">
        <v>1</v>
      </c>
      <c r="M1713" s="157"/>
      <c r="N1713" s="157"/>
      <c r="O1713" s="157"/>
      <c r="P1713" s="157"/>
      <c r="Q1713" s="157"/>
      <c r="R1713" s="157"/>
      <c r="S1713" s="157"/>
      <c r="T1713" s="157"/>
      <c r="U1713" s="157"/>
      <c r="V1713" s="158"/>
      <c r="W1713" s="182" t="s">
        <v>2835</v>
      </c>
      <c r="X1713" s="1"/>
      <c r="Y1713" s="78">
        <f t="shared" si="215"/>
        <v>0</v>
      </c>
      <c r="Z1713" s="78">
        <f t="shared" si="216"/>
        <v>0</v>
      </c>
      <c r="AA1713" s="78">
        <f t="shared" si="214"/>
        <v>0</v>
      </c>
      <c r="AB1713" s="78">
        <f t="shared" si="217"/>
        <v>0</v>
      </c>
      <c r="AC1713" s="78"/>
      <c r="AD1713" s="78">
        <v>0</v>
      </c>
      <c r="AE1713" s="80">
        <f t="shared" si="219"/>
        <v>0</v>
      </c>
      <c r="AF1713" s="82">
        <v>0</v>
      </c>
      <c r="AG1713" s="69">
        <v>40498</v>
      </c>
      <c r="AH1713" s="84"/>
      <c r="AI1713" s="69" t="s">
        <v>1984</v>
      </c>
      <c r="AJ1713" s="70" t="s">
        <v>1985</v>
      </c>
      <c r="AK1713" s="65"/>
      <c r="AL1713" s="176" t="s">
        <v>2851</v>
      </c>
      <c r="AM1713" s="173" t="s">
        <v>2834</v>
      </c>
      <c r="AN1713" s="159"/>
      <c r="AO1713" s="160"/>
      <c r="AP1713" s="161"/>
      <c r="AQ1713" s="160"/>
      <c r="AR1713" s="160"/>
      <c r="AS1713" s="160"/>
      <c r="AT1713" s="160"/>
      <c r="AU1713" s="160"/>
      <c r="AV1713" s="160"/>
      <c r="AW1713" s="160"/>
      <c r="AX1713" s="160"/>
      <c r="AY1713" s="160"/>
      <c r="AZ1713" s="160"/>
      <c r="BA1713" s="160"/>
      <c r="BB1713" s="160"/>
      <c r="BC1713" s="160"/>
      <c r="BD1713" s="160"/>
      <c r="BE1713" s="160"/>
      <c r="BF1713" s="160"/>
      <c r="BG1713" s="160"/>
      <c r="BH1713" s="160"/>
      <c r="BI1713" s="160"/>
      <c r="BJ1713" s="160"/>
      <c r="BK1713" s="160"/>
      <c r="BL1713" s="160"/>
      <c r="BM1713" s="160"/>
      <c r="BN1713" s="160"/>
      <c r="BO1713" s="160"/>
      <c r="BP1713" s="160"/>
      <c r="BQ1713" s="160"/>
      <c r="BR1713" s="160"/>
      <c r="BS1713" s="160"/>
      <c r="BT1713" s="160"/>
      <c r="BU1713" s="160"/>
      <c r="BV1713" s="160"/>
      <c r="BW1713" s="160"/>
      <c r="BX1713" s="160"/>
      <c r="BY1713" s="160"/>
      <c r="BZ1713" s="160"/>
      <c r="CA1713" s="160"/>
      <c r="CB1713" s="160"/>
      <c r="CC1713" s="160"/>
      <c r="CD1713" s="160"/>
      <c r="CE1713" s="160"/>
      <c r="CF1713" s="160"/>
      <c r="CG1713" s="160"/>
      <c r="CH1713" s="160"/>
      <c r="CI1713" s="160"/>
      <c r="CJ1713" s="160"/>
      <c r="CK1713" s="160"/>
      <c r="CL1713" s="160"/>
      <c r="CM1713" s="160"/>
      <c r="CN1713" s="160"/>
      <c r="CO1713" s="160"/>
      <c r="CP1713" s="162"/>
      <c r="CQ1713" s="163"/>
      <c r="CR1713" s="162"/>
      <c r="CS1713" s="163"/>
      <c r="CT1713" s="162"/>
      <c r="CU1713" s="163"/>
      <c r="CV1713" s="164">
        <f t="shared" si="218"/>
        <v>0</v>
      </c>
      <c r="CW1713" s="165"/>
      <c r="CX1713" s="166"/>
      <c r="CY1713" s="167"/>
      <c r="CZ1713" s="168"/>
      <c r="DA1713" s="169"/>
      <c r="DB1713" s="168"/>
      <c r="DC1713" s="165"/>
      <c r="DD1713" s="166"/>
      <c r="DE1713" s="71"/>
      <c r="DF1713" s="170"/>
      <c r="EO1713" s="375" t="str">
        <f t="shared" si="220"/>
        <v>META_VISTAHERMOSA</v>
      </c>
      <c r="EP1713" s="376"/>
      <c r="EQ1713" s="376"/>
      <c r="ER1713" s="377"/>
      <c r="ES1713" s="376"/>
      <c r="ET1713" s="376"/>
      <c r="EU1713" s="376"/>
    </row>
    <row r="1714" spans="1:151" s="171" customFormat="1" ht="25.5" x14ac:dyDescent="0.2">
      <c r="A1714" s="242">
        <v>40497</v>
      </c>
      <c r="B1714" s="222" t="s">
        <v>2245</v>
      </c>
      <c r="C1714" s="222" t="s">
        <v>496</v>
      </c>
      <c r="D1714" s="430" t="s">
        <v>2307</v>
      </c>
      <c r="E1714" s="107" t="str">
        <f>VLOOKUP(B1714&amp;C1714,Divipola!$C$2:$F$1138,4,FALSE)</f>
        <v>52612</v>
      </c>
      <c r="F1714" s="333"/>
      <c r="G1714" s="221"/>
      <c r="H1714" s="157"/>
      <c r="I1714" s="157"/>
      <c r="J1714" s="157">
        <f>884-35</f>
        <v>849</v>
      </c>
      <c r="K1714" s="157">
        <f>221-7</f>
        <v>214</v>
      </c>
      <c r="L1714" s="157"/>
      <c r="M1714" s="157">
        <v>148</v>
      </c>
      <c r="N1714" s="157"/>
      <c r="O1714" s="157"/>
      <c r="P1714" s="157"/>
      <c r="Q1714" s="157"/>
      <c r="R1714" s="157"/>
      <c r="S1714" s="157"/>
      <c r="T1714" s="157"/>
      <c r="U1714" s="157"/>
      <c r="V1714" s="158"/>
      <c r="W1714" s="182"/>
      <c r="X1714" s="1"/>
      <c r="Y1714" s="78">
        <f t="shared" si="215"/>
        <v>0</v>
      </c>
      <c r="Z1714" s="78">
        <f t="shared" si="216"/>
        <v>0</v>
      </c>
      <c r="AA1714" s="78">
        <f t="shared" si="214"/>
        <v>0</v>
      </c>
      <c r="AB1714" s="78">
        <f t="shared" si="217"/>
        <v>0</v>
      </c>
      <c r="AC1714" s="78"/>
      <c r="AD1714" s="78">
        <v>0</v>
      </c>
      <c r="AE1714" s="80">
        <f t="shared" si="219"/>
        <v>0</v>
      </c>
      <c r="AF1714" s="82">
        <v>0</v>
      </c>
      <c r="AG1714" s="69">
        <v>40508</v>
      </c>
      <c r="AH1714" s="84"/>
      <c r="AI1714" s="69" t="s">
        <v>1984</v>
      </c>
      <c r="AJ1714" s="25" t="s">
        <v>1985</v>
      </c>
      <c r="AK1714" s="65"/>
      <c r="AL1714" s="176" t="s">
        <v>1257</v>
      </c>
      <c r="AM1714" s="173" t="s">
        <v>2925</v>
      </c>
      <c r="AN1714" s="159"/>
      <c r="AO1714" s="160"/>
      <c r="AP1714" s="161"/>
      <c r="AQ1714" s="160"/>
      <c r="AR1714" s="160"/>
      <c r="AS1714" s="160"/>
      <c r="AT1714" s="160"/>
      <c r="AU1714" s="160"/>
      <c r="AV1714" s="160"/>
      <c r="AW1714" s="160"/>
      <c r="AX1714" s="160"/>
      <c r="AY1714" s="160"/>
      <c r="AZ1714" s="160"/>
      <c r="BA1714" s="160"/>
      <c r="BB1714" s="160"/>
      <c r="BC1714" s="160"/>
      <c r="BD1714" s="160"/>
      <c r="BE1714" s="160"/>
      <c r="BF1714" s="160"/>
      <c r="BG1714" s="160"/>
      <c r="BH1714" s="160"/>
      <c r="BI1714" s="160"/>
      <c r="BJ1714" s="160"/>
      <c r="BK1714" s="160"/>
      <c r="BL1714" s="160"/>
      <c r="BM1714" s="160"/>
      <c r="BN1714" s="160"/>
      <c r="BO1714" s="160"/>
      <c r="BP1714" s="160"/>
      <c r="BQ1714" s="160"/>
      <c r="BR1714" s="160"/>
      <c r="BS1714" s="160"/>
      <c r="BT1714" s="160"/>
      <c r="BU1714" s="160"/>
      <c r="BV1714" s="160"/>
      <c r="BW1714" s="160"/>
      <c r="BX1714" s="160"/>
      <c r="BY1714" s="160"/>
      <c r="BZ1714" s="160"/>
      <c r="CA1714" s="160"/>
      <c r="CB1714" s="160"/>
      <c r="CC1714" s="160"/>
      <c r="CD1714" s="160"/>
      <c r="CE1714" s="160"/>
      <c r="CF1714" s="160"/>
      <c r="CG1714" s="160"/>
      <c r="CH1714" s="160"/>
      <c r="CI1714" s="160"/>
      <c r="CJ1714" s="160"/>
      <c r="CK1714" s="160"/>
      <c r="CL1714" s="160"/>
      <c r="CM1714" s="160"/>
      <c r="CN1714" s="160"/>
      <c r="CO1714" s="160"/>
      <c r="CP1714" s="162"/>
      <c r="CQ1714" s="163"/>
      <c r="CR1714" s="162"/>
      <c r="CS1714" s="163"/>
      <c r="CT1714" s="162"/>
      <c r="CU1714" s="163"/>
      <c r="CV1714" s="164">
        <f t="shared" si="218"/>
        <v>0</v>
      </c>
      <c r="CW1714" s="165"/>
      <c r="CX1714" s="166"/>
      <c r="CY1714" s="167"/>
      <c r="CZ1714" s="168"/>
      <c r="DA1714" s="169"/>
      <c r="DB1714" s="168"/>
      <c r="DC1714" s="165"/>
      <c r="DD1714" s="166"/>
      <c r="DE1714" s="71"/>
      <c r="DF1714" s="170"/>
      <c r="EO1714" s="375" t="str">
        <f t="shared" si="220"/>
        <v>NARIÑO_RICAURTE</v>
      </c>
      <c r="EP1714" s="376"/>
      <c r="EQ1714" s="376"/>
      <c r="ER1714" s="377"/>
      <c r="ES1714" s="376"/>
      <c r="ET1714" s="376"/>
      <c r="EU1714" s="376"/>
    </row>
    <row r="1715" spans="1:151" s="171" customFormat="1" ht="51" x14ac:dyDescent="0.2">
      <c r="A1715" s="242">
        <v>40497</v>
      </c>
      <c r="B1715" s="222" t="s">
        <v>1336</v>
      </c>
      <c r="C1715" s="222" t="s">
        <v>2854</v>
      </c>
      <c r="D1715" s="427" t="s">
        <v>2307</v>
      </c>
      <c r="E1715" s="107" t="str">
        <f>VLOOKUP(B1715&amp;C1715,Divipola!$C$2:$F$1138,4,FALSE)</f>
        <v>54172</v>
      </c>
      <c r="F1715" s="330"/>
      <c r="G1715" s="221"/>
      <c r="H1715" s="157"/>
      <c r="I1715" s="157"/>
      <c r="J1715" s="157">
        <f>723-25</f>
        <v>698</v>
      </c>
      <c r="K1715" s="157">
        <f>167-5</f>
        <v>162</v>
      </c>
      <c r="L1715" s="157">
        <v>10</v>
      </c>
      <c r="M1715" s="157">
        <f>143-5</f>
        <v>138</v>
      </c>
      <c r="N1715" s="157">
        <v>1</v>
      </c>
      <c r="O1715" s="157"/>
      <c r="P1715" s="157"/>
      <c r="Q1715" s="157">
        <v>1</v>
      </c>
      <c r="R1715" s="157">
        <v>1</v>
      </c>
      <c r="S1715" s="157"/>
      <c r="T1715" s="157"/>
      <c r="U1715" s="157"/>
      <c r="V1715" s="158"/>
      <c r="W1715" s="182"/>
      <c r="X1715" s="1"/>
      <c r="Y1715" s="78">
        <f t="shared" si="215"/>
        <v>0</v>
      </c>
      <c r="Z1715" s="78">
        <f t="shared" si="216"/>
        <v>0</v>
      </c>
      <c r="AA1715" s="78">
        <f t="shared" si="214"/>
        <v>0</v>
      </c>
      <c r="AB1715" s="78">
        <f t="shared" si="217"/>
        <v>0</v>
      </c>
      <c r="AC1715" s="78"/>
      <c r="AD1715" s="78">
        <v>0</v>
      </c>
      <c r="AE1715" s="80">
        <f t="shared" si="219"/>
        <v>0</v>
      </c>
      <c r="AF1715" s="82">
        <v>0</v>
      </c>
      <c r="AG1715" s="69">
        <v>40498</v>
      </c>
      <c r="AH1715" s="84"/>
      <c r="AI1715" s="69" t="s">
        <v>1984</v>
      </c>
      <c r="AJ1715" s="25" t="s">
        <v>1985</v>
      </c>
      <c r="AK1715" s="65"/>
      <c r="AL1715" s="176" t="s">
        <v>2851</v>
      </c>
      <c r="AM1715" s="173" t="s">
        <v>2855</v>
      </c>
      <c r="AN1715" s="159"/>
      <c r="AO1715" s="160"/>
      <c r="AP1715" s="161"/>
      <c r="AQ1715" s="160"/>
      <c r="AR1715" s="160"/>
      <c r="AS1715" s="160"/>
      <c r="AT1715" s="160"/>
      <c r="AU1715" s="160"/>
      <c r="AV1715" s="160"/>
      <c r="AW1715" s="160"/>
      <c r="AX1715" s="160"/>
      <c r="AY1715" s="160"/>
      <c r="AZ1715" s="160"/>
      <c r="BA1715" s="160"/>
      <c r="BB1715" s="160"/>
      <c r="BC1715" s="160"/>
      <c r="BD1715" s="160"/>
      <c r="BE1715" s="160"/>
      <c r="BF1715" s="160"/>
      <c r="BG1715" s="160"/>
      <c r="BH1715" s="160"/>
      <c r="BI1715" s="160"/>
      <c r="BJ1715" s="160"/>
      <c r="BK1715" s="160"/>
      <c r="BL1715" s="160"/>
      <c r="BM1715" s="160"/>
      <c r="BN1715" s="160"/>
      <c r="BO1715" s="160"/>
      <c r="BP1715" s="160"/>
      <c r="BQ1715" s="160"/>
      <c r="BR1715" s="160"/>
      <c r="BS1715" s="160"/>
      <c r="BT1715" s="160"/>
      <c r="BU1715" s="160"/>
      <c r="BV1715" s="160"/>
      <c r="BW1715" s="160"/>
      <c r="BX1715" s="160"/>
      <c r="BY1715" s="160"/>
      <c r="BZ1715" s="160"/>
      <c r="CA1715" s="160"/>
      <c r="CB1715" s="160"/>
      <c r="CC1715" s="160"/>
      <c r="CD1715" s="160"/>
      <c r="CE1715" s="160"/>
      <c r="CF1715" s="160"/>
      <c r="CG1715" s="160"/>
      <c r="CH1715" s="160"/>
      <c r="CI1715" s="160"/>
      <c r="CJ1715" s="160"/>
      <c r="CK1715" s="160"/>
      <c r="CL1715" s="160"/>
      <c r="CM1715" s="160"/>
      <c r="CN1715" s="160"/>
      <c r="CO1715" s="160"/>
      <c r="CP1715" s="162"/>
      <c r="CQ1715" s="163"/>
      <c r="CR1715" s="162"/>
      <c r="CS1715" s="163"/>
      <c r="CT1715" s="162"/>
      <c r="CU1715" s="163"/>
      <c r="CV1715" s="164">
        <f t="shared" si="218"/>
        <v>0</v>
      </c>
      <c r="CW1715" s="165"/>
      <c r="CX1715" s="166"/>
      <c r="CY1715" s="167"/>
      <c r="CZ1715" s="168"/>
      <c r="DA1715" s="169"/>
      <c r="DB1715" s="168"/>
      <c r="DC1715" s="165"/>
      <c r="DD1715" s="166"/>
      <c r="DE1715" s="71"/>
      <c r="DF1715" s="170"/>
      <c r="EO1715" s="375" t="str">
        <f t="shared" si="220"/>
        <v>NORTE DE SANTANDER_CHINACOTA</v>
      </c>
      <c r="EP1715" s="376"/>
      <c r="EQ1715" s="376"/>
      <c r="ER1715" s="377"/>
      <c r="ES1715" s="376"/>
      <c r="ET1715" s="376"/>
      <c r="EU1715" s="376"/>
    </row>
    <row r="1716" spans="1:151" s="171" customFormat="1" ht="51" x14ac:dyDescent="0.2">
      <c r="A1716" s="242">
        <v>40497</v>
      </c>
      <c r="B1716" s="107" t="s">
        <v>2012</v>
      </c>
      <c r="C1716" s="222" t="s">
        <v>2118</v>
      </c>
      <c r="D1716" s="427" t="s">
        <v>2307</v>
      </c>
      <c r="E1716" s="107" t="str">
        <f>VLOOKUP(B1716&amp;C1716,Divipola!$C$2:$F$1138,4,FALSE)</f>
        <v>66682</v>
      </c>
      <c r="F1716" s="330"/>
      <c r="G1716" s="221">
        <v>1</v>
      </c>
      <c r="H1716" s="157">
        <v>1</v>
      </c>
      <c r="I1716" s="157"/>
      <c r="J1716" s="157">
        <v>10</v>
      </c>
      <c r="K1716" s="157">
        <v>2</v>
      </c>
      <c r="L1716" s="157"/>
      <c r="M1716" s="157">
        <v>2</v>
      </c>
      <c r="N1716" s="157"/>
      <c r="O1716" s="157"/>
      <c r="P1716" s="157"/>
      <c r="Q1716" s="157">
        <v>1</v>
      </c>
      <c r="R1716" s="157"/>
      <c r="S1716" s="157"/>
      <c r="T1716" s="157"/>
      <c r="U1716" s="157"/>
      <c r="V1716" s="158"/>
      <c r="W1716" s="182"/>
      <c r="X1716" s="1"/>
      <c r="Y1716" s="78">
        <f t="shared" si="215"/>
        <v>0</v>
      </c>
      <c r="Z1716" s="78">
        <f t="shared" si="216"/>
        <v>0</v>
      </c>
      <c r="AA1716" s="78">
        <f t="shared" si="214"/>
        <v>0</v>
      </c>
      <c r="AB1716" s="78">
        <f t="shared" si="217"/>
        <v>0</v>
      </c>
      <c r="AC1716" s="78"/>
      <c r="AD1716" s="78">
        <v>0</v>
      </c>
      <c r="AE1716" s="80">
        <f t="shared" si="219"/>
        <v>0</v>
      </c>
      <c r="AF1716" s="82">
        <v>0</v>
      </c>
      <c r="AG1716" s="69">
        <v>40498</v>
      </c>
      <c r="AH1716" s="84"/>
      <c r="AI1716" s="69" t="s">
        <v>1984</v>
      </c>
      <c r="AJ1716" s="25" t="s">
        <v>1985</v>
      </c>
      <c r="AK1716" s="65"/>
      <c r="AL1716" s="69" t="s">
        <v>2851</v>
      </c>
      <c r="AM1716" s="173" t="s">
        <v>2909</v>
      </c>
      <c r="AN1716" s="159"/>
      <c r="AO1716" s="160"/>
      <c r="AP1716" s="161"/>
      <c r="AQ1716" s="160"/>
      <c r="AR1716" s="160"/>
      <c r="AS1716" s="160"/>
      <c r="AT1716" s="160"/>
      <c r="AU1716" s="160"/>
      <c r="AV1716" s="160"/>
      <c r="AW1716" s="160"/>
      <c r="AX1716" s="160"/>
      <c r="AY1716" s="160"/>
      <c r="AZ1716" s="160"/>
      <c r="BA1716" s="160"/>
      <c r="BB1716" s="160"/>
      <c r="BC1716" s="160"/>
      <c r="BD1716" s="160"/>
      <c r="BE1716" s="160"/>
      <c r="BF1716" s="160"/>
      <c r="BG1716" s="160"/>
      <c r="BH1716" s="160"/>
      <c r="BI1716" s="160"/>
      <c r="BJ1716" s="160"/>
      <c r="BK1716" s="160"/>
      <c r="BL1716" s="160"/>
      <c r="BM1716" s="160"/>
      <c r="BN1716" s="160"/>
      <c r="BO1716" s="160"/>
      <c r="BP1716" s="160"/>
      <c r="BQ1716" s="160"/>
      <c r="BR1716" s="160"/>
      <c r="BS1716" s="160"/>
      <c r="BT1716" s="160"/>
      <c r="BU1716" s="160"/>
      <c r="BV1716" s="160"/>
      <c r="BW1716" s="160"/>
      <c r="BX1716" s="160"/>
      <c r="BY1716" s="160"/>
      <c r="BZ1716" s="160"/>
      <c r="CA1716" s="160"/>
      <c r="CB1716" s="160"/>
      <c r="CC1716" s="160"/>
      <c r="CD1716" s="160"/>
      <c r="CE1716" s="160"/>
      <c r="CF1716" s="160"/>
      <c r="CG1716" s="160"/>
      <c r="CH1716" s="160"/>
      <c r="CI1716" s="160"/>
      <c r="CJ1716" s="160"/>
      <c r="CK1716" s="160"/>
      <c r="CL1716" s="160"/>
      <c r="CM1716" s="160"/>
      <c r="CN1716" s="160"/>
      <c r="CO1716" s="160"/>
      <c r="CP1716" s="162"/>
      <c r="CQ1716" s="163"/>
      <c r="CR1716" s="162"/>
      <c r="CS1716" s="163"/>
      <c r="CT1716" s="162"/>
      <c r="CU1716" s="163"/>
      <c r="CV1716" s="164">
        <f t="shared" si="218"/>
        <v>0</v>
      </c>
      <c r="CW1716" s="165"/>
      <c r="CX1716" s="166"/>
      <c r="CY1716" s="167"/>
      <c r="CZ1716" s="168"/>
      <c r="DA1716" s="169"/>
      <c r="DB1716" s="168"/>
      <c r="DC1716" s="165"/>
      <c r="DD1716" s="166"/>
      <c r="DE1716" s="71"/>
      <c r="DF1716" s="170"/>
      <c r="EO1716" s="375" t="str">
        <f t="shared" si="220"/>
        <v>RISARALDA_SANTA ROSA DE CABAL</v>
      </c>
      <c r="EP1716" s="376"/>
      <c r="EQ1716" s="376"/>
      <c r="ER1716" s="377"/>
      <c r="ES1716" s="376"/>
      <c r="ET1716" s="376"/>
      <c r="EU1716" s="376"/>
    </row>
    <row r="1717" spans="1:151" s="171" customFormat="1" ht="38.25" x14ac:dyDescent="0.2">
      <c r="A1717" s="242">
        <v>40497</v>
      </c>
      <c r="B1717" s="222" t="s">
        <v>2427</v>
      </c>
      <c r="C1717" s="222" t="s">
        <v>2008</v>
      </c>
      <c r="D1717" s="430" t="s">
        <v>837</v>
      </c>
      <c r="E1717" s="107">
        <f>VLOOKUP(B1717&amp;C1717,Divipola!$C$2:$F$1138,4,FALSE)</f>
        <v>68</v>
      </c>
      <c r="F1717" s="333"/>
      <c r="G1717" s="275"/>
      <c r="H1717" s="157"/>
      <c r="I1717" s="157"/>
      <c r="J1717" s="157"/>
      <c r="K1717" s="157"/>
      <c r="L1717" s="157"/>
      <c r="M1717" s="157"/>
      <c r="N1717" s="157"/>
      <c r="O1717" s="157"/>
      <c r="P1717" s="157"/>
      <c r="Q1717" s="157"/>
      <c r="R1717" s="157"/>
      <c r="S1717" s="157"/>
      <c r="T1717" s="157"/>
      <c r="U1717" s="157"/>
      <c r="V1717" s="158"/>
      <c r="W1717" s="182"/>
      <c r="X1717" s="1"/>
      <c r="Y1717" s="78">
        <f t="shared" si="215"/>
        <v>1229400000</v>
      </c>
      <c r="Z1717" s="78">
        <f t="shared" si="216"/>
        <v>935000000</v>
      </c>
      <c r="AA1717" s="78">
        <f t="shared" ref="AA1717:AA1780" si="221">DB1717+DD1717</f>
        <v>0</v>
      </c>
      <c r="AB1717" s="78">
        <f t="shared" si="217"/>
        <v>63011200</v>
      </c>
      <c r="AC1717" s="78"/>
      <c r="AD1717" s="78">
        <v>0</v>
      </c>
      <c r="AE1717" s="80">
        <f t="shared" si="219"/>
        <v>2227411200</v>
      </c>
      <c r="AF1717" s="82">
        <v>0</v>
      </c>
      <c r="AG1717" s="69">
        <v>40500</v>
      </c>
      <c r="AH1717" s="84"/>
      <c r="AI1717" s="69" t="s">
        <v>2009</v>
      </c>
      <c r="AJ1717" s="25" t="s">
        <v>2010</v>
      </c>
      <c r="AK1717" s="88" t="s">
        <v>783</v>
      </c>
      <c r="AL1717" s="176" t="s">
        <v>1831</v>
      </c>
      <c r="AM1717" s="173" t="s">
        <v>1658</v>
      </c>
      <c r="AN1717" s="159"/>
      <c r="AO1717" s="160"/>
      <c r="AP1717" s="161"/>
      <c r="AQ1717" s="160"/>
      <c r="AR1717" s="160"/>
      <c r="AS1717" s="160"/>
      <c r="AT1717" s="160"/>
      <c r="AU1717" s="160"/>
      <c r="AV1717" s="160"/>
      <c r="AW1717" s="160"/>
      <c r="AX1717" s="160"/>
      <c r="AY1717" s="160"/>
      <c r="AZ1717" s="160">
        <v>5000</v>
      </c>
      <c r="BA1717" s="160">
        <f>5000*56000</f>
        <v>280000000</v>
      </c>
      <c r="BB1717" s="160"/>
      <c r="BC1717" s="160"/>
      <c r="BD1717" s="160"/>
      <c r="BE1717" s="160"/>
      <c r="BF1717" s="160"/>
      <c r="BG1717" s="160"/>
      <c r="BH1717" s="160"/>
      <c r="BI1717" s="160"/>
      <c r="BJ1717" s="160"/>
      <c r="BK1717" s="160"/>
      <c r="BL1717" s="160"/>
      <c r="BM1717" s="160"/>
      <c r="BN1717" s="160"/>
      <c r="BO1717" s="160"/>
      <c r="BP1717" s="160"/>
      <c r="BQ1717" s="160"/>
      <c r="BR1717" s="160"/>
      <c r="BS1717" s="160"/>
      <c r="BT1717" s="160"/>
      <c r="BU1717" s="160"/>
      <c r="BV1717" s="160"/>
      <c r="BW1717" s="160"/>
      <c r="BX1717" s="160"/>
      <c r="BY1717" s="160"/>
      <c r="BZ1717" s="160">
        <v>200</v>
      </c>
      <c r="CA1717" s="160">
        <f>200*522000</f>
        <v>104400000</v>
      </c>
      <c r="CB1717" s="160"/>
      <c r="CC1717" s="160"/>
      <c r="CD1717" s="160"/>
      <c r="CE1717" s="160"/>
      <c r="CF1717" s="160"/>
      <c r="CG1717" s="160"/>
      <c r="CH1717" s="160"/>
      <c r="CI1717" s="160"/>
      <c r="CJ1717" s="160">
        <v>2000</v>
      </c>
      <c r="CK1717" s="160">
        <f>2000*21000</f>
        <v>42000000</v>
      </c>
      <c r="CL1717" s="160"/>
      <c r="CM1717" s="160"/>
      <c r="CN1717" s="160"/>
      <c r="CO1717" s="160"/>
      <c r="CP1717" s="162">
        <v>11000</v>
      </c>
      <c r="CQ1717" s="163">
        <f>11000*37000</f>
        <v>407000000</v>
      </c>
      <c r="CR1717" s="162">
        <v>11000</v>
      </c>
      <c r="CS1717" s="163">
        <f>11000*36000</f>
        <v>396000000</v>
      </c>
      <c r="CT1717" s="162"/>
      <c r="CU1717" s="163"/>
      <c r="CV1717" s="164">
        <f t="shared" si="218"/>
        <v>1229400000</v>
      </c>
      <c r="CW1717" s="165">
        <v>70000</v>
      </c>
      <c r="CX1717" s="166">
        <f>70000*900.16</f>
        <v>63011200</v>
      </c>
      <c r="CY1717" s="167">
        <v>11000</v>
      </c>
      <c r="CZ1717" s="168">
        <f>11000*85000</f>
        <v>935000000</v>
      </c>
      <c r="DA1717" s="169"/>
      <c r="DB1717" s="168"/>
      <c r="DC1717" s="165"/>
      <c r="DD1717" s="166"/>
      <c r="DE1717" s="71"/>
      <c r="DF1717" s="170"/>
      <c r="EO1717" s="375" t="str">
        <f t="shared" si="220"/>
        <v>SANTANDER_DEPARTAMENTO</v>
      </c>
      <c r="EP1717" s="376"/>
      <c r="EQ1717" s="376"/>
      <c r="ER1717" s="377"/>
      <c r="ES1717" s="376"/>
      <c r="ET1717" s="376"/>
      <c r="EU1717" s="376"/>
    </row>
    <row r="1718" spans="1:151" s="171" customFormat="1" ht="36" x14ac:dyDescent="0.2">
      <c r="A1718" s="242">
        <v>40497</v>
      </c>
      <c r="B1718" s="222" t="s">
        <v>2427</v>
      </c>
      <c r="C1718" s="222" t="s">
        <v>2255</v>
      </c>
      <c r="D1718" s="430" t="s">
        <v>837</v>
      </c>
      <c r="E1718" s="107" t="str">
        <f>VLOOKUP(B1718&amp;C1718,Divipola!$C$2:$F$1138,4,FALSE)</f>
        <v>68307</v>
      </c>
      <c r="F1718" s="333"/>
      <c r="G1718" s="275"/>
      <c r="H1718" s="157"/>
      <c r="I1718" s="157"/>
      <c r="J1718" s="157">
        <f>4100-525</f>
        <v>3575</v>
      </c>
      <c r="K1718" s="157">
        <f>820-105</f>
        <v>715</v>
      </c>
      <c r="L1718" s="157">
        <v>1</v>
      </c>
      <c r="M1718" s="157">
        <f>749-36</f>
        <v>713</v>
      </c>
      <c r="N1718" s="157">
        <v>2</v>
      </c>
      <c r="O1718" s="157"/>
      <c r="P1718" s="157"/>
      <c r="Q1718" s="157"/>
      <c r="R1718" s="157"/>
      <c r="S1718" s="157"/>
      <c r="T1718" s="157"/>
      <c r="U1718" s="157"/>
      <c r="V1718" s="158">
        <v>200</v>
      </c>
      <c r="W1718" s="182"/>
      <c r="X1718" s="1"/>
      <c r="Y1718" s="78">
        <f t="shared" si="215"/>
        <v>0</v>
      </c>
      <c r="Z1718" s="78">
        <f t="shared" si="216"/>
        <v>0</v>
      </c>
      <c r="AA1718" s="78">
        <f t="shared" si="221"/>
        <v>0</v>
      </c>
      <c r="AB1718" s="78">
        <f t="shared" si="217"/>
        <v>0</v>
      </c>
      <c r="AC1718" s="78"/>
      <c r="AD1718" s="78">
        <v>0</v>
      </c>
      <c r="AE1718" s="80">
        <f t="shared" si="219"/>
        <v>0</v>
      </c>
      <c r="AF1718" s="82">
        <v>0</v>
      </c>
      <c r="AG1718" s="69">
        <v>40497</v>
      </c>
      <c r="AH1718" s="84"/>
      <c r="AI1718" s="69" t="s">
        <v>1984</v>
      </c>
      <c r="AJ1718" s="70" t="s">
        <v>1985</v>
      </c>
      <c r="AK1718" s="65"/>
      <c r="AL1718" s="176" t="s">
        <v>1257</v>
      </c>
      <c r="AM1718" s="173" t="s">
        <v>2874</v>
      </c>
      <c r="AN1718" s="159"/>
      <c r="AO1718" s="160"/>
      <c r="AP1718" s="161"/>
      <c r="AQ1718" s="160"/>
      <c r="AR1718" s="160"/>
      <c r="AS1718" s="160"/>
      <c r="AT1718" s="160"/>
      <c r="AU1718" s="160"/>
      <c r="AV1718" s="160"/>
      <c r="AW1718" s="160"/>
      <c r="AX1718" s="160"/>
      <c r="AY1718" s="160"/>
      <c r="AZ1718" s="160"/>
      <c r="BA1718" s="160"/>
      <c r="BB1718" s="160"/>
      <c r="BC1718" s="160"/>
      <c r="BD1718" s="160"/>
      <c r="BE1718" s="160"/>
      <c r="BF1718" s="160"/>
      <c r="BG1718" s="160"/>
      <c r="BH1718" s="160"/>
      <c r="BI1718" s="160"/>
      <c r="BJ1718" s="160"/>
      <c r="BK1718" s="160"/>
      <c r="BL1718" s="160"/>
      <c r="BM1718" s="160"/>
      <c r="BN1718" s="160"/>
      <c r="BO1718" s="160"/>
      <c r="BP1718" s="160"/>
      <c r="BQ1718" s="160"/>
      <c r="BR1718" s="160"/>
      <c r="BS1718" s="160"/>
      <c r="BT1718" s="160"/>
      <c r="BU1718" s="160"/>
      <c r="BV1718" s="160"/>
      <c r="BW1718" s="160"/>
      <c r="BX1718" s="160"/>
      <c r="BY1718" s="160"/>
      <c r="BZ1718" s="160"/>
      <c r="CA1718" s="160"/>
      <c r="CB1718" s="160"/>
      <c r="CC1718" s="160"/>
      <c r="CD1718" s="160"/>
      <c r="CE1718" s="160"/>
      <c r="CF1718" s="160"/>
      <c r="CG1718" s="160"/>
      <c r="CH1718" s="160"/>
      <c r="CI1718" s="160"/>
      <c r="CJ1718" s="160"/>
      <c r="CK1718" s="160"/>
      <c r="CL1718" s="160"/>
      <c r="CM1718" s="160"/>
      <c r="CN1718" s="160"/>
      <c r="CO1718" s="160"/>
      <c r="CP1718" s="162"/>
      <c r="CQ1718" s="163"/>
      <c r="CR1718" s="162"/>
      <c r="CS1718" s="163"/>
      <c r="CT1718" s="162"/>
      <c r="CU1718" s="163"/>
      <c r="CV1718" s="164">
        <f t="shared" si="218"/>
        <v>0</v>
      </c>
      <c r="CW1718" s="165"/>
      <c r="CX1718" s="166"/>
      <c r="CY1718" s="167"/>
      <c r="CZ1718" s="168"/>
      <c r="DA1718" s="169"/>
      <c r="DB1718" s="168"/>
      <c r="DC1718" s="165"/>
      <c r="DD1718" s="166"/>
      <c r="DE1718" s="71"/>
      <c r="DF1718" s="170"/>
      <c r="EO1718" s="375" t="str">
        <f t="shared" si="220"/>
        <v>SANTANDER_GIRON</v>
      </c>
      <c r="EP1718" s="376"/>
      <c r="EQ1718" s="376"/>
      <c r="ER1718" s="377"/>
      <c r="ES1718" s="376"/>
      <c r="ET1718" s="376"/>
      <c r="EU1718" s="376"/>
    </row>
    <row r="1719" spans="1:151" s="171" customFormat="1" ht="38.25" x14ac:dyDescent="0.2">
      <c r="A1719" s="242">
        <v>40497</v>
      </c>
      <c r="B1719" s="222" t="s">
        <v>2427</v>
      </c>
      <c r="C1719" s="222" t="s">
        <v>2655</v>
      </c>
      <c r="D1719" s="430" t="s">
        <v>837</v>
      </c>
      <c r="E1719" s="107" t="str">
        <f>VLOOKUP(B1719&amp;C1719,Divipola!$C$2:$F$1138,4,FALSE)</f>
        <v>68615</v>
      </c>
      <c r="F1719" s="333"/>
      <c r="G1719" s="275"/>
      <c r="H1719" s="157"/>
      <c r="I1719" s="157"/>
      <c r="J1719" s="157">
        <v>15</v>
      </c>
      <c r="K1719" s="157">
        <v>3</v>
      </c>
      <c r="L1719" s="157"/>
      <c r="M1719" s="157"/>
      <c r="N1719" s="157"/>
      <c r="O1719" s="157"/>
      <c r="P1719" s="157"/>
      <c r="Q1719" s="157"/>
      <c r="R1719" s="157"/>
      <c r="S1719" s="157"/>
      <c r="T1719" s="157"/>
      <c r="U1719" s="157"/>
      <c r="V1719" s="158"/>
      <c r="W1719" s="182"/>
      <c r="X1719" s="1"/>
      <c r="Y1719" s="78">
        <f t="shared" si="215"/>
        <v>0</v>
      </c>
      <c r="Z1719" s="78">
        <f t="shared" si="216"/>
        <v>0</v>
      </c>
      <c r="AA1719" s="78">
        <f t="shared" si="221"/>
        <v>0</v>
      </c>
      <c r="AB1719" s="78">
        <f t="shared" si="217"/>
        <v>0</v>
      </c>
      <c r="AC1719" s="78"/>
      <c r="AD1719" s="78">
        <v>0</v>
      </c>
      <c r="AE1719" s="80">
        <f t="shared" si="219"/>
        <v>0</v>
      </c>
      <c r="AF1719" s="82">
        <v>0</v>
      </c>
      <c r="AG1719" s="69">
        <v>40498</v>
      </c>
      <c r="AH1719" s="84"/>
      <c r="AI1719" s="69" t="s">
        <v>1984</v>
      </c>
      <c r="AJ1719" s="25" t="s">
        <v>1985</v>
      </c>
      <c r="AK1719" s="65"/>
      <c r="AL1719" s="176" t="s">
        <v>2851</v>
      </c>
      <c r="AM1719" s="173" t="s">
        <v>2859</v>
      </c>
      <c r="AN1719" s="159"/>
      <c r="AO1719" s="160"/>
      <c r="AP1719" s="161"/>
      <c r="AQ1719" s="160"/>
      <c r="AR1719" s="160"/>
      <c r="AS1719" s="160"/>
      <c r="AT1719" s="160"/>
      <c r="AU1719" s="160"/>
      <c r="AV1719" s="160"/>
      <c r="AW1719" s="160"/>
      <c r="AX1719" s="160"/>
      <c r="AY1719" s="160"/>
      <c r="AZ1719" s="160"/>
      <c r="BA1719" s="160"/>
      <c r="BB1719" s="160"/>
      <c r="BC1719" s="160"/>
      <c r="BD1719" s="160"/>
      <c r="BE1719" s="160"/>
      <c r="BF1719" s="160"/>
      <c r="BG1719" s="160"/>
      <c r="BH1719" s="160"/>
      <c r="BI1719" s="160"/>
      <c r="BJ1719" s="160"/>
      <c r="BK1719" s="160"/>
      <c r="BL1719" s="160"/>
      <c r="BM1719" s="160"/>
      <c r="BN1719" s="160"/>
      <c r="BO1719" s="160"/>
      <c r="BP1719" s="160"/>
      <c r="BQ1719" s="160"/>
      <c r="BR1719" s="160"/>
      <c r="BS1719" s="160"/>
      <c r="BT1719" s="160"/>
      <c r="BU1719" s="160"/>
      <c r="BV1719" s="160"/>
      <c r="BW1719" s="160"/>
      <c r="BX1719" s="160"/>
      <c r="BY1719" s="160"/>
      <c r="BZ1719" s="160"/>
      <c r="CA1719" s="160"/>
      <c r="CB1719" s="160"/>
      <c r="CC1719" s="160"/>
      <c r="CD1719" s="160"/>
      <c r="CE1719" s="160"/>
      <c r="CF1719" s="160"/>
      <c r="CG1719" s="160"/>
      <c r="CH1719" s="160"/>
      <c r="CI1719" s="160"/>
      <c r="CJ1719" s="160"/>
      <c r="CK1719" s="160"/>
      <c r="CL1719" s="160"/>
      <c r="CM1719" s="160"/>
      <c r="CN1719" s="160"/>
      <c r="CO1719" s="160"/>
      <c r="CP1719" s="162"/>
      <c r="CQ1719" s="163"/>
      <c r="CR1719" s="162"/>
      <c r="CS1719" s="163"/>
      <c r="CT1719" s="162"/>
      <c r="CU1719" s="163"/>
      <c r="CV1719" s="164">
        <f t="shared" si="218"/>
        <v>0</v>
      </c>
      <c r="CW1719" s="165"/>
      <c r="CX1719" s="166"/>
      <c r="CY1719" s="167"/>
      <c r="CZ1719" s="168"/>
      <c r="DA1719" s="169"/>
      <c r="DB1719" s="168"/>
      <c r="DC1719" s="165"/>
      <c r="DD1719" s="166"/>
      <c r="DE1719" s="71"/>
      <c r="DF1719" s="170"/>
      <c r="EO1719" s="375" t="str">
        <f t="shared" si="220"/>
        <v>SANTANDER_RIONEGRO</v>
      </c>
      <c r="EP1719" s="376"/>
      <c r="EQ1719" s="376"/>
      <c r="ER1719" s="377"/>
      <c r="ES1719" s="376"/>
      <c r="ET1719" s="376"/>
      <c r="EU1719" s="376"/>
    </row>
    <row r="1720" spans="1:151" s="171" customFormat="1" ht="38.25" x14ac:dyDescent="0.2">
      <c r="A1720" s="242">
        <v>40497.599305555559</v>
      </c>
      <c r="B1720" s="107" t="s">
        <v>6305</v>
      </c>
      <c r="C1720" s="107" t="s">
        <v>6305</v>
      </c>
      <c r="D1720" s="430" t="s">
        <v>837</v>
      </c>
      <c r="E1720" s="107" t="str">
        <f>VLOOKUP(B1720&amp;C1720,Divipola!$C$2:$F$1138,4,FALSE)</f>
        <v>11001</v>
      </c>
      <c r="F1720" s="333"/>
      <c r="G1720" s="221"/>
      <c r="H1720" s="157"/>
      <c r="I1720" s="157"/>
      <c r="J1720" s="157"/>
      <c r="K1720" s="414"/>
      <c r="L1720" s="157"/>
      <c r="M1720" s="157"/>
      <c r="N1720" s="157"/>
      <c r="O1720" s="157"/>
      <c r="P1720" s="157"/>
      <c r="Q1720" s="157"/>
      <c r="R1720" s="157"/>
      <c r="S1720" s="157"/>
      <c r="T1720" s="157"/>
      <c r="U1720" s="157"/>
      <c r="V1720" s="158"/>
      <c r="W1720" s="182"/>
      <c r="X1720" s="1"/>
      <c r="Y1720" s="78">
        <f t="shared" si="215"/>
        <v>0</v>
      </c>
      <c r="Z1720" s="78">
        <f t="shared" si="216"/>
        <v>0</v>
      </c>
      <c r="AA1720" s="78">
        <f t="shared" si="221"/>
        <v>0</v>
      </c>
      <c r="AB1720" s="78">
        <f t="shared" si="217"/>
        <v>0</v>
      </c>
      <c r="AC1720" s="78"/>
      <c r="AD1720" s="78">
        <v>0</v>
      </c>
      <c r="AE1720" s="80">
        <f t="shared" si="219"/>
        <v>0</v>
      </c>
      <c r="AF1720" s="82">
        <v>0</v>
      </c>
      <c r="AG1720" s="306">
        <v>40624</v>
      </c>
      <c r="AH1720" s="307"/>
      <c r="AI1720" s="306" t="s">
        <v>1984</v>
      </c>
      <c r="AJ1720" s="308" t="s">
        <v>1985</v>
      </c>
      <c r="AK1720" s="309"/>
      <c r="AL1720" s="310" t="s">
        <v>1257</v>
      </c>
      <c r="AM1720" s="419" t="s">
        <v>3761</v>
      </c>
      <c r="AN1720" s="159"/>
      <c r="AO1720" s="160"/>
      <c r="AP1720" s="161"/>
      <c r="AQ1720" s="160"/>
      <c r="AR1720" s="160"/>
      <c r="AS1720" s="160"/>
      <c r="AT1720" s="160"/>
      <c r="AU1720" s="160"/>
      <c r="AV1720" s="160"/>
      <c r="AW1720" s="160"/>
      <c r="AX1720" s="160"/>
      <c r="AY1720" s="160"/>
      <c r="AZ1720" s="160"/>
      <c r="BA1720" s="160"/>
      <c r="BB1720" s="160"/>
      <c r="BC1720" s="160"/>
      <c r="BD1720" s="160"/>
      <c r="BE1720" s="160"/>
      <c r="BF1720" s="160"/>
      <c r="BG1720" s="160"/>
      <c r="BH1720" s="160"/>
      <c r="BI1720" s="160"/>
      <c r="BJ1720" s="160"/>
      <c r="BK1720" s="160"/>
      <c r="BL1720" s="160"/>
      <c r="BM1720" s="160"/>
      <c r="BN1720" s="160"/>
      <c r="BO1720" s="160"/>
      <c r="BP1720" s="160"/>
      <c r="BQ1720" s="160"/>
      <c r="BR1720" s="160"/>
      <c r="BS1720" s="160"/>
      <c r="BT1720" s="160"/>
      <c r="BU1720" s="160"/>
      <c r="BV1720" s="160"/>
      <c r="BW1720" s="160"/>
      <c r="BX1720" s="160"/>
      <c r="BY1720" s="160"/>
      <c r="BZ1720" s="160"/>
      <c r="CA1720" s="160"/>
      <c r="CB1720" s="160"/>
      <c r="CC1720" s="160"/>
      <c r="CD1720" s="160"/>
      <c r="CE1720" s="160"/>
      <c r="CF1720" s="160"/>
      <c r="CG1720" s="160"/>
      <c r="CH1720" s="160"/>
      <c r="CI1720" s="160"/>
      <c r="CJ1720" s="160"/>
      <c r="CK1720" s="160"/>
      <c r="CL1720" s="160"/>
      <c r="CM1720" s="160"/>
      <c r="CN1720" s="160"/>
      <c r="CO1720" s="160"/>
      <c r="CP1720" s="162"/>
      <c r="CQ1720" s="163"/>
      <c r="CR1720" s="162"/>
      <c r="CS1720" s="163"/>
      <c r="CT1720" s="162"/>
      <c r="CU1720" s="163"/>
      <c r="CV1720" s="164">
        <f t="shared" si="218"/>
        <v>0</v>
      </c>
      <c r="CW1720" s="165"/>
      <c r="CX1720" s="166"/>
      <c r="CY1720" s="167"/>
      <c r="CZ1720" s="168"/>
      <c r="DA1720" s="169"/>
      <c r="DB1720" s="168"/>
      <c r="DC1720" s="165"/>
      <c r="DD1720" s="166"/>
      <c r="DE1720" s="71"/>
      <c r="DF1720" s="170"/>
      <c r="EO1720" s="375" t="str">
        <f t="shared" si="220"/>
        <v>BOGOTA, D.C._BOGOTA, D.C.</v>
      </c>
      <c r="EP1720" s="376"/>
      <c r="EQ1720" s="376"/>
      <c r="ER1720" s="377"/>
      <c r="ES1720" s="376"/>
      <c r="ET1720" s="376"/>
      <c r="EU1720" s="376"/>
    </row>
    <row r="1721" spans="1:151" s="171" customFormat="1" ht="38.25" x14ac:dyDescent="0.2">
      <c r="A1721" s="242">
        <v>40497.709027777775</v>
      </c>
      <c r="B1721" s="107" t="s">
        <v>6305</v>
      </c>
      <c r="C1721" s="107" t="s">
        <v>6305</v>
      </c>
      <c r="D1721" s="430" t="s">
        <v>837</v>
      </c>
      <c r="E1721" s="107" t="str">
        <f>VLOOKUP(B1721&amp;C1721,Divipola!$C$2:$F$1138,4,FALSE)</f>
        <v>11001</v>
      </c>
      <c r="F1721" s="333"/>
      <c r="G1721" s="221"/>
      <c r="H1721" s="157"/>
      <c r="I1721" s="157"/>
      <c r="J1721" s="157"/>
      <c r="K1721" s="414"/>
      <c r="L1721" s="157"/>
      <c r="M1721" s="157"/>
      <c r="N1721" s="157"/>
      <c r="O1721" s="157"/>
      <c r="P1721" s="157"/>
      <c r="Q1721" s="157"/>
      <c r="R1721" s="157"/>
      <c r="S1721" s="157"/>
      <c r="T1721" s="157"/>
      <c r="U1721" s="157"/>
      <c r="V1721" s="158"/>
      <c r="W1721" s="182"/>
      <c r="X1721" s="1"/>
      <c r="Y1721" s="78">
        <f t="shared" si="215"/>
        <v>0</v>
      </c>
      <c r="Z1721" s="78">
        <f t="shared" si="216"/>
        <v>0</v>
      </c>
      <c r="AA1721" s="78">
        <f t="shared" si="221"/>
        <v>0</v>
      </c>
      <c r="AB1721" s="78">
        <f t="shared" si="217"/>
        <v>0</v>
      </c>
      <c r="AC1721" s="78"/>
      <c r="AD1721" s="78">
        <v>0</v>
      </c>
      <c r="AE1721" s="80">
        <f t="shared" si="219"/>
        <v>0</v>
      </c>
      <c r="AF1721" s="82">
        <v>0</v>
      </c>
      <c r="AG1721" s="306">
        <v>40624</v>
      </c>
      <c r="AH1721" s="307"/>
      <c r="AI1721" s="306" t="s">
        <v>1984</v>
      </c>
      <c r="AJ1721" s="308" t="s">
        <v>1985</v>
      </c>
      <c r="AK1721" s="309"/>
      <c r="AL1721" s="310" t="s">
        <v>1257</v>
      </c>
      <c r="AM1721" s="419" t="s">
        <v>3762</v>
      </c>
      <c r="AN1721" s="159"/>
      <c r="AO1721" s="160"/>
      <c r="AP1721" s="161"/>
      <c r="AQ1721" s="160"/>
      <c r="AR1721" s="160"/>
      <c r="AS1721" s="160"/>
      <c r="AT1721" s="160"/>
      <c r="AU1721" s="160"/>
      <c r="AV1721" s="160"/>
      <c r="AW1721" s="160"/>
      <c r="AX1721" s="160"/>
      <c r="AY1721" s="160"/>
      <c r="AZ1721" s="160"/>
      <c r="BA1721" s="160"/>
      <c r="BB1721" s="160"/>
      <c r="BC1721" s="160"/>
      <c r="BD1721" s="160"/>
      <c r="BE1721" s="160"/>
      <c r="BF1721" s="160"/>
      <c r="BG1721" s="160"/>
      <c r="BH1721" s="160"/>
      <c r="BI1721" s="160"/>
      <c r="BJ1721" s="160"/>
      <c r="BK1721" s="160"/>
      <c r="BL1721" s="160"/>
      <c r="BM1721" s="160"/>
      <c r="BN1721" s="160"/>
      <c r="BO1721" s="160"/>
      <c r="BP1721" s="160"/>
      <c r="BQ1721" s="160"/>
      <c r="BR1721" s="160"/>
      <c r="BS1721" s="160"/>
      <c r="BT1721" s="160"/>
      <c r="BU1721" s="160"/>
      <c r="BV1721" s="160"/>
      <c r="BW1721" s="160"/>
      <c r="BX1721" s="160"/>
      <c r="BY1721" s="160"/>
      <c r="BZ1721" s="160"/>
      <c r="CA1721" s="160"/>
      <c r="CB1721" s="160"/>
      <c r="CC1721" s="160"/>
      <c r="CD1721" s="160"/>
      <c r="CE1721" s="160"/>
      <c r="CF1721" s="160"/>
      <c r="CG1721" s="160"/>
      <c r="CH1721" s="160"/>
      <c r="CI1721" s="160"/>
      <c r="CJ1721" s="160"/>
      <c r="CK1721" s="160"/>
      <c r="CL1721" s="160"/>
      <c r="CM1721" s="160"/>
      <c r="CN1721" s="160"/>
      <c r="CO1721" s="160"/>
      <c r="CP1721" s="162"/>
      <c r="CQ1721" s="163"/>
      <c r="CR1721" s="162"/>
      <c r="CS1721" s="163"/>
      <c r="CT1721" s="162"/>
      <c r="CU1721" s="163"/>
      <c r="CV1721" s="164">
        <f t="shared" si="218"/>
        <v>0</v>
      </c>
      <c r="CW1721" s="165"/>
      <c r="CX1721" s="166"/>
      <c r="CY1721" s="167"/>
      <c r="CZ1721" s="168"/>
      <c r="DA1721" s="169"/>
      <c r="DB1721" s="168"/>
      <c r="DC1721" s="165"/>
      <c r="DD1721" s="166"/>
      <c r="DE1721" s="71"/>
      <c r="DF1721" s="170"/>
      <c r="EO1721" s="375" t="str">
        <f t="shared" si="220"/>
        <v>BOGOTA, D.C._BOGOTA, D.C.</v>
      </c>
      <c r="EP1721" s="376"/>
      <c r="EQ1721" s="376"/>
      <c r="ER1721" s="377"/>
      <c r="ES1721" s="376"/>
      <c r="ET1721" s="376"/>
      <c r="EU1721" s="376"/>
    </row>
    <row r="1722" spans="1:151" s="171" customFormat="1" ht="25.5" x14ac:dyDescent="0.2">
      <c r="A1722" s="242">
        <v>40498</v>
      </c>
      <c r="B1722" s="222" t="s">
        <v>828</v>
      </c>
      <c r="C1722" s="222" t="s">
        <v>2358</v>
      </c>
      <c r="D1722" s="430" t="s">
        <v>837</v>
      </c>
      <c r="E1722" s="107" t="str">
        <f>VLOOKUP(B1722&amp;C1722,Divipola!$C$2:$F$1138,4,FALSE)</f>
        <v>15455</v>
      </c>
      <c r="F1722" s="333"/>
      <c r="G1722" s="221"/>
      <c r="H1722" s="157"/>
      <c r="I1722" s="157"/>
      <c r="J1722" s="157">
        <f>32*5</f>
        <v>160</v>
      </c>
      <c r="K1722" s="157">
        <v>32</v>
      </c>
      <c r="L1722" s="157"/>
      <c r="M1722" s="157">
        <f>90-58</f>
        <v>32</v>
      </c>
      <c r="N1722" s="157"/>
      <c r="O1722" s="157"/>
      <c r="P1722" s="157"/>
      <c r="Q1722" s="157"/>
      <c r="R1722" s="157"/>
      <c r="S1722" s="157"/>
      <c r="T1722" s="157"/>
      <c r="U1722" s="157"/>
      <c r="V1722" s="158"/>
      <c r="W1722" s="182"/>
      <c r="X1722" s="1"/>
      <c r="Y1722" s="78">
        <f t="shared" si="215"/>
        <v>0</v>
      </c>
      <c r="Z1722" s="78">
        <f t="shared" si="216"/>
        <v>0</v>
      </c>
      <c r="AA1722" s="78">
        <f t="shared" si="221"/>
        <v>0</v>
      </c>
      <c r="AB1722" s="78">
        <f t="shared" si="217"/>
        <v>0</v>
      </c>
      <c r="AC1722" s="78"/>
      <c r="AD1722" s="78">
        <v>0</v>
      </c>
      <c r="AE1722" s="80">
        <f t="shared" si="219"/>
        <v>0</v>
      </c>
      <c r="AF1722" s="82">
        <v>0</v>
      </c>
      <c r="AG1722" s="69">
        <v>40499</v>
      </c>
      <c r="AH1722" s="84"/>
      <c r="AI1722" s="69" t="s">
        <v>1984</v>
      </c>
      <c r="AJ1722" s="25" t="s">
        <v>1985</v>
      </c>
      <c r="AK1722" s="65"/>
      <c r="AL1722" s="176" t="s">
        <v>1257</v>
      </c>
      <c r="AM1722" s="173" t="s">
        <v>2844</v>
      </c>
      <c r="AN1722" s="159"/>
      <c r="AO1722" s="160"/>
      <c r="AP1722" s="161"/>
      <c r="AQ1722" s="160"/>
      <c r="AR1722" s="160"/>
      <c r="AS1722" s="160"/>
      <c r="AT1722" s="160"/>
      <c r="AU1722" s="160"/>
      <c r="AV1722" s="160"/>
      <c r="AW1722" s="160"/>
      <c r="AX1722" s="160"/>
      <c r="AY1722" s="160"/>
      <c r="AZ1722" s="160"/>
      <c r="BA1722" s="160"/>
      <c r="BB1722" s="160"/>
      <c r="BC1722" s="160"/>
      <c r="BD1722" s="160"/>
      <c r="BE1722" s="160"/>
      <c r="BF1722" s="160"/>
      <c r="BG1722" s="160"/>
      <c r="BH1722" s="160"/>
      <c r="BI1722" s="160"/>
      <c r="BJ1722" s="160"/>
      <c r="BK1722" s="160"/>
      <c r="BL1722" s="160"/>
      <c r="BM1722" s="160"/>
      <c r="BN1722" s="160"/>
      <c r="BO1722" s="160"/>
      <c r="BP1722" s="160"/>
      <c r="BQ1722" s="160"/>
      <c r="BR1722" s="160"/>
      <c r="BS1722" s="160"/>
      <c r="BT1722" s="160"/>
      <c r="BU1722" s="160"/>
      <c r="BV1722" s="160"/>
      <c r="BW1722" s="160"/>
      <c r="BX1722" s="160"/>
      <c r="BY1722" s="160"/>
      <c r="BZ1722" s="160"/>
      <c r="CA1722" s="160"/>
      <c r="CB1722" s="160"/>
      <c r="CC1722" s="160"/>
      <c r="CD1722" s="160"/>
      <c r="CE1722" s="160"/>
      <c r="CF1722" s="160"/>
      <c r="CG1722" s="160"/>
      <c r="CH1722" s="160"/>
      <c r="CI1722" s="160"/>
      <c r="CJ1722" s="160"/>
      <c r="CK1722" s="160"/>
      <c r="CL1722" s="160"/>
      <c r="CM1722" s="160"/>
      <c r="CN1722" s="160"/>
      <c r="CO1722" s="160"/>
      <c r="CP1722" s="162"/>
      <c r="CQ1722" s="163"/>
      <c r="CR1722" s="162"/>
      <c r="CS1722" s="163"/>
      <c r="CT1722" s="162"/>
      <c r="CU1722" s="163"/>
      <c r="CV1722" s="164">
        <f t="shared" si="218"/>
        <v>0</v>
      </c>
      <c r="CW1722" s="165"/>
      <c r="CX1722" s="166"/>
      <c r="CY1722" s="167"/>
      <c r="CZ1722" s="168"/>
      <c r="DA1722" s="169"/>
      <c r="DB1722" s="168"/>
      <c r="DC1722" s="165"/>
      <c r="DD1722" s="166"/>
      <c r="DE1722" s="71"/>
      <c r="DF1722" s="170"/>
      <c r="EO1722" s="375" t="str">
        <f t="shared" si="220"/>
        <v>BOYACA_MIRAFLORES</v>
      </c>
      <c r="EP1722" s="376"/>
      <c r="EQ1722" s="376"/>
      <c r="ER1722" s="377"/>
      <c r="ES1722" s="376"/>
      <c r="ET1722" s="376"/>
      <c r="EU1722" s="376"/>
    </row>
    <row r="1723" spans="1:151" s="171" customFormat="1" ht="25.5" x14ac:dyDescent="0.2">
      <c r="A1723" s="242">
        <v>40498</v>
      </c>
      <c r="B1723" s="222" t="s">
        <v>828</v>
      </c>
      <c r="C1723" s="222" t="s">
        <v>365</v>
      </c>
      <c r="D1723" s="430" t="s">
        <v>2307</v>
      </c>
      <c r="E1723" s="107" t="str">
        <f>VLOOKUP(B1723&amp;C1723,Divipola!$C$2:$F$1138,4,FALSE)</f>
        <v>15531</v>
      </c>
      <c r="F1723" s="333"/>
      <c r="G1723" s="221"/>
      <c r="H1723" s="157"/>
      <c r="I1723" s="157"/>
      <c r="J1723" s="157">
        <f>78*5</f>
        <v>390</v>
      </c>
      <c r="K1723" s="157">
        <v>78</v>
      </c>
      <c r="L1723" s="157"/>
      <c r="M1723" s="157">
        <v>78</v>
      </c>
      <c r="N1723" s="157"/>
      <c r="O1723" s="157"/>
      <c r="P1723" s="157"/>
      <c r="Q1723" s="157"/>
      <c r="R1723" s="157"/>
      <c r="S1723" s="157"/>
      <c r="T1723" s="157"/>
      <c r="U1723" s="157"/>
      <c r="V1723" s="158"/>
      <c r="W1723" s="182"/>
      <c r="X1723" s="1"/>
      <c r="Y1723" s="78">
        <f t="shared" si="215"/>
        <v>0</v>
      </c>
      <c r="Z1723" s="78">
        <f t="shared" si="216"/>
        <v>0</v>
      </c>
      <c r="AA1723" s="78">
        <f t="shared" si="221"/>
        <v>0</v>
      </c>
      <c r="AB1723" s="78">
        <f t="shared" si="217"/>
        <v>0</v>
      </c>
      <c r="AC1723" s="78"/>
      <c r="AD1723" s="78">
        <v>0</v>
      </c>
      <c r="AE1723" s="80">
        <f t="shared" si="219"/>
        <v>0</v>
      </c>
      <c r="AF1723" s="82">
        <v>0</v>
      </c>
      <c r="AG1723" s="69">
        <v>40578</v>
      </c>
      <c r="AH1723" s="84"/>
      <c r="AI1723" s="69" t="s">
        <v>1984</v>
      </c>
      <c r="AJ1723" s="25" t="s">
        <v>1985</v>
      </c>
      <c r="AK1723" s="65"/>
      <c r="AL1723" s="176" t="s">
        <v>1257</v>
      </c>
      <c r="AM1723" s="173" t="s">
        <v>349</v>
      </c>
      <c r="AN1723" s="159"/>
      <c r="AO1723" s="160"/>
      <c r="AP1723" s="161"/>
      <c r="AQ1723" s="160"/>
      <c r="AR1723" s="160"/>
      <c r="AS1723" s="160"/>
      <c r="AT1723" s="160"/>
      <c r="AU1723" s="160"/>
      <c r="AV1723" s="160"/>
      <c r="AW1723" s="160"/>
      <c r="AX1723" s="160"/>
      <c r="AY1723" s="160"/>
      <c r="AZ1723" s="160"/>
      <c r="BA1723" s="160"/>
      <c r="BB1723" s="160"/>
      <c r="BC1723" s="160"/>
      <c r="BD1723" s="160"/>
      <c r="BE1723" s="160"/>
      <c r="BF1723" s="160"/>
      <c r="BG1723" s="160"/>
      <c r="BH1723" s="160"/>
      <c r="BI1723" s="160"/>
      <c r="BJ1723" s="160"/>
      <c r="BK1723" s="160"/>
      <c r="BL1723" s="160"/>
      <c r="BM1723" s="160"/>
      <c r="BN1723" s="160"/>
      <c r="BO1723" s="160"/>
      <c r="BP1723" s="160"/>
      <c r="BQ1723" s="160"/>
      <c r="BR1723" s="160"/>
      <c r="BS1723" s="160"/>
      <c r="BT1723" s="160"/>
      <c r="BU1723" s="160"/>
      <c r="BV1723" s="160"/>
      <c r="BW1723" s="160"/>
      <c r="BX1723" s="160"/>
      <c r="BY1723" s="160"/>
      <c r="BZ1723" s="160"/>
      <c r="CA1723" s="160"/>
      <c r="CB1723" s="160"/>
      <c r="CC1723" s="160"/>
      <c r="CD1723" s="160"/>
      <c r="CE1723" s="160"/>
      <c r="CF1723" s="160"/>
      <c r="CG1723" s="160"/>
      <c r="CH1723" s="160"/>
      <c r="CI1723" s="160"/>
      <c r="CJ1723" s="160"/>
      <c r="CK1723" s="160"/>
      <c r="CL1723" s="160"/>
      <c r="CM1723" s="160"/>
      <c r="CN1723" s="160"/>
      <c r="CO1723" s="160"/>
      <c r="CP1723" s="162"/>
      <c r="CQ1723" s="163"/>
      <c r="CR1723" s="162"/>
      <c r="CS1723" s="163"/>
      <c r="CT1723" s="162"/>
      <c r="CU1723" s="163"/>
      <c r="CV1723" s="164">
        <f t="shared" si="218"/>
        <v>0</v>
      </c>
      <c r="CW1723" s="165"/>
      <c r="CX1723" s="166"/>
      <c r="CY1723" s="167"/>
      <c r="CZ1723" s="168"/>
      <c r="DA1723" s="169"/>
      <c r="DB1723" s="168"/>
      <c r="DC1723" s="165"/>
      <c r="DD1723" s="166"/>
      <c r="DE1723" s="71"/>
      <c r="DF1723" s="170"/>
      <c r="EO1723" s="375" t="str">
        <f t="shared" si="220"/>
        <v>BOYACA_PAUNA</v>
      </c>
      <c r="EP1723" s="376"/>
      <c r="EQ1723" s="376"/>
      <c r="ER1723" s="377"/>
      <c r="ES1723" s="376"/>
      <c r="ET1723" s="376"/>
      <c r="EU1723" s="376"/>
    </row>
    <row r="1724" spans="1:151" s="171" customFormat="1" ht="38.25" x14ac:dyDescent="0.2">
      <c r="A1724" s="242">
        <v>40498</v>
      </c>
      <c r="B1724" s="222" t="s">
        <v>289</v>
      </c>
      <c r="C1724" s="222" t="s">
        <v>1643</v>
      </c>
      <c r="D1724" s="427" t="s">
        <v>2307</v>
      </c>
      <c r="E1724" s="107" t="str">
        <f>VLOOKUP(B1724&amp;C1724,Divipola!$C$2:$F$1138,4,FALSE)</f>
        <v>17444</v>
      </c>
      <c r="F1724" s="330"/>
      <c r="G1724" s="221">
        <v>2</v>
      </c>
      <c r="H1724" s="157">
        <v>3</v>
      </c>
      <c r="I1724" s="157"/>
      <c r="J1724" s="157">
        <f>299*5</f>
        <v>1495</v>
      </c>
      <c r="K1724" s="157">
        <v>299</v>
      </c>
      <c r="L1724" s="157">
        <v>11</v>
      </c>
      <c r="M1724" s="157">
        <v>65</v>
      </c>
      <c r="N1724" s="157"/>
      <c r="O1724" s="157"/>
      <c r="P1724" s="157"/>
      <c r="Q1724" s="157"/>
      <c r="R1724" s="157"/>
      <c r="S1724" s="157"/>
      <c r="T1724" s="157"/>
      <c r="U1724" s="157"/>
      <c r="V1724" s="158"/>
      <c r="W1724" s="182"/>
      <c r="X1724" s="1"/>
      <c r="Y1724" s="78">
        <f t="shared" si="215"/>
        <v>0</v>
      </c>
      <c r="Z1724" s="78">
        <f t="shared" si="216"/>
        <v>0</v>
      </c>
      <c r="AA1724" s="78">
        <f t="shared" si="221"/>
        <v>0</v>
      </c>
      <c r="AB1724" s="78">
        <f t="shared" si="217"/>
        <v>0</v>
      </c>
      <c r="AC1724" s="78"/>
      <c r="AD1724" s="78">
        <v>0</v>
      </c>
      <c r="AE1724" s="80">
        <f t="shared" si="219"/>
        <v>0</v>
      </c>
      <c r="AF1724" s="82">
        <v>0</v>
      </c>
      <c r="AG1724" s="69">
        <v>40497</v>
      </c>
      <c r="AH1724" s="84"/>
      <c r="AI1724" s="69" t="s">
        <v>2009</v>
      </c>
      <c r="AJ1724" s="25" t="s">
        <v>2010</v>
      </c>
      <c r="AK1724" s="65"/>
      <c r="AL1724" s="184" t="s">
        <v>3833</v>
      </c>
      <c r="AM1724" s="173" t="s">
        <v>1644</v>
      </c>
      <c r="AN1724" s="159"/>
      <c r="AO1724" s="160"/>
      <c r="AP1724" s="161"/>
      <c r="AQ1724" s="160"/>
      <c r="AR1724" s="160"/>
      <c r="AS1724" s="160"/>
      <c r="AT1724" s="160"/>
      <c r="AU1724" s="160"/>
      <c r="AV1724" s="160"/>
      <c r="AW1724" s="160"/>
      <c r="AX1724" s="160"/>
      <c r="AY1724" s="160"/>
      <c r="AZ1724" s="160"/>
      <c r="BA1724" s="160"/>
      <c r="BB1724" s="160"/>
      <c r="BC1724" s="160"/>
      <c r="BD1724" s="160"/>
      <c r="BE1724" s="160"/>
      <c r="BF1724" s="160"/>
      <c r="BG1724" s="160"/>
      <c r="BH1724" s="160"/>
      <c r="BI1724" s="160"/>
      <c r="BJ1724" s="160"/>
      <c r="BK1724" s="160"/>
      <c r="BL1724" s="160"/>
      <c r="BM1724" s="160"/>
      <c r="BN1724" s="160"/>
      <c r="BO1724" s="160"/>
      <c r="BP1724" s="160"/>
      <c r="BQ1724" s="160"/>
      <c r="BR1724" s="160"/>
      <c r="BS1724" s="160"/>
      <c r="BT1724" s="160"/>
      <c r="BU1724" s="160"/>
      <c r="BV1724" s="160"/>
      <c r="BW1724" s="160"/>
      <c r="BX1724" s="160"/>
      <c r="BY1724" s="160"/>
      <c r="BZ1724" s="160"/>
      <c r="CA1724" s="160"/>
      <c r="CB1724" s="160"/>
      <c r="CC1724" s="160"/>
      <c r="CD1724" s="160"/>
      <c r="CE1724" s="160"/>
      <c r="CF1724" s="160"/>
      <c r="CG1724" s="160"/>
      <c r="CH1724" s="160"/>
      <c r="CI1724" s="160"/>
      <c r="CJ1724" s="160"/>
      <c r="CK1724" s="160"/>
      <c r="CL1724" s="160"/>
      <c r="CM1724" s="160"/>
      <c r="CN1724" s="160"/>
      <c r="CO1724" s="160"/>
      <c r="CP1724" s="162"/>
      <c r="CQ1724" s="163"/>
      <c r="CR1724" s="162"/>
      <c r="CS1724" s="163"/>
      <c r="CT1724" s="162"/>
      <c r="CU1724" s="163"/>
      <c r="CV1724" s="164">
        <f t="shared" si="218"/>
        <v>0</v>
      </c>
      <c r="CW1724" s="165"/>
      <c r="CX1724" s="166"/>
      <c r="CY1724" s="167"/>
      <c r="CZ1724" s="168"/>
      <c r="DA1724" s="169"/>
      <c r="DB1724" s="168"/>
      <c r="DC1724" s="165"/>
      <c r="DD1724" s="166"/>
      <c r="DE1724" s="71"/>
      <c r="DF1724" s="170"/>
      <c r="EO1724" s="375" t="str">
        <f t="shared" si="220"/>
        <v>CALDAS_MARQUETALIA</v>
      </c>
      <c r="EP1724" s="376"/>
      <c r="EQ1724" s="376"/>
      <c r="ER1724" s="377"/>
      <c r="ES1724" s="376"/>
      <c r="ET1724" s="376"/>
      <c r="EU1724" s="376"/>
    </row>
    <row r="1725" spans="1:151" s="171" customFormat="1" ht="72" x14ac:dyDescent="0.2">
      <c r="A1725" s="242">
        <v>40498</v>
      </c>
      <c r="B1725" s="222" t="s">
        <v>1719</v>
      </c>
      <c r="C1725" s="222" t="s">
        <v>872</v>
      </c>
      <c r="D1725" s="430" t="s">
        <v>2307</v>
      </c>
      <c r="E1725" s="107" t="str">
        <f>VLOOKUP(B1725&amp;C1725,Divipola!$C$2:$F$1138,4,FALSE)</f>
        <v>19585</v>
      </c>
      <c r="F1725" s="333"/>
      <c r="G1725" s="221"/>
      <c r="H1725" s="157"/>
      <c r="I1725" s="157"/>
      <c r="J1725" s="157">
        <f>853*5</f>
        <v>4265</v>
      </c>
      <c r="K1725" s="157">
        <f>42+811</f>
        <v>853</v>
      </c>
      <c r="L1725" s="157"/>
      <c r="M1725" s="157">
        <v>853</v>
      </c>
      <c r="N1725" s="157"/>
      <c r="O1725" s="157"/>
      <c r="P1725" s="157"/>
      <c r="Q1725" s="157">
        <v>7</v>
      </c>
      <c r="R1725" s="157"/>
      <c r="S1725" s="157"/>
      <c r="T1725" s="157"/>
      <c r="U1725" s="157"/>
      <c r="V1725" s="158">
        <v>91.5</v>
      </c>
      <c r="W1725" s="182" t="s">
        <v>769</v>
      </c>
      <c r="X1725" s="1"/>
      <c r="Y1725" s="78">
        <f t="shared" si="215"/>
        <v>0</v>
      </c>
      <c r="Z1725" s="78">
        <f t="shared" si="216"/>
        <v>0</v>
      </c>
      <c r="AA1725" s="78">
        <f t="shared" si="221"/>
        <v>0</v>
      </c>
      <c r="AB1725" s="78">
        <f t="shared" si="217"/>
        <v>0</v>
      </c>
      <c r="AC1725" s="78"/>
      <c r="AD1725" s="78">
        <v>0</v>
      </c>
      <c r="AE1725" s="80">
        <f t="shared" si="219"/>
        <v>0</v>
      </c>
      <c r="AF1725" s="82">
        <v>0</v>
      </c>
      <c r="AG1725" s="242"/>
      <c r="AH1725" s="84"/>
      <c r="AI1725" s="69" t="s">
        <v>2009</v>
      </c>
      <c r="AJ1725" s="276" t="s">
        <v>2010</v>
      </c>
      <c r="AK1725" s="65"/>
      <c r="AL1725" s="272" t="s">
        <v>311</v>
      </c>
      <c r="AM1725" s="173" t="s">
        <v>2648</v>
      </c>
      <c r="AN1725" s="159"/>
      <c r="AO1725" s="160"/>
      <c r="AP1725" s="161"/>
      <c r="AQ1725" s="160"/>
      <c r="AR1725" s="160"/>
      <c r="AS1725" s="160"/>
      <c r="AT1725" s="160"/>
      <c r="AU1725" s="160"/>
      <c r="AV1725" s="160"/>
      <c r="AW1725" s="160"/>
      <c r="AX1725" s="160"/>
      <c r="AY1725" s="160"/>
      <c r="AZ1725" s="160"/>
      <c r="BA1725" s="160"/>
      <c r="BB1725" s="160"/>
      <c r="BC1725" s="160"/>
      <c r="BD1725" s="160"/>
      <c r="BE1725" s="160"/>
      <c r="BF1725" s="160"/>
      <c r="BG1725" s="160"/>
      <c r="BH1725" s="160"/>
      <c r="BI1725" s="160"/>
      <c r="BJ1725" s="160"/>
      <c r="BK1725" s="160"/>
      <c r="BL1725" s="160"/>
      <c r="BM1725" s="160"/>
      <c r="BN1725" s="160"/>
      <c r="BO1725" s="160"/>
      <c r="BP1725" s="160"/>
      <c r="BQ1725" s="160"/>
      <c r="BR1725" s="160"/>
      <c r="BS1725" s="160"/>
      <c r="BT1725" s="160"/>
      <c r="BU1725" s="160"/>
      <c r="BV1725" s="160"/>
      <c r="BW1725" s="160"/>
      <c r="BX1725" s="160"/>
      <c r="BY1725" s="160"/>
      <c r="BZ1725" s="160"/>
      <c r="CA1725" s="160"/>
      <c r="CB1725" s="160"/>
      <c r="CC1725" s="160"/>
      <c r="CD1725" s="160"/>
      <c r="CE1725" s="160"/>
      <c r="CF1725" s="160"/>
      <c r="CG1725" s="160"/>
      <c r="CH1725" s="160"/>
      <c r="CI1725" s="160"/>
      <c r="CJ1725" s="160"/>
      <c r="CK1725" s="160"/>
      <c r="CL1725" s="160"/>
      <c r="CM1725" s="160"/>
      <c r="CN1725" s="160"/>
      <c r="CO1725" s="160"/>
      <c r="CP1725" s="162"/>
      <c r="CQ1725" s="163"/>
      <c r="CR1725" s="162"/>
      <c r="CS1725" s="163"/>
      <c r="CT1725" s="162"/>
      <c r="CU1725" s="163"/>
      <c r="CV1725" s="164">
        <f t="shared" si="218"/>
        <v>0</v>
      </c>
      <c r="CW1725" s="165"/>
      <c r="CX1725" s="166"/>
      <c r="CY1725" s="167"/>
      <c r="CZ1725" s="168"/>
      <c r="DA1725" s="169"/>
      <c r="DB1725" s="168"/>
      <c r="DC1725" s="165"/>
      <c r="DD1725" s="166"/>
      <c r="DE1725" s="71"/>
      <c r="DF1725" s="170"/>
      <c r="EO1725" s="375" t="str">
        <f t="shared" si="220"/>
        <v>CAUCA_PURACE</v>
      </c>
      <c r="EP1725" s="376"/>
      <c r="EQ1725" s="376"/>
      <c r="ER1725" s="377"/>
      <c r="ES1725" s="376"/>
      <c r="ET1725" s="376"/>
      <c r="EU1725" s="376"/>
    </row>
    <row r="1726" spans="1:151" s="171" customFormat="1" ht="25.5" x14ac:dyDescent="0.2">
      <c r="A1726" s="242">
        <v>40498</v>
      </c>
      <c r="B1726" s="222" t="s">
        <v>2242</v>
      </c>
      <c r="C1726" s="222" t="s">
        <v>228</v>
      </c>
      <c r="D1726" s="430" t="s">
        <v>837</v>
      </c>
      <c r="E1726" s="107" t="str">
        <f>VLOOKUP(B1726&amp;C1726,Divipola!$C$2:$F$1138,4,FALSE)</f>
        <v>20045</v>
      </c>
      <c r="F1726" s="333"/>
      <c r="G1726" s="221">
        <v>1</v>
      </c>
      <c r="H1726" s="157"/>
      <c r="I1726" s="157"/>
      <c r="J1726" s="157">
        <f>1014*5</f>
        <v>5070</v>
      </c>
      <c r="K1726" s="157">
        <f>1105-28-38-25</f>
        <v>1014</v>
      </c>
      <c r="L1726" s="157"/>
      <c r="M1726" s="157">
        <v>295</v>
      </c>
      <c r="N1726" s="157"/>
      <c r="O1726" s="157"/>
      <c r="P1726" s="157"/>
      <c r="Q1726" s="157"/>
      <c r="R1726" s="157"/>
      <c r="S1726" s="157"/>
      <c r="T1726" s="157"/>
      <c r="U1726" s="157"/>
      <c r="V1726" s="158"/>
      <c r="W1726" s="182"/>
      <c r="X1726" s="1"/>
      <c r="Y1726" s="78">
        <f t="shared" si="215"/>
        <v>0</v>
      </c>
      <c r="Z1726" s="78">
        <f t="shared" si="216"/>
        <v>0</v>
      </c>
      <c r="AA1726" s="78">
        <f t="shared" si="221"/>
        <v>0</v>
      </c>
      <c r="AB1726" s="78">
        <f t="shared" si="217"/>
        <v>0</v>
      </c>
      <c r="AC1726" s="78"/>
      <c r="AD1726" s="78">
        <v>0</v>
      </c>
      <c r="AE1726" s="80">
        <f t="shared" si="219"/>
        <v>0</v>
      </c>
      <c r="AF1726" s="82">
        <v>0</v>
      </c>
      <c r="AG1726" s="69">
        <v>40497</v>
      </c>
      <c r="AH1726" s="84"/>
      <c r="AI1726" s="69" t="s">
        <v>1984</v>
      </c>
      <c r="AJ1726" s="25" t="s">
        <v>1985</v>
      </c>
      <c r="AK1726" s="65"/>
      <c r="AL1726" s="176" t="s">
        <v>1257</v>
      </c>
      <c r="AM1726" s="173" t="s">
        <v>2869</v>
      </c>
      <c r="AN1726" s="159"/>
      <c r="AO1726" s="160"/>
      <c r="AP1726" s="161"/>
      <c r="AQ1726" s="160"/>
      <c r="AR1726" s="160"/>
      <c r="AS1726" s="160"/>
      <c r="AT1726" s="160"/>
      <c r="AU1726" s="160"/>
      <c r="AV1726" s="160"/>
      <c r="AW1726" s="160"/>
      <c r="AX1726" s="160"/>
      <c r="AY1726" s="160"/>
      <c r="AZ1726" s="160"/>
      <c r="BA1726" s="160"/>
      <c r="BB1726" s="160"/>
      <c r="BC1726" s="160"/>
      <c r="BD1726" s="160"/>
      <c r="BE1726" s="160"/>
      <c r="BF1726" s="160"/>
      <c r="BG1726" s="160"/>
      <c r="BH1726" s="160"/>
      <c r="BI1726" s="160"/>
      <c r="BJ1726" s="160"/>
      <c r="BK1726" s="160"/>
      <c r="BL1726" s="160"/>
      <c r="BM1726" s="160"/>
      <c r="BN1726" s="160"/>
      <c r="BO1726" s="160"/>
      <c r="BP1726" s="160"/>
      <c r="BQ1726" s="160"/>
      <c r="BR1726" s="160"/>
      <c r="BS1726" s="160"/>
      <c r="BT1726" s="160"/>
      <c r="BU1726" s="160"/>
      <c r="BV1726" s="160"/>
      <c r="BW1726" s="160"/>
      <c r="BX1726" s="160"/>
      <c r="BY1726" s="160"/>
      <c r="BZ1726" s="160"/>
      <c r="CA1726" s="160"/>
      <c r="CB1726" s="160"/>
      <c r="CC1726" s="160"/>
      <c r="CD1726" s="160"/>
      <c r="CE1726" s="160"/>
      <c r="CF1726" s="160"/>
      <c r="CG1726" s="160"/>
      <c r="CH1726" s="160"/>
      <c r="CI1726" s="160"/>
      <c r="CJ1726" s="160"/>
      <c r="CK1726" s="160"/>
      <c r="CL1726" s="160"/>
      <c r="CM1726" s="160"/>
      <c r="CN1726" s="160"/>
      <c r="CO1726" s="160"/>
      <c r="CP1726" s="162"/>
      <c r="CQ1726" s="163"/>
      <c r="CR1726" s="162"/>
      <c r="CS1726" s="163"/>
      <c r="CT1726" s="162"/>
      <c r="CU1726" s="163"/>
      <c r="CV1726" s="164">
        <f t="shared" si="218"/>
        <v>0</v>
      </c>
      <c r="CW1726" s="165"/>
      <c r="CX1726" s="166"/>
      <c r="CY1726" s="167"/>
      <c r="CZ1726" s="168"/>
      <c r="DA1726" s="169"/>
      <c r="DB1726" s="168"/>
      <c r="DC1726" s="165"/>
      <c r="DD1726" s="166"/>
      <c r="DE1726" s="71"/>
      <c r="DF1726" s="170"/>
      <c r="EO1726" s="375" t="str">
        <f t="shared" si="220"/>
        <v>CESAR_BECERRIL</v>
      </c>
      <c r="EP1726" s="376"/>
      <c r="EQ1726" s="376"/>
      <c r="ER1726" s="377"/>
      <c r="ES1726" s="376"/>
      <c r="ET1726" s="376"/>
      <c r="EU1726" s="376"/>
    </row>
    <row r="1727" spans="1:151" s="171" customFormat="1" ht="25.5" x14ac:dyDescent="0.2">
      <c r="A1727" s="242">
        <v>40498</v>
      </c>
      <c r="B1727" s="222" t="s">
        <v>2425</v>
      </c>
      <c r="C1727" s="222" t="s">
        <v>2483</v>
      </c>
      <c r="D1727" s="430" t="s">
        <v>837</v>
      </c>
      <c r="E1727" s="107" t="str">
        <f>VLOOKUP(B1727&amp;C1727,Divipola!$C$2:$F$1138,4,FALSE)</f>
        <v>27615</v>
      </c>
      <c r="F1727" s="333"/>
      <c r="G1727" s="221">
        <v>1</v>
      </c>
      <c r="H1727" s="157"/>
      <c r="I1727" s="157"/>
      <c r="J1727" s="157"/>
      <c r="K1727" s="157"/>
      <c r="L1727" s="157"/>
      <c r="M1727" s="157"/>
      <c r="N1727" s="157"/>
      <c r="O1727" s="157"/>
      <c r="P1727" s="157"/>
      <c r="Q1727" s="157"/>
      <c r="R1727" s="157"/>
      <c r="S1727" s="157"/>
      <c r="T1727" s="157"/>
      <c r="U1727" s="157"/>
      <c r="V1727" s="158"/>
      <c r="W1727" s="182"/>
      <c r="X1727" s="1"/>
      <c r="Y1727" s="78">
        <f t="shared" si="215"/>
        <v>0</v>
      </c>
      <c r="Z1727" s="78">
        <f t="shared" si="216"/>
        <v>0</v>
      </c>
      <c r="AA1727" s="78">
        <f t="shared" si="221"/>
        <v>0</v>
      </c>
      <c r="AB1727" s="78">
        <f t="shared" si="217"/>
        <v>0</v>
      </c>
      <c r="AC1727" s="78"/>
      <c r="AD1727" s="78">
        <v>0</v>
      </c>
      <c r="AE1727" s="80">
        <f t="shared" si="219"/>
        <v>0</v>
      </c>
      <c r="AF1727" s="82">
        <v>0</v>
      </c>
      <c r="AG1727" s="242">
        <v>40497</v>
      </c>
      <c r="AH1727" s="84"/>
      <c r="AI1727" s="69" t="s">
        <v>1984</v>
      </c>
      <c r="AJ1727" s="25" t="s">
        <v>1985</v>
      </c>
      <c r="AK1727" s="65"/>
      <c r="AL1727" s="176" t="s">
        <v>1257</v>
      </c>
      <c r="AM1727" s="173" t="s">
        <v>2870</v>
      </c>
      <c r="AN1727" s="159"/>
      <c r="AO1727" s="160"/>
      <c r="AP1727" s="161"/>
      <c r="AQ1727" s="160"/>
      <c r="AR1727" s="160"/>
      <c r="AS1727" s="160"/>
      <c r="AT1727" s="160"/>
      <c r="AU1727" s="160"/>
      <c r="AV1727" s="160"/>
      <c r="AW1727" s="160"/>
      <c r="AX1727" s="160"/>
      <c r="AY1727" s="160"/>
      <c r="AZ1727" s="160"/>
      <c r="BA1727" s="160"/>
      <c r="BB1727" s="160"/>
      <c r="BC1727" s="160"/>
      <c r="BD1727" s="160"/>
      <c r="BE1727" s="160"/>
      <c r="BF1727" s="160"/>
      <c r="BG1727" s="160"/>
      <c r="BH1727" s="160"/>
      <c r="BI1727" s="160"/>
      <c r="BJ1727" s="160"/>
      <c r="BK1727" s="160"/>
      <c r="BL1727" s="160"/>
      <c r="BM1727" s="160"/>
      <c r="BN1727" s="160"/>
      <c r="BO1727" s="160"/>
      <c r="BP1727" s="160"/>
      <c r="BQ1727" s="160"/>
      <c r="BR1727" s="160"/>
      <c r="BS1727" s="160"/>
      <c r="BT1727" s="160"/>
      <c r="BU1727" s="160"/>
      <c r="BV1727" s="160"/>
      <c r="BW1727" s="160"/>
      <c r="BX1727" s="160"/>
      <c r="BY1727" s="160"/>
      <c r="BZ1727" s="160"/>
      <c r="CA1727" s="160"/>
      <c r="CB1727" s="160"/>
      <c r="CC1727" s="160"/>
      <c r="CD1727" s="160"/>
      <c r="CE1727" s="160"/>
      <c r="CF1727" s="160"/>
      <c r="CG1727" s="160"/>
      <c r="CH1727" s="160"/>
      <c r="CI1727" s="160"/>
      <c r="CJ1727" s="160"/>
      <c r="CK1727" s="160"/>
      <c r="CL1727" s="160"/>
      <c r="CM1727" s="160"/>
      <c r="CN1727" s="160"/>
      <c r="CO1727" s="160"/>
      <c r="CP1727" s="162"/>
      <c r="CQ1727" s="163"/>
      <c r="CR1727" s="162"/>
      <c r="CS1727" s="163"/>
      <c r="CT1727" s="162"/>
      <c r="CU1727" s="163"/>
      <c r="CV1727" s="164">
        <f t="shared" si="218"/>
        <v>0</v>
      </c>
      <c r="CW1727" s="165"/>
      <c r="CX1727" s="166"/>
      <c r="CY1727" s="167"/>
      <c r="CZ1727" s="168"/>
      <c r="DA1727" s="169"/>
      <c r="DB1727" s="168"/>
      <c r="DC1727" s="165"/>
      <c r="DD1727" s="166"/>
      <c r="DE1727" s="71"/>
      <c r="DF1727" s="170"/>
      <c r="EO1727" s="375" t="str">
        <f t="shared" si="220"/>
        <v>CHOCO_RIOSUCIO</v>
      </c>
      <c r="EP1727" s="376"/>
      <c r="EQ1727" s="376"/>
      <c r="ER1727" s="377"/>
      <c r="ES1727" s="376"/>
      <c r="ET1727" s="376"/>
      <c r="EU1727" s="376"/>
    </row>
    <row r="1728" spans="1:151" s="171" customFormat="1" ht="38.25" x14ac:dyDescent="0.2">
      <c r="A1728" s="242">
        <v>40498</v>
      </c>
      <c r="B1728" s="222" t="s">
        <v>2007</v>
      </c>
      <c r="C1728" s="222" t="s">
        <v>2379</v>
      </c>
      <c r="D1728" s="430" t="s">
        <v>837</v>
      </c>
      <c r="E1728" s="107" t="str">
        <f>VLOOKUP(B1728&amp;C1728,Divipola!$C$2:$F$1138,4,FALSE)</f>
        <v>25245</v>
      </c>
      <c r="F1728" s="333"/>
      <c r="G1728" s="221"/>
      <c r="H1728" s="157"/>
      <c r="I1728" s="157"/>
      <c r="J1728" s="157">
        <v>52</v>
      </c>
      <c r="K1728" s="157">
        <v>16</v>
      </c>
      <c r="L1728" s="157">
        <v>11</v>
      </c>
      <c r="M1728" s="157">
        <v>5</v>
      </c>
      <c r="N1728" s="157"/>
      <c r="O1728" s="157"/>
      <c r="P1728" s="157"/>
      <c r="Q1728" s="157"/>
      <c r="R1728" s="157"/>
      <c r="S1728" s="157"/>
      <c r="T1728" s="157"/>
      <c r="U1728" s="157"/>
      <c r="V1728" s="158"/>
      <c r="W1728" s="182"/>
      <c r="X1728" s="1"/>
      <c r="Y1728" s="78">
        <f t="shared" si="215"/>
        <v>0</v>
      </c>
      <c r="Z1728" s="78">
        <f t="shared" si="216"/>
        <v>0</v>
      </c>
      <c r="AA1728" s="78">
        <f t="shared" si="221"/>
        <v>0</v>
      </c>
      <c r="AB1728" s="78">
        <f t="shared" si="217"/>
        <v>0</v>
      </c>
      <c r="AC1728" s="78"/>
      <c r="AD1728" s="78">
        <v>0</v>
      </c>
      <c r="AE1728" s="80">
        <f t="shared" si="219"/>
        <v>0</v>
      </c>
      <c r="AF1728" s="82">
        <v>0</v>
      </c>
      <c r="AG1728" s="69">
        <v>40612</v>
      </c>
      <c r="AH1728" s="84"/>
      <c r="AI1728" s="69" t="s">
        <v>1984</v>
      </c>
      <c r="AJ1728" s="25" t="s">
        <v>1985</v>
      </c>
      <c r="AK1728" s="65"/>
      <c r="AL1728" s="176" t="s">
        <v>1257</v>
      </c>
      <c r="AM1728" s="173" t="s">
        <v>457</v>
      </c>
      <c r="AN1728" s="159"/>
      <c r="AO1728" s="160"/>
      <c r="AP1728" s="161"/>
      <c r="AQ1728" s="160"/>
      <c r="AR1728" s="160"/>
      <c r="AS1728" s="160"/>
      <c r="AT1728" s="160"/>
      <c r="AU1728" s="160"/>
      <c r="AV1728" s="160"/>
      <c r="AW1728" s="160"/>
      <c r="AX1728" s="160"/>
      <c r="AY1728" s="160"/>
      <c r="AZ1728" s="160"/>
      <c r="BA1728" s="160"/>
      <c r="BB1728" s="160"/>
      <c r="BC1728" s="160"/>
      <c r="BD1728" s="160"/>
      <c r="BE1728" s="160"/>
      <c r="BF1728" s="160"/>
      <c r="BG1728" s="160"/>
      <c r="BH1728" s="160"/>
      <c r="BI1728" s="160"/>
      <c r="BJ1728" s="160"/>
      <c r="BK1728" s="160"/>
      <c r="BL1728" s="160"/>
      <c r="BM1728" s="160"/>
      <c r="BN1728" s="160"/>
      <c r="BO1728" s="160"/>
      <c r="BP1728" s="160"/>
      <c r="BQ1728" s="160"/>
      <c r="BR1728" s="160"/>
      <c r="BS1728" s="160"/>
      <c r="BT1728" s="160"/>
      <c r="BU1728" s="160"/>
      <c r="BV1728" s="160"/>
      <c r="BW1728" s="160"/>
      <c r="BX1728" s="160"/>
      <c r="BY1728" s="160"/>
      <c r="BZ1728" s="160"/>
      <c r="CA1728" s="160"/>
      <c r="CB1728" s="160"/>
      <c r="CC1728" s="160"/>
      <c r="CD1728" s="160"/>
      <c r="CE1728" s="160"/>
      <c r="CF1728" s="160"/>
      <c r="CG1728" s="160"/>
      <c r="CH1728" s="160"/>
      <c r="CI1728" s="160"/>
      <c r="CJ1728" s="160"/>
      <c r="CK1728" s="160"/>
      <c r="CL1728" s="160"/>
      <c r="CM1728" s="160"/>
      <c r="CN1728" s="160"/>
      <c r="CO1728" s="160"/>
      <c r="CP1728" s="162"/>
      <c r="CQ1728" s="163"/>
      <c r="CR1728" s="162"/>
      <c r="CS1728" s="163"/>
      <c r="CT1728" s="162"/>
      <c r="CU1728" s="163"/>
      <c r="CV1728" s="164">
        <f t="shared" si="218"/>
        <v>0</v>
      </c>
      <c r="CW1728" s="165"/>
      <c r="CX1728" s="166"/>
      <c r="CY1728" s="167"/>
      <c r="CZ1728" s="168"/>
      <c r="DA1728" s="169"/>
      <c r="DB1728" s="168"/>
      <c r="DC1728" s="165"/>
      <c r="DD1728" s="166"/>
      <c r="DE1728" s="71"/>
      <c r="DF1728" s="170"/>
      <c r="EO1728" s="375" t="str">
        <f t="shared" si="220"/>
        <v>CUNDINAMARCA_EL COLEGIO</v>
      </c>
      <c r="EP1728" s="376"/>
      <c r="EQ1728" s="376"/>
      <c r="ER1728" s="377"/>
      <c r="ES1728" s="376"/>
      <c r="ET1728" s="376"/>
      <c r="EU1728" s="376"/>
    </row>
    <row r="1729" spans="1:151" s="171" customFormat="1" ht="38.25" x14ac:dyDescent="0.2">
      <c r="A1729" s="242">
        <v>40498</v>
      </c>
      <c r="B1729" s="222" t="s">
        <v>2007</v>
      </c>
      <c r="C1729" s="222" t="s">
        <v>2380</v>
      </c>
      <c r="D1729" s="430" t="s">
        <v>2307</v>
      </c>
      <c r="E1729" s="107" t="str">
        <f>VLOOKUP(B1729&amp;C1729,Divipola!$C$2:$F$1138,4,FALSE)</f>
        <v>25288</v>
      </c>
      <c r="F1729" s="333"/>
      <c r="G1729" s="221"/>
      <c r="H1729" s="157"/>
      <c r="I1729" s="157"/>
      <c r="J1729" s="157">
        <v>86</v>
      </c>
      <c r="K1729" s="157">
        <v>27</v>
      </c>
      <c r="L1729" s="157">
        <v>9</v>
      </c>
      <c r="M1729" s="157">
        <v>23</v>
      </c>
      <c r="N1729" s="157"/>
      <c r="O1729" s="157"/>
      <c r="P1729" s="157"/>
      <c r="Q1729" s="157"/>
      <c r="R1729" s="157"/>
      <c r="S1729" s="157"/>
      <c r="T1729" s="157"/>
      <c r="U1729" s="157"/>
      <c r="V1729" s="158"/>
      <c r="W1729" s="182"/>
      <c r="X1729" s="1"/>
      <c r="Y1729" s="78">
        <f t="shared" si="215"/>
        <v>0</v>
      </c>
      <c r="Z1729" s="78">
        <f t="shared" si="216"/>
        <v>0</v>
      </c>
      <c r="AA1729" s="78">
        <f t="shared" si="221"/>
        <v>0</v>
      </c>
      <c r="AB1729" s="78">
        <f t="shared" si="217"/>
        <v>0</v>
      </c>
      <c r="AC1729" s="78"/>
      <c r="AD1729" s="78">
        <v>0</v>
      </c>
      <c r="AE1729" s="80">
        <f t="shared" si="219"/>
        <v>0</v>
      </c>
      <c r="AF1729" s="82">
        <v>0</v>
      </c>
      <c r="AG1729" s="69">
        <v>40612</v>
      </c>
      <c r="AH1729" s="84"/>
      <c r="AI1729" s="69" t="s">
        <v>1984</v>
      </c>
      <c r="AJ1729" s="25" t="s">
        <v>1985</v>
      </c>
      <c r="AK1729" s="65"/>
      <c r="AL1729" s="176" t="s">
        <v>1257</v>
      </c>
      <c r="AM1729" s="173" t="s">
        <v>457</v>
      </c>
      <c r="AN1729" s="159"/>
      <c r="AO1729" s="160"/>
      <c r="AP1729" s="161"/>
      <c r="AQ1729" s="160"/>
      <c r="AR1729" s="160"/>
      <c r="AS1729" s="160"/>
      <c r="AT1729" s="160"/>
      <c r="AU1729" s="160"/>
      <c r="AV1729" s="160"/>
      <c r="AW1729" s="160"/>
      <c r="AX1729" s="160"/>
      <c r="AY1729" s="160"/>
      <c r="AZ1729" s="160"/>
      <c r="BA1729" s="160"/>
      <c r="BB1729" s="160"/>
      <c r="BC1729" s="160"/>
      <c r="BD1729" s="160"/>
      <c r="BE1729" s="160"/>
      <c r="BF1729" s="160"/>
      <c r="BG1729" s="160"/>
      <c r="BH1729" s="160"/>
      <c r="BI1729" s="160"/>
      <c r="BJ1729" s="160"/>
      <c r="BK1729" s="160"/>
      <c r="BL1729" s="160"/>
      <c r="BM1729" s="160"/>
      <c r="BN1729" s="160"/>
      <c r="BO1729" s="160"/>
      <c r="BP1729" s="160"/>
      <c r="BQ1729" s="160"/>
      <c r="BR1729" s="160"/>
      <c r="BS1729" s="160"/>
      <c r="BT1729" s="160"/>
      <c r="BU1729" s="160"/>
      <c r="BV1729" s="160"/>
      <c r="BW1729" s="160"/>
      <c r="BX1729" s="160"/>
      <c r="BY1729" s="160"/>
      <c r="BZ1729" s="160"/>
      <c r="CA1729" s="160"/>
      <c r="CB1729" s="160"/>
      <c r="CC1729" s="160"/>
      <c r="CD1729" s="160"/>
      <c r="CE1729" s="160"/>
      <c r="CF1729" s="160"/>
      <c r="CG1729" s="160"/>
      <c r="CH1729" s="160"/>
      <c r="CI1729" s="160"/>
      <c r="CJ1729" s="160"/>
      <c r="CK1729" s="160"/>
      <c r="CL1729" s="160"/>
      <c r="CM1729" s="160"/>
      <c r="CN1729" s="160"/>
      <c r="CO1729" s="160"/>
      <c r="CP1729" s="162"/>
      <c r="CQ1729" s="163"/>
      <c r="CR1729" s="162"/>
      <c r="CS1729" s="163"/>
      <c r="CT1729" s="162"/>
      <c r="CU1729" s="163"/>
      <c r="CV1729" s="164">
        <f t="shared" si="218"/>
        <v>0</v>
      </c>
      <c r="CW1729" s="165"/>
      <c r="CX1729" s="166"/>
      <c r="CY1729" s="167"/>
      <c r="CZ1729" s="168"/>
      <c r="DA1729" s="169"/>
      <c r="DB1729" s="168"/>
      <c r="DC1729" s="165"/>
      <c r="DD1729" s="166"/>
      <c r="DE1729" s="71"/>
      <c r="DF1729" s="170"/>
      <c r="EO1729" s="375" t="str">
        <f t="shared" si="220"/>
        <v>CUNDINAMARCA_FUQUENE</v>
      </c>
      <c r="EP1729" s="376"/>
      <c r="EQ1729" s="376"/>
      <c r="ER1729" s="377"/>
      <c r="ES1729" s="376"/>
      <c r="ET1729" s="376"/>
      <c r="EU1729" s="376"/>
    </row>
    <row r="1730" spans="1:151" s="171" customFormat="1" ht="72" x14ac:dyDescent="0.2">
      <c r="A1730" s="242">
        <v>40498</v>
      </c>
      <c r="B1730" s="222" t="s">
        <v>2245</v>
      </c>
      <c r="C1730" s="222" t="s">
        <v>2894</v>
      </c>
      <c r="D1730" s="427" t="s">
        <v>2307</v>
      </c>
      <c r="E1730" s="107" t="str">
        <f>VLOOKUP(B1730&amp;C1730,Divipola!$C$2:$F$1138,4,FALSE)</f>
        <v>52405</v>
      </c>
      <c r="F1730" s="330"/>
      <c r="G1730" s="221"/>
      <c r="H1730" s="157"/>
      <c r="I1730" s="157"/>
      <c r="J1730" s="157">
        <v>155</v>
      </c>
      <c r="K1730" s="157">
        <v>31</v>
      </c>
      <c r="L1730" s="157"/>
      <c r="M1730" s="157">
        <v>31</v>
      </c>
      <c r="N1730" s="157">
        <v>7</v>
      </c>
      <c r="O1730" s="157"/>
      <c r="P1730" s="157"/>
      <c r="Q1730" s="157"/>
      <c r="R1730" s="157"/>
      <c r="S1730" s="157"/>
      <c r="T1730" s="157"/>
      <c r="U1730" s="157"/>
      <c r="V1730" s="158"/>
      <c r="W1730" s="182"/>
      <c r="X1730" s="1"/>
      <c r="Y1730" s="78">
        <f t="shared" si="215"/>
        <v>0</v>
      </c>
      <c r="Z1730" s="78">
        <f t="shared" si="216"/>
        <v>0</v>
      </c>
      <c r="AA1730" s="78">
        <f t="shared" si="221"/>
        <v>0</v>
      </c>
      <c r="AB1730" s="78">
        <f t="shared" si="217"/>
        <v>0</v>
      </c>
      <c r="AC1730" s="78"/>
      <c r="AD1730" s="78">
        <v>0</v>
      </c>
      <c r="AE1730" s="80">
        <f t="shared" si="219"/>
        <v>0</v>
      </c>
      <c r="AF1730" s="82">
        <v>0</v>
      </c>
      <c r="AG1730" s="69">
        <v>40497</v>
      </c>
      <c r="AH1730" s="84"/>
      <c r="AI1730" s="69" t="s">
        <v>1984</v>
      </c>
      <c r="AJ1730" s="25" t="s">
        <v>1985</v>
      </c>
      <c r="AK1730" s="65"/>
      <c r="AL1730" s="176" t="s">
        <v>1257</v>
      </c>
      <c r="AM1730" s="173" t="s">
        <v>2500</v>
      </c>
      <c r="AN1730" s="159"/>
      <c r="AO1730" s="160"/>
      <c r="AP1730" s="161"/>
      <c r="AQ1730" s="160"/>
      <c r="AR1730" s="160"/>
      <c r="AS1730" s="160"/>
      <c r="AT1730" s="160"/>
      <c r="AU1730" s="160"/>
      <c r="AV1730" s="160"/>
      <c r="AW1730" s="160"/>
      <c r="AX1730" s="160"/>
      <c r="AY1730" s="160"/>
      <c r="AZ1730" s="160"/>
      <c r="BA1730" s="160"/>
      <c r="BB1730" s="160"/>
      <c r="BC1730" s="160"/>
      <c r="BD1730" s="160"/>
      <c r="BE1730" s="160"/>
      <c r="BF1730" s="160"/>
      <c r="BG1730" s="160"/>
      <c r="BH1730" s="160"/>
      <c r="BI1730" s="160"/>
      <c r="BJ1730" s="160"/>
      <c r="BK1730" s="160"/>
      <c r="BL1730" s="160"/>
      <c r="BM1730" s="160"/>
      <c r="BN1730" s="160"/>
      <c r="BO1730" s="160"/>
      <c r="BP1730" s="160"/>
      <c r="BQ1730" s="160"/>
      <c r="BR1730" s="160"/>
      <c r="BS1730" s="160"/>
      <c r="BT1730" s="160"/>
      <c r="BU1730" s="160"/>
      <c r="BV1730" s="160"/>
      <c r="BW1730" s="160"/>
      <c r="BX1730" s="160"/>
      <c r="BY1730" s="160"/>
      <c r="BZ1730" s="160"/>
      <c r="CA1730" s="160"/>
      <c r="CB1730" s="160"/>
      <c r="CC1730" s="160"/>
      <c r="CD1730" s="160"/>
      <c r="CE1730" s="160"/>
      <c r="CF1730" s="160"/>
      <c r="CG1730" s="160"/>
      <c r="CH1730" s="160"/>
      <c r="CI1730" s="160"/>
      <c r="CJ1730" s="160"/>
      <c r="CK1730" s="160"/>
      <c r="CL1730" s="160"/>
      <c r="CM1730" s="160"/>
      <c r="CN1730" s="160"/>
      <c r="CO1730" s="160"/>
      <c r="CP1730" s="162"/>
      <c r="CQ1730" s="163"/>
      <c r="CR1730" s="162"/>
      <c r="CS1730" s="163"/>
      <c r="CT1730" s="162"/>
      <c r="CU1730" s="163"/>
      <c r="CV1730" s="164">
        <f t="shared" si="218"/>
        <v>0</v>
      </c>
      <c r="CW1730" s="165"/>
      <c r="CX1730" s="166"/>
      <c r="CY1730" s="167"/>
      <c r="CZ1730" s="168"/>
      <c r="DA1730" s="169"/>
      <c r="DB1730" s="168"/>
      <c r="DC1730" s="165"/>
      <c r="DD1730" s="166"/>
      <c r="DE1730" s="71"/>
      <c r="DF1730" s="170"/>
      <c r="EO1730" s="375" t="str">
        <f t="shared" si="220"/>
        <v>NARIÑO_LEIVA</v>
      </c>
      <c r="EP1730" s="376"/>
      <c r="EQ1730" s="376"/>
      <c r="ER1730" s="377"/>
      <c r="ES1730" s="376"/>
      <c r="ET1730" s="376"/>
      <c r="EU1730" s="376"/>
    </row>
    <row r="1731" spans="1:151" s="171" customFormat="1" ht="60" x14ac:dyDescent="0.2">
      <c r="A1731" s="242">
        <v>40498</v>
      </c>
      <c r="B1731" s="222" t="s">
        <v>2245</v>
      </c>
      <c r="C1731" s="222" t="s">
        <v>335</v>
      </c>
      <c r="D1731" s="427" t="s">
        <v>2307</v>
      </c>
      <c r="E1731" s="107" t="str">
        <f>VLOOKUP(B1731&amp;C1731,Divipola!$C$2:$F$1138,4,FALSE)</f>
        <v>52418</v>
      </c>
      <c r="F1731" s="330"/>
      <c r="G1731" s="221"/>
      <c r="H1731" s="157">
        <v>1</v>
      </c>
      <c r="I1731" s="157"/>
      <c r="J1731" s="157">
        <v>913</v>
      </c>
      <c r="K1731" s="157">
        <v>235</v>
      </c>
      <c r="L1731" s="157">
        <v>2</v>
      </c>
      <c r="M1731" s="157">
        <v>177</v>
      </c>
      <c r="N1731" s="157"/>
      <c r="O1731" s="157"/>
      <c r="P1731" s="157"/>
      <c r="Q1731" s="157"/>
      <c r="R1731" s="157"/>
      <c r="S1731" s="157"/>
      <c r="T1731" s="157"/>
      <c r="U1731" s="157"/>
      <c r="V1731" s="158"/>
      <c r="W1731" s="182"/>
      <c r="X1731" s="1"/>
      <c r="Y1731" s="78">
        <f t="shared" ref="Y1731:Y1794" si="222">CV1731</f>
        <v>0</v>
      </c>
      <c r="Z1731" s="78">
        <f t="shared" ref="Z1731:Z1794" si="223">CZ1731</f>
        <v>0</v>
      </c>
      <c r="AA1731" s="78">
        <f t="shared" si="221"/>
        <v>0</v>
      </c>
      <c r="AB1731" s="78">
        <f t="shared" ref="AB1731:AB1794" si="224">CX1731</f>
        <v>0</v>
      </c>
      <c r="AC1731" s="78"/>
      <c r="AD1731" s="78">
        <v>0</v>
      </c>
      <c r="AE1731" s="80">
        <f t="shared" si="219"/>
        <v>0</v>
      </c>
      <c r="AF1731" s="82">
        <v>0</v>
      </c>
      <c r="AG1731" s="69">
        <v>40497</v>
      </c>
      <c r="AH1731" s="84"/>
      <c r="AI1731" s="69" t="s">
        <v>1984</v>
      </c>
      <c r="AJ1731" s="25" t="s">
        <v>1985</v>
      </c>
      <c r="AK1731" s="65"/>
      <c r="AL1731" s="176" t="s">
        <v>1257</v>
      </c>
      <c r="AM1731" s="173" t="s">
        <v>2510</v>
      </c>
      <c r="AN1731" s="159"/>
      <c r="AO1731" s="160"/>
      <c r="AP1731" s="161"/>
      <c r="AQ1731" s="160"/>
      <c r="AR1731" s="160"/>
      <c r="AS1731" s="160"/>
      <c r="AT1731" s="160"/>
      <c r="AU1731" s="160"/>
      <c r="AV1731" s="160"/>
      <c r="AW1731" s="160"/>
      <c r="AX1731" s="160"/>
      <c r="AY1731" s="160"/>
      <c r="AZ1731" s="160"/>
      <c r="BA1731" s="160"/>
      <c r="BB1731" s="160"/>
      <c r="BC1731" s="160"/>
      <c r="BD1731" s="160"/>
      <c r="BE1731" s="160"/>
      <c r="BF1731" s="160"/>
      <c r="BG1731" s="160"/>
      <c r="BH1731" s="160"/>
      <c r="BI1731" s="160"/>
      <c r="BJ1731" s="160"/>
      <c r="BK1731" s="160"/>
      <c r="BL1731" s="160"/>
      <c r="BM1731" s="160"/>
      <c r="BN1731" s="160"/>
      <c r="BO1731" s="160"/>
      <c r="BP1731" s="160"/>
      <c r="BQ1731" s="160"/>
      <c r="BR1731" s="160"/>
      <c r="BS1731" s="160"/>
      <c r="BT1731" s="160"/>
      <c r="BU1731" s="160"/>
      <c r="BV1731" s="160"/>
      <c r="BW1731" s="160"/>
      <c r="BX1731" s="160"/>
      <c r="BY1731" s="160"/>
      <c r="BZ1731" s="160"/>
      <c r="CA1731" s="160"/>
      <c r="CB1731" s="160"/>
      <c r="CC1731" s="160"/>
      <c r="CD1731" s="160"/>
      <c r="CE1731" s="160"/>
      <c r="CF1731" s="160"/>
      <c r="CG1731" s="160"/>
      <c r="CH1731" s="160"/>
      <c r="CI1731" s="160"/>
      <c r="CJ1731" s="160"/>
      <c r="CK1731" s="160"/>
      <c r="CL1731" s="160"/>
      <c r="CM1731" s="160"/>
      <c r="CN1731" s="160"/>
      <c r="CO1731" s="160"/>
      <c r="CP1731" s="162"/>
      <c r="CQ1731" s="163"/>
      <c r="CR1731" s="162"/>
      <c r="CS1731" s="163"/>
      <c r="CT1731" s="162"/>
      <c r="CU1731" s="163"/>
      <c r="CV1731" s="164">
        <f t="shared" ref="CV1731:CV1794" si="225">AO1731+AQ1731+AS1731+AU1731+AW1731+AY1731+BA1731+BC1731+BE1731+BG1731+BI1731+BK1731+BM1731+BO1731+BQ1731+BS1731+BU1731+BW1731+BY1731+CA1731+CC1731+CE1731+CG1731+CI1731+CK1731+CM1731+CO1731+CQ1731+CS1731+CU1731</f>
        <v>0</v>
      </c>
      <c r="CW1731" s="165"/>
      <c r="CX1731" s="166"/>
      <c r="CY1731" s="167"/>
      <c r="CZ1731" s="168"/>
      <c r="DA1731" s="169"/>
      <c r="DB1731" s="168"/>
      <c r="DC1731" s="165"/>
      <c r="DD1731" s="166"/>
      <c r="DE1731" s="71"/>
      <c r="DF1731" s="170"/>
      <c r="EO1731" s="375" t="str">
        <f t="shared" si="220"/>
        <v>NARIÑO_LOS ANDES</v>
      </c>
      <c r="EP1731" s="376"/>
      <c r="EQ1731" s="376"/>
      <c r="ER1731" s="377"/>
      <c r="ES1731" s="376"/>
      <c r="ET1731" s="376"/>
      <c r="EU1731" s="376"/>
    </row>
    <row r="1732" spans="1:151" s="171" customFormat="1" ht="25.5" x14ac:dyDescent="0.2">
      <c r="A1732" s="242">
        <v>40498</v>
      </c>
      <c r="B1732" s="222" t="s">
        <v>2014</v>
      </c>
      <c r="C1732" s="222" t="s">
        <v>2015</v>
      </c>
      <c r="D1732" s="427" t="s">
        <v>2307</v>
      </c>
      <c r="E1732" s="107" t="str">
        <f>VLOOKUP(B1732&amp;C1732,Divipola!$C$2:$F$1138,4,FALSE)</f>
        <v>63001</v>
      </c>
      <c r="F1732" s="330"/>
      <c r="G1732" s="221"/>
      <c r="H1732" s="157">
        <v>3</v>
      </c>
      <c r="I1732" s="157"/>
      <c r="J1732" s="157"/>
      <c r="K1732" s="157"/>
      <c r="L1732" s="157"/>
      <c r="M1732" s="157"/>
      <c r="N1732" s="157"/>
      <c r="O1732" s="157"/>
      <c r="P1732" s="157"/>
      <c r="Q1732" s="157"/>
      <c r="R1732" s="157"/>
      <c r="S1732" s="157"/>
      <c r="T1732" s="157"/>
      <c r="U1732" s="157">
        <v>1</v>
      </c>
      <c r="V1732" s="158"/>
      <c r="W1732" s="182"/>
      <c r="X1732" s="1"/>
      <c r="Y1732" s="78">
        <f t="shared" si="222"/>
        <v>0</v>
      </c>
      <c r="Z1732" s="78">
        <f t="shared" si="223"/>
        <v>0</v>
      </c>
      <c r="AA1732" s="78">
        <f t="shared" si="221"/>
        <v>0</v>
      </c>
      <c r="AB1732" s="78">
        <f t="shared" si="224"/>
        <v>0</v>
      </c>
      <c r="AC1732" s="78"/>
      <c r="AD1732" s="78">
        <v>0</v>
      </c>
      <c r="AE1732" s="80">
        <f t="shared" si="219"/>
        <v>0</v>
      </c>
      <c r="AF1732" s="82">
        <v>0</v>
      </c>
      <c r="AG1732" s="69">
        <v>40499</v>
      </c>
      <c r="AH1732" s="84"/>
      <c r="AI1732" s="69" t="s">
        <v>1984</v>
      </c>
      <c r="AJ1732" s="25" t="s">
        <v>1985</v>
      </c>
      <c r="AK1732" s="65"/>
      <c r="AL1732" s="176" t="s">
        <v>1257</v>
      </c>
      <c r="AM1732" s="173" t="s">
        <v>2860</v>
      </c>
      <c r="AN1732" s="159"/>
      <c r="AO1732" s="160"/>
      <c r="AP1732" s="161"/>
      <c r="AQ1732" s="160"/>
      <c r="AR1732" s="160"/>
      <c r="AS1732" s="160"/>
      <c r="AT1732" s="160"/>
      <c r="AU1732" s="160"/>
      <c r="AV1732" s="160"/>
      <c r="AW1732" s="160"/>
      <c r="AX1732" s="160"/>
      <c r="AY1732" s="160"/>
      <c r="AZ1732" s="160"/>
      <c r="BA1732" s="160"/>
      <c r="BB1732" s="160"/>
      <c r="BC1732" s="160"/>
      <c r="BD1732" s="160"/>
      <c r="BE1732" s="160"/>
      <c r="BF1732" s="160"/>
      <c r="BG1732" s="160"/>
      <c r="BH1732" s="160"/>
      <c r="BI1732" s="160"/>
      <c r="BJ1732" s="160"/>
      <c r="BK1732" s="160"/>
      <c r="BL1732" s="160"/>
      <c r="BM1732" s="160"/>
      <c r="BN1732" s="160"/>
      <c r="BO1732" s="160"/>
      <c r="BP1732" s="160"/>
      <c r="BQ1732" s="160"/>
      <c r="BR1732" s="160"/>
      <c r="BS1732" s="160"/>
      <c r="BT1732" s="160"/>
      <c r="BU1732" s="160"/>
      <c r="BV1732" s="160"/>
      <c r="BW1732" s="160"/>
      <c r="BX1732" s="160"/>
      <c r="BY1732" s="160"/>
      <c r="BZ1732" s="160"/>
      <c r="CA1732" s="160"/>
      <c r="CB1732" s="160"/>
      <c r="CC1732" s="160"/>
      <c r="CD1732" s="160"/>
      <c r="CE1732" s="160"/>
      <c r="CF1732" s="160"/>
      <c r="CG1732" s="160"/>
      <c r="CH1732" s="160"/>
      <c r="CI1732" s="160"/>
      <c r="CJ1732" s="160"/>
      <c r="CK1732" s="160"/>
      <c r="CL1732" s="160"/>
      <c r="CM1732" s="160"/>
      <c r="CN1732" s="160"/>
      <c r="CO1732" s="160"/>
      <c r="CP1732" s="162"/>
      <c r="CQ1732" s="163"/>
      <c r="CR1732" s="162"/>
      <c r="CS1732" s="163"/>
      <c r="CT1732" s="162"/>
      <c r="CU1732" s="163"/>
      <c r="CV1732" s="164">
        <f t="shared" si="225"/>
        <v>0</v>
      </c>
      <c r="CW1732" s="165"/>
      <c r="CX1732" s="166"/>
      <c r="CY1732" s="167"/>
      <c r="CZ1732" s="168"/>
      <c r="DA1732" s="169"/>
      <c r="DB1732" s="168"/>
      <c r="DC1732" s="165"/>
      <c r="DD1732" s="166"/>
      <c r="DE1732" s="71"/>
      <c r="DF1732" s="170"/>
      <c r="EO1732" s="375" t="str">
        <f t="shared" si="220"/>
        <v>QUINDIO_ARMENIA</v>
      </c>
      <c r="EP1732" s="376"/>
      <c r="EQ1732" s="376"/>
      <c r="ER1732" s="377"/>
      <c r="ES1732" s="376"/>
      <c r="ET1732" s="376"/>
      <c r="EU1732" s="376"/>
    </row>
    <row r="1733" spans="1:151" s="171" customFormat="1" ht="25.5" x14ac:dyDescent="0.2">
      <c r="A1733" s="242">
        <v>40498</v>
      </c>
      <c r="B1733" s="107" t="s">
        <v>2012</v>
      </c>
      <c r="C1733" s="222" t="s">
        <v>1103</v>
      </c>
      <c r="D1733" s="427" t="s">
        <v>2307</v>
      </c>
      <c r="E1733" s="107" t="str">
        <f>VLOOKUP(B1733&amp;C1733,Divipola!$C$2:$F$1138,4,FALSE)</f>
        <v>66075</v>
      </c>
      <c r="F1733" s="330"/>
      <c r="G1733" s="221"/>
      <c r="H1733" s="157"/>
      <c r="I1733" s="157"/>
      <c r="J1733" s="157">
        <v>20</v>
      </c>
      <c r="K1733" s="157">
        <v>4</v>
      </c>
      <c r="L1733" s="157"/>
      <c r="M1733" s="157">
        <v>4</v>
      </c>
      <c r="N1733" s="157"/>
      <c r="O1733" s="157"/>
      <c r="P1733" s="157"/>
      <c r="Q1733" s="157"/>
      <c r="R1733" s="157"/>
      <c r="S1733" s="157"/>
      <c r="T1733" s="157"/>
      <c r="U1733" s="157"/>
      <c r="V1733" s="158"/>
      <c r="W1733" s="182"/>
      <c r="X1733" s="1"/>
      <c r="Y1733" s="78">
        <f t="shared" si="222"/>
        <v>0</v>
      </c>
      <c r="Z1733" s="78">
        <f t="shared" si="223"/>
        <v>0</v>
      </c>
      <c r="AA1733" s="78">
        <f t="shared" si="221"/>
        <v>0</v>
      </c>
      <c r="AB1733" s="78">
        <f t="shared" si="224"/>
        <v>0</v>
      </c>
      <c r="AC1733" s="78"/>
      <c r="AD1733" s="78">
        <v>0</v>
      </c>
      <c r="AE1733" s="80">
        <f t="shared" si="219"/>
        <v>0</v>
      </c>
      <c r="AF1733" s="82">
        <v>0</v>
      </c>
      <c r="AG1733" s="69">
        <v>40505</v>
      </c>
      <c r="AH1733" s="84"/>
      <c r="AI1733" s="69" t="s">
        <v>1984</v>
      </c>
      <c r="AJ1733" s="25" t="s">
        <v>1985</v>
      </c>
      <c r="AK1733" s="65"/>
      <c r="AL1733" s="176" t="s">
        <v>1257</v>
      </c>
      <c r="AM1733" s="173" t="s">
        <v>2539</v>
      </c>
      <c r="AN1733" s="159"/>
      <c r="AO1733" s="160"/>
      <c r="AP1733" s="161"/>
      <c r="AQ1733" s="160"/>
      <c r="AR1733" s="160"/>
      <c r="AS1733" s="160"/>
      <c r="AT1733" s="160"/>
      <c r="AU1733" s="160"/>
      <c r="AV1733" s="160"/>
      <c r="AW1733" s="160"/>
      <c r="AX1733" s="160"/>
      <c r="AY1733" s="160"/>
      <c r="AZ1733" s="160"/>
      <c r="BA1733" s="160"/>
      <c r="BB1733" s="160"/>
      <c r="BC1733" s="160"/>
      <c r="BD1733" s="160"/>
      <c r="BE1733" s="160"/>
      <c r="BF1733" s="160"/>
      <c r="BG1733" s="160"/>
      <c r="BH1733" s="160"/>
      <c r="BI1733" s="160"/>
      <c r="BJ1733" s="160"/>
      <c r="BK1733" s="160"/>
      <c r="BL1733" s="160"/>
      <c r="BM1733" s="160"/>
      <c r="BN1733" s="160"/>
      <c r="BO1733" s="160"/>
      <c r="BP1733" s="160"/>
      <c r="BQ1733" s="160"/>
      <c r="BR1733" s="160"/>
      <c r="BS1733" s="160"/>
      <c r="BT1733" s="160"/>
      <c r="BU1733" s="160"/>
      <c r="BV1733" s="160"/>
      <c r="BW1733" s="160"/>
      <c r="BX1733" s="160"/>
      <c r="BY1733" s="160"/>
      <c r="BZ1733" s="160"/>
      <c r="CA1733" s="160"/>
      <c r="CB1733" s="160"/>
      <c r="CC1733" s="160"/>
      <c r="CD1733" s="160"/>
      <c r="CE1733" s="160"/>
      <c r="CF1733" s="160"/>
      <c r="CG1733" s="160"/>
      <c r="CH1733" s="160"/>
      <c r="CI1733" s="160"/>
      <c r="CJ1733" s="160"/>
      <c r="CK1733" s="160"/>
      <c r="CL1733" s="160"/>
      <c r="CM1733" s="160"/>
      <c r="CN1733" s="160"/>
      <c r="CO1733" s="160"/>
      <c r="CP1733" s="162"/>
      <c r="CQ1733" s="163"/>
      <c r="CR1733" s="162"/>
      <c r="CS1733" s="163"/>
      <c r="CT1733" s="162"/>
      <c r="CU1733" s="163"/>
      <c r="CV1733" s="164">
        <f t="shared" si="225"/>
        <v>0</v>
      </c>
      <c r="CW1733" s="165"/>
      <c r="CX1733" s="166"/>
      <c r="CY1733" s="167"/>
      <c r="CZ1733" s="168"/>
      <c r="DA1733" s="169"/>
      <c r="DB1733" s="168"/>
      <c r="DC1733" s="165"/>
      <c r="DD1733" s="166"/>
      <c r="DE1733" s="71"/>
      <c r="DF1733" s="170"/>
      <c r="EO1733" s="375" t="str">
        <f t="shared" si="220"/>
        <v>RISARALDA_BALBOA</v>
      </c>
      <c r="EP1733" s="376"/>
      <c r="EQ1733" s="376"/>
      <c r="ER1733" s="377"/>
      <c r="ES1733" s="376"/>
      <c r="ET1733" s="376"/>
      <c r="EU1733" s="376"/>
    </row>
    <row r="1734" spans="1:151" s="171" customFormat="1" ht="25.5" x14ac:dyDescent="0.2">
      <c r="A1734" s="242">
        <v>40498</v>
      </c>
      <c r="B1734" s="222" t="s">
        <v>2012</v>
      </c>
      <c r="C1734" s="222" t="s">
        <v>2199</v>
      </c>
      <c r="D1734" s="430" t="s">
        <v>2307</v>
      </c>
      <c r="E1734" s="107" t="str">
        <f>VLOOKUP(B1734&amp;C1734,Divipola!$C$2:$F$1138,4,FALSE)</f>
        <v>66383</v>
      </c>
      <c r="F1734" s="333"/>
      <c r="G1734" s="221"/>
      <c r="H1734" s="157"/>
      <c r="I1734" s="157"/>
      <c r="J1734" s="157">
        <v>175</v>
      </c>
      <c r="K1734" s="157">
        <v>35</v>
      </c>
      <c r="L1734" s="157"/>
      <c r="M1734" s="157"/>
      <c r="N1734" s="157"/>
      <c r="O1734" s="157"/>
      <c r="P1734" s="157"/>
      <c r="Q1734" s="157"/>
      <c r="R1734" s="157"/>
      <c r="S1734" s="157"/>
      <c r="T1734" s="157"/>
      <c r="U1734" s="157"/>
      <c r="V1734" s="158"/>
      <c r="W1734" s="182"/>
      <c r="X1734" s="1"/>
      <c r="Y1734" s="78">
        <f t="shared" si="222"/>
        <v>0</v>
      </c>
      <c r="Z1734" s="78">
        <f t="shared" si="223"/>
        <v>0</v>
      </c>
      <c r="AA1734" s="78">
        <f t="shared" si="221"/>
        <v>0</v>
      </c>
      <c r="AB1734" s="78">
        <f t="shared" si="224"/>
        <v>0</v>
      </c>
      <c r="AC1734" s="78"/>
      <c r="AD1734" s="78">
        <v>0</v>
      </c>
      <c r="AE1734" s="80">
        <f t="shared" si="219"/>
        <v>0</v>
      </c>
      <c r="AF1734" s="82">
        <v>0</v>
      </c>
      <c r="AG1734" s="69">
        <v>40624</v>
      </c>
      <c r="AH1734" s="84"/>
      <c r="AI1734" s="69" t="s">
        <v>1984</v>
      </c>
      <c r="AJ1734" s="25" t="s">
        <v>1985</v>
      </c>
      <c r="AK1734" s="65"/>
      <c r="AL1734" s="176" t="s">
        <v>1257</v>
      </c>
      <c r="AM1734" s="173" t="s">
        <v>457</v>
      </c>
      <c r="AN1734" s="159"/>
      <c r="AO1734" s="160"/>
      <c r="AP1734" s="161"/>
      <c r="AQ1734" s="160"/>
      <c r="AR1734" s="160"/>
      <c r="AS1734" s="160"/>
      <c r="AT1734" s="160"/>
      <c r="AU1734" s="160"/>
      <c r="AV1734" s="160"/>
      <c r="AW1734" s="160"/>
      <c r="AX1734" s="160"/>
      <c r="AY1734" s="160"/>
      <c r="AZ1734" s="160"/>
      <c r="BA1734" s="160"/>
      <c r="BB1734" s="160"/>
      <c r="BC1734" s="160"/>
      <c r="BD1734" s="160"/>
      <c r="BE1734" s="160"/>
      <c r="BF1734" s="160"/>
      <c r="BG1734" s="160"/>
      <c r="BH1734" s="160"/>
      <c r="BI1734" s="160"/>
      <c r="BJ1734" s="160"/>
      <c r="BK1734" s="160"/>
      <c r="BL1734" s="160"/>
      <c r="BM1734" s="160"/>
      <c r="BN1734" s="160"/>
      <c r="BO1734" s="160"/>
      <c r="BP1734" s="160"/>
      <c r="BQ1734" s="160"/>
      <c r="BR1734" s="160"/>
      <c r="BS1734" s="160"/>
      <c r="BT1734" s="160"/>
      <c r="BU1734" s="160"/>
      <c r="BV1734" s="160"/>
      <c r="BW1734" s="160"/>
      <c r="BX1734" s="160"/>
      <c r="BY1734" s="160"/>
      <c r="BZ1734" s="160"/>
      <c r="CA1734" s="160"/>
      <c r="CB1734" s="160"/>
      <c r="CC1734" s="160"/>
      <c r="CD1734" s="160"/>
      <c r="CE1734" s="160"/>
      <c r="CF1734" s="160"/>
      <c r="CG1734" s="160"/>
      <c r="CH1734" s="160"/>
      <c r="CI1734" s="160"/>
      <c r="CJ1734" s="160"/>
      <c r="CK1734" s="160"/>
      <c r="CL1734" s="160"/>
      <c r="CM1734" s="160"/>
      <c r="CN1734" s="160"/>
      <c r="CO1734" s="160"/>
      <c r="CP1734" s="162"/>
      <c r="CQ1734" s="163"/>
      <c r="CR1734" s="162"/>
      <c r="CS1734" s="163"/>
      <c r="CT1734" s="162"/>
      <c r="CU1734" s="163"/>
      <c r="CV1734" s="164">
        <f t="shared" si="225"/>
        <v>0</v>
      </c>
      <c r="CW1734" s="165"/>
      <c r="CX1734" s="166"/>
      <c r="CY1734" s="167"/>
      <c r="CZ1734" s="168"/>
      <c r="DA1734" s="169"/>
      <c r="DB1734" s="168"/>
      <c r="DC1734" s="165"/>
      <c r="DD1734" s="166"/>
      <c r="DE1734" s="71"/>
      <c r="DF1734" s="170"/>
      <c r="EO1734" s="375" t="str">
        <f t="shared" si="220"/>
        <v>RISARALDA_LA CELIA</v>
      </c>
      <c r="EP1734" s="376"/>
      <c r="EQ1734" s="376"/>
      <c r="ER1734" s="377"/>
      <c r="ES1734" s="376"/>
      <c r="ET1734" s="376"/>
      <c r="EU1734" s="376"/>
    </row>
    <row r="1735" spans="1:151" s="171" customFormat="1" ht="38.25" x14ac:dyDescent="0.2">
      <c r="A1735" s="242">
        <v>40498.256944444445</v>
      </c>
      <c r="B1735" s="107" t="s">
        <v>6305</v>
      </c>
      <c r="C1735" s="107" t="s">
        <v>6305</v>
      </c>
      <c r="D1735" s="430" t="s">
        <v>2307</v>
      </c>
      <c r="E1735" s="107" t="str">
        <f>VLOOKUP(B1735&amp;C1735,Divipola!$C$2:$F$1138,4,FALSE)</f>
        <v>11001</v>
      </c>
      <c r="F1735" s="333"/>
      <c r="G1735" s="221">
        <v>4</v>
      </c>
      <c r="H1735" s="157">
        <v>3</v>
      </c>
      <c r="I1735" s="157"/>
      <c r="J1735" s="157">
        <v>39</v>
      </c>
      <c r="K1735" s="414">
        <v>14</v>
      </c>
      <c r="L1735" s="157"/>
      <c r="M1735" s="157"/>
      <c r="N1735" s="157"/>
      <c r="O1735" s="157"/>
      <c r="P1735" s="157"/>
      <c r="Q1735" s="157"/>
      <c r="R1735" s="157"/>
      <c r="S1735" s="157"/>
      <c r="T1735" s="157"/>
      <c r="U1735" s="157"/>
      <c r="V1735" s="158"/>
      <c r="W1735" s="182"/>
      <c r="X1735" s="1"/>
      <c r="Y1735" s="78">
        <f t="shared" si="222"/>
        <v>0</v>
      </c>
      <c r="Z1735" s="78">
        <f t="shared" si="223"/>
        <v>0</v>
      </c>
      <c r="AA1735" s="78">
        <f t="shared" si="221"/>
        <v>0</v>
      </c>
      <c r="AB1735" s="78">
        <f t="shared" si="224"/>
        <v>0</v>
      </c>
      <c r="AC1735" s="78"/>
      <c r="AD1735" s="78">
        <v>0</v>
      </c>
      <c r="AE1735" s="80">
        <f t="shared" si="219"/>
        <v>0</v>
      </c>
      <c r="AF1735" s="82">
        <v>0</v>
      </c>
      <c r="AG1735" s="306">
        <v>40624</v>
      </c>
      <c r="AH1735" s="307"/>
      <c r="AI1735" s="306" t="s">
        <v>1984</v>
      </c>
      <c r="AJ1735" s="308" t="s">
        <v>1985</v>
      </c>
      <c r="AK1735" s="309"/>
      <c r="AL1735" s="310" t="s">
        <v>1257</v>
      </c>
      <c r="AM1735" s="419" t="s">
        <v>3763</v>
      </c>
      <c r="AN1735" s="159"/>
      <c r="AO1735" s="160"/>
      <c r="AP1735" s="161"/>
      <c r="AQ1735" s="160"/>
      <c r="AR1735" s="160"/>
      <c r="AS1735" s="160"/>
      <c r="AT1735" s="160"/>
      <c r="AU1735" s="160"/>
      <c r="AV1735" s="160"/>
      <c r="AW1735" s="160"/>
      <c r="AX1735" s="160"/>
      <c r="AY1735" s="160"/>
      <c r="AZ1735" s="160"/>
      <c r="BA1735" s="160"/>
      <c r="BB1735" s="160"/>
      <c r="BC1735" s="160"/>
      <c r="BD1735" s="160"/>
      <c r="BE1735" s="160"/>
      <c r="BF1735" s="160"/>
      <c r="BG1735" s="160"/>
      <c r="BH1735" s="160"/>
      <c r="BI1735" s="160"/>
      <c r="BJ1735" s="160"/>
      <c r="BK1735" s="160"/>
      <c r="BL1735" s="160"/>
      <c r="BM1735" s="160"/>
      <c r="BN1735" s="160"/>
      <c r="BO1735" s="160"/>
      <c r="BP1735" s="160"/>
      <c r="BQ1735" s="160"/>
      <c r="BR1735" s="160"/>
      <c r="BS1735" s="160"/>
      <c r="BT1735" s="160"/>
      <c r="BU1735" s="160"/>
      <c r="BV1735" s="160"/>
      <c r="BW1735" s="160"/>
      <c r="BX1735" s="160"/>
      <c r="BY1735" s="160"/>
      <c r="BZ1735" s="160"/>
      <c r="CA1735" s="160"/>
      <c r="CB1735" s="160"/>
      <c r="CC1735" s="160"/>
      <c r="CD1735" s="160"/>
      <c r="CE1735" s="160"/>
      <c r="CF1735" s="160"/>
      <c r="CG1735" s="160"/>
      <c r="CH1735" s="160"/>
      <c r="CI1735" s="160"/>
      <c r="CJ1735" s="160"/>
      <c r="CK1735" s="160"/>
      <c r="CL1735" s="160"/>
      <c r="CM1735" s="160"/>
      <c r="CN1735" s="160"/>
      <c r="CO1735" s="160"/>
      <c r="CP1735" s="162"/>
      <c r="CQ1735" s="163"/>
      <c r="CR1735" s="162"/>
      <c r="CS1735" s="163"/>
      <c r="CT1735" s="162"/>
      <c r="CU1735" s="163"/>
      <c r="CV1735" s="164">
        <f t="shared" si="225"/>
        <v>0</v>
      </c>
      <c r="CW1735" s="165"/>
      <c r="CX1735" s="166"/>
      <c r="CY1735" s="167"/>
      <c r="CZ1735" s="168"/>
      <c r="DA1735" s="169"/>
      <c r="DB1735" s="168"/>
      <c r="DC1735" s="165"/>
      <c r="DD1735" s="166"/>
      <c r="DE1735" s="71"/>
      <c r="DF1735" s="170"/>
      <c r="EO1735" s="375" t="str">
        <f t="shared" si="220"/>
        <v>BOGOTA, D.C._BOGOTA, D.C.</v>
      </c>
      <c r="EP1735" s="376"/>
      <c r="EQ1735" s="376"/>
      <c r="ER1735" s="377"/>
      <c r="ES1735" s="376"/>
      <c r="ET1735" s="376"/>
      <c r="EU1735" s="376"/>
    </row>
    <row r="1736" spans="1:151" s="171" customFormat="1" ht="38.25" x14ac:dyDescent="0.2">
      <c r="A1736" s="242">
        <v>40498.871527777781</v>
      </c>
      <c r="B1736" s="107" t="s">
        <v>6305</v>
      </c>
      <c r="C1736" s="107" t="s">
        <v>6305</v>
      </c>
      <c r="D1736" s="430" t="s">
        <v>2307</v>
      </c>
      <c r="E1736" s="107" t="str">
        <f>VLOOKUP(B1736&amp;C1736,Divipola!$C$2:$F$1138,4,FALSE)</f>
        <v>11001</v>
      </c>
      <c r="F1736" s="333"/>
      <c r="G1736" s="221"/>
      <c r="H1736" s="157"/>
      <c r="I1736" s="157"/>
      <c r="J1736" s="157">
        <v>44</v>
      </c>
      <c r="K1736" s="414">
        <v>10</v>
      </c>
      <c r="L1736" s="157"/>
      <c r="M1736" s="157"/>
      <c r="N1736" s="157"/>
      <c r="O1736" s="157"/>
      <c r="P1736" s="157"/>
      <c r="Q1736" s="157"/>
      <c r="R1736" s="157"/>
      <c r="S1736" s="157"/>
      <c r="T1736" s="157"/>
      <c r="U1736" s="157"/>
      <c r="V1736" s="158"/>
      <c r="W1736" s="182"/>
      <c r="X1736" s="1"/>
      <c r="Y1736" s="78">
        <f t="shared" si="222"/>
        <v>0</v>
      </c>
      <c r="Z1736" s="78">
        <f t="shared" si="223"/>
        <v>0</v>
      </c>
      <c r="AA1736" s="78">
        <f t="shared" si="221"/>
        <v>0</v>
      </c>
      <c r="AB1736" s="78">
        <f t="shared" si="224"/>
        <v>0</v>
      </c>
      <c r="AC1736" s="78"/>
      <c r="AD1736" s="78">
        <v>0</v>
      </c>
      <c r="AE1736" s="80">
        <f t="shared" si="219"/>
        <v>0</v>
      </c>
      <c r="AF1736" s="82">
        <v>0</v>
      </c>
      <c r="AG1736" s="306">
        <v>40624</v>
      </c>
      <c r="AH1736" s="307"/>
      <c r="AI1736" s="306" t="s">
        <v>1984</v>
      </c>
      <c r="AJ1736" s="308" t="s">
        <v>1985</v>
      </c>
      <c r="AK1736" s="309"/>
      <c r="AL1736" s="310" t="s">
        <v>1257</v>
      </c>
      <c r="AM1736" s="419" t="s">
        <v>3764</v>
      </c>
      <c r="AN1736" s="159"/>
      <c r="AO1736" s="160"/>
      <c r="AP1736" s="161"/>
      <c r="AQ1736" s="160"/>
      <c r="AR1736" s="160"/>
      <c r="AS1736" s="160"/>
      <c r="AT1736" s="160"/>
      <c r="AU1736" s="160"/>
      <c r="AV1736" s="160"/>
      <c r="AW1736" s="160"/>
      <c r="AX1736" s="160"/>
      <c r="AY1736" s="160"/>
      <c r="AZ1736" s="160"/>
      <c r="BA1736" s="160"/>
      <c r="BB1736" s="160"/>
      <c r="BC1736" s="160"/>
      <c r="BD1736" s="160"/>
      <c r="BE1736" s="160"/>
      <c r="BF1736" s="160"/>
      <c r="BG1736" s="160"/>
      <c r="BH1736" s="160"/>
      <c r="BI1736" s="160"/>
      <c r="BJ1736" s="160"/>
      <c r="BK1736" s="160"/>
      <c r="BL1736" s="160"/>
      <c r="BM1736" s="160"/>
      <c r="BN1736" s="160"/>
      <c r="BO1736" s="160"/>
      <c r="BP1736" s="160"/>
      <c r="BQ1736" s="160"/>
      <c r="BR1736" s="160"/>
      <c r="BS1736" s="160"/>
      <c r="BT1736" s="160"/>
      <c r="BU1736" s="160"/>
      <c r="BV1736" s="160"/>
      <c r="BW1736" s="160"/>
      <c r="BX1736" s="160"/>
      <c r="BY1736" s="160"/>
      <c r="BZ1736" s="160"/>
      <c r="CA1736" s="160"/>
      <c r="CB1736" s="160"/>
      <c r="CC1736" s="160"/>
      <c r="CD1736" s="160"/>
      <c r="CE1736" s="160"/>
      <c r="CF1736" s="160"/>
      <c r="CG1736" s="160"/>
      <c r="CH1736" s="160"/>
      <c r="CI1736" s="160"/>
      <c r="CJ1736" s="160"/>
      <c r="CK1736" s="160"/>
      <c r="CL1736" s="160"/>
      <c r="CM1736" s="160"/>
      <c r="CN1736" s="160"/>
      <c r="CO1736" s="160"/>
      <c r="CP1736" s="162"/>
      <c r="CQ1736" s="163"/>
      <c r="CR1736" s="162"/>
      <c r="CS1736" s="163"/>
      <c r="CT1736" s="162"/>
      <c r="CU1736" s="163"/>
      <c r="CV1736" s="164">
        <f t="shared" si="225"/>
        <v>0</v>
      </c>
      <c r="CW1736" s="165"/>
      <c r="CX1736" s="166"/>
      <c r="CY1736" s="167"/>
      <c r="CZ1736" s="168"/>
      <c r="DA1736" s="169"/>
      <c r="DB1736" s="168"/>
      <c r="DC1736" s="165"/>
      <c r="DD1736" s="166"/>
      <c r="DE1736" s="71"/>
      <c r="DF1736" s="170"/>
      <c r="EO1736" s="375" t="str">
        <f t="shared" si="220"/>
        <v>BOGOTA, D.C._BOGOTA, D.C.</v>
      </c>
      <c r="EP1736" s="376"/>
      <c r="EQ1736" s="376"/>
      <c r="ER1736" s="377"/>
      <c r="ES1736" s="376"/>
      <c r="ET1736" s="376"/>
      <c r="EU1736" s="376"/>
    </row>
    <row r="1737" spans="1:151" s="171" customFormat="1" ht="25.5" x14ac:dyDescent="0.2">
      <c r="A1737" s="242">
        <v>40499</v>
      </c>
      <c r="B1737" s="222" t="s">
        <v>1951</v>
      </c>
      <c r="C1737" s="222" t="s">
        <v>974</v>
      </c>
      <c r="D1737" s="430" t="s">
        <v>837</v>
      </c>
      <c r="E1737" s="107" t="str">
        <f>VLOOKUP(B1737&amp;C1737,Divipola!$C$2:$F$1138,4,FALSE)</f>
        <v>08433</v>
      </c>
      <c r="F1737" s="333"/>
      <c r="G1737" s="221"/>
      <c r="H1737" s="157"/>
      <c r="I1737" s="157"/>
      <c r="J1737" s="157">
        <f>1511*5</f>
        <v>7555</v>
      </c>
      <c r="K1737" s="157">
        <f>1702-4-52-135</f>
        <v>1511</v>
      </c>
      <c r="L1737" s="157"/>
      <c r="M1737" s="157">
        <v>895</v>
      </c>
      <c r="N1737" s="157"/>
      <c r="O1737" s="157"/>
      <c r="P1737" s="157"/>
      <c r="Q1737" s="157"/>
      <c r="R1737" s="157"/>
      <c r="S1737" s="157"/>
      <c r="T1737" s="157"/>
      <c r="U1737" s="157"/>
      <c r="V1737" s="158"/>
      <c r="W1737" s="182"/>
      <c r="X1737" s="1">
        <v>40536</v>
      </c>
      <c r="Y1737" s="78">
        <f t="shared" si="222"/>
        <v>0</v>
      </c>
      <c r="Z1737" s="78">
        <f t="shared" si="223"/>
        <v>144670000</v>
      </c>
      <c r="AA1737" s="78">
        <f t="shared" si="221"/>
        <v>0</v>
      </c>
      <c r="AB1737" s="78">
        <f t="shared" si="224"/>
        <v>0</v>
      </c>
      <c r="AC1737" s="78"/>
      <c r="AD1737" s="78">
        <v>0</v>
      </c>
      <c r="AE1737" s="80">
        <f t="shared" ref="AE1737:AE1800" si="226">Y1737+Z1737+AA1737+AB1737+AC1737+AD1737</f>
        <v>144670000</v>
      </c>
      <c r="AF1737" s="82">
        <v>0</v>
      </c>
      <c r="AG1737" s="69">
        <v>40504</v>
      </c>
      <c r="AH1737" s="84"/>
      <c r="AI1737" s="69" t="s">
        <v>2009</v>
      </c>
      <c r="AJ1737" s="25" t="s">
        <v>2010</v>
      </c>
      <c r="AK1737" s="65">
        <v>27459</v>
      </c>
      <c r="AL1737" s="176" t="s">
        <v>1257</v>
      </c>
      <c r="AM1737" s="173" t="s">
        <v>2614</v>
      </c>
      <c r="AN1737" s="159"/>
      <c r="AO1737" s="160"/>
      <c r="AP1737" s="161"/>
      <c r="AQ1737" s="160"/>
      <c r="AR1737" s="160"/>
      <c r="AS1737" s="160"/>
      <c r="AT1737" s="160"/>
      <c r="AU1737" s="160"/>
      <c r="AV1737" s="160"/>
      <c r="AW1737" s="160"/>
      <c r="AX1737" s="160"/>
      <c r="AY1737" s="160"/>
      <c r="AZ1737" s="160"/>
      <c r="BA1737" s="160"/>
      <c r="BB1737" s="160"/>
      <c r="BC1737" s="160"/>
      <c r="BD1737" s="160"/>
      <c r="BE1737" s="160"/>
      <c r="BF1737" s="160"/>
      <c r="BG1737" s="160"/>
      <c r="BH1737" s="160"/>
      <c r="BI1737" s="160"/>
      <c r="BJ1737" s="160"/>
      <c r="BK1737" s="160"/>
      <c r="BL1737" s="160"/>
      <c r="BM1737" s="160"/>
      <c r="BN1737" s="160"/>
      <c r="BO1737" s="160"/>
      <c r="BP1737" s="160"/>
      <c r="BQ1737" s="160"/>
      <c r="BR1737" s="160"/>
      <c r="BS1737" s="160"/>
      <c r="BT1737" s="160"/>
      <c r="BU1737" s="160"/>
      <c r="BV1737" s="160"/>
      <c r="BW1737" s="160"/>
      <c r="BX1737" s="160"/>
      <c r="BY1737" s="160"/>
      <c r="BZ1737" s="160"/>
      <c r="CA1737" s="160"/>
      <c r="CB1737" s="160"/>
      <c r="CC1737" s="160"/>
      <c r="CD1737" s="160"/>
      <c r="CE1737" s="160"/>
      <c r="CF1737" s="160"/>
      <c r="CG1737" s="160"/>
      <c r="CH1737" s="160"/>
      <c r="CI1737" s="160"/>
      <c r="CJ1737" s="160"/>
      <c r="CK1737" s="160"/>
      <c r="CL1737" s="160"/>
      <c r="CM1737" s="160"/>
      <c r="CN1737" s="160"/>
      <c r="CO1737" s="160"/>
      <c r="CP1737" s="162"/>
      <c r="CQ1737" s="163"/>
      <c r="CR1737" s="162"/>
      <c r="CS1737" s="163"/>
      <c r="CT1737" s="162"/>
      <c r="CU1737" s="163"/>
      <c r="CV1737" s="164">
        <f t="shared" si="225"/>
        <v>0</v>
      </c>
      <c r="CW1737" s="165"/>
      <c r="CX1737" s="166"/>
      <c r="CY1737" s="167">
        <v>1702</v>
      </c>
      <c r="CZ1737" s="168">
        <f>1702*85000</f>
        <v>144670000</v>
      </c>
      <c r="DA1737" s="169"/>
      <c r="DB1737" s="168"/>
      <c r="DC1737" s="165"/>
      <c r="DD1737" s="166"/>
      <c r="DE1737" s="71"/>
      <c r="DF1737" s="170"/>
      <c r="EO1737" s="375" t="str">
        <f t="shared" si="220"/>
        <v>ATLANTICO_MALAMBO</v>
      </c>
      <c r="EP1737" s="376"/>
      <c r="EQ1737" s="376"/>
      <c r="ER1737" s="377"/>
      <c r="ES1737" s="376"/>
      <c r="ET1737" s="376"/>
      <c r="EU1737" s="376"/>
    </row>
    <row r="1738" spans="1:151" s="171" customFormat="1" ht="25.5" x14ac:dyDescent="0.2">
      <c r="A1738" s="242">
        <v>40499</v>
      </c>
      <c r="B1738" s="222" t="s">
        <v>2017</v>
      </c>
      <c r="C1738" s="222" t="s">
        <v>1215</v>
      </c>
      <c r="D1738" s="427" t="s">
        <v>2307</v>
      </c>
      <c r="E1738" s="107" t="str">
        <f>VLOOKUP(B1738&amp;C1738,Divipola!$C$2:$F$1138,4,FALSE)</f>
        <v>13001</v>
      </c>
      <c r="F1738" s="330"/>
      <c r="G1738" s="221"/>
      <c r="H1738" s="157"/>
      <c r="I1738" s="157"/>
      <c r="J1738" s="157">
        <v>260</v>
      </c>
      <c r="K1738" s="157">
        <v>50</v>
      </c>
      <c r="L1738" s="157">
        <v>15</v>
      </c>
      <c r="M1738" s="157">
        <f>50-15</f>
        <v>35</v>
      </c>
      <c r="N1738" s="157"/>
      <c r="O1738" s="157"/>
      <c r="P1738" s="157"/>
      <c r="Q1738" s="157"/>
      <c r="R1738" s="157"/>
      <c r="S1738" s="157"/>
      <c r="T1738" s="157"/>
      <c r="U1738" s="157"/>
      <c r="V1738" s="158"/>
      <c r="W1738" s="182"/>
      <c r="X1738" s="1"/>
      <c r="Y1738" s="78">
        <f t="shared" si="222"/>
        <v>0</v>
      </c>
      <c r="Z1738" s="78">
        <f t="shared" si="223"/>
        <v>0</v>
      </c>
      <c r="AA1738" s="78">
        <f t="shared" si="221"/>
        <v>0</v>
      </c>
      <c r="AB1738" s="78">
        <f t="shared" si="224"/>
        <v>0</v>
      </c>
      <c r="AC1738" s="78"/>
      <c r="AD1738" s="78">
        <v>0</v>
      </c>
      <c r="AE1738" s="80">
        <f t="shared" si="226"/>
        <v>0</v>
      </c>
      <c r="AF1738" s="82">
        <v>0</v>
      </c>
      <c r="AG1738" s="69">
        <v>40504</v>
      </c>
      <c r="AH1738" s="84"/>
      <c r="AI1738" s="69" t="s">
        <v>1984</v>
      </c>
      <c r="AJ1738" s="25" t="s">
        <v>1985</v>
      </c>
      <c r="AK1738" s="65"/>
      <c r="AL1738" s="176" t="s">
        <v>1257</v>
      </c>
      <c r="AM1738" s="173" t="s">
        <v>2613</v>
      </c>
      <c r="AN1738" s="159"/>
      <c r="AO1738" s="160"/>
      <c r="AP1738" s="161"/>
      <c r="AQ1738" s="160"/>
      <c r="AR1738" s="160"/>
      <c r="AS1738" s="160"/>
      <c r="AT1738" s="160"/>
      <c r="AU1738" s="160"/>
      <c r="AV1738" s="160"/>
      <c r="AW1738" s="160"/>
      <c r="AX1738" s="160"/>
      <c r="AY1738" s="160"/>
      <c r="AZ1738" s="160"/>
      <c r="BA1738" s="160"/>
      <c r="BB1738" s="160"/>
      <c r="BC1738" s="160"/>
      <c r="BD1738" s="160"/>
      <c r="BE1738" s="160"/>
      <c r="BF1738" s="160"/>
      <c r="BG1738" s="160"/>
      <c r="BH1738" s="160"/>
      <c r="BI1738" s="160"/>
      <c r="BJ1738" s="160"/>
      <c r="BK1738" s="160"/>
      <c r="BL1738" s="160"/>
      <c r="BM1738" s="160"/>
      <c r="BN1738" s="160"/>
      <c r="BO1738" s="160"/>
      <c r="BP1738" s="160"/>
      <c r="BQ1738" s="160"/>
      <c r="BR1738" s="160"/>
      <c r="BS1738" s="160"/>
      <c r="BT1738" s="160"/>
      <c r="BU1738" s="160"/>
      <c r="BV1738" s="160"/>
      <c r="BW1738" s="160"/>
      <c r="BX1738" s="160"/>
      <c r="BY1738" s="160"/>
      <c r="BZ1738" s="160"/>
      <c r="CA1738" s="160"/>
      <c r="CB1738" s="160"/>
      <c r="CC1738" s="160"/>
      <c r="CD1738" s="160"/>
      <c r="CE1738" s="160"/>
      <c r="CF1738" s="160"/>
      <c r="CG1738" s="160"/>
      <c r="CH1738" s="160"/>
      <c r="CI1738" s="160"/>
      <c r="CJ1738" s="160"/>
      <c r="CK1738" s="160"/>
      <c r="CL1738" s="160"/>
      <c r="CM1738" s="160"/>
      <c r="CN1738" s="160"/>
      <c r="CO1738" s="160"/>
      <c r="CP1738" s="162"/>
      <c r="CQ1738" s="163"/>
      <c r="CR1738" s="162"/>
      <c r="CS1738" s="163"/>
      <c r="CT1738" s="162"/>
      <c r="CU1738" s="163"/>
      <c r="CV1738" s="164">
        <f t="shared" si="225"/>
        <v>0</v>
      </c>
      <c r="CW1738" s="165"/>
      <c r="CX1738" s="166"/>
      <c r="CY1738" s="167"/>
      <c r="CZ1738" s="168"/>
      <c r="DA1738" s="169"/>
      <c r="DB1738" s="168"/>
      <c r="DC1738" s="165"/>
      <c r="DD1738" s="166"/>
      <c r="DE1738" s="71"/>
      <c r="DF1738" s="170"/>
      <c r="EO1738" s="375" t="str">
        <f t="shared" si="220"/>
        <v>BOLIVAR_CARTAGENA</v>
      </c>
      <c r="EP1738" s="376"/>
      <c r="EQ1738" s="376"/>
      <c r="ER1738" s="377"/>
      <c r="ES1738" s="376"/>
      <c r="ET1738" s="376"/>
      <c r="EU1738" s="376"/>
    </row>
    <row r="1739" spans="1:151" s="171" customFormat="1" ht="25.5" x14ac:dyDescent="0.2">
      <c r="A1739" s="242">
        <v>40499</v>
      </c>
      <c r="B1739" s="222" t="s">
        <v>289</v>
      </c>
      <c r="C1739" s="222" t="s">
        <v>3140</v>
      </c>
      <c r="D1739" s="430" t="s">
        <v>837</v>
      </c>
      <c r="E1739" s="107" t="str">
        <f>VLOOKUP(B1739&amp;C1739,Divipola!$C$2:$F$1138,4,FALSE)</f>
        <v>17388</v>
      </c>
      <c r="F1739" s="333"/>
      <c r="G1739" s="221"/>
      <c r="H1739" s="157"/>
      <c r="I1739" s="157"/>
      <c r="J1739" s="157">
        <f>176*5</f>
        <v>880</v>
      </c>
      <c r="K1739" s="157">
        <f>217-41</f>
        <v>176</v>
      </c>
      <c r="L1739" s="157"/>
      <c r="M1739" s="157">
        <v>6</v>
      </c>
      <c r="N1739" s="157"/>
      <c r="O1739" s="157"/>
      <c r="P1739" s="157"/>
      <c r="Q1739" s="157"/>
      <c r="R1739" s="157"/>
      <c r="S1739" s="157"/>
      <c r="T1739" s="157"/>
      <c r="U1739" s="157"/>
      <c r="V1739" s="158"/>
      <c r="W1739" s="182"/>
      <c r="X1739" s="1"/>
      <c r="Y1739" s="78">
        <f t="shared" si="222"/>
        <v>0</v>
      </c>
      <c r="Z1739" s="78">
        <f t="shared" si="223"/>
        <v>0</v>
      </c>
      <c r="AA1739" s="78">
        <f t="shared" si="221"/>
        <v>0</v>
      </c>
      <c r="AB1739" s="78">
        <f t="shared" si="224"/>
        <v>0</v>
      </c>
      <c r="AC1739" s="78"/>
      <c r="AD1739" s="78">
        <v>0</v>
      </c>
      <c r="AE1739" s="80">
        <f t="shared" si="226"/>
        <v>0</v>
      </c>
      <c r="AF1739" s="82">
        <v>0</v>
      </c>
      <c r="AG1739" s="69">
        <v>40504</v>
      </c>
      <c r="AH1739" s="84"/>
      <c r="AI1739" s="69" t="s">
        <v>2009</v>
      </c>
      <c r="AJ1739" s="25" t="s">
        <v>2010</v>
      </c>
      <c r="AK1739" s="65"/>
      <c r="AL1739" s="184" t="s">
        <v>3833</v>
      </c>
      <c r="AM1739" s="173" t="s">
        <v>1645</v>
      </c>
      <c r="AN1739" s="159"/>
      <c r="AO1739" s="160"/>
      <c r="AP1739" s="161"/>
      <c r="AQ1739" s="160"/>
      <c r="AR1739" s="160"/>
      <c r="AS1739" s="160"/>
      <c r="AT1739" s="160"/>
      <c r="AU1739" s="160"/>
      <c r="AV1739" s="160"/>
      <c r="AW1739" s="160"/>
      <c r="AX1739" s="160"/>
      <c r="AY1739" s="160"/>
      <c r="AZ1739" s="160"/>
      <c r="BA1739" s="160"/>
      <c r="BB1739" s="160"/>
      <c r="BC1739" s="160"/>
      <c r="BD1739" s="160"/>
      <c r="BE1739" s="160"/>
      <c r="BF1739" s="160"/>
      <c r="BG1739" s="160"/>
      <c r="BH1739" s="160"/>
      <c r="BI1739" s="160"/>
      <c r="BJ1739" s="160"/>
      <c r="BK1739" s="160"/>
      <c r="BL1739" s="160"/>
      <c r="BM1739" s="160"/>
      <c r="BN1739" s="160"/>
      <c r="BO1739" s="160"/>
      <c r="BP1739" s="160"/>
      <c r="BQ1739" s="160"/>
      <c r="BR1739" s="160"/>
      <c r="BS1739" s="160"/>
      <c r="BT1739" s="160"/>
      <c r="BU1739" s="160"/>
      <c r="BV1739" s="160"/>
      <c r="BW1739" s="160"/>
      <c r="BX1739" s="160"/>
      <c r="BY1739" s="160"/>
      <c r="BZ1739" s="160"/>
      <c r="CA1739" s="160"/>
      <c r="CB1739" s="160"/>
      <c r="CC1739" s="160"/>
      <c r="CD1739" s="160"/>
      <c r="CE1739" s="160"/>
      <c r="CF1739" s="160"/>
      <c r="CG1739" s="160"/>
      <c r="CH1739" s="160"/>
      <c r="CI1739" s="160"/>
      <c r="CJ1739" s="160"/>
      <c r="CK1739" s="160"/>
      <c r="CL1739" s="160"/>
      <c r="CM1739" s="160"/>
      <c r="CN1739" s="160"/>
      <c r="CO1739" s="160"/>
      <c r="CP1739" s="162"/>
      <c r="CQ1739" s="163"/>
      <c r="CR1739" s="162"/>
      <c r="CS1739" s="163"/>
      <c r="CT1739" s="162"/>
      <c r="CU1739" s="163"/>
      <c r="CV1739" s="164">
        <f t="shared" si="225"/>
        <v>0</v>
      </c>
      <c r="CW1739" s="165"/>
      <c r="CX1739" s="166"/>
      <c r="CY1739" s="167"/>
      <c r="CZ1739" s="168"/>
      <c r="DA1739" s="169"/>
      <c r="DB1739" s="168"/>
      <c r="DC1739" s="165"/>
      <c r="DD1739" s="166"/>
      <c r="DE1739" s="71"/>
      <c r="DF1739" s="170"/>
      <c r="EO1739" s="375" t="str">
        <f t="shared" si="220"/>
        <v>CALDAS_LA MERCED</v>
      </c>
      <c r="EP1739" s="376"/>
      <c r="EQ1739" s="376"/>
      <c r="ER1739" s="377"/>
      <c r="ES1739" s="376"/>
      <c r="ET1739" s="376"/>
      <c r="EU1739" s="376"/>
    </row>
    <row r="1740" spans="1:151" s="171" customFormat="1" ht="25.5" x14ac:dyDescent="0.2">
      <c r="A1740" s="242">
        <v>40499</v>
      </c>
      <c r="B1740" s="222" t="s">
        <v>289</v>
      </c>
      <c r="C1740" s="222" t="s">
        <v>711</v>
      </c>
      <c r="D1740" s="427" t="s">
        <v>2307</v>
      </c>
      <c r="E1740" s="107" t="str">
        <f>VLOOKUP(B1740&amp;C1740,Divipola!$C$2:$F$1138,4,FALSE)</f>
        <v>17001</v>
      </c>
      <c r="F1740" s="330"/>
      <c r="G1740" s="221"/>
      <c r="H1740" s="157"/>
      <c r="I1740" s="157"/>
      <c r="J1740" s="157">
        <f>430*5</f>
        <v>2150</v>
      </c>
      <c r="K1740" s="157">
        <f>471-3-4-24-10</f>
        <v>430</v>
      </c>
      <c r="L1740" s="157">
        <v>7</v>
      </c>
      <c r="M1740" s="157">
        <v>18</v>
      </c>
      <c r="N1740" s="157"/>
      <c r="O1740" s="157"/>
      <c r="P1740" s="157"/>
      <c r="Q1740" s="157"/>
      <c r="R1740" s="157"/>
      <c r="S1740" s="157"/>
      <c r="T1740" s="157"/>
      <c r="U1740" s="157"/>
      <c r="V1740" s="158"/>
      <c r="W1740" s="182"/>
      <c r="X1740" s="1"/>
      <c r="Y1740" s="78">
        <f t="shared" si="222"/>
        <v>0</v>
      </c>
      <c r="Z1740" s="78">
        <f t="shared" si="223"/>
        <v>0</v>
      </c>
      <c r="AA1740" s="78">
        <f t="shared" si="221"/>
        <v>0</v>
      </c>
      <c r="AB1740" s="78">
        <f t="shared" si="224"/>
        <v>0</v>
      </c>
      <c r="AC1740" s="78"/>
      <c r="AD1740" s="78">
        <v>0</v>
      </c>
      <c r="AE1740" s="80">
        <f t="shared" si="226"/>
        <v>0</v>
      </c>
      <c r="AF1740" s="82">
        <v>0</v>
      </c>
      <c r="AG1740" s="69">
        <v>40504</v>
      </c>
      <c r="AH1740" s="84"/>
      <c r="AI1740" s="69" t="s">
        <v>2009</v>
      </c>
      <c r="AJ1740" s="25" t="s">
        <v>2010</v>
      </c>
      <c r="AK1740" s="65"/>
      <c r="AL1740" s="184" t="s">
        <v>3833</v>
      </c>
      <c r="AM1740" s="173" t="s">
        <v>1642</v>
      </c>
      <c r="AN1740" s="159"/>
      <c r="AO1740" s="160"/>
      <c r="AP1740" s="161"/>
      <c r="AQ1740" s="160"/>
      <c r="AR1740" s="160"/>
      <c r="AS1740" s="160"/>
      <c r="AT1740" s="160"/>
      <c r="AU1740" s="160"/>
      <c r="AV1740" s="160"/>
      <c r="AW1740" s="160"/>
      <c r="AX1740" s="160"/>
      <c r="AY1740" s="160"/>
      <c r="AZ1740" s="160"/>
      <c r="BA1740" s="160"/>
      <c r="BB1740" s="160"/>
      <c r="BC1740" s="160"/>
      <c r="BD1740" s="160"/>
      <c r="BE1740" s="160"/>
      <c r="BF1740" s="160"/>
      <c r="BG1740" s="160"/>
      <c r="BH1740" s="160"/>
      <c r="BI1740" s="160"/>
      <c r="BJ1740" s="160"/>
      <c r="BK1740" s="160"/>
      <c r="BL1740" s="160"/>
      <c r="BM1740" s="160"/>
      <c r="BN1740" s="160"/>
      <c r="BO1740" s="160"/>
      <c r="BP1740" s="160"/>
      <c r="BQ1740" s="160"/>
      <c r="BR1740" s="160"/>
      <c r="BS1740" s="160"/>
      <c r="BT1740" s="160"/>
      <c r="BU1740" s="160"/>
      <c r="BV1740" s="160"/>
      <c r="BW1740" s="160"/>
      <c r="BX1740" s="160"/>
      <c r="BY1740" s="160"/>
      <c r="BZ1740" s="160"/>
      <c r="CA1740" s="160"/>
      <c r="CB1740" s="160"/>
      <c r="CC1740" s="160"/>
      <c r="CD1740" s="160"/>
      <c r="CE1740" s="160"/>
      <c r="CF1740" s="160"/>
      <c r="CG1740" s="160"/>
      <c r="CH1740" s="160"/>
      <c r="CI1740" s="160"/>
      <c r="CJ1740" s="160"/>
      <c r="CK1740" s="160"/>
      <c r="CL1740" s="160"/>
      <c r="CM1740" s="160"/>
      <c r="CN1740" s="160"/>
      <c r="CO1740" s="160"/>
      <c r="CP1740" s="162"/>
      <c r="CQ1740" s="163"/>
      <c r="CR1740" s="162"/>
      <c r="CS1740" s="163"/>
      <c r="CT1740" s="162"/>
      <c r="CU1740" s="163"/>
      <c r="CV1740" s="164">
        <f t="shared" si="225"/>
        <v>0</v>
      </c>
      <c r="CW1740" s="165"/>
      <c r="CX1740" s="166"/>
      <c r="CY1740" s="167"/>
      <c r="CZ1740" s="168"/>
      <c r="DA1740" s="169"/>
      <c r="DB1740" s="168"/>
      <c r="DC1740" s="165"/>
      <c r="DD1740" s="166"/>
      <c r="DE1740" s="71"/>
      <c r="DF1740" s="170"/>
      <c r="EO1740" s="375" t="str">
        <f t="shared" si="220"/>
        <v>CALDAS_MANIZALES</v>
      </c>
      <c r="EP1740" s="376"/>
      <c r="EQ1740" s="376"/>
      <c r="ER1740" s="377"/>
      <c r="ES1740" s="376"/>
      <c r="ET1740" s="376"/>
      <c r="EU1740" s="376"/>
    </row>
    <row r="1741" spans="1:151" s="171" customFormat="1" ht="60" x14ac:dyDescent="0.2">
      <c r="A1741" s="242">
        <v>40499</v>
      </c>
      <c r="B1741" s="222" t="s">
        <v>1189</v>
      </c>
      <c r="C1741" s="222" t="s">
        <v>1953</v>
      </c>
      <c r="D1741" s="430" t="s">
        <v>837</v>
      </c>
      <c r="E1741" s="107" t="str">
        <f>VLOOKUP(B1741&amp;C1741,Divipola!$C$2:$F$1138,4,FALSE)</f>
        <v>85440</v>
      </c>
      <c r="F1741" s="333"/>
      <c r="G1741" s="221">
        <v>1</v>
      </c>
      <c r="H1741" s="157"/>
      <c r="I1741" s="157"/>
      <c r="J1741" s="157">
        <f>182*5</f>
        <v>910</v>
      </c>
      <c r="K1741" s="157">
        <v>182</v>
      </c>
      <c r="L1741" s="157"/>
      <c r="M1741" s="157">
        <v>182</v>
      </c>
      <c r="N1741" s="157"/>
      <c r="O1741" s="157"/>
      <c r="P1741" s="157"/>
      <c r="Q1741" s="157"/>
      <c r="R1741" s="157"/>
      <c r="S1741" s="157"/>
      <c r="T1741" s="157"/>
      <c r="U1741" s="157"/>
      <c r="V1741" s="158"/>
      <c r="W1741" s="182" t="s">
        <v>2611</v>
      </c>
      <c r="X1741" s="1"/>
      <c r="Y1741" s="78">
        <f t="shared" si="222"/>
        <v>0</v>
      </c>
      <c r="Z1741" s="78">
        <f t="shared" si="223"/>
        <v>0</v>
      </c>
      <c r="AA1741" s="78">
        <f t="shared" si="221"/>
        <v>0</v>
      </c>
      <c r="AB1741" s="78">
        <f t="shared" si="224"/>
        <v>0</v>
      </c>
      <c r="AC1741" s="78"/>
      <c r="AD1741" s="78">
        <v>0</v>
      </c>
      <c r="AE1741" s="80">
        <f t="shared" si="226"/>
        <v>0</v>
      </c>
      <c r="AF1741" s="82">
        <v>0</v>
      </c>
      <c r="AG1741" s="69">
        <v>40504</v>
      </c>
      <c r="AH1741" s="84"/>
      <c r="AI1741" s="69" t="s">
        <v>1984</v>
      </c>
      <c r="AJ1741" s="25" t="s">
        <v>1985</v>
      </c>
      <c r="AK1741" s="65"/>
      <c r="AL1741" s="176" t="s">
        <v>1257</v>
      </c>
      <c r="AM1741" s="173" t="s">
        <v>2610</v>
      </c>
      <c r="AN1741" s="159"/>
      <c r="AO1741" s="160"/>
      <c r="AP1741" s="161"/>
      <c r="AQ1741" s="160"/>
      <c r="AR1741" s="160"/>
      <c r="AS1741" s="160"/>
      <c r="AT1741" s="160"/>
      <c r="AU1741" s="160"/>
      <c r="AV1741" s="160"/>
      <c r="AW1741" s="160"/>
      <c r="AX1741" s="160"/>
      <c r="AY1741" s="160"/>
      <c r="AZ1741" s="160"/>
      <c r="BA1741" s="160"/>
      <c r="BB1741" s="160"/>
      <c r="BC1741" s="160"/>
      <c r="BD1741" s="160"/>
      <c r="BE1741" s="160"/>
      <c r="BF1741" s="160"/>
      <c r="BG1741" s="160"/>
      <c r="BH1741" s="160"/>
      <c r="BI1741" s="160"/>
      <c r="BJ1741" s="160"/>
      <c r="BK1741" s="160"/>
      <c r="BL1741" s="160"/>
      <c r="BM1741" s="160"/>
      <c r="BN1741" s="160"/>
      <c r="BO1741" s="160"/>
      <c r="BP1741" s="160"/>
      <c r="BQ1741" s="160"/>
      <c r="BR1741" s="160"/>
      <c r="BS1741" s="160"/>
      <c r="BT1741" s="160"/>
      <c r="BU1741" s="160"/>
      <c r="BV1741" s="160"/>
      <c r="BW1741" s="160"/>
      <c r="BX1741" s="160"/>
      <c r="BY1741" s="160"/>
      <c r="BZ1741" s="160"/>
      <c r="CA1741" s="160"/>
      <c r="CB1741" s="160"/>
      <c r="CC1741" s="160"/>
      <c r="CD1741" s="160"/>
      <c r="CE1741" s="160"/>
      <c r="CF1741" s="160"/>
      <c r="CG1741" s="160"/>
      <c r="CH1741" s="160"/>
      <c r="CI1741" s="160"/>
      <c r="CJ1741" s="160"/>
      <c r="CK1741" s="160"/>
      <c r="CL1741" s="160"/>
      <c r="CM1741" s="160"/>
      <c r="CN1741" s="160"/>
      <c r="CO1741" s="160"/>
      <c r="CP1741" s="162"/>
      <c r="CQ1741" s="163"/>
      <c r="CR1741" s="162"/>
      <c r="CS1741" s="163"/>
      <c r="CT1741" s="162"/>
      <c r="CU1741" s="163"/>
      <c r="CV1741" s="164">
        <f t="shared" si="225"/>
        <v>0</v>
      </c>
      <c r="CW1741" s="165"/>
      <c r="CX1741" s="166"/>
      <c r="CY1741" s="167"/>
      <c r="CZ1741" s="168"/>
      <c r="DA1741" s="169"/>
      <c r="DB1741" s="168"/>
      <c r="DC1741" s="165"/>
      <c r="DD1741" s="166"/>
      <c r="DE1741" s="71"/>
      <c r="DF1741" s="170"/>
      <c r="EO1741" s="375" t="str">
        <f t="shared" si="220"/>
        <v>CASANARE_VILLANUEVA</v>
      </c>
      <c r="EP1741" s="376"/>
      <c r="EQ1741" s="376"/>
      <c r="ER1741" s="377"/>
      <c r="ES1741" s="376"/>
      <c r="ET1741" s="376"/>
      <c r="EU1741" s="376"/>
    </row>
    <row r="1742" spans="1:151" s="171" customFormat="1" ht="36" x14ac:dyDescent="0.2">
      <c r="A1742" s="242">
        <v>40499</v>
      </c>
      <c r="B1742" s="222" t="s">
        <v>1719</v>
      </c>
      <c r="C1742" s="222" t="s">
        <v>4267</v>
      </c>
      <c r="D1742" s="430" t="s">
        <v>837</v>
      </c>
      <c r="E1742" s="107" t="str">
        <f>VLOOKUP(B1742&amp;C1742,Divipola!$C$2:$F$1138,4,FALSE)</f>
        <v>19418</v>
      </c>
      <c r="F1742" s="333"/>
      <c r="G1742" s="221">
        <v>2</v>
      </c>
      <c r="H1742" s="157"/>
      <c r="I1742" s="157"/>
      <c r="J1742" s="157">
        <f>1382*5</f>
        <v>6910</v>
      </c>
      <c r="K1742" s="157">
        <f>3429-800-40-802-405</f>
        <v>1382</v>
      </c>
      <c r="L1742" s="157"/>
      <c r="M1742" s="157">
        <v>802</v>
      </c>
      <c r="N1742" s="157"/>
      <c r="O1742" s="157"/>
      <c r="P1742" s="157"/>
      <c r="Q1742" s="157"/>
      <c r="R1742" s="157"/>
      <c r="S1742" s="157"/>
      <c r="T1742" s="157"/>
      <c r="U1742" s="157"/>
      <c r="V1742" s="158"/>
      <c r="W1742" s="182"/>
      <c r="X1742" s="1">
        <v>40463</v>
      </c>
      <c r="Y1742" s="78">
        <f t="shared" si="222"/>
        <v>114997760</v>
      </c>
      <c r="Z1742" s="78">
        <f t="shared" si="223"/>
        <v>84998460</v>
      </c>
      <c r="AA1742" s="78">
        <f t="shared" si="221"/>
        <v>0</v>
      </c>
      <c r="AB1742" s="78">
        <f t="shared" si="224"/>
        <v>0</v>
      </c>
      <c r="AC1742" s="78"/>
      <c r="AD1742" s="78">
        <v>0</v>
      </c>
      <c r="AE1742" s="80">
        <f t="shared" si="226"/>
        <v>199996220</v>
      </c>
      <c r="AF1742" s="82">
        <v>0</v>
      </c>
      <c r="AG1742" s="69">
        <v>40500</v>
      </c>
      <c r="AH1742" s="84">
        <v>65903</v>
      </c>
      <c r="AI1742" s="69" t="s">
        <v>2009</v>
      </c>
      <c r="AJ1742" s="25" t="s">
        <v>2010</v>
      </c>
      <c r="AK1742" s="65">
        <v>27398</v>
      </c>
      <c r="AL1742" s="176" t="s">
        <v>1831</v>
      </c>
      <c r="AM1742" s="173" t="s">
        <v>2623</v>
      </c>
      <c r="AN1742" s="159"/>
      <c r="AO1742" s="160"/>
      <c r="AP1742" s="161"/>
      <c r="AQ1742" s="160"/>
      <c r="AR1742" s="160"/>
      <c r="AS1742" s="160"/>
      <c r="AT1742" s="160"/>
      <c r="AU1742" s="160"/>
      <c r="AV1742" s="160"/>
      <c r="AW1742" s="160"/>
      <c r="AX1742" s="160"/>
      <c r="AY1742" s="160"/>
      <c r="AZ1742" s="160">
        <v>1000</v>
      </c>
      <c r="BA1742" s="160">
        <f>1000*55999.58</f>
        <v>55999580</v>
      </c>
      <c r="BB1742" s="160"/>
      <c r="BC1742" s="160"/>
      <c r="BD1742" s="160"/>
      <c r="BE1742" s="160"/>
      <c r="BF1742" s="160"/>
      <c r="BG1742" s="160"/>
      <c r="BH1742" s="160"/>
      <c r="BI1742" s="160"/>
      <c r="BJ1742" s="160"/>
      <c r="BK1742" s="160"/>
      <c r="BL1742" s="160"/>
      <c r="BM1742" s="160"/>
      <c r="BN1742" s="160"/>
      <c r="BO1742" s="160"/>
      <c r="BP1742" s="160"/>
      <c r="BQ1742" s="160"/>
      <c r="BR1742" s="160"/>
      <c r="BS1742" s="160"/>
      <c r="BT1742" s="160"/>
      <c r="BU1742" s="160"/>
      <c r="BV1742" s="160"/>
      <c r="BW1742" s="160"/>
      <c r="BX1742" s="160"/>
      <c r="BY1742" s="160"/>
      <c r="BZ1742" s="160"/>
      <c r="CA1742" s="160"/>
      <c r="CB1742" s="160"/>
      <c r="CC1742" s="160"/>
      <c r="CD1742" s="160"/>
      <c r="CE1742" s="160"/>
      <c r="CF1742" s="160"/>
      <c r="CG1742" s="160"/>
      <c r="CH1742" s="160"/>
      <c r="CI1742" s="160"/>
      <c r="CJ1742" s="160">
        <v>1000</v>
      </c>
      <c r="CK1742" s="160">
        <f>1000*20998.32</f>
        <v>20998320</v>
      </c>
      <c r="CL1742" s="160"/>
      <c r="CM1742" s="160"/>
      <c r="CN1742" s="160"/>
      <c r="CO1742" s="160"/>
      <c r="CP1742" s="162">
        <v>1000</v>
      </c>
      <c r="CQ1742" s="163">
        <f>1000*37999.86</f>
        <v>37999860</v>
      </c>
      <c r="CR1742" s="162"/>
      <c r="CS1742" s="163"/>
      <c r="CT1742" s="162"/>
      <c r="CU1742" s="163"/>
      <c r="CV1742" s="164">
        <f t="shared" si="225"/>
        <v>114997760</v>
      </c>
      <c r="CW1742" s="165"/>
      <c r="CX1742" s="166"/>
      <c r="CY1742" s="167">
        <v>1000</v>
      </c>
      <c r="CZ1742" s="168">
        <f>1000*84998.46</f>
        <v>84998460</v>
      </c>
      <c r="DA1742" s="169"/>
      <c r="DB1742" s="168"/>
      <c r="DC1742" s="165"/>
      <c r="DD1742" s="166"/>
      <c r="DE1742" s="71"/>
      <c r="DF1742" s="170"/>
      <c r="EO1742" s="375" t="str">
        <f t="shared" si="220"/>
        <v>CAUCA_LOPEZ</v>
      </c>
      <c r="EP1742" s="376"/>
      <c r="EQ1742" s="376"/>
      <c r="ER1742" s="377"/>
      <c r="ES1742" s="376"/>
      <c r="ET1742" s="376"/>
      <c r="EU1742" s="376"/>
    </row>
    <row r="1743" spans="1:151" s="171" customFormat="1" ht="38.25" x14ac:dyDescent="0.2">
      <c r="A1743" s="242">
        <v>40499</v>
      </c>
      <c r="B1743" s="222" t="s">
        <v>2425</v>
      </c>
      <c r="C1743" s="222" t="s">
        <v>1318</v>
      </c>
      <c r="D1743" s="430" t="s">
        <v>837</v>
      </c>
      <c r="E1743" s="107" t="str">
        <f>VLOOKUP(B1743&amp;C1743,Divipola!$C$2:$F$1138,4,FALSE)</f>
        <v>27430</v>
      </c>
      <c r="F1743" s="333"/>
      <c r="G1743" s="221">
        <v>1</v>
      </c>
      <c r="H1743" s="157">
        <v>3</v>
      </c>
      <c r="I1743" s="157"/>
      <c r="J1743" s="157">
        <f>157*5</f>
        <v>785</v>
      </c>
      <c r="K1743" s="157">
        <v>157</v>
      </c>
      <c r="L1743" s="157"/>
      <c r="M1743" s="157">
        <v>157</v>
      </c>
      <c r="N1743" s="157"/>
      <c r="O1743" s="157"/>
      <c r="P1743" s="157"/>
      <c r="Q1743" s="157"/>
      <c r="R1743" s="157"/>
      <c r="S1743" s="157"/>
      <c r="T1743" s="157"/>
      <c r="U1743" s="157"/>
      <c r="V1743" s="158"/>
      <c r="W1743" s="182"/>
      <c r="X1743" s="1"/>
      <c r="Y1743" s="78">
        <f t="shared" si="222"/>
        <v>42002000</v>
      </c>
      <c r="Z1743" s="78">
        <f t="shared" si="223"/>
        <v>96376500</v>
      </c>
      <c r="AA1743" s="78">
        <f t="shared" si="221"/>
        <v>0</v>
      </c>
      <c r="AB1743" s="78">
        <f t="shared" si="224"/>
        <v>0</v>
      </c>
      <c r="AC1743" s="78"/>
      <c r="AD1743" s="78">
        <v>0</v>
      </c>
      <c r="AE1743" s="80">
        <f t="shared" si="226"/>
        <v>138378500</v>
      </c>
      <c r="AF1743" s="82">
        <v>0</v>
      </c>
      <c r="AG1743" s="69">
        <v>40504</v>
      </c>
      <c r="AH1743" s="84"/>
      <c r="AI1743" s="69" t="s">
        <v>2009</v>
      </c>
      <c r="AJ1743" s="25" t="s">
        <v>2010</v>
      </c>
      <c r="AK1743" s="65"/>
      <c r="AL1743" s="176" t="s">
        <v>1257</v>
      </c>
      <c r="AM1743" s="173" t="s">
        <v>2871</v>
      </c>
      <c r="AN1743" s="159"/>
      <c r="AO1743" s="160"/>
      <c r="AP1743" s="161"/>
      <c r="AQ1743" s="160"/>
      <c r="AR1743" s="160"/>
      <c r="AS1743" s="160"/>
      <c r="AT1743" s="160"/>
      <c r="AU1743" s="160"/>
      <c r="AV1743" s="160"/>
      <c r="AW1743" s="160"/>
      <c r="AX1743" s="160"/>
      <c r="AY1743" s="160"/>
      <c r="AZ1743" s="160"/>
      <c r="BA1743" s="160"/>
      <c r="BB1743" s="160">
        <v>400</v>
      </c>
      <c r="BC1743" s="160">
        <f>400*56000</f>
        <v>22400000</v>
      </c>
      <c r="BD1743" s="160"/>
      <c r="BE1743" s="160"/>
      <c r="BF1743" s="160"/>
      <c r="BG1743" s="160"/>
      <c r="BH1743" s="160"/>
      <c r="BI1743" s="160"/>
      <c r="BJ1743" s="160"/>
      <c r="BK1743" s="160"/>
      <c r="BL1743" s="160"/>
      <c r="BM1743" s="160"/>
      <c r="BN1743" s="160"/>
      <c r="BO1743" s="160"/>
      <c r="BP1743" s="160"/>
      <c r="BQ1743" s="160"/>
      <c r="BR1743" s="160"/>
      <c r="BS1743" s="160"/>
      <c r="BT1743" s="160"/>
      <c r="BU1743" s="160"/>
      <c r="BV1743" s="160"/>
      <c r="BW1743" s="160"/>
      <c r="BX1743" s="160"/>
      <c r="BY1743" s="160"/>
      <c r="BZ1743" s="160"/>
      <c r="CA1743" s="160"/>
      <c r="CB1743" s="160"/>
      <c r="CC1743" s="160"/>
      <c r="CD1743" s="160"/>
      <c r="CE1743" s="160"/>
      <c r="CF1743" s="160"/>
      <c r="CG1743" s="160"/>
      <c r="CH1743" s="160"/>
      <c r="CI1743" s="160"/>
      <c r="CJ1743" s="160"/>
      <c r="CK1743" s="160"/>
      <c r="CL1743" s="160"/>
      <c r="CM1743" s="160"/>
      <c r="CN1743" s="160">
        <v>1089</v>
      </c>
      <c r="CO1743" s="160">
        <f>1089*18000</f>
        <v>19602000</v>
      </c>
      <c r="CP1743" s="162"/>
      <c r="CQ1743" s="163"/>
      <c r="CR1743" s="162"/>
      <c r="CS1743" s="163"/>
      <c r="CT1743" s="162"/>
      <c r="CU1743" s="163"/>
      <c r="CV1743" s="164">
        <f t="shared" si="225"/>
        <v>42002000</v>
      </c>
      <c r="CW1743" s="165"/>
      <c r="CX1743" s="166"/>
      <c r="CY1743" s="167">
        <v>1089</v>
      </c>
      <c r="CZ1743" s="168">
        <f>1089*88500</f>
        <v>96376500</v>
      </c>
      <c r="DA1743" s="169"/>
      <c r="DB1743" s="168"/>
      <c r="DC1743" s="165"/>
      <c r="DD1743" s="166"/>
      <c r="DE1743" s="71"/>
      <c r="DF1743" s="170"/>
      <c r="EO1743" s="375" t="str">
        <f t="shared" si="220"/>
        <v>CHOCO_MEDIO BAUDO</v>
      </c>
      <c r="EP1743" s="376"/>
      <c r="EQ1743" s="376"/>
      <c r="ER1743" s="377"/>
      <c r="ES1743" s="376"/>
      <c r="ET1743" s="376"/>
      <c r="EU1743" s="376"/>
    </row>
    <row r="1744" spans="1:151" s="171" customFormat="1" ht="38.25" x14ac:dyDescent="0.2">
      <c r="A1744" s="242">
        <v>40499</v>
      </c>
      <c r="B1744" s="222" t="s">
        <v>2007</v>
      </c>
      <c r="C1744" s="222" t="s">
        <v>1778</v>
      </c>
      <c r="D1744" s="430" t="s">
        <v>837</v>
      </c>
      <c r="E1744" s="107" t="str">
        <f>VLOOKUP(B1744&amp;C1744,Divipola!$C$2:$F$1138,4,FALSE)</f>
        <v>25126</v>
      </c>
      <c r="F1744" s="333"/>
      <c r="G1744" s="221"/>
      <c r="H1744" s="157"/>
      <c r="I1744" s="157"/>
      <c r="J1744" s="157">
        <v>87</v>
      </c>
      <c r="K1744" s="157">
        <v>18</v>
      </c>
      <c r="L1744" s="157">
        <v>6</v>
      </c>
      <c r="M1744" s="157">
        <v>12</v>
      </c>
      <c r="N1744" s="157"/>
      <c r="O1744" s="157"/>
      <c r="P1744" s="157"/>
      <c r="Q1744" s="157"/>
      <c r="R1744" s="157"/>
      <c r="S1744" s="157"/>
      <c r="T1744" s="157"/>
      <c r="U1744" s="157"/>
      <c r="V1744" s="158"/>
      <c r="W1744" s="182"/>
      <c r="X1744" s="1"/>
      <c r="Y1744" s="78">
        <f t="shared" si="222"/>
        <v>0</v>
      </c>
      <c r="Z1744" s="78">
        <f t="shared" si="223"/>
        <v>0</v>
      </c>
      <c r="AA1744" s="78">
        <f t="shared" si="221"/>
        <v>0</v>
      </c>
      <c r="AB1744" s="78">
        <f t="shared" si="224"/>
        <v>0</v>
      </c>
      <c r="AC1744" s="78"/>
      <c r="AD1744" s="78">
        <v>0</v>
      </c>
      <c r="AE1744" s="80">
        <f t="shared" si="226"/>
        <v>0</v>
      </c>
      <c r="AF1744" s="82">
        <v>0</v>
      </c>
      <c r="AG1744" s="69">
        <v>40504</v>
      </c>
      <c r="AH1744" s="84"/>
      <c r="AI1744" s="69" t="s">
        <v>1984</v>
      </c>
      <c r="AJ1744" s="25" t="s">
        <v>1985</v>
      </c>
      <c r="AK1744" s="65"/>
      <c r="AL1744" s="176" t="s">
        <v>1257</v>
      </c>
      <c r="AM1744" s="173" t="s">
        <v>2497</v>
      </c>
      <c r="AN1744" s="159"/>
      <c r="AO1744" s="160"/>
      <c r="AP1744" s="161"/>
      <c r="AQ1744" s="160"/>
      <c r="AR1744" s="160"/>
      <c r="AS1744" s="160"/>
      <c r="AT1744" s="160"/>
      <c r="AU1744" s="160"/>
      <c r="AV1744" s="160"/>
      <c r="AW1744" s="160"/>
      <c r="AX1744" s="160"/>
      <c r="AY1744" s="160"/>
      <c r="AZ1744" s="160"/>
      <c r="BA1744" s="160"/>
      <c r="BB1744" s="160"/>
      <c r="BC1744" s="160"/>
      <c r="BD1744" s="160"/>
      <c r="BE1744" s="160"/>
      <c r="BF1744" s="160"/>
      <c r="BG1744" s="160"/>
      <c r="BH1744" s="160"/>
      <c r="BI1744" s="160"/>
      <c r="BJ1744" s="160"/>
      <c r="BK1744" s="160"/>
      <c r="BL1744" s="160"/>
      <c r="BM1744" s="160"/>
      <c r="BN1744" s="160"/>
      <c r="BO1744" s="160"/>
      <c r="BP1744" s="160"/>
      <c r="BQ1744" s="160"/>
      <c r="BR1744" s="160"/>
      <c r="BS1744" s="160"/>
      <c r="BT1744" s="160"/>
      <c r="BU1744" s="160"/>
      <c r="BV1744" s="160"/>
      <c r="BW1744" s="160"/>
      <c r="BX1744" s="160"/>
      <c r="BY1744" s="160"/>
      <c r="BZ1744" s="160"/>
      <c r="CA1744" s="160"/>
      <c r="CB1744" s="160"/>
      <c r="CC1744" s="160"/>
      <c r="CD1744" s="160"/>
      <c r="CE1744" s="160"/>
      <c r="CF1744" s="160"/>
      <c r="CG1744" s="160"/>
      <c r="CH1744" s="160"/>
      <c r="CI1744" s="160"/>
      <c r="CJ1744" s="160"/>
      <c r="CK1744" s="160"/>
      <c r="CL1744" s="160"/>
      <c r="CM1744" s="160"/>
      <c r="CN1744" s="160"/>
      <c r="CO1744" s="160"/>
      <c r="CP1744" s="162"/>
      <c r="CQ1744" s="163"/>
      <c r="CR1744" s="162"/>
      <c r="CS1744" s="163"/>
      <c r="CT1744" s="162"/>
      <c r="CU1744" s="163"/>
      <c r="CV1744" s="164">
        <f t="shared" si="225"/>
        <v>0</v>
      </c>
      <c r="CW1744" s="165"/>
      <c r="CX1744" s="166"/>
      <c r="CY1744" s="167"/>
      <c r="CZ1744" s="168"/>
      <c r="DA1744" s="169"/>
      <c r="DB1744" s="168"/>
      <c r="DC1744" s="165"/>
      <c r="DD1744" s="166"/>
      <c r="DE1744" s="71"/>
      <c r="DF1744" s="170"/>
      <c r="EO1744" s="375" t="str">
        <f t="shared" ref="EO1744:EO1806" si="227">B1744&amp;"_"&amp;C1744</f>
        <v>CUNDINAMARCA_CAJICA</v>
      </c>
      <c r="EP1744" s="376"/>
      <c r="EQ1744" s="376"/>
      <c r="ER1744" s="377"/>
      <c r="ES1744" s="376"/>
      <c r="ET1744" s="376"/>
      <c r="EU1744" s="376"/>
    </row>
    <row r="1745" spans="1:151" s="171" customFormat="1" ht="60" x14ac:dyDescent="0.2">
      <c r="A1745" s="242">
        <v>40499</v>
      </c>
      <c r="B1745" s="222" t="s">
        <v>2007</v>
      </c>
      <c r="C1745" s="222" t="s">
        <v>2378</v>
      </c>
      <c r="D1745" s="430" t="s">
        <v>837</v>
      </c>
      <c r="E1745" s="107" t="str">
        <f>VLOOKUP(B1745&amp;C1745,Divipola!$C$2:$F$1138,4,FALSE)</f>
        <v>25214</v>
      </c>
      <c r="F1745" s="333"/>
      <c r="G1745" s="221"/>
      <c r="H1745" s="157"/>
      <c r="I1745" s="157"/>
      <c r="J1745" s="157">
        <v>114</v>
      </c>
      <c r="K1745" s="157">
        <v>33</v>
      </c>
      <c r="L1745" s="157"/>
      <c r="M1745" s="157">
        <v>6</v>
      </c>
      <c r="N1745" s="157">
        <v>1</v>
      </c>
      <c r="O1745" s="157"/>
      <c r="P1745" s="157"/>
      <c r="Q1745" s="157"/>
      <c r="R1745" s="157"/>
      <c r="S1745" s="157"/>
      <c r="T1745" s="157"/>
      <c r="U1745" s="157"/>
      <c r="V1745" s="158"/>
      <c r="W1745" s="182" t="s">
        <v>2180</v>
      </c>
      <c r="X1745" s="1"/>
      <c r="Y1745" s="78">
        <f t="shared" si="222"/>
        <v>0</v>
      </c>
      <c r="Z1745" s="78">
        <f t="shared" si="223"/>
        <v>0</v>
      </c>
      <c r="AA1745" s="78">
        <f t="shared" si="221"/>
        <v>0</v>
      </c>
      <c r="AB1745" s="78">
        <f t="shared" si="224"/>
        <v>0</v>
      </c>
      <c r="AC1745" s="78"/>
      <c r="AD1745" s="78">
        <v>0</v>
      </c>
      <c r="AE1745" s="80">
        <f t="shared" si="226"/>
        <v>0</v>
      </c>
      <c r="AF1745" s="82">
        <v>0</v>
      </c>
      <c r="AG1745" s="69">
        <v>40500</v>
      </c>
      <c r="AH1745" s="84"/>
      <c r="AI1745" s="69" t="s">
        <v>1984</v>
      </c>
      <c r="AJ1745" s="25" t="s">
        <v>1985</v>
      </c>
      <c r="AK1745" s="65"/>
      <c r="AL1745" s="176" t="s">
        <v>1257</v>
      </c>
      <c r="AM1745" s="173" t="s">
        <v>2888</v>
      </c>
      <c r="AN1745" s="159"/>
      <c r="AO1745" s="160"/>
      <c r="AP1745" s="161"/>
      <c r="AQ1745" s="160"/>
      <c r="AR1745" s="160"/>
      <c r="AS1745" s="160"/>
      <c r="AT1745" s="160"/>
      <c r="AU1745" s="160"/>
      <c r="AV1745" s="160"/>
      <c r="AW1745" s="160"/>
      <c r="AX1745" s="160"/>
      <c r="AY1745" s="160"/>
      <c r="AZ1745" s="160"/>
      <c r="BA1745" s="160"/>
      <c r="BB1745" s="160"/>
      <c r="BC1745" s="160"/>
      <c r="BD1745" s="160"/>
      <c r="BE1745" s="160"/>
      <c r="BF1745" s="160"/>
      <c r="BG1745" s="160"/>
      <c r="BH1745" s="160"/>
      <c r="BI1745" s="160"/>
      <c r="BJ1745" s="160"/>
      <c r="BK1745" s="160"/>
      <c r="BL1745" s="160"/>
      <c r="BM1745" s="160"/>
      <c r="BN1745" s="160"/>
      <c r="BO1745" s="160"/>
      <c r="BP1745" s="160"/>
      <c r="BQ1745" s="160"/>
      <c r="BR1745" s="160"/>
      <c r="BS1745" s="160"/>
      <c r="BT1745" s="160"/>
      <c r="BU1745" s="160"/>
      <c r="BV1745" s="160"/>
      <c r="BW1745" s="160"/>
      <c r="BX1745" s="160"/>
      <c r="BY1745" s="160"/>
      <c r="BZ1745" s="160"/>
      <c r="CA1745" s="160"/>
      <c r="CB1745" s="160"/>
      <c r="CC1745" s="160"/>
      <c r="CD1745" s="160"/>
      <c r="CE1745" s="160"/>
      <c r="CF1745" s="160"/>
      <c r="CG1745" s="160"/>
      <c r="CH1745" s="160"/>
      <c r="CI1745" s="160"/>
      <c r="CJ1745" s="160"/>
      <c r="CK1745" s="160"/>
      <c r="CL1745" s="160"/>
      <c r="CM1745" s="160"/>
      <c r="CN1745" s="160"/>
      <c r="CO1745" s="160"/>
      <c r="CP1745" s="162"/>
      <c r="CQ1745" s="163"/>
      <c r="CR1745" s="162"/>
      <c r="CS1745" s="163"/>
      <c r="CT1745" s="162"/>
      <c r="CU1745" s="163"/>
      <c r="CV1745" s="164">
        <f t="shared" si="225"/>
        <v>0</v>
      </c>
      <c r="CW1745" s="165"/>
      <c r="CX1745" s="166"/>
      <c r="CY1745" s="167"/>
      <c r="CZ1745" s="168"/>
      <c r="DA1745" s="169"/>
      <c r="DB1745" s="168"/>
      <c r="DC1745" s="165"/>
      <c r="DD1745" s="166"/>
      <c r="DE1745" s="71"/>
      <c r="DF1745" s="170"/>
      <c r="EO1745" s="375" t="str">
        <f t="shared" si="227"/>
        <v>CUNDINAMARCA_COTA</v>
      </c>
      <c r="EP1745" s="376"/>
      <c r="EQ1745" s="376"/>
      <c r="ER1745" s="377"/>
      <c r="ES1745" s="376"/>
      <c r="ET1745" s="376"/>
      <c r="EU1745" s="376"/>
    </row>
    <row r="1746" spans="1:151" s="171" customFormat="1" ht="38.25" x14ac:dyDescent="0.2">
      <c r="A1746" s="242">
        <v>40499</v>
      </c>
      <c r="B1746" s="222" t="s">
        <v>2007</v>
      </c>
      <c r="C1746" s="222" t="s">
        <v>220</v>
      </c>
      <c r="D1746" s="427" t="s">
        <v>2307</v>
      </c>
      <c r="E1746" s="107" t="str">
        <f>VLOOKUP(B1746&amp;C1746,Divipola!$C$2:$F$1138,4,FALSE)</f>
        <v>25377</v>
      </c>
      <c r="F1746" s="330"/>
      <c r="G1746" s="221"/>
      <c r="H1746" s="157">
        <v>3</v>
      </c>
      <c r="I1746" s="157"/>
      <c r="J1746" s="157">
        <f>18*5</f>
        <v>90</v>
      </c>
      <c r="K1746" s="157">
        <v>18</v>
      </c>
      <c r="L1746" s="157"/>
      <c r="M1746" s="157">
        <f>1+12</f>
        <v>13</v>
      </c>
      <c r="N1746" s="157"/>
      <c r="O1746" s="157"/>
      <c r="P1746" s="157"/>
      <c r="Q1746" s="157"/>
      <c r="R1746" s="157"/>
      <c r="S1746" s="157"/>
      <c r="T1746" s="157"/>
      <c r="U1746" s="157"/>
      <c r="V1746" s="158"/>
      <c r="W1746" s="182"/>
      <c r="X1746" s="1"/>
      <c r="Y1746" s="78">
        <f t="shared" si="222"/>
        <v>0</v>
      </c>
      <c r="Z1746" s="78">
        <f t="shared" si="223"/>
        <v>0</v>
      </c>
      <c r="AA1746" s="78">
        <f t="shared" si="221"/>
        <v>0</v>
      </c>
      <c r="AB1746" s="78">
        <f t="shared" si="224"/>
        <v>0</v>
      </c>
      <c r="AC1746" s="78"/>
      <c r="AD1746" s="78">
        <v>0</v>
      </c>
      <c r="AE1746" s="80">
        <f t="shared" si="226"/>
        <v>0</v>
      </c>
      <c r="AF1746" s="82">
        <v>0</v>
      </c>
      <c r="AG1746" s="69">
        <v>40500</v>
      </c>
      <c r="AH1746" s="84"/>
      <c r="AI1746" s="69" t="s">
        <v>1984</v>
      </c>
      <c r="AJ1746" s="25" t="s">
        <v>1985</v>
      </c>
      <c r="AK1746" s="65"/>
      <c r="AL1746" s="176" t="s">
        <v>1257</v>
      </c>
      <c r="AM1746" s="173" t="s">
        <v>2493</v>
      </c>
      <c r="AN1746" s="159"/>
      <c r="AO1746" s="160"/>
      <c r="AP1746" s="161"/>
      <c r="AQ1746" s="160"/>
      <c r="AR1746" s="160"/>
      <c r="AS1746" s="160"/>
      <c r="AT1746" s="160"/>
      <c r="AU1746" s="160"/>
      <c r="AV1746" s="160"/>
      <c r="AW1746" s="160"/>
      <c r="AX1746" s="160"/>
      <c r="AY1746" s="160"/>
      <c r="AZ1746" s="160"/>
      <c r="BA1746" s="160"/>
      <c r="BB1746" s="160"/>
      <c r="BC1746" s="160"/>
      <c r="BD1746" s="160"/>
      <c r="BE1746" s="160"/>
      <c r="BF1746" s="160"/>
      <c r="BG1746" s="160"/>
      <c r="BH1746" s="160"/>
      <c r="BI1746" s="160"/>
      <c r="BJ1746" s="160"/>
      <c r="BK1746" s="160"/>
      <c r="BL1746" s="160"/>
      <c r="BM1746" s="160"/>
      <c r="BN1746" s="160"/>
      <c r="BO1746" s="160"/>
      <c r="BP1746" s="160"/>
      <c r="BQ1746" s="160"/>
      <c r="BR1746" s="160"/>
      <c r="BS1746" s="160"/>
      <c r="BT1746" s="160"/>
      <c r="BU1746" s="160"/>
      <c r="BV1746" s="160"/>
      <c r="BW1746" s="160"/>
      <c r="BX1746" s="160"/>
      <c r="BY1746" s="160"/>
      <c r="BZ1746" s="160"/>
      <c r="CA1746" s="160"/>
      <c r="CB1746" s="160"/>
      <c r="CC1746" s="160"/>
      <c r="CD1746" s="160"/>
      <c r="CE1746" s="160"/>
      <c r="CF1746" s="160"/>
      <c r="CG1746" s="160"/>
      <c r="CH1746" s="160"/>
      <c r="CI1746" s="160"/>
      <c r="CJ1746" s="160"/>
      <c r="CK1746" s="160"/>
      <c r="CL1746" s="160"/>
      <c r="CM1746" s="160"/>
      <c r="CN1746" s="160"/>
      <c r="CO1746" s="160"/>
      <c r="CP1746" s="162"/>
      <c r="CQ1746" s="163"/>
      <c r="CR1746" s="162"/>
      <c r="CS1746" s="163"/>
      <c r="CT1746" s="162"/>
      <c r="CU1746" s="163"/>
      <c r="CV1746" s="164">
        <f t="shared" si="225"/>
        <v>0</v>
      </c>
      <c r="CW1746" s="165"/>
      <c r="CX1746" s="166"/>
      <c r="CY1746" s="167"/>
      <c r="CZ1746" s="168"/>
      <c r="DA1746" s="169"/>
      <c r="DB1746" s="168"/>
      <c r="DC1746" s="165"/>
      <c r="DD1746" s="166"/>
      <c r="DE1746" s="71"/>
      <c r="DF1746" s="170"/>
      <c r="EO1746" s="375" t="str">
        <f t="shared" si="227"/>
        <v>CUNDINAMARCA_LA CALERA</v>
      </c>
      <c r="EP1746" s="376"/>
      <c r="EQ1746" s="376"/>
      <c r="ER1746" s="377"/>
      <c r="ES1746" s="376"/>
      <c r="ET1746" s="376"/>
      <c r="EU1746" s="376"/>
    </row>
    <row r="1747" spans="1:151" s="171" customFormat="1" ht="84" x14ac:dyDescent="0.2">
      <c r="A1747" s="242">
        <v>40499</v>
      </c>
      <c r="B1747" s="222" t="s">
        <v>2007</v>
      </c>
      <c r="C1747" s="222" t="s">
        <v>1586</v>
      </c>
      <c r="D1747" s="430" t="s">
        <v>837</v>
      </c>
      <c r="E1747" s="107" t="str">
        <f>VLOOKUP(B1747&amp;C1747,Divipola!$C$2:$F$1138,4,FALSE)</f>
        <v>25473</v>
      </c>
      <c r="F1747" s="333"/>
      <c r="G1747" s="221"/>
      <c r="H1747" s="157"/>
      <c r="I1747" s="157"/>
      <c r="J1747" s="157">
        <v>2043</v>
      </c>
      <c r="K1747" s="157">
        <v>445</v>
      </c>
      <c r="L1747" s="157"/>
      <c r="M1747" s="157">
        <v>445</v>
      </c>
      <c r="N1747" s="157"/>
      <c r="O1747" s="157"/>
      <c r="P1747" s="157"/>
      <c r="Q1747" s="157"/>
      <c r="R1747" s="157"/>
      <c r="S1747" s="157"/>
      <c r="T1747" s="157">
        <v>2</v>
      </c>
      <c r="U1747" s="157"/>
      <c r="V1747" s="158">
        <v>1200</v>
      </c>
      <c r="W1747" s="182" t="s">
        <v>1349</v>
      </c>
      <c r="X1747" s="1">
        <v>40550</v>
      </c>
      <c r="Y1747" s="78">
        <f t="shared" si="222"/>
        <v>0</v>
      </c>
      <c r="Z1747" s="78">
        <f t="shared" si="223"/>
        <v>0</v>
      </c>
      <c r="AA1747" s="78">
        <f t="shared" si="221"/>
        <v>0</v>
      </c>
      <c r="AB1747" s="78">
        <f t="shared" si="224"/>
        <v>0</v>
      </c>
      <c r="AC1747" s="78"/>
      <c r="AD1747" s="78">
        <v>50000000</v>
      </c>
      <c r="AE1747" s="80">
        <f t="shared" si="226"/>
        <v>50000000</v>
      </c>
      <c r="AF1747" s="82">
        <v>0</v>
      </c>
      <c r="AG1747" s="69">
        <v>40504</v>
      </c>
      <c r="AH1747" s="84">
        <v>71635</v>
      </c>
      <c r="AI1747" s="69" t="s">
        <v>2009</v>
      </c>
      <c r="AJ1747" s="25" t="s">
        <v>2010</v>
      </c>
      <c r="AK1747" s="65">
        <v>275</v>
      </c>
      <c r="AL1747" s="176" t="s">
        <v>294</v>
      </c>
      <c r="AM1747" s="173" t="s">
        <v>293</v>
      </c>
      <c r="AN1747" s="159"/>
      <c r="AO1747" s="160"/>
      <c r="AP1747" s="161"/>
      <c r="AQ1747" s="160"/>
      <c r="AR1747" s="160"/>
      <c r="AS1747" s="160"/>
      <c r="AT1747" s="160"/>
      <c r="AU1747" s="160"/>
      <c r="AV1747" s="160"/>
      <c r="AW1747" s="160"/>
      <c r="AX1747" s="160"/>
      <c r="AY1747" s="160"/>
      <c r="AZ1747" s="160"/>
      <c r="BA1747" s="160"/>
      <c r="BB1747" s="160"/>
      <c r="BC1747" s="160"/>
      <c r="BD1747" s="160"/>
      <c r="BE1747" s="160"/>
      <c r="BF1747" s="160"/>
      <c r="BG1747" s="160"/>
      <c r="BH1747" s="160"/>
      <c r="BI1747" s="160"/>
      <c r="BJ1747" s="160"/>
      <c r="BK1747" s="160"/>
      <c r="BL1747" s="160"/>
      <c r="BM1747" s="160"/>
      <c r="BN1747" s="160"/>
      <c r="BO1747" s="160"/>
      <c r="BP1747" s="160"/>
      <c r="BQ1747" s="160"/>
      <c r="BR1747" s="160"/>
      <c r="BS1747" s="160"/>
      <c r="BT1747" s="160"/>
      <c r="BU1747" s="160"/>
      <c r="BV1747" s="160"/>
      <c r="BW1747" s="160"/>
      <c r="BX1747" s="160"/>
      <c r="BY1747" s="160"/>
      <c r="BZ1747" s="160"/>
      <c r="CA1747" s="160"/>
      <c r="CB1747" s="160"/>
      <c r="CC1747" s="160"/>
      <c r="CD1747" s="160"/>
      <c r="CE1747" s="160"/>
      <c r="CF1747" s="160"/>
      <c r="CG1747" s="160"/>
      <c r="CH1747" s="160"/>
      <c r="CI1747" s="160"/>
      <c r="CJ1747" s="160"/>
      <c r="CK1747" s="160"/>
      <c r="CL1747" s="160"/>
      <c r="CM1747" s="160"/>
      <c r="CN1747" s="160"/>
      <c r="CO1747" s="160"/>
      <c r="CP1747" s="162"/>
      <c r="CQ1747" s="163"/>
      <c r="CR1747" s="162"/>
      <c r="CS1747" s="163"/>
      <c r="CT1747" s="162"/>
      <c r="CU1747" s="163"/>
      <c r="CV1747" s="164">
        <f t="shared" si="225"/>
        <v>0</v>
      </c>
      <c r="CW1747" s="165"/>
      <c r="CX1747" s="166"/>
      <c r="CY1747" s="167"/>
      <c r="CZ1747" s="168"/>
      <c r="DA1747" s="169"/>
      <c r="DB1747" s="168"/>
      <c r="DC1747" s="165"/>
      <c r="DD1747" s="166"/>
      <c r="DE1747" s="71">
        <v>4</v>
      </c>
      <c r="DF1747" s="170"/>
      <c r="EO1747" s="375" t="str">
        <f t="shared" si="227"/>
        <v>CUNDINAMARCA_MOSQUERA</v>
      </c>
      <c r="EP1747" s="376"/>
      <c r="EQ1747" s="376"/>
      <c r="ER1747" s="377"/>
      <c r="ES1747" s="376"/>
      <c r="ET1747" s="376"/>
      <c r="EU1747" s="376"/>
    </row>
    <row r="1748" spans="1:151" s="171" customFormat="1" ht="76.5" x14ac:dyDescent="0.2">
      <c r="A1748" s="242">
        <v>40499</v>
      </c>
      <c r="B1748" s="222" t="s">
        <v>2007</v>
      </c>
      <c r="C1748" s="222" t="s">
        <v>3740</v>
      </c>
      <c r="D1748" s="430" t="s">
        <v>2307</v>
      </c>
      <c r="E1748" s="107" t="str">
        <f>VLOOKUP(B1748&amp;C1748,Divipola!$C$2:$F$1138,4,FALSE)</f>
        <v>25645</v>
      </c>
      <c r="F1748" s="333"/>
      <c r="G1748" s="221"/>
      <c r="H1748" s="157"/>
      <c r="I1748" s="157"/>
      <c r="J1748" s="157">
        <v>78</v>
      </c>
      <c r="K1748" s="157">
        <v>20</v>
      </c>
      <c r="L1748" s="157"/>
      <c r="M1748" s="157">
        <v>20</v>
      </c>
      <c r="N1748" s="157"/>
      <c r="O1748" s="157"/>
      <c r="P1748" s="157"/>
      <c r="Q1748" s="157"/>
      <c r="R1748" s="157"/>
      <c r="S1748" s="157"/>
      <c r="T1748" s="157"/>
      <c r="U1748" s="157"/>
      <c r="V1748" s="158"/>
      <c r="W1748" s="182"/>
      <c r="X1748" s="1"/>
      <c r="Y1748" s="78">
        <f t="shared" si="222"/>
        <v>0</v>
      </c>
      <c r="Z1748" s="78">
        <f t="shared" si="223"/>
        <v>0</v>
      </c>
      <c r="AA1748" s="78">
        <f t="shared" si="221"/>
        <v>0</v>
      </c>
      <c r="AB1748" s="78">
        <f t="shared" si="224"/>
        <v>0</v>
      </c>
      <c r="AC1748" s="78"/>
      <c r="AD1748" s="78">
        <v>0</v>
      </c>
      <c r="AE1748" s="80">
        <f t="shared" si="226"/>
        <v>0</v>
      </c>
      <c r="AF1748" s="82">
        <v>0</v>
      </c>
      <c r="AG1748" s="69">
        <v>40508</v>
      </c>
      <c r="AH1748" s="84"/>
      <c r="AI1748" s="69" t="s">
        <v>1984</v>
      </c>
      <c r="AJ1748" s="25" t="s">
        <v>1985</v>
      </c>
      <c r="AK1748" s="65"/>
      <c r="AL1748" s="69" t="s">
        <v>1257</v>
      </c>
      <c r="AM1748" s="173" t="s">
        <v>2917</v>
      </c>
      <c r="AN1748" s="159"/>
      <c r="AO1748" s="160"/>
      <c r="AP1748" s="161"/>
      <c r="AQ1748" s="160"/>
      <c r="AR1748" s="160"/>
      <c r="AS1748" s="160"/>
      <c r="AT1748" s="160"/>
      <c r="AU1748" s="160"/>
      <c r="AV1748" s="160"/>
      <c r="AW1748" s="160"/>
      <c r="AX1748" s="160"/>
      <c r="AY1748" s="160"/>
      <c r="AZ1748" s="160"/>
      <c r="BA1748" s="160"/>
      <c r="BB1748" s="160"/>
      <c r="BC1748" s="160"/>
      <c r="BD1748" s="160"/>
      <c r="BE1748" s="160"/>
      <c r="BF1748" s="160"/>
      <c r="BG1748" s="160"/>
      <c r="BH1748" s="160"/>
      <c r="BI1748" s="160"/>
      <c r="BJ1748" s="160"/>
      <c r="BK1748" s="160"/>
      <c r="BL1748" s="160"/>
      <c r="BM1748" s="160"/>
      <c r="BN1748" s="160"/>
      <c r="BO1748" s="160"/>
      <c r="BP1748" s="160"/>
      <c r="BQ1748" s="160"/>
      <c r="BR1748" s="160"/>
      <c r="BS1748" s="160"/>
      <c r="BT1748" s="160"/>
      <c r="BU1748" s="160"/>
      <c r="BV1748" s="160"/>
      <c r="BW1748" s="160"/>
      <c r="BX1748" s="160"/>
      <c r="BY1748" s="160"/>
      <c r="BZ1748" s="160"/>
      <c r="CA1748" s="160"/>
      <c r="CB1748" s="160"/>
      <c r="CC1748" s="160"/>
      <c r="CD1748" s="160"/>
      <c r="CE1748" s="160"/>
      <c r="CF1748" s="160"/>
      <c r="CG1748" s="160"/>
      <c r="CH1748" s="160"/>
      <c r="CI1748" s="160"/>
      <c r="CJ1748" s="160"/>
      <c r="CK1748" s="160"/>
      <c r="CL1748" s="160"/>
      <c r="CM1748" s="160"/>
      <c r="CN1748" s="160"/>
      <c r="CO1748" s="160"/>
      <c r="CP1748" s="162"/>
      <c r="CQ1748" s="163"/>
      <c r="CR1748" s="162"/>
      <c r="CS1748" s="163"/>
      <c r="CT1748" s="162"/>
      <c r="CU1748" s="163"/>
      <c r="CV1748" s="164">
        <f t="shared" si="225"/>
        <v>0</v>
      </c>
      <c r="CW1748" s="165"/>
      <c r="CX1748" s="166"/>
      <c r="CY1748" s="167"/>
      <c r="CZ1748" s="168"/>
      <c r="DA1748" s="169"/>
      <c r="DB1748" s="168"/>
      <c r="DC1748" s="165"/>
      <c r="DD1748" s="166"/>
      <c r="DE1748" s="71"/>
      <c r="DF1748" s="170"/>
      <c r="EO1748" s="375" t="str">
        <f t="shared" si="227"/>
        <v>CUNDINAMARCA_SAN ANTONIO DEL TEQUENDAMA</v>
      </c>
      <c r="EP1748" s="376"/>
      <c r="EQ1748" s="376"/>
      <c r="ER1748" s="377"/>
      <c r="ES1748" s="376"/>
      <c r="ET1748" s="376"/>
      <c r="EU1748" s="376"/>
    </row>
    <row r="1749" spans="1:151" s="171" customFormat="1" ht="38.25" x14ac:dyDescent="0.2">
      <c r="A1749" s="242">
        <v>40499</v>
      </c>
      <c r="B1749" s="222" t="s">
        <v>2007</v>
      </c>
      <c r="C1749" s="222" t="s">
        <v>504</v>
      </c>
      <c r="D1749" s="430" t="s">
        <v>837</v>
      </c>
      <c r="E1749" s="107" t="str">
        <f>VLOOKUP(B1749&amp;C1749,Divipola!$C$2:$F$1138,4,FALSE)</f>
        <v>25740</v>
      </c>
      <c r="F1749" s="333"/>
      <c r="G1749" s="221"/>
      <c r="H1749" s="157"/>
      <c r="I1749" s="157"/>
      <c r="J1749" s="157">
        <f>1051-35-40</f>
        <v>976</v>
      </c>
      <c r="K1749" s="183">
        <f>260-7-8</f>
        <v>245</v>
      </c>
      <c r="L1749" s="157"/>
      <c r="M1749" s="157">
        <v>181</v>
      </c>
      <c r="N1749" s="157"/>
      <c r="O1749" s="157"/>
      <c r="P1749" s="157"/>
      <c r="Q1749" s="157"/>
      <c r="R1749" s="157"/>
      <c r="S1749" s="157"/>
      <c r="T1749" s="157">
        <v>1</v>
      </c>
      <c r="U1749" s="157"/>
      <c r="V1749" s="158"/>
      <c r="W1749" s="182"/>
      <c r="X1749" s="1"/>
      <c r="Y1749" s="78">
        <f t="shared" si="222"/>
        <v>0</v>
      </c>
      <c r="Z1749" s="78">
        <f t="shared" si="223"/>
        <v>0</v>
      </c>
      <c r="AA1749" s="78">
        <f t="shared" si="221"/>
        <v>0</v>
      </c>
      <c r="AB1749" s="78">
        <f t="shared" si="224"/>
        <v>0</v>
      </c>
      <c r="AC1749" s="78"/>
      <c r="AD1749" s="78">
        <v>0</v>
      </c>
      <c r="AE1749" s="80">
        <f t="shared" si="226"/>
        <v>0</v>
      </c>
      <c r="AF1749" s="82">
        <v>0</v>
      </c>
      <c r="AG1749" s="69">
        <v>40504</v>
      </c>
      <c r="AH1749" s="84"/>
      <c r="AI1749" s="69" t="s">
        <v>1984</v>
      </c>
      <c r="AJ1749" s="25" t="s">
        <v>1985</v>
      </c>
      <c r="AK1749" s="65"/>
      <c r="AL1749" s="176" t="s">
        <v>1257</v>
      </c>
      <c r="AM1749" s="173" t="s">
        <v>2916</v>
      </c>
      <c r="AN1749" s="159"/>
      <c r="AO1749" s="160"/>
      <c r="AP1749" s="161"/>
      <c r="AQ1749" s="160"/>
      <c r="AR1749" s="160"/>
      <c r="AS1749" s="160"/>
      <c r="AT1749" s="160"/>
      <c r="AU1749" s="160"/>
      <c r="AV1749" s="160"/>
      <c r="AW1749" s="160"/>
      <c r="AX1749" s="160"/>
      <c r="AY1749" s="160"/>
      <c r="AZ1749" s="160"/>
      <c r="BA1749" s="160"/>
      <c r="BB1749" s="160"/>
      <c r="BC1749" s="160"/>
      <c r="BD1749" s="160"/>
      <c r="BE1749" s="160"/>
      <c r="BF1749" s="160"/>
      <c r="BG1749" s="160"/>
      <c r="BH1749" s="160"/>
      <c r="BI1749" s="160"/>
      <c r="BJ1749" s="160"/>
      <c r="BK1749" s="160"/>
      <c r="BL1749" s="160"/>
      <c r="BM1749" s="160"/>
      <c r="BN1749" s="160"/>
      <c r="BO1749" s="160"/>
      <c r="BP1749" s="160"/>
      <c r="BQ1749" s="160"/>
      <c r="BR1749" s="160"/>
      <c r="BS1749" s="160"/>
      <c r="BT1749" s="160"/>
      <c r="BU1749" s="160"/>
      <c r="BV1749" s="160"/>
      <c r="BW1749" s="160"/>
      <c r="BX1749" s="160"/>
      <c r="BY1749" s="160"/>
      <c r="BZ1749" s="160"/>
      <c r="CA1749" s="160"/>
      <c r="CB1749" s="160"/>
      <c r="CC1749" s="160"/>
      <c r="CD1749" s="160"/>
      <c r="CE1749" s="160"/>
      <c r="CF1749" s="160"/>
      <c r="CG1749" s="160"/>
      <c r="CH1749" s="160"/>
      <c r="CI1749" s="160"/>
      <c r="CJ1749" s="160"/>
      <c r="CK1749" s="160"/>
      <c r="CL1749" s="160"/>
      <c r="CM1749" s="160"/>
      <c r="CN1749" s="160"/>
      <c r="CO1749" s="160"/>
      <c r="CP1749" s="162"/>
      <c r="CQ1749" s="163"/>
      <c r="CR1749" s="162"/>
      <c r="CS1749" s="163"/>
      <c r="CT1749" s="162"/>
      <c r="CU1749" s="163"/>
      <c r="CV1749" s="164">
        <f t="shared" si="225"/>
        <v>0</v>
      </c>
      <c r="CW1749" s="165"/>
      <c r="CX1749" s="166"/>
      <c r="CY1749" s="167"/>
      <c r="CZ1749" s="168"/>
      <c r="DA1749" s="169"/>
      <c r="DB1749" s="168"/>
      <c r="DC1749" s="165"/>
      <c r="DD1749" s="166"/>
      <c r="DE1749" s="71"/>
      <c r="DF1749" s="170"/>
      <c r="EO1749" s="375" t="str">
        <f t="shared" si="227"/>
        <v>CUNDINAMARCA_SIBATE</v>
      </c>
      <c r="EP1749" s="376"/>
      <c r="EQ1749" s="376"/>
      <c r="ER1749" s="377"/>
      <c r="ES1749" s="376"/>
      <c r="ET1749" s="376"/>
      <c r="EU1749" s="376"/>
    </row>
    <row r="1750" spans="1:151" s="171" customFormat="1" ht="38.25" x14ac:dyDescent="0.2">
      <c r="A1750" s="242">
        <v>40499</v>
      </c>
      <c r="B1750" s="222" t="s">
        <v>2007</v>
      </c>
      <c r="C1750" s="222" t="s">
        <v>2842</v>
      </c>
      <c r="D1750" s="430" t="s">
        <v>837</v>
      </c>
      <c r="E1750" s="107" t="str">
        <f>VLOOKUP(B1750&amp;C1750,Divipola!$C$2:$F$1138,4,FALSE)</f>
        <v>25785</v>
      </c>
      <c r="F1750" s="333"/>
      <c r="G1750" s="221"/>
      <c r="H1750" s="157"/>
      <c r="I1750" s="157"/>
      <c r="J1750" s="157">
        <v>29</v>
      </c>
      <c r="K1750" s="157">
        <v>7</v>
      </c>
      <c r="L1750" s="157"/>
      <c r="M1750" s="157">
        <v>3</v>
      </c>
      <c r="N1750" s="157"/>
      <c r="O1750" s="157"/>
      <c r="P1750" s="157"/>
      <c r="Q1750" s="157"/>
      <c r="R1750" s="157"/>
      <c r="S1750" s="157"/>
      <c r="T1750" s="157"/>
      <c r="U1750" s="157"/>
      <c r="V1750" s="158"/>
      <c r="W1750" s="182"/>
      <c r="X1750" s="1"/>
      <c r="Y1750" s="78">
        <f t="shared" si="222"/>
        <v>0</v>
      </c>
      <c r="Z1750" s="78">
        <f t="shared" si="223"/>
        <v>0</v>
      </c>
      <c r="AA1750" s="78">
        <f t="shared" si="221"/>
        <v>0</v>
      </c>
      <c r="AB1750" s="78">
        <f t="shared" si="224"/>
        <v>0</v>
      </c>
      <c r="AC1750" s="78"/>
      <c r="AD1750" s="78">
        <v>0</v>
      </c>
      <c r="AE1750" s="80">
        <f t="shared" si="226"/>
        <v>0</v>
      </c>
      <c r="AF1750" s="82">
        <v>0</v>
      </c>
      <c r="AG1750" s="69">
        <v>40504</v>
      </c>
      <c r="AH1750" s="84"/>
      <c r="AI1750" s="69" t="s">
        <v>1984</v>
      </c>
      <c r="AJ1750" s="25" t="s">
        <v>1985</v>
      </c>
      <c r="AK1750" s="65"/>
      <c r="AL1750" s="176" t="s">
        <v>1257</v>
      </c>
      <c r="AM1750" s="173" t="s">
        <v>2495</v>
      </c>
      <c r="AN1750" s="159"/>
      <c r="AO1750" s="160"/>
      <c r="AP1750" s="161"/>
      <c r="AQ1750" s="160"/>
      <c r="AR1750" s="160"/>
      <c r="AS1750" s="160"/>
      <c r="AT1750" s="160"/>
      <c r="AU1750" s="160"/>
      <c r="AV1750" s="160"/>
      <c r="AW1750" s="160"/>
      <c r="AX1750" s="160"/>
      <c r="AY1750" s="160"/>
      <c r="AZ1750" s="160"/>
      <c r="BA1750" s="160"/>
      <c r="BB1750" s="160"/>
      <c r="BC1750" s="160"/>
      <c r="BD1750" s="160"/>
      <c r="BE1750" s="160"/>
      <c r="BF1750" s="160"/>
      <c r="BG1750" s="160"/>
      <c r="BH1750" s="160"/>
      <c r="BI1750" s="160"/>
      <c r="BJ1750" s="160"/>
      <c r="BK1750" s="160"/>
      <c r="BL1750" s="160"/>
      <c r="BM1750" s="160"/>
      <c r="BN1750" s="160"/>
      <c r="BO1750" s="160"/>
      <c r="BP1750" s="160"/>
      <c r="BQ1750" s="160"/>
      <c r="BR1750" s="160"/>
      <c r="BS1750" s="160"/>
      <c r="BT1750" s="160"/>
      <c r="BU1750" s="160"/>
      <c r="BV1750" s="160"/>
      <c r="BW1750" s="160"/>
      <c r="BX1750" s="160"/>
      <c r="BY1750" s="160"/>
      <c r="BZ1750" s="160"/>
      <c r="CA1750" s="160"/>
      <c r="CB1750" s="160"/>
      <c r="CC1750" s="160"/>
      <c r="CD1750" s="160"/>
      <c r="CE1750" s="160"/>
      <c r="CF1750" s="160"/>
      <c r="CG1750" s="160"/>
      <c r="CH1750" s="160"/>
      <c r="CI1750" s="160"/>
      <c r="CJ1750" s="160"/>
      <c r="CK1750" s="160"/>
      <c r="CL1750" s="160"/>
      <c r="CM1750" s="160"/>
      <c r="CN1750" s="160"/>
      <c r="CO1750" s="160"/>
      <c r="CP1750" s="162"/>
      <c r="CQ1750" s="163"/>
      <c r="CR1750" s="162"/>
      <c r="CS1750" s="163"/>
      <c r="CT1750" s="162"/>
      <c r="CU1750" s="163"/>
      <c r="CV1750" s="164">
        <f t="shared" si="225"/>
        <v>0</v>
      </c>
      <c r="CW1750" s="165"/>
      <c r="CX1750" s="166"/>
      <c r="CY1750" s="167"/>
      <c r="CZ1750" s="168"/>
      <c r="DA1750" s="169"/>
      <c r="DB1750" s="168"/>
      <c r="DC1750" s="165"/>
      <c r="DD1750" s="166"/>
      <c r="DE1750" s="71"/>
      <c r="DF1750" s="170"/>
      <c r="EO1750" s="375" t="str">
        <f t="shared" si="227"/>
        <v>CUNDINAMARCA_TABIO</v>
      </c>
      <c r="EP1750" s="376"/>
      <c r="EQ1750" s="376"/>
      <c r="ER1750" s="377"/>
      <c r="ES1750" s="376"/>
      <c r="ET1750" s="376"/>
      <c r="EU1750" s="376"/>
    </row>
    <row r="1751" spans="1:151" s="171" customFormat="1" ht="38.25" x14ac:dyDescent="0.2">
      <c r="A1751" s="242">
        <v>40499</v>
      </c>
      <c r="B1751" s="222" t="s">
        <v>2007</v>
      </c>
      <c r="C1751" s="222" t="s">
        <v>1354</v>
      </c>
      <c r="D1751" s="427" t="s">
        <v>2307</v>
      </c>
      <c r="E1751" s="107" t="str">
        <f>VLOOKUP(B1751&amp;C1751,Divipola!$C$2:$F$1138,4,FALSE)</f>
        <v>25815</v>
      </c>
      <c r="F1751" s="330"/>
      <c r="G1751" s="221">
        <v>1</v>
      </c>
      <c r="H1751" s="157">
        <v>1</v>
      </c>
      <c r="I1751" s="157"/>
      <c r="J1751" s="157"/>
      <c r="K1751" s="157"/>
      <c r="L1751" s="157"/>
      <c r="M1751" s="157"/>
      <c r="N1751" s="157"/>
      <c r="O1751" s="157"/>
      <c r="P1751" s="157"/>
      <c r="Q1751" s="157"/>
      <c r="R1751" s="157"/>
      <c r="S1751" s="157"/>
      <c r="T1751" s="157"/>
      <c r="U1751" s="157"/>
      <c r="V1751" s="158"/>
      <c r="W1751" s="182"/>
      <c r="X1751" s="1"/>
      <c r="Y1751" s="78">
        <f t="shared" si="222"/>
        <v>0</v>
      </c>
      <c r="Z1751" s="78">
        <f t="shared" si="223"/>
        <v>0</v>
      </c>
      <c r="AA1751" s="78">
        <f t="shared" si="221"/>
        <v>0</v>
      </c>
      <c r="AB1751" s="78">
        <f t="shared" si="224"/>
        <v>0</v>
      </c>
      <c r="AC1751" s="78"/>
      <c r="AD1751" s="78">
        <v>0</v>
      </c>
      <c r="AE1751" s="80">
        <f t="shared" si="226"/>
        <v>0</v>
      </c>
      <c r="AF1751" s="82">
        <v>0</v>
      </c>
      <c r="AG1751" s="69">
        <v>40504</v>
      </c>
      <c r="AH1751" s="84"/>
      <c r="AI1751" s="69" t="s">
        <v>1984</v>
      </c>
      <c r="AJ1751" s="25" t="s">
        <v>1985</v>
      </c>
      <c r="AK1751" s="65"/>
      <c r="AL1751" s="176" t="s">
        <v>1257</v>
      </c>
      <c r="AM1751" s="173" t="s">
        <v>2494</v>
      </c>
      <c r="AN1751" s="159"/>
      <c r="AO1751" s="160"/>
      <c r="AP1751" s="161"/>
      <c r="AQ1751" s="160"/>
      <c r="AR1751" s="160"/>
      <c r="AS1751" s="160"/>
      <c r="AT1751" s="160"/>
      <c r="AU1751" s="160"/>
      <c r="AV1751" s="160"/>
      <c r="AW1751" s="160"/>
      <c r="AX1751" s="160"/>
      <c r="AY1751" s="160"/>
      <c r="AZ1751" s="160"/>
      <c r="BA1751" s="160"/>
      <c r="BB1751" s="160"/>
      <c r="BC1751" s="160"/>
      <c r="BD1751" s="160"/>
      <c r="BE1751" s="160"/>
      <c r="BF1751" s="160"/>
      <c r="BG1751" s="160"/>
      <c r="BH1751" s="160"/>
      <c r="BI1751" s="160"/>
      <c r="BJ1751" s="160"/>
      <c r="BK1751" s="160"/>
      <c r="BL1751" s="160"/>
      <c r="BM1751" s="160"/>
      <c r="BN1751" s="160"/>
      <c r="BO1751" s="160"/>
      <c r="BP1751" s="160"/>
      <c r="BQ1751" s="160"/>
      <c r="BR1751" s="160"/>
      <c r="BS1751" s="160"/>
      <c r="BT1751" s="160"/>
      <c r="BU1751" s="160"/>
      <c r="BV1751" s="160"/>
      <c r="BW1751" s="160"/>
      <c r="BX1751" s="160"/>
      <c r="BY1751" s="160"/>
      <c r="BZ1751" s="160"/>
      <c r="CA1751" s="160"/>
      <c r="CB1751" s="160"/>
      <c r="CC1751" s="160"/>
      <c r="CD1751" s="160"/>
      <c r="CE1751" s="160"/>
      <c r="CF1751" s="160"/>
      <c r="CG1751" s="160"/>
      <c r="CH1751" s="160"/>
      <c r="CI1751" s="160"/>
      <c r="CJ1751" s="160"/>
      <c r="CK1751" s="160"/>
      <c r="CL1751" s="160"/>
      <c r="CM1751" s="160"/>
      <c r="CN1751" s="160"/>
      <c r="CO1751" s="160"/>
      <c r="CP1751" s="162"/>
      <c r="CQ1751" s="163"/>
      <c r="CR1751" s="162"/>
      <c r="CS1751" s="163"/>
      <c r="CT1751" s="162"/>
      <c r="CU1751" s="163"/>
      <c r="CV1751" s="164">
        <f t="shared" si="225"/>
        <v>0</v>
      </c>
      <c r="CW1751" s="165"/>
      <c r="CX1751" s="166"/>
      <c r="CY1751" s="167"/>
      <c r="CZ1751" s="168"/>
      <c r="DA1751" s="169"/>
      <c r="DB1751" s="168"/>
      <c r="DC1751" s="165"/>
      <c r="DD1751" s="166"/>
      <c r="DE1751" s="71"/>
      <c r="DF1751" s="170"/>
      <c r="EO1751" s="375" t="str">
        <f t="shared" si="227"/>
        <v>CUNDINAMARCA_TOCAIMA</v>
      </c>
      <c r="EP1751" s="376"/>
      <c r="EQ1751" s="376"/>
      <c r="ER1751" s="377"/>
      <c r="ES1751" s="376"/>
      <c r="ET1751" s="376"/>
      <c r="EU1751" s="376"/>
    </row>
    <row r="1752" spans="1:151" s="171" customFormat="1" ht="45" x14ac:dyDescent="0.2">
      <c r="A1752" s="242">
        <v>40499</v>
      </c>
      <c r="B1752" s="107" t="s">
        <v>5778</v>
      </c>
      <c r="C1752" s="222" t="s">
        <v>1132</v>
      </c>
      <c r="D1752" s="430" t="s">
        <v>837</v>
      </c>
      <c r="E1752" s="107" t="str">
        <f>VLOOKUP(B1752&amp;C1752,Divipola!$C$2:$F$1138,4,FALSE)</f>
        <v>44110</v>
      </c>
      <c r="F1752" s="333"/>
      <c r="G1752" s="221"/>
      <c r="H1752" s="157"/>
      <c r="I1752" s="157"/>
      <c r="J1752" s="157">
        <f>197*5</f>
        <v>985</v>
      </c>
      <c r="K1752" s="157">
        <v>197</v>
      </c>
      <c r="L1752" s="157"/>
      <c r="M1752" s="157"/>
      <c r="N1752" s="157"/>
      <c r="O1752" s="157"/>
      <c r="P1752" s="157"/>
      <c r="Q1752" s="157"/>
      <c r="R1752" s="157"/>
      <c r="S1752" s="157"/>
      <c r="T1752" s="157"/>
      <c r="U1752" s="157"/>
      <c r="V1752" s="158"/>
      <c r="W1752" s="182"/>
      <c r="X1752" s="1"/>
      <c r="Y1752" s="78">
        <f t="shared" si="222"/>
        <v>0</v>
      </c>
      <c r="Z1752" s="78">
        <f t="shared" si="223"/>
        <v>0</v>
      </c>
      <c r="AA1752" s="78">
        <f t="shared" si="221"/>
        <v>0</v>
      </c>
      <c r="AB1752" s="78">
        <f t="shared" si="224"/>
        <v>0</v>
      </c>
      <c r="AC1752" s="78"/>
      <c r="AD1752" s="78">
        <v>0</v>
      </c>
      <c r="AE1752" s="80">
        <f t="shared" si="226"/>
        <v>0</v>
      </c>
      <c r="AF1752" s="82">
        <v>0</v>
      </c>
      <c r="AG1752" s="69"/>
      <c r="AH1752" s="84"/>
      <c r="AI1752" s="69" t="s">
        <v>2009</v>
      </c>
      <c r="AJ1752" s="276" t="s">
        <v>2010</v>
      </c>
      <c r="AK1752" s="65"/>
      <c r="AL1752" s="272" t="s">
        <v>311</v>
      </c>
      <c r="AM1752" s="173" t="s">
        <v>1133</v>
      </c>
      <c r="AN1752" s="159"/>
      <c r="AO1752" s="160"/>
      <c r="AP1752" s="161"/>
      <c r="AQ1752" s="160"/>
      <c r="AR1752" s="160"/>
      <c r="AS1752" s="160"/>
      <c r="AT1752" s="160"/>
      <c r="AU1752" s="160"/>
      <c r="AV1752" s="160"/>
      <c r="AW1752" s="160"/>
      <c r="AX1752" s="160"/>
      <c r="AY1752" s="160"/>
      <c r="AZ1752" s="160"/>
      <c r="BA1752" s="160"/>
      <c r="BB1752" s="160"/>
      <c r="BC1752" s="160"/>
      <c r="BD1752" s="160"/>
      <c r="BE1752" s="160"/>
      <c r="BF1752" s="160"/>
      <c r="BG1752" s="160"/>
      <c r="BH1752" s="160"/>
      <c r="BI1752" s="160"/>
      <c r="BJ1752" s="160"/>
      <c r="BK1752" s="160"/>
      <c r="BL1752" s="160"/>
      <c r="BM1752" s="160"/>
      <c r="BN1752" s="160"/>
      <c r="BO1752" s="160"/>
      <c r="BP1752" s="160"/>
      <c r="BQ1752" s="160"/>
      <c r="BR1752" s="160"/>
      <c r="BS1752" s="160"/>
      <c r="BT1752" s="160"/>
      <c r="BU1752" s="160"/>
      <c r="BV1752" s="160"/>
      <c r="BW1752" s="160"/>
      <c r="BX1752" s="160"/>
      <c r="BY1752" s="160"/>
      <c r="BZ1752" s="160"/>
      <c r="CA1752" s="160"/>
      <c r="CB1752" s="160"/>
      <c r="CC1752" s="160"/>
      <c r="CD1752" s="160"/>
      <c r="CE1752" s="160"/>
      <c r="CF1752" s="160"/>
      <c r="CG1752" s="160"/>
      <c r="CH1752" s="160"/>
      <c r="CI1752" s="160"/>
      <c r="CJ1752" s="160"/>
      <c r="CK1752" s="160"/>
      <c r="CL1752" s="160"/>
      <c r="CM1752" s="160"/>
      <c r="CN1752" s="160"/>
      <c r="CO1752" s="160"/>
      <c r="CP1752" s="162"/>
      <c r="CQ1752" s="163"/>
      <c r="CR1752" s="162"/>
      <c r="CS1752" s="163"/>
      <c r="CT1752" s="162"/>
      <c r="CU1752" s="163"/>
      <c r="CV1752" s="164">
        <f t="shared" si="225"/>
        <v>0</v>
      </c>
      <c r="CW1752" s="165"/>
      <c r="CX1752" s="166"/>
      <c r="CY1752" s="167"/>
      <c r="CZ1752" s="168"/>
      <c r="DA1752" s="169"/>
      <c r="DB1752" s="168"/>
      <c r="DC1752" s="165"/>
      <c r="DD1752" s="166"/>
      <c r="DE1752" s="71"/>
      <c r="DF1752" s="170"/>
      <c r="EO1752" s="375" t="str">
        <f t="shared" si="227"/>
        <v>LA GUAJIRA_EL MOLINO</v>
      </c>
      <c r="EP1752" s="376"/>
      <c r="EQ1752" s="376"/>
      <c r="ER1752" s="377"/>
      <c r="ES1752" s="376"/>
      <c r="ET1752" s="376"/>
      <c r="EU1752" s="376"/>
    </row>
    <row r="1753" spans="1:151" s="171" customFormat="1" ht="38.25" x14ac:dyDescent="0.2">
      <c r="A1753" s="242">
        <v>40499</v>
      </c>
      <c r="B1753" s="222" t="s">
        <v>708</v>
      </c>
      <c r="C1753" s="107" t="s">
        <v>949</v>
      </c>
      <c r="D1753" s="430" t="s">
        <v>837</v>
      </c>
      <c r="E1753" s="107" t="str">
        <f>VLOOKUP(B1753&amp;C1753,Divipola!$C$2:$F$1138,4,FALSE)</f>
        <v>50110</v>
      </c>
      <c r="F1753" s="333"/>
      <c r="G1753" s="221"/>
      <c r="H1753" s="157"/>
      <c r="I1753" s="157"/>
      <c r="J1753" s="157">
        <f>1450-121-317</f>
        <v>1012</v>
      </c>
      <c r="K1753" s="157">
        <f>290-50-72</f>
        <v>168</v>
      </c>
      <c r="L1753" s="157"/>
      <c r="M1753" s="157"/>
      <c r="N1753" s="157"/>
      <c r="O1753" s="157">
        <v>1</v>
      </c>
      <c r="P1753" s="157"/>
      <c r="Q1753" s="157"/>
      <c r="R1753" s="157"/>
      <c r="S1753" s="157"/>
      <c r="T1753" s="157"/>
      <c r="U1753" s="157"/>
      <c r="V1753" s="158"/>
      <c r="W1753" s="182"/>
      <c r="X1753" s="1"/>
      <c r="Y1753" s="78">
        <f t="shared" si="222"/>
        <v>0</v>
      </c>
      <c r="Z1753" s="78">
        <f t="shared" si="223"/>
        <v>0</v>
      </c>
      <c r="AA1753" s="78">
        <f t="shared" si="221"/>
        <v>0</v>
      </c>
      <c r="AB1753" s="78">
        <f t="shared" si="224"/>
        <v>0</v>
      </c>
      <c r="AC1753" s="78"/>
      <c r="AD1753" s="78">
        <v>0</v>
      </c>
      <c r="AE1753" s="80">
        <f t="shared" si="226"/>
        <v>0</v>
      </c>
      <c r="AF1753" s="82">
        <v>0</v>
      </c>
      <c r="AG1753" s="69">
        <v>40504</v>
      </c>
      <c r="AH1753" s="84"/>
      <c r="AI1753" s="69" t="s">
        <v>1984</v>
      </c>
      <c r="AJ1753" s="25" t="s">
        <v>1985</v>
      </c>
      <c r="AK1753" s="65"/>
      <c r="AL1753" s="176" t="s">
        <v>1257</v>
      </c>
      <c r="AM1753" s="173" t="s">
        <v>2502</v>
      </c>
      <c r="AN1753" s="159"/>
      <c r="AO1753" s="160"/>
      <c r="AP1753" s="161"/>
      <c r="AQ1753" s="160"/>
      <c r="AR1753" s="160"/>
      <c r="AS1753" s="160"/>
      <c r="AT1753" s="160"/>
      <c r="AU1753" s="160"/>
      <c r="AV1753" s="160"/>
      <c r="AW1753" s="160"/>
      <c r="AX1753" s="160"/>
      <c r="AY1753" s="160"/>
      <c r="AZ1753" s="160"/>
      <c r="BA1753" s="160"/>
      <c r="BB1753" s="160"/>
      <c r="BC1753" s="160"/>
      <c r="BD1753" s="160"/>
      <c r="BE1753" s="160"/>
      <c r="BF1753" s="160"/>
      <c r="BG1753" s="160"/>
      <c r="BH1753" s="160"/>
      <c r="BI1753" s="160"/>
      <c r="BJ1753" s="160"/>
      <c r="BK1753" s="160"/>
      <c r="BL1753" s="160"/>
      <c r="BM1753" s="160"/>
      <c r="BN1753" s="160"/>
      <c r="BO1753" s="160"/>
      <c r="BP1753" s="160"/>
      <c r="BQ1753" s="160"/>
      <c r="BR1753" s="160"/>
      <c r="BS1753" s="160"/>
      <c r="BT1753" s="160"/>
      <c r="BU1753" s="160"/>
      <c r="BV1753" s="160"/>
      <c r="BW1753" s="160"/>
      <c r="BX1753" s="160"/>
      <c r="BY1753" s="160"/>
      <c r="BZ1753" s="160"/>
      <c r="CA1753" s="160"/>
      <c r="CB1753" s="160"/>
      <c r="CC1753" s="160"/>
      <c r="CD1753" s="160"/>
      <c r="CE1753" s="160"/>
      <c r="CF1753" s="160"/>
      <c r="CG1753" s="160"/>
      <c r="CH1753" s="160"/>
      <c r="CI1753" s="160"/>
      <c r="CJ1753" s="160"/>
      <c r="CK1753" s="160"/>
      <c r="CL1753" s="160"/>
      <c r="CM1753" s="160"/>
      <c r="CN1753" s="160"/>
      <c r="CO1753" s="160"/>
      <c r="CP1753" s="162"/>
      <c r="CQ1753" s="163"/>
      <c r="CR1753" s="162"/>
      <c r="CS1753" s="163"/>
      <c r="CT1753" s="162"/>
      <c r="CU1753" s="163"/>
      <c r="CV1753" s="164">
        <f t="shared" si="225"/>
        <v>0</v>
      </c>
      <c r="CW1753" s="165"/>
      <c r="CX1753" s="166"/>
      <c r="CY1753" s="167"/>
      <c r="CZ1753" s="168"/>
      <c r="DA1753" s="169"/>
      <c r="DB1753" s="168"/>
      <c r="DC1753" s="165"/>
      <c r="DD1753" s="166"/>
      <c r="DE1753" s="71"/>
      <c r="DF1753" s="170"/>
      <c r="EO1753" s="375" t="str">
        <f t="shared" si="227"/>
        <v>META_BARRANCA DE UPIA</v>
      </c>
      <c r="EP1753" s="376"/>
      <c r="EQ1753" s="376"/>
      <c r="ER1753" s="377"/>
      <c r="ES1753" s="376"/>
      <c r="ET1753" s="376"/>
      <c r="EU1753" s="376"/>
    </row>
    <row r="1754" spans="1:151" s="171" customFormat="1" ht="72" x14ac:dyDescent="0.2">
      <c r="A1754" s="242">
        <v>40499</v>
      </c>
      <c r="B1754" s="222" t="s">
        <v>708</v>
      </c>
      <c r="C1754" s="222" t="s">
        <v>2277</v>
      </c>
      <c r="D1754" s="430" t="s">
        <v>837</v>
      </c>
      <c r="E1754" s="107" t="str">
        <f>VLOOKUP(B1754&amp;C1754,Divipola!$C$2:$F$1138,4,FALSE)</f>
        <v>50686</v>
      </c>
      <c r="F1754" s="333"/>
      <c r="G1754" s="221"/>
      <c r="H1754" s="157"/>
      <c r="I1754" s="157"/>
      <c r="J1754" s="157">
        <v>1178</v>
      </c>
      <c r="K1754" s="157">
        <v>274</v>
      </c>
      <c r="L1754" s="157"/>
      <c r="M1754" s="157">
        <v>274</v>
      </c>
      <c r="N1754" s="157">
        <v>2</v>
      </c>
      <c r="O1754" s="157">
        <v>1</v>
      </c>
      <c r="P1754" s="157"/>
      <c r="Q1754" s="157">
        <v>2</v>
      </c>
      <c r="R1754" s="157"/>
      <c r="S1754" s="157"/>
      <c r="T1754" s="157"/>
      <c r="U1754" s="157"/>
      <c r="V1754" s="158"/>
      <c r="W1754" s="182" t="s">
        <v>2180</v>
      </c>
      <c r="X1754" s="1"/>
      <c r="Y1754" s="78">
        <f t="shared" si="222"/>
        <v>0</v>
      </c>
      <c r="Z1754" s="78">
        <f t="shared" si="223"/>
        <v>0</v>
      </c>
      <c r="AA1754" s="78">
        <f t="shared" si="221"/>
        <v>0</v>
      </c>
      <c r="AB1754" s="78">
        <f t="shared" si="224"/>
        <v>0</v>
      </c>
      <c r="AC1754" s="78"/>
      <c r="AD1754" s="78">
        <v>0</v>
      </c>
      <c r="AE1754" s="80">
        <f t="shared" si="226"/>
        <v>0</v>
      </c>
      <c r="AF1754" s="82">
        <v>0</v>
      </c>
      <c r="AG1754" s="69">
        <v>40504</v>
      </c>
      <c r="AH1754" s="84"/>
      <c r="AI1754" s="69" t="s">
        <v>1984</v>
      </c>
      <c r="AJ1754" s="25" t="s">
        <v>1985</v>
      </c>
      <c r="AK1754" s="65"/>
      <c r="AL1754" s="176" t="s">
        <v>1257</v>
      </c>
      <c r="AM1754" s="200" t="s">
        <v>2615</v>
      </c>
      <c r="AN1754" s="159"/>
      <c r="AO1754" s="160"/>
      <c r="AP1754" s="161"/>
      <c r="AQ1754" s="160"/>
      <c r="AR1754" s="160"/>
      <c r="AS1754" s="160"/>
      <c r="AT1754" s="160"/>
      <c r="AU1754" s="160"/>
      <c r="AV1754" s="160"/>
      <c r="AW1754" s="160"/>
      <c r="AX1754" s="160"/>
      <c r="AY1754" s="160"/>
      <c r="AZ1754" s="160"/>
      <c r="BA1754" s="160"/>
      <c r="BB1754" s="160"/>
      <c r="BC1754" s="160"/>
      <c r="BD1754" s="160"/>
      <c r="BE1754" s="160"/>
      <c r="BF1754" s="160"/>
      <c r="BG1754" s="160"/>
      <c r="BH1754" s="160"/>
      <c r="BI1754" s="160"/>
      <c r="BJ1754" s="160"/>
      <c r="BK1754" s="160"/>
      <c r="BL1754" s="160"/>
      <c r="BM1754" s="160"/>
      <c r="BN1754" s="160"/>
      <c r="BO1754" s="160"/>
      <c r="BP1754" s="160"/>
      <c r="BQ1754" s="160"/>
      <c r="BR1754" s="160"/>
      <c r="BS1754" s="160"/>
      <c r="BT1754" s="160"/>
      <c r="BU1754" s="160"/>
      <c r="BV1754" s="160"/>
      <c r="BW1754" s="160"/>
      <c r="BX1754" s="160"/>
      <c r="BY1754" s="160"/>
      <c r="BZ1754" s="160"/>
      <c r="CA1754" s="160"/>
      <c r="CB1754" s="160"/>
      <c r="CC1754" s="160"/>
      <c r="CD1754" s="160"/>
      <c r="CE1754" s="160"/>
      <c r="CF1754" s="160"/>
      <c r="CG1754" s="160"/>
      <c r="CH1754" s="160"/>
      <c r="CI1754" s="160"/>
      <c r="CJ1754" s="160"/>
      <c r="CK1754" s="160"/>
      <c r="CL1754" s="160"/>
      <c r="CM1754" s="160"/>
      <c r="CN1754" s="160"/>
      <c r="CO1754" s="160"/>
      <c r="CP1754" s="162"/>
      <c r="CQ1754" s="163"/>
      <c r="CR1754" s="162"/>
      <c r="CS1754" s="163"/>
      <c r="CT1754" s="162"/>
      <c r="CU1754" s="163"/>
      <c r="CV1754" s="164">
        <f t="shared" si="225"/>
        <v>0</v>
      </c>
      <c r="CW1754" s="165"/>
      <c r="CX1754" s="166"/>
      <c r="CY1754" s="167"/>
      <c r="CZ1754" s="168"/>
      <c r="DA1754" s="169"/>
      <c r="DB1754" s="168"/>
      <c r="DC1754" s="165"/>
      <c r="DD1754" s="166"/>
      <c r="DE1754" s="71"/>
      <c r="DF1754" s="170"/>
      <c r="EO1754" s="375" t="str">
        <f t="shared" si="227"/>
        <v>META_SAN JUANITO</v>
      </c>
      <c r="EP1754" s="376"/>
      <c r="EQ1754" s="376"/>
      <c r="ER1754" s="377"/>
      <c r="ES1754" s="376"/>
      <c r="ET1754" s="376"/>
      <c r="EU1754" s="376"/>
    </row>
    <row r="1755" spans="1:151" s="171" customFormat="1" ht="108" x14ac:dyDescent="0.2">
      <c r="A1755" s="242">
        <v>40499</v>
      </c>
      <c r="B1755" s="222" t="s">
        <v>2245</v>
      </c>
      <c r="C1755" s="222" t="s">
        <v>2501</v>
      </c>
      <c r="D1755" s="427" t="s">
        <v>2307</v>
      </c>
      <c r="E1755" s="107" t="str">
        <f>VLOOKUP(B1755&amp;C1755,Divipola!$C$2:$F$1138,4,FALSE)</f>
        <v>52036</v>
      </c>
      <c r="F1755" s="330"/>
      <c r="G1755" s="221"/>
      <c r="H1755" s="157"/>
      <c r="I1755" s="157"/>
      <c r="J1755" s="157">
        <v>1004</v>
      </c>
      <c r="K1755" s="157">
        <v>291</v>
      </c>
      <c r="L1755" s="157"/>
      <c r="M1755" s="157">
        <v>251</v>
      </c>
      <c r="N1755" s="157">
        <v>8</v>
      </c>
      <c r="O1755" s="157"/>
      <c r="P1755" s="157"/>
      <c r="Q1755" s="157">
        <v>4</v>
      </c>
      <c r="R1755" s="157"/>
      <c r="S1755" s="157"/>
      <c r="T1755" s="157">
        <v>6</v>
      </c>
      <c r="U1755" s="157"/>
      <c r="V1755" s="158"/>
      <c r="W1755" s="182"/>
      <c r="X1755" s="1"/>
      <c r="Y1755" s="78">
        <f t="shared" si="222"/>
        <v>0</v>
      </c>
      <c r="Z1755" s="78">
        <f t="shared" si="223"/>
        <v>0</v>
      </c>
      <c r="AA1755" s="78">
        <f t="shared" si="221"/>
        <v>0</v>
      </c>
      <c r="AB1755" s="78">
        <f t="shared" si="224"/>
        <v>0</v>
      </c>
      <c r="AC1755" s="78"/>
      <c r="AD1755" s="78">
        <v>0</v>
      </c>
      <c r="AE1755" s="80">
        <f t="shared" si="226"/>
        <v>0</v>
      </c>
      <c r="AF1755" s="82">
        <v>0</v>
      </c>
      <c r="AG1755" s="69">
        <v>40504</v>
      </c>
      <c r="AH1755" s="84"/>
      <c r="AI1755" s="69" t="s">
        <v>1984</v>
      </c>
      <c r="AJ1755" s="25" t="s">
        <v>1985</v>
      </c>
      <c r="AK1755" s="65"/>
      <c r="AL1755" s="176" t="s">
        <v>1257</v>
      </c>
      <c r="AM1755" s="173" t="s">
        <v>3823</v>
      </c>
      <c r="AN1755" s="159"/>
      <c r="AO1755" s="160"/>
      <c r="AP1755" s="161"/>
      <c r="AQ1755" s="160"/>
      <c r="AR1755" s="160"/>
      <c r="AS1755" s="160"/>
      <c r="AT1755" s="160"/>
      <c r="AU1755" s="160"/>
      <c r="AV1755" s="160"/>
      <c r="AW1755" s="160"/>
      <c r="AX1755" s="160"/>
      <c r="AY1755" s="160"/>
      <c r="AZ1755" s="160"/>
      <c r="BA1755" s="160"/>
      <c r="BB1755" s="160"/>
      <c r="BC1755" s="160"/>
      <c r="BD1755" s="160"/>
      <c r="BE1755" s="160"/>
      <c r="BF1755" s="160"/>
      <c r="BG1755" s="160"/>
      <c r="BH1755" s="160"/>
      <c r="BI1755" s="160"/>
      <c r="BJ1755" s="160"/>
      <c r="BK1755" s="160"/>
      <c r="BL1755" s="160"/>
      <c r="BM1755" s="160"/>
      <c r="BN1755" s="160"/>
      <c r="BO1755" s="160"/>
      <c r="BP1755" s="160"/>
      <c r="BQ1755" s="160"/>
      <c r="BR1755" s="160"/>
      <c r="BS1755" s="160"/>
      <c r="BT1755" s="160"/>
      <c r="BU1755" s="160"/>
      <c r="BV1755" s="160"/>
      <c r="BW1755" s="160"/>
      <c r="BX1755" s="160"/>
      <c r="BY1755" s="160"/>
      <c r="BZ1755" s="160"/>
      <c r="CA1755" s="160"/>
      <c r="CB1755" s="160"/>
      <c r="CC1755" s="160"/>
      <c r="CD1755" s="160"/>
      <c r="CE1755" s="160"/>
      <c r="CF1755" s="160"/>
      <c r="CG1755" s="160"/>
      <c r="CH1755" s="160"/>
      <c r="CI1755" s="160"/>
      <c r="CJ1755" s="160"/>
      <c r="CK1755" s="160"/>
      <c r="CL1755" s="160"/>
      <c r="CM1755" s="160"/>
      <c r="CN1755" s="160"/>
      <c r="CO1755" s="160"/>
      <c r="CP1755" s="162"/>
      <c r="CQ1755" s="163"/>
      <c r="CR1755" s="162"/>
      <c r="CS1755" s="163"/>
      <c r="CT1755" s="162"/>
      <c r="CU1755" s="163"/>
      <c r="CV1755" s="164">
        <f t="shared" si="225"/>
        <v>0</v>
      </c>
      <c r="CW1755" s="165"/>
      <c r="CX1755" s="166"/>
      <c r="CY1755" s="167"/>
      <c r="CZ1755" s="168"/>
      <c r="DA1755" s="169"/>
      <c r="DB1755" s="168"/>
      <c r="DC1755" s="165"/>
      <c r="DD1755" s="166"/>
      <c r="DE1755" s="71"/>
      <c r="DF1755" s="170"/>
      <c r="EO1755" s="375" t="str">
        <f t="shared" si="227"/>
        <v>NARIÑO_ANCUYA</v>
      </c>
      <c r="EP1755" s="376"/>
      <c r="EQ1755" s="376"/>
      <c r="ER1755" s="377"/>
      <c r="ES1755" s="376"/>
      <c r="ET1755" s="376"/>
      <c r="EU1755" s="376"/>
    </row>
    <row r="1756" spans="1:151" s="171" customFormat="1" ht="36" x14ac:dyDescent="0.2">
      <c r="A1756" s="242">
        <v>40499</v>
      </c>
      <c r="B1756" s="222" t="s">
        <v>2245</v>
      </c>
      <c r="C1756" s="222" t="s">
        <v>2515</v>
      </c>
      <c r="D1756" s="427" t="s">
        <v>2307</v>
      </c>
      <c r="E1756" s="107" t="str">
        <f>VLOOKUP(B1756&amp;C1756,Divipola!$C$2:$F$1138,4,FALSE)</f>
        <v>52227</v>
      </c>
      <c r="F1756" s="330"/>
      <c r="G1756" s="221"/>
      <c r="H1756" s="157"/>
      <c r="I1756" s="157"/>
      <c r="J1756" s="157"/>
      <c r="K1756" s="157"/>
      <c r="L1756" s="157"/>
      <c r="M1756" s="157"/>
      <c r="N1756" s="157">
        <v>3</v>
      </c>
      <c r="O1756" s="157"/>
      <c r="P1756" s="157"/>
      <c r="Q1756" s="157"/>
      <c r="R1756" s="157"/>
      <c r="S1756" s="157"/>
      <c r="T1756" s="157"/>
      <c r="U1756" s="157"/>
      <c r="V1756" s="158"/>
      <c r="W1756" s="182"/>
      <c r="X1756" s="1"/>
      <c r="Y1756" s="78">
        <f t="shared" si="222"/>
        <v>0</v>
      </c>
      <c r="Z1756" s="78">
        <f t="shared" si="223"/>
        <v>0</v>
      </c>
      <c r="AA1756" s="78">
        <f t="shared" si="221"/>
        <v>0</v>
      </c>
      <c r="AB1756" s="78">
        <f t="shared" si="224"/>
        <v>0</v>
      </c>
      <c r="AC1756" s="78"/>
      <c r="AD1756" s="78">
        <v>0</v>
      </c>
      <c r="AE1756" s="80">
        <f t="shared" si="226"/>
        <v>0</v>
      </c>
      <c r="AF1756" s="82">
        <v>0</v>
      </c>
      <c r="AG1756" s="69">
        <v>40504</v>
      </c>
      <c r="AH1756" s="84"/>
      <c r="AI1756" s="69" t="s">
        <v>1984</v>
      </c>
      <c r="AJ1756" s="25" t="s">
        <v>1985</v>
      </c>
      <c r="AK1756" s="65"/>
      <c r="AL1756" s="176" t="s">
        <v>1257</v>
      </c>
      <c r="AM1756" s="173" t="s">
        <v>1630</v>
      </c>
      <c r="AN1756" s="159"/>
      <c r="AO1756" s="160"/>
      <c r="AP1756" s="161"/>
      <c r="AQ1756" s="160"/>
      <c r="AR1756" s="160"/>
      <c r="AS1756" s="160"/>
      <c r="AT1756" s="160"/>
      <c r="AU1756" s="160"/>
      <c r="AV1756" s="160"/>
      <c r="AW1756" s="160"/>
      <c r="AX1756" s="160"/>
      <c r="AY1756" s="160"/>
      <c r="AZ1756" s="160"/>
      <c r="BA1756" s="160"/>
      <c r="BB1756" s="160"/>
      <c r="BC1756" s="160"/>
      <c r="BD1756" s="160"/>
      <c r="BE1756" s="160"/>
      <c r="BF1756" s="160"/>
      <c r="BG1756" s="160"/>
      <c r="BH1756" s="160"/>
      <c r="BI1756" s="160"/>
      <c r="BJ1756" s="160"/>
      <c r="BK1756" s="160"/>
      <c r="BL1756" s="160"/>
      <c r="BM1756" s="160"/>
      <c r="BN1756" s="160"/>
      <c r="BO1756" s="160"/>
      <c r="BP1756" s="160"/>
      <c r="BQ1756" s="160"/>
      <c r="BR1756" s="160"/>
      <c r="BS1756" s="160"/>
      <c r="BT1756" s="160"/>
      <c r="BU1756" s="160"/>
      <c r="BV1756" s="160"/>
      <c r="BW1756" s="160"/>
      <c r="BX1756" s="160"/>
      <c r="BY1756" s="160"/>
      <c r="BZ1756" s="160"/>
      <c r="CA1756" s="160"/>
      <c r="CB1756" s="160"/>
      <c r="CC1756" s="160"/>
      <c r="CD1756" s="160"/>
      <c r="CE1756" s="160"/>
      <c r="CF1756" s="160"/>
      <c r="CG1756" s="160"/>
      <c r="CH1756" s="160"/>
      <c r="CI1756" s="160"/>
      <c r="CJ1756" s="160"/>
      <c r="CK1756" s="160"/>
      <c r="CL1756" s="160"/>
      <c r="CM1756" s="160"/>
      <c r="CN1756" s="160"/>
      <c r="CO1756" s="160"/>
      <c r="CP1756" s="162"/>
      <c r="CQ1756" s="163"/>
      <c r="CR1756" s="162"/>
      <c r="CS1756" s="163"/>
      <c r="CT1756" s="162"/>
      <c r="CU1756" s="163"/>
      <c r="CV1756" s="164">
        <f t="shared" si="225"/>
        <v>0</v>
      </c>
      <c r="CW1756" s="165"/>
      <c r="CX1756" s="166"/>
      <c r="CY1756" s="167"/>
      <c r="CZ1756" s="168"/>
      <c r="DA1756" s="169"/>
      <c r="DB1756" s="168"/>
      <c r="DC1756" s="165"/>
      <c r="DD1756" s="166"/>
      <c r="DE1756" s="71"/>
      <c r="DF1756" s="170"/>
      <c r="EO1756" s="375" t="str">
        <f t="shared" si="227"/>
        <v>NARIÑO_CUMBAL</v>
      </c>
      <c r="EP1756" s="376"/>
      <c r="EQ1756" s="376"/>
      <c r="ER1756" s="377"/>
      <c r="ES1756" s="376"/>
      <c r="ET1756" s="376"/>
      <c r="EU1756" s="376"/>
    </row>
    <row r="1757" spans="1:151" s="171" customFormat="1" ht="96" x14ac:dyDescent="0.2">
      <c r="A1757" s="242">
        <v>40499</v>
      </c>
      <c r="B1757" s="222" t="s">
        <v>2245</v>
      </c>
      <c r="C1757" s="222" t="s">
        <v>2511</v>
      </c>
      <c r="D1757" s="427" t="s">
        <v>2307</v>
      </c>
      <c r="E1757" s="107" t="str">
        <f>VLOOKUP(B1757&amp;C1757,Divipola!$C$2:$F$1138,4,FALSE)</f>
        <v>52320</v>
      </c>
      <c r="F1757" s="330"/>
      <c r="G1757" s="221"/>
      <c r="H1757" s="157"/>
      <c r="I1757" s="157"/>
      <c r="J1757" s="157"/>
      <c r="K1757" s="157"/>
      <c r="L1757" s="157"/>
      <c r="M1757" s="157"/>
      <c r="N1757" s="157">
        <v>9</v>
      </c>
      <c r="O1757" s="157"/>
      <c r="P1757" s="157"/>
      <c r="Q1757" s="157"/>
      <c r="R1757" s="157"/>
      <c r="S1757" s="157"/>
      <c r="T1757" s="157"/>
      <c r="U1757" s="157"/>
      <c r="V1757" s="158"/>
      <c r="W1757" s="182"/>
      <c r="X1757" s="1"/>
      <c r="Y1757" s="78">
        <f t="shared" si="222"/>
        <v>0</v>
      </c>
      <c r="Z1757" s="78">
        <f t="shared" si="223"/>
        <v>0</v>
      </c>
      <c r="AA1757" s="78">
        <f t="shared" si="221"/>
        <v>0</v>
      </c>
      <c r="AB1757" s="78">
        <f t="shared" si="224"/>
        <v>0</v>
      </c>
      <c r="AC1757" s="78"/>
      <c r="AD1757" s="78">
        <v>0</v>
      </c>
      <c r="AE1757" s="80">
        <f t="shared" si="226"/>
        <v>0</v>
      </c>
      <c r="AF1757" s="82">
        <v>0</v>
      </c>
      <c r="AG1757" s="69">
        <v>40504</v>
      </c>
      <c r="AH1757" s="84"/>
      <c r="AI1757" s="69" t="s">
        <v>1984</v>
      </c>
      <c r="AJ1757" s="25" t="s">
        <v>1985</v>
      </c>
      <c r="AK1757" s="65"/>
      <c r="AL1757" s="176" t="s">
        <v>1257</v>
      </c>
      <c r="AM1757" s="173" t="s">
        <v>2512</v>
      </c>
      <c r="AN1757" s="159"/>
      <c r="AO1757" s="160"/>
      <c r="AP1757" s="161"/>
      <c r="AQ1757" s="160"/>
      <c r="AR1757" s="160"/>
      <c r="AS1757" s="160"/>
      <c r="AT1757" s="160"/>
      <c r="AU1757" s="160"/>
      <c r="AV1757" s="160"/>
      <c r="AW1757" s="160"/>
      <c r="AX1757" s="160"/>
      <c r="AY1757" s="160"/>
      <c r="AZ1757" s="160"/>
      <c r="BA1757" s="160"/>
      <c r="BB1757" s="160"/>
      <c r="BC1757" s="160"/>
      <c r="BD1757" s="160"/>
      <c r="BE1757" s="160"/>
      <c r="BF1757" s="160"/>
      <c r="BG1757" s="160"/>
      <c r="BH1757" s="160"/>
      <c r="BI1757" s="160"/>
      <c r="BJ1757" s="160"/>
      <c r="BK1757" s="160"/>
      <c r="BL1757" s="160"/>
      <c r="BM1757" s="160"/>
      <c r="BN1757" s="160"/>
      <c r="BO1757" s="160"/>
      <c r="BP1757" s="160"/>
      <c r="BQ1757" s="160"/>
      <c r="BR1757" s="160"/>
      <c r="BS1757" s="160"/>
      <c r="BT1757" s="160"/>
      <c r="BU1757" s="160"/>
      <c r="BV1757" s="160"/>
      <c r="BW1757" s="160"/>
      <c r="BX1757" s="160"/>
      <c r="BY1757" s="160"/>
      <c r="BZ1757" s="160"/>
      <c r="CA1757" s="160"/>
      <c r="CB1757" s="160"/>
      <c r="CC1757" s="160"/>
      <c r="CD1757" s="160"/>
      <c r="CE1757" s="160"/>
      <c r="CF1757" s="160"/>
      <c r="CG1757" s="160"/>
      <c r="CH1757" s="160"/>
      <c r="CI1757" s="160"/>
      <c r="CJ1757" s="160"/>
      <c r="CK1757" s="160"/>
      <c r="CL1757" s="160"/>
      <c r="CM1757" s="160"/>
      <c r="CN1757" s="160"/>
      <c r="CO1757" s="160"/>
      <c r="CP1757" s="162"/>
      <c r="CQ1757" s="163"/>
      <c r="CR1757" s="162"/>
      <c r="CS1757" s="163"/>
      <c r="CT1757" s="162"/>
      <c r="CU1757" s="163"/>
      <c r="CV1757" s="164">
        <f t="shared" si="225"/>
        <v>0</v>
      </c>
      <c r="CW1757" s="165"/>
      <c r="CX1757" s="166"/>
      <c r="CY1757" s="167"/>
      <c r="CZ1757" s="168"/>
      <c r="DA1757" s="169"/>
      <c r="DB1757" s="168"/>
      <c r="DC1757" s="165"/>
      <c r="DD1757" s="166"/>
      <c r="DE1757" s="71"/>
      <c r="DF1757" s="170"/>
      <c r="EO1757" s="375" t="str">
        <f t="shared" si="227"/>
        <v>NARIÑO_GUAITARILLA</v>
      </c>
      <c r="EP1757" s="376"/>
      <c r="EQ1757" s="376"/>
      <c r="ER1757" s="377"/>
      <c r="ES1757" s="376"/>
      <c r="ET1757" s="376"/>
      <c r="EU1757" s="376"/>
    </row>
    <row r="1758" spans="1:151" s="171" customFormat="1" ht="72" x14ac:dyDescent="0.2">
      <c r="A1758" s="242">
        <v>40499</v>
      </c>
      <c r="B1758" s="222" t="s">
        <v>2245</v>
      </c>
      <c r="C1758" s="222" t="s">
        <v>2484</v>
      </c>
      <c r="D1758" s="430" t="s">
        <v>837</v>
      </c>
      <c r="E1758" s="107" t="str">
        <f>VLOOKUP(B1758&amp;C1758,Divipola!$C$2:$F$1138,4,FALSE)</f>
        <v>52490</v>
      </c>
      <c r="F1758" s="333"/>
      <c r="G1758" s="221"/>
      <c r="H1758" s="157"/>
      <c r="I1758" s="157"/>
      <c r="J1758" s="157">
        <v>6200</v>
      </c>
      <c r="K1758" s="157">
        <v>1350</v>
      </c>
      <c r="L1758" s="157"/>
      <c r="M1758" s="157">
        <v>1350</v>
      </c>
      <c r="N1758" s="157"/>
      <c r="O1758" s="157"/>
      <c r="P1758" s="157"/>
      <c r="Q1758" s="157"/>
      <c r="R1758" s="157"/>
      <c r="S1758" s="157">
        <v>1</v>
      </c>
      <c r="T1758" s="157"/>
      <c r="U1758" s="157"/>
      <c r="V1758" s="158"/>
      <c r="W1758" s="182"/>
      <c r="X1758" s="1"/>
      <c r="Y1758" s="78">
        <f t="shared" si="222"/>
        <v>0</v>
      </c>
      <c r="Z1758" s="78">
        <f t="shared" si="223"/>
        <v>0</v>
      </c>
      <c r="AA1758" s="78">
        <f t="shared" si="221"/>
        <v>0</v>
      </c>
      <c r="AB1758" s="78">
        <f t="shared" si="224"/>
        <v>0</v>
      </c>
      <c r="AC1758" s="78"/>
      <c r="AD1758" s="78">
        <v>0</v>
      </c>
      <c r="AE1758" s="80">
        <f t="shared" si="226"/>
        <v>0</v>
      </c>
      <c r="AF1758" s="82">
        <v>0</v>
      </c>
      <c r="AG1758" s="69">
        <v>40504</v>
      </c>
      <c r="AH1758" s="84"/>
      <c r="AI1758" s="69" t="s">
        <v>1984</v>
      </c>
      <c r="AJ1758" s="25" t="s">
        <v>1985</v>
      </c>
      <c r="AK1758" s="65"/>
      <c r="AL1758" s="176" t="s">
        <v>1257</v>
      </c>
      <c r="AM1758" s="173" t="s">
        <v>390</v>
      </c>
      <c r="AN1758" s="159"/>
      <c r="AO1758" s="160"/>
      <c r="AP1758" s="161"/>
      <c r="AQ1758" s="160"/>
      <c r="AR1758" s="160"/>
      <c r="AS1758" s="160"/>
      <c r="AT1758" s="160"/>
      <c r="AU1758" s="160"/>
      <c r="AV1758" s="160"/>
      <c r="AW1758" s="160"/>
      <c r="AX1758" s="160"/>
      <c r="AY1758" s="160"/>
      <c r="AZ1758" s="160"/>
      <c r="BA1758" s="160"/>
      <c r="BB1758" s="160"/>
      <c r="BC1758" s="160"/>
      <c r="BD1758" s="160"/>
      <c r="BE1758" s="160"/>
      <c r="BF1758" s="160"/>
      <c r="BG1758" s="160"/>
      <c r="BH1758" s="160"/>
      <c r="BI1758" s="160"/>
      <c r="BJ1758" s="160"/>
      <c r="BK1758" s="160"/>
      <c r="BL1758" s="160"/>
      <c r="BM1758" s="160"/>
      <c r="BN1758" s="160"/>
      <c r="BO1758" s="160"/>
      <c r="BP1758" s="160"/>
      <c r="BQ1758" s="160"/>
      <c r="BR1758" s="160"/>
      <c r="BS1758" s="160"/>
      <c r="BT1758" s="160"/>
      <c r="BU1758" s="160"/>
      <c r="BV1758" s="160"/>
      <c r="BW1758" s="160"/>
      <c r="BX1758" s="160"/>
      <c r="BY1758" s="160"/>
      <c r="BZ1758" s="160"/>
      <c r="CA1758" s="160"/>
      <c r="CB1758" s="160"/>
      <c r="CC1758" s="160"/>
      <c r="CD1758" s="160"/>
      <c r="CE1758" s="160"/>
      <c r="CF1758" s="160"/>
      <c r="CG1758" s="160"/>
      <c r="CH1758" s="160"/>
      <c r="CI1758" s="160"/>
      <c r="CJ1758" s="160"/>
      <c r="CK1758" s="160"/>
      <c r="CL1758" s="160"/>
      <c r="CM1758" s="160"/>
      <c r="CN1758" s="160"/>
      <c r="CO1758" s="160"/>
      <c r="CP1758" s="162"/>
      <c r="CQ1758" s="163"/>
      <c r="CR1758" s="162"/>
      <c r="CS1758" s="163"/>
      <c r="CT1758" s="162"/>
      <c r="CU1758" s="163"/>
      <c r="CV1758" s="164">
        <f t="shared" si="225"/>
        <v>0</v>
      </c>
      <c r="CW1758" s="165"/>
      <c r="CX1758" s="166"/>
      <c r="CY1758" s="167"/>
      <c r="CZ1758" s="168"/>
      <c r="DA1758" s="169"/>
      <c r="DB1758" s="168"/>
      <c r="DC1758" s="165"/>
      <c r="DD1758" s="166"/>
      <c r="DE1758" s="71"/>
      <c r="DF1758" s="170"/>
      <c r="EO1758" s="375" t="str">
        <f t="shared" si="227"/>
        <v>NARIÑO_OLAYA HERRERA</v>
      </c>
      <c r="EP1758" s="376"/>
      <c r="EQ1758" s="376"/>
      <c r="ER1758" s="377"/>
      <c r="ES1758" s="376"/>
      <c r="ET1758" s="376"/>
      <c r="EU1758" s="376"/>
    </row>
    <row r="1759" spans="1:151" s="171" customFormat="1" ht="25.5" x14ac:dyDescent="0.2">
      <c r="A1759" s="242">
        <v>40499</v>
      </c>
      <c r="B1759" s="222" t="s">
        <v>2245</v>
      </c>
      <c r="C1759" s="222" t="s">
        <v>497</v>
      </c>
      <c r="D1759" s="430" t="s">
        <v>837</v>
      </c>
      <c r="E1759" s="107" t="str">
        <f>VLOOKUP(B1759&amp;C1759,Divipola!$C$2:$F$1138,4,FALSE)</f>
        <v>52001</v>
      </c>
      <c r="F1759" s="333"/>
      <c r="G1759" s="221"/>
      <c r="H1759" s="157"/>
      <c r="I1759" s="157"/>
      <c r="J1759" s="157">
        <f>1299-10-15</f>
        <v>1274</v>
      </c>
      <c r="K1759" s="157">
        <f>323-6</f>
        <v>317</v>
      </c>
      <c r="L1759" s="157">
        <v>2</v>
      </c>
      <c r="M1759" s="157">
        <v>35</v>
      </c>
      <c r="N1759" s="157"/>
      <c r="O1759" s="157"/>
      <c r="P1759" s="157"/>
      <c r="Q1759" s="157">
        <v>1</v>
      </c>
      <c r="R1759" s="157"/>
      <c r="S1759" s="157"/>
      <c r="T1759" s="157"/>
      <c r="U1759" s="157"/>
      <c r="V1759" s="158"/>
      <c r="W1759" s="182"/>
      <c r="X1759" s="1"/>
      <c r="Y1759" s="78">
        <f t="shared" si="222"/>
        <v>0</v>
      </c>
      <c r="Z1759" s="78">
        <f t="shared" si="223"/>
        <v>0</v>
      </c>
      <c r="AA1759" s="78">
        <f t="shared" si="221"/>
        <v>0</v>
      </c>
      <c r="AB1759" s="78">
        <f t="shared" si="224"/>
        <v>0</v>
      </c>
      <c r="AC1759" s="78"/>
      <c r="AD1759" s="78">
        <v>0</v>
      </c>
      <c r="AE1759" s="80">
        <f t="shared" si="226"/>
        <v>0</v>
      </c>
      <c r="AF1759" s="82">
        <v>0</v>
      </c>
      <c r="AG1759" s="69">
        <v>40508</v>
      </c>
      <c r="AH1759" s="84"/>
      <c r="AI1759" s="69" t="s">
        <v>1984</v>
      </c>
      <c r="AJ1759" s="25" t="s">
        <v>1985</v>
      </c>
      <c r="AK1759" s="65"/>
      <c r="AL1759" s="176" t="s">
        <v>1257</v>
      </c>
      <c r="AM1759" s="173" t="s">
        <v>1901</v>
      </c>
      <c r="AN1759" s="159"/>
      <c r="AO1759" s="160"/>
      <c r="AP1759" s="161"/>
      <c r="AQ1759" s="160"/>
      <c r="AR1759" s="160"/>
      <c r="AS1759" s="160"/>
      <c r="AT1759" s="160"/>
      <c r="AU1759" s="160"/>
      <c r="AV1759" s="160"/>
      <c r="AW1759" s="160"/>
      <c r="AX1759" s="160"/>
      <c r="AY1759" s="160"/>
      <c r="AZ1759" s="160"/>
      <c r="BA1759" s="160"/>
      <c r="BB1759" s="160"/>
      <c r="BC1759" s="160"/>
      <c r="BD1759" s="160"/>
      <c r="BE1759" s="160"/>
      <c r="BF1759" s="160"/>
      <c r="BG1759" s="160"/>
      <c r="BH1759" s="160"/>
      <c r="BI1759" s="160"/>
      <c r="BJ1759" s="160"/>
      <c r="BK1759" s="160"/>
      <c r="BL1759" s="160"/>
      <c r="BM1759" s="160"/>
      <c r="BN1759" s="160"/>
      <c r="BO1759" s="160"/>
      <c r="BP1759" s="160"/>
      <c r="BQ1759" s="160"/>
      <c r="BR1759" s="160"/>
      <c r="BS1759" s="160"/>
      <c r="BT1759" s="160"/>
      <c r="BU1759" s="160"/>
      <c r="BV1759" s="160"/>
      <c r="BW1759" s="160"/>
      <c r="BX1759" s="160"/>
      <c r="BY1759" s="160"/>
      <c r="BZ1759" s="160"/>
      <c r="CA1759" s="160"/>
      <c r="CB1759" s="160"/>
      <c r="CC1759" s="160"/>
      <c r="CD1759" s="160"/>
      <c r="CE1759" s="160"/>
      <c r="CF1759" s="160"/>
      <c r="CG1759" s="160"/>
      <c r="CH1759" s="160"/>
      <c r="CI1759" s="160"/>
      <c r="CJ1759" s="160"/>
      <c r="CK1759" s="160"/>
      <c r="CL1759" s="160"/>
      <c r="CM1759" s="160"/>
      <c r="CN1759" s="160"/>
      <c r="CO1759" s="160"/>
      <c r="CP1759" s="162"/>
      <c r="CQ1759" s="163"/>
      <c r="CR1759" s="162"/>
      <c r="CS1759" s="163"/>
      <c r="CT1759" s="162"/>
      <c r="CU1759" s="163"/>
      <c r="CV1759" s="164">
        <f t="shared" si="225"/>
        <v>0</v>
      </c>
      <c r="CW1759" s="165"/>
      <c r="CX1759" s="166"/>
      <c r="CY1759" s="167"/>
      <c r="CZ1759" s="168"/>
      <c r="DA1759" s="169"/>
      <c r="DB1759" s="168"/>
      <c r="DC1759" s="165"/>
      <c r="DD1759" s="166"/>
      <c r="DE1759" s="71"/>
      <c r="DF1759" s="170"/>
      <c r="EO1759" s="375" t="str">
        <f t="shared" si="227"/>
        <v>NARIÑO_PASTO</v>
      </c>
      <c r="EP1759" s="376"/>
      <c r="EQ1759" s="376"/>
      <c r="ER1759" s="377"/>
      <c r="ES1759" s="376"/>
      <c r="ET1759" s="376"/>
      <c r="EU1759" s="376"/>
    </row>
    <row r="1760" spans="1:151" s="171" customFormat="1" ht="60" x14ac:dyDescent="0.2">
      <c r="A1760" s="242">
        <v>40499</v>
      </c>
      <c r="B1760" s="222" t="s">
        <v>2245</v>
      </c>
      <c r="C1760" s="222" t="s">
        <v>696</v>
      </c>
      <c r="D1760" s="427" t="s">
        <v>2307</v>
      </c>
      <c r="E1760" s="107" t="str">
        <f>VLOOKUP(B1760&amp;C1760,Divipola!$C$2:$F$1138,4,FALSE)</f>
        <v>52687</v>
      </c>
      <c r="F1760" s="330"/>
      <c r="G1760" s="221"/>
      <c r="H1760" s="157"/>
      <c r="I1760" s="157"/>
      <c r="J1760" s="157">
        <f>466-87</f>
        <v>379</v>
      </c>
      <c r="K1760" s="157">
        <f>119-21</f>
        <v>98</v>
      </c>
      <c r="L1760" s="157">
        <v>6</v>
      </c>
      <c r="M1760" s="157">
        <v>92</v>
      </c>
      <c r="N1760" s="157">
        <v>5</v>
      </c>
      <c r="O1760" s="157"/>
      <c r="P1760" s="157"/>
      <c r="Q1760" s="157"/>
      <c r="R1760" s="157"/>
      <c r="S1760" s="157"/>
      <c r="T1760" s="157"/>
      <c r="U1760" s="157"/>
      <c r="V1760" s="158"/>
      <c r="W1760" s="182"/>
      <c r="X1760" s="1"/>
      <c r="Y1760" s="78">
        <f t="shared" si="222"/>
        <v>0</v>
      </c>
      <c r="Z1760" s="78">
        <f t="shared" si="223"/>
        <v>0</v>
      </c>
      <c r="AA1760" s="78">
        <f t="shared" si="221"/>
        <v>0</v>
      </c>
      <c r="AB1760" s="78">
        <f t="shared" si="224"/>
        <v>0</v>
      </c>
      <c r="AC1760" s="78"/>
      <c r="AD1760" s="78">
        <v>0</v>
      </c>
      <c r="AE1760" s="80">
        <f t="shared" si="226"/>
        <v>0</v>
      </c>
      <c r="AF1760" s="82">
        <v>0</v>
      </c>
      <c r="AG1760" s="69">
        <v>40504</v>
      </c>
      <c r="AH1760" s="84"/>
      <c r="AI1760" s="69" t="s">
        <v>1984</v>
      </c>
      <c r="AJ1760" s="25" t="s">
        <v>1985</v>
      </c>
      <c r="AK1760" s="65"/>
      <c r="AL1760" s="69" t="s">
        <v>1257</v>
      </c>
      <c r="AM1760" s="173" t="s">
        <v>553</v>
      </c>
      <c r="AN1760" s="159"/>
      <c r="AO1760" s="160"/>
      <c r="AP1760" s="161"/>
      <c r="AQ1760" s="160"/>
      <c r="AR1760" s="160"/>
      <c r="AS1760" s="160"/>
      <c r="AT1760" s="160"/>
      <c r="AU1760" s="160"/>
      <c r="AV1760" s="160"/>
      <c r="AW1760" s="160"/>
      <c r="AX1760" s="160"/>
      <c r="AY1760" s="160"/>
      <c r="AZ1760" s="160"/>
      <c r="BA1760" s="160"/>
      <c r="BB1760" s="160"/>
      <c r="BC1760" s="160"/>
      <c r="BD1760" s="160"/>
      <c r="BE1760" s="160"/>
      <c r="BF1760" s="160"/>
      <c r="BG1760" s="160"/>
      <c r="BH1760" s="160"/>
      <c r="BI1760" s="160"/>
      <c r="BJ1760" s="160"/>
      <c r="BK1760" s="160"/>
      <c r="BL1760" s="160"/>
      <c r="BM1760" s="160"/>
      <c r="BN1760" s="160"/>
      <c r="BO1760" s="160"/>
      <c r="BP1760" s="160"/>
      <c r="BQ1760" s="160"/>
      <c r="BR1760" s="160"/>
      <c r="BS1760" s="160"/>
      <c r="BT1760" s="160"/>
      <c r="BU1760" s="160"/>
      <c r="BV1760" s="160"/>
      <c r="BW1760" s="160"/>
      <c r="BX1760" s="160"/>
      <c r="BY1760" s="160"/>
      <c r="BZ1760" s="160"/>
      <c r="CA1760" s="160"/>
      <c r="CB1760" s="160"/>
      <c r="CC1760" s="160"/>
      <c r="CD1760" s="160"/>
      <c r="CE1760" s="160"/>
      <c r="CF1760" s="160"/>
      <c r="CG1760" s="160"/>
      <c r="CH1760" s="160"/>
      <c r="CI1760" s="160"/>
      <c r="CJ1760" s="160"/>
      <c r="CK1760" s="160"/>
      <c r="CL1760" s="160"/>
      <c r="CM1760" s="160"/>
      <c r="CN1760" s="160"/>
      <c r="CO1760" s="160"/>
      <c r="CP1760" s="162"/>
      <c r="CQ1760" s="163"/>
      <c r="CR1760" s="162"/>
      <c r="CS1760" s="163"/>
      <c r="CT1760" s="162"/>
      <c r="CU1760" s="163"/>
      <c r="CV1760" s="164">
        <f t="shared" si="225"/>
        <v>0</v>
      </c>
      <c r="CW1760" s="165"/>
      <c r="CX1760" s="166"/>
      <c r="CY1760" s="167"/>
      <c r="CZ1760" s="168"/>
      <c r="DA1760" s="169"/>
      <c r="DB1760" s="168"/>
      <c r="DC1760" s="165"/>
      <c r="DD1760" s="166"/>
      <c r="DE1760" s="71"/>
      <c r="DF1760" s="170"/>
      <c r="EO1760" s="375" t="str">
        <f t="shared" si="227"/>
        <v>NARIÑO_SAN LORENZO</v>
      </c>
      <c r="EP1760" s="376"/>
      <c r="EQ1760" s="376"/>
      <c r="ER1760" s="377"/>
      <c r="ES1760" s="376"/>
      <c r="ET1760" s="376"/>
      <c r="EU1760" s="376"/>
    </row>
    <row r="1761" spans="1:151" s="171" customFormat="1" ht="51" x14ac:dyDescent="0.2">
      <c r="A1761" s="242">
        <v>40499</v>
      </c>
      <c r="B1761" s="222" t="s">
        <v>2245</v>
      </c>
      <c r="C1761" s="222" t="s">
        <v>2513</v>
      </c>
      <c r="D1761" s="427" t="s">
        <v>2307</v>
      </c>
      <c r="E1761" s="107" t="str">
        <f>VLOOKUP(B1761&amp;C1761,Divipola!$C$2:$F$1138,4,FALSE)</f>
        <v>52694</v>
      </c>
      <c r="F1761" s="330"/>
      <c r="G1761" s="221">
        <v>1</v>
      </c>
      <c r="H1761" s="157"/>
      <c r="I1761" s="157"/>
      <c r="J1761" s="157">
        <v>30</v>
      </c>
      <c r="K1761" s="157">
        <v>5</v>
      </c>
      <c r="L1761" s="157"/>
      <c r="M1761" s="157">
        <v>5</v>
      </c>
      <c r="N1761" s="157">
        <v>2</v>
      </c>
      <c r="O1761" s="157"/>
      <c r="P1761" s="157"/>
      <c r="Q1761" s="157"/>
      <c r="R1761" s="157"/>
      <c r="S1761" s="157"/>
      <c r="T1761" s="157"/>
      <c r="U1761" s="157"/>
      <c r="V1761" s="158"/>
      <c r="W1761" s="182"/>
      <c r="X1761" s="1"/>
      <c r="Y1761" s="78">
        <f t="shared" si="222"/>
        <v>0</v>
      </c>
      <c r="Z1761" s="78">
        <f t="shared" si="223"/>
        <v>0</v>
      </c>
      <c r="AA1761" s="78">
        <f t="shared" si="221"/>
        <v>0</v>
      </c>
      <c r="AB1761" s="78">
        <f t="shared" si="224"/>
        <v>0</v>
      </c>
      <c r="AC1761" s="78"/>
      <c r="AD1761" s="78">
        <v>0</v>
      </c>
      <c r="AE1761" s="80">
        <f t="shared" si="226"/>
        <v>0</v>
      </c>
      <c r="AF1761" s="82">
        <v>0</v>
      </c>
      <c r="AG1761" s="69">
        <v>40504</v>
      </c>
      <c r="AH1761" s="84"/>
      <c r="AI1761" s="69" t="s">
        <v>1984</v>
      </c>
      <c r="AJ1761" s="25" t="s">
        <v>1985</v>
      </c>
      <c r="AK1761" s="65"/>
      <c r="AL1761" s="176" t="s">
        <v>1257</v>
      </c>
      <c r="AM1761" s="173" t="s">
        <v>2514</v>
      </c>
      <c r="AN1761" s="159"/>
      <c r="AO1761" s="160"/>
      <c r="AP1761" s="161"/>
      <c r="AQ1761" s="160"/>
      <c r="AR1761" s="160"/>
      <c r="AS1761" s="160"/>
      <c r="AT1761" s="160"/>
      <c r="AU1761" s="160"/>
      <c r="AV1761" s="160"/>
      <c r="AW1761" s="160"/>
      <c r="AX1761" s="160"/>
      <c r="AY1761" s="160"/>
      <c r="AZ1761" s="160"/>
      <c r="BA1761" s="160"/>
      <c r="BB1761" s="160"/>
      <c r="BC1761" s="160"/>
      <c r="BD1761" s="160"/>
      <c r="BE1761" s="160"/>
      <c r="BF1761" s="160"/>
      <c r="BG1761" s="160"/>
      <c r="BH1761" s="160"/>
      <c r="BI1761" s="160"/>
      <c r="BJ1761" s="160"/>
      <c r="BK1761" s="160"/>
      <c r="BL1761" s="160"/>
      <c r="BM1761" s="160"/>
      <c r="BN1761" s="160"/>
      <c r="BO1761" s="160"/>
      <c r="BP1761" s="160"/>
      <c r="BQ1761" s="160"/>
      <c r="BR1761" s="160"/>
      <c r="BS1761" s="160"/>
      <c r="BT1761" s="160"/>
      <c r="BU1761" s="160"/>
      <c r="BV1761" s="160"/>
      <c r="BW1761" s="160"/>
      <c r="BX1761" s="160"/>
      <c r="BY1761" s="160"/>
      <c r="BZ1761" s="160"/>
      <c r="CA1761" s="160"/>
      <c r="CB1761" s="160"/>
      <c r="CC1761" s="160"/>
      <c r="CD1761" s="160"/>
      <c r="CE1761" s="160"/>
      <c r="CF1761" s="160"/>
      <c r="CG1761" s="160"/>
      <c r="CH1761" s="160"/>
      <c r="CI1761" s="160"/>
      <c r="CJ1761" s="160"/>
      <c r="CK1761" s="160"/>
      <c r="CL1761" s="160"/>
      <c r="CM1761" s="160"/>
      <c r="CN1761" s="160"/>
      <c r="CO1761" s="160"/>
      <c r="CP1761" s="162"/>
      <c r="CQ1761" s="163"/>
      <c r="CR1761" s="162"/>
      <c r="CS1761" s="163"/>
      <c r="CT1761" s="162"/>
      <c r="CU1761" s="163"/>
      <c r="CV1761" s="164">
        <f t="shared" si="225"/>
        <v>0</v>
      </c>
      <c r="CW1761" s="165"/>
      <c r="CX1761" s="166"/>
      <c r="CY1761" s="167"/>
      <c r="CZ1761" s="168"/>
      <c r="DA1761" s="169"/>
      <c r="DB1761" s="168"/>
      <c r="DC1761" s="165"/>
      <c r="DD1761" s="166"/>
      <c r="DE1761" s="71"/>
      <c r="DF1761" s="170"/>
      <c r="EO1761" s="375" t="str">
        <f t="shared" si="227"/>
        <v>NARIÑO_SAN PEDRO DE CARTAGO</v>
      </c>
      <c r="EP1761" s="376"/>
      <c r="EQ1761" s="376"/>
      <c r="ER1761" s="377"/>
      <c r="ES1761" s="376"/>
      <c r="ET1761" s="376"/>
      <c r="EU1761" s="376"/>
    </row>
    <row r="1762" spans="1:151" s="171" customFormat="1" ht="38.25" x14ac:dyDescent="0.2">
      <c r="A1762" s="242">
        <v>40499</v>
      </c>
      <c r="B1762" s="222" t="s">
        <v>2012</v>
      </c>
      <c r="C1762" s="222" t="s">
        <v>2766</v>
      </c>
      <c r="D1762" s="430" t="s">
        <v>2307</v>
      </c>
      <c r="E1762" s="107" t="str">
        <f>VLOOKUP(B1762&amp;C1762,Divipola!$C$2:$F$1138,4,FALSE)</f>
        <v>66440</v>
      </c>
      <c r="F1762" s="333"/>
      <c r="G1762" s="221"/>
      <c r="H1762" s="157"/>
      <c r="I1762" s="157"/>
      <c r="J1762" s="157">
        <v>75</v>
      </c>
      <c r="K1762" s="157">
        <v>15</v>
      </c>
      <c r="L1762" s="157"/>
      <c r="M1762" s="157"/>
      <c r="N1762" s="157"/>
      <c r="O1762" s="157"/>
      <c r="P1762" s="157"/>
      <c r="Q1762" s="157"/>
      <c r="R1762" s="157"/>
      <c r="S1762" s="157"/>
      <c r="T1762" s="157"/>
      <c r="U1762" s="157"/>
      <c r="V1762" s="158"/>
      <c r="W1762" s="182"/>
      <c r="X1762" s="1"/>
      <c r="Y1762" s="78">
        <f t="shared" si="222"/>
        <v>0</v>
      </c>
      <c r="Z1762" s="78">
        <f t="shared" si="223"/>
        <v>0</v>
      </c>
      <c r="AA1762" s="78">
        <f t="shared" si="221"/>
        <v>0</v>
      </c>
      <c r="AB1762" s="78">
        <f t="shared" si="224"/>
        <v>0</v>
      </c>
      <c r="AC1762" s="78"/>
      <c r="AD1762" s="78">
        <v>0</v>
      </c>
      <c r="AE1762" s="80">
        <f t="shared" si="226"/>
        <v>0</v>
      </c>
      <c r="AF1762" s="82">
        <v>0</v>
      </c>
      <c r="AG1762" s="69">
        <v>40624</v>
      </c>
      <c r="AH1762" s="84"/>
      <c r="AI1762" s="69" t="s">
        <v>1984</v>
      </c>
      <c r="AJ1762" s="25" t="s">
        <v>1985</v>
      </c>
      <c r="AK1762" s="65"/>
      <c r="AL1762" s="176" t="s">
        <v>1257</v>
      </c>
      <c r="AM1762" s="173" t="s">
        <v>457</v>
      </c>
      <c r="AN1762" s="159"/>
      <c r="AO1762" s="160"/>
      <c r="AP1762" s="161"/>
      <c r="AQ1762" s="160"/>
      <c r="AR1762" s="160"/>
      <c r="AS1762" s="160"/>
      <c r="AT1762" s="160"/>
      <c r="AU1762" s="160"/>
      <c r="AV1762" s="160"/>
      <c r="AW1762" s="160"/>
      <c r="AX1762" s="160"/>
      <c r="AY1762" s="160"/>
      <c r="AZ1762" s="160"/>
      <c r="BA1762" s="160"/>
      <c r="BB1762" s="160"/>
      <c r="BC1762" s="160"/>
      <c r="BD1762" s="160"/>
      <c r="BE1762" s="160"/>
      <c r="BF1762" s="160"/>
      <c r="BG1762" s="160"/>
      <c r="BH1762" s="160"/>
      <c r="BI1762" s="160"/>
      <c r="BJ1762" s="160"/>
      <c r="BK1762" s="160"/>
      <c r="BL1762" s="160"/>
      <c r="BM1762" s="160"/>
      <c r="BN1762" s="160"/>
      <c r="BO1762" s="160"/>
      <c r="BP1762" s="160"/>
      <c r="BQ1762" s="160"/>
      <c r="BR1762" s="160"/>
      <c r="BS1762" s="160"/>
      <c r="BT1762" s="160"/>
      <c r="BU1762" s="160"/>
      <c r="BV1762" s="160"/>
      <c r="BW1762" s="160"/>
      <c r="BX1762" s="160"/>
      <c r="BY1762" s="160"/>
      <c r="BZ1762" s="160"/>
      <c r="CA1762" s="160"/>
      <c r="CB1762" s="160"/>
      <c r="CC1762" s="160"/>
      <c r="CD1762" s="160"/>
      <c r="CE1762" s="160"/>
      <c r="CF1762" s="160"/>
      <c r="CG1762" s="160"/>
      <c r="CH1762" s="160"/>
      <c r="CI1762" s="160"/>
      <c r="CJ1762" s="160"/>
      <c r="CK1762" s="160"/>
      <c r="CL1762" s="160"/>
      <c r="CM1762" s="160"/>
      <c r="CN1762" s="160"/>
      <c r="CO1762" s="160"/>
      <c r="CP1762" s="162"/>
      <c r="CQ1762" s="163"/>
      <c r="CR1762" s="162"/>
      <c r="CS1762" s="163"/>
      <c r="CT1762" s="162"/>
      <c r="CU1762" s="163"/>
      <c r="CV1762" s="164">
        <f t="shared" si="225"/>
        <v>0</v>
      </c>
      <c r="CW1762" s="165"/>
      <c r="CX1762" s="166"/>
      <c r="CY1762" s="167"/>
      <c r="CZ1762" s="168"/>
      <c r="DA1762" s="169"/>
      <c r="DB1762" s="168"/>
      <c r="DC1762" s="165"/>
      <c r="DD1762" s="166"/>
      <c r="DE1762" s="71"/>
      <c r="DF1762" s="170"/>
      <c r="EO1762" s="375" t="str">
        <f t="shared" si="227"/>
        <v>RISARALDA_MARSELLA</v>
      </c>
      <c r="EP1762" s="376"/>
      <c r="EQ1762" s="376"/>
      <c r="ER1762" s="377"/>
      <c r="ES1762" s="376"/>
      <c r="ET1762" s="376"/>
      <c r="EU1762" s="376"/>
    </row>
    <row r="1763" spans="1:151" s="171" customFormat="1" ht="38.25" x14ac:dyDescent="0.2">
      <c r="A1763" s="242">
        <v>40499</v>
      </c>
      <c r="B1763" s="222" t="s">
        <v>2427</v>
      </c>
      <c r="C1763" s="222" t="s">
        <v>628</v>
      </c>
      <c r="D1763" s="430" t="s">
        <v>837</v>
      </c>
      <c r="E1763" s="107" t="str">
        <f>VLOOKUP(B1763&amp;C1763,Divipola!$C$2:$F$1138,4,FALSE)</f>
        <v>68001</v>
      </c>
      <c r="F1763" s="333"/>
      <c r="G1763" s="275"/>
      <c r="H1763" s="157"/>
      <c r="I1763" s="157"/>
      <c r="J1763" s="157">
        <v>5</v>
      </c>
      <c r="K1763" s="157">
        <v>1</v>
      </c>
      <c r="L1763" s="157"/>
      <c r="M1763" s="157"/>
      <c r="N1763" s="157"/>
      <c r="O1763" s="157"/>
      <c r="P1763" s="157"/>
      <c r="Q1763" s="157"/>
      <c r="R1763" s="157"/>
      <c r="S1763" s="157"/>
      <c r="T1763" s="157"/>
      <c r="U1763" s="157"/>
      <c r="V1763" s="158"/>
      <c r="W1763" s="182"/>
      <c r="X1763" s="1"/>
      <c r="Y1763" s="78">
        <f t="shared" si="222"/>
        <v>0</v>
      </c>
      <c r="Z1763" s="78">
        <f t="shared" si="223"/>
        <v>0</v>
      </c>
      <c r="AA1763" s="78">
        <f t="shared" si="221"/>
        <v>0</v>
      </c>
      <c r="AB1763" s="78">
        <f t="shared" si="224"/>
        <v>0</v>
      </c>
      <c r="AC1763" s="78"/>
      <c r="AD1763" s="78">
        <v>0</v>
      </c>
      <c r="AE1763" s="80">
        <f t="shared" si="226"/>
        <v>0</v>
      </c>
      <c r="AF1763" s="82">
        <v>0</v>
      </c>
      <c r="AG1763" s="69">
        <v>40504</v>
      </c>
      <c r="AH1763" s="84"/>
      <c r="AI1763" s="69" t="s">
        <v>1984</v>
      </c>
      <c r="AJ1763" s="25" t="s">
        <v>1985</v>
      </c>
      <c r="AK1763" s="65"/>
      <c r="AL1763" s="176" t="s">
        <v>1257</v>
      </c>
      <c r="AM1763" s="173" t="s">
        <v>2877</v>
      </c>
      <c r="AN1763" s="159"/>
      <c r="AO1763" s="160"/>
      <c r="AP1763" s="161"/>
      <c r="AQ1763" s="160"/>
      <c r="AR1763" s="160"/>
      <c r="AS1763" s="160"/>
      <c r="AT1763" s="160"/>
      <c r="AU1763" s="160"/>
      <c r="AV1763" s="160"/>
      <c r="AW1763" s="160"/>
      <c r="AX1763" s="160"/>
      <c r="AY1763" s="160"/>
      <c r="AZ1763" s="160"/>
      <c r="BA1763" s="160"/>
      <c r="BB1763" s="160"/>
      <c r="BC1763" s="160"/>
      <c r="BD1763" s="160"/>
      <c r="BE1763" s="160"/>
      <c r="BF1763" s="160"/>
      <c r="BG1763" s="160"/>
      <c r="BH1763" s="160"/>
      <c r="BI1763" s="160"/>
      <c r="BJ1763" s="160"/>
      <c r="BK1763" s="160"/>
      <c r="BL1763" s="160"/>
      <c r="BM1763" s="160"/>
      <c r="BN1763" s="160"/>
      <c r="BO1763" s="160"/>
      <c r="BP1763" s="160"/>
      <c r="BQ1763" s="160"/>
      <c r="BR1763" s="160"/>
      <c r="BS1763" s="160"/>
      <c r="BT1763" s="160"/>
      <c r="BU1763" s="160"/>
      <c r="BV1763" s="160"/>
      <c r="BW1763" s="160"/>
      <c r="BX1763" s="160"/>
      <c r="BY1763" s="160"/>
      <c r="BZ1763" s="160"/>
      <c r="CA1763" s="160"/>
      <c r="CB1763" s="160"/>
      <c r="CC1763" s="160"/>
      <c r="CD1763" s="160"/>
      <c r="CE1763" s="160"/>
      <c r="CF1763" s="160"/>
      <c r="CG1763" s="160"/>
      <c r="CH1763" s="160"/>
      <c r="CI1763" s="160"/>
      <c r="CJ1763" s="160"/>
      <c r="CK1763" s="160"/>
      <c r="CL1763" s="160"/>
      <c r="CM1763" s="160"/>
      <c r="CN1763" s="160"/>
      <c r="CO1763" s="160"/>
      <c r="CP1763" s="162"/>
      <c r="CQ1763" s="163"/>
      <c r="CR1763" s="162"/>
      <c r="CS1763" s="163"/>
      <c r="CT1763" s="162"/>
      <c r="CU1763" s="163"/>
      <c r="CV1763" s="164">
        <f t="shared" si="225"/>
        <v>0</v>
      </c>
      <c r="CW1763" s="165"/>
      <c r="CX1763" s="166"/>
      <c r="CY1763" s="167"/>
      <c r="CZ1763" s="168"/>
      <c r="DA1763" s="169"/>
      <c r="DB1763" s="168"/>
      <c r="DC1763" s="165"/>
      <c r="DD1763" s="166"/>
      <c r="DE1763" s="71"/>
      <c r="DF1763" s="170"/>
      <c r="EO1763" s="375" t="str">
        <f t="shared" si="227"/>
        <v>SANTANDER_BUCARAMANGA</v>
      </c>
      <c r="EP1763" s="376"/>
      <c r="EQ1763" s="376"/>
      <c r="ER1763" s="377"/>
      <c r="ES1763" s="376"/>
      <c r="ET1763" s="376"/>
      <c r="EU1763" s="376"/>
    </row>
    <row r="1764" spans="1:151" s="171" customFormat="1" ht="48" x14ac:dyDescent="0.2">
      <c r="A1764" s="242">
        <v>40499</v>
      </c>
      <c r="B1764" s="222" t="s">
        <v>2427</v>
      </c>
      <c r="C1764" s="222" t="s">
        <v>2875</v>
      </c>
      <c r="D1764" s="430" t="s">
        <v>837</v>
      </c>
      <c r="E1764" s="107" t="str">
        <f>VLOOKUP(B1764&amp;C1764,Divipola!$C$2:$F$1138,4,FALSE)</f>
        <v>68502</v>
      </c>
      <c r="F1764" s="333"/>
      <c r="G1764" s="275"/>
      <c r="H1764" s="157"/>
      <c r="I1764" s="157"/>
      <c r="J1764" s="157">
        <f>149*5</f>
        <v>745</v>
      </c>
      <c r="K1764" s="157">
        <v>149</v>
      </c>
      <c r="L1764" s="157"/>
      <c r="M1764" s="157">
        <v>40</v>
      </c>
      <c r="N1764" s="157">
        <v>2</v>
      </c>
      <c r="O1764" s="157"/>
      <c r="P1764" s="157"/>
      <c r="Q1764" s="157"/>
      <c r="R1764" s="157"/>
      <c r="S1764" s="157"/>
      <c r="T1764" s="157"/>
      <c r="U1764" s="157"/>
      <c r="V1764" s="158">
        <v>600</v>
      </c>
      <c r="W1764" s="182"/>
      <c r="X1764" s="1"/>
      <c r="Y1764" s="78">
        <f t="shared" si="222"/>
        <v>0</v>
      </c>
      <c r="Z1764" s="78">
        <f t="shared" si="223"/>
        <v>0</v>
      </c>
      <c r="AA1764" s="78">
        <f t="shared" si="221"/>
        <v>0</v>
      </c>
      <c r="AB1764" s="78">
        <f t="shared" si="224"/>
        <v>0</v>
      </c>
      <c r="AC1764" s="78"/>
      <c r="AD1764" s="78">
        <v>0</v>
      </c>
      <c r="AE1764" s="80">
        <f t="shared" si="226"/>
        <v>0</v>
      </c>
      <c r="AF1764" s="82">
        <v>0</v>
      </c>
      <c r="AG1764" s="242">
        <v>40504</v>
      </c>
      <c r="AH1764" s="84"/>
      <c r="AI1764" s="69" t="s">
        <v>1984</v>
      </c>
      <c r="AJ1764" s="25" t="s">
        <v>1985</v>
      </c>
      <c r="AK1764" s="65"/>
      <c r="AL1764" s="176" t="s">
        <v>1257</v>
      </c>
      <c r="AM1764" s="173" t="s">
        <v>2876</v>
      </c>
      <c r="AN1764" s="159"/>
      <c r="AO1764" s="160"/>
      <c r="AP1764" s="161"/>
      <c r="AQ1764" s="160"/>
      <c r="AR1764" s="160"/>
      <c r="AS1764" s="160"/>
      <c r="AT1764" s="160"/>
      <c r="AU1764" s="160"/>
      <c r="AV1764" s="160"/>
      <c r="AW1764" s="160"/>
      <c r="AX1764" s="160"/>
      <c r="AY1764" s="160"/>
      <c r="AZ1764" s="160"/>
      <c r="BA1764" s="160"/>
      <c r="BB1764" s="160"/>
      <c r="BC1764" s="160"/>
      <c r="BD1764" s="160"/>
      <c r="BE1764" s="160"/>
      <c r="BF1764" s="160"/>
      <c r="BG1764" s="160"/>
      <c r="BH1764" s="160"/>
      <c r="BI1764" s="160"/>
      <c r="BJ1764" s="160"/>
      <c r="BK1764" s="160"/>
      <c r="BL1764" s="160"/>
      <c r="BM1764" s="160"/>
      <c r="BN1764" s="160"/>
      <c r="BO1764" s="160"/>
      <c r="BP1764" s="160"/>
      <c r="BQ1764" s="160"/>
      <c r="BR1764" s="160"/>
      <c r="BS1764" s="160"/>
      <c r="BT1764" s="160"/>
      <c r="BU1764" s="160"/>
      <c r="BV1764" s="160"/>
      <c r="BW1764" s="160"/>
      <c r="BX1764" s="160"/>
      <c r="BY1764" s="160"/>
      <c r="BZ1764" s="160"/>
      <c r="CA1764" s="160"/>
      <c r="CB1764" s="160"/>
      <c r="CC1764" s="160"/>
      <c r="CD1764" s="160"/>
      <c r="CE1764" s="160"/>
      <c r="CF1764" s="160"/>
      <c r="CG1764" s="160"/>
      <c r="CH1764" s="160"/>
      <c r="CI1764" s="160"/>
      <c r="CJ1764" s="160"/>
      <c r="CK1764" s="160"/>
      <c r="CL1764" s="160"/>
      <c r="CM1764" s="160"/>
      <c r="CN1764" s="160"/>
      <c r="CO1764" s="160"/>
      <c r="CP1764" s="162"/>
      <c r="CQ1764" s="163"/>
      <c r="CR1764" s="162"/>
      <c r="CS1764" s="163"/>
      <c r="CT1764" s="162"/>
      <c r="CU1764" s="163"/>
      <c r="CV1764" s="164">
        <f t="shared" si="225"/>
        <v>0</v>
      </c>
      <c r="CW1764" s="165"/>
      <c r="CX1764" s="166"/>
      <c r="CY1764" s="167"/>
      <c r="CZ1764" s="168"/>
      <c r="DA1764" s="169"/>
      <c r="DB1764" s="168"/>
      <c r="DC1764" s="165"/>
      <c r="DD1764" s="166"/>
      <c r="DE1764" s="71"/>
      <c r="DF1764" s="170"/>
      <c r="EO1764" s="375" t="str">
        <f t="shared" si="227"/>
        <v>SANTANDER_ONZAGA</v>
      </c>
      <c r="EP1764" s="376"/>
      <c r="EQ1764" s="376"/>
      <c r="ER1764" s="377"/>
      <c r="ES1764" s="376"/>
      <c r="ET1764" s="376"/>
      <c r="EU1764" s="376"/>
    </row>
    <row r="1765" spans="1:151" s="171" customFormat="1" ht="36" x14ac:dyDescent="0.2">
      <c r="A1765" s="242">
        <v>40499</v>
      </c>
      <c r="B1765" s="222" t="s">
        <v>2791</v>
      </c>
      <c r="C1765" s="222" t="s">
        <v>1945</v>
      </c>
      <c r="D1765" s="427" t="s">
        <v>2307</v>
      </c>
      <c r="E1765" s="107" t="str">
        <f>VLOOKUP(B1765&amp;C1765,Divipola!$C$2:$F$1138,4,FALSE)</f>
        <v>73001</v>
      </c>
      <c r="F1765" s="330"/>
      <c r="G1765" s="221"/>
      <c r="H1765" s="157"/>
      <c r="I1765" s="157"/>
      <c r="J1765" s="157">
        <v>25</v>
      </c>
      <c r="K1765" s="157">
        <v>5</v>
      </c>
      <c r="L1765" s="157">
        <v>5</v>
      </c>
      <c r="M1765" s="157"/>
      <c r="N1765" s="157"/>
      <c r="O1765" s="157"/>
      <c r="P1765" s="157"/>
      <c r="Q1765" s="157"/>
      <c r="R1765" s="157"/>
      <c r="S1765" s="157"/>
      <c r="T1765" s="157"/>
      <c r="U1765" s="157"/>
      <c r="V1765" s="158"/>
      <c r="W1765" s="182"/>
      <c r="X1765" s="1"/>
      <c r="Y1765" s="78">
        <f t="shared" si="222"/>
        <v>0</v>
      </c>
      <c r="Z1765" s="78">
        <f t="shared" si="223"/>
        <v>0</v>
      </c>
      <c r="AA1765" s="78">
        <f t="shared" si="221"/>
        <v>0</v>
      </c>
      <c r="AB1765" s="78">
        <f t="shared" si="224"/>
        <v>0</v>
      </c>
      <c r="AC1765" s="78"/>
      <c r="AD1765" s="78">
        <v>0</v>
      </c>
      <c r="AE1765" s="80">
        <f t="shared" si="226"/>
        <v>0</v>
      </c>
      <c r="AF1765" s="82">
        <v>0</v>
      </c>
      <c r="AG1765" s="69">
        <v>40504</v>
      </c>
      <c r="AH1765" s="84"/>
      <c r="AI1765" s="69" t="s">
        <v>1984</v>
      </c>
      <c r="AJ1765" s="25" t="s">
        <v>1985</v>
      </c>
      <c r="AK1765" s="65"/>
      <c r="AL1765" s="176" t="s">
        <v>1257</v>
      </c>
      <c r="AM1765" s="173" t="s">
        <v>2490</v>
      </c>
      <c r="AN1765" s="159"/>
      <c r="AO1765" s="160"/>
      <c r="AP1765" s="161"/>
      <c r="AQ1765" s="160"/>
      <c r="AR1765" s="160"/>
      <c r="AS1765" s="160"/>
      <c r="AT1765" s="160"/>
      <c r="AU1765" s="160"/>
      <c r="AV1765" s="160"/>
      <c r="AW1765" s="160"/>
      <c r="AX1765" s="160"/>
      <c r="AY1765" s="160"/>
      <c r="AZ1765" s="160"/>
      <c r="BA1765" s="160"/>
      <c r="BB1765" s="160"/>
      <c r="BC1765" s="160"/>
      <c r="BD1765" s="160"/>
      <c r="BE1765" s="160"/>
      <c r="BF1765" s="160"/>
      <c r="BG1765" s="160"/>
      <c r="BH1765" s="160"/>
      <c r="BI1765" s="160"/>
      <c r="BJ1765" s="160"/>
      <c r="BK1765" s="160"/>
      <c r="BL1765" s="160"/>
      <c r="BM1765" s="160"/>
      <c r="BN1765" s="160"/>
      <c r="BO1765" s="160"/>
      <c r="BP1765" s="160"/>
      <c r="BQ1765" s="160"/>
      <c r="BR1765" s="160"/>
      <c r="BS1765" s="160"/>
      <c r="BT1765" s="160"/>
      <c r="BU1765" s="160"/>
      <c r="BV1765" s="160"/>
      <c r="BW1765" s="160"/>
      <c r="BX1765" s="160"/>
      <c r="BY1765" s="160"/>
      <c r="BZ1765" s="160"/>
      <c r="CA1765" s="160"/>
      <c r="CB1765" s="160"/>
      <c r="CC1765" s="160"/>
      <c r="CD1765" s="160"/>
      <c r="CE1765" s="160"/>
      <c r="CF1765" s="160"/>
      <c r="CG1765" s="160"/>
      <c r="CH1765" s="160"/>
      <c r="CI1765" s="160"/>
      <c r="CJ1765" s="160"/>
      <c r="CK1765" s="160"/>
      <c r="CL1765" s="160"/>
      <c r="CM1765" s="160"/>
      <c r="CN1765" s="160"/>
      <c r="CO1765" s="160"/>
      <c r="CP1765" s="162"/>
      <c r="CQ1765" s="163"/>
      <c r="CR1765" s="162"/>
      <c r="CS1765" s="163"/>
      <c r="CT1765" s="162"/>
      <c r="CU1765" s="163"/>
      <c r="CV1765" s="164">
        <f t="shared" si="225"/>
        <v>0</v>
      </c>
      <c r="CW1765" s="165"/>
      <c r="CX1765" s="166"/>
      <c r="CY1765" s="167"/>
      <c r="CZ1765" s="168"/>
      <c r="DA1765" s="169"/>
      <c r="DB1765" s="168"/>
      <c r="DC1765" s="165"/>
      <c r="DD1765" s="166"/>
      <c r="DE1765" s="71"/>
      <c r="DF1765" s="170"/>
      <c r="EO1765" s="375" t="str">
        <f t="shared" si="227"/>
        <v>TOLIMA_IBAGUE</v>
      </c>
      <c r="EP1765" s="376"/>
      <c r="EQ1765" s="376"/>
      <c r="ER1765" s="377"/>
      <c r="ES1765" s="376"/>
      <c r="ET1765" s="376"/>
      <c r="EU1765" s="376"/>
    </row>
    <row r="1766" spans="1:151" s="171" customFormat="1" ht="25.5" x14ac:dyDescent="0.2">
      <c r="A1766" s="242">
        <v>40499</v>
      </c>
      <c r="B1766" s="222" t="s">
        <v>2791</v>
      </c>
      <c r="C1766" s="222" t="s">
        <v>2751</v>
      </c>
      <c r="D1766" s="430" t="s">
        <v>837</v>
      </c>
      <c r="E1766" s="107" t="str">
        <f>VLOOKUP(B1766&amp;C1766,Divipola!$C$2:$F$1138,4,FALSE)</f>
        <v>73449</v>
      </c>
      <c r="F1766" s="333"/>
      <c r="G1766" s="221"/>
      <c r="H1766" s="157"/>
      <c r="I1766" s="157"/>
      <c r="J1766" s="157">
        <v>25</v>
      </c>
      <c r="K1766" s="157">
        <v>5</v>
      </c>
      <c r="L1766" s="157">
        <v>1</v>
      </c>
      <c r="M1766" s="157">
        <v>1</v>
      </c>
      <c r="N1766" s="157"/>
      <c r="O1766" s="157"/>
      <c r="P1766" s="157"/>
      <c r="Q1766" s="157"/>
      <c r="R1766" s="157"/>
      <c r="S1766" s="157"/>
      <c r="T1766" s="157"/>
      <c r="U1766" s="157"/>
      <c r="V1766" s="158"/>
      <c r="W1766" s="182"/>
      <c r="X1766" s="1"/>
      <c r="Y1766" s="78">
        <f t="shared" si="222"/>
        <v>0</v>
      </c>
      <c r="Z1766" s="78">
        <f t="shared" si="223"/>
        <v>0</v>
      </c>
      <c r="AA1766" s="78">
        <f t="shared" si="221"/>
        <v>0</v>
      </c>
      <c r="AB1766" s="78">
        <f t="shared" si="224"/>
        <v>0</v>
      </c>
      <c r="AC1766" s="78"/>
      <c r="AD1766" s="78">
        <v>0</v>
      </c>
      <c r="AE1766" s="80">
        <f t="shared" si="226"/>
        <v>0</v>
      </c>
      <c r="AF1766" s="82">
        <v>0</v>
      </c>
      <c r="AG1766" s="69">
        <v>40504</v>
      </c>
      <c r="AH1766" s="84"/>
      <c r="AI1766" s="69" t="s">
        <v>1984</v>
      </c>
      <c r="AJ1766" s="25" t="s">
        <v>1985</v>
      </c>
      <c r="AK1766" s="65"/>
      <c r="AL1766" s="176" t="s">
        <v>1257</v>
      </c>
      <c r="AM1766" s="173" t="s">
        <v>2872</v>
      </c>
      <c r="AN1766" s="159"/>
      <c r="AO1766" s="160"/>
      <c r="AP1766" s="161"/>
      <c r="AQ1766" s="160"/>
      <c r="AR1766" s="160"/>
      <c r="AS1766" s="160"/>
      <c r="AT1766" s="160"/>
      <c r="AU1766" s="160"/>
      <c r="AV1766" s="160"/>
      <c r="AW1766" s="160"/>
      <c r="AX1766" s="160"/>
      <c r="AY1766" s="160"/>
      <c r="AZ1766" s="160"/>
      <c r="BA1766" s="160"/>
      <c r="BB1766" s="160"/>
      <c r="BC1766" s="160"/>
      <c r="BD1766" s="160"/>
      <c r="BE1766" s="160"/>
      <c r="BF1766" s="160"/>
      <c r="BG1766" s="160"/>
      <c r="BH1766" s="160"/>
      <c r="BI1766" s="160"/>
      <c r="BJ1766" s="160"/>
      <c r="BK1766" s="160"/>
      <c r="BL1766" s="160"/>
      <c r="BM1766" s="160"/>
      <c r="BN1766" s="160"/>
      <c r="BO1766" s="160"/>
      <c r="BP1766" s="160"/>
      <c r="BQ1766" s="160"/>
      <c r="BR1766" s="160"/>
      <c r="BS1766" s="160"/>
      <c r="BT1766" s="160"/>
      <c r="BU1766" s="160"/>
      <c r="BV1766" s="160"/>
      <c r="BW1766" s="160"/>
      <c r="BX1766" s="160"/>
      <c r="BY1766" s="160"/>
      <c r="BZ1766" s="160"/>
      <c r="CA1766" s="160"/>
      <c r="CB1766" s="160"/>
      <c r="CC1766" s="160"/>
      <c r="CD1766" s="160"/>
      <c r="CE1766" s="160"/>
      <c r="CF1766" s="160"/>
      <c r="CG1766" s="160"/>
      <c r="CH1766" s="160"/>
      <c r="CI1766" s="160"/>
      <c r="CJ1766" s="160"/>
      <c r="CK1766" s="160"/>
      <c r="CL1766" s="160"/>
      <c r="CM1766" s="160"/>
      <c r="CN1766" s="160"/>
      <c r="CO1766" s="160"/>
      <c r="CP1766" s="162"/>
      <c r="CQ1766" s="163"/>
      <c r="CR1766" s="162"/>
      <c r="CS1766" s="163"/>
      <c r="CT1766" s="162"/>
      <c r="CU1766" s="163"/>
      <c r="CV1766" s="164">
        <f t="shared" si="225"/>
        <v>0</v>
      </c>
      <c r="CW1766" s="165"/>
      <c r="CX1766" s="166"/>
      <c r="CY1766" s="167"/>
      <c r="CZ1766" s="168"/>
      <c r="DA1766" s="169"/>
      <c r="DB1766" s="168"/>
      <c r="DC1766" s="165"/>
      <c r="DD1766" s="166"/>
      <c r="DE1766" s="71"/>
      <c r="DF1766" s="170"/>
      <c r="EO1766" s="375" t="str">
        <f t="shared" si="227"/>
        <v>TOLIMA_MELGAR</v>
      </c>
      <c r="EP1766" s="376"/>
      <c r="EQ1766" s="376"/>
      <c r="ER1766" s="377"/>
      <c r="ES1766" s="376"/>
      <c r="ET1766" s="376"/>
      <c r="EU1766" s="376"/>
    </row>
    <row r="1767" spans="1:151" s="171" customFormat="1" ht="25.5" x14ac:dyDescent="0.2">
      <c r="A1767" s="242">
        <v>40499</v>
      </c>
      <c r="B1767" s="222" t="s">
        <v>2791</v>
      </c>
      <c r="C1767" s="222" t="s">
        <v>2670</v>
      </c>
      <c r="D1767" s="430" t="s">
        <v>1721</v>
      </c>
      <c r="E1767" s="107" t="str">
        <f>VLOOKUP(B1767&amp;C1767,Divipola!$C$2:$F$1138,4,FALSE)</f>
        <v>73678</v>
      </c>
      <c r="F1767" s="333"/>
      <c r="G1767" s="221"/>
      <c r="H1767" s="157"/>
      <c r="I1767" s="157"/>
      <c r="J1767" s="157">
        <v>15</v>
      </c>
      <c r="K1767" s="157">
        <v>3</v>
      </c>
      <c r="L1767" s="157">
        <v>1</v>
      </c>
      <c r="M1767" s="157">
        <v>2</v>
      </c>
      <c r="N1767" s="157"/>
      <c r="O1767" s="157"/>
      <c r="P1767" s="157"/>
      <c r="Q1767" s="157"/>
      <c r="R1767" s="157"/>
      <c r="S1767" s="157"/>
      <c r="T1767" s="157"/>
      <c r="U1767" s="157"/>
      <c r="V1767" s="158"/>
      <c r="W1767" s="182"/>
      <c r="X1767" s="1"/>
      <c r="Y1767" s="78">
        <f t="shared" si="222"/>
        <v>0</v>
      </c>
      <c r="Z1767" s="78">
        <f t="shared" si="223"/>
        <v>0</v>
      </c>
      <c r="AA1767" s="78">
        <f t="shared" si="221"/>
        <v>0</v>
      </c>
      <c r="AB1767" s="78">
        <f t="shared" si="224"/>
        <v>0</v>
      </c>
      <c r="AC1767" s="78"/>
      <c r="AD1767" s="78">
        <v>0</v>
      </c>
      <c r="AE1767" s="80">
        <f t="shared" si="226"/>
        <v>0</v>
      </c>
      <c r="AF1767" s="82">
        <v>0</v>
      </c>
      <c r="AG1767" s="69">
        <v>40504</v>
      </c>
      <c r="AH1767" s="84"/>
      <c r="AI1767" s="69" t="s">
        <v>1984</v>
      </c>
      <c r="AJ1767" s="25" t="s">
        <v>1985</v>
      </c>
      <c r="AK1767" s="65"/>
      <c r="AL1767" s="176" t="s">
        <v>1257</v>
      </c>
      <c r="AM1767" s="173" t="s">
        <v>2841</v>
      </c>
      <c r="AN1767" s="159"/>
      <c r="AO1767" s="160"/>
      <c r="AP1767" s="161"/>
      <c r="AQ1767" s="160"/>
      <c r="AR1767" s="160"/>
      <c r="AS1767" s="160"/>
      <c r="AT1767" s="160"/>
      <c r="AU1767" s="160"/>
      <c r="AV1767" s="160"/>
      <c r="AW1767" s="160"/>
      <c r="AX1767" s="160"/>
      <c r="AY1767" s="160"/>
      <c r="AZ1767" s="160"/>
      <c r="BA1767" s="160"/>
      <c r="BB1767" s="160"/>
      <c r="BC1767" s="160"/>
      <c r="BD1767" s="160"/>
      <c r="BE1767" s="160"/>
      <c r="BF1767" s="160"/>
      <c r="BG1767" s="160"/>
      <c r="BH1767" s="160"/>
      <c r="BI1767" s="160"/>
      <c r="BJ1767" s="160"/>
      <c r="BK1767" s="160"/>
      <c r="BL1767" s="160"/>
      <c r="BM1767" s="160"/>
      <c r="BN1767" s="160"/>
      <c r="BO1767" s="160"/>
      <c r="BP1767" s="160"/>
      <c r="BQ1767" s="160"/>
      <c r="BR1767" s="160"/>
      <c r="BS1767" s="160"/>
      <c r="BT1767" s="160"/>
      <c r="BU1767" s="160"/>
      <c r="BV1767" s="160"/>
      <c r="BW1767" s="160"/>
      <c r="BX1767" s="160"/>
      <c r="BY1767" s="160"/>
      <c r="BZ1767" s="160"/>
      <c r="CA1767" s="160"/>
      <c r="CB1767" s="160"/>
      <c r="CC1767" s="160"/>
      <c r="CD1767" s="160"/>
      <c r="CE1767" s="160"/>
      <c r="CF1767" s="160"/>
      <c r="CG1767" s="160"/>
      <c r="CH1767" s="160"/>
      <c r="CI1767" s="160"/>
      <c r="CJ1767" s="160"/>
      <c r="CK1767" s="160"/>
      <c r="CL1767" s="160"/>
      <c r="CM1767" s="160"/>
      <c r="CN1767" s="160"/>
      <c r="CO1767" s="160"/>
      <c r="CP1767" s="162"/>
      <c r="CQ1767" s="163"/>
      <c r="CR1767" s="162"/>
      <c r="CS1767" s="163"/>
      <c r="CT1767" s="162"/>
      <c r="CU1767" s="163"/>
      <c r="CV1767" s="164">
        <f t="shared" si="225"/>
        <v>0</v>
      </c>
      <c r="CW1767" s="165"/>
      <c r="CX1767" s="166"/>
      <c r="CY1767" s="167"/>
      <c r="CZ1767" s="168"/>
      <c r="DA1767" s="169"/>
      <c r="DB1767" s="168"/>
      <c r="DC1767" s="165"/>
      <c r="DD1767" s="166"/>
      <c r="DE1767" s="71"/>
      <c r="DF1767" s="170"/>
      <c r="EO1767" s="375" t="str">
        <f t="shared" si="227"/>
        <v>TOLIMA_SAN LUIS</v>
      </c>
      <c r="EP1767" s="376"/>
      <c r="EQ1767" s="376"/>
      <c r="ER1767" s="377"/>
      <c r="ES1767" s="376"/>
      <c r="ET1767" s="376"/>
      <c r="EU1767" s="376"/>
    </row>
    <row r="1768" spans="1:151" s="171" customFormat="1" ht="25.5" x14ac:dyDescent="0.2">
      <c r="A1768" s="242">
        <v>40499</v>
      </c>
      <c r="B1768" s="222" t="s">
        <v>2791</v>
      </c>
      <c r="C1768" s="222" t="s">
        <v>4612</v>
      </c>
      <c r="D1768" s="427" t="s">
        <v>2307</v>
      </c>
      <c r="E1768" s="107" t="str">
        <f>VLOOKUP(B1768&amp;C1768,Divipola!$C$2:$F$1138,4,FALSE)</f>
        <v>73873</v>
      </c>
      <c r="F1768" s="330"/>
      <c r="G1768" s="221"/>
      <c r="H1768" s="157"/>
      <c r="I1768" s="157"/>
      <c r="J1768" s="157">
        <f>716-42</f>
        <v>674</v>
      </c>
      <c r="K1768" s="157">
        <f>159-15</f>
        <v>144</v>
      </c>
      <c r="L1768" s="157"/>
      <c r="M1768" s="157"/>
      <c r="N1768" s="157"/>
      <c r="O1768" s="157"/>
      <c r="P1768" s="157"/>
      <c r="Q1768" s="157"/>
      <c r="R1768" s="157"/>
      <c r="S1768" s="157"/>
      <c r="T1768" s="157"/>
      <c r="U1768" s="157"/>
      <c r="V1768" s="158"/>
      <c r="W1768" s="182"/>
      <c r="X1768" s="1"/>
      <c r="Y1768" s="78">
        <f t="shared" si="222"/>
        <v>0</v>
      </c>
      <c r="Z1768" s="78">
        <f t="shared" si="223"/>
        <v>0</v>
      </c>
      <c r="AA1768" s="78">
        <f t="shared" si="221"/>
        <v>0</v>
      </c>
      <c r="AB1768" s="78">
        <f t="shared" si="224"/>
        <v>0</v>
      </c>
      <c r="AC1768" s="78"/>
      <c r="AD1768" s="78">
        <v>0</v>
      </c>
      <c r="AE1768" s="80">
        <f t="shared" si="226"/>
        <v>0</v>
      </c>
      <c r="AF1768" s="82">
        <v>0</v>
      </c>
      <c r="AG1768" s="69">
        <v>40504</v>
      </c>
      <c r="AH1768" s="84"/>
      <c r="AI1768" s="69" t="s">
        <v>1984</v>
      </c>
      <c r="AJ1768" s="25" t="s">
        <v>1985</v>
      </c>
      <c r="AK1768" s="65"/>
      <c r="AL1768" s="176" t="s">
        <v>1257</v>
      </c>
      <c r="AM1768" s="173" t="s">
        <v>2616</v>
      </c>
      <c r="AN1768" s="159"/>
      <c r="AO1768" s="160"/>
      <c r="AP1768" s="161"/>
      <c r="AQ1768" s="160"/>
      <c r="AR1768" s="160"/>
      <c r="AS1768" s="160"/>
      <c r="AT1768" s="160"/>
      <c r="AU1768" s="160"/>
      <c r="AV1768" s="160"/>
      <c r="AW1768" s="160"/>
      <c r="AX1768" s="160"/>
      <c r="AY1768" s="160"/>
      <c r="AZ1768" s="160"/>
      <c r="BA1768" s="160"/>
      <c r="BB1768" s="160"/>
      <c r="BC1768" s="160"/>
      <c r="BD1768" s="160"/>
      <c r="BE1768" s="160"/>
      <c r="BF1768" s="160"/>
      <c r="BG1768" s="160"/>
      <c r="BH1768" s="160"/>
      <c r="BI1768" s="160"/>
      <c r="BJ1768" s="160"/>
      <c r="BK1768" s="160"/>
      <c r="BL1768" s="160"/>
      <c r="BM1768" s="160"/>
      <c r="BN1768" s="160"/>
      <c r="BO1768" s="160"/>
      <c r="BP1768" s="160"/>
      <c r="BQ1768" s="160"/>
      <c r="BR1768" s="160"/>
      <c r="BS1768" s="160"/>
      <c r="BT1768" s="160"/>
      <c r="BU1768" s="160"/>
      <c r="BV1768" s="160"/>
      <c r="BW1768" s="160"/>
      <c r="BX1768" s="160"/>
      <c r="BY1768" s="160"/>
      <c r="BZ1768" s="160"/>
      <c r="CA1768" s="160"/>
      <c r="CB1768" s="160"/>
      <c r="CC1768" s="160"/>
      <c r="CD1768" s="160"/>
      <c r="CE1768" s="160"/>
      <c r="CF1768" s="160"/>
      <c r="CG1768" s="160"/>
      <c r="CH1768" s="160"/>
      <c r="CI1768" s="160"/>
      <c r="CJ1768" s="160"/>
      <c r="CK1768" s="160"/>
      <c r="CL1768" s="160"/>
      <c r="CM1768" s="160"/>
      <c r="CN1768" s="160"/>
      <c r="CO1768" s="160"/>
      <c r="CP1768" s="162"/>
      <c r="CQ1768" s="163"/>
      <c r="CR1768" s="162"/>
      <c r="CS1768" s="163"/>
      <c r="CT1768" s="162"/>
      <c r="CU1768" s="163"/>
      <c r="CV1768" s="164">
        <f t="shared" si="225"/>
        <v>0</v>
      </c>
      <c r="CW1768" s="165"/>
      <c r="CX1768" s="166"/>
      <c r="CY1768" s="167"/>
      <c r="CZ1768" s="168"/>
      <c r="DA1768" s="169"/>
      <c r="DB1768" s="168"/>
      <c r="DC1768" s="165"/>
      <c r="DD1768" s="166"/>
      <c r="DE1768" s="71"/>
      <c r="DF1768" s="170"/>
      <c r="EO1768" s="375" t="str">
        <f t="shared" si="227"/>
        <v>TOLIMA_VILLARRICA</v>
      </c>
      <c r="EP1768" s="376"/>
      <c r="EQ1768" s="376"/>
      <c r="ER1768" s="377"/>
      <c r="ES1768" s="376"/>
      <c r="ET1768" s="376"/>
      <c r="EU1768" s="376"/>
    </row>
    <row r="1769" spans="1:151" s="171" customFormat="1" ht="51" x14ac:dyDescent="0.2">
      <c r="A1769" s="242">
        <v>40499</v>
      </c>
      <c r="B1769" s="222" t="s">
        <v>1462</v>
      </c>
      <c r="C1769" s="222" t="s">
        <v>1412</v>
      </c>
      <c r="D1769" s="427" t="s">
        <v>2307</v>
      </c>
      <c r="E1769" s="107" t="str">
        <f>VLOOKUP(B1769&amp;C1769,Divipola!$C$2:$F$1138,4,FALSE)</f>
        <v>76122</v>
      </c>
      <c r="F1769" s="330"/>
      <c r="G1769" s="221"/>
      <c r="H1769" s="157"/>
      <c r="I1769" s="157"/>
      <c r="J1769" s="157">
        <f>14*5</f>
        <v>70</v>
      </c>
      <c r="K1769" s="157">
        <v>14</v>
      </c>
      <c r="L1769" s="157"/>
      <c r="M1769" s="157">
        <v>14</v>
      </c>
      <c r="N1769" s="157"/>
      <c r="O1769" s="157"/>
      <c r="P1769" s="157"/>
      <c r="Q1769" s="157"/>
      <c r="R1769" s="157"/>
      <c r="S1769" s="157"/>
      <c r="T1769" s="157"/>
      <c r="U1769" s="157"/>
      <c r="V1769" s="158"/>
      <c r="W1769" s="182"/>
      <c r="X1769" s="1"/>
      <c r="Y1769" s="78">
        <f t="shared" si="222"/>
        <v>0</v>
      </c>
      <c r="Z1769" s="78">
        <f t="shared" si="223"/>
        <v>0</v>
      </c>
      <c r="AA1769" s="78">
        <f t="shared" si="221"/>
        <v>0</v>
      </c>
      <c r="AB1769" s="78">
        <f t="shared" si="224"/>
        <v>0</v>
      </c>
      <c r="AC1769" s="78"/>
      <c r="AD1769" s="78">
        <v>0</v>
      </c>
      <c r="AE1769" s="80">
        <f t="shared" si="226"/>
        <v>0</v>
      </c>
      <c r="AF1769" s="82">
        <v>0</v>
      </c>
      <c r="AG1769" s="69">
        <v>40504</v>
      </c>
      <c r="AH1769" s="84"/>
      <c r="AI1769" s="69" t="s">
        <v>1984</v>
      </c>
      <c r="AJ1769" s="25" t="s">
        <v>1985</v>
      </c>
      <c r="AK1769" s="65"/>
      <c r="AL1769" s="176" t="s">
        <v>1257</v>
      </c>
      <c r="AM1769" s="173" t="s">
        <v>2499</v>
      </c>
      <c r="AN1769" s="159"/>
      <c r="AO1769" s="160"/>
      <c r="AP1769" s="161"/>
      <c r="AQ1769" s="160"/>
      <c r="AR1769" s="160"/>
      <c r="AS1769" s="160"/>
      <c r="AT1769" s="160"/>
      <c r="AU1769" s="160"/>
      <c r="AV1769" s="160"/>
      <c r="AW1769" s="160"/>
      <c r="AX1769" s="160"/>
      <c r="AY1769" s="160"/>
      <c r="AZ1769" s="160"/>
      <c r="BA1769" s="160"/>
      <c r="BB1769" s="160"/>
      <c r="BC1769" s="160"/>
      <c r="BD1769" s="160"/>
      <c r="BE1769" s="160"/>
      <c r="BF1769" s="160"/>
      <c r="BG1769" s="160"/>
      <c r="BH1769" s="160"/>
      <c r="BI1769" s="160"/>
      <c r="BJ1769" s="160"/>
      <c r="BK1769" s="160"/>
      <c r="BL1769" s="160"/>
      <c r="BM1769" s="160"/>
      <c r="BN1769" s="160"/>
      <c r="BO1769" s="160"/>
      <c r="BP1769" s="160"/>
      <c r="BQ1769" s="160"/>
      <c r="BR1769" s="160"/>
      <c r="BS1769" s="160"/>
      <c r="BT1769" s="160"/>
      <c r="BU1769" s="160"/>
      <c r="BV1769" s="160"/>
      <c r="BW1769" s="160"/>
      <c r="BX1769" s="160"/>
      <c r="BY1769" s="160"/>
      <c r="BZ1769" s="160"/>
      <c r="CA1769" s="160"/>
      <c r="CB1769" s="160"/>
      <c r="CC1769" s="160"/>
      <c r="CD1769" s="160"/>
      <c r="CE1769" s="160"/>
      <c r="CF1769" s="160"/>
      <c r="CG1769" s="160"/>
      <c r="CH1769" s="160"/>
      <c r="CI1769" s="160"/>
      <c r="CJ1769" s="160"/>
      <c r="CK1769" s="160"/>
      <c r="CL1769" s="160"/>
      <c r="CM1769" s="160"/>
      <c r="CN1769" s="160"/>
      <c r="CO1769" s="160"/>
      <c r="CP1769" s="162"/>
      <c r="CQ1769" s="163"/>
      <c r="CR1769" s="162"/>
      <c r="CS1769" s="163"/>
      <c r="CT1769" s="162"/>
      <c r="CU1769" s="163"/>
      <c r="CV1769" s="164">
        <f t="shared" si="225"/>
        <v>0</v>
      </c>
      <c r="CW1769" s="165"/>
      <c r="CX1769" s="166"/>
      <c r="CY1769" s="167"/>
      <c r="CZ1769" s="168"/>
      <c r="DA1769" s="169"/>
      <c r="DB1769" s="168"/>
      <c r="DC1769" s="165"/>
      <c r="DD1769" s="166"/>
      <c r="DE1769" s="71"/>
      <c r="DF1769" s="170"/>
      <c r="EO1769" s="375" t="str">
        <f t="shared" si="227"/>
        <v>VALLE DEL CAUCA_CAICEDONIA</v>
      </c>
      <c r="EP1769" s="376"/>
      <c r="EQ1769" s="376"/>
      <c r="ER1769" s="377"/>
      <c r="ES1769" s="376"/>
      <c r="ET1769" s="376"/>
      <c r="EU1769" s="376"/>
    </row>
    <row r="1770" spans="1:151" s="171" customFormat="1" ht="51" x14ac:dyDescent="0.2">
      <c r="A1770" s="242">
        <v>40499</v>
      </c>
      <c r="B1770" s="222" t="s">
        <v>1462</v>
      </c>
      <c r="C1770" s="222" t="s">
        <v>2862</v>
      </c>
      <c r="D1770" s="430" t="s">
        <v>837</v>
      </c>
      <c r="E1770" s="107" t="str">
        <f>VLOOKUP(B1770&amp;C1770,Divipola!$C$2:$F$1138,4,FALSE)</f>
        <v>76147</v>
      </c>
      <c r="F1770" s="333"/>
      <c r="G1770" s="221"/>
      <c r="H1770" s="157"/>
      <c r="I1770" s="157"/>
      <c r="J1770" s="157">
        <f>195*5</f>
        <v>975</v>
      </c>
      <c r="K1770" s="157">
        <v>195</v>
      </c>
      <c r="L1770" s="157"/>
      <c r="M1770" s="157">
        <v>195</v>
      </c>
      <c r="N1770" s="157"/>
      <c r="O1770" s="157"/>
      <c r="P1770" s="157"/>
      <c r="Q1770" s="157"/>
      <c r="R1770" s="157"/>
      <c r="S1770" s="157"/>
      <c r="T1770" s="157"/>
      <c r="U1770" s="157"/>
      <c r="V1770" s="158"/>
      <c r="W1770" s="182"/>
      <c r="X1770" s="1"/>
      <c r="Y1770" s="78">
        <f t="shared" si="222"/>
        <v>0</v>
      </c>
      <c r="Z1770" s="78">
        <f t="shared" si="223"/>
        <v>0</v>
      </c>
      <c r="AA1770" s="78">
        <f t="shared" si="221"/>
        <v>0</v>
      </c>
      <c r="AB1770" s="78">
        <f t="shared" si="224"/>
        <v>0</v>
      </c>
      <c r="AC1770" s="78"/>
      <c r="AD1770" s="78">
        <v>0</v>
      </c>
      <c r="AE1770" s="80">
        <f t="shared" si="226"/>
        <v>0</v>
      </c>
      <c r="AF1770" s="82">
        <v>0</v>
      </c>
      <c r="AG1770" s="69">
        <v>40500</v>
      </c>
      <c r="AH1770" s="84"/>
      <c r="AI1770" s="69" t="s">
        <v>1984</v>
      </c>
      <c r="AJ1770" s="25" t="s">
        <v>1985</v>
      </c>
      <c r="AK1770" s="65"/>
      <c r="AL1770" s="176" t="s">
        <v>1257</v>
      </c>
      <c r="AM1770" s="173" t="s">
        <v>2867</v>
      </c>
      <c r="AN1770" s="159"/>
      <c r="AO1770" s="160"/>
      <c r="AP1770" s="161"/>
      <c r="AQ1770" s="160"/>
      <c r="AR1770" s="160"/>
      <c r="AS1770" s="160"/>
      <c r="AT1770" s="160"/>
      <c r="AU1770" s="160"/>
      <c r="AV1770" s="160"/>
      <c r="AW1770" s="160"/>
      <c r="AX1770" s="160"/>
      <c r="AY1770" s="160"/>
      <c r="AZ1770" s="160"/>
      <c r="BA1770" s="160"/>
      <c r="BB1770" s="160"/>
      <c r="BC1770" s="160"/>
      <c r="BD1770" s="160"/>
      <c r="BE1770" s="160"/>
      <c r="BF1770" s="160"/>
      <c r="BG1770" s="160"/>
      <c r="BH1770" s="160"/>
      <c r="BI1770" s="160"/>
      <c r="BJ1770" s="160"/>
      <c r="BK1770" s="160"/>
      <c r="BL1770" s="160"/>
      <c r="BM1770" s="160"/>
      <c r="BN1770" s="160"/>
      <c r="BO1770" s="160"/>
      <c r="BP1770" s="160"/>
      <c r="BQ1770" s="160"/>
      <c r="BR1770" s="160"/>
      <c r="BS1770" s="160"/>
      <c r="BT1770" s="160"/>
      <c r="BU1770" s="160"/>
      <c r="BV1770" s="160"/>
      <c r="BW1770" s="160"/>
      <c r="BX1770" s="160"/>
      <c r="BY1770" s="160"/>
      <c r="BZ1770" s="160"/>
      <c r="CA1770" s="160"/>
      <c r="CB1770" s="160"/>
      <c r="CC1770" s="160"/>
      <c r="CD1770" s="160"/>
      <c r="CE1770" s="160"/>
      <c r="CF1770" s="160"/>
      <c r="CG1770" s="160"/>
      <c r="CH1770" s="160"/>
      <c r="CI1770" s="160"/>
      <c r="CJ1770" s="160"/>
      <c r="CK1770" s="160"/>
      <c r="CL1770" s="160"/>
      <c r="CM1770" s="160"/>
      <c r="CN1770" s="160"/>
      <c r="CO1770" s="160"/>
      <c r="CP1770" s="162"/>
      <c r="CQ1770" s="163"/>
      <c r="CR1770" s="162"/>
      <c r="CS1770" s="163"/>
      <c r="CT1770" s="162"/>
      <c r="CU1770" s="163"/>
      <c r="CV1770" s="164">
        <f t="shared" si="225"/>
        <v>0</v>
      </c>
      <c r="CW1770" s="165"/>
      <c r="CX1770" s="166"/>
      <c r="CY1770" s="167"/>
      <c r="CZ1770" s="168"/>
      <c r="DA1770" s="169"/>
      <c r="DB1770" s="168"/>
      <c r="DC1770" s="165"/>
      <c r="DD1770" s="166"/>
      <c r="DE1770" s="71"/>
      <c r="DF1770" s="170"/>
      <c r="EO1770" s="375" t="str">
        <f t="shared" si="227"/>
        <v>VALLE DEL CAUCA_CARTAGO</v>
      </c>
      <c r="EP1770" s="376"/>
      <c r="EQ1770" s="376"/>
      <c r="ER1770" s="377"/>
      <c r="ES1770" s="376"/>
      <c r="ET1770" s="376"/>
      <c r="EU1770" s="376"/>
    </row>
    <row r="1771" spans="1:151" s="171" customFormat="1" ht="63.75" x14ac:dyDescent="0.2">
      <c r="A1771" s="242">
        <v>40499</v>
      </c>
      <c r="B1771" s="222" t="s">
        <v>1462</v>
      </c>
      <c r="C1771" s="222" t="s">
        <v>2008</v>
      </c>
      <c r="D1771" s="430" t="s">
        <v>837</v>
      </c>
      <c r="E1771" s="107">
        <f>VLOOKUP(B1771&amp;C1771,Divipola!$C$2:$F$1138,4,FALSE)</f>
        <v>76</v>
      </c>
      <c r="F1771" s="333"/>
      <c r="G1771" s="221"/>
      <c r="H1771" s="157"/>
      <c r="I1771" s="157"/>
      <c r="J1771" s="157"/>
      <c r="K1771" s="157"/>
      <c r="L1771" s="157"/>
      <c r="M1771" s="157"/>
      <c r="N1771" s="157"/>
      <c r="O1771" s="157"/>
      <c r="P1771" s="157"/>
      <c r="Q1771" s="157"/>
      <c r="R1771" s="157"/>
      <c r="S1771" s="157"/>
      <c r="T1771" s="157"/>
      <c r="U1771" s="157"/>
      <c r="V1771" s="158"/>
      <c r="W1771" s="182"/>
      <c r="X1771" s="1"/>
      <c r="Y1771" s="78">
        <f t="shared" si="222"/>
        <v>0</v>
      </c>
      <c r="Z1771" s="78">
        <f t="shared" si="223"/>
        <v>0</v>
      </c>
      <c r="AA1771" s="78">
        <f t="shared" si="221"/>
        <v>0</v>
      </c>
      <c r="AB1771" s="78">
        <f t="shared" si="224"/>
        <v>18003200</v>
      </c>
      <c r="AC1771" s="78"/>
      <c r="AD1771" s="78">
        <v>0</v>
      </c>
      <c r="AE1771" s="80">
        <f t="shared" si="226"/>
        <v>18003200</v>
      </c>
      <c r="AF1771" s="82">
        <v>0</v>
      </c>
      <c r="AG1771" s="69">
        <v>40500</v>
      </c>
      <c r="AH1771" s="84"/>
      <c r="AI1771" s="69" t="s">
        <v>2009</v>
      </c>
      <c r="AJ1771" s="25" t="s">
        <v>2010</v>
      </c>
      <c r="AK1771" s="65"/>
      <c r="AL1771" s="176" t="s">
        <v>1831</v>
      </c>
      <c r="AM1771" s="173" t="s">
        <v>1659</v>
      </c>
      <c r="AN1771" s="159"/>
      <c r="AO1771" s="160"/>
      <c r="AP1771" s="161"/>
      <c r="AQ1771" s="160"/>
      <c r="AR1771" s="160"/>
      <c r="AS1771" s="160"/>
      <c r="AT1771" s="160"/>
      <c r="AU1771" s="160"/>
      <c r="AV1771" s="160"/>
      <c r="AW1771" s="160"/>
      <c r="AX1771" s="160"/>
      <c r="AY1771" s="160"/>
      <c r="AZ1771" s="160"/>
      <c r="BA1771" s="160"/>
      <c r="BB1771" s="160"/>
      <c r="BC1771" s="160"/>
      <c r="BD1771" s="160"/>
      <c r="BE1771" s="160"/>
      <c r="BF1771" s="160"/>
      <c r="BG1771" s="160"/>
      <c r="BH1771" s="160"/>
      <c r="BI1771" s="160"/>
      <c r="BJ1771" s="160"/>
      <c r="BK1771" s="160"/>
      <c r="BL1771" s="160"/>
      <c r="BM1771" s="160"/>
      <c r="BN1771" s="160"/>
      <c r="BO1771" s="160"/>
      <c r="BP1771" s="160"/>
      <c r="BQ1771" s="160"/>
      <c r="BR1771" s="160"/>
      <c r="BS1771" s="160"/>
      <c r="BT1771" s="160"/>
      <c r="BU1771" s="160"/>
      <c r="BV1771" s="160"/>
      <c r="BW1771" s="160"/>
      <c r="BX1771" s="160"/>
      <c r="BY1771" s="160"/>
      <c r="BZ1771" s="160"/>
      <c r="CA1771" s="160"/>
      <c r="CB1771" s="160"/>
      <c r="CC1771" s="160"/>
      <c r="CD1771" s="160"/>
      <c r="CE1771" s="160"/>
      <c r="CF1771" s="160"/>
      <c r="CG1771" s="160"/>
      <c r="CH1771" s="160"/>
      <c r="CI1771" s="160"/>
      <c r="CJ1771" s="160"/>
      <c r="CK1771" s="160"/>
      <c r="CL1771" s="160"/>
      <c r="CM1771" s="160"/>
      <c r="CN1771" s="160"/>
      <c r="CO1771" s="160"/>
      <c r="CP1771" s="162"/>
      <c r="CQ1771" s="163"/>
      <c r="CR1771" s="162"/>
      <c r="CS1771" s="163"/>
      <c r="CT1771" s="162"/>
      <c r="CU1771" s="163"/>
      <c r="CV1771" s="164">
        <f t="shared" si="225"/>
        <v>0</v>
      </c>
      <c r="CW1771" s="165">
        <v>20000</v>
      </c>
      <c r="CX1771" s="166">
        <f>20000*900.16</f>
        <v>18003200</v>
      </c>
      <c r="CY1771" s="167"/>
      <c r="CZ1771" s="168"/>
      <c r="DA1771" s="169"/>
      <c r="DB1771" s="168"/>
      <c r="DC1771" s="165"/>
      <c r="DD1771" s="166"/>
      <c r="DE1771" s="71"/>
      <c r="DF1771" s="170"/>
      <c r="EO1771" s="375" t="str">
        <f t="shared" si="227"/>
        <v>VALLE DEL CAUCA_DEPARTAMENTO</v>
      </c>
      <c r="EP1771" s="376"/>
      <c r="EQ1771" s="376"/>
      <c r="ER1771" s="377"/>
      <c r="ES1771" s="376"/>
      <c r="ET1771" s="376"/>
      <c r="EU1771" s="376"/>
    </row>
    <row r="1772" spans="1:151" s="171" customFormat="1" ht="96" x14ac:dyDescent="0.2">
      <c r="A1772" s="242">
        <v>40499</v>
      </c>
      <c r="B1772" s="222" t="s">
        <v>1462</v>
      </c>
      <c r="C1772" s="222" t="s">
        <v>609</v>
      </c>
      <c r="D1772" s="430" t="s">
        <v>837</v>
      </c>
      <c r="E1772" s="107" t="str">
        <f>VLOOKUP(B1772&amp;C1772,Divipola!$C$2:$F$1138,4,FALSE)</f>
        <v>76364</v>
      </c>
      <c r="F1772" s="333"/>
      <c r="G1772" s="221"/>
      <c r="H1772" s="157"/>
      <c r="I1772" s="157"/>
      <c r="J1772" s="157">
        <v>4230</v>
      </c>
      <c r="K1772" s="157">
        <v>851</v>
      </c>
      <c r="L1772" s="157"/>
      <c r="M1772" s="157">
        <v>851</v>
      </c>
      <c r="N1772" s="157">
        <v>1</v>
      </c>
      <c r="O1772" s="157"/>
      <c r="P1772" s="157"/>
      <c r="Q1772" s="157"/>
      <c r="R1772" s="157"/>
      <c r="S1772" s="157"/>
      <c r="T1772" s="157"/>
      <c r="U1772" s="157"/>
      <c r="V1772" s="158"/>
      <c r="W1772" s="182"/>
      <c r="X1772" s="1"/>
      <c r="Y1772" s="78">
        <f t="shared" si="222"/>
        <v>0</v>
      </c>
      <c r="Z1772" s="78">
        <f t="shared" si="223"/>
        <v>0</v>
      </c>
      <c r="AA1772" s="78">
        <f t="shared" si="221"/>
        <v>0</v>
      </c>
      <c r="AB1772" s="78">
        <f t="shared" si="224"/>
        <v>0</v>
      </c>
      <c r="AC1772" s="78"/>
      <c r="AD1772" s="78">
        <v>0</v>
      </c>
      <c r="AE1772" s="80">
        <f t="shared" si="226"/>
        <v>0</v>
      </c>
      <c r="AF1772" s="82">
        <v>0</v>
      </c>
      <c r="AG1772" s="69">
        <v>40500</v>
      </c>
      <c r="AH1772" s="84"/>
      <c r="AI1772" s="69" t="s">
        <v>1984</v>
      </c>
      <c r="AJ1772" s="25" t="s">
        <v>1985</v>
      </c>
      <c r="AK1772" s="65"/>
      <c r="AL1772" s="176" t="s">
        <v>1257</v>
      </c>
      <c r="AM1772" s="173" t="s">
        <v>594</v>
      </c>
      <c r="AN1772" s="159"/>
      <c r="AO1772" s="160"/>
      <c r="AP1772" s="161"/>
      <c r="AQ1772" s="160"/>
      <c r="AR1772" s="160"/>
      <c r="AS1772" s="160"/>
      <c r="AT1772" s="160"/>
      <c r="AU1772" s="160"/>
      <c r="AV1772" s="160"/>
      <c r="AW1772" s="160"/>
      <c r="AX1772" s="160"/>
      <c r="AY1772" s="160"/>
      <c r="AZ1772" s="160"/>
      <c r="BA1772" s="160"/>
      <c r="BB1772" s="160"/>
      <c r="BC1772" s="160"/>
      <c r="BD1772" s="160"/>
      <c r="BE1772" s="160"/>
      <c r="BF1772" s="160"/>
      <c r="BG1772" s="160"/>
      <c r="BH1772" s="160"/>
      <c r="BI1772" s="160"/>
      <c r="BJ1772" s="160"/>
      <c r="BK1772" s="160"/>
      <c r="BL1772" s="160"/>
      <c r="BM1772" s="160"/>
      <c r="BN1772" s="160"/>
      <c r="BO1772" s="160"/>
      <c r="BP1772" s="160"/>
      <c r="BQ1772" s="160"/>
      <c r="BR1772" s="160"/>
      <c r="BS1772" s="160"/>
      <c r="BT1772" s="160"/>
      <c r="BU1772" s="160"/>
      <c r="BV1772" s="160"/>
      <c r="BW1772" s="160"/>
      <c r="BX1772" s="160"/>
      <c r="BY1772" s="160"/>
      <c r="BZ1772" s="160"/>
      <c r="CA1772" s="160"/>
      <c r="CB1772" s="160"/>
      <c r="CC1772" s="160"/>
      <c r="CD1772" s="160"/>
      <c r="CE1772" s="160"/>
      <c r="CF1772" s="160"/>
      <c r="CG1772" s="160"/>
      <c r="CH1772" s="160"/>
      <c r="CI1772" s="160"/>
      <c r="CJ1772" s="160"/>
      <c r="CK1772" s="160"/>
      <c r="CL1772" s="160"/>
      <c r="CM1772" s="160"/>
      <c r="CN1772" s="160"/>
      <c r="CO1772" s="160"/>
      <c r="CP1772" s="162"/>
      <c r="CQ1772" s="163"/>
      <c r="CR1772" s="162"/>
      <c r="CS1772" s="163"/>
      <c r="CT1772" s="162"/>
      <c r="CU1772" s="163"/>
      <c r="CV1772" s="164">
        <f t="shared" si="225"/>
        <v>0</v>
      </c>
      <c r="CW1772" s="165"/>
      <c r="CX1772" s="166"/>
      <c r="CY1772" s="167"/>
      <c r="CZ1772" s="168"/>
      <c r="DA1772" s="169"/>
      <c r="DB1772" s="168"/>
      <c r="DC1772" s="165"/>
      <c r="DD1772" s="166"/>
      <c r="DE1772" s="71"/>
      <c r="DF1772" s="170"/>
      <c r="EO1772" s="375" t="str">
        <f t="shared" si="227"/>
        <v>VALLE DEL CAUCA_JAMUNDI</v>
      </c>
      <c r="EP1772" s="376"/>
      <c r="EQ1772" s="376"/>
      <c r="ER1772" s="377"/>
      <c r="ES1772" s="376"/>
      <c r="ET1772" s="376"/>
      <c r="EU1772" s="376"/>
    </row>
    <row r="1773" spans="1:151" s="171" customFormat="1" ht="108" x14ac:dyDescent="0.2">
      <c r="A1773" s="242">
        <v>40499</v>
      </c>
      <c r="B1773" s="222" t="s">
        <v>1462</v>
      </c>
      <c r="C1773" s="222" t="s">
        <v>1481</v>
      </c>
      <c r="D1773" s="430" t="s">
        <v>837</v>
      </c>
      <c r="E1773" s="107" t="str">
        <f>VLOOKUP(B1773&amp;C1773,Divipola!$C$2:$F$1138,4,FALSE)</f>
        <v>76736</v>
      </c>
      <c r="F1773" s="333"/>
      <c r="G1773" s="221"/>
      <c r="H1773" s="157"/>
      <c r="I1773" s="157"/>
      <c r="J1773" s="157">
        <f>3311-270</f>
        <v>3041</v>
      </c>
      <c r="K1773" s="157">
        <f>1264-60</f>
        <v>1204</v>
      </c>
      <c r="L1773" s="157"/>
      <c r="M1773" s="157">
        <v>1204</v>
      </c>
      <c r="N1773" s="157"/>
      <c r="O1773" s="157"/>
      <c r="P1773" s="157"/>
      <c r="Q1773" s="157"/>
      <c r="R1773" s="157"/>
      <c r="S1773" s="157"/>
      <c r="T1773" s="157"/>
      <c r="U1773" s="157"/>
      <c r="V1773" s="158"/>
      <c r="W1773" s="182"/>
      <c r="X1773" s="1">
        <v>40500</v>
      </c>
      <c r="Y1773" s="78">
        <f t="shared" si="222"/>
        <v>0</v>
      </c>
      <c r="Z1773" s="78">
        <f t="shared" si="223"/>
        <v>0</v>
      </c>
      <c r="AA1773" s="78">
        <f t="shared" si="221"/>
        <v>0</v>
      </c>
      <c r="AB1773" s="78">
        <f t="shared" si="224"/>
        <v>0</v>
      </c>
      <c r="AC1773" s="78"/>
      <c r="AD1773" s="78">
        <v>35000000</v>
      </c>
      <c r="AE1773" s="80">
        <f t="shared" si="226"/>
        <v>35000000</v>
      </c>
      <c r="AF1773" s="82">
        <v>0</v>
      </c>
      <c r="AG1773" s="69">
        <v>40494</v>
      </c>
      <c r="AH1773" s="84">
        <v>64317</v>
      </c>
      <c r="AI1773" s="69" t="s">
        <v>2009</v>
      </c>
      <c r="AJ1773" s="25" t="s">
        <v>2010</v>
      </c>
      <c r="AK1773" s="65">
        <v>43264</v>
      </c>
      <c r="AL1773" s="176" t="s">
        <v>1831</v>
      </c>
      <c r="AM1773" s="173" t="s">
        <v>2863</v>
      </c>
      <c r="AN1773" s="159"/>
      <c r="AO1773" s="160"/>
      <c r="AP1773" s="161"/>
      <c r="AQ1773" s="160"/>
      <c r="AR1773" s="160"/>
      <c r="AS1773" s="160"/>
      <c r="AT1773" s="160"/>
      <c r="AU1773" s="160"/>
      <c r="AV1773" s="160"/>
      <c r="AW1773" s="160"/>
      <c r="AX1773" s="160"/>
      <c r="AY1773" s="160"/>
      <c r="AZ1773" s="160"/>
      <c r="BA1773" s="160"/>
      <c r="BB1773" s="160"/>
      <c r="BC1773" s="160"/>
      <c r="BD1773" s="160"/>
      <c r="BE1773" s="160"/>
      <c r="BF1773" s="160"/>
      <c r="BG1773" s="160"/>
      <c r="BH1773" s="160"/>
      <c r="BI1773" s="160"/>
      <c r="BJ1773" s="160"/>
      <c r="BK1773" s="160"/>
      <c r="BL1773" s="160"/>
      <c r="BM1773" s="160"/>
      <c r="BN1773" s="160"/>
      <c r="BO1773" s="160"/>
      <c r="BP1773" s="160"/>
      <c r="BQ1773" s="160"/>
      <c r="BR1773" s="160"/>
      <c r="BS1773" s="160"/>
      <c r="BT1773" s="160"/>
      <c r="BU1773" s="160"/>
      <c r="BV1773" s="160"/>
      <c r="BW1773" s="160"/>
      <c r="BX1773" s="160"/>
      <c r="BY1773" s="160"/>
      <c r="BZ1773" s="160"/>
      <c r="CA1773" s="160"/>
      <c r="CB1773" s="160"/>
      <c r="CC1773" s="160"/>
      <c r="CD1773" s="160"/>
      <c r="CE1773" s="160"/>
      <c r="CF1773" s="160"/>
      <c r="CG1773" s="160"/>
      <c r="CH1773" s="160"/>
      <c r="CI1773" s="160"/>
      <c r="CJ1773" s="160"/>
      <c r="CK1773" s="160"/>
      <c r="CL1773" s="160"/>
      <c r="CM1773" s="160"/>
      <c r="CN1773" s="160"/>
      <c r="CO1773" s="160"/>
      <c r="CP1773" s="162"/>
      <c r="CQ1773" s="163"/>
      <c r="CR1773" s="162"/>
      <c r="CS1773" s="163"/>
      <c r="CT1773" s="162"/>
      <c r="CU1773" s="163"/>
      <c r="CV1773" s="164">
        <f t="shared" si="225"/>
        <v>0</v>
      </c>
      <c r="CW1773" s="165"/>
      <c r="CX1773" s="166"/>
      <c r="CY1773" s="167"/>
      <c r="CZ1773" s="168"/>
      <c r="DA1773" s="169"/>
      <c r="DB1773" s="168"/>
      <c r="DC1773" s="165"/>
      <c r="DD1773" s="166"/>
      <c r="DE1773" s="71">
        <v>2</v>
      </c>
      <c r="DF1773" s="170"/>
      <c r="EO1773" s="375" t="str">
        <f t="shared" si="227"/>
        <v>VALLE DEL CAUCA_SEVILLA</v>
      </c>
      <c r="EP1773" s="376"/>
      <c r="EQ1773" s="376"/>
      <c r="ER1773" s="377"/>
      <c r="ES1773" s="376"/>
      <c r="ET1773" s="376"/>
      <c r="EU1773" s="376"/>
    </row>
    <row r="1774" spans="1:151" s="171" customFormat="1" ht="60" x14ac:dyDescent="0.2">
      <c r="A1774" s="242">
        <v>40499</v>
      </c>
      <c r="B1774" s="222" t="s">
        <v>1462</v>
      </c>
      <c r="C1774" s="222" t="s">
        <v>1936</v>
      </c>
      <c r="D1774" s="430" t="s">
        <v>837</v>
      </c>
      <c r="E1774" s="107" t="str">
        <f>VLOOKUP(B1774&amp;C1774,Divipola!$C$2:$F$1138,4,FALSE)</f>
        <v>76828</v>
      </c>
      <c r="F1774" s="333"/>
      <c r="G1774" s="221"/>
      <c r="H1774" s="157"/>
      <c r="I1774" s="157"/>
      <c r="J1774" s="157">
        <f>581*5</f>
        <v>2905</v>
      </c>
      <c r="K1774" s="157">
        <f>585-4</f>
        <v>581</v>
      </c>
      <c r="L1774" s="157"/>
      <c r="M1774" s="157">
        <v>350</v>
      </c>
      <c r="N1774" s="157"/>
      <c r="O1774" s="157"/>
      <c r="P1774" s="157"/>
      <c r="Q1774" s="157"/>
      <c r="R1774" s="157"/>
      <c r="S1774" s="157"/>
      <c r="T1774" s="157"/>
      <c r="U1774" s="157"/>
      <c r="V1774" s="158"/>
      <c r="W1774" s="182"/>
      <c r="X1774" s="1">
        <v>40527</v>
      </c>
      <c r="Y1774" s="78">
        <f t="shared" si="222"/>
        <v>0</v>
      </c>
      <c r="Z1774" s="78">
        <f t="shared" si="223"/>
        <v>0</v>
      </c>
      <c r="AA1774" s="78">
        <f t="shared" si="221"/>
        <v>0</v>
      </c>
      <c r="AB1774" s="78">
        <f t="shared" si="224"/>
        <v>0</v>
      </c>
      <c r="AC1774" s="78"/>
      <c r="AD1774" s="78">
        <v>80000000</v>
      </c>
      <c r="AE1774" s="80">
        <f t="shared" si="226"/>
        <v>80000000</v>
      </c>
      <c r="AF1774" s="82">
        <v>0</v>
      </c>
      <c r="AG1774" s="69">
        <v>40500</v>
      </c>
      <c r="AH1774" s="84">
        <v>70991</v>
      </c>
      <c r="AI1774" s="69" t="s">
        <v>2009</v>
      </c>
      <c r="AJ1774" s="25" t="s">
        <v>2010</v>
      </c>
      <c r="AK1774" s="65">
        <v>47375</v>
      </c>
      <c r="AL1774" s="176" t="s">
        <v>1850</v>
      </c>
      <c r="AM1774" s="173" t="s">
        <v>124</v>
      </c>
      <c r="AN1774" s="159"/>
      <c r="AO1774" s="160"/>
      <c r="AP1774" s="161"/>
      <c r="AQ1774" s="160"/>
      <c r="AR1774" s="160"/>
      <c r="AS1774" s="160"/>
      <c r="AT1774" s="160"/>
      <c r="AU1774" s="160"/>
      <c r="AV1774" s="160"/>
      <c r="AW1774" s="160"/>
      <c r="AX1774" s="160"/>
      <c r="AY1774" s="160"/>
      <c r="AZ1774" s="160"/>
      <c r="BA1774" s="160"/>
      <c r="BB1774" s="160"/>
      <c r="BC1774" s="160"/>
      <c r="BD1774" s="160"/>
      <c r="BE1774" s="160"/>
      <c r="BF1774" s="160"/>
      <c r="BG1774" s="160"/>
      <c r="BH1774" s="160"/>
      <c r="BI1774" s="160"/>
      <c r="BJ1774" s="160"/>
      <c r="BK1774" s="160"/>
      <c r="BL1774" s="160"/>
      <c r="BM1774" s="160"/>
      <c r="BN1774" s="160"/>
      <c r="BO1774" s="160"/>
      <c r="BP1774" s="160"/>
      <c r="BQ1774" s="160"/>
      <c r="BR1774" s="160"/>
      <c r="BS1774" s="160"/>
      <c r="BT1774" s="160"/>
      <c r="BU1774" s="160"/>
      <c r="BV1774" s="160"/>
      <c r="BW1774" s="160"/>
      <c r="BX1774" s="160"/>
      <c r="BY1774" s="160"/>
      <c r="BZ1774" s="160"/>
      <c r="CA1774" s="160"/>
      <c r="CB1774" s="160"/>
      <c r="CC1774" s="160"/>
      <c r="CD1774" s="160"/>
      <c r="CE1774" s="160"/>
      <c r="CF1774" s="160"/>
      <c r="CG1774" s="160"/>
      <c r="CH1774" s="160"/>
      <c r="CI1774" s="160"/>
      <c r="CJ1774" s="160"/>
      <c r="CK1774" s="160"/>
      <c r="CL1774" s="160"/>
      <c r="CM1774" s="160"/>
      <c r="CN1774" s="160"/>
      <c r="CO1774" s="160"/>
      <c r="CP1774" s="162"/>
      <c r="CQ1774" s="163"/>
      <c r="CR1774" s="162"/>
      <c r="CS1774" s="163"/>
      <c r="CT1774" s="162"/>
      <c r="CU1774" s="163"/>
      <c r="CV1774" s="164">
        <f t="shared" si="225"/>
        <v>0</v>
      </c>
      <c r="CW1774" s="165"/>
      <c r="CX1774" s="166"/>
      <c r="CY1774" s="167"/>
      <c r="CZ1774" s="168"/>
      <c r="DA1774" s="169"/>
      <c r="DB1774" s="168"/>
      <c r="DC1774" s="165"/>
      <c r="DD1774" s="166"/>
      <c r="DE1774" s="71">
        <v>2</v>
      </c>
      <c r="DF1774" s="170"/>
      <c r="EO1774" s="375" t="str">
        <f t="shared" si="227"/>
        <v>VALLE DEL CAUCA_TRUJILLO</v>
      </c>
      <c r="EP1774" s="376"/>
      <c r="EQ1774" s="376"/>
      <c r="ER1774" s="377"/>
      <c r="ES1774" s="376"/>
      <c r="ET1774" s="376"/>
      <c r="EU1774" s="376"/>
    </row>
    <row r="1775" spans="1:151" s="171" customFormat="1" ht="51" x14ac:dyDescent="0.2">
      <c r="A1775" s="242">
        <v>40499</v>
      </c>
      <c r="B1775" s="222" t="s">
        <v>1462</v>
      </c>
      <c r="C1775" s="222" t="s">
        <v>1386</v>
      </c>
      <c r="D1775" s="430" t="s">
        <v>837</v>
      </c>
      <c r="E1775" s="107" t="str">
        <f>VLOOKUP(B1775&amp;C1775,Divipola!$C$2:$F$1138,4,FALSE)</f>
        <v>76895</v>
      </c>
      <c r="F1775" s="333"/>
      <c r="G1775" s="221"/>
      <c r="H1775" s="157"/>
      <c r="I1775" s="157"/>
      <c r="J1775" s="157">
        <f>557*5</f>
        <v>2785</v>
      </c>
      <c r="K1775" s="157">
        <f>564-7</f>
        <v>557</v>
      </c>
      <c r="L1775" s="157"/>
      <c r="M1775" s="157">
        <f>325-7</f>
        <v>318</v>
      </c>
      <c r="N1775" s="157"/>
      <c r="O1775" s="157"/>
      <c r="P1775" s="157"/>
      <c r="Q1775" s="157"/>
      <c r="R1775" s="157"/>
      <c r="S1775" s="157"/>
      <c r="T1775" s="157"/>
      <c r="U1775" s="157"/>
      <c r="V1775" s="158"/>
      <c r="W1775" s="182"/>
      <c r="X1775" s="1"/>
      <c r="Y1775" s="78">
        <f t="shared" si="222"/>
        <v>0</v>
      </c>
      <c r="Z1775" s="78">
        <f t="shared" si="223"/>
        <v>0</v>
      </c>
      <c r="AA1775" s="78">
        <f t="shared" si="221"/>
        <v>0</v>
      </c>
      <c r="AB1775" s="78">
        <f t="shared" si="224"/>
        <v>0</v>
      </c>
      <c r="AC1775" s="78"/>
      <c r="AD1775" s="78">
        <v>0</v>
      </c>
      <c r="AE1775" s="80">
        <f t="shared" si="226"/>
        <v>0</v>
      </c>
      <c r="AF1775" s="82">
        <v>0</v>
      </c>
      <c r="AG1775" s="69">
        <v>40504</v>
      </c>
      <c r="AH1775" s="84"/>
      <c r="AI1775" s="69" t="s">
        <v>1984</v>
      </c>
      <c r="AJ1775" s="25" t="s">
        <v>1985</v>
      </c>
      <c r="AK1775" s="65"/>
      <c r="AL1775" s="176" t="s">
        <v>1257</v>
      </c>
      <c r="AM1775" s="173" t="s">
        <v>2868</v>
      </c>
      <c r="AN1775" s="159"/>
      <c r="AO1775" s="160"/>
      <c r="AP1775" s="161"/>
      <c r="AQ1775" s="160"/>
      <c r="AR1775" s="160"/>
      <c r="AS1775" s="160"/>
      <c r="AT1775" s="160"/>
      <c r="AU1775" s="160"/>
      <c r="AV1775" s="160"/>
      <c r="AW1775" s="160"/>
      <c r="AX1775" s="160"/>
      <c r="AY1775" s="160"/>
      <c r="AZ1775" s="160"/>
      <c r="BA1775" s="160"/>
      <c r="BB1775" s="160"/>
      <c r="BC1775" s="160"/>
      <c r="BD1775" s="160"/>
      <c r="BE1775" s="160"/>
      <c r="BF1775" s="160"/>
      <c r="BG1775" s="160"/>
      <c r="BH1775" s="160"/>
      <c r="BI1775" s="160"/>
      <c r="BJ1775" s="160"/>
      <c r="BK1775" s="160"/>
      <c r="BL1775" s="160"/>
      <c r="BM1775" s="160"/>
      <c r="BN1775" s="160"/>
      <c r="BO1775" s="160"/>
      <c r="BP1775" s="160"/>
      <c r="BQ1775" s="160"/>
      <c r="BR1775" s="160"/>
      <c r="BS1775" s="160"/>
      <c r="BT1775" s="160"/>
      <c r="BU1775" s="160"/>
      <c r="BV1775" s="160"/>
      <c r="BW1775" s="160"/>
      <c r="BX1775" s="160"/>
      <c r="BY1775" s="160"/>
      <c r="BZ1775" s="160"/>
      <c r="CA1775" s="160"/>
      <c r="CB1775" s="160"/>
      <c r="CC1775" s="160"/>
      <c r="CD1775" s="160"/>
      <c r="CE1775" s="160"/>
      <c r="CF1775" s="160"/>
      <c r="CG1775" s="160"/>
      <c r="CH1775" s="160"/>
      <c r="CI1775" s="160"/>
      <c r="CJ1775" s="160"/>
      <c r="CK1775" s="160"/>
      <c r="CL1775" s="160"/>
      <c r="CM1775" s="160"/>
      <c r="CN1775" s="160"/>
      <c r="CO1775" s="160"/>
      <c r="CP1775" s="162"/>
      <c r="CQ1775" s="163"/>
      <c r="CR1775" s="162"/>
      <c r="CS1775" s="163"/>
      <c r="CT1775" s="162"/>
      <c r="CU1775" s="163"/>
      <c r="CV1775" s="164">
        <f t="shared" si="225"/>
        <v>0</v>
      </c>
      <c r="CW1775" s="165"/>
      <c r="CX1775" s="166"/>
      <c r="CY1775" s="167"/>
      <c r="CZ1775" s="168"/>
      <c r="DA1775" s="169"/>
      <c r="DB1775" s="168"/>
      <c r="DC1775" s="165"/>
      <c r="DD1775" s="166"/>
      <c r="DE1775" s="71"/>
      <c r="DF1775" s="170"/>
      <c r="EO1775" s="375" t="str">
        <f t="shared" si="227"/>
        <v>VALLE DEL CAUCA_ZARZAL</v>
      </c>
      <c r="EP1775" s="376"/>
      <c r="EQ1775" s="376"/>
      <c r="ER1775" s="377"/>
      <c r="ES1775" s="376"/>
      <c r="ET1775" s="376"/>
      <c r="EU1775" s="376"/>
    </row>
    <row r="1776" spans="1:151" s="171" customFormat="1" ht="38.25" x14ac:dyDescent="0.2">
      <c r="A1776" s="242">
        <v>40499.051388888889</v>
      </c>
      <c r="B1776" s="107" t="s">
        <v>6305</v>
      </c>
      <c r="C1776" s="107" t="s">
        <v>6305</v>
      </c>
      <c r="D1776" s="430" t="s">
        <v>2307</v>
      </c>
      <c r="E1776" s="107" t="str">
        <f>VLOOKUP(B1776&amp;C1776,Divipola!$C$2:$F$1138,4,FALSE)</f>
        <v>11001</v>
      </c>
      <c r="F1776" s="333"/>
      <c r="G1776" s="221"/>
      <c r="H1776" s="157"/>
      <c r="I1776" s="157"/>
      <c r="J1776" s="157">
        <v>883</v>
      </c>
      <c r="K1776" s="414">
        <v>213</v>
      </c>
      <c r="L1776" s="157"/>
      <c r="M1776" s="157"/>
      <c r="N1776" s="157"/>
      <c r="O1776" s="157"/>
      <c r="P1776" s="157"/>
      <c r="Q1776" s="157"/>
      <c r="R1776" s="157"/>
      <c r="S1776" s="157"/>
      <c r="T1776" s="157"/>
      <c r="U1776" s="157"/>
      <c r="V1776" s="158"/>
      <c r="W1776" s="182"/>
      <c r="X1776" s="1"/>
      <c r="Y1776" s="78">
        <f t="shared" si="222"/>
        <v>0</v>
      </c>
      <c r="Z1776" s="78">
        <f t="shared" si="223"/>
        <v>0</v>
      </c>
      <c r="AA1776" s="78">
        <f t="shared" si="221"/>
        <v>0</v>
      </c>
      <c r="AB1776" s="78">
        <f t="shared" si="224"/>
        <v>0</v>
      </c>
      <c r="AC1776" s="78"/>
      <c r="AD1776" s="78">
        <v>0</v>
      </c>
      <c r="AE1776" s="80">
        <f t="shared" si="226"/>
        <v>0</v>
      </c>
      <c r="AF1776" s="82">
        <v>0</v>
      </c>
      <c r="AG1776" s="306">
        <v>40624</v>
      </c>
      <c r="AH1776" s="307"/>
      <c r="AI1776" s="306" t="s">
        <v>1984</v>
      </c>
      <c r="AJ1776" s="308" t="s">
        <v>1985</v>
      </c>
      <c r="AK1776" s="309"/>
      <c r="AL1776" s="310" t="s">
        <v>1257</v>
      </c>
      <c r="AM1776" s="419" t="s">
        <v>3765</v>
      </c>
      <c r="AN1776" s="159"/>
      <c r="AO1776" s="160"/>
      <c r="AP1776" s="161"/>
      <c r="AQ1776" s="160"/>
      <c r="AR1776" s="160"/>
      <c r="AS1776" s="160"/>
      <c r="AT1776" s="160"/>
      <c r="AU1776" s="160"/>
      <c r="AV1776" s="160"/>
      <c r="AW1776" s="160"/>
      <c r="AX1776" s="160"/>
      <c r="AY1776" s="160"/>
      <c r="AZ1776" s="160"/>
      <c r="BA1776" s="160"/>
      <c r="BB1776" s="160"/>
      <c r="BC1776" s="160"/>
      <c r="BD1776" s="160"/>
      <c r="BE1776" s="160"/>
      <c r="BF1776" s="160"/>
      <c r="BG1776" s="160"/>
      <c r="BH1776" s="160"/>
      <c r="BI1776" s="160"/>
      <c r="BJ1776" s="160"/>
      <c r="BK1776" s="160"/>
      <c r="BL1776" s="160"/>
      <c r="BM1776" s="160"/>
      <c r="BN1776" s="160"/>
      <c r="BO1776" s="160"/>
      <c r="BP1776" s="160"/>
      <c r="BQ1776" s="160"/>
      <c r="BR1776" s="160"/>
      <c r="BS1776" s="160"/>
      <c r="BT1776" s="160"/>
      <c r="BU1776" s="160"/>
      <c r="BV1776" s="160"/>
      <c r="BW1776" s="160"/>
      <c r="BX1776" s="160"/>
      <c r="BY1776" s="160"/>
      <c r="BZ1776" s="160"/>
      <c r="CA1776" s="160"/>
      <c r="CB1776" s="160"/>
      <c r="CC1776" s="160"/>
      <c r="CD1776" s="160"/>
      <c r="CE1776" s="160"/>
      <c r="CF1776" s="160"/>
      <c r="CG1776" s="160"/>
      <c r="CH1776" s="160"/>
      <c r="CI1776" s="160"/>
      <c r="CJ1776" s="160"/>
      <c r="CK1776" s="160"/>
      <c r="CL1776" s="160"/>
      <c r="CM1776" s="160"/>
      <c r="CN1776" s="160"/>
      <c r="CO1776" s="160"/>
      <c r="CP1776" s="162"/>
      <c r="CQ1776" s="163"/>
      <c r="CR1776" s="162"/>
      <c r="CS1776" s="163"/>
      <c r="CT1776" s="162"/>
      <c r="CU1776" s="163"/>
      <c r="CV1776" s="164">
        <f t="shared" si="225"/>
        <v>0</v>
      </c>
      <c r="CW1776" s="165"/>
      <c r="CX1776" s="166"/>
      <c r="CY1776" s="167"/>
      <c r="CZ1776" s="168"/>
      <c r="DA1776" s="169"/>
      <c r="DB1776" s="168"/>
      <c r="DC1776" s="165"/>
      <c r="DD1776" s="166"/>
      <c r="DE1776" s="71"/>
      <c r="DF1776" s="170"/>
      <c r="EO1776" s="375" t="str">
        <f t="shared" si="227"/>
        <v>BOGOTA, D.C._BOGOTA, D.C.</v>
      </c>
      <c r="EP1776" s="376"/>
      <c r="EQ1776" s="376"/>
      <c r="ER1776" s="377"/>
      <c r="ES1776" s="376"/>
      <c r="ET1776" s="376"/>
      <c r="EU1776" s="376"/>
    </row>
    <row r="1777" spans="1:151" s="171" customFormat="1" ht="38.25" x14ac:dyDescent="0.2">
      <c r="A1777" s="242">
        <v>40499.149305555555</v>
      </c>
      <c r="B1777" s="107" t="s">
        <v>6305</v>
      </c>
      <c r="C1777" s="107" t="s">
        <v>6305</v>
      </c>
      <c r="D1777" s="430" t="s">
        <v>2307</v>
      </c>
      <c r="E1777" s="107" t="str">
        <f>VLOOKUP(B1777&amp;C1777,Divipola!$C$2:$F$1138,4,FALSE)</f>
        <v>11001</v>
      </c>
      <c r="F1777" s="333"/>
      <c r="G1777" s="221"/>
      <c r="H1777" s="157"/>
      <c r="I1777" s="157"/>
      <c r="J1777" s="157"/>
      <c r="K1777" s="414"/>
      <c r="L1777" s="157"/>
      <c r="M1777" s="157"/>
      <c r="N1777" s="157"/>
      <c r="O1777" s="157"/>
      <c r="P1777" s="157"/>
      <c r="Q1777" s="157"/>
      <c r="R1777" s="157"/>
      <c r="S1777" s="157"/>
      <c r="T1777" s="157"/>
      <c r="U1777" s="157"/>
      <c r="V1777" s="158"/>
      <c r="W1777" s="182"/>
      <c r="X1777" s="1"/>
      <c r="Y1777" s="78">
        <f t="shared" si="222"/>
        <v>0</v>
      </c>
      <c r="Z1777" s="78">
        <f t="shared" si="223"/>
        <v>0</v>
      </c>
      <c r="AA1777" s="78">
        <f t="shared" si="221"/>
        <v>0</v>
      </c>
      <c r="AB1777" s="78">
        <f t="shared" si="224"/>
        <v>0</v>
      </c>
      <c r="AC1777" s="78"/>
      <c r="AD1777" s="78">
        <v>0</v>
      </c>
      <c r="AE1777" s="80">
        <f t="shared" si="226"/>
        <v>0</v>
      </c>
      <c r="AF1777" s="82">
        <v>0</v>
      </c>
      <c r="AG1777" s="306">
        <v>40624</v>
      </c>
      <c r="AH1777" s="307"/>
      <c r="AI1777" s="306" t="s">
        <v>1984</v>
      </c>
      <c r="AJ1777" s="417" t="s">
        <v>1985</v>
      </c>
      <c r="AK1777" s="309"/>
      <c r="AL1777" s="310" t="s">
        <v>1257</v>
      </c>
      <c r="AM1777" s="419" t="s">
        <v>3766</v>
      </c>
      <c r="AN1777" s="159"/>
      <c r="AO1777" s="160"/>
      <c r="AP1777" s="161"/>
      <c r="AQ1777" s="160"/>
      <c r="AR1777" s="160"/>
      <c r="AS1777" s="160"/>
      <c r="AT1777" s="160"/>
      <c r="AU1777" s="160"/>
      <c r="AV1777" s="160"/>
      <c r="AW1777" s="160"/>
      <c r="AX1777" s="160"/>
      <c r="AY1777" s="160"/>
      <c r="AZ1777" s="160"/>
      <c r="BA1777" s="160"/>
      <c r="BB1777" s="160"/>
      <c r="BC1777" s="160"/>
      <c r="BD1777" s="160"/>
      <c r="BE1777" s="160"/>
      <c r="BF1777" s="160"/>
      <c r="BG1777" s="160"/>
      <c r="BH1777" s="160"/>
      <c r="BI1777" s="160"/>
      <c r="BJ1777" s="160"/>
      <c r="BK1777" s="160"/>
      <c r="BL1777" s="160"/>
      <c r="BM1777" s="160"/>
      <c r="BN1777" s="160"/>
      <c r="BO1777" s="160"/>
      <c r="BP1777" s="160"/>
      <c r="BQ1777" s="160"/>
      <c r="BR1777" s="160"/>
      <c r="BS1777" s="160"/>
      <c r="BT1777" s="160"/>
      <c r="BU1777" s="160"/>
      <c r="BV1777" s="160"/>
      <c r="BW1777" s="160"/>
      <c r="BX1777" s="160"/>
      <c r="BY1777" s="160"/>
      <c r="BZ1777" s="160"/>
      <c r="CA1777" s="160"/>
      <c r="CB1777" s="160"/>
      <c r="CC1777" s="160"/>
      <c r="CD1777" s="160"/>
      <c r="CE1777" s="160"/>
      <c r="CF1777" s="160"/>
      <c r="CG1777" s="160"/>
      <c r="CH1777" s="160"/>
      <c r="CI1777" s="160"/>
      <c r="CJ1777" s="160"/>
      <c r="CK1777" s="160"/>
      <c r="CL1777" s="160"/>
      <c r="CM1777" s="160"/>
      <c r="CN1777" s="160"/>
      <c r="CO1777" s="160"/>
      <c r="CP1777" s="162"/>
      <c r="CQ1777" s="163"/>
      <c r="CR1777" s="162"/>
      <c r="CS1777" s="163"/>
      <c r="CT1777" s="162"/>
      <c r="CU1777" s="163"/>
      <c r="CV1777" s="164">
        <f t="shared" si="225"/>
        <v>0</v>
      </c>
      <c r="CW1777" s="165"/>
      <c r="CX1777" s="166"/>
      <c r="CY1777" s="167"/>
      <c r="CZ1777" s="168"/>
      <c r="DA1777" s="169"/>
      <c r="DB1777" s="168"/>
      <c r="DC1777" s="165"/>
      <c r="DD1777" s="166"/>
      <c r="DE1777" s="71"/>
      <c r="DF1777" s="170"/>
      <c r="EO1777" s="375" t="str">
        <f t="shared" si="227"/>
        <v>BOGOTA, D.C._BOGOTA, D.C.</v>
      </c>
      <c r="EP1777" s="376"/>
      <c r="EQ1777" s="376"/>
      <c r="ER1777" s="377"/>
      <c r="ES1777" s="376"/>
      <c r="ET1777" s="376"/>
      <c r="EU1777" s="376"/>
    </row>
    <row r="1778" spans="1:151" s="171" customFormat="1" ht="38.25" x14ac:dyDescent="0.2">
      <c r="A1778" s="242">
        <v>40499.227083333331</v>
      </c>
      <c r="B1778" s="107" t="s">
        <v>6305</v>
      </c>
      <c r="C1778" s="107" t="s">
        <v>6305</v>
      </c>
      <c r="D1778" s="430" t="s">
        <v>2307</v>
      </c>
      <c r="E1778" s="107" t="str">
        <f>VLOOKUP(B1778&amp;C1778,Divipola!$C$2:$F$1138,4,FALSE)</f>
        <v>11001</v>
      </c>
      <c r="F1778" s="333"/>
      <c r="G1778" s="221"/>
      <c r="H1778" s="157">
        <v>6</v>
      </c>
      <c r="I1778" s="157"/>
      <c r="J1778" s="157"/>
      <c r="K1778" s="414">
        <v>2</v>
      </c>
      <c r="L1778" s="157"/>
      <c r="M1778" s="157"/>
      <c r="N1778" s="157"/>
      <c r="O1778" s="157"/>
      <c r="P1778" s="157"/>
      <c r="Q1778" s="157"/>
      <c r="R1778" s="157"/>
      <c r="S1778" s="157"/>
      <c r="T1778" s="157"/>
      <c r="U1778" s="157"/>
      <c r="V1778" s="158"/>
      <c r="W1778" s="182"/>
      <c r="X1778" s="1"/>
      <c r="Y1778" s="78">
        <f t="shared" si="222"/>
        <v>0</v>
      </c>
      <c r="Z1778" s="78">
        <f t="shared" si="223"/>
        <v>0</v>
      </c>
      <c r="AA1778" s="78">
        <f t="shared" si="221"/>
        <v>0</v>
      </c>
      <c r="AB1778" s="78">
        <f t="shared" si="224"/>
        <v>0</v>
      </c>
      <c r="AC1778" s="78"/>
      <c r="AD1778" s="78">
        <v>0</v>
      </c>
      <c r="AE1778" s="80">
        <f t="shared" si="226"/>
        <v>0</v>
      </c>
      <c r="AF1778" s="82">
        <v>0</v>
      </c>
      <c r="AG1778" s="306">
        <v>40624</v>
      </c>
      <c r="AH1778" s="307"/>
      <c r="AI1778" s="306" t="s">
        <v>1984</v>
      </c>
      <c r="AJ1778" s="308" t="s">
        <v>1985</v>
      </c>
      <c r="AK1778" s="309"/>
      <c r="AL1778" s="310" t="s">
        <v>1257</v>
      </c>
      <c r="AM1778" s="419" t="s">
        <v>3767</v>
      </c>
      <c r="AN1778" s="159"/>
      <c r="AO1778" s="160"/>
      <c r="AP1778" s="161"/>
      <c r="AQ1778" s="160"/>
      <c r="AR1778" s="160"/>
      <c r="AS1778" s="160"/>
      <c r="AT1778" s="160"/>
      <c r="AU1778" s="160"/>
      <c r="AV1778" s="160"/>
      <c r="AW1778" s="160"/>
      <c r="AX1778" s="160"/>
      <c r="AY1778" s="160"/>
      <c r="AZ1778" s="160"/>
      <c r="BA1778" s="160"/>
      <c r="BB1778" s="160"/>
      <c r="BC1778" s="160"/>
      <c r="BD1778" s="160"/>
      <c r="BE1778" s="160"/>
      <c r="BF1778" s="160"/>
      <c r="BG1778" s="160"/>
      <c r="BH1778" s="160"/>
      <c r="BI1778" s="160"/>
      <c r="BJ1778" s="160"/>
      <c r="BK1778" s="160"/>
      <c r="BL1778" s="160"/>
      <c r="BM1778" s="160"/>
      <c r="BN1778" s="160"/>
      <c r="BO1778" s="160"/>
      <c r="BP1778" s="160"/>
      <c r="BQ1778" s="160"/>
      <c r="BR1778" s="160"/>
      <c r="BS1778" s="160"/>
      <c r="BT1778" s="160"/>
      <c r="BU1778" s="160"/>
      <c r="BV1778" s="160"/>
      <c r="BW1778" s="160"/>
      <c r="BX1778" s="160"/>
      <c r="BY1778" s="160"/>
      <c r="BZ1778" s="160"/>
      <c r="CA1778" s="160"/>
      <c r="CB1778" s="160"/>
      <c r="CC1778" s="160"/>
      <c r="CD1778" s="160"/>
      <c r="CE1778" s="160"/>
      <c r="CF1778" s="160"/>
      <c r="CG1778" s="160"/>
      <c r="CH1778" s="160"/>
      <c r="CI1778" s="160"/>
      <c r="CJ1778" s="160"/>
      <c r="CK1778" s="160"/>
      <c r="CL1778" s="160"/>
      <c r="CM1778" s="160"/>
      <c r="CN1778" s="160"/>
      <c r="CO1778" s="160"/>
      <c r="CP1778" s="162"/>
      <c r="CQ1778" s="163"/>
      <c r="CR1778" s="162"/>
      <c r="CS1778" s="163"/>
      <c r="CT1778" s="162"/>
      <c r="CU1778" s="163"/>
      <c r="CV1778" s="164">
        <f t="shared" si="225"/>
        <v>0</v>
      </c>
      <c r="CW1778" s="165"/>
      <c r="CX1778" s="166"/>
      <c r="CY1778" s="167"/>
      <c r="CZ1778" s="168"/>
      <c r="DA1778" s="169"/>
      <c r="DB1778" s="168"/>
      <c r="DC1778" s="165"/>
      <c r="DD1778" s="166"/>
      <c r="DE1778" s="71"/>
      <c r="DF1778" s="170"/>
      <c r="EO1778" s="375" t="str">
        <f t="shared" si="227"/>
        <v>BOGOTA, D.C._BOGOTA, D.C.</v>
      </c>
      <c r="EP1778" s="376"/>
      <c r="EQ1778" s="376"/>
      <c r="ER1778" s="377"/>
      <c r="ES1778" s="376"/>
      <c r="ET1778" s="376"/>
      <c r="EU1778" s="376"/>
    </row>
    <row r="1779" spans="1:151" s="171" customFormat="1" ht="38.25" x14ac:dyDescent="0.2">
      <c r="A1779" s="242">
        <v>40499.383333333331</v>
      </c>
      <c r="B1779" s="107" t="s">
        <v>6305</v>
      </c>
      <c r="C1779" s="107" t="s">
        <v>6305</v>
      </c>
      <c r="D1779" s="430" t="s">
        <v>2307</v>
      </c>
      <c r="E1779" s="107" t="str">
        <f>VLOOKUP(B1779&amp;C1779,Divipola!$C$2:$F$1138,4,FALSE)</f>
        <v>11001</v>
      </c>
      <c r="F1779" s="333"/>
      <c r="G1779" s="221"/>
      <c r="H1779" s="157"/>
      <c r="I1779" s="157"/>
      <c r="J1779" s="157">
        <v>7</v>
      </c>
      <c r="K1779" s="414">
        <v>3</v>
      </c>
      <c r="L1779" s="157"/>
      <c r="M1779" s="157"/>
      <c r="N1779" s="157"/>
      <c r="O1779" s="157"/>
      <c r="P1779" s="157"/>
      <c r="Q1779" s="157"/>
      <c r="R1779" s="157"/>
      <c r="S1779" s="157"/>
      <c r="T1779" s="157"/>
      <c r="U1779" s="157"/>
      <c r="V1779" s="158"/>
      <c r="W1779" s="182"/>
      <c r="X1779" s="1"/>
      <c r="Y1779" s="78">
        <f t="shared" si="222"/>
        <v>0</v>
      </c>
      <c r="Z1779" s="78">
        <f t="shared" si="223"/>
        <v>0</v>
      </c>
      <c r="AA1779" s="78">
        <f t="shared" si="221"/>
        <v>0</v>
      </c>
      <c r="AB1779" s="78">
        <f t="shared" si="224"/>
        <v>0</v>
      </c>
      <c r="AC1779" s="78"/>
      <c r="AD1779" s="78">
        <v>0</v>
      </c>
      <c r="AE1779" s="80">
        <f t="shared" si="226"/>
        <v>0</v>
      </c>
      <c r="AF1779" s="82">
        <v>0</v>
      </c>
      <c r="AG1779" s="306">
        <v>40624</v>
      </c>
      <c r="AH1779" s="307"/>
      <c r="AI1779" s="306" t="s">
        <v>1984</v>
      </c>
      <c r="AJ1779" s="417" t="s">
        <v>1985</v>
      </c>
      <c r="AK1779" s="309"/>
      <c r="AL1779" s="310" t="s">
        <v>1257</v>
      </c>
      <c r="AM1779" s="419" t="s">
        <v>3768</v>
      </c>
      <c r="AN1779" s="159"/>
      <c r="AO1779" s="160"/>
      <c r="AP1779" s="161"/>
      <c r="AQ1779" s="160"/>
      <c r="AR1779" s="160"/>
      <c r="AS1779" s="160"/>
      <c r="AT1779" s="160"/>
      <c r="AU1779" s="160"/>
      <c r="AV1779" s="160"/>
      <c r="AW1779" s="160"/>
      <c r="AX1779" s="160"/>
      <c r="AY1779" s="160"/>
      <c r="AZ1779" s="160"/>
      <c r="BA1779" s="160"/>
      <c r="BB1779" s="160"/>
      <c r="BC1779" s="160"/>
      <c r="BD1779" s="160"/>
      <c r="BE1779" s="160"/>
      <c r="BF1779" s="160"/>
      <c r="BG1779" s="160"/>
      <c r="BH1779" s="160"/>
      <c r="BI1779" s="160"/>
      <c r="BJ1779" s="160"/>
      <c r="BK1779" s="160"/>
      <c r="BL1779" s="160"/>
      <c r="BM1779" s="160"/>
      <c r="BN1779" s="160"/>
      <c r="BO1779" s="160"/>
      <c r="BP1779" s="160"/>
      <c r="BQ1779" s="160"/>
      <c r="BR1779" s="160"/>
      <c r="BS1779" s="160"/>
      <c r="BT1779" s="160"/>
      <c r="BU1779" s="160"/>
      <c r="BV1779" s="160"/>
      <c r="BW1779" s="160"/>
      <c r="BX1779" s="160"/>
      <c r="BY1779" s="160"/>
      <c r="BZ1779" s="160"/>
      <c r="CA1779" s="160"/>
      <c r="CB1779" s="160"/>
      <c r="CC1779" s="160"/>
      <c r="CD1779" s="160"/>
      <c r="CE1779" s="160"/>
      <c r="CF1779" s="160"/>
      <c r="CG1779" s="160"/>
      <c r="CH1779" s="160"/>
      <c r="CI1779" s="160"/>
      <c r="CJ1779" s="160"/>
      <c r="CK1779" s="160"/>
      <c r="CL1779" s="160"/>
      <c r="CM1779" s="160"/>
      <c r="CN1779" s="160"/>
      <c r="CO1779" s="160"/>
      <c r="CP1779" s="162"/>
      <c r="CQ1779" s="163"/>
      <c r="CR1779" s="162"/>
      <c r="CS1779" s="163"/>
      <c r="CT1779" s="162"/>
      <c r="CU1779" s="163"/>
      <c r="CV1779" s="164">
        <f t="shared" si="225"/>
        <v>0</v>
      </c>
      <c r="CW1779" s="165"/>
      <c r="CX1779" s="166"/>
      <c r="CY1779" s="167"/>
      <c r="CZ1779" s="168"/>
      <c r="DA1779" s="169"/>
      <c r="DB1779" s="168"/>
      <c r="DC1779" s="165"/>
      <c r="DD1779" s="166"/>
      <c r="DE1779" s="71"/>
      <c r="DF1779" s="170"/>
      <c r="EO1779" s="375" t="str">
        <f t="shared" si="227"/>
        <v>BOGOTA, D.C._BOGOTA, D.C.</v>
      </c>
      <c r="EP1779" s="376"/>
      <c r="EQ1779" s="376"/>
      <c r="ER1779" s="377"/>
      <c r="ES1779" s="376"/>
      <c r="ET1779" s="376"/>
      <c r="EU1779" s="376"/>
    </row>
    <row r="1780" spans="1:151" s="171" customFormat="1" ht="38.25" x14ac:dyDescent="0.2">
      <c r="A1780" s="242">
        <v>40499.388888888891</v>
      </c>
      <c r="B1780" s="107" t="s">
        <v>6305</v>
      </c>
      <c r="C1780" s="107" t="s">
        <v>6305</v>
      </c>
      <c r="D1780" s="430" t="s">
        <v>837</v>
      </c>
      <c r="E1780" s="107" t="str">
        <f>VLOOKUP(B1780&amp;C1780,Divipola!$C$2:$F$1138,4,FALSE)</f>
        <v>11001</v>
      </c>
      <c r="F1780" s="333"/>
      <c r="G1780" s="221"/>
      <c r="H1780" s="157">
        <v>124</v>
      </c>
      <c r="I1780" s="157"/>
      <c r="J1780" s="157"/>
      <c r="K1780" s="414"/>
      <c r="L1780" s="157"/>
      <c r="M1780" s="157"/>
      <c r="N1780" s="157"/>
      <c r="O1780" s="157"/>
      <c r="P1780" s="157"/>
      <c r="Q1780" s="157"/>
      <c r="R1780" s="157"/>
      <c r="S1780" s="157"/>
      <c r="T1780" s="157"/>
      <c r="U1780" s="157"/>
      <c r="V1780" s="158"/>
      <c r="W1780" s="182"/>
      <c r="X1780" s="1"/>
      <c r="Y1780" s="78">
        <f t="shared" si="222"/>
        <v>0</v>
      </c>
      <c r="Z1780" s="78">
        <f t="shared" si="223"/>
        <v>0</v>
      </c>
      <c r="AA1780" s="78">
        <f t="shared" si="221"/>
        <v>0</v>
      </c>
      <c r="AB1780" s="78">
        <f t="shared" si="224"/>
        <v>0</v>
      </c>
      <c r="AC1780" s="78"/>
      <c r="AD1780" s="78">
        <v>0</v>
      </c>
      <c r="AE1780" s="80">
        <f t="shared" si="226"/>
        <v>0</v>
      </c>
      <c r="AF1780" s="82">
        <v>0</v>
      </c>
      <c r="AG1780" s="306">
        <v>40624</v>
      </c>
      <c r="AH1780" s="307"/>
      <c r="AI1780" s="306" t="s">
        <v>1984</v>
      </c>
      <c r="AJ1780" s="308" t="s">
        <v>1985</v>
      </c>
      <c r="AK1780" s="309"/>
      <c r="AL1780" s="310" t="s">
        <v>1257</v>
      </c>
      <c r="AM1780" s="419" t="s">
        <v>3769</v>
      </c>
      <c r="AN1780" s="159"/>
      <c r="AO1780" s="160"/>
      <c r="AP1780" s="161"/>
      <c r="AQ1780" s="160"/>
      <c r="AR1780" s="160"/>
      <c r="AS1780" s="160"/>
      <c r="AT1780" s="160"/>
      <c r="AU1780" s="160"/>
      <c r="AV1780" s="160"/>
      <c r="AW1780" s="160"/>
      <c r="AX1780" s="160"/>
      <c r="AY1780" s="160"/>
      <c r="AZ1780" s="160"/>
      <c r="BA1780" s="160"/>
      <c r="BB1780" s="160"/>
      <c r="BC1780" s="160"/>
      <c r="BD1780" s="160"/>
      <c r="BE1780" s="160"/>
      <c r="BF1780" s="160"/>
      <c r="BG1780" s="160"/>
      <c r="BH1780" s="160"/>
      <c r="BI1780" s="160"/>
      <c r="BJ1780" s="160"/>
      <c r="BK1780" s="160"/>
      <c r="BL1780" s="160"/>
      <c r="BM1780" s="160"/>
      <c r="BN1780" s="160"/>
      <c r="BO1780" s="160"/>
      <c r="BP1780" s="160"/>
      <c r="BQ1780" s="160"/>
      <c r="BR1780" s="160"/>
      <c r="BS1780" s="160"/>
      <c r="BT1780" s="160"/>
      <c r="BU1780" s="160"/>
      <c r="BV1780" s="160"/>
      <c r="BW1780" s="160"/>
      <c r="BX1780" s="160"/>
      <c r="BY1780" s="160"/>
      <c r="BZ1780" s="160"/>
      <c r="CA1780" s="160"/>
      <c r="CB1780" s="160"/>
      <c r="CC1780" s="160"/>
      <c r="CD1780" s="160"/>
      <c r="CE1780" s="160"/>
      <c r="CF1780" s="160"/>
      <c r="CG1780" s="160"/>
      <c r="CH1780" s="160"/>
      <c r="CI1780" s="160"/>
      <c r="CJ1780" s="160"/>
      <c r="CK1780" s="160"/>
      <c r="CL1780" s="160"/>
      <c r="CM1780" s="160"/>
      <c r="CN1780" s="160"/>
      <c r="CO1780" s="160"/>
      <c r="CP1780" s="162"/>
      <c r="CQ1780" s="163"/>
      <c r="CR1780" s="162"/>
      <c r="CS1780" s="163"/>
      <c r="CT1780" s="162"/>
      <c r="CU1780" s="163"/>
      <c r="CV1780" s="164">
        <f t="shared" si="225"/>
        <v>0</v>
      </c>
      <c r="CW1780" s="165"/>
      <c r="CX1780" s="166"/>
      <c r="CY1780" s="167"/>
      <c r="CZ1780" s="168"/>
      <c r="DA1780" s="169"/>
      <c r="DB1780" s="168"/>
      <c r="DC1780" s="165"/>
      <c r="DD1780" s="166"/>
      <c r="DE1780" s="71"/>
      <c r="DF1780" s="170"/>
      <c r="EO1780" s="375" t="str">
        <f t="shared" si="227"/>
        <v>BOGOTA, D.C._BOGOTA, D.C.</v>
      </c>
      <c r="EP1780" s="376"/>
      <c r="EQ1780" s="376"/>
      <c r="ER1780" s="377"/>
      <c r="ES1780" s="376"/>
      <c r="ET1780" s="376"/>
      <c r="EU1780" s="376"/>
    </row>
    <row r="1781" spans="1:151" s="171" customFormat="1" ht="38.25" x14ac:dyDescent="0.2">
      <c r="A1781" s="242">
        <v>40499.559027777781</v>
      </c>
      <c r="B1781" s="107" t="s">
        <v>6305</v>
      </c>
      <c r="C1781" s="107" t="s">
        <v>6305</v>
      </c>
      <c r="D1781" s="430" t="s">
        <v>837</v>
      </c>
      <c r="E1781" s="107" t="str">
        <f>VLOOKUP(B1781&amp;C1781,Divipola!$C$2:$F$1138,4,FALSE)</f>
        <v>11001</v>
      </c>
      <c r="F1781" s="333"/>
      <c r="G1781" s="221"/>
      <c r="H1781" s="157"/>
      <c r="I1781" s="157"/>
      <c r="J1781" s="157"/>
      <c r="K1781" s="414"/>
      <c r="L1781" s="157"/>
      <c r="M1781" s="157"/>
      <c r="N1781" s="157"/>
      <c r="O1781" s="157"/>
      <c r="P1781" s="157"/>
      <c r="Q1781" s="157"/>
      <c r="R1781" s="157"/>
      <c r="S1781" s="157"/>
      <c r="T1781" s="157"/>
      <c r="U1781" s="157"/>
      <c r="V1781" s="158"/>
      <c r="W1781" s="182"/>
      <c r="X1781" s="1"/>
      <c r="Y1781" s="78">
        <f t="shared" si="222"/>
        <v>0</v>
      </c>
      <c r="Z1781" s="78">
        <f t="shared" si="223"/>
        <v>0</v>
      </c>
      <c r="AA1781" s="78">
        <f t="shared" ref="AA1781:AA1844" si="228">DB1781+DD1781</f>
        <v>0</v>
      </c>
      <c r="AB1781" s="78">
        <f t="shared" si="224"/>
        <v>0</v>
      </c>
      <c r="AC1781" s="78"/>
      <c r="AD1781" s="78">
        <v>0</v>
      </c>
      <c r="AE1781" s="80">
        <f t="shared" si="226"/>
        <v>0</v>
      </c>
      <c r="AF1781" s="82">
        <v>0</v>
      </c>
      <c r="AG1781" s="246">
        <v>40624</v>
      </c>
      <c r="AH1781" s="307"/>
      <c r="AI1781" s="306" t="s">
        <v>1984</v>
      </c>
      <c r="AJ1781" s="308" t="s">
        <v>1985</v>
      </c>
      <c r="AK1781" s="309"/>
      <c r="AL1781" s="310" t="s">
        <v>1257</v>
      </c>
      <c r="AM1781" s="419" t="s">
        <v>3770</v>
      </c>
      <c r="AN1781" s="159"/>
      <c r="AO1781" s="160"/>
      <c r="AP1781" s="161"/>
      <c r="AQ1781" s="160"/>
      <c r="AR1781" s="160"/>
      <c r="AS1781" s="160"/>
      <c r="AT1781" s="160"/>
      <c r="AU1781" s="160"/>
      <c r="AV1781" s="160"/>
      <c r="AW1781" s="160"/>
      <c r="AX1781" s="160"/>
      <c r="AY1781" s="160"/>
      <c r="AZ1781" s="160"/>
      <c r="BA1781" s="160"/>
      <c r="BB1781" s="160"/>
      <c r="BC1781" s="160"/>
      <c r="BD1781" s="160"/>
      <c r="BE1781" s="160"/>
      <c r="BF1781" s="160"/>
      <c r="BG1781" s="160"/>
      <c r="BH1781" s="160"/>
      <c r="BI1781" s="160"/>
      <c r="BJ1781" s="160"/>
      <c r="BK1781" s="160"/>
      <c r="BL1781" s="160"/>
      <c r="BM1781" s="160"/>
      <c r="BN1781" s="160"/>
      <c r="BO1781" s="160"/>
      <c r="BP1781" s="160"/>
      <c r="BQ1781" s="160"/>
      <c r="BR1781" s="160"/>
      <c r="BS1781" s="160"/>
      <c r="BT1781" s="160"/>
      <c r="BU1781" s="160"/>
      <c r="BV1781" s="160"/>
      <c r="BW1781" s="160"/>
      <c r="BX1781" s="160"/>
      <c r="BY1781" s="160"/>
      <c r="BZ1781" s="160"/>
      <c r="CA1781" s="160"/>
      <c r="CB1781" s="160"/>
      <c r="CC1781" s="160"/>
      <c r="CD1781" s="160"/>
      <c r="CE1781" s="160"/>
      <c r="CF1781" s="160"/>
      <c r="CG1781" s="160"/>
      <c r="CH1781" s="160"/>
      <c r="CI1781" s="160"/>
      <c r="CJ1781" s="160"/>
      <c r="CK1781" s="160"/>
      <c r="CL1781" s="160"/>
      <c r="CM1781" s="160"/>
      <c r="CN1781" s="160"/>
      <c r="CO1781" s="160"/>
      <c r="CP1781" s="162"/>
      <c r="CQ1781" s="163"/>
      <c r="CR1781" s="162"/>
      <c r="CS1781" s="163"/>
      <c r="CT1781" s="162"/>
      <c r="CU1781" s="163"/>
      <c r="CV1781" s="164">
        <f t="shared" si="225"/>
        <v>0</v>
      </c>
      <c r="CW1781" s="165"/>
      <c r="CX1781" s="166"/>
      <c r="CY1781" s="167"/>
      <c r="CZ1781" s="168"/>
      <c r="DA1781" s="169"/>
      <c r="DB1781" s="168"/>
      <c r="DC1781" s="165"/>
      <c r="DD1781" s="166"/>
      <c r="DE1781" s="71"/>
      <c r="DF1781" s="170"/>
      <c r="EO1781" s="375" t="str">
        <f t="shared" si="227"/>
        <v>BOGOTA, D.C._BOGOTA, D.C.</v>
      </c>
      <c r="EP1781" s="376"/>
      <c r="EQ1781" s="376"/>
      <c r="ER1781" s="377"/>
      <c r="ES1781" s="376"/>
      <c r="ET1781" s="376"/>
      <c r="EU1781" s="376"/>
    </row>
    <row r="1782" spans="1:151" s="171" customFormat="1" ht="48" x14ac:dyDescent="0.2">
      <c r="A1782" s="246">
        <v>40500</v>
      </c>
      <c r="B1782" s="280" t="s">
        <v>2401</v>
      </c>
      <c r="C1782" s="280" t="s">
        <v>1922</v>
      </c>
      <c r="D1782" s="431" t="s">
        <v>2307</v>
      </c>
      <c r="E1782" s="107" t="str">
        <f>VLOOKUP(B1782&amp;C1782,Divipola!$C$2:$F$1138,4,FALSE)</f>
        <v>05209</v>
      </c>
      <c r="F1782" s="334"/>
      <c r="G1782" s="221"/>
      <c r="H1782" s="157">
        <v>6</v>
      </c>
      <c r="I1782" s="157"/>
      <c r="J1782" s="157">
        <f>759-50</f>
        <v>709</v>
      </c>
      <c r="K1782" s="157">
        <v>208</v>
      </c>
      <c r="L1782" s="157">
        <v>124</v>
      </c>
      <c r="M1782" s="157">
        <v>58</v>
      </c>
      <c r="N1782" s="157"/>
      <c r="O1782" s="157"/>
      <c r="P1782" s="157"/>
      <c r="Q1782" s="157"/>
      <c r="R1782" s="157"/>
      <c r="S1782" s="157"/>
      <c r="T1782" s="157"/>
      <c r="U1782" s="157"/>
      <c r="V1782" s="158"/>
      <c r="W1782" s="182"/>
      <c r="X1782" s="1"/>
      <c r="Y1782" s="78">
        <f t="shared" si="222"/>
        <v>0</v>
      </c>
      <c r="Z1782" s="78">
        <f t="shared" si="223"/>
        <v>0</v>
      </c>
      <c r="AA1782" s="78">
        <f t="shared" si="228"/>
        <v>0</v>
      </c>
      <c r="AB1782" s="78">
        <f t="shared" si="224"/>
        <v>0</v>
      </c>
      <c r="AC1782" s="78"/>
      <c r="AD1782" s="78">
        <v>0</v>
      </c>
      <c r="AE1782" s="80">
        <f t="shared" si="226"/>
        <v>0</v>
      </c>
      <c r="AF1782" s="82">
        <v>0</v>
      </c>
      <c r="AG1782" s="242">
        <v>40504</v>
      </c>
      <c r="AH1782" s="84"/>
      <c r="AI1782" s="69" t="s">
        <v>1984</v>
      </c>
      <c r="AJ1782" s="25" t="s">
        <v>1985</v>
      </c>
      <c r="AK1782" s="65"/>
      <c r="AL1782" s="176" t="s">
        <v>1257</v>
      </c>
      <c r="AM1782" s="173" t="s">
        <v>2492</v>
      </c>
      <c r="AN1782" s="159"/>
      <c r="AO1782" s="160"/>
      <c r="AP1782" s="161"/>
      <c r="AQ1782" s="160"/>
      <c r="AR1782" s="160"/>
      <c r="AS1782" s="160"/>
      <c r="AT1782" s="160"/>
      <c r="AU1782" s="160"/>
      <c r="AV1782" s="160"/>
      <c r="AW1782" s="160"/>
      <c r="AX1782" s="160"/>
      <c r="AY1782" s="160"/>
      <c r="AZ1782" s="160"/>
      <c r="BA1782" s="160"/>
      <c r="BB1782" s="160"/>
      <c r="BC1782" s="160"/>
      <c r="BD1782" s="160"/>
      <c r="BE1782" s="160"/>
      <c r="BF1782" s="160"/>
      <c r="BG1782" s="160"/>
      <c r="BH1782" s="160"/>
      <c r="BI1782" s="160"/>
      <c r="BJ1782" s="160"/>
      <c r="BK1782" s="160"/>
      <c r="BL1782" s="160"/>
      <c r="BM1782" s="160"/>
      <c r="BN1782" s="160"/>
      <c r="BO1782" s="160"/>
      <c r="BP1782" s="160"/>
      <c r="BQ1782" s="160"/>
      <c r="BR1782" s="160"/>
      <c r="BS1782" s="160"/>
      <c r="BT1782" s="160"/>
      <c r="BU1782" s="160"/>
      <c r="BV1782" s="160"/>
      <c r="BW1782" s="160"/>
      <c r="BX1782" s="160"/>
      <c r="BY1782" s="160"/>
      <c r="BZ1782" s="160"/>
      <c r="CA1782" s="160"/>
      <c r="CB1782" s="160"/>
      <c r="CC1782" s="160"/>
      <c r="CD1782" s="160"/>
      <c r="CE1782" s="160"/>
      <c r="CF1782" s="160"/>
      <c r="CG1782" s="160"/>
      <c r="CH1782" s="160"/>
      <c r="CI1782" s="160"/>
      <c r="CJ1782" s="160"/>
      <c r="CK1782" s="160"/>
      <c r="CL1782" s="160"/>
      <c r="CM1782" s="160"/>
      <c r="CN1782" s="160"/>
      <c r="CO1782" s="160"/>
      <c r="CP1782" s="162"/>
      <c r="CQ1782" s="163"/>
      <c r="CR1782" s="162"/>
      <c r="CS1782" s="163"/>
      <c r="CT1782" s="162"/>
      <c r="CU1782" s="163"/>
      <c r="CV1782" s="164">
        <f t="shared" si="225"/>
        <v>0</v>
      </c>
      <c r="CW1782" s="165"/>
      <c r="CX1782" s="166"/>
      <c r="CY1782" s="167"/>
      <c r="CZ1782" s="168"/>
      <c r="DA1782" s="169"/>
      <c r="DB1782" s="168"/>
      <c r="DC1782" s="165"/>
      <c r="DD1782" s="166"/>
      <c r="DE1782" s="71"/>
      <c r="DF1782" s="170"/>
      <c r="EO1782" s="375" t="str">
        <f t="shared" si="227"/>
        <v>ANTIOQUIA_CONCORDIA</v>
      </c>
      <c r="EP1782" s="376"/>
      <c r="EQ1782" s="376"/>
      <c r="ER1782" s="377"/>
      <c r="ES1782" s="376"/>
      <c r="ET1782" s="376"/>
      <c r="EU1782" s="376"/>
    </row>
    <row r="1783" spans="1:151" s="171" customFormat="1" ht="25.5" x14ac:dyDescent="0.2">
      <c r="A1783" s="242">
        <v>40500</v>
      </c>
      <c r="B1783" s="222" t="s">
        <v>2756</v>
      </c>
      <c r="C1783" s="222" t="s">
        <v>1773</v>
      </c>
      <c r="D1783" s="430" t="s">
        <v>837</v>
      </c>
      <c r="E1783" s="107" t="str">
        <f>VLOOKUP(B1783&amp;C1783,Divipola!$C$2:$F$1138,4,FALSE)</f>
        <v>81065</v>
      </c>
      <c r="F1783" s="333"/>
      <c r="G1783" s="221"/>
      <c r="H1783" s="157"/>
      <c r="I1783" s="157"/>
      <c r="J1783" s="157">
        <v>61</v>
      </c>
      <c r="K1783" s="157">
        <v>13</v>
      </c>
      <c r="L1783" s="157"/>
      <c r="M1783" s="157">
        <v>4</v>
      </c>
      <c r="N1783" s="157">
        <v>1</v>
      </c>
      <c r="O1783" s="157">
        <v>1</v>
      </c>
      <c r="P1783" s="157"/>
      <c r="Q1783" s="157"/>
      <c r="R1783" s="157"/>
      <c r="S1783" s="157"/>
      <c r="T1783" s="157">
        <v>1</v>
      </c>
      <c r="U1783" s="157"/>
      <c r="V1783" s="158"/>
      <c r="W1783" s="182"/>
      <c r="X1783" s="1"/>
      <c r="Y1783" s="78">
        <f t="shared" si="222"/>
        <v>0</v>
      </c>
      <c r="Z1783" s="78">
        <f t="shared" si="223"/>
        <v>0</v>
      </c>
      <c r="AA1783" s="78">
        <f t="shared" si="228"/>
        <v>0</v>
      </c>
      <c r="AB1783" s="78">
        <f t="shared" si="224"/>
        <v>0</v>
      </c>
      <c r="AC1783" s="78"/>
      <c r="AD1783" s="78">
        <v>0</v>
      </c>
      <c r="AE1783" s="80">
        <f t="shared" si="226"/>
        <v>0</v>
      </c>
      <c r="AF1783" s="82">
        <v>0</v>
      </c>
      <c r="AG1783" s="69">
        <v>40504</v>
      </c>
      <c r="AH1783" s="84"/>
      <c r="AI1783" s="69" t="s">
        <v>1984</v>
      </c>
      <c r="AJ1783" s="25" t="s">
        <v>1985</v>
      </c>
      <c r="AK1783" s="65"/>
      <c r="AL1783" s="176" t="s">
        <v>1257</v>
      </c>
      <c r="AM1783" s="173" t="s">
        <v>499</v>
      </c>
      <c r="AN1783" s="159"/>
      <c r="AO1783" s="160"/>
      <c r="AP1783" s="161"/>
      <c r="AQ1783" s="160"/>
      <c r="AR1783" s="160"/>
      <c r="AS1783" s="160"/>
      <c r="AT1783" s="160"/>
      <c r="AU1783" s="160"/>
      <c r="AV1783" s="160"/>
      <c r="AW1783" s="160"/>
      <c r="AX1783" s="160"/>
      <c r="AY1783" s="160"/>
      <c r="AZ1783" s="160"/>
      <c r="BA1783" s="160"/>
      <c r="BB1783" s="160"/>
      <c r="BC1783" s="160"/>
      <c r="BD1783" s="160"/>
      <c r="BE1783" s="160"/>
      <c r="BF1783" s="160"/>
      <c r="BG1783" s="160"/>
      <c r="BH1783" s="160"/>
      <c r="BI1783" s="160"/>
      <c r="BJ1783" s="160"/>
      <c r="BK1783" s="160"/>
      <c r="BL1783" s="160"/>
      <c r="BM1783" s="160"/>
      <c r="BN1783" s="160"/>
      <c r="BO1783" s="160"/>
      <c r="BP1783" s="160"/>
      <c r="BQ1783" s="160"/>
      <c r="BR1783" s="160"/>
      <c r="BS1783" s="160"/>
      <c r="BT1783" s="160"/>
      <c r="BU1783" s="160"/>
      <c r="BV1783" s="160"/>
      <c r="BW1783" s="160"/>
      <c r="BX1783" s="160"/>
      <c r="BY1783" s="160"/>
      <c r="BZ1783" s="160"/>
      <c r="CA1783" s="160"/>
      <c r="CB1783" s="160"/>
      <c r="CC1783" s="160"/>
      <c r="CD1783" s="160"/>
      <c r="CE1783" s="160"/>
      <c r="CF1783" s="160"/>
      <c r="CG1783" s="160"/>
      <c r="CH1783" s="160"/>
      <c r="CI1783" s="160"/>
      <c r="CJ1783" s="160"/>
      <c r="CK1783" s="160"/>
      <c r="CL1783" s="160"/>
      <c r="CM1783" s="160"/>
      <c r="CN1783" s="160"/>
      <c r="CO1783" s="160"/>
      <c r="CP1783" s="162"/>
      <c r="CQ1783" s="163"/>
      <c r="CR1783" s="162"/>
      <c r="CS1783" s="163"/>
      <c r="CT1783" s="162"/>
      <c r="CU1783" s="163"/>
      <c r="CV1783" s="164">
        <f t="shared" si="225"/>
        <v>0</v>
      </c>
      <c r="CW1783" s="165"/>
      <c r="CX1783" s="166"/>
      <c r="CY1783" s="167"/>
      <c r="CZ1783" s="168"/>
      <c r="DA1783" s="169"/>
      <c r="DB1783" s="168"/>
      <c r="DC1783" s="165"/>
      <c r="DD1783" s="166"/>
      <c r="DE1783" s="71"/>
      <c r="DF1783" s="170"/>
      <c r="EO1783" s="375" t="str">
        <f t="shared" si="227"/>
        <v>ARAUCA_ARAUQUITA</v>
      </c>
      <c r="EP1783" s="376"/>
      <c r="EQ1783" s="376"/>
      <c r="ER1783" s="377"/>
      <c r="ES1783" s="376"/>
      <c r="ET1783" s="376"/>
      <c r="EU1783" s="376"/>
    </row>
    <row r="1784" spans="1:151" s="171" customFormat="1" ht="38.25" x14ac:dyDescent="0.2">
      <c r="A1784" s="242">
        <v>40500</v>
      </c>
      <c r="B1784" s="222" t="s">
        <v>1951</v>
      </c>
      <c r="C1784" s="222" t="s">
        <v>158</v>
      </c>
      <c r="D1784" s="427" t="s">
        <v>2307</v>
      </c>
      <c r="E1784" s="107" t="str">
        <f>VLOOKUP(B1784&amp;C1784,Divipola!$C$2:$F$1138,4,FALSE)</f>
        <v>08573</v>
      </c>
      <c r="F1784" s="330"/>
      <c r="G1784" s="221"/>
      <c r="H1784" s="157"/>
      <c r="I1784" s="157"/>
      <c r="J1784" s="157"/>
      <c r="K1784" s="157"/>
      <c r="L1784" s="157"/>
      <c r="M1784" s="157"/>
      <c r="N1784" s="157"/>
      <c r="O1784" s="157"/>
      <c r="P1784" s="157"/>
      <c r="Q1784" s="157"/>
      <c r="R1784" s="157"/>
      <c r="S1784" s="157"/>
      <c r="T1784" s="157"/>
      <c r="U1784" s="157"/>
      <c r="V1784" s="158"/>
      <c r="W1784" s="182"/>
      <c r="X1784" s="1"/>
      <c r="Y1784" s="78">
        <f t="shared" si="222"/>
        <v>0</v>
      </c>
      <c r="Z1784" s="78">
        <f t="shared" si="223"/>
        <v>0</v>
      </c>
      <c r="AA1784" s="78">
        <f t="shared" si="228"/>
        <v>0</v>
      </c>
      <c r="AB1784" s="78">
        <f t="shared" si="224"/>
        <v>0</v>
      </c>
      <c r="AC1784" s="78"/>
      <c r="AD1784" s="78">
        <v>0</v>
      </c>
      <c r="AE1784" s="80">
        <f t="shared" si="226"/>
        <v>0</v>
      </c>
      <c r="AF1784" s="82">
        <v>0</v>
      </c>
      <c r="AG1784" s="69">
        <v>40504</v>
      </c>
      <c r="AH1784" s="84"/>
      <c r="AI1784" s="69" t="s">
        <v>1984</v>
      </c>
      <c r="AJ1784" s="25" t="s">
        <v>1985</v>
      </c>
      <c r="AK1784" s="65"/>
      <c r="AL1784" s="176" t="s">
        <v>1257</v>
      </c>
      <c r="AM1784" s="173" t="s">
        <v>1632</v>
      </c>
      <c r="AN1784" s="159"/>
      <c r="AO1784" s="160"/>
      <c r="AP1784" s="161"/>
      <c r="AQ1784" s="160"/>
      <c r="AR1784" s="160"/>
      <c r="AS1784" s="160"/>
      <c r="AT1784" s="160"/>
      <c r="AU1784" s="160"/>
      <c r="AV1784" s="160"/>
      <c r="AW1784" s="160"/>
      <c r="AX1784" s="160"/>
      <c r="AY1784" s="160"/>
      <c r="AZ1784" s="160"/>
      <c r="BA1784" s="160"/>
      <c r="BB1784" s="160"/>
      <c r="BC1784" s="160"/>
      <c r="BD1784" s="160"/>
      <c r="BE1784" s="160"/>
      <c r="BF1784" s="160"/>
      <c r="BG1784" s="160"/>
      <c r="BH1784" s="160"/>
      <c r="BI1784" s="160"/>
      <c r="BJ1784" s="160"/>
      <c r="BK1784" s="160"/>
      <c r="BL1784" s="160"/>
      <c r="BM1784" s="160"/>
      <c r="BN1784" s="160"/>
      <c r="BO1784" s="160"/>
      <c r="BP1784" s="160"/>
      <c r="BQ1784" s="160"/>
      <c r="BR1784" s="160"/>
      <c r="BS1784" s="160"/>
      <c r="BT1784" s="160"/>
      <c r="BU1784" s="160"/>
      <c r="BV1784" s="160"/>
      <c r="BW1784" s="160"/>
      <c r="BX1784" s="160"/>
      <c r="BY1784" s="160"/>
      <c r="BZ1784" s="160"/>
      <c r="CA1784" s="160"/>
      <c r="CB1784" s="160"/>
      <c r="CC1784" s="160"/>
      <c r="CD1784" s="160"/>
      <c r="CE1784" s="160"/>
      <c r="CF1784" s="160"/>
      <c r="CG1784" s="160"/>
      <c r="CH1784" s="160"/>
      <c r="CI1784" s="160"/>
      <c r="CJ1784" s="160"/>
      <c r="CK1784" s="160"/>
      <c r="CL1784" s="160"/>
      <c r="CM1784" s="160"/>
      <c r="CN1784" s="160"/>
      <c r="CO1784" s="160"/>
      <c r="CP1784" s="162"/>
      <c r="CQ1784" s="163"/>
      <c r="CR1784" s="162"/>
      <c r="CS1784" s="163"/>
      <c r="CT1784" s="162"/>
      <c r="CU1784" s="163"/>
      <c r="CV1784" s="164">
        <f t="shared" si="225"/>
        <v>0</v>
      </c>
      <c r="CW1784" s="165"/>
      <c r="CX1784" s="166"/>
      <c r="CY1784" s="167"/>
      <c r="CZ1784" s="168"/>
      <c r="DA1784" s="169"/>
      <c r="DB1784" s="168"/>
      <c r="DC1784" s="165"/>
      <c r="DD1784" s="166"/>
      <c r="DE1784" s="71"/>
      <c r="DF1784" s="170"/>
      <c r="EO1784" s="375" t="str">
        <f t="shared" si="227"/>
        <v>ATLANTICO_PUERTO COLOMBIA</v>
      </c>
      <c r="EP1784" s="376"/>
      <c r="EQ1784" s="376"/>
      <c r="ER1784" s="377"/>
      <c r="ES1784" s="376"/>
      <c r="ET1784" s="376"/>
      <c r="EU1784" s="376"/>
    </row>
    <row r="1785" spans="1:151" s="171" customFormat="1" ht="96" x14ac:dyDescent="0.2">
      <c r="A1785" s="242">
        <v>40500</v>
      </c>
      <c r="B1785" s="222" t="s">
        <v>828</v>
      </c>
      <c r="C1785" s="222" t="s">
        <v>366</v>
      </c>
      <c r="D1785" s="430" t="s">
        <v>837</v>
      </c>
      <c r="E1785" s="107" t="str">
        <f>VLOOKUP(B1785&amp;C1785,Divipola!$C$2:$F$1138,4,FALSE)</f>
        <v>15223</v>
      </c>
      <c r="F1785" s="333"/>
      <c r="G1785" s="221"/>
      <c r="H1785" s="157"/>
      <c r="I1785" s="157"/>
      <c r="J1785" s="157">
        <v>510</v>
      </c>
      <c r="K1785" s="157">
        <v>102</v>
      </c>
      <c r="L1785" s="157"/>
      <c r="M1785" s="157">
        <v>102</v>
      </c>
      <c r="N1785" s="157"/>
      <c r="O1785" s="157"/>
      <c r="P1785" s="157"/>
      <c r="Q1785" s="157"/>
      <c r="R1785" s="157"/>
      <c r="S1785" s="157"/>
      <c r="T1785" s="157"/>
      <c r="U1785" s="157"/>
      <c r="V1785" s="158"/>
      <c r="W1785" s="182"/>
      <c r="X1785" s="1"/>
      <c r="Y1785" s="78">
        <f t="shared" si="222"/>
        <v>0</v>
      </c>
      <c r="Z1785" s="78">
        <f t="shared" si="223"/>
        <v>0</v>
      </c>
      <c r="AA1785" s="78">
        <f t="shared" si="228"/>
        <v>0</v>
      </c>
      <c r="AB1785" s="78">
        <f t="shared" si="224"/>
        <v>0</v>
      </c>
      <c r="AC1785" s="78"/>
      <c r="AD1785" s="78">
        <v>0</v>
      </c>
      <c r="AE1785" s="80">
        <f t="shared" si="226"/>
        <v>0</v>
      </c>
      <c r="AF1785" s="82">
        <v>0</v>
      </c>
      <c r="AG1785" s="69">
        <v>40581</v>
      </c>
      <c r="AH1785" s="84"/>
      <c r="AI1785" s="69" t="s">
        <v>1984</v>
      </c>
      <c r="AJ1785" s="25" t="s">
        <v>1985</v>
      </c>
      <c r="AK1785" s="65"/>
      <c r="AL1785" s="176" t="s">
        <v>1257</v>
      </c>
      <c r="AM1785" s="173" t="s">
        <v>367</v>
      </c>
      <c r="AN1785" s="159"/>
      <c r="AO1785" s="160"/>
      <c r="AP1785" s="161"/>
      <c r="AQ1785" s="160"/>
      <c r="AR1785" s="160"/>
      <c r="AS1785" s="160"/>
      <c r="AT1785" s="160"/>
      <c r="AU1785" s="160"/>
      <c r="AV1785" s="160"/>
      <c r="AW1785" s="160"/>
      <c r="AX1785" s="160"/>
      <c r="AY1785" s="160"/>
      <c r="AZ1785" s="160"/>
      <c r="BA1785" s="160"/>
      <c r="BB1785" s="160"/>
      <c r="BC1785" s="160"/>
      <c r="BD1785" s="160"/>
      <c r="BE1785" s="160"/>
      <c r="BF1785" s="160"/>
      <c r="BG1785" s="160"/>
      <c r="BH1785" s="160"/>
      <c r="BI1785" s="160"/>
      <c r="BJ1785" s="160"/>
      <c r="BK1785" s="160"/>
      <c r="BL1785" s="160"/>
      <c r="BM1785" s="160"/>
      <c r="BN1785" s="160"/>
      <c r="BO1785" s="160"/>
      <c r="BP1785" s="160"/>
      <c r="BQ1785" s="160"/>
      <c r="BR1785" s="160"/>
      <c r="BS1785" s="160"/>
      <c r="BT1785" s="160"/>
      <c r="BU1785" s="160"/>
      <c r="BV1785" s="160"/>
      <c r="BW1785" s="160"/>
      <c r="BX1785" s="160"/>
      <c r="BY1785" s="160"/>
      <c r="BZ1785" s="160"/>
      <c r="CA1785" s="160"/>
      <c r="CB1785" s="160"/>
      <c r="CC1785" s="160"/>
      <c r="CD1785" s="160"/>
      <c r="CE1785" s="160"/>
      <c r="CF1785" s="160"/>
      <c r="CG1785" s="160"/>
      <c r="CH1785" s="160"/>
      <c r="CI1785" s="160"/>
      <c r="CJ1785" s="160"/>
      <c r="CK1785" s="160"/>
      <c r="CL1785" s="160"/>
      <c r="CM1785" s="160"/>
      <c r="CN1785" s="160"/>
      <c r="CO1785" s="160"/>
      <c r="CP1785" s="162"/>
      <c r="CQ1785" s="163"/>
      <c r="CR1785" s="162"/>
      <c r="CS1785" s="163"/>
      <c r="CT1785" s="162"/>
      <c r="CU1785" s="163"/>
      <c r="CV1785" s="164">
        <f t="shared" si="225"/>
        <v>0</v>
      </c>
      <c r="CW1785" s="165"/>
      <c r="CX1785" s="166"/>
      <c r="CY1785" s="167"/>
      <c r="CZ1785" s="168"/>
      <c r="DA1785" s="169"/>
      <c r="DB1785" s="168"/>
      <c r="DC1785" s="165"/>
      <c r="DD1785" s="166"/>
      <c r="DE1785" s="71"/>
      <c r="DF1785" s="170"/>
      <c r="EO1785" s="375" t="str">
        <f t="shared" si="227"/>
        <v>BOYACA_CUBARA</v>
      </c>
      <c r="EP1785" s="376"/>
      <c r="EQ1785" s="376"/>
      <c r="ER1785" s="377"/>
      <c r="ES1785" s="376"/>
      <c r="ET1785" s="376"/>
      <c r="EU1785" s="376"/>
    </row>
    <row r="1786" spans="1:151" s="171" customFormat="1" ht="25.5" x14ac:dyDescent="0.2">
      <c r="A1786" s="242">
        <v>40500</v>
      </c>
      <c r="B1786" s="222" t="s">
        <v>828</v>
      </c>
      <c r="C1786" s="222" t="s">
        <v>1633</v>
      </c>
      <c r="D1786" s="430" t="s">
        <v>837</v>
      </c>
      <c r="E1786" s="107" t="str">
        <f>VLOOKUP(B1786&amp;C1786,Divipola!$C$2:$F$1138,4,FALSE)</f>
        <v>15442</v>
      </c>
      <c r="F1786" s="333"/>
      <c r="G1786" s="221"/>
      <c r="H1786" s="157"/>
      <c r="I1786" s="157"/>
      <c r="J1786" s="157">
        <f>118*5</f>
        <v>590</v>
      </c>
      <c r="K1786" s="157">
        <v>118</v>
      </c>
      <c r="L1786" s="157"/>
      <c r="M1786" s="157">
        <v>118</v>
      </c>
      <c r="N1786" s="157"/>
      <c r="O1786" s="157">
        <v>1</v>
      </c>
      <c r="P1786" s="157"/>
      <c r="Q1786" s="157"/>
      <c r="R1786" s="157"/>
      <c r="S1786" s="157"/>
      <c r="T1786" s="157"/>
      <c r="U1786" s="157"/>
      <c r="V1786" s="158"/>
      <c r="W1786" s="182"/>
      <c r="X1786" s="1"/>
      <c r="Y1786" s="78">
        <f t="shared" si="222"/>
        <v>0</v>
      </c>
      <c r="Z1786" s="78">
        <f t="shared" si="223"/>
        <v>0</v>
      </c>
      <c r="AA1786" s="78">
        <f t="shared" si="228"/>
        <v>0</v>
      </c>
      <c r="AB1786" s="78">
        <f t="shared" si="224"/>
        <v>0</v>
      </c>
      <c r="AC1786" s="78"/>
      <c r="AD1786" s="78">
        <v>0</v>
      </c>
      <c r="AE1786" s="80">
        <f t="shared" si="226"/>
        <v>0</v>
      </c>
      <c r="AF1786" s="82">
        <v>0</v>
      </c>
      <c r="AG1786" s="69">
        <v>40504</v>
      </c>
      <c r="AH1786" s="84"/>
      <c r="AI1786" s="69" t="s">
        <v>1984</v>
      </c>
      <c r="AJ1786" s="25" t="s">
        <v>1985</v>
      </c>
      <c r="AK1786" s="65"/>
      <c r="AL1786" s="184" t="s">
        <v>1257</v>
      </c>
      <c r="AM1786" s="173" t="s">
        <v>1634</v>
      </c>
      <c r="AN1786" s="159"/>
      <c r="AO1786" s="160"/>
      <c r="AP1786" s="161"/>
      <c r="AQ1786" s="160"/>
      <c r="AR1786" s="160"/>
      <c r="AS1786" s="160"/>
      <c r="AT1786" s="160"/>
      <c r="AU1786" s="160"/>
      <c r="AV1786" s="160"/>
      <c r="AW1786" s="160"/>
      <c r="AX1786" s="160"/>
      <c r="AY1786" s="160"/>
      <c r="AZ1786" s="160"/>
      <c r="BA1786" s="160"/>
      <c r="BB1786" s="160"/>
      <c r="BC1786" s="160"/>
      <c r="BD1786" s="160"/>
      <c r="BE1786" s="160"/>
      <c r="BF1786" s="160"/>
      <c r="BG1786" s="160"/>
      <c r="BH1786" s="160"/>
      <c r="BI1786" s="160"/>
      <c r="BJ1786" s="160"/>
      <c r="BK1786" s="160"/>
      <c r="BL1786" s="160"/>
      <c r="BM1786" s="160"/>
      <c r="BN1786" s="160"/>
      <c r="BO1786" s="160"/>
      <c r="BP1786" s="160"/>
      <c r="BQ1786" s="160"/>
      <c r="BR1786" s="160"/>
      <c r="BS1786" s="160"/>
      <c r="BT1786" s="160"/>
      <c r="BU1786" s="160"/>
      <c r="BV1786" s="160"/>
      <c r="BW1786" s="160"/>
      <c r="BX1786" s="160"/>
      <c r="BY1786" s="160"/>
      <c r="BZ1786" s="160"/>
      <c r="CA1786" s="160"/>
      <c r="CB1786" s="160"/>
      <c r="CC1786" s="160"/>
      <c r="CD1786" s="160"/>
      <c r="CE1786" s="160"/>
      <c r="CF1786" s="160"/>
      <c r="CG1786" s="160"/>
      <c r="CH1786" s="160"/>
      <c r="CI1786" s="160"/>
      <c r="CJ1786" s="160"/>
      <c r="CK1786" s="160"/>
      <c r="CL1786" s="160"/>
      <c r="CM1786" s="160"/>
      <c r="CN1786" s="160"/>
      <c r="CO1786" s="160"/>
      <c r="CP1786" s="162"/>
      <c r="CQ1786" s="163"/>
      <c r="CR1786" s="162"/>
      <c r="CS1786" s="163"/>
      <c r="CT1786" s="162"/>
      <c r="CU1786" s="163"/>
      <c r="CV1786" s="164">
        <f t="shared" si="225"/>
        <v>0</v>
      </c>
      <c r="CW1786" s="165"/>
      <c r="CX1786" s="166"/>
      <c r="CY1786" s="167"/>
      <c r="CZ1786" s="168"/>
      <c r="DA1786" s="169"/>
      <c r="DB1786" s="168"/>
      <c r="DC1786" s="165"/>
      <c r="DD1786" s="166"/>
      <c r="DE1786" s="71"/>
      <c r="DF1786" s="170"/>
      <c r="EO1786" s="375" t="str">
        <f t="shared" si="227"/>
        <v>BOYACA_MARIPI</v>
      </c>
      <c r="EP1786" s="376"/>
      <c r="EQ1786" s="376"/>
      <c r="ER1786" s="377"/>
      <c r="ES1786" s="376"/>
      <c r="ET1786" s="376"/>
      <c r="EU1786" s="376"/>
    </row>
    <row r="1787" spans="1:151" s="171" customFormat="1" ht="48" x14ac:dyDescent="0.2">
      <c r="A1787" s="242">
        <v>40500</v>
      </c>
      <c r="B1787" s="222" t="s">
        <v>828</v>
      </c>
      <c r="C1787" s="222" t="s">
        <v>621</v>
      </c>
      <c r="D1787" s="430" t="s">
        <v>837</v>
      </c>
      <c r="E1787" s="107" t="str">
        <f>VLOOKUP(B1787&amp;C1787,Divipola!$C$2:$F$1138,4,FALSE)</f>
        <v>15001</v>
      </c>
      <c r="F1787" s="333"/>
      <c r="G1787" s="221"/>
      <c r="H1787" s="157"/>
      <c r="I1787" s="157"/>
      <c r="J1787" s="157"/>
      <c r="K1787" s="157"/>
      <c r="L1787" s="157"/>
      <c r="M1787" s="157"/>
      <c r="N1787" s="157"/>
      <c r="O1787" s="157"/>
      <c r="P1787" s="157"/>
      <c r="Q1787" s="157"/>
      <c r="R1787" s="157"/>
      <c r="S1787" s="157"/>
      <c r="T1787" s="157"/>
      <c r="U1787" s="157"/>
      <c r="V1787" s="158"/>
      <c r="W1787" s="182"/>
      <c r="X1787" s="1"/>
      <c r="Y1787" s="78">
        <f t="shared" si="222"/>
        <v>0</v>
      </c>
      <c r="Z1787" s="78">
        <f t="shared" si="223"/>
        <v>0</v>
      </c>
      <c r="AA1787" s="78">
        <f t="shared" si="228"/>
        <v>0</v>
      </c>
      <c r="AB1787" s="78">
        <f t="shared" si="224"/>
        <v>0</v>
      </c>
      <c r="AC1787" s="78"/>
      <c r="AD1787" s="78">
        <v>0</v>
      </c>
      <c r="AE1787" s="80">
        <f t="shared" si="226"/>
        <v>0</v>
      </c>
      <c r="AF1787" s="82">
        <v>0</v>
      </c>
      <c r="AG1787" s="69">
        <v>40504</v>
      </c>
      <c r="AH1787" s="84"/>
      <c r="AI1787" s="69" t="s">
        <v>1984</v>
      </c>
      <c r="AJ1787" s="25" t="s">
        <v>1985</v>
      </c>
      <c r="AK1787" s="65"/>
      <c r="AL1787" s="184" t="s">
        <v>1257</v>
      </c>
      <c r="AM1787" s="173" t="s">
        <v>1635</v>
      </c>
      <c r="AN1787" s="159"/>
      <c r="AO1787" s="160"/>
      <c r="AP1787" s="161"/>
      <c r="AQ1787" s="160"/>
      <c r="AR1787" s="160"/>
      <c r="AS1787" s="160"/>
      <c r="AT1787" s="160"/>
      <c r="AU1787" s="160"/>
      <c r="AV1787" s="160"/>
      <c r="AW1787" s="160"/>
      <c r="AX1787" s="160"/>
      <c r="AY1787" s="160"/>
      <c r="AZ1787" s="160"/>
      <c r="BA1787" s="160"/>
      <c r="BB1787" s="160"/>
      <c r="BC1787" s="160"/>
      <c r="BD1787" s="160"/>
      <c r="BE1787" s="160"/>
      <c r="BF1787" s="160"/>
      <c r="BG1787" s="160"/>
      <c r="BH1787" s="160"/>
      <c r="BI1787" s="160"/>
      <c r="BJ1787" s="160"/>
      <c r="BK1787" s="160"/>
      <c r="BL1787" s="160"/>
      <c r="BM1787" s="160"/>
      <c r="BN1787" s="160"/>
      <c r="BO1787" s="160"/>
      <c r="BP1787" s="160"/>
      <c r="BQ1787" s="160"/>
      <c r="BR1787" s="160"/>
      <c r="BS1787" s="160"/>
      <c r="BT1787" s="160"/>
      <c r="BU1787" s="160"/>
      <c r="BV1787" s="160"/>
      <c r="BW1787" s="160"/>
      <c r="BX1787" s="160"/>
      <c r="BY1787" s="160"/>
      <c r="BZ1787" s="160"/>
      <c r="CA1787" s="160"/>
      <c r="CB1787" s="160"/>
      <c r="CC1787" s="160"/>
      <c r="CD1787" s="160"/>
      <c r="CE1787" s="160"/>
      <c r="CF1787" s="160"/>
      <c r="CG1787" s="160"/>
      <c r="CH1787" s="160"/>
      <c r="CI1787" s="160"/>
      <c r="CJ1787" s="160"/>
      <c r="CK1787" s="160"/>
      <c r="CL1787" s="160"/>
      <c r="CM1787" s="160"/>
      <c r="CN1787" s="160"/>
      <c r="CO1787" s="160"/>
      <c r="CP1787" s="162"/>
      <c r="CQ1787" s="163"/>
      <c r="CR1787" s="162"/>
      <c r="CS1787" s="163"/>
      <c r="CT1787" s="162"/>
      <c r="CU1787" s="163"/>
      <c r="CV1787" s="164">
        <f t="shared" si="225"/>
        <v>0</v>
      </c>
      <c r="CW1787" s="165"/>
      <c r="CX1787" s="166"/>
      <c r="CY1787" s="167"/>
      <c r="CZ1787" s="168"/>
      <c r="DA1787" s="169"/>
      <c r="DB1787" s="168"/>
      <c r="DC1787" s="165"/>
      <c r="DD1787" s="166"/>
      <c r="DE1787" s="71"/>
      <c r="DF1787" s="170"/>
      <c r="EO1787" s="375" t="str">
        <f t="shared" si="227"/>
        <v>BOYACA_TUNJA</v>
      </c>
      <c r="EP1787" s="376"/>
      <c r="EQ1787" s="376"/>
      <c r="ER1787" s="377"/>
      <c r="ES1787" s="376"/>
      <c r="ET1787" s="376"/>
      <c r="EU1787" s="376"/>
    </row>
    <row r="1788" spans="1:151" s="171" customFormat="1" ht="60" x14ac:dyDescent="0.2">
      <c r="A1788" s="242">
        <v>40500</v>
      </c>
      <c r="B1788" s="222" t="s">
        <v>1189</v>
      </c>
      <c r="C1788" s="222" t="s">
        <v>674</v>
      </c>
      <c r="D1788" s="430" t="s">
        <v>837</v>
      </c>
      <c r="E1788" s="107" t="str">
        <f>VLOOKUP(B1788&amp;C1788,Divipola!$C$2:$F$1138,4,FALSE)</f>
        <v>85300</v>
      </c>
      <c r="F1788" s="333"/>
      <c r="G1788" s="221"/>
      <c r="H1788" s="157"/>
      <c r="I1788" s="157"/>
      <c r="J1788" s="157">
        <f>166*5</f>
        <v>830</v>
      </c>
      <c r="K1788" s="157">
        <v>166</v>
      </c>
      <c r="L1788" s="157"/>
      <c r="M1788" s="157">
        <v>166</v>
      </c>
      <c r="N1788" s="157"/>
      <c r="O1788" s="157"/>
      <c r="P1788" s="157"/>
      <c r="Q1788" s="157"/>
      <c r="R1788" s="157"/>
      <c r="S1788" s="157"/>
      <c r="T1788" s="157"/>
      <c r="U1788" s="157"/>
      <c r="V1788" s="158"/>
      <c r="W1788" s="182"/>
      <c r="X1788" s="1"/>
      <c r="Y1788" s="78">
        <f t="shared" si="222"/>
        <v>0</v>
      </c>
      <c r="Z1788" s="78">
        <f t="shared" si="223"/>
        <v>0</v>
      </c>
      <c r="AA1788" s="78">
        <f t="shared" si="228"/>
        <v>0</v>
      </c>
      <c r="AB1788" s="78">
        <f t="shared" si="224"/>
        <v>0</v>
      </c>
      <c r="AC1788" s="78"/>
      <c r="AD1788" s="78">
        <v>0</v>
      </c>
      <c r="AE1788" s="80">
        <f t="shared" si="226"/>
        <v>0</v>
      </c>
      <c r="AF1788" s="82">
        <v>0</v>
      </c>
      <c r="AG1788" s="69">
        <v>40504</v>
      </c>
      <c r="AH1788" s="84"/>
      <c r="AI1788" s="69" t="s">
        <v>1984</v>
      </c>
      <c r="AJ1788" s="70" t="s">
        <v>1985</v>
      </c>
      <c r="AK1788" s="65"/>
      <c r="AL1788" s="176" t="s">
        <v>1257</v>
      </c>
      <c r="AM1788" s="173" t="s">
        <v>1637</v>
      </c>
      <c r="AN1788" s="159"/>
      <c r="AO1788" s="160"/>
      <c r="AP1788" s="161"/>
      <c r="AQ1788" s="160"/>
      <c r="AR1788" s="160"/>
      <c r="AS1788" s="160"/>
      <c r="AT1788" s="160"/>
      <c r="AU1788" s="160"/>
      <c r="AV1788" s="160"/>
      <c r="AW1788" s="160"/>
      <c r="AX1788" s="160"/>
      <c r="AY1788" s="160"/>
      <c r="AZ1788" s="160"/>
      <c r="BA1788" s="160"/>
      <c r="BB1788" s="160"/>
      <c r="BC1788" s="160"/>
      <c r="BD1788" s="160"/>
      <c r="BE1788" s="160"/>
      <c r="BF1788" s="160"/>
      <c r="BG1788" s="160"/>
      <c r="BH1788" s="160"/>
      <c r="BI1788" s="160"/>
      <c r="BJ1788" s="160"/>
      <c r="BK1788" s="160"/>
      <c r="BL1788" s="160"/>
      <c r="BM1788" s="160"/>
      <c r="BN1788" s="160"/>
      <c r="BO1788" s="160"/>
      <c r="BP1788" s="160"/>
      <c r="BQ1788" s="160"/>
      <c r="BR1788" s="160"/>
      <c r="BS1788" s="160"/>
      <c r="BT1788" s="160"/>
      <c r="BU1788" s="160"/>
      <c r="BV1788" s="160"/>
      <c r="BW1788" s="160"/>
      <c r="BX1788" s="160"/>
      <c r="BY1788" s="160"/>
      <c r="BZ1788" s="160"/>
      <c r="CA1788" s="160"/>
      <c r="CB1788" s="160"/>
      <c r="CC1788" s="160"/>
      <c r="CD1788" s="160"/>
      <c r="CE1788" s="160"/>
      <c r="CF1788" s="160"/>
      <c r="CG1788" s="160"/>
      <c r="CH1788" s="160"/>
      <c r="CI1788" s="160"/>
      <c r="CJ1788" s="160"/>
      <c r="CK1788" s="160"/>
      <c r="CL1788" s="160"/>
      <c r="CM1788" s="160"/>
      <c r="CN1788" s="160"/>
      <c r="CO1788" s="160"/>
      <c r="CP1788" s="162"/>
      <c r="CQ1788" s="163"/>
      <c r="CR1788" s="162"/>
      <c r="CS1788" s="163"/>
      <c r="CT1788" s="162"/>
      <c r="CU1788" s="163"/>
      <c r="CV1788" s="164">
        <f t="shared" si="225"/>
        <v>0</v>
      </c>
      <c r="CW1788" s="165"/>
      <c r="CX1788" s="166"/>
      <c r="CY1788" s="167"/>
      <c r="CZ1788" s="168"/>
      <c r="DA1788" s="169"/>
      <c r="DB1788" s="168"/>
      <c r="DC1788" s="165"/>
      <c r="DD1788" s="166"/>
      <c r="DE1788" s="71"/>
      <c r="DF1788" s="170"/>
      <c r="EO1788" s="375" t="str">
        <f t="shared" si="227"/>
        <v>CASANARE_SABANALARGA</v>
      </c>
      <c r="EP1788" s="376"/>
      <c r="EQ1788" s="376"/>
      <c r="ER1788" s="377"/>
      <c r="ES1788" s="376"/>
      <c r="ET1788" s="376"/>
      <c r="EU1788" s="376"/>
    </row>
    <row r="1789" spans="1:151" s="171" customFormat="1" ht="48" x14ac:dyDescent="0.2">
      <c r="A1789" s="242">
        <v>40500</v>
      </c>
      <c r="B1789" s="222" t="s">
        <v>2242</v>
      </c>
      <c r="C1789" s="222" t="s">
        <v>737</v>
      </c>
      <c r="D1789" s="427" t="s">
        <v>2307</v>
      </c>
      <c r="E1789" s="107" t="str">
        <f>VLOOKUP(B1789&amp;C1789,Divipola!$C$2:$F$1138,4,FALSE)</f>
        <v>20060</v>
      </c>
      <c r="F1789" s="330"/>
      <c r="G1789" s="221"/>
      <c r="H1789" s="157"/>
      <c r="I1789" s="157"/>
      <c r="J1789" s="157"/>
      <c r="K1789" s="157"/>
      <c r="L1789" s="157"/>
      <c r="M1789" s="157"/>
      <c r="N1789" s="157"/>
      <c r="O1789" s="157">
        <v>1</v>
      </c>
      <c r="P1789" s="157"/>
      <c r="Q1789" s="157"/>
      <c r="R1789" s="157"/>
      <c r="S1789" s="157"/>
      <c r="T1789" s="157"/>
      <c r="U1789" s="157"/>
      <c r="V1789" s="158"/>
      <c r="W1789" s="182"/>
      <c r="X1789" s="1"/>
      <c r="Y1789" s="78">
        <f t="shared" si="222"/>
        <v>0</v>
      </c>
      <c r="Z1789" s="78">
        <f t="shared" si="223"/>
        <v>0</v>
      </c>
      <c r="AA1789" s="78">
        <f t="shared" si="228"/>
        <v>0</v>
      </c>
      <c r="AB1789" s="78">
        <f t="shared" si="224"/>
        <v>0</v>
      </c>
      <c r="AC1789" s="78"/>
      <c r="AD1789" s="78">
        <v>0</v>
      </c>
      <c r="AE1789" s="80">
        <f t="shared" si="226"/>
        <v>0</v>
      </c>
      <c r="AF1789" s="82">
        <v>0</v>
      </c>
      <c r="AG1789" s="242">
        <v>40504</v>
      </c>
      <c r="AH1789" s="84"/>
      <c r="AI1789" s="69" t="s">
        <v>1984</v>
      </c>
      <c r="AJ1789" s="25" t="s">
        <v>1985</v>
      </c>
      <c r="AK1789" s="65"/>
      <c r="AL1789" s="176" t="s">
        <v>1257</v>
      </c>
      <c r="AM1789" s="173" t="s">
        <v>2491</v>
      </c>
      <c r="AN1789" s="159"/>
      <c r="AO1789" s="160"/>
      <c r="AP1789" s="161"/>
      <c r="AQ1789" s="160"/>
      <c r="AR1789" s="160"/>
      <c r="AS1789" s="160"/>
      <c r="AT1789" s="160"/>
      <c r="AU1789" s="160"/>
      <c r="AV1789" s="160"/>
      <c r="AW1789" s="160"/>
      <c r="AX1789" s="160"/>
      <c r="AY1789" s="160"/>
      <c r="AZ1789" s="160"/>
      <c r="BA1789" s="160"/>
      <c r="BB1789" s="160"/>
      <c r="BC1789" s="160"/>
      <c r="BD1789" s="160"/>
      <c r="BE1789" s="160"/>
      <c r="BF1789" s="160"/>
      <c r="BG1789" s="160"/>
      <c r="BH1789" s="160"/>
      <c r="BI1789" s="160"/>
      <c r="BJ1789" s="160"/>
      <c r="BK1789" s="160"/>
      <c r="BL1789" s="160"/>
      <c r="BM1789" s="160"/>
      <c r="BN1789" s="160"/>
      <c r="BO1789" s="160"/>
      <c r="BP1789" s="160"/>
      <c r="BQ1789" s="160"/>
      <c r="BR1789" s="160"/>
      <c r="BS1789" s="160"/>
      <c r="BT1789" s="160"/>
      <c r="BU1789" s="160"/>
      <c r="BV1789" s="160"/>
      <c r="BW1789" s="160"/>
      <c r="BX1789" s="160"/>
      <c r="BY1789" s="160"/>
      <c r="BZ1789" s="160"/>
      <c r="CA1789" s="160"/>
      <c r="CB1789" s="160"/>
      <c r="CC1789" s="160"/>
      <c r="CD1789" s="160"/>
      <c r="CE1789" s="160"/>
      <c r="CF1789" s="160"/>
      <c r="CG1789" s="160"/>
      <c r="CH1789" s="160"/>
      <c r="CI1789" s="160"/>
      <c r="CJ1789" s="160"/>
      <c r="CK1789" s="160"/>
      <c r="CL1789" s="160"/>
      <c r="CM1789" s="160"/>
      <c r="CN1789" s="160"/>
      <c r="CO1789" s="160"/>
      <c r="CP1789" s="162"/>
      <c r="CQ1789" s="163"/>
      <c r="CR1789" s="162"/>
      <c r="CS1789" s="163"/>
      <c r="CT1789" s="162"/>
      <c r="CU1789" s="163"/>
      <c r="CV1789" s="164">
        <f t="shared" si="225"/>
        <v>0</v>
      </c>
      <c r="CW1789" s="165"/>
      <c r="CX1789" s="166"/>
      <c r="CY1789" s="167"/>
      <c r="CZ1789" s="168"/>
      <c r="DA1789" s="169"/>
      <c r="DB1789" s="168"/>
      <c r="DC1789" s="165"/>
      <c r="DD1789" s="166"/>
      <c r="DE1789" s="71"/>
      <c r="DF1789" s="170"/>
      <c r="EO1789" s="375" t="str">
        <f t="shared" si="227"/>
        <v>CESAR_BOSCONIA</v>
      </c>
      <c r="EP1789" s="376"/>
      <c r="EQ1789" s="376"/>
      <c r="ER1789" s="377"/>
      <c r="ES1789" s="376"/>
      <c r="ET1789" s="376"/>
      <c r="EU1789" s="376"/>
    </row>
    <row r="1790" spans="1:151" s="171" customFormat="1" ht="72" x14ac:dyDescent="0.2">
      <c r="A1790" s="242">
        <v>40500</v>
      </c>
      <c r="B1790" s="222" t="s">
        <v>2242</v>
      </c>
      <c r="C1790" s="222" t="s">
        <v>1405</v>
      </c>
      <c r="D1790" s="430" t="s">
        <v>837</v>
      </c>
      <c r="E1790" s="107" t="str">
        <f>VLOOKUP(B1790&amp;C1790,Divipola!$C$2:$F$1138,4,FALSE)</f>
        <v>20295</v>
      </c>
      <c r="F1790" s="333"/>
      <c r="G1790" s="221"/>
      <c r="H1790" s="157"/>
      <c r="I1790" s="157"/>
      <c r="J1790" s="157">
        <v>10000</v>
      </c>
      <c r="K1790" s="157">
        <v>2000</v>
      </c>
      <c r="L1790" s="157"/>
      <c r="M1790" s="157">
        <v>2000</v>
      </c>
      <c r="N1790" s="157"/>
      <c r="O1790" s="157"/>
      <c r="P1790" s="157"/>
      <c r="Q1790" s="157"/>
      <c r="R1790" s="157"/>
      <c r="S1790" s="157"/>
      <c r="T1790" s="157"/>
      <c r="U1790" s="157"/>
      <c r="V1790" s="158"/>
      <c r="W1790" s="182"/>
      <c r="X1790" s="1"/>
      <c r="Y1790" s="78">
        <f t="shared" si="222"/>
        <v>0</v>
      </c>
      <c r="Z1790" s="78">
        <f t="shared" si="223"/>
        <v>0</v>
      </c>
      <c r="AA1790" s="78">
        <f t="shared" si="228"/>
        <v>0</v>
      </c>
      <c r="AB1790" s="78">
        <f t="shared" si="224"/>
        <v>0</v>
      </c>
      <c r="AC1790" s="78"/>
      <c r="AD1790" s="78">
        <v>0</v>
      </c>
      <c r="AE1790" s="80">
        <f t="shared" si="226"/>
        <v>0</v>
      </c>
      <c r="AF1790" s="82">
        <v>0</v>
      </c>
      <c r="AG1790" s="242">
        <v>40504</v>
      </c>
      <c r="AH1790" s="84"/>
      <c r="AI1790" s="69" t="s">
        <v>1984</v>
      </c>
      <c r="AJ1790" s="25" t="s">
        <v>1985</v>
      </c>
      <c r="AK1790" s="65"/>
      <c r="AL1790" s="176" t="s">
        <v>1257</v>
      </c>
      <c r="AM1790" s="173" t="s">
        <v>1652</v>
      </c>
      <c r="AN1790" s="159"/>
      <c r="AO1790" s="160"/>
      <c r="AP1790" s="161"/>
      <c r="AQ1790" s="160"/>
      <c r="AR1790" s="160"/>
      <c r="AS1790" s="160"/>
      <c r="AT1790" s="160"/>
      <c r="AU1790" s="160"/>
      <c r="AV1790" s="160"/>
      <c r="AW1790" s="160"/>
      <c r="AX1790" s="160"/>
      <c r="AY1790" s="160"/>
      <c r="AZ1790" s="160"/>
      <c r="BA1790" s="160"/>
      <c r="BB1790" s="160"/>
      <c r="BC1790" s="160"/>
      <c r="BD1790" s="160"/>
      <c r="BE1790" s="160"/>
      <c r="BF1790" s="160"/>
      <c r="BG1790" s="160"/>
      <c r="BH1790" s="160"/>
      <c r="BI1790" s="160"/>
      <c r="BJ1790" s="160"/>
      <c r="BK1790" s="160"/>
      <c r="BL1790" s="160"/>
      <c r="BM1790" s="160"/>
      <c r="BN1790" s="160"/>
      <c r="BO1790" s="160"/>
      <c r="BP1790" s="160"/>
      <c r="BQ1790" s="160"/>
      <c r="BR1790" s="160"/>
      <c r="BS1790" s="160"/>
      <c r="BT1790" s="160"/>
      <c r="BU1790" s="160"/>
      <c r="BV1790" s="160"/>
      <c r="BW1790" s="160"/>
      <c r="BX1790" s="160"/>
      <c r="BY1790" s="160"/>
      <c r="BZ1790" s="160"/>
      <c r="CA1790" s="160"/>
      <c r="CB1790" s="160"/>
      <c r="CC1790" s="160"/>
      <c r="CD1790" s="160"/>
      <c r="CE1790" s="160"/>
      <c r="CF1790" s="160"/>
      <c r="CG1790" s="160"/>
      <c r="CH1790" s="160"/>
      <c r="CI1790" s="160"/>
      <c r="CJ1790" s="160"/>
      <c r="CK1790" s="160"/>
      <c r="CL1790" s="160"/>
      <c r="CM1790" s="160"/>
      <c r="CN1790" s="160"/>
      <c r="CO1790" s="160"/>
      <c r="CP1790" s="162"/>
      <c r="CQ1790" s="163"/>
      <c r="CR1790" s="162"/>
      <c r="CS1790" s="163"/>
      <c r="CT1790" s="162"/>
      <c r="CU1790" s="163"/>
      <c r="CV1790" s="164">
        <f t="shared" si="225"/>
        <v>0</v>
      </c>
      <c r="CW1790" s="165"/>
      <c r="CX1790" s="166"/>
      <c r="CY1790" s="167"/>
      <c r="CZ1790" s="168"/>
      <c r="DA1790" s="169"/>
      <c r="DB1790" s="168"/>
      <c r="DC1790" s="165"/>
      <c r="DD1790" s="166"/>
      <c r="DE1790" s="71"/>
      <c r="DF1790" s="170"/>
      <c r="EO1790" s="375" t="str">
        <f t="shared" si="227"/>
        <v>CESAR_GAMARRA</v>
      </c>
      <c r="EP1790" s="376"/>
      <c r="EQ1790" s="376"/>
      <c r="ER1790" s="377"/>
      <c r="ES1790" s="376"/>
      <c r="ET1790" s="376"/>
      <c r="EU1790" s="376"/>
    </row>
    <row r="1791" spans="1:151" s="171" customFormat="1" ht="51" x14ac:dyDescent="0.2">
      <c r="A1791" s="242">
        <v>40500</v>
      </c>
      <c r="B1791" s="222" t="s">
        <v>2425</v>
      </c>
      <c r="C1791" s="222" t="s">
        <v>6307</v>
      </c>
      <c r="D1791" s="430" t="s">
        <v>837</v>
      </c>
      <c r="E1791" s="107" t="str">
        <f>VLOOKUP(B1791&amp;C1791,Divipola!$C$2:$F$1138,4,FALSE)</f>
        <v>27135</v>
      </c>
      <c r="F1791" s="333"/>
      <c r="G1791" s="221"/>
      <c r="H1791" s="157"/>
      <c r="I1791" s="157"/>
      <c r="J1791" s="157">
        <f>762*4</f>
        <v>3048</v>
      </c>
      <c r="K1791" s="157">
        <v>762</v>
      </c>
      <c r="L1791" s="157"/>
      <c r="M1791" s="157"/>
      <c r="N1791" s="157"/>
      <c r="O1791" s="157"/>
      <c r="P1791" s="157"/>
      <c r="Q1791" s="157"/>
      <c r="R1791" s="157"/>
      <c r="S1791" s="157"/>
      <c r="T1791" s="157"/>
      <c r="U1791" s="157"/>
      <c r="V1791" s="158"/>
      <c r="W1791" s="182"/>
      <c r="X1791" s="1"/>
      <c r="Y1791" s="78">
        <f t="shared" si="222"/>
        <v>27114000</v>
      </c>
      <c r="Z1791" s="78">
        <f t="shared" si="223"/>
        <v>48705000</v>
      </c>
      <c r="AA1791" s="78">
        <f t="shared" si="228"/>
        <v>0</v>
      </c>
      <c r="AB1791" s="78">
        <f t="shared" si="224"/>
        <v>0</v>
      </c>
      <c r="AC1791" s="78"/>
      <c r="AD1791" s="78">
        <v>0</v>
      </c>
      <c r="AE1791" s="80">
        <f t="shared" si="226"/>
        <v>75819000</v>
      </c>
      <c r="AF1791" s="82">
        <v>0</v>
      </c>
      <c r="AG1791" s="242">
        <v>40512</v>
      </c>
      <c r="AH1791" s="84"/>
      <c r="AI1791" s="69" t="s">
        <v>2009</v>
      </c>
      <c r="AJ1791" s="25" t="s">
        <v>2010</v>
      </c>
      <c r="AK1791" s="65"/>
      <c r="AL1791" s="176" t="s">
        <v>1257</v>
      </c>
      <c r="AM1791" s="173"/>
      <c r="AN1791" s="159"/>
      <c r="AO1791" s="160"/>
      <c r="AP1791" s="161"/>
      <c r="AQ1791" s="160"/>
      <c r="AR1791" s="160"/>
      <c r="AS1791" s="160"/>
      <c r="AT1791" s="160"/>
      <c r="AU1791" s="160"/>
      <c r="AV1791" s="160"/>
      <c r="AW1791" s="160"/>
      <c r="AX1791" s="160"/>
      <c r="AY1791" s="160"/>
      <c r="AZ1791" s="160"/>
      <c r="BA1791" s="160"/>
      <c r="BB1791" s="160">
        <v>300</v>
      </c>
      <c r="BC1791" s="160">
        <f>300*56000</f>
        <v>16800000</v>
      </c>
      <c r="BD1791" s="160"/>
      <c r="BE1791" s="160"/>
      <c r="BF1791" s="160"/>
      <c r="BG1791" s="160"/>
      <c r="BH1791" s="160"/>
      <c r="BI1791" s="160"/>
      <c r="BJ1791" s="160"/>
      <c r="BK1791" s="160"/>
      <c r="BL1791" s="160"/>
      <c r="BM1791" s="160"/>
      <c r="BN1791" s="160"/>
      <c r="BO1791" s="160"/>
      <c r="BP1791" s="160"/>
      <c r="BQ1791" s="160"/>
      <c r="BR1791" s="160"/>
      <c r="BS1791" s="160"/>
      <c r="BT1791" s="160"/>
      <c r="BU1791" s="160"/>
      <c r="BV1791" s="160"/>
      <c r="BW1791" s="160"/>
      <c r="BX1791" s="160"/>
      <c r="BY1791" s="160"/>
      <c r="BZ1791" s="160"/>
      <c r="CA1791" s="160"/>
      <c r="CB1791" s="160"/>
      <c r="CC1791" s="160"/>
      <c r="CD1791" s="160"/>
      <c r="CE1791" s="160"/>
      <c r="CF1791" s="160"/>
      <c r="CG1791" s="160"/>
      <c r="CH1791" s="160"/>
      <c r="CI1791" s="160"/>
      <c r="CJ1791" s="160"/>
      <c r="CK1791" s="160"/>
      <c r="CL1791" s="160"/>
      <c r="CM1791" s="160"/>
      <c r="CN1791" s="160">
        <v>573</v>
      </c>
      <c r="CO1791" s="160">
        <f>573*18000</f>
        <v>10314000</v>
      </c>
      <c r="CP1791" s="162"/>
      <c r="CQ1791" s="163"/>
      <c r="CR1791" s="162"/>
      <c r="CS1791" s="163"/>
      <c r="CT1791" s="162"/>
      <c r="CU1791" s="163"/>
      <c r="CV1791" s="164">
        <f t="shared" si="225"/>
        <v>27114000</v>
      </c>
      <c r="CW1791" s="165"/>
      <c r="CX1791" s="166"/>
      <c r="CY1791" s="167">
        <v>573</v>
      </c>
      <c r="CZ1791" s="168">
        <f>573*85000</f>
        <v>48705000</v>
      </c>
      <c r="DA1791" s="169"/>
      <c r="DB1791" s="168"/>
      <c r="DC1791" s="165"/>
      <c r="DD1791" s="166"/>
      <c r="DE1791" s="71"/>
      <c r="DF1791" s="170"/>
      <c r="EO1791" s="375" t="str">
        <f t="shared" si="227"/>
        <v>CHOCO_CANTON DE SAN PABLO</v>
      </c>
      <c r="EP1791" s="376"/>
      <c r="EQ1791" s="376"/>
      <c r="ER1791" s="377"/>
      <c r="ES1791" s="376"/>
      <c r="ET1791" s="376"/>
      <c r="EU1791" s="376"/>
    </row>
    <row r="1792" spans="1:151" s="171" customFormat="1" ht="51" x14ac:dyDescent="0.2">
      <c r="A1792" s="242">
        <v>40500</v>
      </c>
      <c r="B1792" s="222" t="s">
        <v>2425</v>
      </c>
      <c r="C1792" s="222" t="s">
        <v>1455</v>
      </c>
      <c r="D1792" s="430" t="s">
        <v>837</v>
      </c>
      <c r="E1792" s="107" t="str">
        <f>VLOOKUP(B1792&amp;C1792,Divipola!$C$2:$F$1138,4,FALSE)</f>
        <v>27660</v>
      </c>
      <c r="F1792" s="333"/>
      <c r="G1792" s="221"/>
      <c r="H1792" s="157"/>
      <c r="I1792" s="157"/>
      <c r="J1792" s="157">
        <v>1438</v>
      </c>
      <c r="K1792" s="157">
        <v>297</v>
      </c>
      <c r="L1792" s="157"/>
      <c r="M1792" s="157"/>
      <c r="N1792" s="157"/>
      <c r="O1792" s="157"/>
      <c r="P1792" s="157"/>
      <c r="Q1792" s="157"/>
      <c r="R1792" s="157"/>
      <c r="S1792" s="157"/>
      <c r="T1792" s="157"/>
      <c r="U1792" s="157"/>
      <c r="V1792" s="158"/>
      <c r="W1792" s="182"/>
      <c r="X1792" s="1"/>
      <c r="Y1792" s="78">
        <f t="shared" si="222"/>
        <v>12600000</v>
      </c>
      <c r="Z1792" s="78">
        <f t="shared" si="223"/>
        <v>59500000</v>
      </c>
      <c r="AA1792" s="78">
        <f t="shared" si="228"/>
        <v>0</v>
      </c>
      <c r="AB1792" s="78">
        <f t="shared" si="224"/>
        <v>0</v>
      </c>
      <c r="AC1792" s="78"/>
      <c r="AD1792" s="78">
        <v>0</v>
      </c>
      <c r="AE1792" s="80">
        <f t="shared" si="226"/>
        <v>72100000</v>
      </c>
      <c r="AF1792" s="82">
        <v>0</v>
      </c>
      <c r="AG1792" s="242">
        <v>40512</v>
      </c>
      <c r="AH1792" s="84"/>
      <c r="AI1792" s="69" t="s">
        <v>2009</v>
      </c>
      <c r="AJ1792" s="25" t="s">
        <v>2010</v>
      </c>
      <c r="AK1792" s="65"/>
      <c r="AL1792" s="176" t="s">
        <v>1257</v>
      </c>
      <c r="AM1792" s="173"/>
      <c r="AN1792" s="159"/>
      <c r="AO1792" s="160"/>
      <c r="AP1792" s="161"/>
      <c r="AQ1792" s="160"/>
      <c r="AR1792" s="160"/>
      <c r="AS1792" s="160"/>
      <c r="AT1792" s="160"/>
      <c r="AU1792" s="160"/>
      <c r="AV1792" s="160"/>
      <c r="AW1792" s="160"/>
      <c r="AX1792" s="160"/>
      <c r="AY1792" s="160"/>
      <c r="AZ1792" s="160"/>
      <c r="BA1792" s="160"/>
      <c r="BB1792" s="160"/>
      <c r="BC1792" s="160"/>
      <c r="BD1792" s="160"/>
      <c r="BE1792" s="160"/>
      <c r="BF1792" s="160"/>
      <c r="BG1792" s="160"/>
      <c r="BH1792" s="160"/>
      <c r="BI1792" s="160"/>
      <c r="BJ1792" s="160"/>
      <c r="BK1792" s="160"/>
      <c r="BL1792" s="160"/>
      <c r="BM1792" s="160"/>
      <c r="BN1792" s="160"/>
      <c r="BO1792" s="160"/>
      <c r="BP1792" s="160"/>
      <c r="BQ1792" s="160"/>
      <c r="BR1792" s="160"/>
      <c r="BS1792" s="160"/>
      <c r="BT1792" s="160"/>
      <c r="BU1792" s="160"/>
      <c r="BV1792" s="160"/>
      <c r="BW1792" s="160"/>
      <c r="BX1792" s="160"/>
      <c r="BY1792" s="160"/>
      <c r="BZ1792" s="160"/>
      <c r="CA1792" s="160"/>
      <c r="CB1792" s="160"/>
      <c r="CC1792" s="160"/>
      <c r="CD1792" s="160"/>
      <c r="CE1792" s="160"/>
      <c r="CF1792" s="160"/>
      <c r="CG1792" s="160"/>
      <c r="CH1792" s="160"/>
      <c r="CI1792" s="160"/>
      <c r="CJ1792" s="160"/>
      <c r="CK1792" s="160"/>
      <c r="CL1792" s="160"/>
      <c r="CM1792" s="160"/>
      <c r="CN1792" s="160">
        <v>700</v>
      </c>
      <c r="CO1792" s="160">
        <f>700*18000</f>
        <v>12600000</v>
      </c>
      <c r="CP1792" s="162"/>
      <c r="CQ1792" s="163"/>
      <c r="CR1792" s="162"/>
      <c r="CS1792" s="163"/>
      <c r="CT1792" s="162"/>
      <c r="CU1792" s="163"/>
      <c r="CV1792" s="164">
        <f t="shared" si="225"/>
        <v>12600000</v>
      </c>
      <c r="CW1792" s="165"/>
      <c r="CX1792" s="166"/>
      <c r="CY1792" s="167">
        <v>700</v>
      </c>
      <c r="CZ1792" s="168">
        <f>700*85000</f>
        <v>59500000</v>
      </c>
      <c r="DA1792" s="169"/>
      <c r="DB1792" s="168"/>
      <c r="DC1792" s="165"/>
      <c r="DD1792" s="166"/>
      <c r="DE1792" s="71"/>
      <c r="DF1792" s="170"/>
      <c r="EO1792" s="375" t="str">
        <f t="shared" si="227"/>
        <v>CHOCO_SAN JOSE DEL PALMAR</v>
      </c>
      <c r="EP1792" s="376"/>
      <c r="EQ1792" s="376"/>
      <c r="ER1792" s="377"/>
      <c r="ES1792" s="376"/>
      <c r="ET1792" s="376"/>
      <c r="EU1792" s="376"/>
    </row>
    <row r="1793" spans="1:151" s="171" customFormat="1" ht="38.25" x14ac:dyDescent="0.2">
      <c r="A1793" s="242">
        <v>40500</v>
      </c>
      <c r="B1793" s="222" t="s">
        <v>2007</v>
      </c>
      <c r="C1793" s="222" t="s">
        <v>2910</v>
      </c>
      <c r="D1793" s="430" t="s">
        <v>2307</v>
      </c>
      <c r="E1793" s="107" t="str">
        <f>VLOOKUP(B1793&amp;C1793,Divipola!$C$2:$F$1138,4,FALSE)</f>
        <v>25151</v>
      </c>
      <c r="F1793" s="333"/>
      <c r="G1793" s="221"/>
      <c r="H1793" s="157"/>
      <c r="I1793" s="157"/>
      <c r="J1793" s="157">
        <v>65</v>
      </c>
      <c r="K1793" s="157">
        <v>13</v>
      </c>
      <c r="L1793" s="157"/>
      <c r="M1793" s="157">
        <v>13</v>
      </c>
      <c r="N1793" s="157"/>
      <c r="O1793" s="157"/>
      <c r="P1793" s="157"/>
      <c r="Q1793" s="157"/>
      <c r="R1793" s="157"/>
      <c r="S1793" s="157"/>
      <c r="T1793" s="157"/>
      <c r="U1793" s="157"/>
      <c r="V1793" s="158"/>
      <c r="W1793" s="182"/>
      <c r="X1793" s="1"/>
      <c r="Y1793" s="78">
        <f t="shared" si="222"/>
        <v>0</v>
      </c>
      <c r="Z1793" s="78">
        <f t="shared" si="223"/>
        <v>0</v>
      </c>
      <c r="AA1793" s="78">
        <f t="shared" si="228"/>
        <v>0</v>
      </c>
      <c r="AB1793" s="78">
        <f t="shared" si="224"/>
        <v>0</v>
      </c>
      <c r="AC1793" s="78"/>
      <c r="AD1793" s="78">
        <v>0</v>
      </c>
      <c r="AE1793" s="80">
        <f t="shared" si="226"/>
        <v>0</v>
      </c>
      <c r="AF1793" s="82">
        <v>0</v>
      </c>
      <c r="AG1793" s="69">
        <v>40508</v>
      </c>
      <c r="AH1793" s="84"/>
      <c r="AI1793" s="69" t="s">
        <v>1984</v>
      </c>
      <c r="AJ1793" s="25" t="s">
        <v>1985</v>
      </c>
      <c r="AK1793" s="65"/>
      <c r="AL1793" s="176" t="s">
        <v>1257</v>
      </c>
      <c r="AM1793" s="173" t="s">
        <v>2911</v>
      </c>
      <c r="AN1793" s="159"/>
      <c r="AO1793" s="160"/>
      <c r="AP1793" s="161"/>
      <c r="AQ1793" s="160"/>
      <c r="AR1793" s="160"/>
      <c r="AS1793" s="160"/>
      <c r="AT1793" s="160"/>
      <c r="AU1793" s="160"/>
      <c r="AV1793" s="160"/>
      <c r="AW1793" s="160"/>
      <c r="AX1793" s="160"/>
      <c r="AY1793" s="160"/>
      <c r="AZ1793" s="160"/>
      <c r="BA1793" s="160"/>
      <c r="BB1793" s="160"/>
      <c r="BC1793" s="160"/>
      <c r="BD1793" s="160"/>
      <c r="BE1793" s="160"/>
      <c r="BF1793" s="160"/>
      <c r="BG1793" s="160"/>
      <c r="BH1793" s="160"/>
      <c r="BI1793" s="160"/>
      <c r="BJ1793" s="160"/>
      <c r="BK1793" s="160"/>
      <c r="BL1793" s="160"/>
      <c r="BM1793" s="160"/>
      <c r="BN1793" s="160"/>
      <c r="BO1793" s="160"/>
      <c r="BP1793" s="160"/>
      <c r="BQ1793" s="160"/>
      <c r="BR1793" s="160"/>
      <c r="BS1793" s="160"/>
      <c r="BT1793" s="160"/>
      <c r="BU1793" s="160"/>
      <c r="BV1793" s="160"/>
      <c r="BW1793" s="160"/>
      <c r="BX1793" s="160"/>
      <c r="BY1793" s="160"/>
      <c r="BZ1793" s="160"/>
      <c r="CA1793" s="160"/>
      <c r="CB1793" s="160"/>
      <c r="CC1793" s="160"/>
      <c r="CD1793" s="160"/>
      <c r="CE1793" s="160"/>
      <c r="CF1793" s="160"/>
      <c r="CG1793" s="160"/>
      <c r="CH1793" s="160"/>
      <c r="CI1793" s="160"/>
      <c r="CJ1793" s="160"/>
      <c r="CK1793" s="160"/>
      <c r="CL1793" s="160"/>
      <c r="CM1793" s="160"/>
      <c r="CN1793" s="160"/>
      <c r="CO1793" s="160"/>
      <c r="CP1793" s="162"/>
      <c r="CQ1793" s="163"/>
      <c r="CR1793" s="162"/>
      <c r="CS1793" s="163"/>
      <c r="CT1793" s="162"/>
      <c r="CU1793" s="163"/>
      <c r="CV1793" s="164">
        <f t="shared" si="225"/>
        <v>0</v>
      </c>
      <c r="CW1793" s="165"/>
      <c r="CX1793" s="166"/>
      <c r="CY1793" s="167"/>
      <c r="CZ1793" s="168"/>
      <c r="DA1793" s="169"/>
      <c r="DB1793" s="168"/>
      <c r="DC1793" s="165"/>
      <c r="DD1793" s="166"/>
      <c r="DE1793" s="71"/>
      <c r="DF1793" s="170"/>
      <c r="EO1793" s="375" t="str">
        <f t="shared" si="227"/>
        <v>CUNDINAMARCA_CAQUEZA</v>
      </c>
      <c r="EP1793" s="376"/>
      <c r="EQ1793" s="376"/>
      <c r="ER1793" s="377"/>
      <c r="ES1793" s="376"/>
      <c r="ET1793" s="376"/>
      <c r="EU1793" s="376"/>
    </row>
    <row r="1794" spans="1:151" s="171" customFormat="1" ht="38.25" x14ac:dyDescent="0.2">
      <c r="A1794" s="242">
        <v>40500</v>
      </c>
      <c r="B1794" s="222" t="s">
        <v>2007</v>
      </c>
      <c r="C1794" s="222" t="s">
        <v>2890</v>
      </c>
      <c r="D1794" s="427" t="s">
        <v>2307</v>
      </c>
      <c r="E1794" s="107" t="str">
        <f>VLOOKUP(B1794&amp;C1794,Divipola!$C$2:$F$1138,4,FALSE)</f>
        <v>25281</v>
      </c>
      <c r="F1794" s="330"/>
      <c r="G1794" s="221"/>
      <c r="H1794" s="157"/>
      <c r="I1794" s="157"/>
      <c r="J1794" s="157">
        <v>210</v>
      </c>
      <c r="K1794" s="157">
        <v>42</v>
      </c>
      <c r="L1794" s="157"/>
      <c r="M1794" s="157">
        <v>42</v>
      </c>
      <c r="N1794" s="157">
        <v>2</v>
      </c>
      <c r="O1794" s="157">
        <v>2</v>
      </c>
      <c r="P1794" s="157"/>
      <c r="Q1794" s="157"/>
      <c r="R1794" s="157"/>
      <c r="S1794" s="157"/>
      <c r="T1794" s="157"/>
      <c r="U1794" s="157"/>
      <c r="V1794" s="158"/>
      <c r="W1794" s="182"/>
      <c r="X1794" s="1"/>
      <c r="Y1794" s="78">
        <f t="shared" si="222"/>
        <v>0</v>
      </c>
      <c r="Z1794" s="78">
        <f t="shared" si="223"/>
        <v>0</v>
      </c>
      <c r="AA1794" s="78">
        <f t="shared" si="228"/>
        <v>0</v>
      </c>
      <c r="AB1794" s="78">
        <f t="shared" si="224"/>
        <v>0</v>
      </c>
      <c r="AC1794" s="78"/>
      <c r="AD1794" s="78">
        <v>0</v>
      </c>
      <c r="AE1794" s="80">
        <f t="shared" si="226"/>
        <v>0</v>
      </c>
      <c r="AF1794" s="82">
        <v>0</v>
      </c>
      <c r="AG1794" s="69">
        <v>40506</v>
      </c>
      <c r="AH1794" s="84"/>
      <c r="AI1794" s="69" t="s">
        <v>1984</v>
      </c>
      <c r="AJ1794" s="25" t="s">
        <v>1985</v>
      </c>
      <c r="AK1794" s="65"/>
      <c r="AL1794" s="176" t="s">
        <v>1257</v>
      </c>
      <c r="AM1794" s="173" t="s">
        <v>2891</v>
      </c>
      <c r="AN1794" s="159"/>
      <c r="AO1794" s="160"/>
      <c r="AP1794" s="161"/>
      <c r="AQ1794" s="160"/>
      <c r="AR1794" s="160"/>
      <c r="AS1794" s="160"/>
      <c r="AT1794" s="160"/>
      <c r="AU1794" s="160"/>
      <c r="AV1794" s="160"/>
      <c r="AW1794" s="160"/>
      <c r="AX1794" s="160"/>
      <c r="AY1794" s="160"/>
      <c r="AZ1794" s="160"/>
      <c r="BA1794" s="160"/>
      <c r="BB1794" s="160"/>
      <c r="BC1794" s="160"/>
      <c r="BD1794" s="160"/>
      <c r="BE1794" s="160"/>
      <c r="BF1794" s="160"/>
      <c r="BG1794" s="160"/>
      <c r="BH1794" s="160"/>
      <c r="BI1794" s="160"/>
      <c r="BJ1794" s="160"/>
      <c r="BK1794" s="160"/>
      <c r="BL1794" s="160"/>
      <c r="BM1794" s="160"/>
      <c r="BN1794" s="160"/>
      <c r="BO1794" s="160"/>
      <c r="BP1794" s="160"/>
      <c r="BQ1794" s="160"/>
      <c r="BR1794" s="160"/>
      <c r="BS1794" s="160"/>
      <c r="BT1794" s="160"/>
      <c r="BU1794" s="160"/>
      <c r="BV1794" s="160"/>
      <c r="BW1794" s="160"/>
      <c r="BX1794" s="160"/>
      <c r="BY1794" s="160"/>
      <c r="BZ1794" s="160"/>
      <c r="CA1794" s="160"/>
      <c r="CB1794" s="160"/>
      <c r="CC1794" s="160"/>
      <c r="CD1794" s="160"/>
      <c r="CE1794" s="160"/>
      <c r="CF1794" s="160"/>
      <c r="CG1794" s="160"/>
      <c r="CH1794" s="160"/>
      <c r="CI1794" s="160"/>
      <c r="CJ1794" s="160"/>
      <c r="CK1794" s="160"/>
      <c r="CL1794" s="160"/>
      <c r="CM1794" s="160"/>
      <c r="CN1794" s="160"/>
      <c r="CO1794" s="160"/>
      <c r="CP1794" s="162"/>
      <c r="CQ1794" s="163"/>
      <c r="CR1794" s="162"/>
      <c r="CS1794" s="163"/>
      <c r="CT1794" s="162"/>
      <c r="CU1794" s="163"/>
      <c r="CV1794" s="164">
        <f t="shared" si="225"/>
        <v>0</v>
      </c>
      <c r="CW1794" s="165"/>
      <c r="CX1794" s="166"/>
      <c r="CY1794" s="167"/>
      <c r="CZ1794" s="168"/>
      <c r="DA1794" s="169"/>
      <c r="DB1794" s="168"/>
      <c r="DC1794" s="165"/>
      <c r="DD1794" s="166"/>
      <c r="DE1794" s="71"/>
      <c r="DF1794" s="170"/>
      <c r="EO1794" s="375" t="str">
        <f t="shared" si="227"/>
        <v>CUNDINAMARCA_FOSCA</v>
      </c>
      <c r="EP1794" s="376"/>
      <c r="EQ1794" s="376"/>
      <c r="ER1794" s="377"/>
      <c r="ES1794" s="376"/>
      <c r="ET1794" s="376"/>
      <c r="EU1794" s="376"/>
    </row>
    <row r="1795" spans="1:151" s="171" customFormat="1" ht="38.25" x14ac:dyDescent="0.2">
      <c r="A1795" s="242">
        <v>40500</v>
      </c>
      <c r="B1795" s="222" t="s">
        <v>2007</v>
      </c>
      <c r="C1795" s="222" t="s">
        <v>1560</v>
      </c>
      <c r="D1795" s="427" t="s">
        <v>2307</v>
      </c>
      <c r="E1795" s="107" t="str">
        <f>VLOOKUP(B1795&amp;C1795,Divipola!$C$2:$F$1138,4,FALSE)</f>
        <v>25339</v>
      </c>
      <c r="F1795" s="330"/>
      <c r="G1795" s="221"/>
      <c r="H1795" s="157"/>
      <c r="I1795" s="157"/>
      <c r="J1795" s="157"/>
      <c r="K1795" s="157"/>
      <c r="L1795" s="157"/>
      <c r="M1795" s="157"/>
      <c r="N1795" s="157">
        <v>1</v>
      </c>
      <c r="O1795" s="157"/>
      <c r="P1795" s="157"/>
      <c r="Q1795" s="157"/>
      <c r="R1795" s="157"/>
      <c r="S1795" s="157"/>
      <c r="T1795" s="157"/>
      <c r="U1795" s="157"/>
      <c r="V1795" s="158"/>
      <c r="W1795" s="182"/>
      <c r="X1795" s="1"/>
      <c r="Y1795" s="78">
        <f t="shared" ref="Y1795:Y1858" si="229">CV1795</f>
        <v>0</v>
      </c>
      <c r="Z1795" s="78">
        <f t="shared" ref="Z1795:Z1858" si="230">CZ1795</f>
        <v>0</v>
      </c>
      <c r="AA1795" s="78">
        <f t="shared" si="228"/>
        <v>0</v>
      </c>
      <c r="AB1795" s="78">
        <f t="shared" ref="AB1795:AB1858" si="231">CX1795</f>
        <v>0</v>
      </c>
      <c r="AC1795" s="78"/>
      <c r="AD1795" s="78">
        <v>0</v>
      </c>
      <c r="AE1795" s="80">
        <f t="shared" si="226"/>
        <v>0</v>
      </c>
      <c r="AF1795" s="82">
        <v>0</v>
      </c>
      <c r="AG1795" s="69">
        <v>40506</v>
      </c>
      <c r="AH1795" s="84"/>
      <c r="AI1795" s="69" t="s">
        <v>1984</v>
      </c>
      <c r="AJ1795" s="25" t="s">
        <v>1985</v>
      </c>
      <c r="AK1795" s="65"/>
      <c r="AL1795" s="176" t="s">
        <v>1257</v>
      </c>
      <c r="AM1795" s="173" t="s">
        <v>1901</v>
      </c>
      <c r="AN1795" s="159"/>
      <c r="AO1795" s="160"/>
      <c r="AP1795" s="161"/>
      <c r="AQ1795" s="160"/>
      <c r="AR1795" s="160"/>
      <c r="AS1795" s="160"/>
      <c r="AT1795" s="160"/>
      <c r="AU1795" s="160"/>
      <c r="AV1795" s="160"/>
      <c r="AW1795" s="160"/>
      <c r="AX1795" s="160"/>
      <c r="AY1795" s="160"/>
      <c r="AZ1795" s="160"/>
      <c r="BA1795" s="160"/>
      <c r="BB1795" s="160"/>
      <c r="BC1795" s="160"/>
      <c r="BD1795" s="160"/>
      <c r="BE1795" s="160"/>
      <c r="BF1795" s="160"/>
      <c r="BG1795" s="160"/>
      <c r="BH1795" s="160"/>
      <c r="BI1795" s="160"/>
      <c r="BJ1795" s="160"/>
      <c r="BK1795" s="160"/>
      <c r="BL1795" s="160"/>
      <c r="BM1795" s="160"/>
      <c r="BN1795" s="160"/>
      <c r="BO1795" s="160"/>
      <c r="BP1795" s="160"/>
      <c r="BQ1795" s="160"/>
      <c r="BR1795" s="160"/>
      <c r="BS1795" s="160"/>
      <c r="BT1795" s="160"/>
      <c r="BU1795" s="160"/>
      <c r="BV1795" s="160"/>
      <c r="BW1795" s="160"/>
      <c r="BX1795" s="160"/>
      <c r="BY1795" s="160"/>
      <c r="BZ1795" s="160"/>
      <c r="CA1795" s="160"/>
      <c r="CB1795" s="160"/>
      <c r="CC1795" s="160"/>
      <c r="CD1795" s="160"/>
      <c r="CE1795" s="160"/>
      <c r="CF1795" s="160"/>
      <c r="CG1795" s="160"/>
      <c r="CH1795" s="160"/>
      <c r="CI1795" s="160"/>
      <c r="CJ1795" s="160"/>
      <c r="CK1795" s="160"/>
      <c r="CL1795" s="160"/>
      <c r="CM1795" s="160"/>
      <c r="CN1795" s="160"/>
      <c r="CO1795" s="160"/>
      <c r="CP1795" s="162"/>
      <c r="CQ1795" s="163"/>
      <c r="CR1795" s="162"/>
      <c r="CS1795" s="163"/>
      <c r="CT1795" s="162"/>
      <c r="CU1795" s="163"/>
      <c r="CV1795" s="164">
        <f t="shared" ref="CV1795:CV1858" si="232">AO1795+AQ1795+AS1795+AU1795+AW1795+AY1795+BA1795+BC1795+BE1795+BG1795+BI1795+BK1795+BM1795+BO1795+BQ1795+BS1795+BU1795+BW1795+BY1795+CA1795+CC1795+CE1795+CG1795+CI1795+CK1795+CM1795+CO1795+CQ1795+CS1795+CU1795</f>
        <v>0</v>
      </c>
      <c r="CW1795" s="165"/>
      <c r="CX1795" s="166"/>
      <c r="CY1795" s="167"/>
      <c r="CZ1795" s="168"/>
      <c r="DA1795" s="169"/>
      <c r="DB1795" s="168"/>
      <c r="DC1795" s="165"/>
      <c r="DD1795" s="166"/>
      <c r="DE1795" s="71"/>
      <c r="DF1795" s="170"/>
      <c r="EO1795" s="375" t="str">
        <f t="shared" si="227"/>
        <v>CUNDINAMARCA_GUTIERREZ</v>
      </c>
      <c r="EP1795" s="376"/>
      <c r="EQ1795" s="376"/>
      <c r="ER1795" s="377"/>
      <c r="ES1795" s="376"/>
      <c r="ET1795" s="376"/>
      <c r="EU1795" s="376"/>
    </row>
    <row r="1796" spans="1:151" s="171" customFormat="1" ht="38.25" x14ac:dyDescent="0.2">
      <c r="A1796" s="242">
        <v>40500</v>
      </c>
      <c r="B1796" s="222" t="s">
        <v>2007</v>
      </c>
      <c r="C1796" s="222" t="s">
        <v>16</v>
      </c>
      <c r="D1796" s="430" t="s">
        <v>2307</v>
      </c>
      <c r="E1796" s="107" t="str">
        <f>VLOOKUP(B1796&amp;C1796,Divipola!$C$2:$F$1138,4,FALSE)</f>
        <v>25535</v>
      </c>
      <c r="F1796" s="333"/>
      <c r="G1796" s="221"/>
      <c r="H1796" s="157"/>
      <c r="I1796" s="157"/>
      <c r="J1796" s="157">
        <v>56</v>
      </c>
      <c r="K1796" s="157">
        <v>15</v>
      </c>
      <c r="L1796" s="157"/>
      <c r="M1796" s="157">
        <v>15</v>
      </c>
      <c r="N1796" s="157"/>
      <c r="O1796" s="157"/>
      <c r="P1796" s="157"/>
      <c r="Q1796" s="157">
        <v>1</v>
      </c>
      <c r="R1796" s="157"/>
      <c r="S1796" s="157"/>
      <c r="T1796" s="157"/>
      <c r="U1796" s="157"/>
      <c r="V1796" s="158"/>
      <c r="W1796" s="182"/>
      <c r="X1796" s="1"/>
      <c r="Y1796" s="78">
        <f t="shared" si="229"/>
        <v>0</v>
      </c>
      <c r="Z1796" s="78">
        <f t="shared" si="230"/>
        <v>0</v>
      </c>
      <c r="AA1796" s="78">
        <f t="shared" si="228"/>
        <v>0</v>
      </c>
      <c r="AB1796" s="78">
        <f t="shared" si="231"/>
        <v>0</v>
      </c>
      <c r="AC1796" s="78"/>
      <c r="AD1796" s="78">
        <v>0</v>
      </c>
      <c r="AE1796" s="80">
        <f t="shared" si="226"/>
        <v>0</v>
      </c>
      <c r="AF1796" s="82">
        <v>0</v>
      </c>
      <c r="AG1796" s="69">
        <v>40612</v>
      </c>
      <c r="AH1796" s="84"/>
      <c r="AI1796" s="69" t="s">
        <v>1984</v>
      </c>
      <c r="AJ1796" s="25" t="s">
        <v>1985</v>
      </c>
      <c r="AK1796" s="65"/>
      <c r="AL1796" s="176" t="s">
        <v>1257</v>
      </c>
      <c r="AM1796" s="173" t="s">
        <v>457</v>
      </c>
      <c r="AN1796" s="159"/>
      <c r="AO1796" s="160"/>
      <c r="AP1796" s="161"/>
      <c r="AQ1796" s="160"/>
      <c r="AR1796" s="160"/>
      <c r="AS1796" s="160"/>
      <c r="AT1796" s="160"/>
      <c r="AU1796" s="160"/>
      <c r="AV1796" s="160"/>
      <c r="AW1796" s="160"/>
      <c r="AX1796" s="160"/>
      <c r="AY1796" s="160"/>
      <c r="AZ1796" s="160"/>
      <c r="BA1796" s="160"/>
      <c r="BB1796" s="160"/>
      <c r="BC1796" s="160"/>
      <c r="BD1796" s="160"/>
      <c r="BE1796" s="160"/>
      <c r="BF1796" s="160"/>
      <c r="BG1796" s="160"/>
      <c r="BH1796" s="160"/>
      <c r="BI1796" s="160"/>
      <c r="BJ1796" s="160"/>
      <c r="BK1796" s="160"/>
      <c r="BL1796" s="160"/>
      <c r="BM1796" s="160"/>
      <c r="BN1796" s="160"/>
      <c r="BO1796" s="160"/>
      <c r="BP1796" s="160"/>
      <c r="BQ1796" s="160"/>
      <c r="BR1796" s="160"/>
      <c r="BS1796" s="160"/>
      <c r="BT1796" s="160"/>
      <c r="BU1796" s="160"/>
      <c r="BV1796" s="160"/>
      <c r="BW1796" s="160"/>
      <c r="BX1796" s="160"/>
      <c r="BY1796" s="160"/>
      <c r="BZ1796" s="160"/>
      <c r="CA1796" s="160"/>
      <c r="CB1796" s="160"/>
      <c r="CC1796" s="160"/>
      <c r="CD1796" s="160"/>
      <c r="CE1796" s="160"/>
      <c r="CF1796" s="160"/>
      <c r="CG1796" s="160"/>
      <c r="CH1796" s="160"/>
      <c r="CI1796" s="160"/>
      <c r="CJ1796" s="160"/>
      <c r="CK1796" s="160"/>
      <c r="CL1796" s="160"/>
      <c r="CM1796" s="160"/>
      <c r="CN1796" s="160"/>
      <c r="CO1796" s="160"/>
      <c r="CP1796" s="162"/>
      <c r="CQ1796" s="163"/>
      <c r="CR1796" s="162"/>
      <c r="CS1796" s="163"/>
      <c r="CT1796" s="162"/>
      <c r="CU1796" s="163"/>
      <c r="CV1796" s="164">
        <f t="shared" si="232"/>
        <v>0</v>
      </c>
      <c r="CW1796" s="165"/>
      <c r="CX1796" s="166"/>
      <c r="CY1796" s="167"/>
      <c r="CZ1796" s="168"/>
      <c r="DA1796" s="169"/>
      <c r="DB1796" s="168"/>
      <c r="DC1796" s="165"/>
      <c r="DD1796" s="166"/>
      <c r="DE1796" s="71"/>
      <c r="DF1796" s="170"/>
      <c r="EO1796" s="375" t="str">
        <f t="shared" si="227"/>
        <v>CUNDINAMARCA_PASCA</v>
      </c>
      <c r="EP1796" s="376"/>
      <c r="EQ1796" s="376"/>
      <c r="ER1796" s="377"/>
      <c r="ES1796" s="376"/>
      <c r="ET1796" s="376"/>
      <c r="EU1796" s="376"/>
    </row>
    <row r="1797" spans="1:151" s="171" customFormat="1" ht="38.25" x14ac:dyDescent="0.2">
      <c r="A1797" s="242">
        <v>40500</v>
      </c>
      <c r="B1797" s="222" t="s">
        <v>2007</v>
      </c>
      <c r="C1797" s="222" t="s">
        <v>1324</v>
      </c>
      <c r="D1797" s="427" t="s">
        <v>2307</v>
      </c>
      <c r="E1797" s="107" t="str">
        <f>VLOOKUP(B1797&amp;C1797,Divipola!$C$2:$F$1138,4,FALSE)</f>
        <v>25594</v>
      </c>
      <c r="F1797" s="330"/>
      <c r="G1797" s="221"/>
      <c r="H1797" s="157"/>
      <c r="I1797" s="157"/>
      <c r="J1797" s="157"/>
      <c r="K1797" s="157"/>
      <c r="L1797" s="157"/>
      <c r="M1797" s="157"/>
      <c r="N1797" s="157"/>
      <c r="O1797" s="157">
        <v>1</v>
      </c>
      <c r="P1797" s="157"/>
      <c r="Q1797" s="157"/>
      <c r="R1797" s="157">
        <v>1</v>
      </c>
      <c r="S1797" s="157"/>
      <c r="T1797" s="157"/>
      <c r="U1797" s="157"/>
      <c r="V1797" s="158"/>
      <c r="W1797" s="182" t="s">
        <v>2180</v>
      </c>
      <c r="X1797" s="1"/>
      <c r="Y1797" s="78">
        <f t="shared" si="229"/>
        <v>0</v>
      </c>
      <c r="Z1797" s="78">
        <f t="shared" si="230"/>
        <v>0</v>
      </c>
      <c r="AA1797" s="78">
        <f t="shared" si="228"/>
        <v>0</v>
      </c>
      <c r="AB1797" s="78">
        <f t="shared" si="231"/>
        <v>0</v>
      </c>
      <c r="AC1797" s="78"/>
      <c r="AD1797" s="78">
        <v>0</v>
      </c>
      <c r="AE1797" s="80">
        <f t="shared" si="226"/>
        <v>0</v>
      </c>
      <c r="AF1797" s="82">
        <v>0</v>
      </c>
      <c r="AG1797" s="69">
        <v>40506</v>
      </c>
      <c r="AH1797" s="84"/>
      <c r="AI1797" s="69" t="s">
        <v>1984</v>
      </c>
      <c r="AJ1797" s="25" t="s">
        <v>1985</v>
      </c>
      <c r="AK1797" s="65"/>
      <c r="AL1797" s="176" t="s">
        <v>1257</v>
      </c>
      <c r="AM1797" s="173" t="s">
        <v>2889</v>
      </c>
      <c r="AN1797" s="159"/>
      <c r="AO1797" s="160"/>
      <c r="AP1797" s="161"/>
      <c r="AQ1797" s="160"/>
      <c r="AR1797" s="160"/>
      <c r="AS1797" s="160"/>
      <c r="AT1797" s="160"/>
      <c r="AU1797" s="160"/>
      <c r="AV1797" s="160"/>
      <c r="AW1797" s="160"/>
      <c r="AX1797" s="160"/>
      <c r="AY1797" s="160"/>
      <c r="AZ1797" s="160"/>
      <c r="BA1797" s="160"/>
      <c r="BB1797" s="160"/>
      <c r="BC1797" s="160"/>
      <c r="BD1797" s="160"/>
      <c r="BE1797" s="160"/>
      <c r="BF1797" s="160"/>
      <c r="BG1797" s="160"/>
      <c r="BH1797" s="160"/>
      <c r="BI1797" s="160"/>
      <c r="BJ1797" s="160"/>
      <c r="BK1797" s="160"/>
      <c r="BL1797" s="160"/>
      <c r="BM1797" s="160"/>
      <c r="BN1797" s="160"/>
      <c r="BO1797" s="160"/>
      <c r="BP1797" s="160"/>
      <c r="BQ1797" s="160"/>
      <c r="BR1797" s="160"/>
      <c r="BS1797" s="160"/>
      <c r="BT1797" s="160"/>
      <c r="BU1797" s="160"/>
      <c r="BV1797" s="160"/>
      <c r="BW1797" s="160"/>
      <c r="BX1797" s="160"/>
      <c r="BY1797" s="160"/>
      <c r="BZ1797" s="160"/>
      <c r="CA1797" s="160"/>
      <c r="CB1797" s="160"/>
      <c r="CC1797" s="160"/>
      <c r="CD1797" s="160"/>
      <c r="CE1797" s="160"/>
      <c r="CF1797" s="160"/>
      <c r="CG1797" s="160"/>
      <c r="CH1797" s="160"/>
      <c r="CI1797" s="160"/>
      <c r="CJ1797" s="160"/>
      <c r="CK1797" s="160"/>
      <c r="CL1797" s="160"/>
      <c r="CM1797" s="160"/>
      <c r="CN1797" s="160"/>
      <c r="CO1797" s="160"/>
      <c r="CP1797" s="162"/>
      <c r="CQ1797" s="163"/>
      <c r="CR1797" s="162"/>
      <c r="CS1797" s="163"/>
      <c r="CT1797" s="162"/>
      <c r="CU1797" s="163"/>
      <c r="CV1797" s="164">
        <f t="shared" si="232"/>
        <v>0</v>
      </c>
      <c r="CW1797" s="165"/>
      <c r="CX1797" s="166"/>
      <c r="CY1797" s="167"/>
      <c r="CZ1797" s="168"/>
      <c r="DA1797" s="169"/>
      <c r="DB1797" s="168"/>
      <c r="DC1797" s="165"/>
      <c r="DD1797" s="166"/>
      <c r="DE1797" s="71"/>
      <c r="DF1797" s="170"/>
      <c r="EO1797" s="375" t="str">
        <f t="shared" si="227"/>
        <v>CUNDINAMARCA_QUETAME</v>
      </c>
      <c r="EP1797" s="376"/>
      <c r="EQ1797" s="376"/>
      <c r="ER1797" s="377"/>
      <c r="ES1797" s="376"/>
      <c r="ET1797" s="376"/>
      <c r="EU1797" s="376"/>
    </row>
    <row r="1798" spans="1:151" s="171" customFormat="1" ht="63.75" x14ac:dyDescent="0.2">
      <c r="A1798" s="242">
        <v>40500</v>
      </c>
      <c r="B1798" s="222" t="s">
        <v>2007</v>
      </c>
      <c r="C1798" s="222" t="s">
        <v>2677</v>
      </c>
      <c r="D1798" s="427" t="s">
        <v>2307</v>
      </c>
      <c r="E1798" s="107" t="str">
        <f>VLOOKUP(B1798&amp;C1798,Divipola!$C$2:$F$1138,4,FALSE)</f>
        <v>25658</v>
      </c>
      <c r="F1798" s="330"/>
      <c r="G1798" s="221"/>
      <c r="H1798" s="157"/>
      <c r="I1798" s="157"/>
      <c r="J1798" s="157">
        <f>238-108</f>
        <v>130</v>
      </c>
      <c r="K1798" s="157">
        <f>60-36</f>
        <v>24</v>
      </c>
      <c r="L1798" s="157">
        <v>1</v>
      </c>
      <c r="M1798" s="157"/>
      <c r="N1798" s="157"/>
      <c r="O1798" s="157"/>
      <c r="P1798" s="157"/>
      <c r="Q1798" s="157"/>
      <c r="R1798" s="157"/>
      <c r="S1798" s="157"/>
      <c r="T1798" s="157"/>
      <c r="U1798" s="157"/>
      <c r="V1798" s="158"/>
      <c r="W1798" s="182"/>
      <c r="X1798" s="1"/>
      <c r="Y1798" s="78">
        <f t="shared" si="229"/>
        <v>0</v>
      </c>
      <c r="Z1798" s="78">
        <f t="shared" si="230"/>
        <v>0</v>
      </c>
      <c r="AA1798" s="78">
        <f t="shared" si="228"/>
        <v>0</v>
      </c>
      <c r="AB1798" s="78">
        <f t="shared" si="231"/>
        <v>0</v>
      </c>
      <c r="AC1798" s="78"/>
      <c r="AD1798" s="78">
        <v>0</v>
      </c>
      <c r="AE1798" s="80">
        <f t="shared" si="226"/>
        <v>0</v>
      </c>
      <c r="AF1798" s="82">
        <v>0</v>
      </c>
      <c r="AG1798" s="69">
        <v>40504</v>
      </c>
      <c r="AH1798" s="84"/>
      <c r="AI1798" s="69" t="s">
        <v>1984</v>
      </c>
      <c r="AJ1798" s="25" t="s">
        <v>1985</v>
      </c>
      <c r="AK1798" s="65"/>
      <c r="AL1798" s="176" t="s">
        <v>1257</v>
      </c>
      <c r="AM1798" s="173" t="s">
        <v>2498</v>
      </c>
      <c r="AN1798" s="159"/>
      <c r="AO1798" s="160"/>
      <c r="AP1798" s="161"/>
      <c r="AQ1798" s="160"/>
      <c r="AR1798" s="160"/>
      <c r="AS1798" s="160"/>
      <c r="AT1798" s="160"/>
      <c r="AU1798" s="160"/>
      <c r="AV1798" s="160"/>
      <c r="AW1798" s="160"/>
      <c r="AX1798" s="160"/>
      <c r="AY1798" s="160"/>
      <c r="AZ1798" s="160"/>
      <c r="BA1798" s="160"/>
      <c r="BB1798" s="160"/>
      <c r="BC1798" s="160"/>
      <c r="BD1798" s="160"/>
      <c r="BE1798" s="160"/>
      <c r="BF1798" s="160"/>
      <c r="BG1798" s="160"/>
      <c r="BH1798" s="160"/>
      <c r="BI1798" s="160"/>
      <c r="BJ1798" s="160"/>
      <c r="BK1798" s="160"/>
      <c r="BL1798" s="160"/>
      <c r="BM1798" s="160"/>
      <c r="BN1798" s="160"/>
      <c r="BO1798" s="160"/>
      <c r="BP1798" s="160"/>
      <c r="BQ1798" s="160"/>
      <c r="BR1798" s="160"/>
      <c r="BS1798" s="160"/>
      <c r="BT1798" s="160"/>
      <c r="BU1798" s="160"/>
      <c r="BV1798" s="160"/>
      <c r="BW1798" s="160"/>
      <c r="BX1798" s="160"/>
      <c r="BY1798" s="160"/>
      <c r="BZ1798" s="160"/>
      <c r="CA1798" s="160"/>
      <c r="CB1798" s="160"/>
      <c r="CC1798" s="160"/>
      <c r="CD1798" s="160"/>
      <c r="CE1798" s="160"/>
      <c r="CF1798" s="160"/>
      <c r="CG1798" s="160"/>
      <c r="CH1798" s="160"/>
      <c r="CI1798" s="160"/>
      <c r="CJ1798" s="160"/>
      <c r="CK1798" s="160"/>
      <c r="CL1798" s="160"/>
      <c r="CM1798" s="160"/>
      <c r="CN1798" s="160"/>
      <c r="CO1798" s="160"/>
      <c r="CP1798" s="162"/>
      <c r="CQ1798" s="163"/>
      <c r="CR1798" s="162"/>
      <c r="CS1798" s="163"/>
      <c r="CT1798" s="162"/>
      <c r="CU1798" s="163"/>
      <c r="CV1798" s="164">
        <f t="shared" si="232"/>
        <v>0</v>
      </c>
      <c r="CW1798" s="165"/>
      <c r="CX1798" s="166"/>
      <c r="CY1798" s="167"/>
      <c r="CZ1798" s="168"/>
      <c r="DA1798" s="169"/>
      <c r="DB1798" s="168"/>
      <c r="DC1798" s="165"/>
      <c r="DD1798" s="166"/>
      <c r="DE1798" s="71"/>
      <c r="DF1798" s="170"/>
      <c r="EO1798" s="375" t="str">
        <f t="shared" si="227"/>
        <v>CUNDINAMARCA_SAN FRANCISCO</v>
      </c>
      <c r="EP1798" s="376"/>
      <c r="EQ1798" s="376"/>
      <c r="ER1798" s="377"/>
      <c r="ES1798" s="376"/>
      <c r="ET1798" s="376"/>
      <c r="EU1798" s="376"/>
    </row>
    <row r="1799" spans="1:151" s="171" customFormat="1" ht="38.25" x14ac:dyDescent="0.2">
      <c r="A1799" s="242">
        <v>40500</v>
      </c>
      <c r="B1799" s="222" t="s">
        <v>2007</v>
      </c>
      <c r="C1799" s="222" t="s">
        <v>2914</v>
      </c>
      <c r="D1799" s="430" t="s">
        <v>2307</v>
      </c>
      <c r="E1799" s="107" t="str">
        <f>VLOOKUP(B1799&amp;C1799,Divipola!$C$2:$F$1138,4,FALSE)</f>
        <v>25758</v>
      </c>
      <c r="F1799" s="333"/>
      <c r="G1799" s="221"/>
      <c r="H1799" s="157"/>
      <c r="I1799" s="157"/>
      <c r="J1799" s="157">
        <v>6</v>
      </c>
      <c r="K1799" s="157">
        <v>1</v>
      </c>
      <c r="L1799" s="157"/>
      <c r="M1799" s="157">
        <v>1</v>
      </c>
      <c r="N1799" s="157"/>
      <c r="O1799" s="157"/>
      <c r="P1799" s="157"/>
      <c r="Q1799" s="157"/>
      <c r="R1799" s="157"/>
      <c r="S1799" s="157"/>
      <c r="T1799" s="157"/>
      <c r="U1799" s="157"/>
      <c r="V1799" s="158"/>
      <c r="W1799" s="182"/>
      <c r="X1799" s="1"/>
      <c r="Y1799" s="78">
        <f t="shared" si="229"/>
        <v>0</v>
      </c>
      <c r="Z1799" s="78">
        <f t="shared" si="230"/>
        <v>0</v>
      </c>
      <c r="AA1799" s="78">
        <f t="shared" si="228"/>
        <v>0</v>
      </c>
      <c r="AB1799" s="78">
        <f t="shared" si="231"/>
        <v>0</v>
      </c>
      <c r="AC1799" s="78"/>
      <c r="AD1799" s="78">
        <v>0</v>
      </c>
      <c r="AE1799" s="80">
        <f t="shared" si="226"/>
        <v>0</v>
      </c>
      <c r="AF1799" s="82">
        <v>0</v>
      </c>
      <c r="AG1799" s="69">
        <v>40508</v>
      </c>
      <c r="AH1799" s="84"/>
      <c r="AI1799" s="69" t="s">
        <v>1984</v>
      </c>
      <c r="AJ1799" s="25" t="s">
        <v>1985</v>
      </c>
      <c r="AK1799" s="65"/>
      <c r="AL1799" s="176" t="s">
        <v>1257</v>
      </c>
      <c r="AM1799" s="173" t="s">
        <v>2915</v>
      </c>
      <c r="AN1799" s="159"/>
      <c r="AO1799" s="160"/>
      <c r="AP1799" s="161"/>
      <c r="AQ1799" s="160"/>
      <c r="AR1799" s="160"/>
      <c r="AS1799" s="160"/>
      <c r="AT1799" s="160"/>
      <c r="AU1799" s="160"/>
      <c r="AV1799" s="160"/>
      <c r="AW1799" s="160"/>
      <c r="AX1799" s="160"/>
      <c r="AY1799" s="160"/>
      <c r="AZ1799" s="160"/>
      <c r="BA1799" s="160"/>
      <c r="BB1799" s="160"/>
      <c r="BC1799" s="160"/>
      <c r="BD1799" s="160"/>
      <c r="BE1799" s="160"/>
      <c r="BF1799" s="160"/>
      <c r="BG1799" s="160"/>
      <c r="BH1799" s="160"/>
      <c r="BI1799" s="160"/>
      <c r="BJ1799" s="160"/>
      <c r="BK1799" s="160"/>
      <c r="BL1799" s="160"/>
      <c r="BM1799" s="160"/>
      <c r="BN1799" s="160"/>
      <c r="BO1799" s="160"/>
      <c r="BP1799" s="160"/>
      <c r="BQ1799" s="160"/>
      <c r="BR1799" s="160"/>
      <c r="BS1799" s="160"/>
      <c r="BT1799" s="160"/>
      <c r="BU1799" s="160"/>
      <c r="BV1799" s="160"/>
      <c r="BW1799" s="160"/>
      <c r="BX1799" s="160"/>
      <c r="BY1799" s="160"/>
      <c r="BZ1799" s="160"/>
      <c r="CA1799" s="160"/>
      <c r="CB1799" s="160"/>
      <c r="CC1799" s="160"/>
      <c r="CD1799" s="160"/>
      <c r="CE1799" s="160"/>
      <c r="CF1799" s="160"/>
      <c r="CG1799" s="160"/>
      <c r="CH1799" s="160"/>
      <c r="CI1799" s="160"/>
      <c r="CJ1799" s="160"/>
      <c r="CK1799" s="160"/>
      <c r="CL1799" s="160"/>
      <c r="CM1799" s="160"/>
      <c r="CN1799" s="160"/>
      <c r="CO1799" s="160"/>
      <c r="CP1799" s="162"/>
      <c r="CQ1799" s="163"/>
      <c r="CR1799" s="162"/>
      <c r="CS1799" s="163"/>
      <c r="CT1799" s="162"/>
      <c r="CU1799" s="163"/>
      <c r="CV1799" s="164">
        <f t="shared" si="232"/>
        <v>0</v>
      </c>
      <c r="CW1799" s="165"/>
      <c r="CX1799" s="166"/>
      <c r="CY1799" s="167"/>
      <c r="CZ1799" s="168"/>
      <c r="DA1799" s="169"/>
      <c r="DB1799" s="168"/>
      <c r="DC1799" s="165"/>
      <c r="DD1799" s="166"/>
      <c r="DE1799" s="71"/>
      <c r="DF1799" s="170"/>
      <c r="EO1799" s="375" t="str">
        <f t="shared" si="227"/>
        <v>CUNDINAMARCA_SOPO</v>
      </c>
      <c r="EP1799" s="376"/>
      <c r="EQ1799" s="376"/>
      <c r="ER1799" s="377"/>
      <c r="ES1799" s="376"/>
      <c r="ET1799" s="376"/>
      <c r="EU1799" s="376"/>
    </row>
    <row r="1800" spans="1:151" s="171" customFormat="1" ht="36" x14ac:dyDescent="0.2">
      <c r="A1800" s="242">
        <v>40500</v>
      </c>
      <c r="B1800" s="222" t="s">
        <v>2007</v>
      </c>
      <c r="C1800" s="222" t="s">
        <v>2912</v>
      </c>
      <c r="D1800" s="430" t="s">
        <v>2307</v>
      </c>
      <c r="E1800" s="107" t="str">
        <f>VLOOKUP(B1800&amp;C1800,Divipola!$C$2:$F$1138,4,FALSE)</f>
        <v>25845</v>
      </c>
      <c r="F1800" s="333"/>
      <c r="G1800" s="221"/>
      <c r="H1800" s="157"/>
      <c r="I1800" s="157"/>
      <c r="J1800" s="157">
        <v>105</v>
      </c>
      <c r="K1800" s="157">
        <v>35</v>
      </c>
      <c r="L1800" s="157"/>
      <c r="M1800" s="157">
        <v>35</v>
      </c>
      <c r="N1800" s="157"/>
      <c r="O1800" s="157"/>
      <c r="P1800" s="157">
        <v>1</v>
      </c>
      <c r="Q1800" s="157"/>
      <c r="R1800" s="157"/>
      <c r="S1800" s="157"/>
      <c r="T1800" s="157"/>
      <c r="U1800" s="157"/>
      <c r="V1800" s="158"/>
      <c r="W1800" s="182"/>
      <c r="X1800" s="1"/>
      <c r="Y1800" s="78">
        <f t="shared" si="229"/>
        <v>0</v>
      </c>
      <c r="Z1800" s="78">
        <f t="shared" si="230"/>
        <v>0</v>
      </c>
      <c r="AA1800" s="78">
        <f t="shared" si="228"/>
        <v>0</v>
      </c>
      <c r="AB1800" s="78">
        <f t="shared" si="231"/>
        <v>0</v>
      </c>
      <c r="AC1800" s="78"/>
      <c r="AD1800" s="78">
        <v>0</v>
      </c>
      <c r="AE1800" s="80">
        <f t="shared" si="226"/>
        <v>0</v>
      </c>
      <c r="AF1800" s="82">
        <v>0</v>
      </c>
      <c r="AG1800" s="242">
        <v>40508</v>
      </c>
      <c r="AH1800" s="84"/>
      <c r="AI1800" s="69" t="s">
        <v>1984</v>
      </c>
      <c r="AJ1800" s="25" t="s">
        <v>1985</v>
      </c>
      <c r="AK1800" s="65"/>
      <c r="AL1800" s="176" t="s">
        <v>1257</v>
      </c>
      <c r="AM1800" s="173" t="s">
        <v>2913</v>
      </c>
      <c r="AN1800" s="159"/>
      <c r="AO1800" s="160"/>
      <c r="AP1800" s="161"/>
      <c r="AQ1800" s="160"/>
      <c r="AR1800" s="160"/>
      <c r="AS1800" s="160"/>
      <c r="AT1800" s="160"/>
      <c r="AU1800" s="160"/>
      <c r="AV1800" s="160"/>
      <c r="AW1800" s="160"/>
      <c r="AX1800" s="160"/>
      <c r="AY1800" s="160"/>
      <c r="AZ1800" s="160"/>
      <c r="BA1800" s="160"/>
      <c r="BB1800" s="160"/>
      <c r="BC1800" s="160"/>
      <c r="BD1800" s="160"/>
      <c r="BE1800" s="160"/>
      <c r="BF1800" s="160"/>
      <c r="BG1800" s="160"/>
      <c r="BH1800" s="160"/>
      <c r="BI1800" s="160"/>
      <c r="BJ1800" s="160"/>
      <c r="BK1800" s="160"/>
      <c r="BL1800" s="160"/>
      <c r="BM1800" s="160"/>
      <c r="BN1800" s="160"/>
      <c r="BO1800" s="160"/>
      <c r="BP1800" s="160"/>
      <c r="BQ1800" s="160"/>
      <c r="BR1800" s="160"/>
      <c r="BS1800" s="160"/>
      <c r="BT1800" s="160"/>
      <c r="BU1800" s="160"/>
      <c r="BV1800" s="160"/>
      <c r="BW1800" s="160"/>
      <c r="BX1800" s="160"/>
      <c r="BY1800" s="160"/>
      <c r="BZ1800" s="160"/>
      <c r="CA1800" s="160"/>
      <c r="CB1800" s="160"/>
      <c r="CC1800" s="160"/>
      <c r="CD1800" s="160"/>
      <c r="CE1800" s="160"/>
      <c r="CF1800" s="160"/>
      <c r="CG1800" s="160"/>
      <c r="CH1800" s="160"/>
      <c r="CI1800" s="160"/>
      <c r="CJ1800" s="160"/>
      <c r="CK1800" s="160"/>
      <c r="CL1800" s="160"/>
      <c r="CM1800" s="160"/>
      <c r="CN1800" s="160"/>
      <c r="CO1800" s="160"/>
      <c r="CP1800" s="162"/>
      <c r="CQ1800" s="163"/>
      <c r="CR1800" s="162"/>
      <c r="CS1800" s="163"/>
      <c r="CT1800" s="162"/>
      <c r="CU1800" s="163"/>
      <c r="CV1800" s="164">
        <f t="shared" si="232"/>
        <v>0</v>
      </c>
      <c r="CW1800" s="165"/>
      <c r="CX1800" s="166"/>
      <c r="CY1800" s="167"/>
      <c r="CZ1800" s="168"/>
      <c r="DA1800" s="169"/>
      <c r="DB1800" s="168"/>
      <c r="DC1800" s="165"/>
      <c r="DD1800" s="166"/>
      <c r="DE1800" s="71"/>
      <c r="DF1800" s="170"/>
      <c r="EO1800" s="375" t="str">
        <f t="shared" si="227"/>
        <v>CUNDINAMARCA_UNE</v>
      </c>
      <c r="EP1800" s="376"/>
      <c r="EQ1800" s="376"/>
      <c r="ER1800" s="377"/>
      <c r="ES1800" s="376"/>
      <c r="ET1800" s="376"/>
      <c r="EU1800" s="376"/>
    </row>
    <row r="1801" spans="1:151" s="171" customFormat="1" ht="38.25" x14ac:dyDescent="0.2">
      <c r="A1801" s="242">
        <v>40500</v>
      </c>
      <c r="B1801" s="222" t="s">
        <v>2007</v>
      </c>
      <c r="C1801" s="222" t="s">
        <v>1331</v>
      </c>
      <c r="D1801" s="427" t="s">
        <v>2307</v>
      </c>
      <c r="E1801" s="107" t="str">
        <f>VLOOKUP(B1801&amp;C1801,Divipola!$C$2:$F$1138,4,FALSE)</f>
        <v>25899</v>
      </c>
      <c r="F1801" s="330"/>
      <c r="G1801" s="221"/>
      <c r="H1801" s="157"/>
      <c r="I1801" s="157"/>
      <c r="J1801" s="157"/>
      <c r="K1801" s="157"/>
      <c r="L1801" s="157"/>
      <c r="M1801" s="157"/>
      <c r="N1801" s="157">
        <v>1</v>
      </c>
      <c r="O1801" s="157"/>
      <c r="P1801" s="157"/>
      <c r="Q1801" s="157"/>
      <c r="R1801" s="157"/>
      <c r="S1801" s="157"/>
      <c r="T1801" s="157"/>
      <c r="U1801" s="157"/>
      <c r="V1801" s="158"/>
      <c r="W1801" s="182"/>
      <c r="X1801" s="1"/>
      <c r="Y1801" s="78">
        <f t="shared" si="229"/>
        <v>0</v>
      </c>
      <c r="Z1801" s="78">
        <f t="shared" si="230"/>
        <v>0</v>
      </c>
      <c r="AA1801" s="78">
        <f t="shared" si="228"/>
        <v>0</v>
      </c>
      <c r="AB1801" s="78">
        <f t="shared" si="231"/>
        <v>0</v>
      </c>
      <c r="AC1801" s="78"/>
      <c r="AD1801" s="78">
        <v>0</v>
      </c>
      <c r="AE1801" s="80">
        <f t="shared" ref="AE1801:AE1864" si="233">Y1801+Z1801+AA1801+AB1801+AC1801+AD1801</f>
        <v>0</v>
      </c>
      <c r="AF1801" s="82">
        <v>0</v>
      </c>
      <c r="AG1801" s="242">
        <v>40504</v>
      </c>
      <c r="AH1801" s="84"/>
      <c r="AI1801" s="69" t="s">
        <v>1984</v>
      </c>
      <c r="AJ1801" s="25" t="s">
        <v>1985</v>
      </c>
      <c r="AK1801" s="65"/>
      <c r="AL1801" s="176" t="s">
        <v>1257</v>
      </c>
      <c r="AM1801" s="173" t="s">
        <v>2496</v>
      </c>
      <c r="AN1801" s="159"/>
      <c r="AO1801" s="160"/>
      <c r="AP1801" s="161"/>
      <c r="AQ1801" s="160"/>
      <c r="AR1801" s="160"/>
      <c r="AS1801" s="160"/>
      <c r="AT1801" s="160"/>
      <c r="AU1801" s="160"/>
      <c r="AV1801" s="160"/>
      <c r="AW1801" s="160"/>
      <c r="AX1801" s="160"/>
      <c r="AY1801" s="160"/>
      <c r="AZ1801" s="160"/>
      <c r="BA1801" s="160"/>
      <c r="BB1801" s="160"/>
      <c r="BC1801" s="160"/>
      <c r="BD1801" s="160"/>
      <c r="BE1801" s="160"/>
      <c r="BF1801" s="160"/>
      <c r="BG1801" s="160"/>
      <c r="BH1801" s="160"/>
      <c r="BI1801" s="160"/>
      <c r="BJ1801" s="160"/>
      <c r="BK1801" s="160"/>
      <c r="BL1801" s="160"/>
      <c r="BM1801" s="160"/>
      <c r="BN1801" s="160"/>
      <c r="BO1801" s="160"/>
      <c r="BP1801" s="160"/>
      <c r="BQ1801" s="160"/>
      <c r="BR1801" s="160"/>
      <c r="BS1801" s="160"/>
      <c r="BT1801" s="160"/>
      <c r="BU1801" s="160"/>
      <c r="BV1801" s="160"/>
      <c r="BW1801" s="160"/>
      <c r="BX1801" s="160"/>
      <c r="BY1801" s="160"/>
      <c r="BZ1801" s="160"/>
      <c r="CA1801" s="160"/>
      <c r="CB1801" s="160"/>
      <c r="CC1801" s="160"/>
      <c r="CD1801" s="160"/>
      <c r="CE1801" s="160"/>
      <c r="CF1801" s="160"/>
      <c r="CG1801" s="160"/>
      <c r="CH1801" s="160"/>
      <c r="CI1801" s="160"/>
      <c r="CJ1801" s="160"/>
      <c r="CK1801" s="160"/>
      <c r="CL1801" s="160"/>
      <c r="CM1801" s="160"/>
      <c r="CN1801" s="160"/>
      <c r="CO1801" s="160"/>
      <c r="CP1801" s="162"/>
      <c r="CQ1801" s="163"/>
      <c r="CR1801" s="162"/>
      <c r="CS1801" s="163"/>
      <c r="CT1801" s="162"/>
      <c r="CU1801" s="163"/>
      <c r="CV1801" s="164">
        <f t="shared" si="232"/>
        <v>0</v>
      </c>
      <c r="CW1801" s="165"/>
      <c r="CX1801" s="166"/>
      <c r="CY1801" s="167"/>
      <c r="CZ1801" s="168"/>
      <c r="DA1801" s="169"/>
      <c r="DB1801" s="168"/>
      <c r="DC1801" s="165"/>
      <c r="DD1801" s="166"/>
      <c r="DE1801" s="71"/>
      <c r="DF1801" s="170"/>
      <c r="EO1801" s="375" t="str">
        <f t="shared" si="227"/>
        <v>CUNDINAMARCA_ZIPAQUIRA</v>
      </c>
      <c r="EP1801" s="376"/>
      <c r="EQ1801" s="376"/>
      <c r="ER1801" s="377"/>
      <c r="ES1801" s="376"/>
      <c r="ET1801" s="376"/>
      <c r="EU1801" s="376"/>
    </row>
    <row r="1802" spans="1:151" s="171" customFormat="1" ht="36" x14ac:dyDescent="0.2">
      <c r="A1802" s="242">
        <v>40500</v>
      </c>
      <c r="B1802" s="222" t="s">
        <v>1333</v>
      </c>
      <c r="C1802" s="222" t="s">
        <v>226</v>
      </c>
      <c r="D1802" s="427" t="s">
        <v>2307</v>
      </c>
      <c r="E1802" s="107" t="str">
        <f>VLOOKUP(B1802&amp;C1802,Divipola!$C$2:$F$1138,4,FALSE)</f>
        <v>41001</v>
      </c>
      <c r="F1802" s="330"/>
      <c r="G1802" s="221"/>
      <c r="H1802" s="157">
        <v>1</v>
      </c>
      <c r="I1802" s="157"/>
      <c r="J1802" s="157">
        <v>13</v>
      </c>
      <c r="K1802" s="157">
        <v>3</v>
      </c>
      <c r="L1802" s="157">
        <v>1</v>
      </c>
      <c r="M1802" s="157">
        <v>2</v>
      </c>
      <c r="N1802" s="157"/>
      <c r="O1802" s="157"/>
      <c r="P1802" s="157"/>
      <c r="Q1802" s="157"/>
      <c r="R1802" s="157"/>
      <c r="S1802" s="157"/>
      <c r="T1802" s="157"/>
      <c r="U1802" s="157"/>
      <c r="V1802" s="158"/>
      <c r="W1802" s="182"/>
      <c r="X1802" s="1"/>
      <c r="Y1802" s="78">
        <f t="shared" si="229"/>
        <v>0</v>
      </c>
      <c r="Z1802" s="78">
        <f t="shared" si="230"/>
        <v>0</v>
      </c>
      <c r="AA1802" s="78">
        <f t="shared" si="228"/>
        <v>0</v>
      </c>
      <c r="AB1802" s="78">
        <f t="shared" si="231"/>
        <v>0</v>
      </c>
      <c r="AC1802" s="78"/>
      <c r="AD1802" s="78">
        <v>0</v>
      </c>
      <c r="AE1802" s="80">
        <f t="shared" si="233"/>
        <v>0</v>
      </c>
      <c r="AF1802" s="82">
        <v>0</v>
      </c>
      <c r="AG1802" s="242">
        <v>40504</v>
      </c>
      <c r="AH1802" s="84"/>
      <c r="AI1802" s="69" t="s">
        <v>1984</v>
      </c>
      <c r="AJ1802" s="25" t="s">
        <v>1985</v>
      </c>
      <c r="AK1802" s="65"/>
      <c r="AL1802" s="176" t="s">
        <v>1257</v>
      </c>
      <c r="AM1802" s="173" t="s">
        <v>2964</v>
      </c>
      <c r="AN1802" s="159"/>
      <c r="AO1802" s="160"/>
      <c r="AP1802" s="161"/>
      <c r="AQ1802" s="160"/>
      <c r="AR1802" s="160"/>
      <c r="AS1802" s="160"/>
      <c r="AT1802" s="160"/>
      <c r="AU1802" s="160"/>
      <c r="AV1802" s="160"/>
      <c r="AW1802" s="160"/>
      <c r="AX1802" s="160"/>
      <c r="AY1802" s="160"/>
      <c r="AZ1802" s="160"/>
      <c r="BA1802" s="160"/>
      <c r="BB1802" s="160"/>
      <c r="BC1802" s="160"/>
      <c r="BD1802" s="160"/>
      <c r="BE1802" s="160"/>
      <c r="BF1802" s="160"/>
      <c r="BG1802" s="160"/>
      <c r="BH1802" s="160"/>
      <c r="BI1802" s="160"/>
      <c r="BJ1802" s="160"/>
      <c r="BK1802" s="160"/>
      <c r="BL1802" s="160"/>
      <c r="BM1802" s="160"/>
      <c r="BN1802" s="160"/>
      <c r="BO1802" s="160"/>
      <c r="BP1802" s="160"/>
      <c r="BQ1802" s="160"/>
      <c r="BR1802" s="160"/>
      <c r="BS1802" s="160"/>
      <c r="BT1802" s="160"/>
      <c r="BU1802" s="160"/>
      <c r="BV1802" s="160"/>
      <c r="BW1802" s="160"/>
      <c r="BX1802" s="160"/>
      <c r="BY1802" s="160"/>
      <c r="BZ1802" s="160"/>
      <c r="CA1802" s="160"/>
      <c r="CB1802" s="160"/>
      <c r="CC1802" s="160"/>
      <c r="CD1802" s="160"/>
      <c r="CE1802" s="160"/>
      <c r="CF1802" s="160"/>
      <c r="CG1802" s="160"/>
      <c r="CH1802" s="160"/>
      <c r="CI1802" s="160"/>
      <c r="CJ1802" s="160"/>
      <c r="CK1802" s="160"/>
      <c r="CL1802" s="160"/>
      <c r="CM1802" s="160"/>
      <c r="CN1802" s="160"/>
      <c r="CO1802" s="160"/>
      <c r="CP1802" s="162"/>
      <c r="CQ1802" s="163"/>
      <c r="CR1802" s="162"/>
      <c r="CS1802" s="163"/>
      <c r="CT1802" s="162"/>
      <c r="CU1802" s="163"/>
      <c r="CV1802" s="164">
        <f t="shared" si="232"/>
        <v>0</v>
      </c>
      <c r="CW1802" s="165"/>
      <c r="CX1802" s="166"/>
      <c r="CY1802" s="167"/>
      <c r="CZ1802" s="168"/>
      <c r="DA1802" s="169"/>
      <c r="DB1802" s="168"/>
      <c r="DC1802" s="165"/>
      <c r="DD1802" s="166"/>
      <c r="DE1802" s="71"/>
      <c r="DF1802" s="170"/>
      <c r="EO1802" s="375" t="str">
        <f t="shared" si="227"/>
        <v>HUILA_NEIVA</v>
      </c>
      <c r="EP1802" s="376"/>
      <c r="EQ1802" s="376"/>
      <c r="ER1802" s="377"/>
      <c r="ES1802" s="376"/>
      <c r="ET1802" s="376"/>
      <c r="EU1802" s="376"/>
    </row>
    <row r="1803" spans="1:151" s="171" customFormat="1" ht="25.5" x14ac:dyDescent="0.2">
      <c r="A1803" s="242">
        <v>40500</v>
      </c>
      <c r="B1803" s="222" t="s">
        <v>708</v>
      </c>
      <c r="C1803" s="222" t="s">
        <v>2505</v>
      </c>
      <c r="D1803" s="430" t="s">
        <v>837</v>
      </c>
      <c r="E1803" s="107" t="str">
        <f>VLOOKUP(B1803&amp;C1803,Divipola!$C$2:$F$1138,4,FALSE)</f>
        <v>50124</v>
      </c>
      <c r="F1803" s="333"/>
      <c r="G1803" s="221"/>
      <c r="H1803" s="157"/>
      <c r="I1803" s="157"/>
      <c r="J1803" s="157">
        <f>136*4</f>
        <v>544</v>
      </c>
      <c r="K1803" s="157">
        <v>136</v>
      </c>
      <c r="L1803" s="157"/>
      <c r="M1803" s="157">
        <v>136</v>
      </c>
      <c r="N1803" s="157"/>
      <c r="O1803" s="157"/>
      <c r="P1803" s="157"/>
      <c r="Q1803" s="157"/>
      <c r="R1803" s="157"/>
      <c r="S1803" s="157"/>
      <c r="T1803" s="157"/>
      <c r="U1803" s="157"/>
      <c r="V1803" s="158"/>
      <c r="W1803" s="182"/>
      <c r="X1803" s="1"/>
      <c r="Y1803" s="78">
        <f t="shared" si="229"/>
        <v>0</v>
      </c>
      <c r="Z1803" s="78">
        <f t="shared" si="230"/>
        <v>0</v>
      </c>
      <c r="AA1803" s="78">
        <f t="shared" si="228"/>
        <v>0</v>
      </c>
      <c r="AB1803" s="78">
        <f t="shared" si="231"/>
        <v>0</v>
      </c>
      <c r="AC1803" s="78"/>
      <c r="AD1803" s="78">
        <v>0</v>
      </c>
      <c r="AE1803" s="80">
        <f t="shared" si="233"/>
        <v>0</v>
      </c>
      <c r="AF1803" s="82">
        <v>0</v>
      </c>
      <c r="AG1803" s="69">
        <v>40504</v>
      </c>
      <c r="AH1803" s="84"/>
      <c r="AI1803" s="69" t="s">
        <v>1984</v>
      </c>
      <c r="AJ1803" s="25" t="s">
        <v>1985</v>
      </c>
      <c r="AK1803" s="65"/>
      <c r="AL1803" s="176" t="s">
        <v>1257</v>
      </c>
      <c r="AM1803" s="173"/>
      <c r="AN1803" s="159"/>
      <c r="AO1803" s="160"/>
      <c r="AP1803" s="161"/>
      <c r="AQ1803" s="160"/>
      <c r="AR1803" s="160"/>
      <c r="AS1803" s="160"/>
      <c r="AT1803" s="160"/>
      <c r="AU1803" s="160"/>
      <c r="AV1803" s="160"/>
      <c r="AW1803" s="160"/>
      <c r="AX1803" s="160"/>
      <c r="AY1803" s="160"/>
      <c r="AZ1803" s="160"/>
      <c r="BA1803" s="160"/>
      <c r="BB1803" s="160"/>
      <c r="BC1803" s="160"/>
      <c r="BD1803" s="160"/>
      <c r="BE1803" s="160"/>
      <c r="BF1803" s="160"/>
      <c r="BG1803" s="160"/>
      <c r="BH1803" s="160"/>
      <c r="BI1803" s="160"/>
      <c r="BJ1803" s="160"/>
      <c r="BK1803" s="160"/>
      <c r="BL1803" s="160"/>
      <c r="BM1803" s="160"/>
      <c r="BN1803" s="160"/>
      <c r="BO1803" s="160"/>
      <c r="BP1803" s="160"/>
      <c r="BQ1803" s="160"/>
      <c r="BR1803" s="160"/>
      <c r="BS1803" s="160"/>
      <c r="BT1803" s="160"/>
      <c r="BU1803" s="160"/>
      <c r="BV1803" s="160"/>
      <c r="BW1803" s="160"/>
      <c r="BX1803" s="160"/>
      <c r="BY1803" s="160"/>
      <c r="BZ1803" s="160"/>
      <c r="CA1803" s="160"/>
      <c r="CB1803" s="160"/>
      <c r="CC1803" s="160"/>
      <c r="CD1803" s="160"/>
      <c r="CE1803" s="160"/>
      <c r="CF1803" s="160"/>
      <c r="CG1803" s="160"/>
      <c r="CH1803" s="160"/>
      <c r="CI1803" s="160"/>
      <c r="CJ1803" s="160"/>
      <c r="CK1803" s="160"/>
      <c r="CL1803" s="160"/>
      <c r="CM1803" s="160"/>
      <c r="CN1803" s="160"/>
      <c r="CO1803" s="160"/>
      <c r="CP1803" s="162"/>
      <c r="CQ1803" s="163"/>
      <c r="CR1803" s="162"/>
      <c r="CS1803" s="163"/>
      <c r="CT1803" s="162"/>
      <c r="CU1803" s="163"/>
      <c r="CV1803" s="164">
        <f t="shared" si="232"/>
        <v>0</v>
      </c>
      <c r="CW1803" s="165"/>
      <c r="CX1803" s="166"/>
      <c r="CY1803" s="167"/>
      <c r="CZ1803" s="168"/>
      <c r="DA1803" s="169"/>
      <c r="DB1803" s="168"/>
      <c r="DC1803" s="165"/>
      <c r="DD1803" s="166"/>
      <c r="DE1803" s="71"/>
      <c r="DF1803" s="170"/>
      <c r="EO1803" s="375" t="str">
        <f t="shared" si="227"/>
        <v>META_CABUYARO</v>
      </c>
      <c r="EP1803" s="376"/>
      <c r="EQ1803" s="376"/>
      <c r="ER1803" s="377"/>
      <c r="ES1803" s="376"/>
      <c r="ET1803" s="376"/>
      <c r="EU1803" s="376"/>
    </row>
    <row r="1804" spans="1:151" s="171" customFormat="1" ht="48" x14ac:dyDescent="0.2">
      <c r="A1804" s="242">
        <v>40500</v>
      </c>
      <c r="B1804" s="222" t="s">
        <v>2013</v>
      </c>
      <c r="C1804" s="222" t="s">
        <v>2013</v>
      </c>
      <c r="D1804" s="430" t="s">
        <v>837</v>
      </c>
      <c r="E1804" s="107" t="str">
        <f>VLOOKUP(B1804&amp;C1804,Divipola!$C$2:$F$1138,4,FALSE)</f>
        <v>00000</v>
      </c>
      <c r="F1804" s="333"/>
      <c r="G1804" s="221"/>
      <c r="H1804" s="157"/>
      <c r="I1804" s="157"/>
      <c r="J1804" s="157"/>
      <c r="K1804" s="157"/>
      <c r="L1804" s="157"/>
      <c r="M1804" s="157"/>
      <c r="N1804" s="157"/>
      <c r="O1804" s="157"/>
      <c r="P1804" s="157"/>
      <c r="Q1804" s="157"/>
      <c r="R1804" s="157"/>
      <c r="S1804" s="157"/>
      <c r="T1804" s="157"/>
      <c r="U1804" s="157"/>
      <c r="V1804" s="158"/>
      <c r="W1804" s="182"/>
      <c r="X1804" s="1"/>
      <c r="Y1804" s="78">
        <f t="shared" si="229"/>
        <v>0</v>
      </c>
      <c r="Z1804" s="78">
        <f t="shared" si="230"/>
        <v>0</v>
      </c>
      <c r="AA1804" s="78">
        <f t="shared" si="228"/>
        <v>0</v>
      </c>
      <c r="AB1804" s="78">
        <f t="shared" si="231"/>
        <v>171000000</v>
      </c>
      <c r="AC1804" s="78">
        <f>500*21000</f>
        <v>10500000</v>
      </c>
      <c r="AD1804" s="78">
        <v>0</v>
      </c>
      <c r="AE1804" s="80">
        <f t="shared" si="233"/>
        <v>181500000</v>
      </c>
      <c r="AF1804" s="82">
        <v>0</v>
      </c>
      <c r="AG1804" s="69">
        <v>40500</v>
      </c>
      <c r="AH1804" s="84"/>
      <c r="AI1804" s="69" t="s">
        <v>2009</v>
      </c>
      <c r="AJ1804" s="25" t="s">
        <v>2010</v>
      </c>
      <c r="AK1804" s="65"/>
      <c r="AL1804" s="176" t="s">
        <v>1831</v>
      </c>
      <c r="AM1804" s="172" t="s">
        <v>3873</v>
      </c>
      <c r="AN1804" s="159"/>
      <c r="AO1804" s="160"/>
      <c r="AP1804" s="161"/>
      <c r="AQ1804" s="160"/>
      <c r="AR1804" s="160"/>
      <c r="AS1804" s="160"/>
      <c r="AT1804" s="160"/>
      <c r="AU1804" s="160"/>
      <c r="AV1804" s="160"/>
      <c r="AW1804" s="160"/>
      <c r="AX1804" s="160"/>
      <c r="AY1804" s="160"/>
      <c r="AZ1804" s="160"/>
      <c r="BA1804" s="160"/>
      <c r="BB1804" s="160"/>
      <c r="BC1804" s="160"/>
      <c r="BD1804" s="160"/>
      <c r="BE1804" s="160"/>
      <c r="BF1804" s="160"/>
      <c r="BG1804" s="160"/>
      <c r="BH1804" s="160"/>
      <c r="BI1804" s="160"/>
      <c r="BJ1804" s="160"/>
      <c r="BK1804" s="160"/>
      <c r="BL1804" s="160"/>
      <c r="BM1804" s="160"/>
      <c r="BN1804" s="160"/>
      <c r="BO1804" s="160"/>
      <c r="BP1804" s="160"/>
      <c r="BQ1804" s="160"/>
      <c r="BR1804" s="160"/>
      <c r="BS1804" s="160"/>
      <c r="BT1804" s="160"/>
      <c r="BU1804" s="160"/>
      <c r="BV1804" s="160"/>
      <c r="BW1804" s="160"/>
      <c r="BX1804" s="160"/>
      <c r="BY1804" s="160"/>
      <c r="BZ1804" s="160"/>
      <c r="CA1804" s="160"/>
      <c r="CB1804" s="160"/>
      <c r="CC1804" s="160"/>
      <c r="CD1804" s="160"/>
      <c r="CE1804" s="160"/>
      <c r="CF1804" s="160"/>
      <c r="CG1804" s="160"/>
      <c r="CH1804" s="160"/>
      <c r="CI1804" s="160"/>
      <c r="CJ1804" s="160"/>
      <c r="CK1804" s="160"/>
      <c r="CL1804" s="160"/>
      <c r="CM1804" s="160"/>
      <c r="CN1804" s="160"/>
      <c r="CO1804" s="160"/>
      <c r="CP1804" s="162"/>
      <c r="CQ1804" s="163"/>
      <c r="CR1804" s="162"/>
      <c r="CS1804" s="163"/>
      <c r="CT1804" s="162"/>
      <c r="CU1804" s="163"/>
      <c r="CV1804" s="164">
        <f t="shared" si="232"/>
        <v>0</v>
      </c>
      <c r="CW1804" s="165">
        <f>100000+80000</f>
        <v>180000</v>
      </c>
      <c r="CX1804" s="166">
        <f>100000*950+80000*950</f>
        <v>171000000</v>
      </c>
      <c r="CY1804" s="167"/>
      <c r="CZ1804" s="168"/>
      <c r="DA1804" s="169"/>
      <c r="DB1804" s="168"/>
      <c r="DC1804" s="165"/>
      <c r="DD1804" s="166"/>
      <c r="DE1804" s="71"/>
      <c r="DF1804" s="170"/>
      <c r="EO1804" s="375" t="str">
        <f t="shared" si="227"/>
        <v>NACION_NACION</v>
      </c>
      <c r="EP1804" s="376"/>
      <c r="EQ1804" s="376"/>
      <c r="ER1804" s="377"/>
      <c r="ES1804" s="376"/>
      <c r="ET1804" s="376"/>
      <c r="EU1804" s="376"/>
    </row>
    <row r="1805" spans="1:151" s="171" customFormat="1" ht="25.5" x14ac:dyDescent="0.2">
      <c r="A1805" s="242">
        <v>40500</v>
      </c>
      <c r="B1805" s="222" t="s">
        <v>2245</v>
      </c>
      <c r="C1805" s="222" t="s">
        <v>2997</v>
      </c>
      <c r="D1805" s="430" t="s">
        <v>2307</v>
      </c>
      <c r="E1805" s="107" t="str">
        <f>VLOOKUP(B1805&amp;C1805,Divipola!$C$2:$F$1138,4,FALSE)</f>
        <v>52224</v>
      </c>
      <c r="F1805" s="333"/>
      <c r="G1805" s="221"/>
      <c r="H1805" s="157"/>
      <c r="I1805" s="157"/>
      <c r="J1805" s="157"/>
      <c r="K1805" s="157"/>
      <c r="L1805" s="157"/>
      <c r="M1805" s="157"/>
      <c r="N1805" s="157">
        <v>6</v>
      </c>
      <c r="O1805" s="157">
        <v>1</v>
      </c>
      <c r="P1805" s="157"/>
      <c r="Q1805" s="157"/>
      <c r="R1805" s="157"/>
      <c r="S1805" s="157"/>
      <c r="T1805" s="157"/>
      <c r="U1805" s="157"/>
      <c r="V1805" s="158"/>
      <c r="W1805" s="182"/>
      <c r="X1805" s="1"/>
      <c r="Y1805" s="78">
        <f t="shared" si="229"/>
        <v>0</v>
      </c>
      <c r="Z1805" s="78">
        <f t="shared" si="230"/>
        <v>0</v>
      </c>
      <c r="AA1805" s="78">
        <f t="shared" si="228"/>
        <v>0</v>
      </c>
      <c r="AB1805" s="78">
        <f t="shared" si="231"/>
        <v>0</v>
      </c>
      <c r="AC1805" s="78"/>
      <c r="AD1805" s="78">
        <v>0</v>
      </c>
      <c r="AE1805" s="80">
        <f t="shared" si="233"/>
        <v>0</v>
      </c>
      <c r="AF1805" s="82">
        <v>0</v>
      </c>
      <c r="AG1805" s="69">
        <v>40500</v>
      </c>
      <c r="AH1805" s="84"/>
      <c r="AI1805" s="69" t="s">
        <v>1984</v>
      </c>
      <c r="AJ1805" s="25" t="s">
        <v>1985</v>
      </c>
      <c r="AK1805" s="65"/>
      <c r="AL1805" s="176" t="s">
        <v>1257</v>
      </c>
      <c r="AM1805" s="173" t="s">
        <v>2998</v>
      </c>
      <c r="AN1805" s="159"/>
      <c r="AO1805" s="160"/>
      <c r="AP1805" s="161"/>
      <c r="AQ1805" s="160"/>
      <c r="AR1805" s="160"/>
      <c r="AS1805" s="160"/>
      <c r="AT1805" s="160"/>
      <c r="AU1805" s="160"/>
      <c r="AV1805" s="160"/>
      <c r="AW1805" s="160"/>
      <c r="AX1805" s="160"/>
      <c r="AY1805" s="160"/>
      <c r="AZ1805" s="160"/>
      <c r="BA1805" s="160"/>
      <c r="BB1805" s="160"/>
      <c r="BC1805" s="160"/>
      <c r="BD1805" s="160"/>
      <c r="BE1805" s="160"/>
      <c r="BF1805" s="160"/>
      <c r="BG1805" s="160"/>
      <c r="BH1805" s="160"/>
      <c r="BI1805" s="160"/>
      <c r="BJ1805" s="160"/>
      <c r="BK1805" s="160"/>
      <c r="BL1805" s="160"/>
      <c r="BM1805" s="160"/>
      <c r="BN1805" s="160"/>
      <c r="BO1805" s="160"/>
      <c r="BP1805" s="160"/>
      <c r="BQ1805" s="160"/>
      <c r="BR1805" s="160"/>
      <c r="BS1805" s="160"/>
      <c r="BT1805" s="160"/>
      <c r="BU1805" s="160"/>
      <c r="BV1805" s="160"/>
      <c r="BW1805" s="160"/>
      <c r="BX1805" s="160"/>
      <c r="BY1805" s="160"/>
      <c r="BZ1805" s="160"/>
      <c r="CA1805" s="160"/>
      <c r="CB1805" s="160"/>
      <c r="CC1805" s="160"/>
      <c r="CD1805" s="160"/>
      <c r="CE1805" s="160"/>
      <c r="CF1805" s="160"/>
      <c r="CG1805" s="160"/>
      <c r="CH1805" s="160"/>
      <c r="CI1805" s="160"/>
      <c r="CJ1805" s="160"/>
      <c r="CK1805" s="160"/>
      <c r="CL1805" s="160"/>
      <c r="CM1805" s="160"/>
      <c r="CN1805" s="160"/>
      <c r="CO1805" s="160"/>
      <c r="CP1805" s="162"/>
      <c r="CQ1805" s="163"/>
      <c r="CR1805" s="162"/>
      <c r="CS1805" s="163"/>
      <c r="CT1805" s="162"/>
      <c r="CU1805" s="163"/>
      <c r="CV1805" s="164">
        <f t="shared" si="232"/>
        <v>0</v>
      </c>
      <c r="CW1805" s="165"/>
      <c r="CX1805" s="166"/>
      <c r="CY1805" s="167"/>
      <c r="CZ1805" s="168"/>
      <c r="DA1805" s="169"/>
      <c r="DB1805" s="168"/>
      <c r="DC1805" s="165"/>
      <c r="DD1805" s="166"/>
      <c r="DE1805" s="71"/>
      <c r="DF1805" s="170"/>
      <c r="EO1805" s="375" t="str">
        <f t="shared" si="227"/>
        <v>NARIÑO_CUASPUD</v>
      </c>
      <c r="EP1805" s="376"/>
      <c r="EQ1805" s="376"/>
      <c r="ER1805" s="377"/>
      <c r="ES1805" s="376"/>
      <c r="ET1805" s="376"/>
      <c r="EU1805" s="376"/>
    </row>
    <row r="1806" spans="1:151" s="171" customFormat="1" ht="25.5" x14ac:dyDescent="0.2">
      <c r="A1806" s="246">
        <v>40501</v>
      </c>
      <c r="B1806" s="280" t="s">
        <v>2401</v>
      </c>
      <c r="C1806" s="280" t="s">
        <v>3123</v>
      </c>
      <c r="D1806" s="431" t="s">
        <v>2307</v>
      </c>
      <c r="E1806" s="107" t="str">
        <f>VLOOKUP(B1806&amp;C1806,Divipola!$C$2:$F$1138,4,FALSE)</f>
        <v>05819</v>
      </c>
      <c r="F1806" s="334"/>
      <c r="G1806" s="221"/>
      <c r="H1806" s="157">
        <v>1</v>
      </c>
      <c r="I1806" s="157"/>
      <c r="J1806" s="157">
        <v>12</v>
      </c>
      <c r="K1806" s="157">
        <v>1</v>
      </c>
      <c r="L1806" s="157">
        <v>1</v>
      </c>
      <c r="M1806" s="157"/>
      <c r="N1806" s="157"/>
      <c r="O1806" s="157"/>
      <c r="P1806" s="157"/>
      <c r="Q1806" s="157"/>
      <c r="R1806" s="157"/>
      <c r="S1806" s="157"/>
      <c r="T1806" s="157"/>
      <c r="U1806" s="157"/>
      <c r="V1806" s="158"/>
      <c r="W1806" s="182"/>
      <c r="X1806" s="1"/>
      <c r="Y1806" s="78">
        <f t="shared" si="229"/>
        <v>0</v>
      </c>
      <c r="Z1806" s="78">
        <f t="shared" si="230"/>
        <v>0</v>
      </c>
      <c r="AA1806" s="78">
        <f t="shared" si="228"/>
        <v>0</v>
      </c>
      <c r="AB1806" s="78">
        <f t="shared" si="231"/>
        <v>0</v>
      </c>
      <c r="AC1806" s="78"/>
      <c r="AD1806" s="78">
        <v>0</v>
      </c>
      <c r="AE1806" s="80">
        <f t="shared" si="233"/>
        <v>0</v>
      </c>
      <c r="AF1806" s="82">
        <v>0</v>
      </c>
      <c r="AG1806" s="69">
        <v>40504</v>
      </c>
      <c r="AH1806" s="84"/>
      <c r="AI1806" s="69" t="s">
        <v>1984</v>
      </c>
      <c r="AJ1806" s="25" t="s">
        <v>1985</v>
      </c>
      <c r="AK1806" s="65"/>
      <c r="AL1806" s="176" t="s">
        <v>1257</v>
      </c>
      <c r="AM1806" s="173" t="s">
        <v>1631</v>
      </c>
      <c r="AN1806" s="159"/>
      <c r="AO1806" s="160"/>
      <c r="AP1806" s="161"/>
      <c r="AQ1806" s="160"/>
      <c r="AR1806" s="160"/>
      <c r="AS1806" s="160"/>
      <c r="AT1806" s="160"/>
      <c r="AU1806" s="160"/>
      <c r="AV1806" s="160"/>
      <c r="AW1806" s="160"/>
      <c r="AX1806" s="160"/>
      <c r="AY1806" s="160"/>
      <c r="AZ1806" s="160"/>
      <c r="BA1806" s="160"/>
      <c r="BB1806" s="160"/>
      <c r="BC1806" s="160"/>
      <c r="BD1806" s="160"/>
      <c r="BE1806" s="160"/>
      <c r="BF1806" s="160"/>
      <c r="BG1806" s="160"/>
      <c r="BH1806" s="160"/>
      <c r="BI1806" s="160"/>
      <c r="BJ1806" s="160"/>
      <c r="BK1806" s="160"/>
      <c r="BL1806" s="160"/>
      <c r="BM1806" s="160"/>
      <c r="BN1806" s="160"/>
      <c r="BO1806" s="160"/>
      <c r="BP1806" s="160"/>
      <c r="BQ1806" s="160"/>
      <c r="BR1806" s="160"/>
      <c r="BS1806" s="160"/>
      <c r="BT1806" s="160"/>
      <c r="BU1806" s="160"/>
      <c r="BV1806" s="160"/>
      <c r="BW1806" s="160"/>
      <c r="BX1806" s="160"/>
      <c r="BY1806" s="160"/>
      <c r="BZ1806" s="160"/>
      <c r="CA1806" s="160"/>
      <c r="CB1806" s="160"/>
      <c r="CC1806" s="160"/>
      <c r="CD1806" s="160"/>
      <c r="CE1806" s="160"/>
      <c r="CF1806" s="160"/>
      <c r="CG1806" s="160"/>
      <c r="CH1806" s="160"/>
      <c r="CI1806" s="160"/>
      <c r="CJ1806" s="160"/>
      <c r="CK1806" s="160"/>
      <c r="CL1806" s="160"/>
      <c r="CM1806" s="160"/>
      <c r="CN1806" s="160"/>
      <c r="CO1806" s="160"/>
      <c r="CP1806" s="162"/>
      <c r="CQ1806" s="163"/>
      <c r="CR1806" s="162"/>
      <c r="CS1806" s="163"/>
      <c r="CT1806" s="162"/>
      <c r="CU1806" s="163"/>
      <c r="CV1806" s="164">
        <f t="shared" si="232"/>
        <v>0</v>
      </c>
      <c r="CW1806" s="165"/>
      <c r="CX1806" s="166"/>
      <c r="CY1806" s="167"/>
      <c r="CZ1806" s="168"/>
      <c r="DA1806" s="169"/>
      <c r="DB1806" s="168"/>
      <c r="DC1806" s="165"/>
      <c r="DD1806" s="166"/>
      <c r="DE1806" s="71"/>
      <c r="DF1806" s="170"/>
      <c r="EO1806" s="375" t="str">
        <f t="shared" si="227"/>
        <v>ANTIOQUIA_TOLEDO</v>
      </c>
      <c r="EP1806" s="376"/>
      <c r="EQ1806" s="376"/>
      <c r="ER1806" s="377"/>
      <c r="ES1806" s="376"/>
      <c r="ET1806" s="376"/>
      <c r="EU1806" s="376"/>
    </row>
    <row r="1807" spans="1:151" s="171" customFormat="1" ht="25.5" x14ac:dyDescent="0.2">
      <c r="A1807" s="242">
        <v>40501</v>
      </c>
      <c r="B1807" s="222" t="s">
        <v>1333</v>
      </c>
      <c r="C1807" s="222" t="s">
        <v>383</v>
      </c>
      <c r="D1807" s="430" t="s">
        <v>837</v>
      </c>
      <c r="E1807" s="107" t="str">
        <f>VLOOKUP(B1807&amp;C1807,Divipola!$C$2:$F$1138,4,FALSE)</f>
        <v>41026</v>
      </c>
      <c r="F1807" s="333"/>
      <c r="G1807" s="221"/>
      <c r="H1807" s="157"/>
      <c r="I1807" s="157"/>
      <c r="J1807" s="157">
        <v>15</v>
      </c>
      <c r="K1807" s="157">
        <v>3</v>
      </c>
      <c r="L1807" s="157"/>
      <c r="M1807" s="157">
        <v>3</v>
      </c>
      <c r="N1807" s="157"/>
      <c r="O1807" s="157"/>
      <c r="P1807" s="157"/>
      <c r="Q1807" s="157"/>
      <c r="R1807" s="157"/>
      <c r="S1807" s="157"/>
      <c r="T1807" s="157"/>
      <c r="U1807" s="157"/>
      <c r="V1807" s="158"/>
      <c r="W1807" s="182"/>
      <c r="X1807" s="1"/>
      <c r="Y1807" s="78">
        <f t="shared" si="229"/>
        <v>0</v>
      </c>
      <c r="Z1807" s="78">
        <f t="shared" si="230"/>
        <v>0</v>
      </c>
      <c r="AA1807" s="78">
        <f t="shared" si="228"/>
        <v>0</v>
      </c>
      <c r="AB1807" s="78">
        <f t="shared" si="231"/>
        <v>0</v>
      </c>
      <c r="AC1807" s="78"/>
      <c r="AD1807" s="78">
        <v>0</v>
      </c>
      <c r="AE1807" s="80">
        <f t="shared" si="233"/>
        <v>0</v>
      </c>
      <c r="AF1807" s="82">
        <v>0</v>
      </c>
      <c r="AG1807" s="69">
        <v>40581</v>
      </c>
      <c r="AH1807" s="84"/>
      <c r="AI1807" s="69" t="s">
        <v>1984</v>
      </c>
      <c r="AJ1807" s="25" t="s">
        <v>1985</v>
      </c>
      <c r="AK1807" s="65"/>
      <c r="AL1807" s="176" t="s">
        <v>1257</v>
      </c>
      <c r="AM1807" s="173" t="s">
        <v>349</v>
      </c>
      <c r="AN1807" s="159"/>
      <c r="AO1807" s="160"/>
      <c r="AP1807" s="161"/>
      <c r="AQ1807" s="160"/>
      <c r="AR1807" s="160"/>
      <c r="AS1807" s="160"/>
      <c r="AT1807" s="160"/>
      <c r="AU1807" s="160"/>
      <c r="AV1807" s="160"/>
      <c r="AW1807" s="160"/>
      <c r="AX1807" s="160"/>
      <c r="AY1807" s="160"/>
      <c r="AZ1807" s="160"/>
      <c r="BA1807" s="160"/>
      <c r="BB1807" s="160"/>
      <c r="BC1807" s="160"/>
      <c r="BD1807" s="160"/>
      <c r="BE1807" s="160"/>
      <c r="BF1807" s="160"/>
      <c r="BG1807" s="160"/>
      <c r="BH1807" s="160"/>
      <c r="BI1807" s="160"/>
      <c r="BJ1807" s="160"/>
      <c r="BK1807" s="160"/>
      <c r="BL1807" s="160"/>
      <c r="BM1807" s="160"/>
      <c r="BN1807" s="160"/>
      <c r="BO1807" s="160"/>
      <c r="BP1807" s="160"/>
      <c r="BQ1807" s="160"/>
      <c r="BR1807" s="160"/>
      <c r="BS1807" s="160"/>
      <c r="BT1807" s="160"/>
      <c r="BU1807" s="160"/>
      <c r="BV1807" s="160"/>
      <c r="BW1807" s="160"/>
      <c r="BX1807" s="160"/>
      <c r="BY1807" s="160"/>
      <c r="BZ1807" s="160"/>
      <c r="CA1807" s="160"/>
      <c r="CB1807" s="160"/>
      <c r="CC1807" s="160"/>
      <c r="CD1807" s="160"/>
      <c r="CE1807" s="160"/>
      <c r="CF1807" s="160"/>
      <c r="CG1807" s="160"/>
      <c r="CH1807" s="160"/>
      <c r="CI1807" s="160"/>
      <c r="CJ1807" s="160"/>
      <c r="CK1807" s="160"/>
      <c r="CL1807" s="160"/>
      <c r="CM1807" s="160"/>
      <c r="CN1807" s="160"/>
      <c r="CO1807" s="160"/>
      <c r="CP1807" s="162"/>
      <c r="CQ1807" s="163"/>
      <c r="CR1807" s="162"/>
      <c r="CS1807" s="163"/>
      <c r="CT1807" s="162"/>
      <c r="CU1807" s="163"/>
      <c r="CV1807" s="164">
        <f t="shared" si="232"/>
        <v>0</v>
      </c>
      <c r="CW1807" s="165"/>
      <c r="CX1807" s="166"/>
      <c r="CY1807" s="167"/>
      <c r="CZ1807" s="168"/>
      <c r="DA1807" s="169"/>
      <c r="DB1807" s="168"/>
      <c r="DC1807" s="165"/>
      <c r="DD1807" s="166"/>
      <c r="DE1807" s="71"/>
      <c r="DF1807" s="170"/>
      <c r="EO1807" s="375" t="str">
        <f t="shared" ref="EO1807:EO1867" si="234">B1807&amp;"_"&amp;C1807</f>
        <v>HUILA_ALTAMIRA</v>
      </c>
      <c r="EP1807" s="376"/>
      <c r="EQ1807" s="376"/>
      <c r="ER1807" s="377"/>
      <c r="ES1807" s="376"/>
      <c r="ET1807" s="376"/>
      <c r="EU1807" s="376"/>
    </row>
    <row r="1808" spans="1:151" s="171" customFormat="1" ht="25.5" x14ac:dyDescent="0.2">
      <c r="A1808" s="242">
        <v>40501</v>
      </c>
      <c r="B1808" s="222" t="s">
        <v>2245</v>
      </c>
      <c r="C1808" s="222" t="s">
        <v>578</v>
      </c>
      <c r="D1808" s="430" t="s">
        <v>2307</v>
      </c>
      <c r="E1808" s="107" t="str">
        <f>VLOOKUP(B1808&amp;C1808,Divipola!$C$2:$F$1138,4,FALSE)</f>
        <v>52233</v>
      </c>
      <c r="F1808" s="333"/>
      <c r="G1808" s="221">
        <v>1</v>
      </c>
      <c r="H1808" s="157"/>
      <c r="I1808" s="157"/>
      <c r="J1808" s="157"/>
      <c r="K1808" s="157"/>
      <c r="L1808" s="157"/>
      <c r="M1808" s="157"/>
      <c r="N1808" s="157">
        <v>1</v>
      </c>
      <c r="O1808" s="157"/>
      <c r="P1808" s="157"/>
      <c r="Q1808" s="157"/>
      <c r="R1808" s="157"/>
      <c r="S1808" s="157"/>
      <c r="T1808" s="157"/>
      <c r="U1808" s="157"/>
      <c r="V1808" s="158"/>
      <c r="W1808" s="182"/>
      <c r="X1808" s="1"/>
      <c r="Y1808" s="78">
        <f t="shared" si="229"/>
        <v>0</v>
      </c>
      <c r="Z1808" s="78">
        <f t="shared" si="230"/>
        <v>0</v>
      </c>
      <c r="AA1808" s="78">
        <f t="shared" si="228"/>
        <v>0</v>
      </c>
      <c r="AB1808" s="78">
        <f t="shared" si="231"/>
        <v>0</v>
      </c>
      <c r="AC1808" s="78"/>
      <c r="AD1808" s="78">
        <v>0</v>
      </c>
      <c r="AE1808" s="80">
        <f t="shared" si="233"/>
        <v>0</v>
      </c>
      <c r="AF1808" s="82">
        <v>0</v>
      </c>
      <c r="AG1808" s="69">
        <v>40501</v>
      </c>
      <c r="AH1808" s="84"/>
      <c r="AI1808" s="69" t="s">
        <v>1984</v>
      </c>
      <c r="AJ1808" s="25" t="s">
        <v>1985</v>
      </c>
      <c r="AK1808" s="65"/>
      <c r="AL1808" s="176" t="s">
        <v>1257</v>
      </c>
      <c r="AM1808" s="173" t="s">
        <v>2117</v>
      </c>
      <c r="AN1808" s="159"/>
      <c r="AO1808" s="160"/>
      <c r="AP1808" s="161"/>
      <c r="AQ1808" s="160"/>
      <c r="AR1808" s="160"/>
      <c r="AS1808" s="160"/>
      <c r="AT1808" s="160"/>
      <c r="AU1808" s="160"/>
      <c r="AV1808" s="160"/>
      <c r="AW1808" s="160"/>
      <c r="AX1808" s="160"/>
      <c r="AY1808" s="160"/>
      <c r="AZ1808" s="160"/>
      <c r="BA1808" s="160"/>
      <c r="BB1808" s="160"/>
      <c r="BC1808" s="160"/>
      <c r="BD1808" s="160"/>
      <c r="BE1808" s="160"/>
      <c r="BF1808" s="160"/>
      <c r="BG1808" s="160"/>
      <c r="BH1808" s="160"/>
      <c r="BI1808" s="160"/>
      <c r="BJ1808" s="160"/>
      <c r="BK1808" s="160"/>
      <c r="BL1808" s="160"/>
      <c r="BM1808" s="160"/>
      <c r="BN1808" s="160"/>
      <c r="BO1808" s="160"/>
      <c r="BP1808" s="160"/>
      <c r="BQ1808" s="160"/>
      <c r="BR1808" s="160"/>
      <c r="BS1808" s="160"/>
      <c r="BT1808" s="160"/>
      <c r="BU1808" s="160"/>
      <c r="BV1808" s="160"/>
      <c r="BW1808" s="160"/>
      <c r="BX1808" s="160"/>
      <c r="BY1808" s="160"/>
      <c r="BZ1808" s="160"/>
      <c r="CA1808" s="160"/>
      <c r="CB1808" s="160"/>
      <c r="CC1808" s="160"/>
      <c r="CD1808" s="160"/>
      <c r="CE1808" s="160"/>
      <c r="CF1808" s="160"/>
      <c r="CG1808" s="160"/>
      <c r="CH1808" s="160"/>
      <c r="CI1808" s="160"/>
      <c r="CJ1808" s="160"/>
      <c r="CK1808" s="160"/>
      <c r="CL1808" s="160"/>
      <c r="CM1808" s="160"/>
      <c r="CN1808" s="160"/>
      <c r="CO1808" s="160"/>
      <c r="CP1808" s="162"/>
      <c r="CQ1808" s="163"/>
      <c r="CR1808" s="162"/>
      <c r="CS1808" s="163"/>
      <c r="CT1808" s="162"/>
      <c r="CU1808" s="163"/>
      <c r="CV1808" s="164">
        <f t="shared" si="232"/>
        <v>0</v>
      </c>
      <c r="CW1808" s="165"/>
      <c r="CX1808" s="166"/>
      <c r="CY1808" s="167"/>
      <c r="CZ1808" s="168"/>
      <c r="DA1808" s="169"/>
      <c r="DB1808" s="168"/>
      <c r="DC1808" s="165"/>
      <c r="DD1808" s="166"/>
      <c r="DE1808" s="71"/>
      <c r="DF1808" s="170"/>
      <c r="EO1808" s="375" t="str">
        <f t="shared" si="234"/>
        <v>NARIÑO_CUMBITARA</v>
      </c>
      <c r="EP1808" s="376"/>
      <c r="EQ1808" s="376"/>
      <c r="ER1808" s="377"/>
      <c r="ES1808" s="376"/>
      <c r="ET1808" s="376"/>
      <c r="EU1808" s="376"/>
    </row>
    <row r="1809" spans="1:151" s="171" customFormat="1" ht="38.25" x14ac:dyDescent="0.2">
      <c r="A1809" s="242">
        <v>40501</v>
      </c>
      <c r="B1809" s="107" t="s">
        <v>2012</v>
      </c>
      <c r="C1809" s="222" t="s">
        <v>1938</v>
      </c>
      <c r="D1809" s="427" t="s">
        <v>2307</v>
      </c>
      <c r="E1809" s="107" t="str">
        <f>VLOOKUP(B1809&amp;C1809,Divipola!$C$2:$F$1138,4,FALSE)</f>
        <v>66687</v>
      </c>
      <c r="F1809" s="330"/>
      <c r="G1809" s="221"/>
      <c r="H1809" s="157"/>
      <c r="I1809" s="157"/>
      <c r="J1809" s="157">
        <v>40</v>
      </c>
      <c r="K1809" s="157">
        <v>8</v>
      </c>
      <c r="L1809" s="157">
        <v>8</v>
      </c>
      <c r="M1809" s="157"/>
      <c r="N1809" s="157">
        <v>5</v>
      </c>
      <c r="O1809" s="157"/>
      <c r="P1809" s="157"/>
      <c r="Q1809" s="157"/>
      <c r="R1809" s="157"/>
      <c r="S1809" s="157"/>
      <c r="T1809" s="157"/>
      <c r="U1809" s="157"/>
      <c r="V1809" s="158"/>
      <c r="W1809" s="182"/>
      <c r="X1809" s="1"/>
      <c r="Y1809" s="78">
        <f t="shared" si="229"/>
        <v>0</v>
      </c>
      <c r="Z1809" s="78">
        <f t="shared" si="230"/>
        <v>0</v>
      </c>
      <c r="AA1809" s="78">
        <f t="shared" si="228"/>
        <v>0</v>
      </c>
      <c r="AB1809" s="78">
        <f t="shared" si="231"/>
        <v>0</v>
      </c>
      <c r="AC1809" s="78"/>
      <c r="AD1809" s="78">
        <v>0</v>
      </c>
      <c r="AE1809" s="80">
        <f t="shared" si="233"/>
        <v>0</v>
      </c>
      <c r="AF1809" s="82">
        <v>0</v>
      </c>
      <c r="AG1809" s="69">
        <v>40502</v>
      </c>
      <c r="AH1809" s="84"/>
      <c r="AI1809" s="69" t="s">
        <v>2009</v>
      </c>
      <c r="AJ1809" s="25" t="s">
        <v>2010</v>
      </c>
      <c r="AK1809" s="65"/>
      <c r="AL1809" s="184" t="s">
        <v>3169</v>
      </c>
      <c r="AM1809" s="200" t="s">
        <v>1641</v>
      </c>
      <c r="AN1809" s="159"/>
      <c r="AO1809" s="160"/>
      <c r="AP1809" s="161"/>
      <c r="AQ1809" s="160"/>
      <c r="AR1809" s="160"/>
      <c r="AS1809" s="160"/>
      <c r="AT1809" s="160"/>
      <c r="AU1809" s="160"/>
      <c r="AV1809" s="160"/>
      <c r="AW1809" s="160"/>
      <c r="AX1809" s="160"/>
      <c r="AY1809" s="160"/>
      <c r="AZ1809" s="160"/>
      <c r="BA1809" s="160"/>
      <c r="BB1809" s="160"/>
      <c r="BC1809" s="160"/>
      <c r="BD1809" s="160"/>
      <c r="BE1809" s="160"/>
      <c r="BF1809" s="160"/>
      <c r="BG1809" s="160"/>
      <c r="BH1809" s="160"/>
      <c r="BI1809" s="160"/>
      <c r="BJ1809" s="160"/>
      <c r="BK1809" s="160"/>
      <c r="BL1809" s="160"/>
      <c r="BM1809" s="160"/>
      <c r="BN1809" s="160"/>
      <c r="BO1809" s="160"/>
      <c r="BP1809" s="160"/>
      <c r="BQ1809" s="160"/>
      <c r="BR1809" s="160"/>
      <c r="BS1809" s="160"/>
      <c r="BT1809" s="160"/>
      <c r="BU1809" s="160"/>
      <c r="BV1809" s="160"/>
      <c r="BW1809" s="160"/>
      <c r="BX1809" s="160"/>
      <c r="BY1809" s="160"/>
      <c r="BZ1809" s="160"/>
      <c r="CA1809" s="160"/>
      <c r="CB1809" s="160"/>
      <c r="CC1809" s="160"/>
      <c r="CD1809" s="160"/>
      <c r="CE1809" s="160"/>
      <c r="CF1809" s="160"/>
      <c r="CG1809" s="160"/>
      <c r="CH1809" s="160"/>
      <c r="CI1809" s="160"/>
      <c r="CJ1809" s="160"/>
      <c r="CK1809" s="160"/>
      <c r="CL1809" s="160"/>
      <c r="CM1809" s="160"/>
      <c r="CN1809" s="160"/>
      <c r="CO1809" s="160"/>
      <c r="CP1809" s="162"/>
      <c r="CQ1809" s="163"/>
      <c r="CR1809" s="162"/>
      <c r="CS1809" s="163"/>
      <c r="CT1809" s="162"/>
      <c r="CU1809" s="163"/>
      <c r="CV1809" s="164">
        <f t="shared" si="232"/>
        <v>0</v>
      </c>
      <c r="CW1809" s="165"/>
      <c r="CX1809" s="166"/>
      <c r="CY1809" s="167"/>
      <c r="CZ1809" s="168"/>
      <c r="DA1809" s="169"/>
      <c r="DB1809" s="168"/>
      <c r="DC1809" s="165"/>
      <c r="DD1809" s="166"/>
      <c r="DE1809" s="71"/>
      <c r="DF1809" s="170"/>
      <c r="EO1809" s="375" t="str">
        <f t="shared" si="234"/>
        <v>RISARALDA_SANTUARIO</v>
      </c>
      <c r="EP1809" s="376"/>
      <c r="EQ1809" s="376"/>
      <c r="ER1809" s="377"/>
      <c r="ES1809" s="376"/>
      <c r="ET1809" s="376"/>
      <c r="EU1809" s="376"/>
    </row>
    <row r="1810" spans="1:151" s="171" customFormat="1" ht="25.5" x14ac:dyDescent="0.2">
      <c r="A1810" s="242">
        <v>40501</v>
      </c>
      <c r="B1810" s="222" t="s">
        <v>2372</v>
      </c>
      <c r="C1810" s="222" t="s">
        <v>2372</v>
      </c>
      <c r="D1810" s="430" t="s">
        <v>2209</v>
      </c>
      <c r="E1810" s="107" t="str">
        <f>VLOOKUP(B1810&amp;C1810,Divipola!$C$2:$F$1138,4,FALSE)</f>
        <v>70771</v>
      </c>
      <c r="F1810" s="333"/>
      <c r="G1810" s="221"/>
      <c r="H1810" s="157"/>
      <c r="I1810" s="157"/>
      <c r="J1810" s="157">
        <v>25</v>
      </c>
      <c r="K1810" s="157">
        <v>3</v>
      </c>
      <c r="L1810" s="157"/>
      <c r="M1810" s="157">
        <v>3</v>
      </c>
      <c r="N1810" s="157"/>
      <c r="O1810" s="157"/>
      <c r="P1810" s="157"/>
      <c r="Q1810" s="157"/>
      <c r="R1810" s="157"/>
      <c r="S1810" s="157"/>
      <c r="T1810" s="157"/>
      <c r="U1810" s="157"/>
      <c r="V1810" s="158"/>
      <c r="W1810" s="182"/>
      <c r="X1810" s="1"/>
      <c r="Y1810" s="78">
        <f t="shared" si="229"/>
        <v>271152000</v>
      </c>
      <c r="Z1810" s="78">
        <f t="shared" si="230"/>
        <v>640220000</v>
      </c>
      <c r="AA1810" s="78">
        <f t="shared" si="228"/>
        <v>0</v>
      </c>
      <c r="AB1810" s="78">
        <f t="shared" si="231"/>
        <v>0</v>
      </c>
      <c r="AC1810" s="78"/>
      <c r="AD1810" s="78">
        <v>0</v>
      </c>
      <c r="AE1810" s="80">
        <f t="shared" si="233"/>
        <v>911372000</v>
      </c>
      <c r="AF1810" s="82">
        <v>0</v>
      </c>
      <c r="AG1810" s="69">
        <v>40504</v>
      </c>
      <c r="AH1810" s="84"/>
      <c r="AI1810" s="69" t="s">
        <v>2009</v>
      </c>
      <c r="AJ1810" s="25" t="s">
        <v>2010</v>
      </c>
      <c r="AK1810" s="65"/>
      <c r="AL1810" s="176" t="s">
        <v>1257</v>
      </c>
      <c r="AM1810" s="173" t="s">
        <v>2213</v>
      </c>
      <c r="AN1810" s="159"/>
      <c r="AO1810" s="160"/>
      <c r="AP1810" s="161"/>
      <c r="AQ1810" s="160"/>
      <c r="AR1810" s="160"/>
      <c r="AS1810" s="160"/>
      <c r="AT1810" s="160"/>
      <c r="AU1810" s="160"/>
      <c r="AV1810" s="160"/>
      <c r="AW1810" s="160"/>
      <c r="AX1810" s="160"/>
      <c r="AY1810" s="160"/>
      <c r="AZ1810" s="160"/>
      <c r="BA1810" s="160"/>
      <c r="BB1810" s="160"/>
      <c r="BC1810" s="160"/>
      <c r="BD1810" s="160"/>
      <c r="BE1810" s="160"/>
      <c r="BF1810" s="160"/>
      <c r="BG1810" s="160"/>
      <c r="BH1810" s="160"/>
      <c r="BI1810" s="160"/>
      <c r="BJ1810" s="160"/>
      <c r="BK1810" s="160"/>
      <c r="BL1810" s="160"/>
      <c r="BM1810" s="160"/>
      <c r="BN1810" s="160"/>
      <c r="BO1810" s="160"/>
      <c r="BP1810" s="160"/>
      <c r="BQ1810" s="160"/>
      <c r="BR1810" s="160"/>
      <c r="BS1810" s="160"/>
      <c r="BT1810" s="160"/>
      <c r="BU1810" s="160"/>
      <c r="BV1810" s="160"/>
      <c r="BW1810" s="160"/>
      <c r="BX1810" s="160"/>
      <c r="BY1810" s="160"/>
      <c r="BZ1810" s="160"/>
      <c r="CA1810" s="160"/>
      <c r="CB1810" s="160"/>
      <c r="CC1810" s="160"/>
      <c r="CD1810" s="160"/>
      <c r="CE1810" s="160"/>
      <c r="CF1810" s="160"/>
      <c r="CG1810" s="160"/>
      <c r="CH1810" s="160"/>
      <c r="CI1810" s="160"/>
      <c r="CJ1810" s="160"/>
      <c r="CK1810" s="160"/>
      <c r="CL1810" s="160"/>
      <c r="CM1810" s="160"/>
      <c r="CN1810" s="160">
        <v>15064</v>
      </c>
      <c r="CO1810" s="160">
        <f>15064*18000</f>
        <v>271152000</v>
      </c>
      <c r="CP1810" s="162"/>
      <c r="CQ1810" s="163"/>
      <c r="CR1810" s="162"/>
      <c r="CS1810" s="163"/>
      <c r="CT1810" s="162"/>
      <c r="CU1810" s="163"/>
      <c r="CV1810" s="164">
        <f t="shared" si="232"/>
        <v>271152000</v>
      </c>
      <c r="CW1810" s="165"/>
      <c r="CX1810" s="166"/>
      <c r="CY1810" s="167">
        <v>7532</v>
      </c>
      <c r="CZ1810" s="168">
        <f>7532*85000</f>
        <v>640220000</v>
      </c>
      <c r="DA1810" s="169"/>
      <c r="DB1810" s="168"/>
      <c r="DC1810" s="165"/>
      <c r="DD1810" s="166"/>
      <c r="DE1810" s="71"/>
      <c r="DF1810" s="170"/>
      <c r="EO1810" s="375" t="str">
        <f t="shared" si="234"/>
        <v>SUCRE_SUCRE</v>
      </c>
      <c r="EP1810" s="376"/>
      <c r="EQ1810" s="376"/>
      <c r="ER1810" s="377"/>
      <c r="ES1810" s="376"/>
      <c r="ET1810" s="376"/>
      <c r="EU1810" s="376"/>
    </row>
    <row r="1811" spans="1:151" s="171" customFormat="1" ht="25.5" x14ac:dyDescent="0.2">
      <c r="A1811" s="242">
        <v>40502</v>
      </c>
      <c r="B1811" s="222" t="s">
        <v>1951</v>
      </c>
      <c r="C1811" s="222" t="s">
        <v>1818</v>
      </c>
      <c r="D1811" s="427" t="s">
        <v>2307</v>
      </c>
      <c r="E1811" s="107" t="str">
        <f>VLOOKUP(B1811&amp;C1811,Divipola!$C$2:$F$1138,4,FALSE)</f>
        <v>08849</v>
      </c>
      <c r="F1811" s="330"/>
      <c r="G1811" s="221"/>
      <c r="H1811" s="157"/>
      <c r="I1811" s="157"/>
      <c r="J1811" s="157">
        <v>50</v>
      </c>
      <c r="K1811" s="157">
        <v>10</v>
      </c>
      <c r="L1811" s="157"/>
      <c r="M1811" s="157">
        <v>10</v>
      </c>
      <c r="N1811" s="157"/>
      <c r="O1811" s="157"/>
      <c r="P1811" s="157"/>
      <c r="Q1811" s="157"/>
      <c r="R1811" s="157"/>
      <c r="S1811" s="157"/>
      <c r="T1811" s="157"/>
      <c r="U1811" s="157"/>
      <c r="V1811" s="158"/>
      <c r="W1811" s="182"/>
      <c r="X1811" s="1">
        <v>40536</v>
      </c>
      <c r="Y1811" s="78">
        <f t="shared" si="229"/>
        <v>0</v>
      </c>
      <c r="Z1811" s="78">
        <f t="shared" si="230"/>
        <v>2550000</v>
      </c>
      <c r="AA1811" s="78">
        <f t="shared" si="228"/>
        <v>0</v>
      </c>
      <c r="AB1811" s="78">
        <f t="shared" si="231"/>
        <v>0</v>
      </c>
      <c r="AC1811" s="78"/>
      <c r="AD1811" s="78">
        <v>0</v>
      </c>
      <c r="AE1811" s="80">
        <f t="shared" si="233"/>
        <v>2550000</v>
      </c>
      <c r="AF1811" s="82">
        <v>0</v>
      </c>
      <c r="AG1811" s="69">
        <v>40504</v>
      </c>
      <c r="AH1811" s="84"/>
      <c r="AI1811" s="69" t="s">
        <v>2009</v>
      </c>
      <c r="AJ1811" s="25" t="s">
        <v>2010</v>
      </c>
      <c r="AK1811" s="65">
        <v>27459</v>
      </c>
      <c r="AL1811" s="176" t="s">
        <v>1257</v>
      </c>
      <c r="AM1811" s="173" t="s">
        <v>2213</v>
      </c>
      <c r="AN1811" s="159"/>
      <c r="AO1811" s="160"/>
      <c r="AP1811" s="161"/>
      <c r="AQ1811" s="160"/>
      <c r="AR1811" s="160"/>
      <c r="AS1811" s="160"/>
      <c r="AT1811" s="160"/>
      <c r="AU1811" s="160"/>
      <c r="AV1811" s="160"/>
      <c r="AW1811" s="160"/>
      <c r="AX1811" s="160"/>
      <c r="AY1811" s="160"/>
      <c r="AZ1811" s="160"/>
      <c r="BA1811" s="160"/>
      <c r="BB1811" s="160"/>
      <c r="BC1811" s="160"/>
      <c r="BD1811" s="160"/>
      <c r="BE1811" s="160"/>
      <c r="BF1811" s="160"/>
      <c r="BG1811" s="160"/>
      <c r="BH1811" s="160"/>
      <c r="BI1811" s="160"/>
      <c r="BJ1811" s="160"/>
      <c r="BK1811" s="160"/>
      <c r="BL1811" s="160"/>
      <c r="BM1811" s="160"/>
      <c r="BN1811" s="160"/>
      <c r="BO1811" s="160"/>
      <c r="BP1811" s="160"/>
      <c r="BQ1811" s="160"/>
      <c r="BR1811" s="160"/>
      <c r="BS1811" s="160"/>
      <c r="BT1811" s="160"/>
      <c r="BU1811" s="160"/>
      <c r="BV1811" s="160"/>
      <c r="BW1811" s="160"/>
      <c r="BX1811" s="160"/>
      <c r="BY1811" s="160"/>
      <c r="BZ1811" s="160"/>
      <c r="CA1811" s="160"/>
      <c r="CB1811" s="160"/>
      <c r="CC1811" s="160"/>
      <c r="CD1811" s="160"/>
      <c r="CE1811" s="160"/>
      <c r="CF1811" s="160"/>
      <c r="CG1811" s="160"/>
      <c r="CH1811" s="160"/>
      <c r="CI1811" s="160"/>
      <c r="CJ1811" s="160"/>
      <c r="CK1811" s="160"/>
      <c r="CL1811" s="160"/>
      <c r="CM1811" s="160"/>
      <c r="CN1811" s="160"/>
      <c r="CO1811" s="160"/>
      <c r="CP1811" s="162"/>
      <c r="CQ1811" s="163"/>
      <c r="CR1811" s="162"/>
      <c r="CS1811" s="163"/>
      <c r="CT1811" s="162"/>
      <c r="CU1811" s="163"/>
      <c r="CV1811" s="164">
        <f t="shared" si="232"/>
        <v>0</v>
      </c>
      <c r="CW1811" s="165"/>
      <c r="CX1811" s="166"/>
      <c r="CY1811" s="167">
        <v>30</v>
      </c>
      <c r="CZ1811" s="168">
        <f>30*85000</f>
        <v>2550000</v>
      </c>
      <c r="DA1811" s="169"/>
      <c r="DB1811" s="168"/>
      <c r="DC1811" s="165"/>
      <c r="DD1811" s="166"/>
      <c r="DE1811" s="71"/>
      <c r="DF1811" s="170"/>
      <c r="EO1811" s="375" t="str">
        <f t="shared" si="234"/>
        <v>ATLANTICO_USIACURI</v>
      </c>
      <c r="EP1811" s="376"/>
      <c r="EQ1811" s="376"/>
      <c r="ER1811" s="377"/>
      <c r="ES1811" s="376"/>
      <c r="ET1811" s="376"/>
      <c r="EU1811" s="376"/>
    </row>
    <row r="1812" spans="1:151" s="171" customFormat="1" ht="25.5" x14ac:dyDescent="0.2">
      <c r="A1812" s="242">
        <v>40502</v>
      </c>
      <c r="B1812" s="222" t="s">
        <v>289</v>
      </c>
      <c r="C1812" s="222" t="s">
        <v>1650</v>
      </c>
      <c r="D1812" s="427" t="s">
        <v>2307</v>
      </c>
      <c r="E1812" s="107" t="str">
        <f>VLOOKUP(B1812&amp;C1812,Divipola!$C$2:$F$1138,4,FALSE)</f>
        <v>17446</v>
      </c>
      <c r="F1812" s="330"/>
      <c r="G1812" s="221">
        <v>2</v>
      </c>
      <c r="H1812" s="157"/>
      <c r="I1812" s="157"/>
      <c r="J1812" s="157">
        <f>25*5</f>
        <v>125</v>
      </c>
      <c r="K1812" s="157">
        <v>25</v>
      </c>
      <c r="L1812" s="157">
        <v>1</v>
      </c>
      <c r="M1812" s="157">
        <v>21</v>
      </c>
      <c r="N1812" s="157"/>
      <c r="O1812" s="157"/>
      <c r="P1812" s="157"/>
      <c r="Q1812" s="157"/>
      <c r="R1812" s="157"/>
      <c r="S1812" s="157"/>
      <c r="T1812" s="157"/>
      <c r="U1812" s="157"/>
      <c r="V1812" s="158"/>
      <c r="W1812" s="182"/>
      <c r="X1812" s="1"/>
      <c r="Y1812" s="78">
        <f t="shared" si="229"/>
        <v>0</v>
      </c>
      <c r="Z1812" s="78">
        <f t="shared" si="230"/>
        <v>0</v>
      </c>
      <c r="AA1812" s="78">
        <f t="shared" si="228"/>
        <v>0</v>
      </c>
      <c r="AB1812" s="78">
        <f t="shared" si="231"/>
        <v>0</v>
      </c>
      <c r="AC1812" s="78"/>
      <c r="AD1812" s="78">
        <v>0</v>
      </c>
      <c r="AE1812" s="80">
        <f t="shared" si="233"/>
        <v>0</v>
      </c>
      <c r="AF1812" s="82">
        <v>0</v>
      </c>
      <c r="AG1812" s="69">
        <v>40504</v>
      </c>
      <c r="AH1812" s="84"/>
      <c r="AI1812" s="69" t="s">
        <v>2009</v>
      </c>
      <c r="AJ1812" s="25" t="s">
        <v>2010</v>
      </c>
      <c r="AK1812" s="65"/>
      <c r="AL1812" s="184" t="s">
        <v>3833</v>
      </c>
      <c r="AM1812" s="173" t="s">
        <v>1651</v>
      </c>
      <c r="AN1812" s="159"/>
      <c r="AO1812" s="160"/>
      <c r="AP1812" s="161"/>
      <c r="AQ1812" s="160"/>
      <c r="AR1812" s="160"/>
      <c r="AS1812" s="160"/>
      <c r="AT1812" s="160"/>
      <c r="AU1812" s="160"/>
      <c r="AV1812" s="160"/>
      <c r="AW1812" s="160"/>
      <c r="AX1812" s="160"/>
      <c r="AY1812" s="160"/>
      <c r="AZ1812" s="160"/>
      <c r="BA1812" s="160"/>
      <c r="BB1812" s="160"/>
      <c r="BC1812" s="160"/>
      <c r="BD1812" s="160"/>
      <c r="BE1812" s="160"/>
      <c r="BF1812" s="160"/>
      <c r="BG1812" s="160"/>
      <c r="BH1812" s="160"/>
      <c r="BI1812" s="160"/>
      <c r="BJ1812" s="160"/>
      <c r="BK1812" s="160"/>
      <c r="BL1812" s="160"/>
      <c r="BM1812" s="160"/>
      <c r="BN1812" s="160"/>
      <c r="BO1812" s="160"/>
      <c r="BP1812" s="160"/>
      <c r="BQ1812" s="160"/>
      <c r="BR1812" s="160"/>
      <c r="BS1812" s="160"/>
      <c r="BT1812" s="160"/>
      <c r="BU1812" s="160"/>
      <c r="BV1812" s="160"/>
      <c r="BW1812" s="160"/>
      <c r="BX1812" s="160"/>
      <c r="BY1812" s="160"/>
      <c r="BZ1812" s="160"/>
      <c r="CA1812" s="160"/>
      <c r="CB1812" s="160"/>
      <c r="CC1812" s="160"/>
      <c r="CD1812" s="160"/>
      <c r="CE1812" s="160"/>
      <c r="CF1812" s="160"/>
      <c r="CG1812" s="160"/>
      <c r="CH1812" s="160"/>
      <c r="CI1812" s="160"/>
      <c r="CJ1812" s="160"/>
      <c r="CK1812" s="160"/>
      <c r="CL1812" s="160"/>
      <c r="CM1812" s="160"/>
      <c r="CN1812" s="160"/>
      <c r="CO1812" s="160"/>
      <c r="CP1812" s="162"/>
      <c r="CQ1812" s="163"/>
      <c r="CR1812" s="162"/>
      <c r="CS1812" s="163"/>
      <c r="CT1812" s="162"/>
      <c r="CU1812" s="163"/>
      <c r="CV1812" s="164">
        <f t="shared" si="232"/>
        <v>0</v>
      </c>
      <c r="CW1812" s="165"/>
      <c r="CX1812" s="166"/>
      <c r="CY1812" s="167"/>
      <c r="CZ1812" s="168"/>
      <c r="DA1812" s="169"/>
      <c r="DB1812" s="168"/>
      <c r="DC1812" s="165"/>
      <c r="DD1812" s="166"/>
      <c r="DE1812" s="71"/>
      <c r="DF1812" s="170"/>
      <c r="EO1812" s="375" t="str">
        <f t="shared" si="234"/>
        <v>CALDAS_MARULANDA</v>
      </c>
      <c r="EP1812" s="376"/>
      <c r="EQ1812" s="376"/>
      <c r="ER1812" s="377"/>
      <c r="ES1812" s="376"/>
      <c r="ET1812" s="376"/>
      <c r="EU1812" s="376"/>
    </row>
    <row r="1813" spans="1:151" s="171" customFormat="1" ht="67.5" x14ac:dyDescent="0.2">
      <c r="A1813" s="242">
        <v>40502</v>
      </c>
      <c r="B1813" s="222" t="s">
        <v>3112</v>
      </c>
      <c r="C1813" s="222" t="s">
        <v>3838</v>
      </c>
      <c r="D1813" s="430" t="s">
        <v>2209</v>
      </c>
      <c r="E1813" s="107" t="str">
        <f>VLOOKUP(B1813&amp;C1813,Divipola!$C$2:$F$1138,4,FALSE)</f>
        <v>18610</v>
      </c>
      <c r="F1813" s="333"/>
      <c r="G1813" s="221"/>
      <c r="H1813" s="157"/>
      <c r="I1813" s="157"/>
      <c r="J1813" s="157">
        <f>75*5</f>
        <v>375</v>
      </c>
      <c r="K1813" s="157">
        <v>75</v>
      </c>
      <c r="L1813" s="157"/>
      <c r="M1813" s="157">
        <v>75</v>
      </c>
      <c r="N1813" s="157"/>
      <c r="O1813" s="157"/>
      <c r="P1813" s="157"/>
      <c r="Q1813" s="157"/>
      <c r="R1813" s="157"/>
      <c r="S1813" s="157"/>
      <c r="T1813" s="157"/>
      <c r="U1813" s="157"/>
      <c r="V1813" s="158"/>
      <c r="W1813" s="182"/>
      <c r="X1813" s="1"/>
      <c r="Y1813" s="78">
        <f t="shared" si="229"/>
        <v>0</v>
      </c>
      <c r="Z1813" s="78">
        <f t="shared" si="230"/>
        <v>0</v>
      </c>
      <c r="AA1813" s="78">
        <f t="shared" si="228"/>
        <v>0</v>
      </c>
      <c r="AB1813" s="78">
        <f t="shared" si="231"/>
        <v>0</v>
      </c>
      <c r="AC1813" s="78"/>
      <c r="AD1813" s="78">
        <v>0</v>
      </c>
      <c r="AE1813" s="80">
        <f t="shared" si="233"/>
        <v>0</v>
      </c>
      <c r="AF1813" s="82">
        <v>0</v>
      </c>
      <c r="AG1813" s="69">
        <v>40515</v>
      </c>
      <c r="AH1813" s="84">
        <v>69284</v>
      </c>
      <c r="AI1813" s="69" t="s">
        <v>2009</v>
      </c>
      <c r="AJ1813" s="25" t="s">
        <v>1985</v>
      </c>
      <c r="AK1813" s="65"/>
      <c r="AL1813" s="176" t="s">
        <v>350</v>
      </c>
      <c r="AM1813" s="173" t="s">
        <v>283</v>
      </c>
      <c r="AN1813" s="159"/>
      <c r="AO1813" s="160"/>
      <c r="AP1813" s="161"/>
      <c r="AQ1813" s="160"/>
      <c r="AR1813" s="160"/>
      <c r="AS1813" s="160"/>
      <c r="AT1813" s="160"/>
      <c r="AU1813" s="160"/>
      <c r="AV1813" s="160"/>
      <c r="AW1813" s="160"/>
      <c r="AX1813" s="160"/>
      <c r="AY1813" s="160"/>
      <c r="AZ1813" s="160"/>
      <c r="BA1813" s="160"/>
      <c r="BB1813" s="160"/>
      <c r="BC1813" s="160"/>
      <c r="BD1813" s="160"/>
      <c r="BE1813" s="160"/>
      <c r="BF1813" s="160"/>
      <c r="BG1813" s="160"/>
      <c r="BH1813" s="160"/>
      <c r="BI1813" s="160"/>
      <c r="BJ1813" s="160"/>
      <c r="BK1813" s="160"/>
      <c r="BL1813" s="160"/>
      <c r="BM1813" s="160"/>
      <c r="BN1813" s="160"/>
      <c r="BO1813" s="160"/>
      <c r="BP1813" s="160"/>
      <c r="BQ1813" s="160"/>
      <c r="BR1813" s="160"/>
      <c r="BS1813" s="160"/>
      <c r="BT1813" s="160"/>
      <c r="BU1813" s="160"/>
      <c r="BV1813" s="160"/>
      <c r="BW1813" s="160"/>
      <c r="BX1813" s="160"/>
      <c r="BY1813" s="160"/>
      <c r="BZ1813" s="160"/>
      <c r="CA1813" s="160"/>
      <c r="CB1813" s="160"/>
      <c r="CC1813" s="160"/>
      <c r="CD1813" s="160"/>
      <c r="CE1813" s="160"/>
      <c r="CF1813" s="160"/>
      <c r="CG1813" s="160"/>
      <c r="CH1813" s="160"/>
      <c r="CI1813" s="160"/>
      <c r="CJ1813" s="160"/>
      <c r="CK1813" s="160"/>
      <c r="CL1813" s="160"/>
      <c r="CM1813" s="160"/>
      <c r="CN1813" s="160"/>
      <c r="CO1813" s="160"/>
      <c r="CP1813" s="162"/>
      <c r="CQ1813" s="163"/>
      <c r="CR1813" s="162"/>
      <c r="CS1813" s="163"/>
      <c r="CT1813" s="162"/>
      <c r="CU1813" s="163"/>
      <c r="CV1813" s="164">
        <f t="shared" si="232"/>
        <v>0</v>
      </c>
      <c r="CW1813" s="165"/>
      <c r="CX1813" s="166"/>
      <c r="CY1813" s="167"/>
      <c r="CZ1813" s="168"/>
      <c r="DA1813" s="169"/>
      <c r="DB1813" s="168"/>
      <c r="DC1813" s="165"/>
      <c r="DD1813" s="166"/>
      <c r="DE1813" s="71"/>
      <c r="DF1813" s="170"/>
      <c r="EO1813" s="375" t="str">
        <f t="shared" si="234"/>
        <v>CAQUETA_SAN JOSE DEL FRAGUA</v>
      </c>
      <c r="EP1813" s="376"/>
      <c r="EQ1813" s="376"/>
      <c r="ER1813" s="377"/>
      <c r="ES1813" s="376"/>
      <c r="ET1813" s="376"/>
      <c r="EU1813" s="376"/>
    </row>
    <row r="1814" spans="1:151" s="171" customFormat="1" ht="25.5" x14ac:dyDescent="0.2">
      <c r="A1814" s="242">
        <v>40502</v>
      </c>
      <c r="B1814" s="222" t="s">
        <v>1719</v>
      </c>
      <c r="C1814" s="222" t="s">
        <v>1648</v>
      </c>
      <c r="D1814" s="430" t="s">
        <v>2734</v>
      </c>
      <c r="E1814" s="107" t="str">
        <f>VLOOKUP(B1814&amp;C1814,Divipola!$C$2:$F$1138,4,FALSE)</f>
        <v>19364</v>
      </c>
      <c r="F1814" s="333"/>
      <c r="G1814" s="221">
        <v>17</v>
      </c>
      <c r="H1814" s="157">
        <v>22</v>
      </c>
      <c r="I1814" s="157"/>
      <c r="J1814" s="157"/>
      <c r="K1814" s="157"/>
      <c r="L1814" s="157"/>
      <c r="M1814" s="157"/>
      <c r="N1814" s="157"/>
      <c r="O1814" s="157"/>
      <c r="P1814" s="157"/>
      <c r="Q1814" s="157"/>
      <c r="R1814" s="157"/>
      <c r="S1814" s="157"/>
      <c r="T1814" s="157"/>
      <c r="U1814" s="157"/>
      <c r="V1814" s="158"/>
      <c r="W1814" s="182"/>
      <c r="X1814" s="1"/>
      <c r="Y1814" s="78">
        <f t="shared" si="229"/>
        <v>0</v>
      </c>
      <c r="Z1814" s="78">
        <f t="shared" si="230"/>
        <v>0</v>
      </c>
      <c r="AA1814" s="78">
        <f t="shared" si="228"/>
        <v>0</v>
      </c>
      <c r="AB1814" s="78">
        <f t="shared" si="231"/>
        <v>0</v>
      </c>
      <c r="AC1814" s="78"/>
      <c r="AD1814" s="78">
        <v>0</v>
      </c>
      <c r="AE1814" s="80">
        <f t="shared" si="233"/>
        <v>0</v>
      </c>
      <c r="AF1814" s="82">
        <v>0</v>
      </c>
      <c r="AG1814" s="69">
        <v>40504</v>
      </c>
      <c r="AH1814" s="84"/>
      <c r="AI1814" s="69" t="s">
        <v>1984</v>
      </c>
      <c r="AJ1814" s="25" t="s">
        <v>1985</v>
      </c>
      <c r="AK1814" s="65"/>
      <c r="AL1814" s="176" t="s">
        <v>1257</v>
      </c>
      <c r="AM1814" s="173" t="s">
        <v>1649</v>
      </c>
      <c r="AN1814" s="159"/>
      <c r="AO1814" s="160"/>
      <c r="AP1814" s="161"/>
      <c r="AQ1814" s="160"/>
      <c r="AR1814" s="160"/>
      <c r="AS1814" s="160"/>
      <c r="AT1814" s="160"/>
      <c r="AU1814" s="160"/>
      <c r="AV1814" s="160"/>
      <c r="AW1814" s="160"/>
      <c r="AX1814" s="160"/>
      <c r="AY1814" s="160"/>
      <c r="AZ1814" s="160"/>
      <c r="BA1814" s="160"/>
      <c r="BB1814" s="160"/>
      <c r="BC1814" s="160"/>
      <c r="BD1814" s="160"/>
      <c r="BE1814" s="160"/>
      <c r="BF1814" s="160"/>
      <c r="BG1814" s="160"/>
      <c r="BH1814" s="160"/>
      <c r="BI1814" s="160"/>
      <c r="BJ1814" s="160"/>
      <c r="BK1814" s="160"/>
      <c r="BL1814" s="160"/>
      <c r="BM1814" s="160"/>
      <c r="BN1814" s="160"/>
      <c r="BO1814" s="160"/>
      <c r="BP1814" s="160"/>
      <c r="BQ1814" s="160"/>
      <c r="BR1814" s="160"/>
      <c r="BS1814" s="160"/>
      <c r="BT1814" s="160"/>
      <c r="BU1814" s="160"/>
      <c r="BV1814" s="160"/>
      <c r="BW1814" s="160"/>
      <c r="BX1814" s="160"/>
      <c r="BY1814" s="160"/>
      <c r="BZ1814" s="160"/>
      <c r="CA1814" s="160"/>
      <c r="CB1814" s="160"/>
      <c r="CC1814" s="160"/>
      <c r="CD1814" s="160"/>
      <c r="CE1814" s="160"/>
      <c r="CF1814" s="160"/>
      <c r="CG1814" s="160"/>
      <c r="CH1814" s="160"/>
      <c r="CI1814" s="160"/>
      <c r="CJ1814" s="160"/>
      <c r="CK1814" s="160"/>
      <c r="CL1814" s="160"/>
      <c r="CM1814" s="160"/>
      <c r="CN1814" s="160"/>
      <c r="CO1814" s="160"/>
      <c r="CP1814" s="162"/>
      <c r="CQ1814" s="163"/>
      <c r="CR1814" s="162"/>
      <c r="CS1814" s="163"/>
      <c r="CT1814" s="162"/>
      <c r="CU1814" s="163"/>
      <c r="CV1814" s="164">
        <f t="shared" si="232"/>
        <v>0</v>
      </c>
      <c r="CW1814" s="165"/>
      <c r="CX1814" s="166"/>
      <c r="CY1814" s="167"/>
      <c r="CZ1814" s="168"/>
      <c r="DA1814" s="169"/>
      <c r="DB1814" s="168"/>
      <c r="DC1814" s="165"/>
      <c r="DD1814" s="166"/>
      <c r="DE1814" s="71"/>
      <c r="DF1814" s="170"/>
      <c r="EO1814" s="375" t="str">
        <f t="shared" si="234"/>
        <v>CAUCA_JAMBALO</v>
      </c>
      <c r="EP1814" s="376"/>
      <c r="EQ1814" s="376"/>
      <c r="ER1814" s="377"/>
      <c r="ES1814" s="376"/>
      <c r="ET1814" s="376"/>
      <c r="EU1814" s="376"/>
    </row>
    <row r="1815" spans="1:151" s="171" customFormat="1" ht="48" x14ac:dyDescent="0.2">
      <c r="A1815" s="242">
        <v>40502</v>
      </c>
      <c r="B1815" s="222" t="s">
        <v>1719</v>
      </c>
      <c r="C1815" s="222" t="s">
        <v>861</v>
      </c>
      <c r="D1815" s="430" t="s">
        <v>2734</v>
      </c>
      <c r="E1815" s="107" t="str">
        <f>VLOOKUP(B1815&amp;C1815,Divipola!$C$2:$F$1138,4,FALSE)</f>
        <v>19743</v>
      </c>
      <c r="F1815" s="333"/>
      <c r="G1815" s="221">
        <v>17</v>
      </c>
      <c r="H1815" s="157">
        <v>29</v>
      </c>
      <c r="I1815" s="157"/>
      <c r="J1815" s="157"/>
      <c r="K1815" s="157"/>
      <c r="L1815" s="157"/>
      <c r="M1815" s="157"/>
      <c r="N1815" s="157">
        <v>1</v>
      </c>
      <c r="O1815" s="157"/>
      <c r="P1815" s="157"/>
      <c r="Q1815" s="157"/>
      <c r="R1815" s="157"/>
      <c r="S1815" s="157"/>
      <c r="T1815" s="157"/>
      <c r="U1815" s="157"/>
      <c r="V1815" s="158"/>
      <c r="W1815" s="182"/>
      <c r="X1815" s="1"/>
      <c r="Y1815" s="78">
        <f t="shared" si="229"/>
        <v>0</v>
      </c>
      <c r="Z1815" s="78">
        <f t="shared" si="230"/>
        <v>0</v>
      </c>
      <c r="AA1815" s="78">
        <f t="shared" si="228"/>
        <v>0</v>
      </c>
      <c r="AB1815" s="78">
        <f t="shared" si="231"/>
        <v>0</v>
      </c>
      <c r="AC1815" s="78"/>
      <c r="AD1815" s="78">
        <v>0</v>
      </c>
      <c r="AE1815" s="80">
        <f t="shared" si="233"/>
        <v>0</v>
      </c>
      <c r="AF1815" s="82">
        <v>0</v>
      </c>
      <c r="AG1815" s="69">
        <v>40502</v>
      </c>
      <c r="AH1815" s="84"/>
      <c r="AI1815" s="69" t="s">
        <v>1984</v>
      </c>
      <c r="AJ1815" s="25" t="s">
        <v>1985</v>
      </c>
      <c r="AK1815" s="65"/>
      <c r="AL1815" s="176" t="s">
        <v>1257</v>
      </c>
      <c r="AM1815" s="173" t="s">
        <v>81</v>
      </c>
      <c r="AN1815" s="159"/>
      <c r="AO1815" s="160"/>
      <c r="AP1815" s="161"/>
      <c r="AQ1815" s="160"/>
      <c r="AR1815" s="160"/>
      <c r="AS1815" s="160"/>
      <c r="AT1815" s="160"/>
      <c r="AU1815" s="160"/>
      <c r="AV1815" s="160"/>
      <c r="AW1815" s="160"/>
      <c r="AX1815" s="160"/>
      <c r="AY1815" s="160"/>
      <c r="AZ1815" s="160"/>
      <c r="BA1815" s="160"/>
      <c r="BB1815" s="160"/>
      <c r="BC1815" s="160"/>
      <c r="BD1815" s="160"/>
      <c r="BE1815" s="160"/>
      <c r="BF1815" s="160"/>
      <c r="BG1815" s="160"/>
      <c r="BH1815" s="160"/>
      <c r="BI1815" s="160"/>
      <c r="BJ1815" s="160"/>
      <c r="BK1815" s="160"/>
      <c r="BL1815" s="160"/>
      <c r="BM1815" s="160"/>
      <c r="BN1815" s="160"/>
      <c r="BO1815" s="160"/>
      <c r="BP1815" s="160"/>
      <c r="BQ1815" s="160"/>
      <c r="BR1815" s="160"/>
      <c r="BS1815" s="160"/>
      <c r="BT1815" s="160"/>
      <c r="BU1815" s="160"/>
      <c r="BV1815" s="160"/>
      <c r="BW1815" s="160"/>
      <c r="BX1815" s="160"/>
      <c r="BY1815" s="160"/>
      <c r="BZ1815" s="160"/>
      <c r="CA1815" s="160"/>
      <c r="CB1815" s="160"/>
      <c r="CC1815" s="160"/>
      <c r="CD1815" s="160"/>
      <c r="CE1815" s="160"/>
      <c r="CF1815" s="160"/>
      <c r="CG1815" s="160"/>
      <c r="CH1815" s="160"/>
      <c r="CI1815" s="160"/>
      <c r="CJ1815" s="160"/>
      <c r="CK1815" s="160"/>
      <c r="CL1815" s="160"/>
      <c r="CM1815" s="160"/>
      <c r="CN1815" s="160"/>
      <c r="CO1815" s="160"/>
      <c r="CP1815" s="162"/>
      <c r="CQ1815" s="163"/>
      <c r="CR1815" s="162"/>
      <c r="CS1815" s="163"/>
      <c r="CT1815" s="162"/>
      <c r="CU1815" s="163"/>
      <c r="CV1815" s="164">
        <f t="shared" si="232"/>
        <v>0</v>
      </c>
      <c r="CW1815" s="165"/>
      <c r="CX1815" s="166"/>
      <c r="CY1815" s="167"/>
      <c r="CZ1815" s="168"/>
      <c r="DA1815" s="169"/>
      <c r="DB1815" s="168"/>
      <c r="DC1815" s="165"/>
      <c r="DD1815" s="166"/>
      <c r="DE1815" s="71"/>
      <c r="DF1815" s="170">
        <v>1518</v>
      </c>
      <c r="EO1815" s="375" t="str">
        <f t="shared" si="234"/>
        <v>CAUCA_SILVIA</v>
      </c>
      <c r="EP1815" s="376"/>
      <c r="EQ1815" s="376"/>
      <c r="ER1815" s="377"/>
      <c r="ES1815" s="376"/>
      <c r="ET1815" s="376"/>
      <c r="EU1815" s="376"/>
    </row>
    <row r="1816" spans="1:151" s="171" customFormat="1" ht="25.5" x14ac:dyDescent="0.2">
      <c r="A1816" s="242">
        <v>40502</v>
      </c>
      <c r="B1816" s="222" t="s">
        <v>2425</v>
      </c>
      <c r="C1816" s="222" t="s">
        <v>1309</v>
      </c>
      <c r="D1816" s="430" t="s">
        <v>837</v>
      </c>
      <c r="E1816" s="107" t="str">
        <f>VLOOKUP(B1816&amp;C1816,Divipola!$C$2:$F$1138,4,FALSE)</f>
        <v>27800</v>
      </c>
      <c r="F1816" s="333"/>
      <c r="G1816" s="221"/>
      <c r="H1816" s="157"/>
      <c r="I1816" s="157"/>
      <c r="J1816" s="157">
        <f>888*4</f>
        <v>3552</v>
      </c>
      <c r="K1816" s="157">
        <f>763+125</f>
        <v>888</v>
      </c>
      <c r="L1816" s="157"/>
      <c r="M1816" s="157"/>
      <c r="N1816" s="157"/>
      <c r="O1816" s="157"/>
      <c r="P1816" s="157"/>
      <c r="Q1816" s="157"/>
      <c r="R1816" s="157"/>
      <c r="S1816" s="157"/>
      <c r="T1816" s="157"/>
      <c r="U1816" s="157"/>
      <c r="V1816" s="158"/>
      <c r="W1816" s="182"/>
      <c r="X1816" s="1"/>
      <c r="Y1816" s="78">
        <f t="shared" si="229"/>
        <v>43204000</v>
      </c>
      <c r="Z1816" s="78">
        <f t="shared" si="230"/>
        <v>151130000</v>
      </c>
      <c r="AA1816" s="78">
        <f t="shared" si="228"/>
        <v>0</v>
      </c>
      <c r="AB1816" s="78">
        <f t="shared" si="231"/>
        <v>0</v>
      </c>
      <c r="AC1816" s="78"/>
      <c r="AD1816" s="78">
        <v>0</v>
      </c>
      <c r="AE1816" s="80">
        <f t="shared" si="233"/>
        <v>194334000</v>
      </c>
      <c r="AF1816" s="82">
        <v>0</v>
      </c>
      <c r="AG1816" s="69">
        <v>40505</v>
      </c>
      <c r="AH1816" s="84"/>
      <c r="AI1816" s="69" t="s">
        <v>2009</v>
      </c>
      <c r="AJ1816" s="25" t="s">
        <v>2010</v>
      </c>
      <c r="AK1816" s="65"/>
      <c r="AL1816" s="176" t="s">
        <v>1257</v>
      </c>
      <c r="AM1816" s="173" t="s">
        <v>2544</v>
      </c>
      <c r="AN1816" s="159"/>
      <c r="AO1816" s="160"/>
      <c r="AP1816" s="161"/>
      <c r="AQ1816" s="160"/>
      <c r="AR1816" s="160"/>
      <c r="AS1816" s="160"/>
      <c r="AT1816" s="160"/>
      <c r="AU1816" s="160"/>
      <c r="AV1816" s="160"/>
      <c r="AW1816" s="160"/>
      <c r="AX1816" s="160"/>
      <c r="AY1816" s="160"/>
      <c r="AZ1816" s="160"/>
      <c r="BA1816" s="160"/>
      <c r="BB1816" s="160">
        <v>200</v>
      </c>
      <c r="BC1816" s="160">
        <f>200*56000</f>
        <v>11200000</v>
      </c>
      <c r="BD1816" s="160"/>
      <c r="BE1816" s="160"/>
      <c r="BF1816" s="160"/>
      <c r="BG1816" s="160"/>
      <c r="BH1816" s="160"/>
      <c r="BI1816" s="160"/>
      <c r="BJ1816" s="160"/>
      <c r="BK1816" s="160"/>
      <c r="BL1816" s="160"/>
      <c r="BM1816" s="160"/>
      <c r="BN1816" s="160"/>
      <c r="BO1816" s="160"/>
      <c r="BP1816" s="160"/>
      <c r="BQ1816" s="160"/>
      <c r="BR1816" s="160"/>
      <c r="BS1816" s="160"/>
      <c r="BT1816" s="160"/>
      <c r="BU1816" s="160"/>
      <c r="BV1816" s="160"/>
      <c r="BW1816" s="160"/>
      <c r="BX1816" s="160"/>
      <c r="BY1816" s="160"/>
      <c r="BZ1816" s="160"/>
      <c r="CA1816" s="160"/>
      <c r="CB1816" s="160"/>
      <c r="CC1816" s="160"/>
      <c r="CD1816" s="160"/>
      <c r="CE1816" s="160"/>
      <c r="CF1816" s="160"/>
      <c r="CG1816" s="160"/>
      <c r="CH1816" s="160"/>
      <c r="CI1816" s="160"/>
      <c r="CJ1816" s="160"/>
      <c r="CK1816" s="160"/>
      <c r="CL1816" s="160"/>
      <c r="CM1816" s="160"/>
      <c r="CN1816" s="160">
        <v>1778</v>
      </c>
      <c r="CO1816" s="160">
        <f>1778*18000</f>
        <v>32004000</v>
      </c>
      <c r="CP1816" s="162"/>
      <c r="CQ1816" s="163"/>
      <c r="CR1816" s="162"/>
      <c r="CS1816" s="163"/>
      <c r="CT1816" s="162"/>
      <c r="CU1816" s="163"/>
      <c r="CV1816" s="164">
        <f t="shared" si="232"/>
        <v>43204000</v>
      </c>
      <c r="CW1816" s="165"/>
      <c r="CX1816" s="166"/>
      <c r="CY1816" s="167">
        <v>1778</v>
      </c>
      <c r="CZ1816" s="168">
        <f>1778*85000</f>
        <v>151130000</v>
      </c>
      <c r="DA1816" s="169"/>
      <c r="DB1816" s="168"/>
      <c r="DC1816" s="165"/>
      <c r="DD1816" s="166"/>
      <c r="DE1816" s="71"/>
      <c r="DF1816" s="170"/>
      <c r="EO1816" s="375" t="str">
        <f t="shared" si="234"/>
        <v>CHOCO_UNGUIA</v>
      </c>
      <c r="EP1816" s="376"/>
      <c r="EQ1816" s="376"/>
      <c r="ER1816" s="377"/>
      <c r="ES1816" s="376"/>
      <c r="ET1816" s="376"/>
      <c r="EU1816" s="376"/>
    </row>
    <row r="1817" spans="1:151" s="171" customFormat="1" ht="38.25" x14ac:dyDescent="0.2">
      <c r="A1817" s="242">
        <v>40502</v>
      </c>
      <c r="B1817" s="222" t="s">
        <v>1336</v>
      </c>
      <c r="C1817" s="222" t="s">
        <v>1732</v>
      </c>
      <c r="D1817" s="427" t="s">
        <v>2307</v>
      </c>
      <c r="E1817" s="107" t="str">
        <f>VLOOKUP(B1817&amp;C1817,Divipola!$C$2:$F$1138,4,FALSE)</f>
        <v>54001</v>
      </c>
      <c r="F1817" s="330"/>
      <c r="G1817" s="221"/>
      <c r="H1817" s="157"/>
      <c r="I1817" s="157"/>
      <c r="J1817" s="157"/>
      <c r="K1817" s="157"/>
      <c r="L1817" s="157"/>
      <c r="M1817" s="157"/>
      <c r="N1817" s="157"/>
      <c r="O1817" s="157"/>
      <c r="P1817" s="157"/>
      <c r="Q1817" s="157"/>
      <c r="R1817" s="157"/>
      <c r="S1817" s="157"/>
      <c r="T1817" s="157"/>
      <c r="U1817" s="157"/>
      <c r="V1817" s="158"/>
      <c r="W1817" s="182"/>
      <c r="X1817" s="1"/>
      <c r="Y1817" s="78">
        <f t="shared" si="229"/>
        <v>0</v>
      </c>
      <c r="Z1817" s="78">
        <f t="shared" si="230"/>
        <v>0</v>
      </c>
      <c r="AA1817" s="78">
        <f t="shared" si="228"/>
        <v>0</v>
      </c>
      <c r="AB1817" s="78">
        <f t="shared" si="231"/>
        <v>0</v>
      </c>
      <c r="AC1817" s="78"/>
      <c r="AD1817" s="78">
        <v>0</v>
      </c>
      <c r="AE1817" s="80">
        <f t="shared" si="233"/>
        <v>0</v>
      </c>
      <c r="AF1817" s="82">
        <v>0</v>
      </c>
      <c r="AG1817" s="69">
        <v>40504</v>
      </c>
      <c r="AH1817" s="84"/>
      <c r="AI1817" s="69" t="s">
        <v>1984</v>
      </c>
      <c r="AJ1817" s="25" t="s">
        <v>1985</v>
      </c>
      <c r="AK1817" s="65"/>
      <c r="AL1817" s="176" t="s">
        <v>1257</v>
      </c>
      <c r="AM1817" s="173" t="s">
        <v>1653</v>
      </c>
      <c r="AN1817" s="159"/>
      <c r="AO1817" s="160"/>
      <c r="AP1817" s="161"/>
      <c r="AQ1817" s="160"/>
      <c r="AR1817" s="160"/>
      <c r="AS1817" s="160"/>
      <c r="AT1817" s="160"/>
      <c r="AU1817" s="160"/>
      <c r="AV1817" s="160"/>
      <c r="AW1817" s="160"/>
      <c r="AX1817" s="160"/>
      <c r="AY1817" s="160"/>
      <c r="AZ1817" s="160"/>
      <c r="BA1817" s="160"/>
      <c r="BB1817" s="160"/>
      <c r="BC1817" s="160"/>
      <c r="BD1817" s="160"/>
      <c r="BE1817" s="160"/>
      <c r="BF1817" s="160"/>
      <c r="BG1817" s="160"/>
      <c r="BH1817" s="160"/>
      <c r="BI1817" s="160"/>
      <c r="BJ1817" s="160"/>
      <c r="BK1817" s="160"/>
      <c r="BL1817" s="160"/>
      <c r="BM1817" s="160"/>
      <c r="BN1817" s="160"/>
      <c r="BO1817" s="160"/>
      <c r="BP1817" s="160"/>
      <c r="BQ1817" s="160"/>
      <c r="BR1817" s="160"/>
      <c r="BS1817" s="160"/>
      <c r="BT1817" s="160"/>
      <c r="BU1817" s="160"/>
      <c r="BV1817" s="160"/>
      <c r="BW1817" s="160"/>
      <c r="BX1817" s="160"/>
      <c r="BY1817" s="160"/>
      <c r="BZ1817" s="160"/>
      <c r="CA1817" s="160"/>
      <c r="CB1817" s="160"/>
      <c r="CC1817" s="160"/>
      <c r="CD1817" s="160"/>
      <c r="CE1817" s="160"/>
      <c r="CF1817" s="160"/>
      <c r="CG1817" s="160"/>
      <c r="CH1817" s="160"/>
      <c r="CI1817" s="160"/>
      <c r="CJ1817" s="160"/>
      <c r="CK1817" s="160"/>
      <c r="CL1817" s="160"/>
      <c r="CM1817" s="160"/>
      <c r="CN1817" s="160"/>
      <c r="CO1817" s="160"/>
      <c r="CP1817" s="162"/>
      <c r="CQ1817" s="163"/>
      <c r="CR1817" s="162"/>
      <c r="CS1817" s="163"/>
      <c r="CT1817" s="162"/>
      <c r="CU1817" s="163"/>
      <c r="CV1817" s="164">
        <f t="shared" si="232"/>
        <v>0</v>
      </c>
      <c r="CW1817" s="165"/>
      <c r="CX1817" s="166"/>
      <c r="CY1817" s="167"/>
      <c r="CZ1817" s="168"/>
      <c r="DA1817" s="169"/>
      <c r="DB1817" s="168"/>
      <c r="DC1817" s="165"/>
      <c r="DD1817" s="166"/>
      <c r="DE1817" s="71"/>
      <c r="DF1817" s="170"/>
      <c r="EO1817" s="375" t="str">
        <f t="shared" si="234"/>
        <v>NORTE DE SANTANDER_CUCUTA</v>
      </c>
      <c r="EP1817" s="376"/>
      <c r="EQ1817" s="376"/>
      <c r="ER1817" s="377"/>
      <c r="ES1817" s="376"/>
      <c r="ET1817" s="376"/>
      <c r="EU1817" s="376"/>
    </row>
    <row r="1818" spans="1:151" s="171" customFormat="1" ht="48" x14ac:dyDescent="0.2">
      <c r="A1818" s="242">
        <v>40502</v>
      </c>
      <c r="B1818" s="222" t="s">
        <v>2014</v>
      </c>
      <c r="C1818" s="222" t="s">
        <v>2015</v>
      </c>
      <c r="D1818" s="427" t="s">
        <v>2307</v>
      </c>
      <c r="E1818" s="107" t="str">
        <f>VLOOKUP(B1818&amp;C1818,Divipola!$C$2:$F$1138,4,FALSE)</f>
        <v>63001</v>
      </c>
      <c r="F1818" s="330"/>
      <c r="G1818" s="221"/>
      <c r="H1818" s="157"/>
      <c r="I1818" s="157"/>
      <c r="J1818" s="157">
        <v>70</v>
      </c>
      <c r="K1818" s="157">
        <v>14</v>
      </c>
      <c r="L1818" s="157">
        <v>5</v>
      </c>
      <c r="M1818" s="157">
        <v>9</v>
      </c>
      <c r="N1818" s="157">
        <v>1</v>
      </c>
      <c r="O1818" s="157"/>
      <c r="P1818" s="157"/>
      <c r="Q1818" s="157"/>
      <c r="R1818" s="157"/>
      <c r="S1818" s="157"/>
      <c r="T1818" s="157"/>
      <c r="U1818" s="157"/>
      <c r="V1818" s="158"/>
      <c r="W1818" s="182"/>
      <c r="X1818" s="1"/>
      <c r="Y1818" s="78">
        <f t="shared" si="229"/>
        <v>0</v>
      </c>
      <c r="Z1818" s="78">
        <f t="shared" si="230"/>
        <v>0</v>
      </c>
      <c r="AA1818" s="78">
        <f t="shared" si="228"/>
        <v>0</v>
      </c>
      <c r="AB1818" s="78">
        <f t="shared" si="231"/>
        <v>0</v>
      </c>
      <c r="AC1818" s="78"/>
      <c r="AD1818" s="78">
        <v>0</v>
      </c>
      <c r="AE1818" s="80">
        <f t="shared" si="233"/>
        <v>0</v>
      </c>
      <c r="AF1818" s="82">
        <v>0</v>
      </c>
      <c r="AG1818" s="69">
        <v>40505</v>
      </c>
      <c r="AH1818" s="84"/>
      <c r="AI1818" s="69" t="s">
        <v>1984</v>
      </c>
      <c r="AJ1818" s="25" t="s">
        <v>1985</v>
      </c>
      <c r="AK1818" s="65"/>
      <c r="AL1818" s="176" t="s">
        <v>1257</v>
      </c>
      <c r="AM1818" s="173" t="s">
        <v>2528</v>
      </c>
      <c r="AN1818" s="159"/>
      <c r="AO1818" s="160"/>
      <c r="AP1818" s="161"/>
      <c r="AQ1818" s="160"/>
      <c r="AR1818" s="160"/>
      <c r="AS1818" s="160"/>
      <c r="AT1818" s="160"/>
      <c r="AU1818" s="160"/>
      <c r="AV1818" s="160"/>
      <c r="AW1818" s="160"/>
      <c r="AX1818" s="160"/>
      <c r="AY1818" s="160"/>
      <c r="AZ1818" s="160"/>
      <c r="BA1818" s="160"/>
      <c r="BB1818" s="160"/>
      <c r="BC1818" s="160"/>
      <c r="BD1818" s="160"/>
      <c r="BE1818" s="160"/>
      <c r="BF1818" s="160"/>
      <c r="BG1818" s="160"/>
      <c r="BH1818" s="160"/>
      <c r="BI1818" s="160"/>
      <c r="BJ1818" s="160"/>
      <c r="BK1818" s="160"/>
      <c r="BL1818" s="160"/>
      <c r="BM1818" s="160"/>
      <c r="BN1818" s="160"/>
      <c r="BO1818" s="160"/>
      <c r="BP1818" s="160"/>
      <c r="BQ1818" s="160"/>
      <c r="BR1818" s="160"/>
      <c r="BS1818" s="160"/>
      <c r="BT1818" s="160"/>
      <c r="BU1818" s="160"/>
      <c r="BV1818" s="160"/>
      <c r="BW1818" s="160"/>
      <c r="BX1818" s="160"/>
      <c r="BY1818" s="160"/>
      <c r="BZ1818" s="160"/>
      <c r="CA1818" s="160"/>
      <c r="CB1818" s="160"/>
      <c r="CC1818" s="160"/>
      <c r="CD1818" s="160"/>
      <c r="CE1818" s="160"/>
      <c r="CF1818" s="160"/>
      <c r="CG1818" s="160"/>
      <c r="CH1818" s="160"/>
      <c r="CI1818" s="160"/>
      <c r="CJ1818" s="160"/>
      <c r="CK1818" s="160"/>
      <c r="CL1818" s="160"/>
      <c r="CM1818" s="160"/>
      <c r="CN1818" s="160"/>
      <c r="CO1818" s="160"/>
      <c r="CP1818" s="162"/>
      <c r="CQ1818" s="163"/>
      <c r="CR1818" s="162"/>
      <c r="CS1818" s="163"/>
      <c r="CT1818" s="162"/>
      <c r="CU1818" s="163"/>
      <c r="CV1818" s="164">
        <f t="shared" si="232"/>
        <v>0</v>
      </c>
      <c r="CW1818" s="165"/>
      <c r="CX1818" s="166"/>
      <c r="CY1818" s="167"/>
      <c r="CZ1818" s="168"/>
      <c r="DA1818" s="169"/>
      <c r="DB1818" s="168"/>
      <c r="DC1818" s="165"/>
      <c r="DD1818" s="166"/>
      <c r="DE1818" s="71"/>
      <c r="DF1818" s="170"/>
      <c r="EO1818" s="375" t="str">
        <f t="shared" si="234"/>
        <v>QUINDIO_ARMENIA</v>
      </c>
      <c r="EP1818" s="376"/>
      <c r="EQ1818" s="376"/>
      <c r="ER1818" s="377"/>
      <c r="ES1818" s="376"/>
      <c r="ET1818" s="376"/>
      <c r="EU1818" s="376"/>
    </row>
    <row r="1819" spans="1:151" s="171" customFormat="1" ht="25.5" x14ac:dyDescent="0.2">
      <c r="A1819" s="242">
        <v>40502</v>
      </c>
      <c r="B1819" s="107" t="s">
        <v>2012</v>
      </c>
      <c r="C1819" s="222" t="s">
        <v>2762</v>
      </c>
      <c r="D1819" s="430" t="s">
        <v>837</v>
      </c>
      <c r="E1819" s="107" t="str">
        <f>VLOOKUP(B1819&amp;C1819,Divipola!$C$2:$F$1138,4,FALSE)</f>
        <v>66456</v>
      </c>
      <c r="F1819" s="333"/>
      <c r="G1819" s="221">
        <v>1</v>
      </c>
      <c r="H1819" s="157"/>
      <c r="I1819" s="157"/>
      <c r="J1819" s="157"/>
      <c r="K1819" s="157"/>
      <c r="L1819" s="157"/>
      <c r="M1819" s="157"/>
      <c r="N1819" s="157">
        <v>8</v>
      </c>
      <c r="O1819" s="157"/>
      <c r="P1819" s="157">
        <v>12</v>
      </c>
      <c r="Q1819" s="157">
        <v>3</v>
      </c>
      <c r="R1819" s="157"/>
      <c r="S1819" s="157"/>
      <c r="T1819" s="157"/>
      <c r="U1819" s="157"/>
      <c r="V1819" s="158"/>
      <c r="W1819" s="182"/>
      <c r="X1819" s="1"/>
      <c r="Y1819" s="78">
        <f t="shared" si="229"/>
        <v>0</v>
      </c>
      <c r="Z1819" s="78">
        <f t="shared" si="230"/>
        <v>0</v>
      </c>
      <c r="AA1819" s="78">
        <f t="shared" si="228"/>
        <v>0</v>
      </c>
      <c r="AB1819" s="78">
        <f t="shared" si="231"/>
        <v>0</v>
      </c>
      <c r="AC1819" s="78"/>
      <c r="AD1819" s="78">
        <v>0</v>
      </c>
      <c r="AE1819" s="80">
        <f t="shared" si="233"/>
        <v>0</v>
      </c>
      <c r="AF1819" s="82">
        <v>0</v>
      </c>
      <c r="AG1819" s="69">
        <v>40504</v>
      </c>
      <c r="AH1819" s="84"/>
      <c r="AI1819" s="69" t="s">
        <v>1984</v>
      </c>
      <c r="AJ1819" s="25" t="s">
        <v>1985</v>
      </c>
      <c r="AK1819" s="65"/>
      <c r="AL1819" s="176" t="s">
        <v>1257</v>
      </c>
      <c r="AM1819" s="173" t="s">
        <v>1640</v>
      </c>
      <c r="AN1819" s="159"/>
      <c r="AO1819" s="160"/>
      <c r="AP1819" s="161"/>
      <c r="AQ1819" s="160"/>
      <c r="AR1819" s="160"/>
      <c r="AS1819" s="160"/>
      <c r="AT1819" s="160"/>
      <c r="AU1819" s="160"/>
      <c r="AV1819" s="160"/>
      <c r="AW1819" s="160"/>
      <c r="AX1819" s="160"/>
      <c r="AY1819" s="160"/>
      <c r="AZ1819" s="160"/>
      <c r="BA1819" s="160"/>
      <c r="BB1819" s="160"/>
      <c r="BC1819" s="160"/>
      <c r="BD1819" s="160"/>
      <c r="BE1819" s="160"/>
      <c r="BF1819" s="160"/>
      <c r="BG1819" s="160"/>
      <c r="BH1819" s="160"/>
      <c r="BI1819" s="160"/>
      <c r="BJ1819" s="160"/>
      <c r="BK1819" s="160"/>
      <c r="BL1819" s="160"/>
      <c r="BM1819" s="160"/>
      <c r="BN1819" s="160"/>
      <c r="BO1819" s="160"/>
      <c r="BP1819" s="160"/>
      <c r="BQ1819" s="160"/>
      <c r="BR1819" s="160"/>
      <c r="BS1819" s="160"/>
      <c r="BT1819" s="160"/>
      <c r="BU1819" s="160"/>
      <c r="BV1819" s="160"/>
      <c r="BW1819" s="160"/>
      <c r="BX1819" s="160"/>
      <c r="BY1819" s="160"/>
      <c r="BZ1819" s="160"/>
      <c r="CA1819" s="160"/>
      <c r="CB1819" s="160"/>
      <c r="CC1819" s="160"/>
      <c r="CD1819" s="160"/>
      <c r="CE1819" s="160"/>
      <c r="CF1819" s="160"/>
      <c r="CG1819" s="160"/>
      <c r="CH1819" s="160"/>
      <c r="CI1819" s="160"/>
      <c r="CJ1819" s="160"/>
      <c r="CK1819" s="160"/>
      <c r="CL1819" s="160"/>
      <c r="CM1819" s="160"/>
      <c r="CN1819" s="160"/>
      <c r="CO1819" s="160"/>
      <c r="CP1819" s="162"/>
      <c r="CQ1819" s="163"/>
      <c r="CR1819" s="162"/>
      <c r="CS1819" s="163"/>
      <c r="CT1819" s="162"/>
      <c r="CU1819" s="163"/>
      <c r="CV1819" s="164">
        <f t="shared" si="232"/>
        <v>0</v>
      </c>
      <c r="CW1819" s="165"/>
      <c r="CX1819" s="166"/>
      <c r="CY1819" s="167"/>
      <c r="CZ1819" s="168"/>
      <c r="DA1819" s="169"/>
      <c r="DB1819" s="168"/>
      <c r="DC1819" s="165"/>
      <c r="DD1819" s="166"/>
      <c r="DE1819" s="71"/>
      <c r="DF1819" s="170"/>
      <c r="EO1819" s="375" t="str">
        <f t="shared" si="234"/>
        <v>RISARALDA_MISTRATO</v>
      </c>
      <c r="EP1819" s="376"/>
      <c r="EQ1819" s="376"/>
      <c r="ER1819" s="377"/>
      <c r="ES1819" s="376"/>
      <c r="ET1819" s="376"/>
      <c r="EU1819" s="376"/>
    </row>
    <row r="1820" spans="1:151" s="171" customFormat="1" ht="51" x14ac:dyDescent="0.2">
      <c r="A1820" s="242">
        <v>40502</v>
      </c>
      <c r="B1820" s="222" t="s">
        <v>1462</v>
      </c>
      <c r="C1820" s="222" t="s">
        <v>2432</v>
      </c>
      <c r="D1820" s="427" t="s">
        <v>2307</v>
      </c>
      <c r="E1820" s="107" t="str">
        <f>VLOOKUP(B1820&amp;C1820,Divipola!$C$2:$F$1138,4,FALSE)</f>
        <v>76054</v>
      </c>
      <c r="F1820" s="330"/>
      <c r="G1820" s="221"/>
      <c r="H1820" s="157"/>
      <c r="I1820" s="157"/>
      <c r="J1820" s="157">
        <v>500</v>
      </c>
      <c r="K1820" s="157">
        <v>100</v>
      </c>
      <c r="L1820" s="157"/>
      <c r="M1820" s="157">
        <v>75</v>
      </c>
      <c r="N1820" s="157">
        <v>1</v>
      </c>
      <c r="O1820" s="157"/>
      <c r="P1820" s="157"/>
      <c r="Q1820" s="157"/>
      <c r="R1820" s="157"/>
      <c r="S1820" s="157"/>
      <c r="T1820" s="157"/>
      <c r="U1820" s="157"/>
      <c r="V1820" s="158"/>
      <c r="W1820" s="182"/>
      <c r="X1820" s="1"/>
      <c r="Y1820" s="78">
        <f t="shared" si="229"/>
        <v>13000000</v>
      </c>
      <c r="Z1820" s="78">
        <f t="shared" si="230"/>
        <v>17000000</v>
      </c>
      <c r="AA1820" s="78">
        <f t="shared" si="228"/>
        <v>0</v>
      </c>
      <c r="AB1820" s="78">
        <f t="shared" si="231"/>
        <v>0</v>
      </c>
      <c r="AC1820" s="78"/>
      <c r="AD1820" s="78">
        <v>0</v>
      </c>
      <c r="AE1820" s="80">
        <f t="shared" si="233"/>
        <v>30000000</v>
      </c>
      <c r="AF1820" s="82">
        <v>0</v>
      </c>
      <c r="AG1820" s="242">
        <v>40504</v>
      </c>
      <c r="AH1820" s="84"/>
      <c r="AI1820" s="69" t="s">
        <v>2009</v>
      </c>
      <c r="AJ1820" s="25" t="s">
        <v>2010</v>
      </c>
      <c r="AK1820" s="65"/>
      <c r="AL1820" s="176" t="s">
        <v>1257</v>
      </c>
      <c r="AM1820" s="173" t="s">
        <v>1638</v>
      </c>
      <c r="AN1820" s="159"/>
      <c r="AO1820" s="160"/>
      <c r="AP1820" s="161"/>
      <c r="AQ1820" s="160"/>
      <c r="AR1820" s="160"/>
      <c r="AS1820" s="160"/>
      <c r="AT1820" s="160"/>
      <c r="AU1820" s="160"/>
      <c r="AV1820" s="160"/>
      <c r="AW1820" s="160"/>
      <c r="AX1820" s="160"/>
      <c r="AY1820" s="160"/>
      <c r="AZ1820" s="160">
        <v>100</v>
      </c>
      <c r="BA1820" s="160">
        <f>100*56000</f>
        <v>5600000</v>
      </c>
      <c r="BB1820" s="160"/>
      <c r="BC1820" s="160"/>
      <c r="BD1820" s="160"/>
      <c r="BE1820" s="160"/>
      <c r="BF1820" s="160"/>
      <c r="BG1820" s="160"/>
      <c r="BH1820" s="160"/>
      <c r="BI1820" s="160"/>
      <c r="BJ1820" s="160"/>
      <c r="BK1820" s="160"/>
      <c r="BL1820" s="160"/>
      <c r="BM1820" s="160"/>
      <c r="BN1820" s="160"/>
      <c r="BO1820" s="160"/>
      <c r="BP1820" s="160"/>
      <c r="BQ1820" s="160"/>
      <c r="BR1820" s="160"/>
      <c r="BS1820" s="160"/>
      <c r="BT1820" s="160"/>
      <c r="BU1820" s="160"/>
      <c r="BV1820" s="160"/>
      <c r="BW1820" s="160"/>
      <c r="BX1820" s="160"/>
      <c r="BY1820" s="160"/>
      <c r="BZ1820" s="160"/>
      <c r="CA1820" s="160"/>
      <c r="CB1820" s="160"/>
      <c r="CC1820" s="160"/>
      <c r="CD1820" s="160"/>
      <c r="CE1820" s="160"/>
      <c r="CF1820" s="160"/>
      <c r="CG1820" s="160"/>
      <c r="CH1820" s="160"/>
      <c r="CI1820" s="160"/>
      <c r="CJ1820" s="160"/>
      <c r="CK1820" s="160"/>
      <c r="CL1820" s="160"/>
      <c r="CM1820" s="160"/>
      <c r="CN1820" s="160"/>
      <c r="CO1820" s="160"/>
      <c r="CP1820" s="162">
        <f>100+100</f>
        <v>200</v>
      </c>
      <c r="CQ1820" s="163">
        <f>100*37000+100*37000</f>
        <v>7400000</v>
      </c>
      <c r="CR1820" s="162"/>
      <c r="CS1820" s="163"/>
      <c r="CT1820" s="162"/>
      <c r="CU1820" s="163"/>
      <c r="CV1820" s="164">
        <f t="shared" si="232"/>
        <v>13000000</v>
      </c>
      <c r="CW1820" s="165"/>
      <c r="CX1820" s="166"/>
      <c r="CY1820" s="167">
        <f>100+100</f>
        <v>200</v>
      </c>
      <c r="CZ1820" s="168">
        <f>100*85000+100*85000</f>
        <v>17000000</v>
      </c>
      <c r="DA1820" s="169"/>
      <c r="DB1820" s="168"/>
      <c r="DC1820" s="165"/>
      <c r="DD1820" s="166"/>
      <c r="DE1820" s="71"/>
      <c r="DF1820" s="170"/>
      <c r="EO1820" s="375" t="str">
        <f t="shared" si="234"/>
        <v>VALLE DEL CAUCA_ARGELIA</v>
      </c>
      <c r="EP1820" s="376"/>
      <c r="EQ1820" s="376"/>
      <c r="ER1820" s="377"/>
      <c r="ES1820" s="376"/>
      <c r="ET1820" s="376"/>
      <c r="EU1820" s="376"/>
    </row>
    <row r="1821" spans="1:151" s="171" customFormat="1" ht="51" x14ac:dyDescent="0.2">
      <c r="A1821" s="242">
        <v>40502</v>
      </c>
      <c r="B1821" s="222" t="s">
        <v>1462</v>
      </c>
      <c r="C1821" s="107" t="s">
        <v>4619</v>
      </c>
      <c r="D1821" s="427" t="s">
        <v>2307</v>
      </c>
      <c r="E1821" s="107" t="str">
        <f>VLOOKUP(B1821&amp;C1821,Divipola!$C$2:$F$1138,4,FALSE)</f>
        <v>76126</v>
      </c>
      <c r="F1821" s="330"/>
      <c r="G1821" s="221"/>
      <c r="H1821" s="157"/>
      <c r="I1821" s="157"/>
      <c r="J1821" s="157">
        <f>27*5</f>
        <v>135</v>
      </c>
      <c r="K1821" s="157">
        <f>150-123</f>
        <v>27</v>
      </c>
      <c r="L1821" s="157"/>
      <c r="M1821" s="157">
        <v>1</v>
      </c>
      <c r="N1821" s="157">
        <v>1</v>
      </c>
      <c r="O1821" s="157"/>
      <c r="P1821" s="157"/>
      <c r="Q1821" s="157"/>
      <c r="R1821" s="157"/>
      <c r="S1821" s="157"/>
      <c r="T1821" s="157"/>
      <c r="U1821" s="157"/>
      <c r="V1821" s="158"/>
      <c r="W1821" s="182"/>
      <c r="X1821" s="1"/>
      <c r="Y1821" s="78">
        <f t="shared" si="229"/>
        <v>0</v>
      </c>
      <c r="Z1821" s="78">
        <f t="shared" si="230"/>
        <v>0</v>
      </c>
      <c r="AA1821" s="78">
        <f t="shared" si="228"/>
        <v>0</v>
      </c>
      <c r="AB1821" s="78">
        <f t="shared" si="231"/>
        <v>0</v>
      </c>
      <c r="AC1821" s="78"/>
      <c r="AD1821" s="78">
        <v>0</v>
      </c>
      <c r="AE1821" s="80">
        <f t="shared" si="233"/>
        <v>0</v>
      </c>
      <c r="AF1821" s="82">
        <v>0</v>
      </c>
      <c r="AG1821" s="69">
        <v>40505</v>
      </c>
      <c r="AH1821" s="84"/>
      <c r="AI1821" s="69" t="s">
        <v>1984</v>
      </c>
      <c r="AJ1821" s="25" t="s">
        <v>1985</v>
      </c>
      <c r="AK1821" s="65"/>
      <c r="AL1821" s="176" t="s">
        <v>1257</v>
      </c>
      <c r="AM1821" s="173" t="s">
        <v>595</v>
      </c>
      <c r="AN1821" s="159"/>
      <c r="AO1821" s="160"/>
      <c r="AP1821" s="161"/>
      <c r="AQ1821" s="160"/>
      <c r="AR1821" s="160"/>
      <c r="AS1821" s="160"/>
      <c r="AT1821" s="160"/>
      <c r="AU1821" s="160"/>
      <c r="AV1821" s="160"/>
      <c r="AW1821" s="160"/>
      <c r="AX1821" s="160"/>
      <c r="AY1821" s="160"/>
      <c r="AZ1821" s="160"/>
      <c r="BA1821" s="160"/>
      <c r="BB1821" s="160"/>
      <c r="BC1821" s="160"/>
      <c r="BD1821" s="160"/>
      <c r="BE1821" s="160"/>
      <c r="BF1821" s="160"/>
      <c r="BG1821" s="160"/>
      <c r="BH1821" s="160"/>
      <c r="BI1821" s="160"/>
      <c r="BJ1821" s="160"/>
      <c r="BK1821" s="160"/>
      <c r="BL1821" s="160"/>
      <c r="BM1821" s="160"/>
      <c r="BN1821" s="160"/>
      <c r="BO1821" s="160"/>
      <c r="BP1821" s="160"/>
      <c r="BQ1821" s="160"/>
      <c r="BR1821" s="160"/>
      <c r="BS1821" s="160"/>
      <c r="BT1821" s="160"/>
      <c r="BU1821" s="160"/>
      <c r="BV1821" s="160"/>
      <c r="BW1821" s="160"/>
      <c r="BX1821" s="160"/>
      <c r="BY1821" s="160"/>
      <c r="BZ1821" s="160"/>
      <c r="CA1821" s="160"/>
      <c r="CB1821" s="160"/>
      <c r="CC1821" s="160"/>
      <c r="CD1821" s="160"/>
      <c r="CE1821" s="160"/>
      <c r="CF1821" s="160"/>
      <c r="CG1821" s="160"/>
      <c r="CH1821" s="160"/>
      <c r="CI1821" s="160"/>
      <c r="CJ1821" s="160"/>
      <c r="CK1821" s="160"/>
      <c r="CL1821" s="160"/>
      <c r="CM1821" s="160"/>
      <c r="CN1821" s="160"/>
      <c r="CO1821" s="160"/>
      <c r="CP1821" s="162"/>
      <c r="CQ1821" s="163"/>
      <c r="CR1821" s="162"/>
      <c r="CS1821" s="163"/>
      <c r="CT1821" s="162"/>
      <c r="CU1821" s="163"/>
      <c r="CV1821" s="164">
        <f t="shared" si="232"/>
        <v>0</v>
      </c>
      <c r="CW1821" s="165"/>
      <c r="CX1821" s="166"/>
      <c r="CY1821" s="167"/>
      <c r="CZ1821" s="168"/>
      <c r="DA1821" s="169"/>
      <c r="DB1821" s="168"/>
      <c r="DC1821" s="165"/>
      <c r="DD1821" s="166"/>
      <c r="DE1821" s="71"/>
      <c r="DF1821" s="170"/>
      <c r="EO1821" s="375" t="str">
        <f t="shared" si="234"/>
        <v>VALLE DEL CAUCA_CALIMA</v>
      </c>
      <c r="EP1821" s="376"/>
      <c r="EQ1821" s="376"/>
      <c r="ER1821" s="377"/>
      <c r="ES1821" s="376"/>
      <c r="ET1821" s="376"/>
      <c r="EU1821" s="376"/>
    </row>
    <row r="1822" spans="1:151" s="171" customFormat="1" ht="26.25" customHeight="1" x14ac:dyDescent="0.2">
      <c r="A1822" s="242">
        <v>40502</v>
      </c>
      <c r="B1822" s="222" t="s">
        <v>1462</v>
      </c>
      <c r="C1822" s="222" t="s">
        <v>2524</v>
      </c>
      <c r="D1822" s="430" t="s">
        <v>837</v>
      </c>
      <c r="E1822" s="107" t="str">
        <f>VLOOKUP(B1822&amp;C1822,Divipola!$C$2:$F$1138,4,FALSE)</f>
        <v>76377</v>
      </c>
      <c r="F1822" s="333"/>
      <c r="G1822" s="221"/>
      <c r="H1822" s="157"/>
      <c r="I1822" s="157"/>
      <c r="J1822" s="157">
        <f>31*5</f>
        <v>155</v>
      </c>
      <c r="K1822" s="157">
        <v>31</v>
      </c>
      <c r="L1822" s="157"/>
      <c r="M1822" s="157">
        <v>31</v>
      </c>
      <c r="N1822" s="157"/>
      <c r="O1822" s="157"/>
      <c r="P1822" s="157"/>
      <c r="Q1822" s="157"/>
      <c r="R1822" s="157"/>
      <c r="S1822" s="157"/>
      <c r="T1822" s="157"/>
      <c r="U1822" s="157"/>
      <c r="V1822" s="158"/>
      <c r="W1822" s="182"/>
      <c r="X1822" s="1"/>
      <c r="Y1822" s="78">
        <f t="shared" si="229"/>
        <v>0</v>
      </c>
      <c r="Z1822" s="78">
        <f t="shared" si="230"/>
        <v>0</v>
      </c>
      <c r="AA1822" s="78">
        <f t="shared" si="228"/>
        <v>0</v>
      </c>
      <c r="AB1822" s="78">
        <f t="shared" si="231"/>
        <v>0</v>
      </c>
      <c r="AC1822" s="78"/>
      <c r="AD1822" s="78">
        <v>0</v>
      </c>
      <c r="AE1822" s="80">
        <f t="shared" si="233"/>
        <v>0</v>
      </c>
      <c r="AF1822" s="82">
        <v>0</v>
      </c>
      <c r="AG1822" s="69">
        <v>40505</v>
      </c>
      <c r="AH1822" s="84"/>
      <c r="AI1822" s="69" t="s">
        <v>1984</v>
      </c>
      <c r="AJ1822" s="25" t="s">
        <v>1985</v>
      </c>
      <c r="AK1822" s="65"/>
      <c r="AL1822" s="176" t="s">
        <v>1257</v>
      </c>
      <c r="AM1822" s="173" t="s">
        <v>1268</v>
      </c>
      <c r="AN1822" s="159"/>
      <c r="AO1822" s="160"/>
      <c r="AP1822" s="161"/>
      <c r="AQ1822" s="160"/>
      <c r="AR1822" s="160"/>
      <c r="AS1822" s="160"/>
      <c r="AT1822" s="160"/>
      <c r="AU1822" s="160"/>
      <c r="AV1822" s="160"/>
      <c r="AW1822" s="160"/>
      <c r="AX1822" s="160"/>
      <c r="AY1822" s="160"/>
      <c r="AZ1822" s="160"/>
      <c r="BA1822" s="160"/>
      <c r="BB1822" s="160"/>
      <c r="BC1822" s="160"/>
      <c r="BD1822" s="160"/>
      <c r="BE1822" s="160"/>
      <c r="BF1822" s="160"/>
      <c r="BG1822" s="160"/>
      <c r="BH1822" s="160"/>
      <c r="BI1822" s="160"/>
      <c r="BJ1822" s="160"/>
      <c r="BK1822" s="160"/>
      <c r="BL1822" s="160"/>
      <c r="BM1822" s="160"/>
      <c r="BN1822" s="160"/>
      <c r="BO1822" s="160"/>
      <c r="BP1822" s="160"/>
      <c r="BQ1822" s="160"/>
      <c r="BR1822" s="160"/>
      <c r="BS1822" s="160"/>
      <c r="BT1822" s="160"/>
      <c r="BU1822" s="160"/>
      <c r="BV1822" s="160"/>
      <c r="BW1822" s="160"/>
      <c r="BX1822" s="160"/>
      <c r="BY1822" s="160"/>
      <c r="BZ1822" s="160"/>
      <c r="CA1822" s="160"/>
      <c r="CB1822" s="160"/>
      <c r="CC1822" s="160"/>
      <c r="CD1822" s="160"/>
      <c r="CE1822" s="160"/>
      <c r="CF1822" s="160"/>
      <c r="CG1822" s="160"/>
      <c r="CH1822" s="160"/>
      <c r="CI1822" s="160"/>
      <c r="CJ1822" s="160"/>
      <c r="CK1822" s="160"/>
      <c r="CL1822" s="160"/>
      <c r="CM1822" s="160"/>
      <c r="CN1822" s="160"/>
      <c r="CO1822" s="160"/>
      <c r="CP1822" s="162"/>
      <c r="CQ1822" s="163"/>
      <c r="CR1822" s="162"/>
      <c r="CS1822" s="163"/>
      <c r="CT1822" s="162"/>
      <c r="CU1822" s="163"/>
      <c r="CV1822" s="164">
        <f t="shared" si="232"/>
        <v>0</v>
      </c>
      <c r="CW1822" s="165"/>
      <c r="CX1822" s="166"/>
      <c r="CY1822" s="167"/>
      <c r="CZ1822" s="168"/>
      <c r="DA1822" s="169"/>
      <c r="DB1822" s="168"/>
      <c r="DC1822" s="165"/>
      <c r="DD1822" s="166"/>
      <c r="DE1822" s="71"/>
      <c r="DF1822" s="170"/>
      <c r="EO1822" s="375" t="str">
        <f t="shared" si="234"/>
        <v>VALLE DEL CAUCA_LA CUMBRE</v>
      </c>
      <c r="EP1822" s="376"/>
      <c r="EQ1822" s="376"/>
      <c r="ER1822" s="377"/>
      <c r="ES1822" s="376"/>
      <c r="ET1822" s="376"/>
      <c r="EU1822" s="376"/>
    </row>
    <row r="1823" spans="1:151" s="171" customFormat="1" ht="51" x14ac:dyDescent="0.2">
      <c r="A1823" s="242">
        <v>40502</v>
      </c>
      <c r="B1823" s="222" t="s">
        <v>1462</v>
      </c>
      <c r="C1823" s="222" t="s">
        <v>1050</v>
      </c>
      <c r="D1823" s="427" t="s">
        <v>2307</v>
      </c>
      <c r="E1823" s="107" t="str">
        <f>VLOOKUP(B1823&amp;C1823,Divipola!$C$2:$F$1138,4,FALSE)</f>
        <v>76863</v>
      </c>
      <c r="F1823" s="330"/>
      <c r="G1823" s="221"/>
      <c r="H1823" s="157"/>
      <c r="I1823" s="157"/>
      <c r="J1823" s="157">
        <v>50</v>
      </c>
      <c r="K1823" s="157">
        <v>10</v>
      </c>
      <c r="L1823" s="157"/>
      <c r="M1823" s="157">
        <v>10</v>
      </c>
      <c r="N1823" s="157"/>
      <c r="O1823" s="157"/>
      <c r="P1823" s="157"/>
      <c r="Q1823" s="157"/>
      <c r="R1823" s="157"/>
      <c r="S1823" s="157"/>
      <c r="T1823" s="157"/>
      <c r="U1823" s="157"/>
      <c r="V1823" s="158"/>
      <c r="W1823" s="182"/>
      <c r="X1823" s="1"/>
      <c r="Y1823" s="78">
        <f t="shared" si="229"/>
        <v>0</v>
      </c>
      <c r="Z1823" s="78">
        <f t="shared" si="230"/>
        <v>0</v>
      </c>
      <c r="AA1823" s="78">
        <f t="shared" si="228"/>
        <v>0</v>
      </c>
      <c r="AB1823" s="78">
        <f t="shared" si="231"/>
        <v>0</v>
      </c>
      <c r="AC1823" s="78"/>
      <c r="AD1823" s="78">
        <v>0</v>
      </c>
      <c r="AE1823" s="80">
        <f t="shared" si="233"/>
        <v>0</v>
      </c>
      <c r="AF1823" s="82">
        <v>0</v>
      </c>
      <c r="AG1823" s="242">
        <v>40505</v>
      </c>
      <c r="AH1823" s="84"/>
      <c r="AI1823" s="69" t="s">
        <v>1984</v>
      </c>
      <c r="AJ1823" s="25" t="s">
        <v>1985</v>
      </c>
      <c r="AK1823" s="65"/>
      <c r="AL1823" s="176" t="s">
        <v>1257</v>
      </c>
      <c r="AM1823" s="173" t="s">
        <v>93</v>
      </c>
      <c r="AN1823" s="159"/>
      <c r="AO1823" s="160"/>
      <c r="AP1823" s="161"/>
      <c r="AQ1823" s="160"/>
      <c r="AR1823" s="160"/>
      <c r="AS1823" s="160"/>
      <c r="AT1823" s="160"/>
      <c r="AU1823" s="160"/>
      <c r="AV1823" s="160"/>
      <c r="AW1823" s="160"/>
      <c r="AX1823" s="160"/>
      <c r="AY1823" s="160"/>
      <c r="AZ1823" s="160"/>
      <c r="BA1823" s="160"/>
      <c r="BB1823" s="160"/>
      <c r="BC1823" s="160"/>
      <c r="BD1823" s="160"/>
      <c r="BE1823" s="160"/>
      <c r="BF1823" s="160"/>
      <c r="BG1823" s="160"/>
      <c r="BH1823" s="160"/>
      <c r="BI1823" s="160"/>
      <c r="BJ1823" s="160"/>
      <c r="BK1823" s="160"/>
      <c r="BL1823" s="160"/>
      <c r="BM1823" s="160"/>
      <c r="BN1823" s="160"/>
      <c r="BO1823" s="160"/>
      <c r="BP1823" s="160"/>
      <c r="BQ1823" s="160"/>
      <c r="BR1823" s="160"/>
      <c r="BS1823" s="160"/>
      <c r="BT1823" s="160"/>
      <c r="BU1823" s="160"/>
      <c r="BV1823" s="160"/>
      <c r="BW1823" s="160"/>
      <c r="BX1823" s="160"/>
      <c r="BY1823" s="160"/>
      <c r="BZ1823" s="160"/>
      <c r="CA1823" s="160"/>
      <c r="CB1823" s="160"/>
      <c r="CC1823" s="160"/>
      <c r="CD1823" s="160"/>
      <c r="CE1823" s="160"/>
      <c r="CF1823" s="160"/>
      <c r="CG1823" s="160"/>
      <c r="CH1823" s="160"/>
      <c r="CI1823" s="160"/>
      <c r="CJ1823" s="160"/>
      <c r="CK1823" s="160"/>
      <c r="CL1823" s="160"/>
      <c r="CM1823" s="160"/>
      <c r="CN1823" s="160"/>
      <c r="CO1823" s="160"/>
      <c r="CP1823" s="162"/>
      <c r="CQ1823" s="163"/>
      <c r="CR1823" s="162"/>
      <c r="CS1823" s="163"/>
      <c r="CT1823" s="162"/>
      <c r="CU1823" s="163"/>
      <c r="CV1823" s="164">
        <f t="shared" si="232"/>
        <v>0</v>
      </c>
      <c r="CW1823" s="165"/>
      <c r="CX1823" s="166"/>
      <c r="CY1823" s="167"/>
      <c r="CZ1823" s="168"/>
      <c r="DA1823" s="169"/>
      <c r="DB1823" s="168"/>
      <c r="DC1823" s="165"/>
      <c r="DD1823" s="166"/>
      <c r="DE1823" s="71"/>
      <c r="DF1823" s="170"/>
      <c r="EO1823" s="375" t="str">
        <f t="shared" si="234"/>
        <v>VALLE DEL CAUCA_VERSALLES</v>
      </c>
      <c r="EP1823" s="376"/>
      <c r="EQ1823" s="376"/>
      <c r="ER1823" s="377"/>
      <c r="ES1823" s="376"/>
      <c r="ET1823" s="376"/>
      <c r="EU1823" s="376"/>
    </row>
    <row r="1824" spans="1:151" s="171" customFormat="1" ht="120" x14ac:dyDescent="0.2">
      <c r="A1824" s="242">
        <v>40502</v>
      </c>
      <c r="B1824" s="222" t="s">
        <v>1462</v>
      </c>
      <c r="C1824" s="222" t="s">
        <v>1639</v>
      </c>
      <c r="D1824" s="430" t="s">
        <v>837</v>
      </c>
      <c r="E1824" s="107" t="str">
        <f>VLOOKUP(B1824&amp;C1824,Divipola!$C$2:$F$1138,4,FALSE)</f>
        <v>76890</v>
      </c>
      <c r="F1824" s="333"/>
      <c r="G1824" s="221"/>
      <c r="H1824" s="157"/>
      <c r="I1824" s="157"/>
      <c r="J1824" s="157">
        <v>925</v>
      </c>
      <c r="K1824" s="157">
        <v>185</v>
      </c>
      <c r="L1824" s="157"/>
      <c r="M1824" s="157">
        <v>185</v>
      </c>
      <c r="N1824" s="157">
        <v>11</v>
      </c>
      <c r="O1824" s="157"/>
      <c r="P1824" s="157"/>
      <c r="Q1824" s="157"/>
      <c r="R1824" s="157"/>
      <c r="S1824" s="157"/>
      <c r="T1824" s="157"/>
      <c r="U1824" s="157"/>
      <c r="V1824" s="158"/>
      <c r="W1824" s="182"/>
      <c r="X1824" s="1"/>
      <c r="Y1824" s="78">
        <f t="shared" si="229"/>
        <v>0</v>
      </c>
      <c r="Z1824" s="78">
        <f t="shared" si="230"/>
        <v>0</v>
      </c>
      <c r="AA1824" s="78">
        <f t="shared" si="228"/>
        <v>0</v>
      </c>
      <c r="AB1824" s="78">
        <f t="shared" si="231"/>
        <v>0</v>
      </c>
      <c r="AC1824" s="78"/>
      <c r="AD1824" s="78">
        <v>0</v>
      </c>
      <c r="AE1824" s="80">
        <f t="shared" si="233"/>
        <v>0</v>
      </c>
      <c r="AF1824" s="82">
        <v>0</v>
      </c>
      <c r="AG1824" s="69">
        <v>40504</v>
      </c>
      <c r="AH1824" s="84"/>
      <c r="AI1824" s="69" t="s">
        <v>1984</v>
      </c>
      <c r="AJ1824" s="25" t="s">
        <v>1985</v>
      </c>
      <c r="AK1824" s="65"/>
      <c r="AL1824" s="176" t="s">
        <v>1257</v>
      </c>
      <c r="AM1824" s="173" t="s">
        <v>1872</v>
      </c>
      <c r="AN1824" s="159"/>
      <c r="AO1824" s="160"/>
      <c r="AP1824" s="161"/>
      <c r="AQ1824" s="160"/>
      <c r="AR1824" s="160"/>
      <c r="AS1824" s="160"/>
      <c r="AT1824" s="160"/>
      <c r="AU1824" s="160"/>
      <c r="AV1824" s="160"/>
      <c r="AW1824" s="160"/>
      <c r="AX1824" s="160"/>
      <c r="AY1824" s="160"/>
      <c r="AZ1824" s="160"/>
      <c r="BA1824" s="160"/>
      <c r="BB1824" s="160"/>
      <c r="BC1824" s="160"/>
      <c r="BD1824" s="160"/>
      <c r="BE1824" s="160"/>
      <c r="BF1824" s="160"/>
      <c r="BG1824" s="160"/>
      <c r="BH1824" s="160"/>
      <c r="BI1824" s="160"/>
      <c r="BJ1824" s="160"/>
      <c r="BK1824" s="160"/>
      <c r="BL1824" s="160"/>
      <c r="BM1824" s="160"/>
      <c r="BN1824" s="160"/>
      <c r="BO1824" s="160"/>
      <c r="BP1824" s="160"/>
      <c r="BQ1824" s="160"/>
      <c r="BR1824" s="160"/>
      <c r="BS1824" s="160"/>
      <c r="BT1824" s="160"/>
      <c r="BU1824" s="160"/>
      <c r="BV1824" s="160"/>
      <c r="BW1824" s="160"/>
      <c r="BX1824" s="160"/>
      <c r="BY1824" s="160"/>
      <c r="BZ1824" s="160"/>
      <c r="CA1824" s="160"/>
      <c r="CB1824" s="160"/>
      <c r="CC1824" s="160"/>
      <c r="CD1824" s="160"/>
      <c r="CE1824" s="160"/>
      <c r="CF1824" s="160"/>
      <c r="CG1824" s="160"/>
      <c r="CH1824" s="160"/>
      <c r="CI1824" s="160"/>
      <c r="CJ1824" s="160"/>
      <c r="CK1824" s="160"/>
      <c r="CL1824" s="160"/>
      <c r="CM1824" s="160"/>
      <c r="CN1824" s="160"/>
      <c r="CO1824" s="160"/>
      <c r="CP1824" s="162"/>
      <c r="CQ1824" s="163"/>
      <c r="CR1824" s="162"/>
      <c r="CS1824" s="163"/>
      <c r="CT1824" s="162"/>
      <c r="CU1824" s="163"/>
      <c r="CV1824" s="164">
        <f t="shared" si="232"/>
        <v>0</v>
      </c>
      <c r="CW1824" s="165"/>
      <c r="CX1824" s="166"/>
      <c r="CY1824" s="167"/>
      <c r="CZ1824" s="168"/>
      <c r="DA1824" s="169"/>
      <c r="DB1824" s="168"/>
      <c r="DC1824" s="165"/>
      <c r="DD1824" s="166"/>
      <c r="DE1824" s="71"/>
      <c r="DF1824" s="170"/>
      <c r="EO1824" s="375" t="str">
        <f t="shared" si="234"/>
        <v>VALLE DEL CAUCA_YOTOCO</v>
      </c>
      <c r="EP1824" s="376"/>
      <c r="EQ1824" s="376"/>
      <c r="ER1824" s="377"/>
      <c r="ES1824" s="376"/>
      <c r="ET1824" s="376"/>
      <c r="EU1824" s="376"/>
    </row>
    <row r="1825" spans="1:151" s="171" customFormat="1" ht="48" x14ac:dyDescent="0.2">
      <c r="A1825" s="246">
        <v>40503</v>
      </c>
      <c r="B1825" s="280" t="s">
        <v>2401</v>
      </c>
      <c r="C1825" s="280" t="s">
        <v>2509</v>
      </c>
      <c r="D1825" s="431" t="s">
        <v>2307</v>
      </c>
      <c r="E1825" s="107" t="str">
        <f>VLOOKUP(B1825&amp;C1825,Divipola!$C$2:$F$1138,4,FALSE)</f>
        <v>05034</v>
      </c>
      <c r="F1825" s="334"/>
      <c r="G1825" s="221">
        <v>4</v>
      </c>
      <c r="H1825" s="157"/>
      <c r="I1825" s="157"/>
      <c r="J1825" s="157">
        <f>201*5</f>
        <v>1005</v>
      </c>
      <c r="K1825" s="157">
        <f>156+45</f>
        <v>201</v>
      </c>
      <c r="L1825" s="157">
        <v>32</v>
      </c>
      <c r="M1825" s="157">
        <v>121</v>
      </c>
      <c r="N1825" s="157"/>
      <c r="O1825" s="157"/>
      <c r="P1825" s="157"/>
      <c r="Q1825" s="157"/>
      <c r="R1825" s="157"/>
      <c r="S1825" s="157"/>
      <c r="T1825" s="157"/>
      <c r="U1825" s="157"/>
      <c r="V1825" s="158"/>
      <c r="W1825" s="182"/>
      <c r="X1825" s="1">
        <v>40535</v>
      </c>
      <c r="Y1825" s="78">
        <f t="shared" si="229"/>
        <v>0</v>
      </c>
      <c r="Z1825" s="78">
        <f t="shared" si="230"/>
        <v>0</v>
      </c>
      <c r="AA1825" s="78">
        <f t="shared" si="228"/>
        <v>0</v>
      </c>
      <c r="AB1825" s="78">
        <f t="shared" si="231"/>
        <v>0</v>
      </c>
      <c r="AC1825" s="78"/>
      <c r="AD1825" s="78">
        <v>37027800</v>
      </c>
      <c r="AE1825" s="80">
        <f t="shared" si="233"/>
        <v>37027800</v>
      </c>
      <c r="AF1825" s="82">
        <v>0</v>
      </c>
      <c r="AG1825" s="69">
        <v>40504</v>
      </c>
      <c r="AH1825" s="84">
        <v>71899</v>
      </c>
      <c r="AI1825" s="69" t="s">
        <v>2009</v>
      </c>
      <c r="AJ1825" s="25" t="s">
        <v>2010</v>
      </c>
      <c r="AK1825" s="65">
        <v>520</v>
      </c>
      <c r="AL1825" s="176" t="s">
        <v>1257</v>
      </c>
      <c r="AM1825" s="173" t="s">
        <v>3839</v>
      </c>
      <c r="AN1825" s="159"/>
      <c r="AO1825" s="160"/>
      <c r="AP1825" s="161"/>
      <c r="AQ1825" s="160"/>
      <c r="AR1825" s="160"/>
      <c r="AS1825" s="160"/>
      <c r="AT1825" s="160"/>
      <c r="AU1825" s="160"/>
      <c r="AV1825" s="160"/>
      <c r="AW1825" s="160"/>
      <c r="AX1825" s="160"/>
      <c r="AY1825" s="160"/>
      <c r="AZ1825" s="160"/>
      <c r="BA1825" s="160"/>
      <c r="BB1825" s="160"/>
      <c r="BC1825" s="160"/>
      <c r="BD1825" s="160"/>
      <c r="BE1825" s="160"/>
      <c r="BF1825" s="160"/>
      <c r="BG1825" s="160"/>
      <c r="BH1825" s="160"/>
      <c r="BI1825" s="160"/>
      <c r="BJ1825" s="160"/>
      <c r="BK1825" s="160"/>
      <c r="BL1825" s="160"/>
      <c r="BM1825" s="160"/>
      <c r="BN1825" s="160"/>
      <c r="BO1825" s="160"/>
      <c r="BP1825" s="160"/>
      <c r="BQ1825" s="160"/>
      <c r="BR1825" s="160"/>
      <c r="BS1825" s="160"/>
      <c r="BT1825" s="160"/>
      <c r="BU1825" s="160"/>
      <c r="BV1825" s="160"/>
      <c r="BW1825" s="160"/>
      <c r="BX1825" s="160"/>
      <c r="BY1825" s="160"/>
      <c r="BZ1825" s="160"/>
      <c r="CA1825" s="160"/>
      <c r="CB1825" s="160"/>
      <c r="CC1825" s="160"/>
      <c r="CD1825" s="160"/>
      <c r="CE1825" s="160"/>
      <c r="CF1825" s="160"/>
      <c r="CG1825" s="160"/>
      <c r="CH1825" s="160"/>
      <c r="CI1825" s="160"/>
      <c r="CJ1825" s="160"/>
      <c r="CK1825" s="160"/>
      <c r="CL1825" s="160"/>
      <c r="CM1825" s="160"/>
      <c r="CN1825" s="160"/>
      <c r="CO1825" s="160"/>
      <c r="CP1825" s="162"/>
      <c r="CQ1825" s="163"/>
      <c r="CR1825" s="162"/>
      <c r="CS1825" s="163"/>
      <c r="CT1825" s="162"/>
      <c r="CU1825" s="163"/>
      <c r="CV1825" s="164">
        <f t="shared" si="232"/>
        <v>0</v>
      </c>
      <c r="CW1825" s="165"/>
      <c r="CX1825" s="166"/>
      <c r="CY1825" s="167"/>
      <c r="CZ1825" s="168"/>
      <c r="DA1825" s="169"/>
      <c r="DB1825" s="168"/>
      <c r="DC1825" s="165"/>
      <c r="DD1825" s="166"/>
      <c r="DE1825" s="71">
        <v>2</v>
      </c>
      <c r="DF1825" s="170"/>
      <c r="EO1825" s="375" t="str">
        <f t="shared" si="234"/>
        <v>ANTIOQUIA_ANDES</v>
      </c>
      <c r="EP1825" s="376"/>
      <c r="EQ1825" s="376"/>
      <c r="ER1825" s="377"/>
      <c r="ES1825" s="376"/>
      <c r="ET1825" s="376"/>
      <c r="EU1825" s="376"/>
    </row>
    <row r="1826" spans="1:151" s="171" customFormat="1" ht="38.25" x14ac:dyDescent="0.2">
      <c r="A1826" s="246">
        <v>40503</v>
      </c>
      <c r="B1826" s="280" t="s">
        <v>2401</v>
      </c>
      <c r="C1826" s="280" t="s">
        <v>2840</v>
      </c>
      <c r="D1826" s="431" t="s">
        <v>2307</v>
      </c>
      <c r="E1826" s="107" t="str">
        <f>VLOOKUP(B1826&amp;C1826,Divipola!$C$2:$F$1138,4,FALSE)</f>
        <v>05380</v>
      </c>
      <c r="F1826" s="334"/>
      <c r="G1826" s="221">
        <v>1</v>
      </c>
      <c r="H1826" s="157"/>
      <c r="I1826" s="157"/>
      <c r="J1826" s="157"/>
      <c r="K1826" s="157"/>
      <c r="L1826" s="157"/>
      <c r="M1826" s="157"/>
      <c r="N1826" s="157"/>
      <c r="O1826" s="157"/>
      <c r="P1826" s="157"/>
      <c r="Q1826" s="157"/>
      <c r="R1826" s="157"/>
      <c r="S1826" s="157"/>
      <c r="T1826" s="157"/>
      <c r="U1826" s="157"/>
      <c r="V1826" s="158"/>
      <c r="W1826" s="182"/>
      <c r="X1826" s="1"/>
      <c r="Y1826" s="78">
        <f t="shared" si="229"/>
        <v>0</v>
      </c>
      <c r="Z1826" s="78">
        <f t="shared" si="230"/>
        <v>0</v>
      </c>
      <c r="AA1826" s="78">
        <f t="shared" si="228"/>
        <v>0</v>
      </c>
      <c r="AB1826" s="78">
        <f t="shared" si="231"/>
        <v>0</v>
      </c>
      <c r="AC1826" s="78"/>
      <c r="AD1826" s="78">
        <v>0</v>
      </c>
      <c r="AE1826" s="80">
        <f t="shared" si="233"/>
        <v>0</v>
      </c>
      <c r="AF1826" s="82">
        <v>0</v>
      </c>
      <c r="AG1826" s="69">
        <v>40504</v>
      </c>
      <c r="AH1826" s="84"/>
      <c r="AI1826" s="69" t="s">
        <v>1984</v>
      </c>
      <c r="AJ1826" s="25" t="s">
        <v>1985</v>
      </c>
      <c r="AK1826" s="65"/>
      <c r="AL1826" s="176" t="s">
        <v>1257</v>
      </c>
      <c r="AM1826" s="173" t="s">
        <v>1667</v>
      </c>
      <c r="AN1826" s="159"/>
      <c r="AO1826" s="160"/>
      <c r="AP1826" s="161"/>
      <c r="AQ1826" s="160"/>
      <c r="AR1826" s="160"/>
      <c r="AS1826" s="160"/>
      <c r="AT1826" s="160"/>
      <c r="AU1826" s="160"/>
      <c r="AV1826" s="160"/>
      <c r="AW1826" s="160"/>
      <c r="AX1826" s="160"/>
      <c r="AY1826" s="160"/>
      <c r="AZ1826" s="160"/>
      <c r="BA1826" s="160"/>
      <c r="BB1826" s="160"/>
      <c r="BC1826" s="160"/>
      <c r="BD1826" s="160"/>
      <c r="BE1826" s="160"/>
      <c r="BF1826" s="160"/>
      <c r="BG1826" s="160"/>
      <c r="BH1826" s="160"/>
      <c r="BI1826" s="160"/>
      <c r="BJ1826" s="160"/>
      <c r="BK1826" s="160"/>
      <c r="BL1826" s="160"/>
      <c r="BM1826" s="160"/>
      <c r="BN1826" s="160"/>
      <c r="BO1826" s="160"/>
      <c r="BP1826" s="160"/>
      <c r="BQ1826" s="160"/>
      <c r="BR1826" s="160"/>
      <c r="BS1826" s="160"/>
      <c r="BT1826" s="160"/>
      <c r="BU1826" s="160"/>
      <c r="BV1826" s="160"/>
      <c r="BW1826" s="160"/>
      <c r="BX1826" s="160"/>
      <c r="BY1826" s="160"/>
      <c r="BZ1826" s="160"/>
      <c r="CA1826" s="160"/>
      <c r="CB1826" s="160"/>
      <c r="CC1826" s="160"/>
      <c r="CD1826" s="160"/>
      <c r="CE1826" s="160"/>
      <c r="CF1826" s="160"/>
      <c r="CG1826" s="160"/>
      <c r="CH1826" s="160"/>
      <c r="CI1826" s="160"/>
      <c r="CJ1826" s="160"/>
      <c r="CK1826" s="160"/>
      <c r="CL1826" s="160"/>
      <c r="CM1826" s="160"/>
      <c r="CN1826" s="160"/>
      <c r="CO1826" s="160"/>
      <c r="CP1826" s="162"/>
      <c r="CQ1826" s="163"/>
      <c r="CR1826" s="162"/>
      <c r="CS1826" s="163"/>
      <c r="CT1826" s="162"/>
      <c r="CU1826" s="163"/>
      <c r="CV1826" s="164">
        <f t="shared" si="232"/>
        <v>0</v>
      </c>
      <c r="CW1826" s="165"/>
      <c r="CX1826" s="166"/>
      <c r="CY1826" s="167"/>
      <c r="CZ1826" s="168"/>
      <c r="DA1826" s="169"/>
      <c r="DB1826" s="168"/>
      <c r="DC1826" s="165"/>
      <c r="DD1826" s="166"/>
      <c r="DE1826" s="71"/>
      <c r="DF1826" s="170"/>
      <c r="EO1826" s="375" t="str">
        <f t="shared" si="234"/>
        <v>ANTIOQUIA_LA ESTRELLA</v>
      </c>
      <c r="EP1826" s="376"/>
      <c r="EQ1826" s="376"/>
      <c r="ER1826" s="377"/>
      <c r="ES1826" s="376"/>
      <c r="ET1826" s="376"/>
      <c r="EU1826" s="376"/>
    </row>
    <row r="1827" spans="1:151" s="171" customFormat="1" ht="38.25" x14ac:dyDescent="0.2">
      <c r="A1827" s="246">
        <v>40503</v>
      </c>
      <c r="B1827" s="280" t="s">
        <v>2401</v>
      </c>
      <c r="C1827" s="280" t="s">
        <v>1536</v>
      </c>
      <c r="D1827" s="431" t="s">
        <v>2307</v>
      </c>
      <c r="E1827" s="107" t="str">
        <f>VLOOKUP(B1827&amp;C1827,Divipola!$C$2:$F$1138,4,FALSE)</f>
        <v>05679</v>
      </c>
      <c r="F1827" s="334"/>
      <c r="G1827" s="221"/>
      <c r="H1827" s="157"/>
      <c r="I1827" s="157"/>
      <c r="J1827" s="157">
        <v>50</v>
      </c>
      <c r="K1827" s="157">
        <v>10</v>
      </c>
      <c r="L1827" s="157"/>
      <c r="M1827" s="157">
        <v>10</v>
      </c>
      <c r="N1827" s="157">
        <v>1</v>
      </c>
      <c r="O1827" s="157"/>
      <c r="P1827" s="157"/>
      <c r="Q1827" s="157"/>
      <c r="R1827" s="157"/>
      <c r="S1827" s="157"/>
      <c r="T1827" s="157"/>
      <c r="U1827" s="157"/>
      <c r="V1827" s="158"/>
      <c r="W1827" s="182"/>
      <c r="X1827" s="1"/>
      <c r="Y1827" s="78">
        <f t="shared" si="229"/>
        <v>0</v>
      </c>
      <c r="Z1827" s="78">
        <f t="shared" si="230"/>
        <v>0</v>
      </c>
      <c r="AA1827" s="78">
        <f t="shared" si="228"/>
        <v>0</v>
      </c>
      <c r="AB1827" s="78">
        <f t="shared" si="231"/>
        <v>0</v>
      </c>
      <c r="AC1827" s="78"/>
      <c r="AD1827" s="78">
        <v>0</v>
      </c>
      <c r="AE1827" s="80">
        <f t="shared" si="233"/>
        <v>0</v>
      </c>
      <c r="AF1827" s="82">
        <v>0</v>
      </c>
      <c r="AG1827" s="69">
        <v>40505</v>
      </c>
      <c r="AH1827" s="84"/>
      <c r="AI1827" s="69" t="s">
        <v>1984</v>
      </c>
      <c r="AJ1827" s="25" t="s">
        <v>1985</v>
      </c>
      <c r="AK1827" s="65"/>
      <c r="AL1827" s="176" t="s">
        <v>1257</v>
      </c>
      <c r="AM1827" s="173" t="s">
        <v>2540</v>
      </c>
      <c r="AN1827" s="159"/>
      <c r="AO1827" s="160"/>
      <c r="AP1827" s="161"/>
      <c r="AQ1827" s="160"/>
      <c r="AR1827" s="160"/>
      <c r="AS1827" s="160"/>
      <c r="AT1827" s="160"/>
      <c r="AU1827" s="160"/>
      <c r="AV1827" s="160"/>
      <c r="AW1827" s="160"/>
      <c r="AX1827" s="160"/>
      <c r="AY1827" s="160"/>
      <c r="AZ1827" s="160"/>
      <c r="BA1827" s="160"/>
      <c r="BB1827" s="160"/>
      <c r="BC1827" s="160"/>
      <c r="BD1827" s="160"/>
      <c r="BE1827" s="160"/>
      <c r="BF1827" s="160"/>
      <c r="BG1827" s="160"/>
      <c r="BH1827" s="160"/>
      <c r="BI1827" s="160"/>
      <c r="BJ1827" s="160"/>
      <c r="BK1827" s="160"/>
      <c r="BL1827" s="160"/>
      <c r="BM1827" s="160"/>
      <c r="BN1827" s="160"/>
      <c r="BO1827" s="160"/>
      <c r="BP1827" s="160"/>
      <c r="BQ1827" s="160"/>
      <c r="BR1827" s="160"/>
      <c r="BS1827" s="160"/>
      <c r="BT1827" s="160"/>
      <c r="BU1827" s="160"/>
      <c r="BV1827" s="160"/>
      <c r="BW1827" s="160"/>
      <c r="BX1827" s="160"/>
      <c r="BY1827" s="160"/>
      <c r="BZ1827" s="160"/>
      <c r="CA1827" s="160"/>
      <c r="CB1827" s="160"/>
      <c r="CC1827" s="160"/>
      <c r="CD1827" s="160"/>
      <c r="CE1827" s="160"/>
      <c r="CF1827" s="160"/>
      <c r="CG1827" s="160"/>
      <c r="CH1827" s="160"/>
      <c r="CI1827" s="160"/>
      <c r="CJ1827" s="160"/>
      <c r="CK1827" s="160"/>
      <c r="CL1827" s="160"/>
      <c r="CM1827" s="160"/>
      <c r="CN1827" s="160"/>
      <c r="CO1827" s="160"/>
      <c r="CP1827" s="162"/>
      <c r="CQ1827" s="163"/>
      <c r="CR1827" s="162"/>
      <c r="CS1827" s="163"/>
      <c r="CT1827" s="162"/>
      <c r="CU1827" s="163"/>
      <c r="CV1827" s="164">
        <f t="shared" si="232"/>
        <v>0</v>
      </c>
      <c r="CW1827" s="165"/>
      <c r="CX1827" s="166"/>
      <c r="CY1827" s="167"/>
      <c r="CZ1827" s="168"/>
      <c r="DA1827" s="169"/>
      <c r="DB1827" s="168"/>
      <c r="DC1827" s="165"/>
      <c r="DD1827" s="166"/>
      <c r="DE1827" s="71"/>
      <c r="DF1827" s="170"/>
      <c r="EO1827" s="375" t="str">
        <f t="shared" si="234"/>
        <v>ANTIOQUIA_SANTA BARBARA</v>
      </c>
      <c r="EP1827" s="376"/>
      <c r="EQ1827" s="376"/>
      <c r="ER1827" s="377"/>
      <c r="ES1827" s="376"/>
      <c r="ET1827" s="376"/>
      <c r="EU1827" s="376"/>
    </row>
    <row r="1828" spans="1:151" s="171" customFormat="1" ht="156" x14ac:dyDescent="0.2">
      <c r="A1828" s="242">
        <v>40503</v>
      </c>
      <c r="B1828" s="222" t="s">
        <v>2245</v>
      </c>
      <c r="C1828" s="222" t="s">
        <v>2923</v>
      </c>
      <c r="D1828" s="430" t="s">
        <v>2307</v>
      </c>
      <c r="E1828" s="107" t="str">
        <f>VLOOKUP(B1828&amp;C1828,Divipola!$C$2:$F$1138,4,FALSE)</f>
        <v>52678</v>
      </c>
      <c r="F1828" s="333"/>
      <c r="G1828" s="221"/>
      <c r="H1828" s="157"/>
      <c r="I1828" s="157"/>
      <c r="J1828" s="157">
        <v>100</v>
      </c>
      <c r="K1828" s="157">
        <v>25</v>
      </c>
      <c r="L1828" s="157"/>
      <c r="M1828" s="157"/>
      <c r="N1828" s="157">
        <v>4</v>
      </c>
      <c r="O1828" s="157"/>
      <c r="P1828" s="157"/>
      <c r="Q1828" s="157"/>
      <c r="R1828" s="157">
        <v>1</v>
      </c>
      <c r="S1828" s="157"/>
      <c r="T1828" s="157"/>
      <c r="U1828" s="157"/>
      <c r="V1828" s="158"/>
      <c r="W1828" s="182"/>
      <c r="X1828" s="1"/>
      <c r="Y1828" s="78">
        <f t="shared" si="229"/>
        <v>0</v>
      </c>
      <c r="Z1828" s="78">
        <f t="shared" si="230"/>
        <v>0</v>
      </c>
      <c r="AA1828" s="78">
        <f t="shared" si="228"/>
        <v>0</v>
      </c>
      <c r="AB1828" s="78">
        <f t="shared" si="231"/>
        <v>0</v>
      </c>
      <c r="AC1828" s="78"/>
      <c r="AD1828" s="78">
        <v>0</v>
      </c>
      <c r="AE1828" s="80">
        <f t="shared" si="233"/>
        <v>0</v>
      </c>
      <c r="AF1828" s="82">
        <v>0</v>
      </c>
      <c r="AG1828" s="69">
        <v>40508</v>
      </c>
      <c r="AH1828" s="84"/>
      <c r="AI1828" s="69" t="s">
        <v>1984</v>
      </c>
      <c r="AJ1828" s="25" t="s">
        <v>1985</v>
      </c>
      <c r="AK1828" s="65"/>
      <c r="AL1828" s="176" t="s">
        <v>1257</v>
      </c>
      <c r="AM1828" s="173" t="s">
        <v>2924</v>
      </c>
      <c r="AN1828" s="159"/>
      <c r="AO1828" s="160"/>
      <c r="AP1828" s="161"/>
      <c r="AQ1828" s="160"/>
      <c r="AR1828" s="160"/>
      <c r="AS1828" s="160"/>
      <c r="AT1828" s="160"/>
      <c r="AU1828" s="160"/>
      <c r="AV1828" s="160"/>
      <c r="AW1828" s="160"/>
      <c r="AX1828" s="160"/>
      <c r="AY1828" s="160"/>
      <c r="AZ1828" s="160"/>
      <c r="BA1828" s="160"/>
      <c r="BB1828" s="160"/>
      <c r="BC1828" s="160"/>
      <c r="BD1828" s="160"/>
      <c r="BE1828" s="160"/>
      <c r="BF1828" s="160"/>
      <c r="BG1828" s="160"/>
      <c r="BH1828" s="160"/>
      <c r="BI1828" s="160"/>
      <c r="BJ1828" s="160"/>
      <c r="BK1828" s="160"/>
      <c r="BL1828" s="160"/>
      <c r="BM1828" s="160"/>
      <c r="BN1828" s="160"/>
      <c r="BO1828" s="160"/>
      <c r="BP1828" s="160"/>
      <c r="BQ1828" s="160"/>
      <c r="BR1828" s="160"/>
      <c r="BS1828" s="160"/>
      <c r="BT1828" s="160"/>
      <c r="BU1828" s="160"/>
      <c r="BV1828" s="160"/>
      <c r="BW1828" s="160"/>
      <c r="BX1828" s="160"/>
      <c r="BY1828" s="160"/>
      <c r="BZ1828" s="160"/>
      <c r="CA1828" s="160"/>
      <c r="CB1828" s="160"/>
      <c r="CC1828" s="160"/>
      <c r="CD1828" s="160"/>
      <c r="CE1828" s="160"/>
      <c r="CF1828" s="160"/>
      <c r="CG1828" s="160"/>
      <c r="CH1828" s="160"/>
      <c r="CI1828" s="160"/>
      <c r="CJ1828" s="160"/>
      <c r="CK1828" s="160"/>
      <c r="CL1828" s="160"/>
      <c r="CM1828" s="160"/>
      <c r="CN1828" s="160"/>
      <c r="CO1828" s="160"/>
      <c r="CP1828" s="162"/>
      <c r="CQ1828" s="163"/>
      <c r="CR1828" s="162"/>
      <c r="CS1828" s="163"/>
      <c r="CT1828" s="162"/>
      <c r="CU1828" s="163"/>
      <c r="CV1828" s="164">
        <f t="shared" si="232"/>
        <v>0</v>
      </c>
      <c r="CW1828" s="165"/>
      <c r="CX1828" s="166"/>
      <c r="CY1828" s="167"/>
      <c r="CZ1828" s="168"/>
      <c r="DA1828" s="169"/>
      <c r="DB1828" s="168"/>
      <c r="DC1828" s="165"/>
      <c r="DD1828" s="166"/>
      <c r="DE1828" s="71"/>
      <c r="DF1828" s="170"/>
      <c r="EO1828" s="375" t="str">
        <f t="shared" si="234"/>
        <v>NARIÑO_SAMANIEGO</v>
      </c>
      <c r="EP1828" s="376"/>
      <c r="EQ1828" s="376"/>
      <c r="ER1828" s="377"/>
      <c r="ES1828" s="376"/>
      <c r="ET1828" s="376"/>
      <c r="EU1828" s="376"/>
    </row>
    <row r="1829" spans="1:151" s="171" customFormat="1" ht="48" x14ac:dyDescent="0.2">
      <c r="A1829" s="242">
        <v>40503</v>
      </c>
      <c r="B1829" s="222" t="s">
        <v>2014</v>
      </c>
      <c r="C1829" s="222" t="s">
        <v>1033</v>
      </c>
      <c r="D1829" s="430" t="s">
        <v>837</v>
      </c>
      <c r="E1829" s="107" t="str">
        <f>VLOOKUP(B1829&amp;C1829,Divipola!$C$2:$F$1138,4,FALSE)</f>
        <v>63130</v>
      </c>
      <c r="F1829" s="333"/>
      <c r="G1829" s="221"/>
      <c r="H1829" s="157"/>
      <c r="I1829" s="157"/>
      <c r="J1829" s="157">
        <f>584*5</f>
        <v>2920</v>
      </c>
      <c r="K1829" s="157">
        <v>584</v>
      </c>
      <c r="L1829" s="157"/>
      <c r="M1829" s="157"/>
      <c r="N1829" s="157">
        <v>1</v>
      </c>
      <c r="O1829" s="157">
        <v>1</v>
      </c>
      <c r="P1829" s="157"/>
      <c r="Q1829" s="157"/>
      <c r="R1829" s="157"/>
      <c r="S1829" s="157"/>
      <c r="T1829" s="157"/>
      <c r="U1829" s="157"/>
      <c r="V1829" s="158"/>
      <c r="W1829" s="182"/>
      <c r="X1829" s="1"/>
      <c r="Y1829" s="78">
        <f t="shared" si="229"/>
        <v>0</v>
      </c>
      <c r="Z1829" s="78">
        <f t="shared" si="230"/>
        <v>0</v>
      </c>
      <c r="AA1829" s="78">
        <f t="shared" si="228"/>
        <v>0</v>
      </c>
      <c r="AB1829" s="78">
        <f t="shared" si="231"/>
        <v>0</v>
      </c>
      <c r="AC1829" s="78"/>
      <c r="AD1829" s="78">
        <v>0</v>
      </c>
      <c r="AE1829" s="80">
        <f t="shared" si="233"/>
        <v>0</v>
      </c>
      <c r="AF1829" s="82">
        <v>0</v>
      </c>
      <c r="AG1829" s="69">
        <v>40505</v>
      </c>
      <c r="AH1829" s="84"/>
      <c r="AI1829" s="69" t="s">
        <v>1984</v>
      </c>
      <c r="AJ1829" s="25" t="s">
        <v>1985</v>
      </c>
      <c r="AK1829" s="65"/>
      <c r="AL1829" s="176" t="s">
        <v>1257</v>
      </c>
      <c r="AM1829" s="173" t="s">
        <v>2546</v>
      </c>
      <c r="AN1829" s="159"/>
      <c r="AO1829" s="160"/>
      <c r="AP1829" s="161"/>
      <c r="AQ1829" s="160"/>
      <c r="AR1829" s="160"/>
      <c r="AS1829" s="160"/>
      <c r="AT1829" s="160"/>
      <c r="AU1829" s="160"/>
      <c r="AV1829" s="160"/>
      <c r="AW1829" s="160"/>
      <c r="AX1829" s="160"/>
      <c r="AY1829" s="160"/>
      <c r="AZ1829" s="160"/>
      <c r="BA1829" s="160"/>
      <c r="BB1829" s="160"/>
      <c r="BC1829" s="160"/>
      <c r="BD1829" s="160"/>
      <c r="BE1829" s="160"/>
      <c r="BF1829" s="160"/>
      <c r="BG1829" s="160"/>
      <c r="BH1829" s="160"/>
      <c r="BI1829" s="160"/>
      <c r="BJ1829" s="160"/>
      <c r="BK1829" s="160"/>
      <c r="BL1829" s="160"/>
      <c r="BM1829" s="160"/>
      <c r="BN1829" s="160"/>
      <c r="BO1829" s="160"/>
      <c r="BP1829" s="160"/>
      <c r="BQ1829" s="160"/>
      <c r="BR1829" s="160"/>
      <c r="BS1829" s="160"/>
      <c r="BT1829" s="160"/>
      <c r="BU1829" s="160"/>
      <c r="BV1829" s="160"/>
      <c r="BW1829" s="160"/>
      <c r="BX1829" s="160"/>
      <c r="BY1829" s="160"/>
      <c r="BZ1829" s="160"/>
      <c r="CA1829" s="160"/>
      <c r="CB1829" s="160"/>
      <c r="CC1829" s="160"/>
      <c r="CD1829" s="160"/>
      <c r="CE1829" s="160"/>
      <c r="CF1829" s="160"/>
      <c r="CG1829" s="160"/>
      <c r="CH1829" s="160"/>
      <c r="CI1829" s="160"/>
      <c r="CJ1829" s="160"/>
      <c r="CK1829" s="160"/>
      <c r="CL1829" s="160"/>
      <c r="CM1829" s="160"/>
      <c r="CN1829" s="160"/>
      <c r="CO1829" s="160"/>
      <c r="CP1829" s="162"/>
      <c r="CQ1829" s="163"/>
      <c r="CR1829" s="162"/>
      <c r="CS1829" s="163"/>
      <c r="CT1829" s="162"/>
      <c r="CU1829" s="163"/>
      <c r="CV1829" s="164">
        <f t="shared" si="232"/>
        <v>0</v>
      </c>
      <c r="CW1829" s="165"/>
      <c r="CX1829" s="166"/>
      <c r="CY1829" s="167"/>
      <c r="CZ1829" s="168"/>
      <c r="DA1829" s="169"/>
      <c r="DB1829" s="168"/>
      <c r="DC1829" s="165"/>
      <c r="DD1829" s="166"/>
      <c r="DE1829" s="71"/>
      <c r="DF1829" s="170"/>
      <c r="EO1829" s="375" t="str">
        <f t="shared" si="234"/>
        <v>QUINDIO_CALARCA</v>
      </c>
      <c r="EP1829" s="376"/>
      <c r="EQ1829" s="376"/>
      <c r="ER1829" s="377"/>
      <c r="ES1829" s="376"/>
      <c r="ET1829" s="376"/>
      <c r="EU1829" s="376"/>
    </row>
    <row r="1830" spans="1:151" s="171" customFormat="1" ht="25.5" x14ac:dyDescent="0.2">
      <c r="A1830" s="242">
        <v>40503</v>
      </c>
      <c r="B1830" s="222" t="s">
        <v>2014</v>
      </c>
      <c r="C1830" s="222" t="s">
        <v>203</v>
      </c>
      <c r="D1830" s="430" t="s">
        <v>1721</v>
      </c>
      <c r="E1830" s="107" t="str">
        <f>VLOOKUP(B1830&amp;C1830,Divipola!$C$2:$F$1138,4,FALSE)</f>
        <v>63302</v>
      </c>
      <c r="F1830" s="333"/>
      <c r="G1830" s="221"/>
      <c r="H1830" s="157"/>
      <c r="I1830" s="157"/>
      <c r="J1830" s="157">
        <v>5</v>
      </c>
      <c r="K1830" s="157">
        <v>1</v>
      </c>
      <c r="L1830" s="157"/>
      <c r="M1830" s="157">
        <v>1</v>
      </c>
      <c r="N1830" s="157"/>
      <c r="O1830" s="157"/>
      <c r="P1830" s="157"/>
      <c r="Q1830" s="157"/>
      <c r="R1830" s="157"/>
      <c r="S1830" s="157"/>
      <c r="T1830" s="157"/>
      <c r="U1830" s="157"/>
      <c r="V1830" s="158"/>
      <c r="W1830" s="182"/>
      <c r="X1830" s="1"/>
      <c r="Y1830" s="78">
        <f t="shared" si="229"/>
        <v>0</v>
      </c>
      <c r="Z1830" s="78">
        <f t="shared" si="230"/>
        <v>0</v>
      </c>
      <c r="AA1830" s="78">
        <f t="shared" si="228"/>
        <v>0</v>
      </c>
      <c r="AB1830" s="78">
        <f t="shared" si="231"/>
        <v>0</v>
      </c>
      <c r="AC1830" s="78"/>
      <c r="AD1830" s="78">
        <v>0</v>
      </c>
      <c r="AE1830" s="80">
        <f t="shared" si="233"/>
        <v>0</v>
      </c>
      <c r="AF1830" s="82">
        <v>0</v>
      </c>
      <c r="AG1830" s="242">
        <v>40505</v>
      </c>
      <c r="AH1830" s="84"/>
      <c r="AI1830" s="69" t="s">
        <v>1984</v>
      </c>
      <c r="AJ1830" s="25" t="s">
        <v>1985</v>
      </c>
      <c r="AK1830" s="65"/>
      <c r="AL1830" s="176" t="s">
        <v>1257</v>
      </c>
      <c r="AM1830" s="173" t="s">
        <v>2526</v>
      </c>
      <c r="AN1830" s="159"/>
      <c r="AO1830" s="160"/>
      <c r="AP1830" s="161"/>
      <c r="AQ1830" s="160"/>
      <c r="AR1830" s="160"/>
      <c r="AS1830" s="160"/>
      <c r="AT1830" s="160"/>
      <c r="AU1830" s="160"/>
      <c r="AV1830" s="160"/>
      <c r="AW1830" s="160"/>
      <c r="AX1830" s="160"/>
      <c r="AY1830" s="160"/>
      <c r="AZ1830" s="160"/>
      <c r="BA1830" s="160"/>
      <c r="BB1830" s="160"/>
      <c r="BC1830" s="160"/>
      <c r="BD1830" s="160"/>
      <c r="BE1830" s="160"/>
      <c r="BF1830" s="160"/>
      <c r="BG1830" s="160"/>
      <c r="BH1830" s="160"/>
      <c r="BI1830" s="160"/>
      <c r="BJ1830" s="160"/>
      <c r="BK1830" s="160"/>
      <c r="BL1830" s="160"/>
      <c r="BM1830" s="160"/>
      <c r="BN1830" s="160"/>
      <c r="BO1830" s="160"/>
      <c r="BP1830" s="160"/>
      <c r="BQ1830" s="160"/>
      <c r="BR1830" s="160"/>
      <c r="BS1830" s="160"/>
      <c r="BT1830" s="160"/>
      <c r="BU1830" s="160"/>
      <c r="BV1830" s="160"/>
      <c r="BW1830" s="160"/>
      <c r="BX1830" s="160"/>
      <c r="BY1830" s="160"/>
      <c r="BZ1830" s="160"/>
      <c r="CA1830" s="160"/>
      <c r="CB1830" s="160"/>
      <c r="CC1830" s="160"/>
      <c r="CD1830" s="160"/>
      <c r="CE1830" s="160"/>
      <c r="CF1830" s="160"/>
      <c r="CG1830" s="160"/>
      <c r="CH1830" s="160"/>
      <c r="CI1830" s="160"/>
      <c r="CJ1830" s="160"/>
      <c r="CK1830" s="160"/>
      <c r="CL1830" s="160"/>
      <c r="CM1830" s="160"/>
      <c r="CN1830" s="160"/>
      <c r="CO1830" s="160"/>
      <c r="CP1830" s="162"/>
      <c r="CQ1830" s="163"/>
      <c r="CR1830" s="162"/>
      <c r="CS1830" s="163"/>
      <c r="CT1830" s="162"/>
      <c r="CU1830" s="163"/>
      <c r="CV1830" s="164">
        <f t="shared" si="232"/>
        <v>0</v>
      </c>
      <c r="CW1830" s="165"/>
      <c r="CX1830" s="166"/>
      <c r="CY1830" s="167"/>
      <c r="CZ1830" s="168"/>
      <c r="DA1830" s="169"/>
      <c r="DB1830" s="168"/>
      <c r="DC1830" s="165"/>
      <c r="DD1830" s="166"/>
      <c r="DE1830" s="71"/>
      <c r="DF1830" s="170"/>
      <c r="EO1830" s="375" t="str">
        <f t="shared" si="234"/>
        <v>QUINDIO_GENOVA</v>
      </c>
      <c r="EP1830" s="376"/>
      <c r="EQ1830" s="376"/>
      <c r="ER1830" s="377"/>
      <c r="ES1830" s="376"/>
      <c r="ET1830" s="376"/>
      <c r="EU1830" s="376"/>
    </row>
    <row r="1831" spans="1:151" s="171" customFormat="1" ht="36" x14ac:dyDescent="0.2">
      <c r="A1831" s="242">
        <v>40503</v>
      </c>
      <c r="B1831" s="222" t="s">
        <v>2014</v>
      </c>
      <c r="C1831" s="222" t="s">
        <v>1992</v>
      </c>
      <c r="D1831" s="427" t="s">
        <v>2307</v>
      </c>
      <c r="E1831" s="107" t="str">
        <f>VLOOKUP(B1831&amp;C1831,Divipola!$C$2:$F$1138,4,FALSE)</f>
        <v>63401</v>
      </c>
      <c r="F1831" s="330"/>
      <c r="G1831" s="221"/>
      <c r="H1831" s="157"/>
      <c r="I1831" s="157"/>
      <c r="J1831" s="157">
        <f>126*5</f>
        <v>630</v>
      </c>
      <c r="K1831" s="157">
        <v>126</v>
      </c>
      <c r="L1831" s="157"/>
      <c r="M1831" s="157"/>
      <c r="N1831" s="157"/>
      <c r="O1831" s="157"/>
      <c r="P1831" s="157"/>
      <c r="Q1831" s="157">
        <v>1</v>
      </c>
      <c r="R1831" s="157"/>
      <c r="S1831" s="157"/>
      <c r="T1831" s="157"/>
      <c r="U1831" s="157"/>
      <c r="V1831" s="158"/>
      <c r="W1831" s="182"/>
      <c r="X1831" s="1"/>
      <c r="Y1831" s="78">
        <f t="shared" si="229"/>
        <v>0</v>
      </c>
      <c r="Z1831" s="78">
        <f t="shared" si="230"/>
        <v>0</v>
      </c>
      <c r="AA1831" s="78">
        <f t="shared" si="228"/>
        <v>0</v>
      </c>
      <c r="AB1831" s="78">
        <f t="shared" si="231"/>
        <v>0</v>
      </c>
      <c r="AC1831" s="78"/>
      <c r="AD1831" s="78">
        <v>0</v>
      </c>
      <c r="AE1831" s="80">
        <f t="shared" si="233"/>
        <v>0</v>
      </c>
      <c r="AF1831" s="82">
        <v>0</v>
      </c>
      <c r="AG1831" s="242">
        <v>40505</v>
      </c>
      <c r="AH1831" s="84"/>
      <c r="AI1831" s="69" t="s">
        <v>1984</v>
      </c>
      <c r="AJ1831" s="25" t="s">
        <v>1985</v>
      </c>
      <c r="AK1831" s="65"/>
      <c r="AL1831" s="176" t="s">
        <v>1257</v>
      </c>
      <c r="AM1831" s="173" t="s">
        <v>2527</v>
      </c>
      <c r="AN1831" s="159"/>
      <c r="AO1831" s="160"/>
      <c r="AP1831" s="161"/>
      <c r="AQ1831" s="160"/>
      <c r="AR1831" s="160"/>
      <c r="AS1831" s="160"/>
      <c r="AT1831" s="160"/>
      <c r="AU1831" s="160"/>
      <c r="AV1831" s="160"/>
      <c r="AW1831" s="160"/>
      <c r="AX1831" s="160"/>
      <c r="AY1831" s="160"/>
      <c r="AZ1831" s="160"/>
      <c r="BA1831" s="160"/>
      <c r="BB1831" s="160"/>
      <c r="BC1831" s="160"/>
      <c r="BD1831" s="160"/>
      <c r="BE1831" s="160"/>
      <c r="BF1831" s="160"/>
      <c r="BG1831" s="160"/>
      <c r="BH1831" s="160"/>
      <c r="BI1831" s="160"/>
      <c r="BJ1831" s="160"/>
      <c r="BK1831" s="160"/>
      <c r="BL1831" s="160"/>
      <c r="BM1831" s="160"/>
      <c r="BN1831" s="160"/>
      <c r="BO1831" s="160"/>
      <c r="BP1831" s="160"/>
      <c r="BQ1831" s="160"/>
      <c r="BR1831" s="160"/>
      <c r="BS1831" s="160"/>
      <c r="BT1831" s="160"/>
      <c r="BU1831" s="160"/>
      <c r="BV1831" s="160"/>
      <c r="BW1831" s="160"/>
      <c r="BX1831" s="160"/>
      <c r="BY1831" s="160"/>
      <c r="BZ1831" s="160"/>
      <c r="CA1831" s="160"/>
      <c r="CB1831" s="160"/>
      <c r="CC1831" s="160"/>
      <c r="CD1831" s="160"/>
      <c r="CE1831" s="160"/>
      <c r="CF1831" s="160"/>
      <c r="CG1831" s="160"/>
      <c r="CH1831" s="160"/>
      <c r="CI1831" s="160"/>
      <c r="CJ1831" s="160"/>
      <c r="CK1831" s="160"/>
      <c r="CL1831" s="160"/>
      <c r="CM1831" s="160"/>
      <c r="CN1831" s="160"/>
      <c r="CO1831" s="160"/>
      <c r="CP1831" s="162"/>
      <c r="CQ1831" s="163"/>
      <c r="CR1831" s="162"/>
      <c r="CS1831" s="163"/>
      <c r="CT1831" s="162"/>
      <c r="CU1831" s="163"/>
      <c r="CV1831" s="164">
        <f t="shared" si="232"/>
        <v>0</v>
      </c>
      <c r="CW1831" s="165"/>
      <c r="CX1831" s="166"/>
      <c r="CY1831" s="167"/>
      <c r="CZ1831" s="168"/>
      <c r="DA1831" s="169"/>
      <c r="DB1831" s="168"/>
      <c r="DC1831" s="165"/>
      <c r="DD1831" s="166"/>
      <c r="DE1831" s="71"/>
      <c r="DF1831" s="170"/>
      <c r="EO1831" s="375" t="str">
        <f t="shared" si="234"/>
        <v>QUINDIO_LA TEBAIDA</v>
      </c>
      <c r="EP1831" s="376"/>
      <c r="EQ1831" s="376"/>
      <c r="ER1831" s="377"/>
      <c r="ES1831" s="376"/>
      <c r="ET1831" s="376"/>
      <c r="EU1831" s="376"/>
    </row>
    <row r="1832" spans="1:151" s="171" customFormat="1" ht="48" x14ac:dyDescent="0.2">
      <c r="A1832" s="242">
        <v>40503</v>
      </c>
      <c r="B1832" s="222" t="s">
        <v>2014</v>
      </c>
      <c r="C1832" s="222" t="s">
        <v>3121</v>
      </c>
      <c r="D1832" s="430" t="s">
        <v>837</v>
      </c>
      <c r="E1832" s="107" t="str">
        <f>VLOOKUP(B1832&amp;C1832,Divipola!$C$2:$F$1138,4,FALSE)</f>
        <v>63548</v>
      </c>
      <c r="F1832" s="333"/>
      <c r="G1832" s="221"/>
      <c r="H1832" s="157"/>
      <c r="I1832" s="157"/>
      <c r="J1832" s="157">
        <f>276*5</f>
        <v>1380</v>
      </c>
      <c r="K1832" s="157">
        <f>282-6</f>
        <v>276</v>
      </c>
      <c r="L1832" s="157"/>
      <c r="M1832" s="157"/>
      <c r="N1832" s="157">
        <v>3</v>
      </c>
      <c r="O1832" s="157"/>
      <c r="P1832" s="157"/>
      <c r="Q1832" s="157"/>
      <c r="R1832" s="157"/>
      <c r="S1832" s="157"/>
      <c r="T1832" s="157"/>
      <c r="U1832" s="157"/>
      <c r="V1832" s="158"/>
      <c r="W1832" s="182"/>
      <c r="X1832" s="1"/>
      <c r="Y1832" s="78">
        <f t="shared" si="229"/>
        <v>0</v>
      </c>
      <c r="Z1832" s="78">
        <f t="shared" si="230"/>
        <v>0</v>
      </c>
      <c r="AA1832" s="78">
        <f t="shared" si="228"/>
        <v>0</v>
      </c>
      <c r="AB1832" s="78">
        <f t="shared" si="231"/>
        <v>0</v>
      </c>
      <c r="AC1832" s="78"/>
      <c r="AD1832" s="78">
        <v>0</v>
      </c>
      <c r="AE1832" s="80">
        <f t="shared" si="233"/>
        <v>0</v>
      </c>
      <c r="AF1832" s="82">
        <v>0</v>
      </c>
      <c r="AG1832" s="69">
        <v>40505</v>
      </c>
      <c r="AH1832" s="84"/>
      <c r="AI1832" s="69" t="s">
        <v>1984</v>
      </c>
      <c r="AJ1832" s="25" t="s">
        <v>1985</v>
      </c>
      <c r="AK1832" s="65"/>
      <c r="AL1832" s="176" t="s">
        <v>1257</v>
      </c>
      <c r="AM1832" s="173" t="s">
        <v>2525</v>
      </c>
      <c r="AN1832" s="159"/>
      <c r="AO1832" s="160"/>
      <c r="AP1832" s="161"/>
      <c r="AQ1832" s="160"/>
      <c r="AR1832" s="160"/>
      <c r="AS1832" s="160"/>
      <c r="AT1832" s="160"/>
      <c r="AU1832" s="160"/>
      <c r="AV1832" s="160"/>
      <c r="AW1832" s="160"/>
      <c r="AX1832" s="160"/>
      <c r="AY1832" s="160"/>
      <c r="AZ1832" s="160"/>
      <c r="BA1832" s="160"/>
      <c r="BB1832" s="160"/>
      <c r="BC1832" s="160"/>
      <c r="BD1832" s="160"/>
      <c r="BE1832" s="160"/>
      <c r="BF1832" s="160"/>
      <c r="BG1832" s="160"/>
      <c r="BH1832" s="160"/>
      <c r="BI1832" s="160"/>
      <c r="BJ1832" s="160"/>
      <c r="BK1832" s="160"/>
      <c r="BL1832" s="160"/>
      <c r="BM1832" s="160"/>
      <c r="BN1832" s="160"/>
      <c r="BO1832" s="160"/>
      <c r="BP1832" s="160"/>
      <c r="BQ1832" s="160"/>
      <c r="BR1832" s="160"/>
      <c r="BS1832" s="160"/>
      <c r="BT1832" s="160"/>
      <c r="BU1832" s="160"/>
      <c r="BV1832" s="160"/>
      <c r="BW1832" s="160"/>
      <c r="BX1832" s="160"/>
      <c r="BY1832" s="160"/>
      <c r="BZ1832" s="160"/>
      <c r="CA1832" s="160"/>
      <c r="CB1832" s="160"/>
      <c r="CC1832" s="160"/>
      <c r="CD1832" s="160"/>
      <c r="CE1832" s="160"/>
      <c r="CF1832" s="160"/>
      <c r="CG1832" s="160"/>
      <c r="CH1832" s="160"/>
      <c r="CI1832" s="160"/>
      <c r="CJ1832" s="160"/>
      <c r="CK1832" s="160"/>
      <c r="CL1832" s="160"/>
      <c r="CM1832" s="160"/>
      <c r="CN1832" s="160"/>
      <c r="CO1832" s="160"/>
      <c r="CP1832" s="162"/>
      <c r="CQ1832" s="163"/>
      <c r="CR1832" s="162"/>
      <c r="CS1832" s="163"/>
      <c r="CT1832" s="162"/>
      <c r="CU1832" s="163"/>
      <c r="CV1832" s="164">
        <f t="shared" si="232"/>
        <v>0</v>
      </c>
      <c r="CW1832" s="165"/>
      <c r="CX1832" s="166"/>
      <c r="CY1832" s="167"/>
      <c r="CZ1832" s="168"/>
      <c r="DA1832" s="169"/>
      <c r="DB1832" s="168"/>
      <c r="DC1832" s="165"/>
      <c r="DD1832" s="166"/>
      <c r="DE1832" s="71"/>
      <c r="DF1832" s="170"/>
      <c r="EO1832" s="375" t="str">
        <f t="shared" si="234"/>
        <v>QUINDIO_PIJAO</v>
      </c>
      <c r="EP1832" s="376"/>
      <c r="EQ1832" s="376"/>
      <c r="ER1832" s="377"/>
      <c r="ES1832" s="376"/>
      <c r="ET1832" s="376"/>
      <c r="EU1832" s="376"/>
    </row>
    <row r="1833" spans="1:151" s="171" customFormat="1" ht="25.5" x14ac:dyDescent="0.2">
      <c r="A1833" s="242">
        <v>40503</v>
      </c>
      <c r="B1833" s="107" t="s">
        <v>2012</v>
      </c>
      <c r="C1833" s="222" t="s">
        <v>2761</v>
      </c>
      <c r="D1833" s="427" t="s">
        <v>2307</v>
      </c>
      <c r="E1833" s="107" t="str">
        <f>VLOOKUP(B1833&amp;C1833,Divipola!$C$2:$F$1138,4,FALSE)</f>
        <v>66045</v>
      </c>
      <c r="F1833" s="330"/>
      <c r="G1833" s="221"/>
      <c r="H1833" s="157"/>
      <c r="I1833" s="157"/>
      <c r="J1833" s="157">
        <v>40</v>
      </c>
      <c r="K1833" s="157">
        <v>8</v>
      </c>
      <c r="L1833" s="157"/>
      <c r="M1833" s="157">
        <v>8</v>
      </c>
      <c r="N1833" s="157"/>
      <c r="O1833" s="157"/>
      <c r="P1833" s="157"/>
      <c r="Q1833" s="157">
        <v>3</v>
      </c>
      <c r="R1833" s="157"/>
      <c r="S1833" s="157"/>
      <c r="T1833" s="157">
        <v>1</v>
      </c>
      <c r="U1833" s="157"/>
      <c r="V1833" s="158">
        <v>14</v>
      </c>
      <c r="W1833" s="182"/>
      <c r="X1833" s="1"/>
      <c r="Y1833" s="78">
        <f t="shared" si="229"/>
        <v>0</v>
      </c>
      <c r="Z1833" s="78">
        <f t="shared" si="230"/>
        <v>0</v>
      </c>
      <c r="AA1833" s="78">
        <f t="shared" si="228"/>
        <v>0</v>
      </c>
      <c r="AB1833" s="78">
        <f t="shared" si="231"/>
        <v>0</v>
      </c>
      <c r="AC1833" s="78"/>
      <c r="AD1833" s="78">
        <v>0</v>
      </c>
      <c r="AE1833" s="80">
        <f t="shared" si="233"/>
        <v>0</v>
      </c>
      <c r="AF1833" s="82">
        <v>0</v>
      </c>
      <c r="AG1833" s="69">
        <v>40506</v>
      </c>
      <c r="AH1833" s="84"/>
      <c r="AI1833" s="69" t="s">
        <v>1984</v>
      </c>
      <c r="AJ1833" s="25" t="s">
        <v>1985</v>
      </c>
      <c r="AK1833" s="65"/>
      <c r="AL1833" s="176" t="s">
        <v>1257</v>
      </c>
      <c r="AM1833" s="173" t="s">
        <v>2882</v>
      </c>
      <c r="AN1833" s="159"/>
      <c r="AO1833" s="160"/>
      <c r="AP1833" s="161"/>
      <c r="AQ1833" s="160"/>
      <c r="AR1833" s="160"/>
      <c r="AS1833" s="160"/>
      <c r="AT1833" s="160"/>
      <c r="AU1833" s="160"/>
      <c r="AV1833" s="160"/>
      <c r="AW1833" s="160"/>
      <c r="AX1833" s="160"/>
      <c r="AY1833" s="160"/>
      <c r="AZ1833" s="160"/>
      <c r="BA1833" s="160"/>
      <c r="BB1833" s="160"/>
      <c r="BC1833" s="160"/>
      <c r="BD1833" s="160"/>
      <c r="BE1833" s="160"/>
      <c r="BF1833" s="160"/>
      <c r="BG1833" s="160"/>
      <c r="BH1833" s="160"/>
      <c r="BI1833" s="160"/>
      <c r="BJ1833" s="160"/>
      <c r="BK1833" s="160"/>
      <c r="BL1833" s="160"/>
      <c r="BM1833" s="160"/>
      <c r="BN1833" s="160"/>
      <c r="BO1833" s="160"/>
      <c r="BP1833" s="160"/>
      <c r="BQ1833" s="160"/>
      <c r="BR1833" s="160"/>
      <c r="BS1833" s="160"/>
      <c r="BT1833" s="160"/>
      <c r="BU1833" s="160"/>
      <c r="BV1833" s="160"/>
      <c r="BW1833" s="160"/>
      <c r="BX1833" s="160"/>
      <c r="BY1833" s="160"/>
      <c r="BZ1833" s="160"/>
      <c r="CA1833" s="160"/>
      <c r="CB1833" s="160"/>
      <c r="CC1833" s="160"/>
      <c r="CD1833" s="160"/>
      <c r="CE1833" s="160"/>
      <c r="CF1833" s="160"/>
      <c r="CG1833" s="160"/>
      <c r="CH1833" s="160"/>
      <c r="CI1833" s="160"/>
      <c r="CJ1833" s="160"/>
      <c r="CK1833" s="160"/>
      <c r="CL1833" s="160"/>
      <c r="CM1833" s="160"/>
      <c r="CN1833" s="160"/>
      <c r="CO1833" s="160"/>
      <c r="CP1833" s="162"/>
      <c r="CQ1833" s="163"/>
      <c r="CR1833" s="162"/>
      <c r="CS1833" s="163"/>
      <c r="CT1833" s="162"/>
      <c r="CU1833" s="163"/>
      <c r="CV1833" s="164">
        <f t="shared" si="232"/>
        <v>0</v>
      </c>
      <c r="CW1833" s="165"/>
      <c r="CX1833" s="166"/>
      <c r="CY1833" s="167"/>
      <c r="CZ1833" s="168"/>
      <c r="DA1833" s="169"/>
      <c r="DB1833" s="168"/>
      <c r="DC1833" s="165"/>
      <c r="DD1833" s="166"/>
      <c r="DE1833" s="71"/>
      <c r="DF1833" s="170"/>
      <c r="EO1833" s="375" t="str">
        <f t="shared" si="234"/>
        <v>RISARALDA_APIA</v>
      </c>
      <c r="EP1833" s="376"/>
      <c r="EQ1833" s="376"/>
      <c r="ER1833" s="377"/>
      <c r="ES1833" s="376"/>
      <c r="ET1833" s="376"/>
      <c r="EU1833" s="376"/>
    </row>
    <row r="1834" spans="1:151" s="171" customFormat="1" ht="60" x14ac:dyDescent="0.2">
      <c r="A1834" s="242">
        <v>40503</v>
      </c>
      <c r="B1834" s="222" t="s">
        <v>2791</v>
      </c>
      <c r="C1834" s="222" t="s">
        <v>1592</v>
      </c>
      <c r="D1834" s="427" t="s">
        <v>837</v>
      </c>
      <c r="E1834" s="107" t="str">
        <f>VLOOKUP(B1834&amp;C1834,Divipola!$C$2:$F$1138,4,FALSE)</f>
        <v>73067</v>
      </c>
      <c r="F1834" s="330"/>
      <c r="G1834" s="221"/>
      <c r="H1834" s="157"/>
      <c r="I1834" s="157"/>
      <c r="J1834" s="157">
        <f>519*5</f>
        <v>2595</v>
      </c>
      <c r="K1834" s="157">
        <f>579-60</f>
        <v>519</v>
      </c>
      <c r="L1834" s="157">
        <f>36+12</f>
        <v>48</v>
      </c>
      <c r="M1834" s="157">
        <f>31+254</f>
        <v>285</v>
      </c>
      <c r="N1834" s="157">
        <v>1</v>
      </c>
      <c r="O1834" s="157">
        <v>1</v>
      </c>
      <c r="P1834" s="157"/>
      <c r="Q1834" s="157">
        <v>1</v>
      </c>
      <c r="R1834" s="157"/>
      <c r="S1834" s="157"/>
      <c r="T1834" s="157"/>
      <c r="U1834" s="157"/>
      <c r="V1834" s="158">
        <v>148</v>
      </c>
      <c r="W1834" s="182"/>
      <c r="X1834" s="1"/>
      <c r="Y1834" s="78">
        <f t="shared" si="229"/>
        <v>0</v>
      </c>
      <c r="Z1834" s="78">
        <f t="shared" si="230"/>
        <v>0</v>
      </c>
      <c r="AA1834" s="78">
        <f t="shared" si="228"/>
        <v>0</v>
      </c>
      <c r="AB1834" s="78">
        <f t="shared" si="231"/>
        <v>0</v>
      </c>
      <c r="AC1834" s="78"/>
      <c r="AD1834" s="78">
        <v>0</v>
      </c>
      <c r="AE1834" s="80">
        <f t="shared" si="233"/>
        <v>0</v>
      </c>
      <c r="AF1834" s="82">
        <v>0</v>
      </c>
      <c r="AG1834" s="69">
        <v>40504</v>
      </c>
      <c r="AH1834" s="84"/>
      <c r="AI1834" s="69" t="s">
        <v>1984</v>
      </c>
      <c r="AJ1834" s="25" t="s">
        <v>1985</v>
      </c>
      <c r="AK1834" s="65"/>
      <c r="AL1834" s="176" t="s">
        <v>1257</v>
      </c>
      <c r="AM1834" s="173" t="s">
        <v>813</v>
      </c>
      <c r="AN1834" s="159"/>
      <c r="AO1834" s="160"/>
      <c r="AP1834" s="161"/>
      <c r="AQ1834" s="160"/>
      <c r="AR1834" s="160"/>
      <c r="AS1834" s="160"/>
      <c r="AT1834" s="160"/>
      <c r="AU1834" s="160"/>
      <c r="AV1834" s="160"/>
      <c r="AW1834" s="160"/>
      <c r="AX1834" s="160"/>
      <c r="AY1834" s="160"/>
      <c r="AZ1834" s="160"/>
      <c r="BA1834" s="160"/>
      <c r="BB1834" s="160"/>
      <c r="BC1834" s="160"/>
      <c r="BD1834" s="160"/>
      <c r="BE1834" s="160"/>
      <c r="BF1834" s="160"/>
      <c r="BG1834" s="160"/>
      <c r="BH1834" s="160"/>
      <c r="BI1834" s="160"/>
      <c r="BJ1834" s="160"/>
      <c r="BK1834" s="160"/>
      <c r="BL1834" s="160"/>
      <c r="BM1834" s="160"/>
      <c r="BN1834" s="160"/>
      <c r="BO1834" s="160"/>
      <c r="BP1834" s="160"/>
      <c r="BQ1834" s="160"/>
      <c r="BR1834" s="160"/>
      <c r="BS1834" s="160"/>
      <c r="BT1834" s="160"/>
      <c r="BU1834" s="160"/>
      <c r="BV1834" s="160"/>
      <c r="BW1834" s="160"/>
      <c r="BX1834" s="160"/>
      <c r="BY1834" s="160"/>
      <c r="BZ1834" s="160"/>
      <c r="CA1834" s="160"/>
      <c r="CB1834" s="160"/>
      <c r="CC1834" s="160"/>
      <c r="CD1834" s="160"/>
      <c r="CE1834" s="160"/>
      <c r="CF1834" s="160"/>
      <c r="CG1834" s="160"/>
      <c r="CH1834" s="160"/>
      <c r="CI1834" s="160"/>
      <c r="CJ1834" s="160"/>
      <c r="CK1834" s="160"/>
      <c r="CL1834" s="160"/>
      <c r="CM1834" s="160"/>
      <c r="CN1834" s="160"/>
      <c r="CO1834" s="160"/>
      <c r="CP1834" s="162"/>
      <c r="CQ1834" s="163"/>
      <c r="CR1834" s="162"/>
      <c r="CS1834" s="163"/>
      <c r="CT1834" s="162"/>
      <c r="CU1834" s="163"/>
      <c r="CV1834" s="164">
        <f t="shared" si="232"/>
        <v>0</v>
      </c>
      <c r="CW1834" s="165"/>
      <c r="CX1834" s="166"/>
      <c r="CY1834" s="167"/>
      <c r="CZ1834" s="168"/>
      <c r="DA1834" s="169"/>
      <c r="DB1834" s="168"/>
      <c r="DC1834" s="165"/>
      <c r="DD1834" s="166"/>
      <c r="DE1834" s="71"/>
      <c r="DF1834" s="170"/>
      <c r="EO1834" s="375" t="str">
        <f t="shared" si="234"/>
        <v>TOLIMA_ATACO</v>
      </c>
      <c r="EP1834" s="376"/>
      <c r="EQ1834" s="376"/>
      <c r="ER1834" s="377"/>
      <c r="ES1834" s="376"/>
      <c r="ET1834" s="376"/>
      <c r="EU1834" s="376"/>
    </row>
    <row r="1835" spans="1:151" s="171" customFormat="1" ht="48" x14ac:dyDescent="0.2">
      <c r="A1835" s="242">
        <v>40504</v>
      </c>
      <c r="B1835" s="222" t="s">
        <v>1951</v>
      </c>
      <c r="C1835" s="222" t="s">
        <v>1950</v>
      </c>
      <c r="D1835" s="430" t="s">
        <v>837</v>
      </c>
      <c r="E1835" s="107" t="str">
        <f>VLOOKUP(B1835&amp;C1835,Divipola!$C$2:$F$1138,4,FALSE)</f>
        <v>08560</v>
      </c>
      <c r="F1835" s="333"/>
      <c r="G1835" s="221"/>
      <c r="H1835" s="157"/>
      <c r="I1835" s="157"/>
      <c r="J1835" s="157">
        <v>345</v>
      </c>
      <c r="K1835" s="157">
        <v>69</v>
      </c>
      <c r="L1835" s="157"/>
      <c r="M1835" s="157"/>
      <c r="N1835" s="157"/>
      <c r="O1835" s="157"/>
      <c r="P1835" s="157"/>
      <c r="Q1835" s="157"/>
      <c r="R1835" s="157"/>
      <c r="S1835" s="157"/>
      <c r="T1835" s="157"/>
      <c r="U1835" s="157"/>
      <c r="V1835" s="158"/>
      <c r="W1835" s="182"/>
      <c r="X1835" s="1">
        <v>40526</v>
      </c>
      <c r="Y1835" s="78">
        <f t="shared" si="229"/>
        <v>0</v>
      </c>
      <c r="Z1835" s="78">
        <f t="shared" si="230"/>
        <v>5865000</v>
      </c>
      <c r="AA1835" s="78">
        <f t="shared" si="228"/>
        <v>0</v>
      </c>
      <c r="AB1835" s="78">
        <f t="shared" si="231"/>
        <v>0</v>
      </c>
      <c r="AC1835" s="78"/>
      <c r="AD1835" s="78">
        <v>35043750</v>
      </c>
      <c r="AE1835" s="80">
        <f t="shared" si="233"/>
        <v>40908750</v>
      </c>
      <c r="AF1835" s="82">
        <v>0</v>
      </c>
      <c r="AG1835" s="69">
        <v>40504</v>
      </c>
      <c r="AH1835" s="84">
        <v>66788</v>
      </c>
      <c r="AI1835" s="69" t="s">
        <v>2009</v>
      </c>
      <c r="AJ1835" s="25" t="s">
        <v>2010</v>
      </c>
      <c r="AK1835" s="65">
        <v>27459</v>
      </c>
      <c r="AL1835" s="176" t="s">
        <v>1831</v>
      </c>
      <c r="AM1835" s="177" t="s">
        <v>1138</v>
      </c>
      <c r="AN1835" s="159"/>
      <c r="AO1835" s="160"/>
      <c r="AP1835" s="161"/>
      <c r="AQ1835" s="160"/>
      <c r="AR1835" s="160"/>
      <c r="AS1835" s="160"/>
      <c r="AT1835" s="160"/>
      <c r="AU1835" s="160"/>
      <c r="AV1835" s="160"/>
      <c r="AW1835" s="160"/>
      <c r="AX1835" s="160"/>
      <c r="AY1835" s="160"/>
      <c r="AZ1835" s="160"/>
      <c r="BA1835" s="160"/>
      <c r="BB1835" s="160"/>
      <c r="BC1835" s="160"/>
      <c r="BD1835" s="160"/>
      <c r="BE1835" s="160"/>
      <c r="BF1835" s="160"/>
      <c r="BG1835" s="160"/>
      <c r="BH1835" s="160"/>
      <c r="BI1835" s="160"/>
      <c r="BJ1835" s="160"/>
      <c r="BK1835" s="160"/>
      <c r="BL1835" s="160"/>
      <c r="BM1835" s="160"/>
      <c r="BN1835" s="160"/>
      <c r="BO1835" s="160"/>
      <c r="BP1835" s="160"/>
      <c r="BQ1835" s="160"/>
      <c r="BR1835" s="160"/>
      <c r="BS1835" s="160"/>
      <c r="BT1835" s="160"/>
      <c r="BU1835" s="160"/>
      <c r="BV1835" s="160"/>
      <c r="BW1835" s="160"/>
      <c r="BX1835" s="160"/>
      <c r="BY1835" s="160"/>
      <c r="BZ1835" s="160"/>
      <c r="CA1835" s="160"/>
      <c r="CB1835" s="160"/>
      <c r="CC1835" s="160"/>
      <c r="CD1835" s="160"/>
      <c r="CE1835" s="160"/>
      <c r="CF1835" s="160"/>
      <c r="CG1835" s="160"/>
      <c r="CH1835" s="160"/>
      <c r="CI1835" s="160"/>
      <c r="CJ1835" s="160"/>
      <c r="CK1835" s="160"/>
      <c r="CL1835" s="160"/>
      <c r="CM1835" s="160"/>
      <c r="CN1835" s="160"/>
      <c r="CO1835" s="160"/>
      <c r="CP1835" s="162"/>
      <c r="CQ1835" s="163"/>
      <c r="CR1835" s="162"/>
      <c r="CS1835" s="163"/>
      <c r="CT1835" s="162"/>
      <c r="CU1835" s="163"/>
      <c r="CV1835" s="164">
        <f t="shared" si="232"/>
        <v>0</v>
      </c>
      <c r="CW1835" s="165"/>
      <c r="CX1835" s="166"/>
      <c r="CY1835" s="167">
        <v>69</v>
      </c>
      <c r="CZ1835" s="168">
        <f>69*85000</f>
        <v>5865000</v>
      </c>
      <c r="DA1835" s="169"/>
      <c r="DB1835" s="168"/>
      <c r="DC1835" s="165"/>
      <c r="DD1835" s="166"/>
      <c r="DE1835" s="71">
        <v>2</v>
      </c>
      <c r="DF1835" s="170"/>
      <c r="EO1835" s="375" t="str">
        <f t="shared" si="234"/>
        <v>ATLANTICO_PONEDERA</v>
      </c>
      <c r="EP1835" s="376"/>
      <c r="EQ1835" s="376"/>
      <c r="ER1835" s="377"/>
      <c r="ES1835" s="376"/>
      <c r="ET1835" s="376"/>
      <c r="EU1835" s="376"/>
    </row>
    <row r="1836" spans="1:151" s="171" customFormat="1" ht="60" x14ac:dyDescent="0.2">
      <c r="A1836" s="242">
        <v>40504</v>
      </c>
      <c r="B1836" s="222" t="s">
        <v>1951</v>
      </c>
      <c r="C1836" s="222" t="s">
        <v>1671</v>
      </c>
      <c r="D1836" s="430" t="s">
        <v>837</v>
      </c>
      <c r="E1836" s="107" t="str">
        <f>VLOOKUP(B1836&amp;C1836,Divipola!$C$2:$F$1138,4,FALSE)</f>
        <v>08634</v>
      </c>
      <c r="F1836" s="333"/>
      <c r="G1836" s="221"/>
      <c r="H1836" s="157"/>
      <c r="I1836" s="157"/>
      <c r="J1836" s="157">
        <f>285*5</f>
        <v>1425</v>
      </c>
      <c r="K1836" s="157">
        <v>285</v>
      </c>
      <c r="L1836" s="157"/>
      <c r="M1836" s="157"/>
      <c r="N1836" s="157"/>
      <c r="O1836" s="157"/>
      <c r="P1836" s="157"/>
      <c r="Q1836" s="157"/>
      <c r="R1836" s="157"/>
      <c r="S1836" s="157"/>
      <c r="T1836" s="157"/>
      <c r="U1836" s="157"/>
      <c r="V1836" s="158"/>
      <c r="W1836" s="182"/>
      <c r="X1836" s="1">
        <v>40529</v>
      </c>
      <c r="Y1836" s="78">
        <f t="shared" si="229"/>
        <v>0</v>
      </c>
      <c r="Z1836" s="78">
        <f t="shared" si="230"/>
        <v>23545000</v>
      </c>
      <c r="AA1836" s="78">
        <f t="shared" si="228"/>
        <v>0</v>
      </c>
      <c r="AB1836" s="78">
        <f t="shared" si="231"/>
        <v>0</v>
      </c>
      <c r="AC1836" s="78"/>
      <c r="AD1836" s="78">
        <v>60000000</v>
      </c>
      <c r="AE1836" s="80">
        <f t="shared" si="233"/>
        <v>83545000</v>
      </c>
      <c r="AF1836" s="82">
        <v>0</v>
      </c>
      <c r="AG1836" s="69">
        <v>40504</v>
      </c>
      <c r="AH1836" s="84">
        <v>68305</v>
      </c>
      <c r="AI1836" s="69" t="s">
        <v>2009</v>
      </c>
      <c r="AJ1836" s="25" t="s">
        <v>2010</v>
      </c>
      <c r="AK1836" s="109" t="s">
        <v>130</v>
      </c>
      <c r="AL1836" s="176" t="s">
        <v>1831</v>
      </c>
      <c r="AM1836" s="278" t="s">
        <v>131</v>
      </c>
      <c r="AN1836" s="159"/>
      <c r="AO1836" s="160"/>
      <c r="AP1836" s="161"/>
      <c r="AQ1836" s="160"/>
      <c r="AR1836" s="160"/>
      <c r="AS1836" s="160"/>
      <c r="AT1836" s="160"/>
      <c r="AU1836" s="160"/>
      <c r="AV1836" s="160"/>
      <c r="AW1836" s="160"/>
      <c r="AX1836" s="160"/>
      <c r="AY1836" s="160"/>
      <c r="AZ1836" s="160"/>
      <c r="BA1836" s="160"/>
      <c r="BB1836" s="160"/>
      <c r="BC1836" s="160"/>
      <c r="BD1836" s="160"/>
      <c r="BE1836" s="160"/>
      <c r="BF1836" s="160"/>
      <c r="BG1836" s="160"/>
      <c r="BH1836" s="160"/>
      <c r="BI1836" s="160"/>
      <c r="BJ1836" s="160"/>
      <c r="BK1836" s="160"/>
      <c r="BL1836" s="160"/>
      <c r="BM1836" s="160"/>
      <c r="BN1836" s="160"/>
      <c r="BO1836" s="160"/>
      <c r="BP1836" s="160"/>
      <c r="BQ1836" s="160"/>
      <c r="BR1836" s="160"/>
      <c r="BS1836" s="160"/>
      <c r="BT1836" s="160"/>
      <c r="BU1836" s="160"/>
      <c r="BV1836" s="160"/>
      <c r="BW1836" s="160"/>
      <c r="BX1836" s="160"/>
      <c r="BY1836" s="160"/>
      <c r="BZ1836" s="160"/>
      <c r="CA1836" s="160"/>
      <c r="CB1836" s="160"/>
      <c r="CC1836" s="160"/>
      <c r="CD1836" s="160"/>
      <c r="CE1836" s="160"/>
      <c r="CF1836" s="160"/>
      <c r="CG1836" s="160"/>
      <c r="CH1836" s="160"/>
      <c r="CI1836" s="160"/>
      <c r="CJ1836" s="160"/>
      <c r="CK1836" s="160"/>
      <c r="CL1836" s="160"/>
      <c r="CM1836" s="160"/>
      <c r="CN1836" s="160"/>
      <c r="CO1836" s="160"/>
      <c r="CP1836" s="162"/>
      <c r="CQ1836" s="163"/>
      <c r="CR1836" s="162"/>
      <c r="CS1836" s="163"/>
      <c r="CT1836" s="162"/>
      <c r="CU1836" s="163"/>
      <c r="CV1836" s="164">
        <f t="shared" si="232"/>
        <v>0</v>
      </c>
      <c r="CW1836" s="165"/>
      <c r="CX1836" s="166"/>
      <c r="CY1836" s="167">
        <v>277</v>
      </c>
      <c r="CZ1836" s="168">
        <f>277*85000</f>
        <v>23545000</v>
      </c>
      <c r="DA1836" s="169"/>
      <c r="DB1836" s="168"/>
      <c r="DC1836" s="165"/>
      <c r="DD1836" s="166"/>
      <c r="DE1836" s="71"/>
      <c r="DF1836" s="170"/>
      <c r="EO1836" s="375" t="str">
        <f t="shared" si="234"/>
        <v>ATLANTICO_SABANAGRANDE</v>
      </c>
      <c r="EP1836" s="376"/>
      <c r="EQ1836" s="376"/>
      <c r="ER1836" s="377"/>
      <c r="ES1836" s="376"/>
      <c r="ET1836" s="376"/>
      <c r="EU1836" s="376"/>
    </row>
    <row r="1837" spans="1:151" s="171" customFormat="1" ht="38.25" x14ac:dyDescent="0.2">
      <c r="A1837" s="242">
        <v>40504</v>
      </c>
      <c r="B1837" s="222" t="s">
        <v>1951</v>
      </c>
      <c r="C1837" s="222" t="s">
        <v>699</v>
      </c>
      <c r="D1837" s="430" t="s">
        <v>837</v>
      </c>
      <c r="E1837" s="107" t="str">
        <f>VLOOKUP(B1837&amp;C1837,Divipola!$C$2:$F$1138,4,FALSE)</f>
        <v>08675</v>
      </c>
      <c r="F1837" s="333"/>
      <c r="G1837" s="221"/>
      <c r="H1837" s="157"/>
      <c r="I1837" s="157"/>
      <c r="J1837" s="157">
        <v>7573</v>
      </c>
      <c r="K1837" s="157">
        <v>2294</v>
      </c>
      <c r="L1837" s="157"/>
      <c r="M1837" s="157">
        <v>2294</v>
      </c>
      <c r="N1837" s="157"/>
      <c r="O1837" s="157"/>
      <c r="P1837" s="157"/>
      <c r="Q1837" s="157"/>
      <c r="R1837" s="157"/>
      <c r="S1837" s="157"/>
      <c r="T1837" s="157"/>
      <c r="U1837" s="157"/>
      <c r="V1837" s="158"/>
      <c r="W1837" s="182"/>
      <c r="X1837" s="1"/>
      <c r="Y1837" s="78">
        <f t="shared" si="229"/>
        <v>0</v>
      </c>
      <c r="Z1837" s="78">
        <f t="shared" si="230"/>
        <v>104295000</v>
      </c>
      <c r="AA1837" s="78">
        <f t="shared" si="228"/>
        <v>0</v>
      </c>
      <c r="AB1837" s="78">
        <f t="shared" si="231"/>
        <v>0</v>
      </c>
      <c r="AC1837" s="78"/>
      <c r="AD1837" s="78">
        <v>0</v>
      </c>
      <c r="AE1837" s="80">
        <f t="shared" si="233"/>
        <v>104295000</v>
      </c>
      <c r="AF1837" s="82">
        <v>0</v>
      </c>
      <c r="AG1837" s="242">
        <v>40504</v>
      </c>
      <c r="AH1837" s="84"/>
      <c r="AI1837" s="69" t="s">
        <v>2009</v>
      </c>
      <c r="AJ1837" s="25" t="s">
        <v>2010</v>
      </c>
      <c r="AK1837" s="65"/>
      <c r="AL1837" s="176" t="s">
        <v>1257</v>
      </c>
      <c r="AM1837" s="173" t="s">
        <v>1141</v>
      </c>
      <c r="AN1837" s="159"/>
      <c r="AO1837" s="160"/>
      <c r="AP1837" s="161"/>
      <c r="AQ1837" s="160"/>
      <c r="AR1837" s="160"/>
      <c r="AS1837" s="160"/>
      <c r="AT1837" s="160"/>
      <c r="AU1837" s="160"/>
      <c r="AV1837" s="160"/>
      <c r="AW1837" s="160"/>
      <c r="AX1837" s="160"/>
      <c r="AY1837" s="160"/>
      <c r="AZ1837" s="160"/>
      <c r="BA1837" s="160"/>
      <c r="BB1837" s="160"/>
      <c r="BC1837" s="160"/>
      <c r="BD1837" s="160"/>
      <c r="BE1837" s="160"/>
      <c r="BF1837" s="160"/>
      <c r="BG1837" s="160"/>
      <c r="BH1837" s="160"/>
      <c r="BI1837" s="160"/>
      <c r="BJ1837" s="160"/>
      <c r="BK1837" s="160"/>
      <c r="BL1837" s="160"/>
      <c r="BM1837" s="160"/>
      <c r="BN1837" s="160"/>
      <c r="BO1837" s="160"/>
      <c r="BP1837" s="160"/>
      <c r="BQ1837" s="160"/>
      <c r="BR1837" s="160"/>
      <c r="BS1837" s="160"/>
      <c r="BT1837" s="160"/>
      <c r="BU1837" s="160"/>
      <c r="BV1837" s="160"/>
      <c r="BW1837" s="160"/>
      <c r="BX1837" s="160"/>
      <c r="BY1837" s="160"/>
      <c r="BZ1837" s="160"/>
      <c r="CA1837" s="160"/>
      <c r="CB1837" s="160"/>
      <c r="CC1837" s="160"/>
      <c r="CD1837" s="160"/>
      <c r="CE1837" s="160"/>
      <c r="CF1837" s="160"/>
      <c r="CG1837" s="160"/>
      <c r="CH1837" s="160"/>
      <c r="CI1837" s="160"/>
      <c r="CJ1837" s="160"/>
      <c r="CK1837" s="160"/>
      <c r="CL1837" s="160"/>
      <c r="CM1837" s="160"/>
      <c r="CN1837" s="160"/>
      <c r="CO1837" s="160"/>
      <c r="CP1837" s="162"/>
      <c r="CQ1837" s="163"/>
      <c r="CR1837" s="162"/>
      <c r="CS1837" s="163"/>
      <c r="CT1837" s="162"/>
      <c r="CU1837" s="163"/>
      <c r="CV1837" s="164">
        <f t="shared" si="232"/>
        <v>0</v>
      </c>
      <c r="CW1837" s="165"/>
      <c r="CX1837" s="166"/>
      <c r="CY1837" s="167">
        <v>1227</v>
      </c>
      <c r="CZ1837" s="168">
        <f>1227*85000</f>
        <v>104295000</v>
      </c>
      <c r="DA1837" s="169"/>
      <c r="DB1837" s="168"/>
      <c r="DC1837" s="165"/>
      <c r="DD1837" s="166"/>
      <c r="DE1837" s="71"/>
      <c r="DF1837" s="170"/>
      <c r="EO1837" s="375" t="str">
        <f t="shared" si="234"/>
        <v>ATLANTICO_SANTA LUCIA</v>
      </c>
      <c r="EP1837" s="376"/>
      <c r="EQ1837" s="376"/>
      <c r="ER1837" s="377"/>
      <c r="ES1837" s="376"/>
      <c r="ET1837" s="376"/>
      <c r="EU1837" s="376"/>
    </row>
    <row r="1838" spans="1:151" s="171" customFormat="1" ht="25.5" x14ac:dyDescent="0.2">
      <c r="A1838" s="242">
        <v>40504</v>
      </c>
      <c r="B1838" s="222" t="s">
        <v>1951</v>
      </c>
      <c r="C1838" s="222" t="s">
        <v>1142</v>
      </c>
      <c r="D1838" s="430" t="s">
        <v>837</v>
      </c>
      <c r="E1838" s="107" t="str">
        <f>VLOOKUP(B1838&amp;C1838,Divipola!$C$2:$F$1138,4,FALSE)</f>
        <v>08770</v>
      </c>
      <c r="F1838" s="333"/>
      <c r="G1838" s="221"/>
      <c r="H1838" s="157"/>
      <c r="I1838" s="157"/>
      <c r="J1838" s="421" t="s">
        <v>838</v>
      </c>
      <c r="K1838" s="157">
        <v>2179</v>
      </c>
      <c r="L1838" s="157"/>
      <c r="M1838" s="157">
        <v>2179</v>
      </c>
      <c r="N1838" s="157"/>
      <c r="O1838" s="157"/>
      <c r="P1838" s="157"/>
      <c r="Q1838" s="157"/>
      <c r="R1838" s="157"/>
      <c r="S1838" s="157"/>
      <c r="T1838" s="157"/>
      <c r="U1838" s="157"/>
      <c r="V1838" s="158"/>
      <c r="W1838" s="182"/>
      <c r="X1838" s="1"/>
      <c r="Y1838" s="78">
        <f t="shared" si="229"/>
        <v>0</v>
      </c>
      <c r="Z1838" s="78">
        <f t="shared" si="230"/>
        <v>0</v>
      </c>
      <c r="AA1838" s="78">
        <f t="shared" si="228"/>
        <v>0</v>
      </c>
      <c r="AB1838" s="78">
        <f t="shared" si="231"/>
        <v>0</v>
      </c>
      <c r="AC1838" s="78"/>
      <c r="AD1838" s="78">
        <v>0</v>
      </c>
      <c r="AE1838" s="80">
        <f t="shared" si="233"/>
        <v>0</v>
      </c>
      <c r="AF1838" s="82">
        <v>0</v>
      </c>
      <c r="AG1838" s="242">
        <v>40504</v>
      </c>
      <c r="AH1838" s="84"/>
      <c r="AI1838" s="69" t="s">
        <v>2009</v>
      </c>
      <c r="AJ1838" s="25" t="s">
        <v>2010</v>
      </c>
      <c r="AK1838" s="65"/>
      <c r="AL1838" s="184" t="s">
        <v>805</v>
      </c>
      <c r="AM1838" s="173" t="s">
        <v>1143</v>
      </c>
      <c r="AN1838" s="159"/>
      <c r="AO1838" s="160"/>
      <c r="AP1838" s="161"/>
      <c r="AQ1838" s="160"/>
      <c r="AR1838" s="160"/>
      <c r="AS1838" s="160"/>
      <c r="AT1838" s="160"/>
      <c r="AU1838" s="160"/>
      <c r="AV1838" s="160"/>
      <c r="AW1838" s="160"/>
      <c r="AX1838" s="160"/>
      <c r="AY1838" s="160"/>
      <c r="AZ1838" s="160"/>
      <c r="BA1838" s="160"/>
      <c r="BB1838" s="160"/>
      <c r="BC1838" s="160"/>
      <c r="BD1838" s="160"/>
      <c r="BE1838" s="160"/>
      <c r="BF1838" s="160"/>
      <c r="BG1838" s="160"/>
      <c r="BH1838" s="160"/>
      <c r="BI1838" s="160"/>
      <c r="BJ1838" s="160"/>
      <c r="BK1838" s="160"/>
      <c r="BL1838" s="160"/>
      <c r="BM1838" s="160"/>
      <c r="BN1838" s="160"/>
      <c r="BO1838" s="160"/>
      <c r="BP1838" s="160"/>
      <c r="BQ1838" s="160"/>
      <c r="BR1838" s="160"/>
      <c r="BS1838" s="160"/>
      <c r="BT1838" s="160"/>
      <c r="BU1838" s="160"/>
      <c r="BV1838" s="160"/>
      <c r="BW1838" s="160"/>
      <c r="BX1838" s="160"/>
      <c r="BY1838" s="160"/>
      <c r="BZ1838" s="160"/>
      <c r="CA1838" s="160"/>
      <c r="CB1838" s="160"/>
      <c r="CC1838" s="160"/>
      <c r="CD1838" s="160"/>
      <c r="CE1838" s="160"/>
      <c r="CF1838" s="160"/>
      <c r="CG1838" s="160"/>
      <c r="CH1838" s="160"/>
      <c r="CI1838" s="160"/>
      <c r="CJ1838" s="160"/>
      <c r="CK1838" s="160"/>
      <c r="CL1838" s="160"/>
      <c r="CM1838" s="160"/>
      <c r="CN1838" s="160"/>
      <c r="CO1838" s="160"/>
      <c r="CP1838" s="162"/>
      <c r="CQ1838" s="163"/>
      <c r="CR1838" s="162"/>
      <c r="CS1838" s="163"/>
      <c r="CT1838" s="162"/>
      <c r="CU1838" s="163"/>
      <c r="CV1838" s="164">
        <f t="shared" si="232"/>
        <v>0</v>
      </c>
      <c r="CW1838" s="165"/>
      <c r="CX1838" s="166"/>
      <c r="CY1838" s="167"/>
      <c r="CZ1838" s="168"/>
      <c r="DA1838" s="169"/>
      <c r="DB1838" s="168"/>
      <c r="DC1838" s="165"/>
      <c r="DD1838" s="166"/>
      <c r="DE1838" s="71"/>
      <c r="DF1838" s="170"/>
      <c r="EO1838" s="375" t="str">
        <f t="shared" si="234"/>
        <v>ATLANTICO_SUAN</v>
      </c>
      <c r="EP1838" s="376"/>
      <c r="EQ1838" s="376"/>
      <c r="ER1838" s="377"/>
      <c r="ES1838" s="376"/>
      <c r="ET1838" s="376"/>
      <c r="EU1838" s="376"/>
    </row>
    <row r="1839" spans="1:151" s="171" customFormat="1" ht="25.5" x14ac:dyDescent="0.2">
      <c r="A1839" s="242">
        <v>40504</v>
      </c>
      <c r="B1839" s="222" t="s">
        <v>828</v>
      </c>
      <c r="C1839" s="222" t="s">
        <v>2472</v>
      </c>
      <c r="D1839" s="427" t="s">
        <v>2307</v>
      </c>
      <c r="E1839" s="107" t="str">
        <f>VLOOKUP(B1839&amp;C1839,Divipola!$C$2:$F$1138,4,FALSE)</f>
        <v>15804</v>
      </c>
      <c r="F1839" s="330"/>
      <c r="G1839" s="221"/>
      <c r="H1839" s="157"/>
      <c r="I1839" s="157"/>
      <c r="J1839" s="157">
        <f>16*5</f>
        <v>80</v>
      </c>
      <c r="K1839" s="157">
        <v>16</v>
      </c>
      <c r="L1839" s="157">
        <v>1</v>
      </c>
      <c r="M1839" s="157"/>
      <c r="N1839" s="157"/>
      <c r="O1839" s="157"/>
      <c r="P1839" s="157"/>
      <c r="Q1839" s="157"/>
      <c r="R1839" s="157"/>
      <c r="S1839" s="157"/>
      <c r="T1839" s="157"/>
      <c r="U1839" s="157"/>
      <c r="V1839" s="158"/>
      <c r="W1839" s="182"/>
      <c r="X1839" s="1"/>
      <c r="Y1839" s="78">
        <f t="shared" si="229"/>
        <v>0</v>
      </c>
      <c r="Z1839" s="78">
        <f t="shared" si="230"/>
        <v>0</v>
      </c>
      <c r="AA1839" s="78">
        <f t="shared" si="228"/>
        <v>0</v>
      </c>
      <c r="AB1839" s="78">
        <f t="shared" si="231"/>
        <v>0</v>
      </c>
      <c r="AC1839" s="78"/>
      <c r="AD1839" s="78">
        <v>0</v>
      </c>
      <c r="AE1839" s="80">
        <f t="shared" si="233"/>
        <v>0</v>
      </c>
      <c r="AF1839" s="82">
        <v>0</v>
      </c>
      <c r="AG1839" s="242">
        <v>40506</v>
      </c>
      <c r="AH1839" s="84"/>
      <c r="AI1839" s="69" t="s">
        <v>1984</v>
      </c>
      <c r="AJ1839" s="25" t="s">
        <v>1985</v>
      </c>
      <c r="AK1839" s="65"/>
      <c r="AL1839" s="176" t="s">
        <v>1257</v>
      </c>
      <c r="AM1839" s="173" t="s">
        <v>2473</v>
      </c>
      <c r="AN1839" s="159"/>
      <c r="AO1839" s="160"/>
      <c r="AP1839" s="161"/>
      <c r="AQ1839" s="160"/>
      <c r="AR1839" s="160"/>
      <c r="AS1839" s="160"/>
      <c r="AT1839" s="160"/>
      <c r="AU1839" s="160"/>
      <c r="AV1839" s="160"/>
      <c r="AW1839" s="160"/>
      <c r="AX1839" s="160"/>
      <c r="AY1839" s="160"/>
      <c r="AZ1839" s="160"/>
      <c r="BA1839" s="160"/>
      <c r="BB1839" s="160"/>
      <c r="BC1839" s="160"/>
      <c r="BD1839" s="160"/>
      <c r="BE1839" s="160"/>
      <c r="BF1839" s="160"/>
      <c r="BG1839" s="160"/>
      <c r="BH1839" s="160"/>
      <c r="BI1839" s="160"/>
      <c r="BJ1839" s="160"/>
      <c r="BK1839" s="160"/>
      <c r="BL1839" s="160"/>
      <c r="BM1839" s="160"/>
      <c r="BN1839" s="160"/>
      <c r="BO1839" s="160"/>
      <c r="BP1839" s="160"/>
      <c r="BQ1839" s="160"/>
      <c r="BR1839" s="160"/>
      <c r="BS1839" s="160"/>
      <c r="BT1839" s="160"/>
      <c r="BU1839" s="160"/>
      <c r="BV1839" s="160"/>
      <c r="BW1839" s="160"/>
      <c r="BX1839" s="160"/>
      <c r="BY1839" s="160"/>
      <c r="BZ1839" s="160"/>
      <c r="CA1839" s="160"/>
      <c r="CB1839" s="160"/>
      <c r="CC1839" s="160"/>
      <c r="CD1839" s="160"/>
      <c r="CE1839" s="160"/>
      <c r="CF1839" s="160"/>
      <c r="CG1839" s="160"/>
      <c r="CH1839" s="160"/>
      <c r="CI1839" s="160"/>
      <c r="CJ1839" s="160"/>
      <c r="CK1839" s="160"/>
      <c r="CL1839" s="160"/>
      <c r="CM1839" s="160"/>
      <c r="CN1839" s="160"/>
      <c r="CO1839" s="160"/>
      <c r="CP1839" s="162"/>
      <c r="CQ1839" s="163"/>
      <c r="CR1839" s="162"/>
      <c r="CS1839" s="163"/>
      <c r="CT1839" s="162"/>
      <c r="CU1839" s="163"/>
      <c r="CV1839" s="164">
        <f t="shared" si="232"/>
        <v>0</v>
      </c>
      <c r="CW1839" s="165"/>
      <c r="CX1839" s="166"/>
      <c r="CY1839" s="167"/>
      <c r="CZ1839" s="168"/>
      <c r="DA1839" s="169"/>
      <c r="DB1839" s="168"/>
      <c r="DC1839" s="165"/>
      <c r="DD1839" s="166"/>
      <c r="DE1839" s="71"/>
      <c r="DF1839" s="170"/>
      <c r="EO1839" s="375" t="str">
        <f t="shared" si="234"/>
        <v>BOYACA_TIBANA</v>
      </c>
      <c r="EP1839" s="376"/>
      <c r="EQ1839" s="376"/>
      <c r="ER1839" s="377"/>
      <c r="ES1839" s="376"/>
      <c r="ET1839" s="376"/>
      <c r="EU1839" s="376"/>
    </row>
    <row r="1840" spans="1:151" s="171" customFormat="1" ht="38.25" x14ac:dyDescent="0.2">
      <c r="A1840" s="242">
        <v>40504</v>
      </c>
      <c r="B1840" s="222" t="s">
        <v>289</v>
      </c>
      <c r="C1840" s="222" t="s">
        <v>1665</v>
      </c>
      <c r="D1840" s="427" t="s">
        <v>2307</v>
      </c>
      <c r="E1840" s="107" t="str">
        <f>VLOOKUP(B1840&amp;C1840,Divipola!$C$2:$F$1138,4,FALSE)</f>
        <v>17541</v>
      </c>
      <c r="F1840" s="330"/>
      <c r="G1840" s="221">
        <v>5</v>
      </c>
      <c r="H1840" s="157"/>
      <c r="I1840" s="157">
        <v>3</v>
      </c>
      <c r="J1840" s="157">
        <f>1464*5</f>
        <v>7320</v>
      </c>
      <c r="K1840" s="157">
        <f>1214+250</f>
        <v>1464</v>
      </c>
      <c r="L1840" s="157">
        <v>4</v>
      </c>
      <c r="M1840" s="157">
        <v>43</v>
      </c>
      <c r="N1840" s="157"/>
      <c r="O1840" s="157"/>
      <c r="P1840" s="157"/>
      <c r="Q1840" s="157"/>
      <c r="R1840" s="157"/>
      <c r="S1840" s="157"/>
      <c r="T1840" s="157"/>
      <c r="U1840" s="157"/>
      <c r="V1840" s="158"/>
      <c r="W1840" s="182"/>
      <c r="X1840" s="1"/>
      <c r="Y1840" s="78">
        <f t="shared" si="229"/>
        <v>0</v>
      </c>
      <c r="Z1840" s="78">
        <f t="shared" si="230"/>
        <v>0</v>
      </c>
      <c r="AA1840" s="78">
        <f t="shared" si="228"/>
        <v>0</v>
      </c>
      <c r="AB1840" s="78">
        <f t="shared" si="231"/>
        <v>0</v>
      </c>
      <c r="AC1840" s="78"/>
      <c r="AD1840" s="78">
        <v>0</v>
      </c>
      <c r="AE1840" s="80">
        <f t="shared" si="233"/>
        <v>0</v>
      </c>
      <c r="AF1840" s="82">
        <v>0</v>
      </c>
      <c r="AG1840" s="242">
        <v>40504</v>
      </c>
      <c r="AH1840" s="84"/>
      <c r="AI1840" s="69" t="s">
        <v>2009</v>
      </c>
      <c r="AJ1840" s="25" t="s">
        <v>2010</v>
      </c>
      <c r="AK1840" s="65"/>
      <c r="AL1840" s="184" t="s">
        <v>3833</v>
      </c>
      <c r="AM1840" s="173" t="s">
        <v>1666</v>
      </c>
      <c r="AN1840" s="159"/>
      <c r="AO1840" s="160"/>
      <c r="AP1840" s="161"/>
      <c r="AQ1840" s="160"/>
      <c r="AR1840" s="160"/>
      <c r="AS1840" s="160"/>
      <c r="AT1840" s="160"/>
      <c r="AU1840" s="160"/>
      <c r="AV1840" s="160"/>
      <c r="AW1840" s="160"/>
      <c r="AX1840" s="160"/>
      <c r="AY1840" s="160"/>
      <c r="AZ1840" s="160"/>
      <c r="BA1840" s="160"/>
      <c r="BB1840" s="160"/>
      <c r="BC1840" s="160"/>
      <c r="BD1840" s="160"/>
      <c r="BE1840" s="160"/>
      <c r="BF1840" s="160"/>
      <c r="BG1840" s="160"/>
      <c r="BH1840" s="160"/>
      <c r="BI1840" s="160"/>
      <c r="BJ1840" s="160"/>
      <c r="BK1840" s="160"/>
      <c r="BL1840" s="160"/>
      <c r="BM1840" s="160"/>
      <c r="BN1840" s="160"/>
      <c r="BO1840" s="160"/>
      <c r="BP1840" s="160"/>
      <c r="BQ1840" s="160"/>
      <c r="BR1840" s="160"/>
      <c r="BS1840" s="160"/>
      <c r="BT1840" s="160"/>
      <c r="BU1840" s="160"/>
      <c r="BV1840" s="160"/>
      <c r="BW1840" s="160"/>
      <c r="BX1840" s="160"/>
      <c r="BY1840" s="160"/>
      <c r="BZ1840" s="160"/>
      <c r="CA1840" s="160"/>
      <c r="CB1840" s="160"/>
      <c r="CC1840" s="160"/>
      <c r="CD1840" s="160"/>
      <c r="CE1840" s="160"/>
      <c r="CF1840" s="160"/>
      <c r="CG1840" s="160"/>
      <c r="CH1840" s="160"/>
      <c r="CI1840" s="160"/>
      <c r="CJ1840" s="160"/>
      <c r="CK1840" s="160"/>
      <c r="CL1840" s="160"/>
      <c r="CM1840" s="160"/>
      <c r="CN1840" s="160"/>
      <c r="CO1840" s="160"/>
      <c r="CP1840" s="162"/>
      <c r="CQ1840" s="163"/>
      <c r="CR1840" s="162"/>
      <c r="CS1840" s="163"/>
      <c r="CT1840" s="162"/>
      <c r="CU1840" s="163"/>
      <c r="CV1840" s="164">
        <f t="shared" si="232"/>
        <v>0</v>
      </c>
      <c r="CW1840" s="165"/>
      <c r="CX1840" s="166"/>
      <c r="CY1840" s="167"/>
      <c r="CZ1840" s="168"/>
      <c r="DA1840" s="169"/>
      <c r="DB1840" s="168"/>
      <c r="DC1840" s="165"/>
      <c r="DD1840" s="166"/>
      <c r="DE1840" s="71"/>
      <c r="DF1840" s="170"/>
      <c r="EO1840" s="375" t="str">
        <f t="shared" si="234"/>
        <v>CALDAS_PENSILVANIA</v>
      </c>
      <c r="EP1840" s="376"/>
      <c r="EQ1840" s="376"/>
      <c r="ER1840" s="377"/>
      <c r="ES1840" s="376"/>
      <c r="ET1840" s="376"/>
      <c r="EU1840" s="376"/>
    </row>
    <row r="1841" spans="1:151" s="171" customFormat="1" ht="36" x14ac:dyDescent="0.2">
      <c r="A1841" s="242">
        <v>40504</v>
      </c>
      <c r="B1841" s="222" t="s">
        <v>289</v>
      </c>
      <c r="C1841" s="222" t="s">
        <v>2483</v>
      </c>
      <c r="D1841" s="430" t="s">
        <v>837</v>
      </c>
      <c r="E1841" s="107" t="str">
        <f>VLOOKUP(B1841&amp;C1841,Divipola!$C$2:$F$1138,4,FALSE)</f>
        <v>17614</v>
      </c>
      <c r="F1841" s="333"/>
      <c r="G1841" s="221">
        <v>2</v>
      </c>
      <c r="H1841" s="157">
        <v>2</v>
      </c>
      <c r="I1841" s="157"/>
      <c r="J1841" s="157">
        <f>398*5</f>
        <v>1990</v>
      </c>
      <c r="K1841" s="157">
        <f>378+20</f>
        <v>398</v>
      </c>
      <c r="L1841" s="157">
        <v>2</v>
      </c>
      <c r="M1841" s="157">
        <v>75</v>
      </c>
      <c r="N1841" s="157"/>
      <c r="O1841" s="157"/>
      <c r="P1841" s="157"/>
      <c r="Q1841" s="157"/>
      <c r="R1841" s="157"/>
      <c r="S1841" s="157"/>
      <c r="T1841" s="157"/>
      <c r="U1841" s="157"/>
      <c r="V1841" s="158"/>
      <c r="W1841" s="182"/>
      <c r="X1841" s="1"/>
      <c r="Y1841" s="78">
        <f t="shared" si="229"/>
        <v>0</v>
      </c>
      <c r="Z1841" s="78">
        <f t="shared" si="230"/>
        <v>0</v>
      </c>
      <c r="AA1841" s="78">
        <f t="shared" si="228"/>
        <v>0</v>
      </c>
      <c r="AB1841" s="78">
        <f t="shared" si="231"/>
        <v>0</v>
      </c>
      <c r="AC1841" s="78"/>
      <c r="AD1841" s="78">
        <v>0</v>
      </c>
      <c r="AE1841" s="80">
        <f t="shared" si="233"/>
        <v>0</v>
      </c>
      <c r="AF1841" s="82">
        <v>0</v>
      </c>
      <c r="AG1841" s="242">
        <v>40505</v>
      </c>
      <c r="AH1841" s="84"/>
      <c r="AI1841" s="69" t="s">
        <v>2009</v>
      </c>
      <c r="AJ1841" s="25" t="s">
        <v>2010</v>
      </c>
      <c r="AK1841" s="65"/>
      <c r="AL1841" s="184" t="s">
        <v>3833</v>
      </c>
      <c r="AM1841" s="173" t="s">
        <v>2545</v>
      </c>
      <c r="AN1841" s="159"/>
      <c r="AO1841" s="160"/>
      <c r="AP1841" s="161"/>
      <c r="AQ1841" s="160"/>
      <c r="AR1841" s="160"/>
      <c r="AS1841" s="160"/>
      <c r="AT1841" s="160"/>
      <c r="AU1841" s="160"/>
      <c r="AV1841" s="160"/>
      <c r="AW1841" s="160"/>
      <c r="AX1841" s="160"/>
      <c r="AY1841" s="160"/>
      <c r="AZ1841" s="160"/>
      <c r="BA1841" s="160"/>
      <c r="BB1841" s="160"/>
      <c r="BC1841" s="160"/>
      <c r="BD1841" s="160"/>
      <c r="BE1841" s="160"/>
      <c r="BF1841" s="160"/>
      <c r="BG1841" s="160"/>
      <c r="BH1841" s="160"/>
      <c r="BI1841" s="160"/>
      <c r="BJ1841" s="160"/>
      <c r="BK1841" s="160"/>
      <c r="BL1841" s="160"/>
      <c r="BM1841" s="160"/>
      <c r="BN1841" s="160"/>
      <c r="BO1841" s="160"/>
      <c r="BP1841" s="160"/>
      <c r="BQ1841" s="160"/>
      <c r="BR1841" s="160"/>
      <c r="BS1841" s="160"/>
      <c r="BT1841" s="160"/>
      <c r="BU1841" s="160"/>
      <c r="BV1841" s="160"/>
      <c r="BW1841" s="160"/>
      <c r="BX1841" s="160"/>
      <c r="BY1841" s="160"/>
      <c r="BZ1841" s="160"/>
      <c r="CA1841" s="160"/>
      <c r="CB1841" s="160"/>
      <c r="CC1841" s="160"/>
      <c r="CD1841" s="160"/>
      <c r="CE1841" s="160"/>
      <c r="CF1841" s="160"/>
      <c r="CG1841" s="160"/>
      <c r="CH1841" s="160"/>
      <c r="CI1841" s="160"/>
      <c r="CJ1841" s="160"/>
      <c r="CK1841" s="160"/>
      <c r="CL1841" s="160"/>
      <c r="CM1841" s="160"/>
      <c r="CN1841" s="160"/>
      <c r="CO1841" s="160"/>
      <c r="CP1841" s="162"/>
      <c r="CQ1841" s="163"/>
      <c r="CR1841" s="162"/>
      <c r="CS1841" s="163"/>
      <c r="CT1841" s="162"/>
      <c r="CU1841" s="163"/>
      <c r="CV1841" s="164">
        <f t="shared" si="232"/>
        <v>0</v>
      </c>
      <c r="CW1841" s="165"/>
      <c r="CX1841" s="166"/>
      <c r="CY1841" s="167"/>
      <c r="CZ1841" s="168"/>
      <c r="DA1841" s="169"/>
      <c r="DB1841" s="168"/>
      <c r="DC1841" s="165"/>
      <c r="DD1841" s="166"/>
      <c r="DE1841" s="71"/>
      <c r="DF1841" s="170"/>
      <c r="EO1841" s="375" t="str">
        <f t="shared" si="234"/>
        <v>CALDAS_RIOSUCIO</v>
      </c>
      <c r="EP1841" s="376"/>
      <c r="EQ1841" s="376"/>
      <c r="ER1841" s="377"/>
      <c r="ES1841" s="376"/>
      <c r="ET1841" s="376"/>
      <c r="EU1841" s="376"/>
    </row>
    <row r="1842" spans="1:151" s="171" customFormat="1" ht="38.25" x14ac:dyDescent="0.2">
      <c r="A1842" s="242">
        <v>40504</v>
      </c>
      <c r="B1842" s="222" t="s">
        <v>2007</v>
      </c>
      <c r="C1842" s="222" t="s">
        <v>2376</v>
      </c>
      <c r="D1842" s="430" t="s">
        <v>837</v>
      </c>
      <c r="E1842" s="107" t="str">
        <f>VLOOKUP(B1842&amp;C1842,Divipola!$C$2:$F$1138,4,FALSE)</f>
        <v>25095</v>
      </c>
      <c r="F1842" s="333"/>
      <c r="G1842" s="221"/>
      <c r="H1842" s="157"/>
      <c r="I1842" s="157"/>
      <c r="J1842" s="157">
        <v>30</v>
      </c>
      <c r="K1842" s="157">
        <v>11</v>
      </c>
      <c r="L1842" s="157">
        <v>1</v>
      </c>
      <c r="M1842" s="157">
        <v>10</v>
      </c>
      <c r="N1842" s="157"/>
      <c r="O1842" s="157"/>
      <c r="P1842" s="157"/>
      <c r="Q1842" s="157"/>
      <c r="R1842" s="157"/>
      <c r="S1842" s="157"/>
      <c r="T1842" s="157"/>
      <c r="U1842" s="157"/>
      <c r="V1842" s="158"/>
      <c r="W1842" s="182"/>
      <c r="X1842" s="1"/>
      <c r="Y1842" s="78">
        <f t="shared" si="229"/>
        <v>0</v>
      </c>
      <c r="Z1842" s="78">
        <f t="shared" si="230"/>
        <v>0</v>
      </c>
      <c r="AA1842" s="78">
        <f t="shared" si="228"/>
        <v>0</v>
      </c>
      <c r="AB1842" s="78">
        <f t="shared" si="231"/>
        <v>0</v>
      </c>
      <c r="AC1842" s="78"/>
      <c r="AD1842" s="78">
        <v>0</v>
      </c>
      <c r="AE1842" s="80">
        <f t="shared" si="233"/>
        <v>0</v>
      </c>
      <c r="AF1842" s="82">
        <v>0</v>
      </c>
      <c r="AG1842" s="242">
        <v>40612</v>
      </c>
      <c r="AH1842" s="84"/>
      <c r="AI1842" s="69" t="s">
        <v>1984</v>
      </c>
      <c r="AJ1842" s="25" t="s">
        <v>1985</v>
      </c>
      <c r="AK1842" s="65"/>
      <c r="AL1842" s="176" t="s">
        <v>1257</v>
      </c>
      <c r="AM1842" s="173" t="s">
        <v>457</v>
      </c>
      <c r="AN1842" s="159"/>
      <c r="AO1842" s="160"/>
      <c r="AP1842" s="161"/>
      <c r="AQ1842" s="160"/>
      <c r="AR1842" s="160"/>
      <c r="AS1842" s="160"/>
      <c r="AT1842" s="160"/>
      <c r="AU1842" s="160"/>
      <c r="AV1842" s="160"/>
      <c r="AW1842" s="160"/>
      <c r="AX1842" s="160"/>
      <c r="AY1842" s="160"/>
      <c r="AZ1842" s="160"/>
      <c r="BA1842" s="160"/>
      <c r="BB1842" s="160"/>
      <c r="BC1842" s="160"/>
      <c r="BD1842" s="160"/>
      <c r="BE1842" s="160"/>
      <c r="BF1842" s="160"/>
      <c r="BG1842" s="160"/>
      <c r="BH1842" s="160"/>
      <c r="BI1842" s="160"/>
      <c r="BJ1842" s="160"/>
      <c r="BK1842" s="160"/>
      <c r="BL1842" s="160"/>
      <c r="BM1842" s="160"/>
      <c r="BN1842" s="160"/>
      <c r="BO1842" s="160"/>
      <c r="BP1842" s="160"/>
      <c r="BQ1842" s="160"/>
      <c r="BR1842" s="160"/>
      <c r="BS1842" s="160"/>
      <c r="BT1842" s="160"/>
      <c r="BU1842" s="160"/>
      <c r="BV1842" s="160"/>
      <c r="BW1842" s="160"/>
      <c r="BX1842" s="160"/>
      <c r="BY1842" s="160"/>
      <c r="BZ1842" s="160"/>
      <c r="CA1842" s="160"/>
      <c r="CB1842" s="160"/>
      <c r="CC1842" s="160"/>
      <c r="CD1842" s="160"/>
      <c r="CE1842" s="160"/>
      <c r="CF1842" s="160"/>
      <c r="CG1842" s="160"/>
      <c r="CH1842" s="160"/>
      <c r="CI1842" s="160"/>
      <c r="CJ1842" s="160"/>
      <c r="CK1842" s="160"/>
      <c r="CL1842" s="160"/>
      <c r="CM1842" s="160"/>
      <c r="CN1842" s="160"/>
      <c r="CO1842" s="160"/>
      <c r="CP1842" s="162"/>
      <c r="CQ1842" s="163"/>
      <c r="CR1842" s="162"/>
      <c r="CS1842" s="163"/>
      <c r="CT1842" s="162"/>
      <c r="CU1842" s="163"/>
      <c r="CV1842" s="164">
        <f t="shared" si="232"/>
        <v>0</v>
      </c>
      <c r="CW1842" s="165"/>
      <c r="CX1842" s="166"/>
      <c r="CY1842" s="167"/>
      <c r="CZ1842" s="168"/>
      <c r="DA1842" s="169"/>
      <c r="DB1842" s="168"/>
      <c r="DC1842" s="165"/>
      <c r="DD1842" s="166"/>
      <c r="DE1842" s="71"/>
      <c r="DF1842" s="170"/>
      <c r="EO1842" s="375" t="str">
        <f t="shared" si="234"/>
        <v>CUNDINAMARCA_BITUIMA</v>
      </c>
      <c r="EP1842" s="376"/>
      <c r="EQ1842" s="376"/>
      <c r="ER1842" s="377"/>
      <c r="ES1842" s="376"/>
      <c r="ET1842" s="376"/>
      <c r="EU1842" s="376"/>
    </row>
    <row r="1843" spans="1:151" s="171" customFormat="1" ht="25.5" x14ac:dyDescent="0.2">
      <c r="A1843" s="242">
        <v>40504</v>
      </c>
      <c r="B1843" s="222" t="s">
        <v>1333</v>
      </c>
      <c r="C1843" s="222" t="s">
        <v>2588</v>
      </c>
      <c r="D1843" s="430" t="s">
        <v>2209</v>
      </c>
      <c r="E1843" s="107" t="str">
        <f>VLOOKUP(B1843&amp;C1843,Divipola!$C$2:$F$1138,4,FALSE)</f>
        <v>41797</v>
      </c>
      <c r="F1843" s="333"/>
      <c r="G1843" s="221"/>
      <c r="H1843" s="157"/>
      <c r="I1843" s="157"/>
      <c r="J1843" s="157">
        <v>75</v>
      </c>
      <c r="K1843" s="157">
        <v>15</v>
      </c>
      <c r="L1843" s="157"/>
      <c r="M1843" s="157">
        <v>15</v>
      </c>
      <c r="N1843" s="157"/>
      <c r="O1843" s="157"/>
      <c r="P1843" s="157"/>
      <c r="Q1843" s="157"/>
      <c r="R1843" s="157"/>
      <c r="S1843" s="157"/>
      <c r="T1843" s="157"/>
      <c r="U1843" s="157"/>
      <c r="V1843" s="158"/>
      <c r="W1843" s="182"/>
      <c r="X1843" s="1"/>
      <c r="Y1843" s="78">
        <f t="shared" si="229"/>
        <v>0</v>
      </c>
      <c r="Z1843" s="78">
        <f t="shared" si="230"/>
        <v>0</v>
      </c>
      <c r="AA1843" s="78">
        <f t="shared" si="228"/>
        <v>0</v>
      </c>
      <c r="AB1843" s="78">
        <f t="shared" si="231"/>
        <v>0</v>
      </c>
      <c r="AC1843" s="78"/>
      <c r="AD1843" s="78">
        <v>0</v>
      </c>
      <c r="AE1843" s="80">
        <f t="shared" si="233"/>
        <v>0</v>
      </c>
      <c r="AF1843" s="82">
        <v>0</v>
      </c>
      <c r="AG1843" s="242">
        <v>40506</v>
      </c>
      <c r="AH1843" s="84"/>
      <c r="AI1843" s="69" t="s">
        <v>1984</v>
      </c>
      <c r="AJ1843" s="25" t="s">
        <v>1985</v>
      </c>
      <c r="AK1843" s="65"/>
      <c r="AL1843" s="176" t="s">
        <v>1257</v>
      </c>
      <c r="AM1843" s="173" t="s">
        <v>2474</v>
      </c>
      <c r="AN1843" s="159"/>
      <c r="AO1843" s="160"/>
      <c r="AP1843" s="161"/>
      <c r="AQ1843" s="160"/>
      <c r="AR1843" s="160"/>
      <c r="AS1843" s="160"/>
      <c r="AT1843" s="160"/>
      <c r="AU1843" s="160"/>
      <c r="AV1843" s="160"/>
      <c r="AW1843" s="160"/>
      <c r="AX1843" s="160"/>
      <c r="AY1843" s="160"/>
      <c r="AZ1843" s="160"/>
      <c r="BA1843" s="160"/>
      <c r="BB1843" s="160"/>
      <c r="BC1843" s="160"/>
      <c r="BD1843" s="160"/>
      <c r="BE1843" s="160"/>
      <c r="BF1843" s="160"/>
      <c r="BG1843" s="160"/>
      <c r="BH1843" s="160"/>
      <c r="BI1843" s="160"/>
      <c r="BJ1843" s="160"/>
      <c r="BK1843" s="160"/>
      <c r="BL1843" s="160"/>
      <c r="BM1843" s="160"/>
      <c r="BN1843" s="160"/>
      <c r="BO1843" s="160"/>
      <c r="BP1843" s="160"/>
      <c r="BQ1843" s="160"/>
      <c r="BR1843" s="160"/>
      <c r="BS1843" s="160"/>
      <c r="BT1843" s="160"/>
      <c r="BU1843" s="160"/>
      <c r="BV1843" s="160"/>
      <c r="BW1843" s="160"/>
      <c r="BX1843" s="160"/>
      <c r="BY1843" s="160"/>
      <c r="BZ1843" s="160"/>
      <c r="CA1843" s="160"/>
      <c r="CB1843" s="160"/>
      <c r="CC1843" s="160"/>
      <c r="CD1843" s="160"/>
      <c r="CE1843" s="160"/>
      <c r="CF1843" s="160"/>
      <c r="CG1843" s="160"/>
      <c r="CH1843" s="160"/>
      <c r="CI1843" s="160"/>
      <c r="CJ1843" s="160"/>
      <c r="CK1843" s="160"/>
      <c r="CL1843" s="160"/>
      <c r="CM1843" s="160"/>
      <c r="CN1843" s="160"/>
      <c r="CO1843" s="160"/>
      <c r="CP1843" s="162"/>
      <c r="CQ1843" s="163"/>
      <c r="CR1843" s="162"/>
      <c r="CS1843" s="163"/>
      <c r="CT1843" s="162"/>
      <c r="CU1843" s="163"/>
      <c r="CV1843" s="164">
        <f t="shared" si="232"/>
        <v>0</v>
      </c>
      <c r="CW1843" s="165"/>
      <c r="CX1843" s="166"/>
      <c r="CY1843" s="167"/>
      <c r="CZ1843" s="168"/>
      <c r="DA1843" s="169"/>
      <c r="DB1843" s="168"/>
      <c r="DC1843" s="165"/>
      <c r="DD1843" s="166"/>
      <c r="DE1843" s="71"/>
      <c r="DF1843" s="170"/>
      <c r="EO1843" s="375" t="str">
        <f t="shared" si="234"/>
        <v>HUILA_TESALIA</v>
      </c>
      <c r="EP1843" s="376"/>
      <c r="EQ1843" s="376"/>
      <c r="ER1843" s="377"/>
      <c r="ES1843" s="376"/>
      <c r="ET1843" s="376"/>
      <c r="EU1843" s="376"/>
    </row>
    <row r="1844" spans="1:151" s="171" customFormat="1" ht="36" x14ac:dyDescent="0.2">
      <c r="A1844" s="242">
        <v>40504</v>
      </c>
      <c r="B1844" s="222" t="s">
        <v>1333</v>
      </c>
      <c r="C1844" s="222" t="s">
        <v>1432</v>
      </c>
      <c r="D1844" s="427" t="s">
        <v>2307</v>
      </c>
      <c r="E1844" s="107" t="str">
        <f>VLOOKUP(B1844&amp;C1844,Divipola!$C$2:$F$1138,4,FALSE)</f>
        <v>41807</v>
      </c>
      <c r="F1844" s="330"/>
      <c r="G1844" s="221"/>
      <c r="H1844" s="157"/>
      <c r="I1844" s="157"/>
      <c r="J1844" s="157"/>
      <c r="K1844" s="157"/>
      <c r="L1844" s="157"/>
      <c r="M1844" s="157"/>
      <c r="N1844" s="157"/>
      <c r="O1844" s="157"/>
      <c r="P1844" s="157"/>
      <c r="Q1844" s="157">
        <v>1</v>
      </c>
      <c r="R1844" s="157"/>
      <c r="S1844" s="157"/>
      <c r="T1844" s="157"/>
      <c r="U1844" s="157"/>
      <c r="V1844" s="158"/>
      <c r="W1844" s="182" t="s">
        <v>2543</v>
      </c>
      <c r="X1844" s="1"/>
      <c r="Y1844" s="78">
        <f t="shared" si="229"/>
        <v>0</v>
      </c>
      <c r="Z1844" s="78">
        <f t="shared" si="230"/>
        <v>0</v>
      </c>
      <c r="AA1844" s="78">
        <f t="shared" si="228"/>
        <v>0</v>
      </c>
      <c r="AB1844" s="78">
        <f t="shared" si="231"/>
        <v>0</v>
      </c>
      <c r="AC1844" s="78"/>
      <c r="AD1844" s="78">
        <v>0</v>
      </c>
      <c r="AE1844" s="80">
        <f t="shared" si="233"/>
        <v>0</v>
      </c>
      <c r="AF1844" s="82">
        <v>0</v>
      </c>
      <c r="AG1844" s="242">
        <v>40505</v>
      </c>
      <c r="AH1844" s="84"/>
      <c r="AI1844" s="69" t="s">
        <v>1984</v>
      </c>
      <c r="AJ1844" s="25" t="s">
        <v>1985</v>
      </c>
      <c r="AK1844" s="65"/>
      <c r="AL1844" s="176" t="s">
        <v>1257</v>
      </c>
      <c r="AM1844" s="173" t="s">
        <v>2547</v>
      </c>
      <c r="AN1844" s="159"/>
      <c r="AO1844" s="160"/>
      <c r="AP1844" s="161"/>
      <c r="AQ1844" s="160"/>
      <c r="AR1844" s="160"/>
      <c r="AS1844" s="160"/>
      <c r="AT1844" s="160"/>
      <c r="AU1844" s="160"/>
      <c r="AV1844" s="160"/>
      <c r="AW1844" s="160"/>
      <c r="AX1844" s="160"/>
      <c r="AY1844" s="160"/>
      <c r="AZ1844" s="160"/>
      <c r="BA1844" s="160"/>
      <c r="BB1844" s="160"/>
      <c r="BC1844" s="160"/>
      <c r="BD1844" s="160"/>
      <c r="BE1844" s="160"/>
      <c r="BF1844" s="160"/>
      <c r="BG1844" s="160"/>
      <c r="BH1844" s="160"/>
      <c r="BI1844" s="160"/>
      <c r="BJ1844" s="160"/>
      <c r="BK1844" s="160"/>
      <c r="BL1844" s="160"/>
      <c r="BM1844" s="160"/>
      <c r="BN1844" s="160"/>
      <c r="BO1844" s="160"/>
      <c r="BP1844" s="160"/>
      <c r="BQ1844" s="160"/>
      <c r="BR1844" s="160"/>
      <c r="BS1844" s="160"/>
      <c r="BT1844" s="160"/>
      <c r="BU1844" s="160"/>
      <c r="BV1844" s="160"/>
      <c r="BW1844" s="160"/>
      <c r="BX1844" s="160"/>
      <c r="BY1844" s="160"/>
      <c r="BZ1844" s="160"/>
      <c r="CA1844" s="160"/>
      <c r="CB1844" s="160"/>
      <c r="CC1844" s="160"/>
      <c r="CD1844" s="160"/>
      <c r="CE1844" s="160"/>
      <c r="CF1844" s="160"/>
      <c r="CG1844" s="160"/>
      <c r="CH1844" s="160"/>
      <c r="CI1844" s="160"/>
      <c r="CJ1844" s="160"/>
      <c r="CK1844" s="160"/>
      <c r="CL1844" s="160"/>
      <c r="CM1844" s="160"/>
      <c r="CN1844" s="160"/>
      <c r="CO1844" s="160"/>
      <c r="CP1844" s="162"/>
      <c r="CQ1844" s="163"/>
      <c r="CR1844" s="162"/>
      <c r="CS1844" s="163"/>
      <c r="CT1844" s="162"/>
      <c r="CU1844" s="163"/>
      <c r="CV1844" s="164">
        <f t="shared" si="232"/>
        <v>0</v>
      </c>
      <c r="CW1844" s="165"/>
      <c r="CX1844" s="166"/>
      <c r="CY1844" s="167"/>
      <c r="CZ1844" s="168"/>
      <c r="DA1844" s="169"/>
      <c r="DB1844" s="168"/>
      <c r="DC1844" s="165"/>
      <c r="DD1844" s="166"/>
      <c r="DE1844" s="71"/>
      <c r="DF1844" s="170"/>
      <c r="EO1844" s="375" t="str">
        <f t="shared" si="234"/>
        <v>HUILA_TIMANA</v>
      </c>
      <c r="EP1844" s="376"/>
      <c r="EQ1844" s="376"/>
      <c r="ER1844" s="377"/>
      <c r="ES1844" s="376"/>
      <c r="ET1844" s="376"/>
      <c r="EU1844" s="376"/>
    </row>
    <row r="1845" spans="1:151" s="171" customFormat="1" ht="25.5" x14ac:dyDescent="0.2">
      <c r="A1845" s="242">
        <v>40504</v>
      </c>
      <c r="B1845" s="222" t="s">
        <v>1333</v>
      </c>
      <c r="C1845" s="222" t="s">
        <v>614</v>
      </c>
      <c r="D1845" s="427" t="s">
        <v>2307</v>
      </c>
      <c r="E1845" s="107" t="str">
        <f>VLOOKUP(B1845&amp;C1845,Divipola!$C$2:$F$1138,4,FALSE)</f>
        <v>41885</v>
      </c>
      <c r="F1845" s="330"/>
      <c r="G1845" s="221"/>
      <c r="H1845" s="157">
        <v>3</v>
      </c>
      <c r="I1845" s="157"/>
      <c r="J1845" s="157">
        <v>3</v>
      </c>
      <c r="K1845" s="157">
        <v>1</v>
      </c>
      <c r="L1845" s="157"/>
      <c r="M1845" s="157">
        <v>1</v>
      </c>
      <c r="N1845" s="157"/>
      <c r="O1845" s="157"/>
      <c r="P1845" s="157"/>
      <c r="Q1845" s="157"/>
      <c r="R1845" s="157"/>
      <c r="S1845" s="157"/>
      <c r="T1845" s="157"/>
      <c r="U1845" s="157"/>
      <c r="V1845" s="158"/>
      <c r="W1845" s="182"/>
      <c r="X1845" s="1"/>
      <c r="Y1845" s="78">
        <f t="shared" si="229"/>
        <v>0</v>
      </c>
      <c r="Z1845" s="78">
        <f t="shared" si="230"/>
        <v>0</v>
      </c>
      <c r="AA1845" s="78">
        <f t="shared" ref="AA1845:AA1908" si="235">DB1845+DD1845</f>
        <v>0</v>
      </c>
      <c r="AB1845" s="78">
        <f t="shared" si="231"/>
        <v>0</v>
      </c>
      <c r="AC1845" s="78"/>
      <c r="AD1845" s="78">
        <v>0</v>
      </c>
      <c r="AE1845" s="80">
        <f t="shared" si="233"/>
        <v>0</v>
      </c>
      <c r="AF1845" s="82">
        <v>0</v>
      </c>
      <c r="AG1845" s="242">
        <v>40506</v>
      </c>
      <c r="AH1845" s="84"/>
      <c r="AI1845" s="69" t="s">
        <v>1984</v>
      </c>
      <c r="AJ1845" s="25" t="s">
        <v>1985</v>
      </c>
      <c r="AK1845" s="65"/>
      <c r="AL1845" s="176" t="s">
        <v>1257</v>
      </c>
      <c r="AM1845" s="173" t="s">
        <v>2976</v>
      </c>
      <c r="AN1845" s="159"/>
      <c r="AO1845" s="160"/>
      <c r="AP1845" s="161"/>
      <c r="AQ1845" s="160"/>
      <c r="AR1845" s="160"/>
      <c r="AS1845" s="160"/>
      <c r="AT1845" s="160"/>
      <c r="AU1845" s="160"/>
      <c r="AV1845" s="160"/>
      <c r="AW1845" s="160"/>
      <c r="AX1845" s="160"/>
      <c r="AY1845" s="160"/>
      <c r="AZ1845" s="160"/>
      <c r="BA1845" s="160"/>
      <c r="BB1845" s="160"/>
      <c r="BC1845" s="160"/>
      <c r="BD1845" s="160"/>
      <c r="BE1845" s="160"/>
      <c r="BF1845" s="160"/>
      <c r="BG1845" s="160"/>
      <c r="BH1845" s="160"/>
      <c r="BI1845" s="160"/>
      <c r="BJ1845" s="160"/>
      <c r="BK1845" s="160"/>
      <c r="BL1845" s="160"/>
      <c r="BM1845" s="160"/>
      <c r="BN1845" s="160"/>
      <c r="BO1845" s="160"/>
      <c r="BP1845" s="160"/>
      <c r="BQ1845" s="160"/>
      <c r="BR1845" s="160"/>
      <c r="BS1845" s="160"/>
      <c r="BT1845" s="160"/>
      <c r="BU1845" s="160"/>
      <c r="BV1845" s="160"/>
      <c r="BW1845" s="160"/>
      <c r="BX1845" s="160"/>
      <c r="BY1845" s="160"/>
      <c r="BZ1845" s="160"/>
      <c r="CA1845" s="160"/>
      <c r="CB1845" s="160"/>
      <c r="CC1845" s="160"/>
      <c r="CD1845" s="160"/>
      <c r="CE1845" s="160"/>
      <c r="CF1845" s="160"/>
      <c r="CG1845" s="160"/>
      <c r="CH1845" s="160"/>
      <c r="CI1845" s="160"/>
      <c r="CJ1845" s="160"/>
      <c r="CK1845" s="160"/>
      <c r="CL1845" s="160"/>
      <c r="CM1845" s="160"/>
      <c r="CN1845" s="160"/>
      <c r="CO1845" s="160"/>
      <c r="CP1845" s="162"/>
      <c r="CQ1845" s="163"/>
      <c r="CR1845" s="162"/>
      <c r="CS1845" s="163"/>
      <c r="CT1845" s="162"/>
      <c r="CU1845" s="163"/>
      <c r="CV1845" s="164">
        <f t="shared" si="232"/>
        <v>0</v>
      </c>
      <c r="CW1845" s="165"/>
      <c r="CX1845" s="166"/>
      <c r="CY1845" s="167"/>
      <c r="CZ1845" s="168"/>
      <c r="DA1845" s="169"/>
      <c r="DB1845" s="168"/>
      <c r="DC1845" s="165"/>
      <c r="DD1845" s="166"/>
      <c r="DE1845" s="71"/>
      <c r="DF1845" s="170"/>
      <c r="EO1845" s="375" t="str">
        <f t="shared" si="234"/>
        <v>HUILA_YAGUARA</v>
      </c>
      <c r="EP1845" s="376"/>
      <c r="EQ1845" s="376"/>
      <c r="ER1845" s="377"/>
      <c r="ES1845" s="376"/>
      <c r="ET1845" s="376"/>
      <c r="EU1845" s="376"/>
    </row>
    <row r="1846" spans="1:151" s="171" customFormat="1" ht="25.5" x14ac:dyDescent="0.2">
      <c r="A1846" s="242">
        <v>40504</v>
      </c>
      <c r="B1846" s="222" t="s">
        <v>708</v>
      </c>
      <c r="C1846" s="222" t="s">
        <v>2736</v>
      </c>
      <c r="D1846" s="430" t="s">
        <v>2209</v>
      </c>
      <c r="E1846" s="107" t="str">
        <f>VLOOKUP(B1846&amp;C1846,Divipola!$C$2:$F$1138,4,FALSE)</f>
        <v>50606</v>
      </c>
      <c r="F1846" s="333"/>
      <c r="G1846" s="221"/>
      <c r="H1846" s="157"/>
      <c r="I1846" s="157"/>
      <c r="J1846" s="157">
        <v>1600</v>
      </c>
      <c r="K1846" s="157">
        <v>320</v>
      </c>
      <c r="L1846" s="157"/>
      <c r="M1846" s="157">
        <v>12</v>
      </c>
      <c r="N1846" s="157"/>
      <c r="O1846" s="157"/>
      <c r="P1846" s="157"/>
      <c r="Q1846" s="157"/>
      <c r="R1846" s="157"/>
      <c r="S1846" s="157"/>
      <c r="T1846" s="157"/>
      <c r="U1846" s="157"/>
      <c r="V1846" s="158">
        <v>81</v>
      </c>
      <c r="W1846" s="182" t="s">
        <v>451</v>
      </c>
      <c r="X1846" s="1"/>
      <c r="Y1846" s="78">
        <f t="shared" si="229"/>
        <v>0</v>
      </c>
      <c r="Z1846" s="78">
        <f t="shared" si="230"/>
        <v>0</v>
      </c>
      <c r="AA1846" s="78">
        <f t="shared" si="235"/>
        <v>0</v>
      </c>
      <c r="AB1846" s="78">
        <f t="shared" si="231"/>
        <v>0</v>
      </c>
      <c r="AC1846" s="78"/>
      <c r="AD1846" s="78">
        <v>0</v>
      </c>
      <c r="AE1846" s="80">
        <f t="shared" si="233"/>
        <v>0</v>
      </c>
      <c r="AF1846" s="82">
        <v>0</v>
      </c>
      <c r="AG1846" s="242">
        <v>40505</v>
      </c>
      <c r="AH1846" s="84"/>
      <c r="AI1846" s="69" t="s">
        <v>1984</v>
      </c>
      <c r="AJ1846" s="25" t="s">
        <v>1985</v>
      </c>
      <c r="AK1846" s="65"/>
      <c r="AL1846" s="176" t="s">
        <v>1257</v>
      </c>
      <c r="AM1846" s="173" t="s">
        <v>2055</v>
      </c>
      <c r="AN1846" s="159"/>
      <c r="AO1846" s="160"/>
      <c r="AP1846" s="161"/>
      <c r="AQ1846" s="160"/>
      <c r="AR1846" s="160"/>
      <c r="AS1846" s="160"/>
      <c r="AT1846" s="160"/>
      <c r="AU1846" s="160"/>
      <c r="AV1846" s="160"/>
      <c r="AW1846" s="160"/>
      <c r="AX1846" s="160"/>
      <c r="AY1846" s="160"/>
      <c r="AZ1846" s="160"/>
      <c r="BA1846" s="160"/>
      <c r="BB1846" s="160"/>
      <c r="BC1846" s="160"/>
      <c r="BD1846" s="160"/>
      <c r="BE1846" s="160"/>
      <c r="BF1846" s="160"/>
      <c r="BG1846" s="160"/>
      <c r="BH1846" s="160"/>
      <c r="BI1846" s="160"/>
      <c r="BJ1846" s="160"/>
      <c r="BK1846" s="160"/>
      <c r="BL1846" s="160"/>
      <c r="BM1846" s="160"/>
      <c r="BN1846" s="160"/>
      <c r="BO1846" s="160"/>
      <c r="BP1846" s="160"/>
      <c r="BQ1846" s="160"/>
      <c r="BR1846" s="160"/>
      <c r="BS1846" s="160"/>
      <c r="BT1846" s="160"/>
      <c r="BU1846" s="160"/>
      <c r="BV1846" s="160"/>
      <c r="BW1846" s="160"/>
      <c r="BX1846" s="160"/>
      <c r="BY1846" s="160"/>
      <c r="BZ1846" s="160"/>
      <c r="CA1846" s="160"/>
      <c r="CB1846" s="160"/>
      <c r="CC1846" s="160"/>
      <c r="CD1846" s="160"/>
      <c r="CE1846" s="160"/>
      <c r="CF1846" s="160"/>
      <c r="CG1846" s="160"/>
      <c r="CH1846" s="160"/>
      <c r="CI1846" s="160"/>
      <c r="CJ1846" s="160"/>
      <c r="CK1846" s="160"/>
      <c r="CL1846" s="160"/>
      <c r="CM1846" s="160"/>
      <c r="CN1846" s="160"/>
      <c r="CO1846" s="160"/>
      <c r="CP1846" s="162"/>
      <c r="CQ1846" s="163"/>
      <c r="CR1846" s="162"/>
      <c r="CS1846" s="163"/>
      <c r="CT1846" s="162"/>
      <c r="CU1846" s="163"/>
      <c r="CV1846" s="164">
        <f t="shared" si="232"/>
        <v>0</v>
      </c>
      <c r="CW1846" s="165"/>
      <c r="CX1846" s="166"/>
      <c r="CY1846" s="167"/>
      <c r="CZ1846" s="168"/>
      <c r="DA1846" s="169"/>
      <c r="DB1846" s="168"/>
      <c r="DC1846" s="165"/>
      <c r="DD1846" s="166"/>
      <c r="DE1846" s="71"/>
      <c r="DF1846" s="170"/>
      <c r="EO1846" s="375" t="str">
        <f t="shared" si="234"/>
        <v>META_RESTREPO</v>
      </c>
      <c r="EP1846" s="376"/>
      <c r="EQ1846" s="376"/>
      <c r="ER1846" s="377"/>
      <c r="ES1846" s="376"/>
      <c r="ET1846" s="376"/>
      <c r="EU1846" s="376"/>
    </row>
    <row r="1847" spans="1:151" s="171" customFormat="1" ht="216" x14ac:dyDescent="0.2">
      <c r="A1847" s="242">
        <v>40504</v>
      </c>
      <c r="B1847" s="222" t="s">
        <v>2245</v>
      </c>
      <c r="C1847" s="222" t="s">
        <v>1743</v>
      </c>
      <c r="D1847" s="430" t="s">
        <v>2307</v>
      </c>
      <c r="E1847" s="107" t="str">
        <f>VLOOKUP(B1847&amp;C1847,Divipola!$C$2:$F$1138,4,FALSE)</f>
        <v>52540</v>
      </c>
      <c r="F1847" s="333"/>
      <c r="G1847" s="221"/>
      <c r="H1847" s="157"/>
      <c r="I1847" s="157"/>
      <c r="J1847" s="157">
        <v>621</v>
      </c>
      <c r="K1847" s="157">
        <v>154</v>
      </c>
      <c r="L1847" s="157">
        <v>13</v>
      </c>
      <c r="M1847" s="157">
        <v>141</v>
      </c>
      <c r="N1847" s="157">
        <v>18</v>
      </c>
      <c r="O1847" s="157"/>
      <c r="P1847" s="157"/>
      <c r="Q1847" s="157">
        <v>4</v>
      </c>
      <c r="R1847" s="157"/>
      <c r="S1847" s="157"/>
      <c r="T1847" s="157">
        <v>9</v>
      </c>
      <c r="U1847" s="157"/>
      <c r="V1847" s="158"/>
      <c r="W1847" s="182"/>
      <c r="X1847" s="1"/>
      <c r="Y1847" s="78">
        <f t="shared" si="229"/>
        <v>0</v>
      </c>
      <c r="Z1847" s="78">
        <f t="shared" si="230"/>
        <v>0</v>
      </c>
      <c r="AA1847" s="78">
        <f t="shared" si="235"/>
        <v>0</v>
      </c>
      <c r="AB1847" s="78">
        <f t="shared" si="231"/>
        <v>0</v>
      </c>
      <c r="AC1847" s="78"/>
      <c r="AD1847" s="78">
        <v>0</v>
      </c>
      <c r="AE1847" s="80">
        <f t="shared" si="233"/>
        <v>0</v>
      </c>
      <c r="AF1847" s="82">
        <v>0</v>
      </c>
      <c r="AG1847" s="242">
        <v>40508</v>
      </c>
      <c r="AH1847" s="84"/>
      <c r="AI1847" s="69" t="s">
        <v>1984</v>
      </c>
      <c r="AJ1847" s="25" t="s">
        <v>1985</v>
      </c>
      <c r="AK1847" s="65"/>
      <c r="AL1847" s="176" t="s">
        <v>1257</v>
      </c>
      <c r="AM1847" s="173" t="s">
        <v>2918</v>
      </c>
      <c r="AN1847" s="159"/>
      <c r="AO1847" s="160"/>
      <c r="AP1847" s="161"/>
      <c r="AQ1847" s="160"/>
      <c r="AR1847" s="160"/>
      <c r="AS1847" s="160"/>
      <c r="AT1847" s="160"/>
      <c r="AU1847" s="160"/>
      <c r="AV1847" s="160"/>
      <c r="AW1847" s="160"/>
      <c r="AX1847" s="160"/>
      <c r="AY1847" s="160"/>
      <c r="AZ1847" s="160"/>
      <c r="BA1847" s="160"/>
      <c r="BB1847" s="160"/>
      <c r="BC1847" s="160"/>
      <c r="BD1847" s="160"/>
      <c r="BE1847" s="160"/>
      <c r="BF1847" s="160"/>
      <c r="BG1847" s="160"/>
      <c r="BH1847" s="160"/>
      <c r="BI1847" s="160"/>
      <c r="BJ1847" s="160"/>
      <c r="BK1847" s="160"/>
      <c r="BL1847" s="160"/>
      <c r="BM1847" s="160"/>
      <c r="BN1847" s="160"/>
      <c r="BO1847" s="160"/>
      <c r="BP1847" s="160"/>
      <c r="BQ1847" s="160"/>
      <c r="BR1847" s="160"/>
      <c r="BS1847" s="160"/>
      <c r="BT1847" s="160"/>
      <c r="BU1847" s="160"/>
      <c r="BV1847" s="160"/>
      <c r="BW1847" s="160"/>
      <c r="BX1847" s="160"/>
      <c r="BY1847" s="160"/>
      <c r="BZ1847" s="160"/>
      <c r="CA1847" s="160"/>
      <c r="CB1847" s="160"/>
      <c r="CC1847" s="160"/>
      <c r="CD1847" s="160"/>
      <c r="CE1847" s="160"/>
      <c r="CF1847" s="160"/>
      <c r="CG1847" s="160"/>
      <c r="CH1847" s="160"/>
      <c r="CI1847" s="160"/>
      <c r="CJ1847" s="160"/>
      <c r="CK1847" s="160"/>
      <c r="CL1847" s="160"/>
      <c r="CM1847" s="160"/>
      <c r="CN1847" s="160"/>
      <c r="CO1847" s="160"/>
      <c r="CP1847" s="162"/>
      <c r="CQ1847" s="163"/>
      <c r="CR1847" s="162"/>
      <c r="CS1847" s="163"/>
      <c r="CT1847" s="162"/>
      <c r="CU1847" s="163"/>
      <c r="CV1847" s="164">
        <f t="shared" si="232"/>
        <v>0</v>
      </c>
      <c r="CW1847" s="165"/>
      <c r="CX1847" s="166"/>
      <c r="CY1847" s="167"/>
      <c r="CZ1847" s="168"/>
      <c r="DA1847" s="169"/>
      <c r="DB1847" s="168"/>
      <c r="DC1847" s="165"/>
      <c r="DD1847" s="166"/>
      <c r="DE1847" s="71"/>
      <c r="DF1847" s="170"/>
      <c r="EO1847" s="375" t="str">
        <f t="shared" si="234"/>
        <v>NARIÑO_POLICARPA</v>
      </c>
      <c r="EP1847" s="376"/>
      <c r="EQ1847" s="376"/>
      <c r="ER1847" s="377"/>
      <c r="ES1847" s="376"/>
      <c r="ET1847" s="376"/>
      <c r="EU1847" s="376"/>
    </row>
    <row r="1848" spans="1:151" s="171" customFormat="1" ht="51" x14ac:dyDescent="0.2">
      <c r="A1848" s="242">
        <v>40504</v>
      </c>
      <c r="B1848" s="222" t="s">
        <v>1336</v>
      </c>
      <c r="C1848" s="222" t="s">
        <v>2470</v>
      </c>
      <c r="D1848" s="430" t="s">
        <v>2331</v>
      </c>
      <c r="E1848" s="107" t="str">
        <f>VLOOKUP(B1848&amp;C1848,Divipola!$C$2:$F$1138,4,FALSE)</f>
        <v>54250</v>
      </c>
      <c r="F1848" s="333"/>
      <c r="G1848" s="221"/>
      <c r="H1848" s="157"/>
      <c r="I1848" s="157"/>
      <c r="J1848" s="157">
        <v>1339</v>
      </c>
      <c r="K1848" s="157">
        <v>345</v>
      </c>
      <c r="L1848" s="157">
        <v>33</v>
      </c>
      <c r="M1848" s="157">
        <v>46</v>
      </c>
      <c r="N1848" s="157"/>
      <c r="O1848" s="157"/>
      <c r="P1848" s="157">
        <v>1</v>
      </c>
      <c r="Q1848" s="157"/>
      <c r="R1848" s="157"/>
      <c r="S1848" s="157"/>
      <c r="T1848" s="157"/>
      <c r="U1848" s="157"/>
      <c r="V1848" s="158"/>
      <c r="W1848" s="182" t="s">
        <v>1349</v>
      </c>
      <c r="X1848" s="1"/>
      <c r="Y1848" s="78">
        <f t="shared" si="229"/>
        <v>0</v>
      </c>
      <c r="Z1848" s="78">
        <f t="shared" si="230"/>
        <v>0</v>
      </c>
      <c r="AA1848" s="78">
        <f t="shared" si="235"/>
        <v>0</v>
      </c>
      <c r="AB1848" s="78">
        <f t="shared" si="231"/>
        <v>0</v>
      </c>
      <c r="AC1848" s="78"/>
      <c r="AD1848" s="78">
        <v>0</v>
      </c>
      <c r="AE1848" s="80">
        <f t="shared" si="233"/>
        <v>0</v>
      </c>
      <c r="AF1848" s="82">
        <v>0</v>
      </c>
      <c r="AG1848" s="242">
        <v>40506</v>
      </c>
      <c r="AH1848" s="84"/>
      <c r="AI1848" s="69" t="s">
        <v>1984</v>
      </c>
      <c r="AJ1848" s="25" t="s">
        <v>1985</v>
      </c>
      <c r="AK1848" s="65"/>
      <c r="AL1848" s="176" t="s">
        <v>1257</v>
      </c>
      <c r="AM1848" s="173" t="s">
        <v>2471</v>
      </c>
      <c r="AN1848" s="159"/>
      <c r="AO1848" s="160"/>
      <c r="AP1848" s="161"/>
      <c r="AQ1848" s="160"/>
      <c r="AR1848" s="160"/>
      <c r="AS1848" s="160"/>
      <c r="AT1848" s="160"/>
      <c r="AU1848" s="160"/>
      <c r="AV1848" s="160"/>
      <c r="AW1848" s="160"/>
      <c r="AX1848" s="160"/>
      <c r="AY1848" s="160"/>
      <c r="AZ1848" s="160"/>
      <c r="BA1848" s="160"/>
      <c r="BB1848" s="160"/>
      <c r="BC1848" s="160"/>
      <c r="BD1848" s="160"/>
      <c r="BE1848" s="160"/>
      <c r="BF1848" s="160"/>
      <c r="BG1848" s="160"/>
      <c r="BH1848" s="160"/>
      <c r="BI1848" s="160"/>
      <c r="BJ1848" s="160"/>
      <c r="BK1848" s="160"/>
      <c r="BL1848" s="160"/>
      <c r="BM1848" s="160"/>
      <c r="BN1848" s="160"/>
      <c r="BO1848" s="160"/>
      <c r="BP1848" s="160"/>
      <c r="BQ1848" s="160"/>
      <c r="BR1848" s="160"/>
      <c r="BS1848" s="160"/>
      <c r="BT1848" s="160"/>
      <c r="BU1848" s="160"/>
      <c r="BV1848" s="160"/>
      <c r="BW1848" s="160"/>
      <c r="BX1848" s="160"/>
      <c r="BY1848" s="160"/>
      <c r="BZ1848" s="160"/>
      <c r="CA1848" s="160"/>
      <c r="CB1848" s="160"/>
      <c r="CC1848" s="160"/>
      <c r="CD1848" s="160"/>
      <c r="CE1848" s="160"/>
      <c r="CF1848" s="160"/>
      <c r="CG1848" s="160"/>
      <c r="CH1848" s="160"/>
      <c r="CI1848" s="160"/>
      <c r="CJ1848" s="160"/>
      <c r="CK1848" s="160"/>
      <c r="CL1848" s="160"/>
      <c r="CM1848" s="160"/>
      <c r="CN1848" s="160"/>
      <c r="CO1848" s="160"/>
      <c r="CP1848" s="162"/>
      <c r="CQ1848" s="163"/>
      <c r="CR1848" s="162"/>
      <c r="CS1848" s="163"/>
      <c r="CT1848" s="162"/>
      <c r="CU1848" s="163"/>
      <c r="CV1848" s="164">
        <f t="shared" si="232"/>
        <v>0</v>
      </c>
      <c r="CW1848" s="165"/>
      <c r="CX1848" s="166"/>
      <c r="CY1848" s="167"/>
      <c r="CZ1848" s="168"/>
      <c r="DA1848" s="169"/>
      <c r="DB1848" s="168"/>
      <c r="DC1848" s="165"/>
      <c r="DD1848" s="166"/>
      <c r="DE1848" s="71"/>
      <c r="DF1848" s="170"/>
      <c r="EO1848" s="375" t="str">
        <f t="shared" si="234"/>
        <v>NORTE DE SANTANDER_EL TARRA</v>
      </c>
      <c r="EP1848" s="376"/>
      <c r="EQ1848" s="376"/>
      <c r="ER1848" s="377"/>
      <c r="ES1848" s="376"/>
      <c r="ET1848" s="376"/>
      <c r="EU1848" s="376"/>
    </row>
    <row r="1849" spans="1:151" s="171" customFormat="1" ht="48" x14ac:dyDescent="0.2">
      <c r="A1849" s="242">
        <v>40504</v>
      </c>
      <c r="B1849" s="222" t="s">
        <v>1336</v>
      </c>
      <c r="C1849" s="222" t="s">
        <v>1057</v>
      </c>
      <c r="D1849" s="427" t="s">
        <v>2307</v>
      </c>
      <c r="E1849" s="107" t="str">
        <f>VLOOKUP(B1849&amp;C1849,Divipola!$C$2:$F$1138,4,FALSE)</f>
        <v>54344</v>
      </c>
      <c r="F1849" s="330"/>
      <c r="G1849" s="221"/>
      <c r="H1849" s="157"/>
      <c r="I1849" s="157"/>
      <c r="J1849" s="157">
        <f>15*5</f>
        <v>75</v>
      </c>
      <c r="K1849" s="157">
        <f>343-323-5</f>
        <v>15</v>
      </c>
      <c r="L1849" s="157"/>
      <c r="M1849" s="157"/>
      <c r="N1849" s="157"/>
      <c r="O1849" s="157"/>
      <c r="P1849" s="157">
        <v>1</v>
      </c>
      <c r="Q1849" s="157"/>
      <c r="R1849" s="157"/>
      <c r="S1849" s="157"/>
      <c r="T1849" s="157"/>
      <c r="U1849" s="157"/>
      <c r="V1849" s="158"/>
      <c r="W1849" s="182" t="s">
        <v>2180</v>
      </c>
      <c r="X1849" s="1"/>
      <c r="Y1849" s="78">
        <f t="shared" si="229"/>
        <v>0</v>
      </c>
      <c r="Z1849" s="78">
        <f t="shared" si="230"/>
        <v>0</v>
      </c>
      <c r="AA1849" s="78">
        <f t="shared" si="235"/>
        <v>0</v>
      </c>
      <c r="AB1849" s="78">
        <f t="shared" si="231"/>
        <v>0</v>
      </c>
      <c r="AC1849" s="78"/>
      <c r="AD1849" s="78">
        <v>0</v>
      </c>
      <c r="AE1849" s="80">
        <f t="shared" si="233"/>
        <v>0</v>
      </c>
      <c r="AF1849" s="82">
        <v>0</v>
      </c>
      <c r="AG1849" s="242">
        <v>40505</v>
      </c>
      <c r="AH1849" s="84"/>
      <c r="AI1849" s="69" t="s">
        <v>1984</v>
      </c>
      <c r="AJ1849" s="25" t="s">
        <v>1985</v>
      </c>
      <c r="AK1849" s="65"/>
      <c r="AL1849" s="176" t="s">
        <v>1257</v>
      </c>
      <c r="AM1849" s="173" t="s">
        <v>2541</v>
      </c>
      <c r="AN1849" s="159"/>
      <c r="AO1849" s="160"/>
      <c r="AP1849" s="161"/>
      <c r="AQ1849" s="160"/>
      <c r="AR1849" s="160"/>
      <c r="AS1849" s="160"/>
      <c r="AT1849" s="160"/>
      <c r="AU1849" s="160"/>
      <c r="AV1849" s="160"/>
      <c r="AW1849" s="160"/>
      <c r="AX1849" s="160"/>
      <c r="AY1849" s="160"/>
      <c r="AZ1849" s="160"/>
      <c r="BA1849" s="160"/>
      <c r="BB1849" s="160"/>
      <c r="BC1849" s="160"/>
      <c r="BD1849" s="160"/>
      <c r="BE1849" s="160"/>
      <c r="BF1849" s="160"/>
      <c r="BG1849" s="160"/>
      <c r="BH1849" s="160"/>
      <c r="BI1849" s="160"/>
      <c r="BJ1849" s="160"/>
      <c r="BK1849" s="160"/>
      <c r="BL1849" s="160"/>
      <c r="BM1849" s="160"/>
      <c r="BN1849" s="160"/>
      <c r="BO1849" s="160"/>
      <c r="BP1849" s="160"/>
      <c r="BQ1849" s="160"/>
      <c r="BR1849" s="160"/>
      <c r="BS1849" s="160"/>
      <c r="BT1849" s="160"/>
      <c r="BU1849" s="160"/>
      <c r="BV1849" s="160"/>
      <c r="BW1849" s="160"/>
      <c r="BX1849" s="160"/>
      <c r="BY1849" s="160"/>
      <c r="BZ1849" s="160"/>
      <c r="CA1849" s="160"/>
      <c r="CB1849" s="160"/>
      <c r="CC1849" s="160"/>
      <c r="CD1849" s="160"/>
      <c r="CE1849" s="160"/>
      <c r="CF1849" s="160"/>
      <c r="CG1849" s="160"/>
      <c r="CH1849" s="160"/>
      <c r="CI1849" s="160"/>
      <c r="CJ1849" s="160"/>
      <c r="CK1849" s="160"/>
      <c r="CL1849" s="160"/>
      <c r="CM1849" s="160"/>
      <c r="CN1849" s="160"/>
      <c r="CO1849" s="160"/>
      <c r="CP1849" s="162"/>
      <c r="CQ1849" s="163"/>
      <c r="CR1849" s="162"/>
      <c r="CS1849" s="163"/>
      <c r="CT1849" s="162"/>
      <c r="CU1849" s="163"/>
      <c r="CV1849" s="164">
        <f t="shared" si="232"/>
        <v>0</v>
      </c>
      <c r="CW1849" s="165"/>
      <c r="CX1849" s="166"/>
      <c r="CY1849" s="167"/>
      <c r="CZ1849" s="168"/>
      <c r="DA1849" s="169"/>
      <c r="DB1849" s="168"/>
      <c r="DC1849" s="165"/>
      <c r="DD1849" s="166"/>
      <c r="DE1849" s="71"/>
      <c r="DF1849" s="170"/>
      <c r="EO1849" s="375" t="str">
        <f t="shared" si="234"/>
        <v>NORTE DE SANTANDER_HACARI</v>
      </c>
      <c r="EP1849" s="376"/>
      <c r="EQ1849" s="376"/>
      <c r="ER1849" s="377"/>
      <c r="ES1849" s="376"/>
      <c r="ET1849" s="376"/>
      <c r="EU1849" s="376"/>
    </row>
    <row r="1850" spans="1:151" s="171" customFormat="1" ht="63.75" x14ac:dyDescent="0.2">
      <c r="A1850" s="242">
        <v>40504</v>
      </c>
      <c r="B1850" s="222" t="s">
        <v>1336</v>
      </c>
      <c r="C1850" s="222" t="s">
        <v>386</v>
      </c>
      <c r="D1850" s="430" t="s">
        <v>2307</v>
      </c>
      <c r="E1850" s="107" t="str">
        <f>VLOOKUP(B1850&amp;C1850,Divipola!$C$2:$F$1138,4,FALSE)</f>
        <v>54385</v>
      </c>
      <c r="F1850" s="333"/>
      <c r="G1850" s="221"/>
      <c r="H1850" s="157"/>
      <c r="I1850" s="157"/>
      <c r="J1850" s="157">
        <v>515</v>
      </c>
      <c r="K1850" s="157">
        <v>104</v>
      </c>
      <c r="L1850" s="157"/>
      <c r="M1850" s="157">
        <v>84</v>
      </c>
      <c r="N1850" s="157">
        <v>1</v>
      </c>
      <c r="O1850" s="157">
        <v>1</v>
      </c>
      <c r="P1850" s="157"/>
      <c r="Q1850" s="157"/>
      <c r="R1850" s="157"/>
      <c r="S1850" s="157"/>
      <c r="T1850" s="157"/>
      <c r="U1850" s="157"/>
      <c r="V1850" s="158"/>
      <c r="W1850" s="182"/>
      <c r="X1850" s="1"/>
      <c r="Y1850" s="78">
        <f t="shared" si="229"/>
        <v>0</v>
      </c>
      <c r="Z1850" s="78">
        <f t="shared" si="230"/>
        <v>0</v>
      </c>
      <c r="AA1850" s="78">
        <f t="shared" si="235"/>
        <v>0</v>
      </c>
      <c r="AB1850" s="78">
        <f t="shared" si="231"/>
        <v>0</v>
      </c>
      <c r="AC1850" s="78"/>
      <c r="AD1850" s="78">
        <v>0</v>
      </c>
      <c r="AE1850" s="80">
        <f t="shared" si="233"/>
        <v>0</v>
      </c>
      <c r="AF1850" s="82">
        <v>0</v>
      </c>
      <c r="AG1850" s="69">
        <v>40581</v>
      </c>
      <c r="AH1850" s="84"/>
      <c r="AI1850" s="69" t="s">
        <v>1984</v>
      </c>
      <c r="AJ1850" s="25" t="s">
        <v>1985</v>
      </c>
      <c r="AK1850" s="65"/>
      <c r="AL1850" s="176" t="s">
        <v>1257</v>
      </c>
      <c r="AM1850" s="173" t="s">
        <v>349</v>
      </c>
      <c r="AN1850" s="159"/>
      <c r="AO1850" s="160"/>
      <c r="AP1850" s="161"/>
      <c r="AQ1850" s="160"/>
      <c r="AR1850" s="160"/>
      <c r="AS1850" s="160"/>
      <c r="AT1850" s="160"/>
      <c r="AU1850" s="160"/>
      <c r="AV1850" s="160"/>
      <c r="AW1850" s="160"/>
      <c r="AX1850" s="160"/>
      <c r="AY1850" s="160"/>
      <c r="AZ1850" s="160"/>
      <c r="BA1850" s="160"/>
      <c r="BB1850" s="160"/>
      <c r="BC1850" s="160"/>
      <c r="BD1850" s="160"/>
      <c r="BE1850" s="160"/>
      <c r="BF1850" s="160"/>
      <c r="BG1850" s="160"/>
      <c r="BH1850" s="160"/>
      <c r="BI1850" s="160"/>
      <c r="BJ1850" s="160"/>
      <c r="BK1850" s="160"/>
      <c r="BL1850" s="160"/>
      <c r="BM1850" s="160"/>
      <c r="BN1850" s="160"/>
      <c r="BO1850" s="160"/>
      <c r="BP1850" s="160"/>
      <c r="BQ1850" s="160"/>
      <c r="BR1850" s="160"/>
      <c r="BS1850" s="160"/>
      <c r="BT1850" s="160"/>
      <c r="BU1850" s="160"/>
      <c r="BV1850" s="160"/>
      <c r="BW1850" s="160"/>
      <c r="BX1850" s="160"/>
      <c r="BY1850" s="160"/>
      <c r="BZ1850" s="160"/>
      <c r="CA1850" s="160"/>
      <c r="CB1850" s="160"/>
      <c r="CC1850" s="160"/>
      <c r="CD1850" s="160"/>
      <c r="CE1850" s="160"/>
      <c r="CF1850" s="160"/>
      <c r="CG1850" s="160"/>
      <c r="CH1850" s="160"/>
      <c r="CI1850" s="160"/>
      <c r="CJ1850" s="160"/>
      <c r="CK1850" s="160"/>
      <c r="CL1850" s="160"/>
      <c r="CM1850" s="160"/>
      <c r="CN1850" s="160"/>
      <c r="CO1850" s="160"/>
      <c r="CP1850" s="162"/>
      <c r="CQ1850" s="163"/>
      <c r="CR1850" s="162"/>
      <c r="CS1850" s="163"/>
      <c r="CT1850" s="162"/>
      <c r="CU1850" s="163"/>
      <c r="CV1850" s="164">
        <f t="shared" si="232"/>
        <v>0</v>
      </c>
      <c r="CW1850" s="165"/>
      <c r="CX1850" s="166"/>
      <c r="CY1850" s="167"/>
      <c r="CZ1850" s="168"/>
      <c r="DA1850" s="169"/>
      <c r="DB1850" s="168"/>
      <c r="DC1850" s="165"/>
      <c r="DD1850" s="166"/>
      <c r="DE1850" s="71"/>
      <c r="DF1850" s="170"/>
      <c r="EO1850" s="375" t="str">
        <f t="shared" si="234"/>
        <v>NORTE DE SANTANDER_LA ESPERANZA</v>
      </c>
      <c r="EP1850" s="376"/>
      <c r="EQ1850" s="376"/>
      <c r="ER1850" s="377"/>
      <c r="ES1850" s="376"/>
      <c r="ET1850" s="376"/>
      <c r="EU1850" s="376"/>
    </row>
    <row r="1851" spans="1:151" s="171" customFormat="1" ht="38.25" x14ac:dyDescent="0.2">
      <c r="A1851" s="242">
        <v>40504</v>
      </c>
      <c r="B1851" s="222" t="s">
        <v>1336</v>
      </c>
      <c r="C1851" s="222" t="s">
        <v>1618</v>
      </c>
      <c r="D1851" s="430" t="s">
        <v>1721</v>
      </c>
      <c r="E1851" s="107" t="str">
        <f>VLOOKUP(B1851&amp;C1851,Divipola!$C$2:$F$1138,4,FALSE)</f>
        <v>54810</v>
      </c>
      <c r="F1851" s="333"/>
      <c r="G1851" s="221"/>
      <c r="H1851" s="157"/>
      <c r="I1851" s="157"/>
      <c r="J1851" s="157">
        <v>10</v>
      </c>
      <c r="K1851" s="157">
        <v>2</v>
      </c>
      <c r="L1851" s="157">
        <v>2</v>
      </c>
      <c r="M1851" s="157"/>
      <c r="N1851" s="157"/>
      <c r="O1851" s="157"/>
      <c r="P1851" s="157"/>
      <c r="Q1851" s="157"/>
      <c r="R1851" s="157"/>
      <c r="S1851" s="157"/>
      <c r="T1851" s="157"/>
      <c r="U1851" s="157"/>
      <c r="V1851" s="158"/>
      <c r="W1851" s="182"/>
      <c r="X1851" s="1"/>
      <c r="Y1851" s="78">
        <f t="shared" si="229"/>
        <v>0</v>
      </c>
      <c r="Z1851" s="78">
        <f t="shared" si="230"/>
        <v>0</v>
      </c>
      <c r="AA1851" s="78">
        <f t="shared" si="235"/>
        <v>0</v>
      </c>
      <c r="AB1851" s="78">
        <f t="shared" si="231"/>
        <v>0</v>
      </c>
      <c r="AC1851" s="78"/>
      <c r="AD1851" s="78">
        <v>0</v>
      </c>
      <c r="AE1851" s="80">
        <f t="shared" si="233"/>
        <v>0</v>
      </c>
      <c r="AF1851" s="82">
        <v>0</v>
      </c>
      <c r="AG1851" s="69">
        <v>40505</v>
      </c>
      <c r="AH1851" s="84"/>
      <c r="AI1851" s="69" t="s">
        <v>1984</v>
      </c>
      <c r="AJ1851" s="25" t="s">
        <v>1985</v>
      </c>
      <c r="AK1851" s="65"/>
      <c r="AL1851" s="176" t="s">
        <v>1257</v>
      </c>
      <c r="AM1851" s="173" t="s">
        <v>2542</v>
      </c>
      <c r="AN1851" s="159"/>
      <c r="AO1851" s="160"/>
      <c r="AP1851" s="161"/>
      <c r="AQ1851" s="160"/>
      <c r="AR1851" s="160"/>
      <c r="AS1851" s="160"/>
      <c r="AT1851" s="160"/>
      <c r="AU1851" s="160"/>
      <c r="AV1851" s="160"/>
      <c r="AW1851" s="160"/>
      <c r="AX1851" s="160"/>
      <c r="AY1851" s="160"/>
      <c r="AZ1851" s="160"/>
      <c r="BA1851" s="160"/>
      <c r="BB1851" s="160"/>
      <c r="BC1851" s="160"/>
      <c r="BD1851" s="160"/>
      <c r="BE1851" s="160"/>
      <c r="BF1851" s="160"/>
      <c r="BG1851" s="160"/>
      <c r="BH1851" s="160"/>
      <c r="BI1851" s="160"/>
      <c r="BJ1851" s="160"/>
      <c r="BK1851" s="160"/>
      <c r="BL1851" s="160"/>
      <c r="BM1851" s="160"/>
      <c r="BN1851" s="160"/>
      <c r="BO1851" s="160"/>
      <c r="BP1851" s="160"/>
      <c r="BQ1851" s="160"/>
      <c r="BR1851" s="160"/>
      <c r="BS1851" s="160"/>
      <c r="BT1851" s="160"/>
      <c r="BU1851" s="160"/>
      <c r="BV1851" s="160"/>
      <c r="BW1851" s="160"/>
      <c r="BX1851" s="160"/>
      <c r="BY1851" s="160"/>
      <c r="BZ1851" s="160"/>
      <c r="CA1851" s="160"/>
      <c r="CB1851" s="160"/>
      <c r="CC1851" s="160"/>
      <c r="CD1851" s="160"/>
      <c r="CE1851" s="160"/>
      <c r="CF1851" s="160"/>
      <c r="CG1851" s="160"/>
      <c r="CH1851" s="160"/>
      <c r="CI1851" s="160"/>
      <c r="CJ1851" s="160"/>
      <c r="CK1851" s="160"/>
      <c r="CL1851" s="160"/>
      <c r="CM1851" s="160"/>
      <c r="CN1851" s="160"/>
      <c r="CO1851" s="160"/>
      <c r="CP1851" s="162"/>
      <c r="CQ1851" s="163"/>
      <c r="CR1851" s="162"/>
      <c r="CS1851" s="163"/>
      <c r="CT1851" s="162"/>
      <c r="CU1851" s="163"/>
      <c r="CV1851" s="164">
        <f t="shared" si="232"/>
        <v>0</v>
      </c>
      <c r="CW1851" s="165"/>
      <c r="CX1851" s="166"/>
      <c r="CY1851" s="167"/>
      <c r="CZ1851" s="168"/>
      <c r="DA1851" s="169"/>
      <c r="DB1851" s="168"/>
      <c r="DC1851" s="165"/>
      <c r="DD1851" s="166"/>
      <c r="DE1851" s="71"/>
      <c r="DF1851" s="170"/>
      <c r="EO1851" s="375" t="str">
        <f t="shared" si="234"/>
        <v>NORTE DE SANTANDER_TIBU</v>
      </c>
      <c r="EP1851" s="376"/>
      <c r="EQ1851" s="376"/>
      <c r="ER1851" s="377"/>
      <c r="ES1851" s="376"/>
      <c r="ET1851" s="376"/>
      <c r="EU1851" s="376"/>
    </row>
    <row r="1852" spans="1:151" s="171" customFormat="1" ht="45" x14ac:dyDescent="0.2">
      <c r="A1852" s="242">
        <v>40504</v>
      </c>
      <c r="B1852" s="222" t="s">
        <v>2791</v>
      </c>
      <c r="C1852" s="222" t="s">
        <v>810</v>
      </c>
      <c r="D1852" s="430" t="s">
        <v>837</v>
      </c>
      <c r="E1852" s="107" t="str">
        <f>VLOOKUP(B1852&amp;C1852,Divipola!$C$2:$F$1138,4,FALSE)</f>
        <v>73030</v>
      </c>
      <c r="F1852" s="333"/>
      <c r="G1852" s="221"/>
      <c r="H1852" s="157"/>
      <c r="I1852" s="157"/>
      <c r="J1852" s="157">
        <f>284*5</f>
        <v>1420</v>
      </c>
      <c r="K1852" s="157">
        <v>284</v>
      </c>
      <c r="L1852" s="157"/>
      <c r="M1852" s="157">
        <v>123</v>
      </c>
      <c r="N1852" s="157">
        <v>1</v>
      </c>
      <c r="O1852" s="157">
        <v>1</v>
      </c>
      <c r="P1852" s="157"/>
      <c r="Q1852" s="157"/>
      <c r="R1852" s="157"/>
      <c r="S1852" s="157"/>
      <c r="T1852" s="157"/>
      <c r="U1852" s="157"/>
      <c r="V1852" s="158">
        <v>293</v>
      </c>
      <c r="W1852" s="182"/>
      <c r="X1852" s="1"/>
      <c r="Y1852" s="78">
        <f t="shared" si="229"/>
        <v>0</v>
      </c>
      <c r="Z1852" s="78">
        <f t="shared" si="230"/>
        <v>0</v>
      </c>
      <c r="AA1852" s="78">
        <f t="shared" si="235"/>
        <v>0</v>
      </c>
      <c r="AB1852" s="78">
        <f t="shared" si="231"/>
        <v>0</v>
      </c>
      <c r="AC1852" s="78"/>
      <c r="AD1852" s="78">
        <v>0</v>
      </c>
      <c r="AE1852" s="80">
        <f t="shared" si="233"/>
        <v>0</v>
      </c>
      <c r="AF1852" s="82">
        <v>0</v>
      </c>
      <c r="AG1852" s="69"/>
      <c r="AH1852" s="84"/>
      <c r="AI1852" s="69" t="s">
        <v>2009</v>
      </c>
      <c r="AJ1852" s="276" t="s">
        <v>2010</v>
      </c>
      <c r="AK1852" s="65"/>
      <c r="AL1852" s="272" t="s">
        <v>311</v>
      </c>
      <c r="AM1852" s="173" t="s">
        <v>811</v>
      </c>
      <c r="AN1852" s="159"/>
      <c r="AO1852" s="160"/>
      <c r="AP1852" s="161"/>
      <c r="AQ1852" s="160"/>
      <c r="AR1852" s="160"/>
      <c r="AS1852" s="160"/>
      <c r="AT1852" s="160"/>
      <c r="AU1852" s="160"/>
      <c r="AV1852" s="160"/>
      <c r="AW1852" s="160"/>
      <c r="AX1852" s="160"/>
      <c r="AY1852" s="160"/>
      <c r="AZ1852" s="160"/>
      <c r="BA1852" s="160"/>
      <c r="BB1852" s="160"/>
      <c r="BC1852" s="160"/>
      <c r="BD1852" s="160"/>
      <c r="BE1852" s="160"/>
      <c r="BF1852" s="160"/>
      <c r="BG1852" s="160"/>
      <c r="BH1852" s="160"/>
      <c r="BI1852" s="160"/>
      <c r="BJ1852" s="160"/>
      <c r="BK1852" s="160"/>
      <c r="BL1852" s="160"/>
      <c r="BM1852" s="160"/>
      <c r="BN1852" s="160"/>
      <c r="BO1852" s="160"/>
      <c r="BP1852" s="160"/>
      <c r="BQ1852" s="160"/>
      <c r="BR1852" s="160"/>
      <c r="BS1852" s="160"/>
      <c r="BT1852" s="160"/>
      <c r="BU1852" s="160"/>
      <c r="BV1852" s="160"/>
      <c r="BW1852" s="160"/>
      <c r="BX1852" s="160"/>
      <c r="BY1852" s="160"/>
      <c r="BZ1852" s="160"/>
      <c r="CA1852" s="160"/>
      <c r="CB1852" s="160"/>
      <c r="CC1852" s="160"/>
      <c r="CD1852" s="160"/>
      <c r="CE1852" s="160"/>
      <c r="CF1852" s="160"/>
      <c r="CG1852" s="160"/>
      <c r="CH1852" s="160"/>
      <c r="CI1852" s="160"/>
      <c r="CJ1852" s="160"/>
      <c r="CK1852" s="160"/>
      <c r="CL1852" s="160"/>
      <c r="CM1852" s="160"/>
      <c r="CN1852" s="160"/>
      <c r="CO1852" s="160"/>
      <c r="CP1852" s="162"/>
      <c r="CQ1852" s="163"/>
      <c r="CR1852" s="162"/>
      <c r="CS1852" s="163"/>
      <c r="CT1852" s="162"/>
      <c r="CU1852" s="163"/>
      <c r="CV1852" s="164">
        <f t="shared" si="232"/>
        <v>0</v>
      </c>
      <c r="CW1852" s="165"/>
      <c r="CX1852" s="166"/>
      <c r="CY1852" s="167"/>
      <c r="CZ1852" s="168"/>
      <c r="DA1852" s="169"/>
      <c r="DB1852" s="168"/>
      <c r="DC1852" s="165"/>
      <c r="DD1852" s="166"/>
      <c r="DE1852" s="71"/>
      <c r="DF1852" s="170"/>
      <c r="EO1852" s="375" t="str">
        <f t="shared" si="234"/>
        <v>TOLIMA_AMBALEMA</v>
      </c>
      <c r="EP1852" s="376"/>
      <c r="EQ1852" s="376"/>
      <c r="ER1852" s="377"/>
      <c r="ES1852" s="376"/>
      <c r="ET1852" s="376"/>
      <c r="EU1852" s="376"/>
    </row>
    <row r="1853" spans="1:151" s="171" customFormat="1" ht="51" x14ac:dyDescent="0.2">
      <c r="A1853" s="242">
        <v>40504</v>
      </c>
      <c r="B1853" s="222" t="s">
        <v>1462</v>
      </c>
      <c r="C1853" s="222" t="s">
        <v>2465</v>
      </c>
      <c r="D1853" s="430" t="s">
        <v>837</v>
      </c>
      <c r="E1853" s="107" t="str">
        <f>VLOOKUP(B1853&amp;C1853,Divipola!$C$2:$F$1138,4,FALSE)</f>
        <v>76020</v>
      </c>
      <c r="F1853" s="333"/>
      <c r="G1853" s="221"/>
      <c r="H1853" s="157"/>
      <c r="I1853" s="157"/>
      <c r="J1853" s="157">
        <f>500*5</f>
        <v>2500</v>
      </c>
      <c r="K1853" s="157">
        <v>500</v>
      </c>
      <c r="L1853" s="157"/>
      <c r="M1853" s="157">
        <v>500</v>
      </c>
      <c r="N1853" s="157"/>
      <c r="O1853" s="157"/>
      <c r="P1853" s="157"/>
      <c r="Q1853" s="157"/>
      <c r="R1853" s="157"/>
      <c r="S1853" s="157"/>
      <c r="T1853" s="157"/>
      <c r="U1853" s="157"/>
      <c r="V1853" s="158"/>
      <c r="W1853" s="182"/>
      <c r="X1853" s="1">
        <v>40520</v>
      </c>
      <c r="Y1853" s="78">
        <f t="shared" si="229"/>
        <v>46500000</v>
      </c>
      <c r="Z1853" s="78">
        <f t="shared" si="230"/>
        <v>42500000</v>
      </c>
      <c r="AA1853" s="78">
        <f t="shared" si="235"/>
        <v>0</v>
      </c>
      <c r="AB1853" s="78">
        <f t="shared" si="231"/>
        <v>0</v>
      </c>
      <c r="AC1853" s="78"/>
      <c r="AD1853" s="78">
        <v>0</v>
      </c>
      <c r="AE1853" s="80">
        <f t="shared" si="233"/>
        <v>89000000</v>
      </c>
      <c r="AF1853" s="82">
        <v>0</v>
      </c>
      <c r="AG1853" s="69">
        <v>40506</v>
      </c>
      <c r="AH1853" s="84"/>
      <c r="AI1853" s="69" t="s">
        <v>2009</v>
      </c>
      <c r="AJ1853" s="25" t="s">
        <v>2010</v>
      </c>
      <c r="AK1853" s="65">
        <v>26384</v>
      </c>
      <c r="AL1853" s="176" t="s">
        <v>1831</v>
      </c>
      <c r="AM1853" s="173" t="s">
        <v>2982</v>
      </c>
      <c r="AN1853" s="159"/>
      <c r="AO1853" s="160"/>
      <c r="AP1853" s="161"/>
      <c r="AQ1853" s="160"/>
      <c r="AR1853" s="160"/>
      <c r="AS1853" s="160"/>
      <c r="AT1853" s="160"/>
      <c r="AU1853" s="160"/>
      <c r="AV1853" s="160"/>
      <c r="AW1853" s="160"/>
      <c r="AX1853" s="160"/>
      <c r="AY1853" s="160"/>
      <c r="AZ1853" s="160">
        <v>500</v>
      </c>
      <c r="BA1853" s="160">
        <f>500*56000</f>
        <v>28000000</v>
      </c>
      <c r="BB1853" s="160"/>
      <c r="BC1853" s="160"/>
      <c r="BD1853" s="160"/>
      <c r="BE1853" s="160"/>
      <c r="BF1853" s="160"/>
      <c r="BG1853" s="160"/>
      <c r="BH1853" s="160"/>
      <c r="BI1853" s="160"/>
      <c r="BJ1853" s="160"/>
      <c r="BK1853" s="160"/>
      <c r="BL1853" s="160"/>
      <c r="BM1853" s="160"/>
      <c r="BN1853" s="160"/>
      <c r="BO1853" s="160"/>
      <c r="BP1853" s="160"/>
      <c r="BQ1853" s="160"/>
      <c r="BR1853" s="160"/>
      <c r="BS1853" s="160"/>
      <c r="BT1853" s="160"/>
      <c r="BU1853" s="160"/>
      <c r="BV1853" s="160"/>
      <c r="BW1853" s="160"/>
      <c r="BX1853" s="160"/>
      <c r="BY1853" s="160"/>
      <c r="BZ1853" s="160"/>
      <c r="CA1853" s="160"/>
      <c r="CB1853" s="160"/>
      <c r="CC1853" s="160"/>
      <c r="CD1853" s="160"/>
      <c r="CE1853" s="160"/>
      <c r="CF1853" s="160"/>
      <c r="CG1853" s="160"/>
      <c r="CH1853" s="160"/>
      <c r="CI1853" s="160"/>
      <c r="CJ1853" s="160"/>
      <c r="CK1853" s="160"/>
      <c r="CL1853" s="160"/>
      <c r="CM1853" s="160"/>
      <c r="CN1853" s="160"/>
      <c r="CO1853" s="160"/>
      <c r="CP1853" s="162">
        <v>500</v>
      </c>
      <c r="CQ1853" s="163">
        <f>500*37000</f>
        <v>18500000</v>
      </c>
      <c r="CR1853" s="162"/>
      <c r="CS1853" s="163"/>
      <c r="CT1853" s="162"/>
      <c r="CU1853" s="163"/>
      <c r="CV1853" s="164">
        <f t="shared" si="232"/>
        <v>46500000</v>
      </c>
      <c r="CW1853" s="165"/>
      <c r="CX1853" s="166"/>
      <c r="CY1853" s="167">
        <v>500</v>
      </c>
      <c r="CZ1853" s="168">
        <f>500*85000</f>
        <v>42500000</v>
      </c>
      <c r="DA1853" s="169"/>
      <c r="DB1853" s="168"/>
      <c r="DC1853" s="165"/>
      <c r="DD1853" s="166"/>
      <c r="DE1853" s="71"/>
      <c r="DF1853" s="170"/>
      <c r="EO1853" s="375" t="str">
        <f t="shared" si="234"/>
        <v>VALLE DEL CAUCA_ALCALA</v>
      </c>
      <c r="EP1853" s="376"/>
      <c r="EQ1853" s="376"/>
      <c r="ER1853" s="377"/>
      <c r="ES1853" s="376"/>
      <c r="ET1853" s="376"/>
      <c r="EU1853" s="376"/>
    </row>
    <row r="1854" spans="1:151" s="171" customFormat="1" ht="63.75" x14ac:dyDescent="0.2">
      <c r="A1854" s="242">
        <v>40504</v>
      </c>
      <c r="B1854" s="222" t="s">
        <v>1462</v>
      </c>
      <c r="C1854" s="222" t="s">
        <v>2462</v>
      </c>
      <c r="D1854" s="430" t="s">
        <v>837</v>
      </c>
      <c r="E1854" s="107" t="str">
        <f>VLOOKUP(B1854&amp;C1854,Divipola!$C$2:$F$1138,4,FALSE)</f>
        <v>76041</v>
      </c>
      <c r="F1854" s="333"/>
      <c r="G1854" s="221"/>
      <c r="H1854" s="157"/>
      <c r="I1854" s="157"/>
      <c r="J1854" s="157">
        <f>274*5</f>
        <v>1370</v>
      </c>
      <c r="K1854" s="157">
        <v>274</v>
      </c>
      <c r="L1854" s="157"/>
      <c r="M1854" s="157">
        <v>117</v>
      </c>
      <c r="N1854" s="157"/>
      <c r="O1854" s="157"/>
      <c r="P1854" s="157"/>
      <c r="Q1854" s="157"/>
      <c r="R1854" s="157"/>
      <c r="S1854" s="157"/>
      <c r="T1854" s="157"/>
      <c r="U1854" s="157"/>
      <c r="V1854" s="158"/>
      <c r="W1854" s="182"/>
      <c r="X1854" s="1">
        <v>40536</v>
      </c>
      <c r="Y1854" s="78">
        <f t="shared" si="229"/>
        <v>2325000</v>
      </c>
      <c r="Z1854" s="78">
        <f t="shared" si="230"/>
        <v>2125000</v>
      </c>
      <c r="AA1854" s="78">
        <f t="shared" si="235"/>
        <v>0</v>
      </c>
      <c r="AB1854" s="78">
        <f t="shared" si="231"/>
        <v>0</v>
      </c>
      <c r="AC1854" s="78"/>
      <c r="AD1854" s="78">
        <v>93000000</v>
      </c>
      <c r="AE1854" s="80">
        <f t="shared" si="233"/>
        <v>97450000</v>
      </c>
      <c r="AF1854" s="82">
        <v>0</v>
      </c>
      <c r="AG1854" s="69">
        <v>40506</v>
      </c>
      <c r="AH1854" s="84"/>
      <c r="AI1854" s="69" t="s">
        <v>2009</v>
      </c>
      <c r="AJ1854" s="25" t="s">
        <v>2010</v>
      </c>
      <c r="AK1854" s="65">
        <v>524</v>
      </c>
      <c r="AL1854" s="176" t="s">
        <v>1257</v>
      </c>
      <c r="AM1854" s="177" t="s">
        <v>3857</v>
      </c>
      <c r="AN1854" s="159"/>
      <c r="AO1854" s="160"/>
      <c r="AP1854" s="161"/>
      <c r="AQ1854" s="160"/>
      <c r="AR1854" s="160"/>
      <c r="AS1854" s="160"/>
      <c r="AT1854" s="160"/>
      <c r="AU1854" s="160"/>
      <c r="AV1854" s="160"/>
      <c r="AW1854" s="160"/>
      <c r="AX1854" s="160"/>
      <c r="AY1854" s="160"/>
      <c r="AZ1854" s="160">
        <v>25</v>
      </c>
      <c r="BA1854" s="160">
        <f>25*56000</f>
        <v>1400000</v>
      </c>
      <c r="BB1854" s="160"/>
      <c r="BC1854" s="160"/>
      <c r="BD1854" s="160"/>
      <c r="BE1854" s="160"/>
      <c r="BF1854" s="160"/>
      <c r="BG1854" s="160"/>
      <c r="BH1854" s="160"/>
      <c r="BI1854" s="160"/>
      <c r="BJ1854" s="160"/>
      <c r="BK1854" s="160"/>
      <c r="BL1854" s="160"/>
      <c r="BM1854" s="160"/>
      <c r="BN1854" s="160"/>
      <c r="BO1854" s="160"/>
      <c r="BP1854" s="160"/>
      <c r="BQ1854" s="160"/>
      <c r="BR1854" s="160"/>
      <c r="BS1854" s="160"/>
      <c r="BT1854" s="160"/>
      <c r="BU1854" s="160"/>
      <c r="BV1854" s="160"/>
      <c r="BW1854" s="160"/>
      <c r="BX1854" s="160"/>
      <c r="BY1854" s="160"/>
      <c r="BZ1854" s="160"/>
      <c r="CA1854" s="160"/>
      <c r="CB1854" s="160"/>
      <c r="CC1854" s="160"/>
      <c r="CD1854" s="160"/>
      <c r="CE1854" s="160"/>
      <c r="CF1854" s="160"/>
      <c r="CG1854" s="160"/>
      <c r="CH1854" s="160"/>
      <c r="CI1854" s="160"/>
      <c r="CJ1854" s="160"/>
      <c r="CK1854" s="160"/>
      <c r="CL1854" s="160"/>
      <c r="CM1854" s="160"/>
      <c r="CN1854" s="160"/>
      <c r="CO1854" s="160"/>
      <c r="CP1854" s="162">
        <v>25</v>
      </c>
      <c r="CQ1854" s="163">
        <f>25*37000</f>
        <v>925000</v>
      </c>
      <c r="CR1854" s="162"/>
      <c r="CS1854" s="163"/>
      <c r="CT1854" s="162"/>
      <c r="CU1854" s="163"/>
      <c r="CV1854" s="164">
        <f t="shared" si="232"/>
        <v>2325000</v>
      </c>
      <c r="CW1854" s="165"/>
      <c r="CX1854" s="166"/>
      <c r="CY1854" s="167">
        <v>25</v>
      </c>
      <c r="CZ1854" s="168">
        <f>25*85000</f>
        <v>2125000</v>
      </c>
      <c r="DA1854" s="169"/>
      <c r="DB1854" s="168"/>
      <c r="DC1854" s="165"/>
      <c r="DD1854" s="166"/>
      <c r="DE1854" s="71"/>
      <c r="DF1854" s="170">
        <v>1426</v>
      </c>
      <c r="EO1854" s="375" t="str">
        <f t="shared" si="234"/>
        <v>VALLE DEL CAUCA_ANSERMANUEVO</v>
      </c>
      <c r="EP1854" s="376"/>
      <c r="EQ1854" s="376"/>
      <c r="ER1854" s="377"/>
      <c r="ES1854" s="376"/>
      <c r="ET1854" s="376"/>
      <c r="EU1854" s="376"/>
    </row>
    <row r="1855" spans="1:151" s="171" customFormat="1" ht="51" x14ac:dyDescent="0.2">
      <c r="A1855" s="242">
        <v>40504</v>
      </c>
      <c r="B1855" s="222" t="s">
        <v>1462</v>
      </c>
      <c r="C1855" s="222" t="s">
        <v>2017</v>
      </c>
      <c r="D1855" s="430" t="s">
        <v>837</v>
      </c>
      <c r="E1855" s="107" t="str">
        <f>VLOOKUP(B1855&amp;C1855,Divipola!$C$2:$F$1138,4,FALSE)</f>
        <v>76100</v>
      </c>
      <c r="F1855" s="333"/>
      <c r="G1855" s="221"/>
      <c r="H1855" s="157"/>
      <c r="I1855" s="157"/>
      <c r="J1855" s="157">
        <f>132*5</f>
        <v>660</v>
      </c>
      <c r="K1855" s="157">
        <f>458-326</f>
        <v>132</v>
      </c>
      <c r="L1855" s="157"/>
      <c r="M1855" s="157">
        <f>361-326</f>
        <v>35</v>
      </c>
      <c r="N1855" s="157"/>
      <c r="O1855" s="157"/>
      <c r="P1855" s="157"/>
      <c r="Q1855" s="157"/>
      <c r="R1855" s="157"/>
      <c r="S1855" s="157"/>
      <c r="T1855" s="157"/>
      <c r="U1855" s="157"/>
      <c r="V1855" s="158"/>
      <c r="W1855" s="182"/>
      <c r="X1855" s="1"/>
      <c r="Y1855" s="78">
        <f t="shared" si="229"/>
        <v>0</v>
      </c>
      <c r="Z1855" s="78">
        <f t="shared" si="230"/>
        <v>0</v>
      </c>
      <c r="AA1855" s="78">
        <f t="shared" si="235"/>
        <v>0</v>
      </c>
      <c r="AB1855" s="78">
        <f t="shared" si="231"/>
        <v>0</v>
      </c>
      <c r="AC1855" s="78"/>
      <c r="AD1855" s="78">
        <v>0</v>
      </c>
      <c r="AE1855" s="80">
        <f t="shared" si="233"/>
        <v>0</v>
      </c>
      <c r="AF1855" s="82">
        <v>0</v>
      </c>
      <c r="AG1855" s="69">
        <v>40505</v>
      </c>
      <c r="AH1855" s="84"/>
      <c r="AI1855" s="69" t="s">
        <v>1984</v>
      </c>
      <c r="AJ1855" s="25" t="s">
        <v>1985</v>
      </c>
      <c r="AK1855" s="65"/>
      <c r="AL1855" s="176" t="s">
        <v>1257</v>
      </c>
      <c r="AM1855" s="173" t="s">
        <v>593</v>
      </c>
      <c r="AN1855" s="159"/>
      <c r="AO1855" s="160"/>
      <c r="AP1855" s="161"/>
      <c r="AQ1855" s="160"/>
      <c r="AR1855" s="160"/>
      <c r="AS1855" s="160"/>
      <c r="AT1855" s="160"/>
      <c r="AU1855" s="160"/>
      <c r="AV1855" s="160"/>
      <c r="AW1855" s="160"/>
      <c r="AX1855" s="160"/>
      <c r="AY1855" s="160"/>
      <c r="AZ1855" s="160"/>
      <c r="BA1855" s="160"/>
      <c r="BB1855" s="160"/>
      <c r="BC1855" s="160"/>
      <c r="BD1855" s="160"/>
      <c r="BE1855" s="160"/>
      <c r="BF1855" s="160"/>
      <c r="BG1855" s="160"/>
      <c r="BH1855" s="160"/>
      <c r="BI1855" s="160"/>
      <c r="BJ1855" s="160"/>
      <c r="BK1855" s="160"/>
      <c r="BL1855" s="160"/>
      <c r="BM1855" s="160"/>
      <c r="BN1855" s="160"/>
      <c r="BO1855" s="160"/>
      <c r="BP1855" s="160"/>
      <c r="BQ1855" s="160"/>
      <c r="BR1855" s="160"/>
      <c r="BS1855" s="160"/>
      <c r="BT1855" s="160"/>
      <c r="BU1855" s="160"/>
      <c r="BV1855" s="160"/>
      <c r="BW1855" s="160"/>
      <c r="BX1855" s="160"/>
      <c r="BY1855" s="160"/>
      <c r="BZ1855" s="160"/>
      <c r="CA1855" s="160"/>
      <c r="CB1855" s="160"/>
      <c r="CC1855" s="160"/>
      <c r="CD1855" s="160"/>
      <c r="CE1855" s="160"/>
      <c r="CF1855" s="160"/>
      <c r="CG1855" s="160"/>
      <c r="CH1855" s="160"/>
      <c r="CI1855" s="160"/>
      <c r="CJ1855" s="160"/>
      <c r="CK1855" s="160"/>
      <c r="CL1855" s="160"/>
      <c r="CM1855" s="160"/>
      <c r="CN1855" s="160"/>
      <c r="CO1855" s="160"/>
      <c r="CP1855" s="162"/>
      <c r="CQ1855" s="163"/>
      <c r="CR1855" s="162"/>
      <c r="CS1855" s="163"/>
      <c r="CT1855" s="162"/>
      <c r="CU1855" s="163"/>
      <c r="CV1855" s="164">
        <f t="shared" si="232"/>
        <v>0</v>
      </c>
      <c r="CW1855" s="165"/>
      <c r="CX1855" s="166"/>
      <c r="CY1855" s="167"/>
      <c r="CZ1855" s="168"/>
      <c r="DA1855" s="169"/>
      <c r="DB1855" s="168"/>
      <c r="DC1855" s="165"/>
      <c r="DD1855" s="166"/>
      <c r="DE1855" s="71"/>
      <c r="DF1855" s="170"/>
      <c r="EO1855" s="375" t="str">
        <f t="shared" si="234"/>
        <v>VALLE DEL CAUCA_BOLIVAR</v>
      </c>
      <c r="EP1855" s="376"/>
      <c r="EQ1855" s="376"/>
      <c r="ER1855" s="377"/>
      <c r="ES1855" s="376"/>
      <c r="ET1855" s="376"/>
      <c r="EU1855" s="376"/>
    </row>
    <row r="1856" spans="1:151" s="171" customFormat="1" ht="51" x14ac:dyDescent="0.2">
      <c r="A1856" s="242">
        <v>40504</v>
      </c>
      <c r="B1856" s="222" t="s">
        <v>1462</v>
      </c>
      <c r="C1856" s="222" t="s">
        <v>2506</v>
      </c>
      <c r="D1856" s="427" t="s">
        <v>2307</v>
      </c>
      <c r="E1856" s="107" t="str">
        <f>VLOOKUP(B1856&amp;C1856,Divipola!$C$2:$F$1138,4,FALSE)</f>
        <v>76892</v>
      </c>
      <c r="F1856" s="330"/>
      <c r="G1856" s="221"/>
      <c r="H1856" s="157"/>
      <c r="I1856" s="157"/>
      <c r="J1856" s="157">
        <f>205*5</f>
        <v>1025</v>
      </c>
      <c r="K1856" s="157">
        <v>205</v>
      </c>
      <c r="L1856" s="157"/>
      <c r="M1856" s="157">
        <f>305-260</f>
        <v>45</v>
      </c>
      <c r="N1856" s="157"/>
      <c r="O1856" s="157"/>
      <c r="P1856" s="157"/>
      <c r="Q1856" s="157"/>
      <c r="R1856" s="157"/>
      <c r="S1856" s="157"/>
      <c r="T1856" s="157"/>
      <c r="U1856" s="157"/>
      <c r="V1856" s="158"/>
      <c r="W1856" s="182"/>
      <c r="X1856" s="1"/>
      <c r="Y1856" s="78">
        <f t="shared" si="229"/>
        <v>0</v>
      </c>
      <c r="Z1856" s="78">
        <f t="shared" si="230"/>
        <v>0</v>
      </c>
      <c r="AA1856" s="78">
        <f t="shared" si="235"/>
        <v>0</v>
      </c>
      <c r="AB1856" s="78">
        <f t="shared" si="231"/>
        <v>0</v>
      </c>
      <c r="AC1856" s="78"/>
      <c r="AD1856" s="78">
        <v>0</v>
      </c>
      <c r="AE1856" s="80">
        <f t="shared" si="233"/>
        <v>0</v>
      </c>
      <c r="AF1856" s="82">
        <v>0</v>
      </c>
      <c r="AG1856" s="69">
        <v>40505</v>
      </c>
      <c r="AH1856" s="84"/>
      <c r="AI1856" s="69" t="s">
        <v>1984</v>
      </c>
      <c r="AJ1856" s="25" t="s">
        <v>1985</v>
      </c>
      <c r="AK1856" s="65"/>
      <c r="AL1856" s="176" t="s">
        <v>1257</v>
      </c>
      <c r="AM1856" s="173" t="s">
        <v>2522</v>
      </c>
      <c r="AN1856" s="159"/>
      <c r="AO1856" s="160"/>
      <c r="AP1856" s="161"/>
      <c r="AQ1856" s="160"/>
      <c r="AR1856" s="160"/>
      <c r="AS1856" s="160"/>
      <c r="AT1856" s="160"/>
      <c r="AU1856" s="160"/>
      <c r="AV1856" s="160"/>
      <c r="AW1856" s="160"/>
      <c r="AX1856" s="160"/>
      <c r="AY1856" s="160"/>
      <c r="AZ1856" s="160"/>
      <c r="BA1856" s="160"/>
      <c r="BB1856" s="160"/>
      <c r="BC1856" s="160"/>
      <c r="BD1856" s="160"/>
      <c r="BE1856" s="160"/>
      <c r="BF1856" s="160"/>
      <c r="BG1856" s="160"/>
      <c r="BH1856" s="160"/>
      <c r="BI1856" s="160"/>
      <c r="BJ1856" s="160"/>
      <c r="BK1856" s="160"/>
      <c r="BL1856" s="160"/>
      <c r="BM1856" s="160"/>
      <c r="BN1856" s="160"/>
      <c r="BO1856" s="160"/>
      <c r="BP1856" s="160"/>
      <c r="BQ1856" s="160"/>
      <c r="BR1856" s="160"/>
      <c r="BS1856" s="160"/>
      <c r="BT1856" s="160"/>
      <c r="BU1856" s="160"/>
      <c r="BV1856" s="160"/>
      <c r="BW1856" s="160"/>
      <c r="BX1856" s="160"/>
      <c r="BY1856" s="160"/>
      <c r="BZ1856" s="160"/>
      <c r="CA1856" s="160"/>
      <c r="CB1856" s="160"/>
      <c r="CC1856" s="160"/>
      <c r="CD1856" s="160"/>
      <c r="CE1856" s="160"/>
      <c r="CF1856" s="160"/>
      <c r="CG1856" s="160"/>
      <c r="CH1856" s="160"/>
      <c r="CI1856" s="160"/>
      <c r="CJ1856" s="160"/>
      <c r="CK1856" s="160"/>
      <c r="CL1856" s="160"/>
      <c r="CM1856" s="160"/>
      <c r="CN1856" s="160"/>
      <c r="CO1856" s="160"/>
      <c r="CP1856" s="162"/>
      <c r="CQ1856" s="163"/>
      <c r="CR1856" s="162"/>
      <c r="CS1856" s="163"/>
      <c r="CT1856" s="162"/>
      <c r="CU1856" s="163"/>
      <c r="CV1856" s="164">
        <f t="shared" si="232"/>
        <v>0</v>
      </c>
      <c r="CW1856" s="165"/>
      <c r="CX1856" s="166"/>
      <c r="CY1856" s="167"/>
      <c r="CZ1856" s="168"/>
      <c r="DA1856" s="169"/>
      <c r="DB1856" s="168"/>
      <c r="DC1856" s="165"/>
      <c r="DD1856" s="166"/>
      <c r="DE1856" s="71"/>
      <c r="DF1856" s="170"/>
      <c r="EO1856" s="375" t="str">
        <f t="shared" si="234"/>
        <v>VALLE DEL CAUCA_YUMBO</v>
      </c>
      <c r="EP1856" s="376"/>
      <c r="EQ1856" s="376"/>
      <c r="ER1856" s="377"/>
      <c r="ES1856" s="376"/>
      <c r="ET1856" s="376"/>
      <c r="EU1856" s="376"/>
    </row>
    <row r="1857" spans="1:151" s="171" customFormat="1" ht="72" x14ac:dyDescent="0.2">
      <c r="A1857" s="242">
        <v>40505</v>
      </c>
      <c r="B1857" s="222" t="s">
        <v>828</v>
      </c>
      <c r="C1857" s="222" t="s">
        <v>2354</v>
      </c>
      <c r="D1857" s="430" t="s">
        <v>2307</v>
      </c>
      <c r="E1857" s="107" t="str">
        <f>VLOOKUP(B1857&amp;C1857,Divipola!$C$2:$F$1138,4,FALSE)</f>
        <v>15322</v>
      </c>
      <c r="F1857" s="333"/>
      <c r="G1857" s="221"/>
      <c r="H1857" s="157"/>
      <c r="I1857" s="157"/>
      <c r="J1857" s="157">
        <f>68*5</f>
        <v>340</v>
      </c>
      <c r="K1857" s="157">
        <v>68</v>
      </c>
      <c r="L1857" s="157"/>
      <c r="M1857" s="157">
        <v>68</v>
      </c>
      <c r="N1857" s="157"/>
      <c r="O1857" s="157"/>
      <c r="P1857" s="157"/>
      <c r="Q1857" s="157"/>
      <c r="R1857" s="157"/>
      <c r="S1857" s="157"/>
      <c r="T1857" s="157"/>
      <c r="U1857" s="157"/>
      <c r="V1857" s="158"/>
      <c r="W1857" s="182"/>
      <c r="X1857" s="1"/>
      <c r="Y1857" s="78">
        <f t="shared" si="229"/>
        <v>0</v>
      </c>
      <c r="Z1857" s="78">
        <f t="shared" si="230"/>
        <v>0</v>
      </c>
      <c r="AA1857" s="78">
        <f t="shared" si="235"/>
        <v>0</v>
      </c>
      <c r="AB1857" s="78">
        <f t="shared" si="231"/>
        <v>0</v>
      </c>
      <c r="AC1857" s="78"/>
      <c r="AD1857" s="78">
        <v>0</v>
      </c>
      <c r="AE1857" s="80">
        <f t="shared" si="233"/>
        <v>0</v>
      </c>
      <c r="AF1857" s="82">
        <v>0</v>
      </c>
      <c r="AG1857" s="69">
        <v>40578</v>
      </c>
      <c r="AH1857" s="84"/>
      <c r="AI1857" s="69" t="s">
        <v>1984</v>
      </c>
      <c r="AJ1857" s="25" t="s">
        <v>1985</v>
      </c>
      <c r="AK1857" s="65"/>
      <c r="AL1857" s="176" t="s">
        <v>1257</v>
      </c>
      <c r="AM1857" s="173" t="s">
        <v>363</v>
      </c>
      <c r="AN1857" s="159"/>
      <c r="AO1857" s="160"/>
      <c r="AP1857" s="161"/>
      <c r="AQ1857" s="160"/>
      <c r="AR1857" s="160"/>
      <c r="AS1857" s="160"/>
      <c r="AT1857" s="160"/>
      <c r="AU1857" s="160"/>
      <c r="AV1857" s="160"/>
      <c r="AW1857" s="160"/>
      <c r="AX1857" s="160"/>
      <c r="AY1857" s="160"/>
      <c r="AZ1857" s="160"/>
      <c r="BA1857" s="160"/>
      <c r="BB1857" s="160"/>
      <c r="BC1857" s="160"/>
      <c r="BD1857" s="160"/>
      <c r="BE1857" s="160"/>
      <c r="BF1857" s="160"/>
      <c r="BG1857" s="160"/>
      <c r="BH1857" s="160"/>
      <c r="BI1857" s="160"/>
      <c r="BJ1857" s="160"/>
      <c r="BK1857" s="160"/>
      <c r="BL1857" s="160"/>
      <c r="BM1857" s="160"/>
      <c r="BN1857" s="160"/>
      <c r="BO1857" s="160"/>
      <c r="BP1857" s="160"/>
      <c r="BQ1857" s="160"/>
      <c r="BR1857" s="160"/>
      <c r="BS1857" s="160"/>
      <c r="BT1857" s="160"/>
      <c r="BU1857" s="160"/>
      <c r="BV1857" s="160"/>
      <c r="BW1857" s="160"/>
      <c r="BX1857" s="160"/>
      <c r="BY1857" s="160"/>
      <c r="BZ1857" s="160"/>
      <c r="CA1857" s="160"/>
      <c r="CB1857" s="160"/>
      <c r="CC1857" s="160"/>
      <c r="CD1857" s="160"/>
      <c r="CE1857" s="160"/>
      <c r="CF1857" s="160"/>
      <c r="CG1857" s="160"/>
      <c r="CH1857" s="160"/>
      <c r="CI1857" s="160"/>
      <c r="CJ1857" s="160"/>
      <c r="CK1857" s="160"/>
      <c r="CL1857" s="160"/>
      <c r="CM1857" s="160"/>
      <c r="CN1857" s="160"/>
      <c r="CO1857" s="160"/>
      <c r="CP1857" s="162"/>
      <c r="CQ1857" s="163"/>
      <c r="CR1857" s="162"/>
      <c r="CS1857" s="163"/>
      <c r="CT1857" s="162"/>
      <c r="CU1857" s="163"/>
      <c r="CV1857" s="164">
        <f t="shared" si="232"/>
        <v>0</v>
      </c>
      <c r="CW1857" s="165"/>
      <c r="CX1857" s="166"/>
      <c r="CY1857" s="167"/>
      <c r="CZ1857" s="168"/>
      <c r="DA1857" s="169"/>
      <c r="DB1857" s="168"/>
      <c r="DC1857" s="165"/>
      <c r="DD1857" s="166"/>
      <c r="DE1857" s="71"/>
      <c r="DF1857" s="170"/>
      <c r="EO1857" s="375" t="str">
        <f t="shared" si="234"/>
        <v>BOYACA_GUATEQUE</v>
      </c>
      <c r="EP1857" s="376"/>
      <c r="EQ1857" s="376"/>
      <c r="ER1857" s="377"/>
      <c r="ES1857" s="376"/>
      <c r="ET1857" s="376"/>
      <c r="EU1857" s="376"/>
    </row>
    <row r="1858" spans="1:151" s="171" customFormat="1" ht="25.5" x14ac:dyDescent="0.2">
      <c r="A1858" s="242">
        <v>40505</v>
      </c>
      <c r="B1858" s="222" t="s">
        <v>2242</v>
      </c>
      <c r="C1858" s="222" t="s">
        <v>1405</v>
      </c>
      <c r="D1858" s="430" t="s">
        <v>837</v>
      </c>
      <c r="E1858" s="107" t="str">
        <f>VLOOKUP(B1858&amp;C1858,Divipola!$C$2:$F$1138,4,FALSE)</f>
        <v>20295</v>
      </c>
      <c r="F1858" s="333"/>
      <c r="G1858" s="221">
        <v>1</v>
      </c>
      <c r="H1858" s="157"/>
      <c r="I1858" s="157"/>
      <c r="J1858" s="157"/>
      <c r="K1858" s="157"/>
      <c r="L1858" s="157"/>
      <c r="M1858" s="157"/>
      <c r="N1858" s="157"/>
      <c r="O1858" s="157"/>
      <c r="P1858" s="157"/>
      <c r="Q1858" s="157"/>
      <c r="R1858" s="157"/>
      <c r="S1858" s="157"/>
      <c r="T1858" s="157"/>
      <c r="U1858" s="157"/>
      <c r="V1858" s="158"/>
      <c r="W1858" s="182"/>
      <c r="X1858" s="1"/>
      <c r="Y1858" s="78">
        <f t="shared" si="229"/>
        <v>0</v>
      </c>
      <c r="Z1858" s="78">
        <f t="shared" si="230"/>
        <v>0</v>
      </c>
      <c r="AA1858" s="78">
        <f t="shared" si="235"/>
        <v>0</v>
      </c>
      <c r="AB1858" s="78">
        <f t="shared" si="231"/>
        <v>0</v>
      </c>
      <c r="AC1858" s="78"/>
      <c r="AD1858" s="78">
        <v>0</v>
      </c>
      <c r="AE1858" s="80">
        <f t="shared" si="233"/>
        <v>0</v>
      </c>
      <c r="AF1858" s="82">
        <v>0</v>
      </c>
      <c r="AG1858" s="69">
        <v>40506</v>
      </c>
      <c r="AH1858" s="84"/>
      <c r="AI1858" s="69" t="s">
        <v>1984</v>
      </c>
      <c r="AJ1858" s="25" t="s">
        <v>1985</v>
      </c>
      <c r="AK1858" s="65"/>
      <c r="AL1858" s="176" t="s">
        <v>1257</v>
      </c>
      <c r="AM1858" s="173" t="s">
        <v>2451</v>
      </c>
      <c r="AN1858" s="159"/>
      <c r="AO1858" s="160"/>
      <c r="AP1858" s="161"/>
      <c r="AQ1858" s="160"/>
      <c r="AR1858" s="160"/>
      <c r="AS1858" s="160"/>
      <c r="AT1858" s="160"/>
      <c r="AU1858" s="160"/>
      <c r="AV1858" s="160"/>
      <c r="AW1858" s="160"/>
      <c r="AX1858" s="160"/>
      <c r="AY1858" s="160"/>
      <c r="AZ1858" s="160"/>
      <c r="BA1858" s="160"/>
      <c r="BB1858" s="160"/>
      <c r="BC1858" s="160"/>
      <c r="BD1858" s="160"/>
      <c r="BE1858" s="160"/>
      <c r="BF1858" s="160"/>
      <c r="BG1858" s="160"/>
      <c r="BH1858" s="160"/>
      <c r="BI1858" s="160"/>
      <c r="BJ1858" s="160"/>
      <c r="BK1858" s="160"/>
      <c r="BL1858" s="160"/>
      <c r="BM1858" s="160"/>
      <c r="BN1858" s="160"/>
      <c r="BO1858" s="160"/>
      <c r="BP1858" s="160"/>
      <c r="BQ1858" s="160"/>
      <c r="BR1858" s="160"/>
      <c r="BS1858" s="160"/>
      <c r="BT1858" s="160"/>
      <c r="BU1858" s="160"/>
      <c r="BV1858" s="160"/>
      <c r="BW1858" s="160"/>
      <c r="BX1858" s="160"/>
      <c r="BY1858" s="160"/>
      <c r="BZ1858" s="160"/>
      <c r="CA1858" s="160"/>
      <c r="CB1858" s="160"/>
      <c r="CC1858" s="160"/>
      <c r="CD1858" s="160"/>
      <c r="CE1858" s="160"/>
      <c r="CF1858" s="160"/>
      <c r="CG1858" s="160"/>
      <c r="CH1858" s="160"/>
      <c r="CI1858" s="160"/>
      <c r="CJ1858" s="160"/>
      <c r="CK1858" s="160"/>
      <c r="CL1858" s="160"/>
      <c r="CM1858" s="160"/>
      <c r="CN1858" s="160"/>
      <c r="CO1858" s="160"/>
      <c r="CP1858" s="162"/>
      <c r="CQ1858" s="163"/>
      <c r="CR1858" s="162"/>
      <c r="CS1858" s="163"/>
      <c r="CT1858" s="162"/>
      <c r="CU1858" s="163"/>
      <c r="CV1858" s="164">
        <f t="shared" si="232"/>
        <v>0</v>
      </c>
      <c r="CW1858" s="165"/>
      <c r="CX1858" s="166"/>
      <c r="CY1858" s="167"/>
      <c r="CZ1858" s="168"/>
      <c r="DA1858" s="169"/>
      <c r="DB1858" s="168"/>
      <c r="DC1858" s="165"/>
      <c r="DD1858" s="166"/>
      <c r="DE1858" s="71"/>
      <c r="DF1858" s="170"/>
      <c r="EO1858" s="375" t="str">
        <f t="shared" si="234"/>
        <v>CESAR_GAMARRA</v>
      </c>
      <c r="EP1858" s="376"/>
      <c r="EQ1858" s="376"/>
      <c r="ER1858" s="377"/>
      <c r="ES1858" s="376"/>
      <c r="ET1858" s="376"/>
      <c r="EU1858" s="376"/>
    </row>
    <row r="1859" spans="1:151" s="171" customFormat="1" ht="38.25" x14ac:dyDescent="0.2">
      <c r="A1859" s="242">
        <v>40505</v>
      </c>
      <c r="B1859" s="222" t="s">
        <v>2007</v>
      </c>
      <c r="C1859" s="222" t="s">
        <v>2383</v>
      </c>
      <c r="D1859" s="430" t="s">
        <v>2781</v>
      </c>
      <c r="E1859" s="107" t="str">
        <f>VLOOKUP(B1859&amp;C1859,Divipola!$C$2:$F$1138,4,FALSE)</f>
        <v>25317</v>
      </c>
      <c r="F1859" s="333"/>
      <c r="G1859" s="221">
        <v>7</v>
      </c>
      <c r="H1859" s="157">
        <v>6</v>
      </c>
      <c r="I1859" s="157"/>
      <c r="J1859" s="157"/>
      <c r="K1859" s="157"/>
      <c r="L1859" s="157"/>
      <c r="M1859" s="157"/>
      <c r="N1859" s="157"/>
      <c r="O1859" s="157"/>
      <c r="P1859" s="157"/>
      <c r="Q1859" s="157"/>
      <c r="R1859" s="157"/>
      <c r="S1859" s="157"/>
      <c r="T1859" s="157"/>
      <c r="U1859" s="157"/>
      <c r="V1859" s="158"/>
      <c r="W1859" s="182"/>
      <c r="X1859" s="1"/>
      <c r="Y1859" s="78">
        <f t="shared" ref="Y1859:Y1922" si="236">CV1859</f>
        <v>0</v>
      </c>
      <c r="Z1859" s="78">
        <f t="shared" ref="Z1859:Z1922" si="237">CZ1859</f>
        <v>0</v>
      </c>
      <c r="AA1859" s="78">
        <f t="shared" si="235"/>
        <v>0</v>
      </c>
      <c r="AB1859" s="78">
        <f t="shared" ref="AB1859:AB1922" si="238">CX1859</f>
        <v>0</v>
      </c>
      <c r="AC1859" s="78"/>
      <c r="AD1859" s="78">
        <v>0</v>
      </c>
      <c r="AE1859" s="80">
        <f t="shared" si="233"/>
        <v>0</v>
      </c>
      <c r="AF1859" s="82">
        <v>0</v>
      </c>
      <c r="AG1859" s="69">
        <v>40506</v>
      </c>
      <c r="AH1859" s="84"/>
      <c r="AI1859" s="69" t="s">
        <v>1984</v>
      </c>
      <c r="AJ1859" s="25" t="s">
        <v>1985</v>
      </c>
      <c r="AK1859" s="65"/>
      <c r="AL1859" s="176" t="s">
        <v>1257</v>
      </c>
      <c r="AM1859" s="173" t="s">
        <v>2884</v>
      </c>
      <c r="AN1859" s="159"/>
      <c r="AO1859" s="160"/>
      <c r="AP1859" s="161"/>
      <c r="AQ1859" s="160"/>
      <c r="AR1859" s="160"/>
      <c r="AS1859" s="160"/>
      <c r="AT1859" s="160"/>
      <c r="AU1859" s="160"/>
      <c r="AV1859" s="160"/>
      <c r="AW1859" s="160"/>
      <c r="AX1859" s="160"/>
      <c r="AY1859" s="160"/>
      <c r="AZ1859" s="160"/>
      <c r="BA1859" s="160"/>
      <c r="BB1859" s="160"/>
      <c r="BC1859" s="160"/>
      <c r="BD1859" s="160"/>
      <c r="BE1859" s="160"/>
      <c r="BF1859" s="160"/>
      <c r="BG1859" s="160"/>
      <c r="BH1859" s="160"/>
      <c r="BI1859" s="160"/>
      <c r="BJ1859" s="160"/>
      <c r="BK1859" s="160"/>
      <c r="BL1859" s="160"/>
      <c r="BM1859" s="160"/>
      <c r="BN1859" s="160"/>
      <c r="BO1859" s="160"/>
      <c r="BP1859" s="160"/>
      <c r="BQ1859" s="160"/>
      <c r="BR1859" s="160"/>
      <c r="BS1859" s="160"/>
      <c r="BT1859" s="160"/>
      <c r="BU1859" s="160"/>
      <c r="BV1859" s="160"/>
      <c r="BW1859" s="160"/>
      <c r="BX1859" s="160"/>
      <c r="BY1859" s="160"/>
      <c r="BZ1859" s="160"/>
      <c r="CA1859" s="160"/>
      <c r="CB1859" s="160"/>
      <c r="CC1859" s="160"/>
      <c r="CD1859" s="160"/>
      <c r="CE1859" s="160"/>
      <c r="CF1859" s="160"/>
      <c r="CG1859" s="160"/>
      <c r="CH1859" s="160"/>
      <c r="CI1859" s="160"/>
      <c r="CJ1859" s="160"/>
      <c r="CK1859" s="160"/>
      <c r="CL1859" s="160"/>
      <c r="CM1859" s="160"/>
      <c r="CN1859" s="160"/>
      <c r="CO1859" s="160"/>
      <c r="CP1859" s="162"/>
      <c r="CQ1859" s="163"/>
      <c r="CR1859" s="162"/>
      <c r="CS1859" s="163"/>
      <c r="CT1859" s="162"/>
      <c r="CU1859" s="163"/>
      <c r="CV1859" s="164">
        <f t="shared" ref="CV1859:CV1922" si="239">AO1859+AQ1859+AS1859+AU1859+AW1859+AY1859+BA1859+BC1859+BE1859+BG1859+BI1859+BK1859+BM1859+BO1859+BQ1859+BS1859+BU1859+BW1859+BY1859+CA1859+CC1859+CE1859+CG1859+CI1859+CK1859+CM1859+CO1859+CQ1859+CS1859+CU1859</f>
        <v>0</v>
      </c>
      <c r="CW1859" s="165"/>
      <c r="CX1859" s="166"/>
      <c r="CY1859" s="167"/>
      <c r="CZ1859" s="168"/>
      <c r="DA1859" s="169"/>
      <c r="DB1859" s="168"/>
      <c r="DC1859" s="165"/>
      <c r="DD1859" s="166"/>
      <c r="DE1859" s="71"/>
      <c r="DF1859" s="170"/>
      <c r="EO1859" s="375" t="str">
        <f t="shared" si="234"/>
        <v>CUNDINAMARCA_GUACHETA</v>
      </c>
      <c r="EP1859" s="376"/>
      <c r="EQ1859" s="376"/>
      <c r="ER1859" s="377"/>
      <c r="ES1859" s="376"/>
      <c r="ET1859" s="376"/>
      <c r="EU1859" s="376"/>
    </row>
    <row r="1860" spans="1:151" s="171" customFormat="1" ht="38.25" x14ac:dyDescent="0.2">
      <c r="A1860" s="242">
        <v>40505</v>
      </c>
      <c r="B1860" s="222" t="s">
        <v>2007</v>
      </c>
      <c r="C1860" s="222" t="s">
        <v>2386</v>
      </c>
      <c r="D1860" s="430" t="s">
        <v>837</v>
      </c>
      <c r="E1860" s="107" t="str">
        <f>VLOOKUP(B1860&amp;C1860,Divipola!$C$2:$F$1138,4,FALSE)</f>
        <v>25386</v>
      </c>
      <c r="F1860" s="333"/>
      <c r="G1860" s="221"/>
      <c r="H1860" s="157"/>
      <c r="I1860" s="157"/>
      <c r="J1860" s="157">
        <f>131-25</f>
        <v>106</v>
      </c>
      <c r="K1860" s="157">
        <f>63-6</f>
        <v>57</v>
      </c>
      <c r="L1860" s="157"/>
      <c r="M1860" s="157">
        <v>57</v>
      </c>
      <c r="N1860" s="157"/>
      <c r="O1860" s="157"/>
      <c r="P1860" s="157"/>
      <c r="Q1860" s="157"/>
      <c r="R1860" s="157"/>
      <c r="S1860" s="157"/>
      <c r="T1860" s="157"/>
      <c r="U1860" s="157"/>
      <c r="V1860" s="158"/>
      <c r="W1860" s="182" t="s">
        <v>2180</v>
      </c>
      <c r="X1860" s="1"/>
      <c r="Y1860" s="78">
        <f t="shared" si="236"/>
        <v>0</v>
      </c>
      <c r="Z1860" s="78">
        <f t="shared" si="237"/>
        <v>0</v>
      </c>
      <c r="AA1860" s="78">
        <f t="shared" si="235"/>
        <v>0</v>
      </c>
      <c r="AB1860" s="78">
        <f t="shared" si="238"/>
        <v>0</v>
      </c>
      <c r="AC1860" s="78"/>
      <c r="AD1860" s="78">
        <v>0</v>
      </c>
      <c r="AE1860" s="80">
        <f t="shared" si="233"/>
        <v>0</v>
      </c>
      <c r="AF1860" s="82">
        <v>0</v>
      </c>
      <c r="AG1860" s="69">
        <v>40506</v>
      </c>
      <c r="AH1860" s="84"/>
      <c r="AI1860" s="69" t="s">
        <v>1984</v>
      </c>
      <c r="AJ1860" s="25" t="s">
        <v>1985</v>
      </c>
      <c r="AK1860" s="65"/>
      <c r="AL1860" s="176" t="s">
        <v>1257</v>
      </c>
      <c r="AM1860" s="173" t="s">
        <v>2887</v>
      </c>
      <c r="AN1860" s="159"/>
      <c r="AO1860" s="160"/>
      <c r="AP1860" s="161"/>
      <c r="AQ1860" s="160"/>
      <c r="AR1860" s="160"/>
      <c r="AS1860" s="160"/>
      <c r="AT1860" s="160"/>
      <c r="AU1860" s="160"/>
      <c r="AV1860" s="160"/>
      <c r="AW1860" s="160"/>
      <c r="AX1860" s="160"/>
      <c r="AY1860" s="160"/>
      <c r="AZ1860" s="160"/>
      <c r="BA1860" s="160"/>
      <c r="BB1860" s="160"/>
      <c r="BC1860" s="160"/>
      <c r="BD1860" s="160"/>
      <c r="BE1860" s="160"/>
      <c r="BF1860" s="160"/>
      <c r="BG1860" s="160"/>
      <c r="BH1860" s="160"/>
      <c r="BI1860" s="160"/>
      <c r="BJ1860" s="160"/>
      <c r="BK1860" s="160"/>
      <c r="BL1860" s="160"/>
      <c r="BM1860" s="160"/>
      <c r="BN1860" s="160"/>
      <c r="BO1860" s="160"/>
      <c r="BP1860" s="160"/>
      <c r="BQ1860" s="160"/>
      <c r="BR1860" s="160"/>
      <c r="BS1860" s="160"/>
      <c r="BT1860" s="160"/>
      <c r="BU1860" s="160"/>
      <c r="BV1860" s="160"/>
      <c r="BW1860" s="160"/>
      <c r="BX1860" s="160"/>
      <c r="BY1860" s="160"/>
      <c r="BZ1860" s="160"/>
      <c r="CA1860" s="160"/>
      <c r="CB1860" s="160"/>
      <c r="CC1860" s="160"/>
      <c r="CD1860" s="160"/>
      <c r="CE1860" s="160"/>
      <c r="CF1860" s="160"/>
      <c r="CG1860" s="160"/>
      <c r="CH1860" s="160"/>
      <c r="CI1860" s="160"/>
      <c r="CJ1860" s="160"/>
      <c r="CK1860" s="160"/>
      <c r="CL1860" s="160"/>
      <c r="CM1860" s="160"/>
      <c r="CN1860" s="160"/>
      <c r="CO1860" s="160"/>
      <c r="CP1860" s="162"/>
      <c r="CQ1860" s="163"/>
      <c r="CR1860" s="162"/>
      <c r="CS1860" s="163"/>
      <c r="CT1860" s="162"/>
      <c r="CU1860" s="163"/>
      <c r="CV1860" s="164">
        <f t="shared" si="239"/>
        <v>0</v>
      </c>
      <c r="CW1860" s="165"/>
      <c r="CX1860" s="166"/>
      <c r="CY1860" s="167"/>
      <c r="CZ1860" s="168"/>
      <c r="DA1860" s="169"/>
      <c r="DB1860" s="168"/>
      <c r="DC1860" s="165"/>
      <c r="DD1860" s="166"/>
      <c r="DE1860" s="71"/>
      <c r="DF1860" s="170"/>
      <c r="EO1860" s="375" t="str">
        <f t="shared" si="234"/>
        <v>CUNDINAMARCA_LA MESA</v>
      </c>
      <c r="EP1860" s="376"/>
      <c r="EQ1860" s="376"/>
      <c r="ER1860" s="377"/>
      <c r="ES1860" s="376"/>
      <c r="ET1860" s="376"/>
      <c r="EU1860" s="376"/>
    </row>
    <row r="1861" spans="1:151" s="171" customFormat="1" ht="38.25" x14ac:dyDescent="0.2">
      <c r="A1861" s="242">
        <v>40505</v>
      </c>
      <c r="B1861" s="222" t="s">
        <v>2007</v>
      </c>
      <c r="C1861" s="222" t="s">
        <v>2389</v>
      </c>
      <c r="D1861" s="430" t="s">
        <v>2781</v>
      </c>
      <c r="E1861" s="107" t="str">
        <f>VLOOKUP(B1861&amp;C1861,Divipola!$C$2:$F$1138,4,FALSE)</f>
        <v>25407</v>
      </c>
      <c r="F1861" s="333"/>
      <c r="G1861" s="221">
        <v>2</v>
      </c>
      <c r="H1861" s="157"/>
      <c r="I1861" s="157"/>
      <c r="J1861" s="157"/>
      <c r="K1861" s="157"/>
      <c r="L1861" s="157"/>
      <c r="M1861" s="157"/>
      <c r="N1861" s="157"/>
      <c r="O1861" s="157"/>
      <c r="P1861" s="157"/>
      <c r="Q1861" s="157"/>
      <c r="R1861" s="157"/>
      <c r="S1861" s="157"/>
      <c r="T1861" s="157"/>
      <c r="U1861" s="157"/>
      <c r="V1861" s="158"/>
      <c r="W1861" s="182"/>
      <c r="X1861" s="1"/>
      <c r="Y1861" s="78">
        <f t="shared" si="236"/>
        <v>0</v>
      </c>
      <c r="Z1861" s="78">
        <f t="shared" si="237"/>
        <v>0</v>
      </c>
      <c r="AA1861" s="78">
        <f t="shared" si="235"/>
        <v>0</v>
      </c>
      <c r="AB1861" s="78">
        <f t="shared" si="238"/>
        <v>0</v>
      </c>
      <c r="AC1861" s="78"/>
      <c r="AD1861" s="78">
        <v>0</v>
      </c>
      <c r="AE1861" s="80">
        <f t="shared" si="233"/>
        <v>0</v>
      </c>
      <c r="AF1861" s="82">
        <v>0</v>
      </c>
      <c r="AG1861" s="69">
        <v>40506</v>
      </c>
      <c r="AH1861" s="84"/>
      <c r="AI1861" s="69" t="s">
        <v>1984</v>
      </c>
      <c r="AJ1861" s="25" t="s">
        <v>1985</v>
      </c>
      <c r="AK1861" s="65"/>
      <c r="AL1861" s="176" t="s">
        <v>1257</v>
      </c>
      <c r="AM1861" s="173" t="s">
        <v>2067</v>
      </c>
      <c r="AN1861" s="159"/>
      <c r="AO1861" s="160"/>
      <c r="AP1861" s="161"/>
      <c r="AQ1861" s="160"/>
      <c r="AR1861" s="160"/>
      <c r="AS1861" s="160"/>
      <c r="AT1861" s="160"/>
      <c r="AU1861" s="160"/>
      <c r="AV1861" s="160"/>
      <c r="AW1861" s="160"/>
      <c r="AX1861" s="160"/>
      <c r="AY1861" s="160"/>
      <c r="AZ1861" s="160"/>
      <c r="BA1861" s="160"/>
      <c r="BB1861" s="160"/>
      <c r="BC1861" s="160"/>
      <c r="BD1861" s="160"/>
      <c r="BE1861" s="160"/>
      <c r="BF1861" s="160"/>
      <c r="BG1861" s="160"/>
      <c r="BH1861" s="160"/>
      <c r="BI1861" s="160"/>
      <c r="BJ1861" s="160"/>
      <c r="BK1861" s="160"/>
      <c r="BL1861" s="160"/>
      <c r="BM1861" s="160"/>
      <c r="BN1861" s="160"/>
      <c r="BO1861" s="160"/>
      <c r="BP1861" s="160"/>
      <c r="BQ1861" s="160"/>
      <c r="BR1861" s="160"/>
      <c r="BS1861" s="160"/>
      <c r="BT1861" s="160"/>
      <c r="BU1861" s="160"/>
      <c r="BV1861" s="160"/>
      <c r="BW1861" s="160"/>
      <c r="BX1861" s="160"/>
      <c r="BY1861" s="160"/>
      <c r="BZ1861" s="160"/>
      <c r="CA1861" s="160"/>
      <c r="CB1861" s="160"/>
      <c r="CC1861" s="160"/>
      <c r="CD1861" s="160"/>
      <c r="CE1861" s="160"/>
      <c r="CF1861" s="160"/>
      <c r="CG1861" s="160"/>
      <c r="CH1861" s="160"/>
      <c r="CI1861" s="160"/>
      <c r="CJ1861" s="160"/>
      <c r="CK1861" s="160"/>
      <c r="CL1861" s="160"/>
      <c r="CM1861" s="160"/>
      <c r="CN1861" s="160"/>
      <c r="CO1861" s="160"/>
      <c r="CP1861" s="162"/>
      <c r="CQ1861" s="163"/>
      <c r="CR1861" s="162"/>
      <c r="CS1861" s="163"/>
      <c r="CT1861" s="162"/>
      <c r="CU1861" s="163"/>
      <c r="CV1861" s="164">
        <f t="shared" si="239"/>
        <v>0</v>
      </c>
      <c r="CW1861" s="165"/>
      <c r="CX1861" s="166"/>
      <c r="CY1861" s="167"/>
      <c r="CZ1861" s="168"/>
      <c r="DA1861" s="169"/>
      <c r="DB1861" s="168"/>
      <c r="DC1861" s="165"/>
      <c r="DD1861" s="166"/>
      <c r="DE1861" s="71"/>
      <c r="DF1861" s="170"/>
      <c r="EO1861" s="375" t="str">
        <f t="shared" si="234"/>
        <v>CUNDINAMARCA_LENGUAZAQUE</v>
      </c>
      <c r="EP1861" s="376"/>
      <c r="EQ1861" s="376"/>
      <c r="ER1861" s="377"/>
      <c r="ES1861" s="376"/>
      <c r="ET1861" s="376"/>
      <c r="EU1861" s="376"/>
    </row>
    <row r="1862" spans="1:151" s="171" customFormat="1" ht="25.5" x14ac:dyDescent="0.2">
      <c r="A1862" s="242">
        <v>40505</v>
      </c>
      <c r="B1862" s="222" t="s">
        <v>1333</v>
      </c>
      <c r="C1862" s="222" t="s">
        <v>2504</v>
      </c>
      <c r="D1862" s="430" t="s">
        <v>837</v>
      </c>
      <c r="E1862" s="107" t="str">
        <f>VLOOKUP(B1862&amp;C1862,Divipola!$C$2:$F$1138,4,FALSE)</f>
        <v>41530</v>
      </c>
      <c r="F1862" s="333"/>
      <c r="G1862" s="221"/>
      <c r="H1862" s="157"/>
      <c r="I1862" s="157"/>
      <c r="J1862" s="157">
        <f>183-25-37</f>
        <v>121</v>
      </c>
      <c r="K1862" s="157">
        <f>51-5-10</f>
        <v>36</v>
      </c>
      <c r="L1862" s="157"/>
      <c r="M1862" s="157">
        <f>34-15</f>
        <v>19</v>
      </c>
      <c r="N1862" s="157">
        <v>9</v>
      </c>
      <c r="O1862" s="157"/>
      <c r="P1862" s="157"/>
      <c r="Q1862" s="157">
        <v>1</v>
      </c>
      <c r="R1862" s="157"/>
      <c r="S1862" s="157"/>
      <c r="T1862" s="157"/>
      <c r="U1862" s="157"/>
      <c r="V1862" s="158"/>
      <c r="W1862" s="182"/>
      <c r="X1862" s="1"/>
      <c r="Y1862" s="78">
        <f t="shared" si="236"/>
        <v>0</v>
      </c>
      <c r="Z1862" s="78">
        <f t="shared" si="237"/>
        <v>0</v>
      </c>
      <c r="AA1862" s="78">
        <f t="shared" si="235"/>
        <v>0</v>
      </c>
      <c r="AB1862" s="78">
        <f t="shared" si="238"/>
        <v>0</v>
      </c>
      <c r="AC1862" s="78"/>
      <c r="AD1862" s="78">
        <v>0</v>
      </c>
      <c r="AE1862" s="80">
        <f t="shared" si="233"/>
        <v>0</v>
      </c>
      <c r="AF1862" s="82">
        <v>0</v>
      </c>
      <c r="AG1862" s="69">
        <v>40581</v>
      </c>
      <c r="AH1862" s="84"/>
      <c r="AI1862" s="69" t="s">
        <v>1984</v>
      </c>
      <c r="AJ1862" s="25" t="s">
        <v>1985</v>
      </c>
      <c r="AK1862" s="65"/>
      <c r="AL1862" s="176" t="s">
        <v>1257</v>
      </c>
      <c r="AM1862" s="173" t="s">
        <v>349</v>
      </c>
      <c r="AN1862" s="159"/>
      <c r="AO1862" s="160"/>
      <c r="AP1862" s="161"/>
      <c r="AQ1862" s="160"/>
      <c r="AR1862" s="160"/>
      <c r="AS1862" s="160"/>
      <c r="AT1862" s="160"/>
      <c r="AU1862" s="160"/>
      <c r="AV1862" s="160"/>
      <c r="AW1862" s="160"/>
      <c r="AX1862" s="160"/>
      <c r="AY1862" s="160"/>
      <c r="AZ1862" s="160"/>
      <c r="BA1862" s="160"/>
      <c r="BB1862" s="160"/>
      <c r="BC1862" s="160"/>
      <c r="BD1862" s="160"/>
      <c r="BE1862" s="160"/>
      <c r="BF1862" s="160"/>
      <c r="BG1862" s="160"/>
      <c r="BH1862" s="160"/>
      <c r="BI1862" s="160"/>
      <c r="BJ1862" s="160"/>
      <c r="BK1862" s="160"/>
      <c r="BL1862" s="160"/>
      <c r="BM1862" s="160"/>
      <c r="BN1862" s="160"/>
      <c r="BO1862" s="160"/>
      <c r="BP1862" s="160"/>
      <c r="BQ1862" s="160"/>
      <c r="BR1862" s="160"/>
      <c r="BS1862" s="160"/>
      <c r="BT1862" s="160"/>
      <c r="BU1862" s="160"/>
      <c r="BV1862" s="160"/>
      <c r="BW1862" s="160"/>
      <c r="BX1862" s="160"/>
      <c r="BY1862" s="160"/>
      <c r="BZ1862" s="160"/>
      <c r="CA1862" s="160"/>
      <c r="CB1862" s="160"/>
      <c r="CC1862" s="160"/>
      <c r="CD1862" s="160"/>
      <c r="CE1862" s="160"/>
      <c r="CF1862" s="160"/>
      <c r="CG1862" s="160"/>
      <c r="CH1862" s="160"/>
      <c r="CI1862" s="160"/>
      <c r="CJ1862" s="160"/>
      <c r="CK1862" s="160"/>
      <c r="CL1862" s="160"/>
      <c r="CM1862" s="160"/>
      <c r="CN1862" s="160"/>
      <c r="CO1862" s="160"/>
      <c r="CP1862" s="162"/>
      <c r="CQ1862" s="163"/>
      <c r="CR1862" s="162"/>
      <c r="CS1862" s="163"/>
      <c r="CT1862" s="162"/>
      <c r="CU1862" s="163"/>
      <c r="CV1862" s="164">
        <f t="shared" si="239"/>
        <v>0</v>
      </c>
      <c r="CW1862" s="165"/>
      <c r="CX1862" s="166"/>
      <c r="CY1862" s="167"/>
      <c r="CZ1862" s="168"/>
      <c r="DA1862" s="169"/>
      <c r="DB1862" s="168"/>
      <c r="DC1862" s="165"/>
      <c r="DD1862" s="166"/>
      <c r="DE1862" s="71"/>
      <c r="DF1862" s="170"/>
      <c r="EO1862" s="375" t="str">
        <f t="shared" si="234"/>
        <v>HUILA_PALESTINA</v>
      </c>
      <c r="EP1862" s="376"/>
      <c r="EQ1862" s="376"/>
      <c r="ER1862" s="377"/>
      <c r="ES1862" s="376"/>
      <c r="ET1862" s="376"/>
      <c r="EU1862" s="376"/>
    </row>
    <row r="1863" spans="1:151" s="171" customFormat="1" ht="25.5" x14ac:dyDescent="0.2">
      <c r="A1863" s="242">
        <v>40505</v>
      </c>
      <c r="B1863" s="222" t="s">
        <v>2245</v>
      </c>
      <c r="C1863" s="222" t="s">
        <v>2892</v>
      </c>
      <c r="D1863" s="427" t="s">
        <v>2307</v>
      </c>
      <c r="E1863" s="107" t="str">
        <f>VLOOKUP(B1863&amp;C1863,Divipola!$C$2:$F$1138,4,FALSE)</f>
        <v>52323</v>
      </c>
      <c r="F1863" s="330"/>
      <c r="G1863" s="221"/>
      <c r="H1863" s="157"/>
      <c r="I1863" s="157"/>
      <c r="J1863" s="157">
        <v>495</v>
      </c>
      <c r="K1863" s="157">
        <v>119</v>
      </c>
      <c r="L1863" s="157">
        <v>6</v>
      </c>
      <c r="M1863" s="157">
        <v>62</v>
      </c>
      <c r="N1863" s="157">
        <v>5</v>
      </c>
      <c r="O1863" s="157"/>
      <c r="P1863" s="157"/>
      <c r="Q1863" s="157"/>
      <c r="R1863" s="157"/>
      <c r="S1863" s="157"/>
      <c r="T1863" s="157">
        <v>2</v>
      </c>
      <c r="U1863" s="157"/>
      <c r="V1863" s="158"/>
      <c r="W1863" s="182"/>
      <c r="X1863" s="1"/>
      <c r="Y1863" s="78">
        <f t="shared" si="236"/>
        <v>0</v>
      </c>
      <c r="Z1863" s="78">
        <f t="shared" si="237"/>
        <v>0</v>
      </c>
      <c r="AA1863" s="78">
        <f t="shared" si="235"/>
        <v>0</v>
      </c>
      <c r="AB1863" s="78">
        <f t="shared" si="238"/>
        <v>0</v>
      </c>
      <c r="AC1863" s="78"/>
      <c r="AD1863" s="78">
        <v>0</v>
      </c>
      <c r="AE1863" s="80">
        <f t="shared" si="233"/>
        <v>0</v>
      </c>
      <c r="AF1863" s="82">
        <v>0</v>
      </c>
      <c r="AG1863" s="242">
        <v>40506</v>
      </c>
      <c r="AH1863" s="84"/>
      <c r="AI1863" s="69" t="s">
        <v>1984</v>
      </c>
      <c r="AJ1863" s="25" t="s">
        <v>1985</v>
      </c>
      <c r="AK1863" s="65"/>
      <c r="AL1863" s="176" t="s">
        <v>1257</v>
      </c>
      <c r="AM1863" s="173" t="s">
        <v>2893</v>
      </c>
      <c r="AN1863" s="159"/>
      <c r="AO1863" s="160"/>
      <c r="AP1863" s="161"/>
      <c r="AQ1863" s="160"/>
      <c r="AR1863" s="160"/>
      <c r="AS1863" s="160"/>
      <c r="AT1863" s="160"/>
      <c r="AU1863" s="160"/>
      <c r="AV1863" s="160"/>
      <c r="AW1863" s="160"/>
      <c r="AX1863" s="160"/>
      <c r="AY1863" s="160"/>
      <c r="AZ1863" s="160"/>
      <c r="BA1863" s="160"/>
      <c r="BB1863" s="160"/>
      <c r="BC1863" s="160"/>
      <c r="BD1863" s="160"/>
      <c r="BE1863" s="160"/>
      <c r="BF1863" s="160"/>
      <c r="BG1863" s="160"/>
      <c r="BH1863" s="160"/>
      <c r="BI1863" s="160"/>
      <c r="BJ1863" s="160"/>
      <c r="BK1863" s="160"/>
      <c r="BL1863" s="160"/>
      <c r="BM1863" s="160"/>
      <c r="BN1863" s="160"/>
      <c r="BO1863" s="160"/>
      <c r="BP1863" s="160"/>
      <c r="BQ1863" s="160"/>
      <c r="BR1863" s="160"/>
      <c r="BS1863" s="160"/>
      <c r="BT1863" s="160"/>
      <c r="BU1863" s="160"/>
      <c r="BV1863" s="160"/>
      <c r="BW1863" s="160"/>
      <c r="BX1863" s="160"/>
      <c r="BY1863" s="160"/>
      <c r="BZ1863" s="160"/>
      <c r="CA1863" s="160"/>
      <c r="CB1863" s="160"/>
      <c r="CC1863" s="160"/>
      <c r="CD1863" s="160"/>
      <c r="CE1863" s="160"/>
      <c r="CF1863" s="160"/>
      <c r="CG1863" s="160"/>
      <c r="CH1863" s="160"/>
      <c r="CI1863" s="160"/>
      <c r="CJ1863" s="160"/>
      <c r="CK1863" s="160"/>
      <c r="CL1863" s="160"/>
      <c r="CM1863" s="160"/>
      <c r="CN1863" s="160"/>
      <c r="CO1863" s="160"/>
      <c r="CP1863" s="162"/>
      <c r="CQ1863" s="163"/>
      <c r="CR1863" s="162"/>
      <c r="CS1863" s="163"/>
      <c r="CT1863" s="162"/>
      <c r="CU1863" s="163"/>
      <c r="CV1863" s="164">
        <f t="shared" si="239"/>
        <v>0</v>
      </c>
      <c r="CW1863" s="165"/>
      <c r="CX1863" s="166"/>
      <c r="CY1863" s="167"/>
      <c r="CZ1863" s="168"/>
      <c r="DA1863" s="169"/>
      <c r="DB1863" s="168"/>
      <c r="DC1863" s="165"/>
      <c r="DD1863" s="166"/>
      <c r="DE1863" s="71"/>
      <c r="DF1863" s="170"/>
      <c r="EO1863" s="375" t="str">
        <f t="shared" si="234"/>
        <v>NARIÑO_GUALMATAN</v>
      </c>
      <c r="EP1863" s="376"/>
      <c r="EQ1863" s="376"/>
      <c r="ER1863" s="377"/>
      <c r="ES1863" s="376"/>
      <c r="ET1863" s="376"/>
      <c r="EU1863" s="376"/>
    </row>
    <row r="1864" spans="1:151" s="171" customFormat="1" ht="36" x14ac:dyDescent="0.2">
      <c r="A1864" s="242">
        <v>40505</v>
      </c>
      <c r="B1864" s="222" t="s">
        <v>2245</v>
      </c>
      <c r="C1864" s="222" t="s">
        <v>2894</v>
      </c>
      <c r="D1864" s="427" t="s">
        <v>2307</v>
      </c>
      <c r="E1864" s="107" t="str">
        <f>VLOOKUP(B1864&amp;C1864,Divipola!$C$2:$F$1138,4,FALSE)</f>
        <v>52405</v>
      </c>
      <c r="F1864" s="330"/>
      <c r="G1864" s="221"/>
      <c r="H1864" s="157"/>
      <c r="I1864" s="157"/>
      <c r="J1864" s="157">
        <f>419-155</f>
        <v>264</v>
      </c>
      <c r="K1864" s="157">
        <f>119-31</f>
        <v>88</v>
      </c>
      <c r="L1864" s="157"/>
      <c r="M1864" s="157">
        <v>67</v>
      </c>
      <c r="N1864" s="157">
        <v>3</v>
      </c>
      <c r="O1864" s="157"/>
      <c r="P1864" s="157"/>
      <c r="Q1864" s="157">
        <v>1</v>
      </c>
      <c r="R1864" s="157">
        <v>1</v>
      </c>
      <c r="S1864" s="157"/>
      <c r="T1864" s="157"/>
      <c r="U1864" s="157"/>
      <c r="V1864" s="158"/>
      <c r="W1864" s="182"/>
      <c r="X1864" s="1"/>
      <c r="Y1864" s="78">
        <f t="shared" si="236"/>
        <v>0</v>
      </c>
      <c r="Z1864" s="78">
        <f t="shared" si="237"/>
        <v>0</v>
      </c>
      <c r="AA1864" s="78">
        <f t="shared" si="235"/>
        <v>0</v>
      </c>
      <c r="AB1864" s="78">
        <f t="shared" si="238"/>
        <v>0</v>
      </c>
      <c r="AC1864" s="78"/>
      <c r="AD1864" s="78">
        <v>0</v>
      </c>
      <c r="AE1864" s="80">
        <f t="shared" si="233"/>
        <v>0</v>
      </c>
      <c r="AF1864" s="82">
        <v>0</v>
      </c>
      <c r="AG1864" s="242">
        <v>40506</v>
      </c>
      <c r="AH1864" s="84"/>
      <c r="AI1864" s="69" t="s">
        <v>1984</v>
      </c>
      <c r="AJ1864" s="25" t="s">
        <v>1985</v>
      </c>
      <c r="AK1864" s="65"/>
      <c r="AL1864" s="176" t="s">
        <v>1257</v>
      </c>
      <c r="AM1864" s="173" t="s">
        <v>2895</v>
      </c>
      <c r="AN1864" s="159"/>
      <c r="AO1864" s="160"/>
      <c r="AP1864" s="161"/>
      <c r="AQ1864" s="160"/>
      <c r="AR1864" s="160"/>
      <c r="AS1864" s="160"/>
      <c r="AT1864" s="160"/>
      <c r="AU1864" s="160"/>
      <c r="AV1864" s="160"/>
      <c r="AW1864" s="160"/>
      <c r="AX1864" s="160"/>
      <c r="AY1864" s="160"/>
      <c r="AZ1864" s="160"/>
      <c r="BA1864" s="160"/>
      <c r="BB1864" s="160"/>
      <c r="BC1864" s="160"/>
      <c r="BD1864" s="160"/>
      <c r="BE1864" s="160"/>
      <c r="BF1864" s="160"/>
      <c r="BG1864" s="160"/>
      <c r="BH1864" s="160"/>
      <c r="BI1864" s="160"/>
      <c r="BJ1864" s="160"/>
      <c r="BK1864" s="160"/>
      <c r="BL1864" s="160"/>
      <c r="BM1864" s="160"/>
      <c r="BN1864" s="160"/>
      <c r="BO1864" s="160"/>
      <c r="BP1864" s="160"/>
      <c r="BQ1864" s="160"/>
      <c r="BR1864" s="160"/>
      <c r="BS1864" s="160"/>
      <c r="BT1864" s="160"/>
      <c r="BU1864" s="160"/>
      <c r="BV1864" s="160"/>
      <c r="BW1864" s="160"/>
      <c r="BX1864" s="160"/>
      <c r="BY1864" s="160"/>
      <c r="BZ1864" s="160"/>
      <c r="CA1864" s="160"/>
      <c r="CB1864" s="160"/>
      <c r="CC1864" s="160"/>
      <c r="CD1864" s="160"/>
      <c r="CE1864" s="160"/>
      <c r="CF1864" s="160"/>
      <c r="CG1864" s="160"/>
      <c r="CH1864" s="160"/>
      <c r="CI1864" s="160"/>
      <c r="CJ1864" s="160"/>
      <c r="CK1864" s="160"/>
      <c r="CL1864" s="160"/>
      <c r="CM1864" s="160"/>
      <c r="CN1864" s="160"/>
      <c r="CO1864" s="160"/>
      <c r="CP1864" s="162"/>
      <c r="CQ1864" s="163"/>
      <c r="CR1864" s="162"/>
      <c r="CS1864" s="163"/>
      <c r="CT1864" s="162"/>
      <c r="CU1864" s="163"/>
      <c r="CV1864" s="164">
        <f t="shared" si="239"/>
        <v>0</v>
      </c>
      <c r="CW1864" s="165"/>
      <c r="CX1864" s="166"/>
      <c r="CY1864" s="167"/>
      <c r="CZ1864" s="168"/>
      <c r="DA1864" s="169"/>
      <c r="DB1864" s="168"/>
      <c r="DC1864" s="165"/>
      <c r="DD1864" s="166"/>
      <c r="DE1864" s="71"/>
      <c r="DF1864" s="170"/>
      <c r="EO1864" s="375" t="str">
        <f t="shared" si="234"/>
        <v>NARIÑO_LEIVA</v>
      </c>
      <c r="EP1864" s="376"/>
      <c r="EQ1864" s="376"/>
      <c r="ER1864" s="377"/>
      <c r="ES1864" s="376"/>
      <c r="ET1864" s="376"/>
      <c r="EU1864" s="376"/>
    </row>
    <row r="1865" spans="1:151" s="171" customFormat="1" ht="25.5" x14ac:dyDescent="0.2">
      <c r="A1865" s="242">
        <v>40505</v>
      </c>
      <c r="B1865" s="222" t="s">
        <v>2245</v>
      </c>
      <c r="C1865" s="222" t="s">
        <v>1744</v>
      </c>
      <c r="D1865" s="430" t="s">
        <v>2307</v>
      </c>
      <c r="E1865" s="107" t="str">
        <f>VLOOKUP(B1865&amp;C1865,Divipola!$C$2:$F$1138,4,FALSE)</f>
        <v>52786</v>
      </c>
      <c r="F1865" s="333"/>
      <c r="G1865" s="221"/>
      <c r="H1865" s="157"/>
      <c r="I1865" s="157"/>
      <c r="J1865" s="157">
        <f>1976-904</f>
        <v>1072</v>
      </c>
      <c r="K1865" s="157">
        <f>494-226</f>
        <v>268</v>
      </c>
      <c r="L1865" s="157"/>
      <c r="M1865" s="157">
        <v>268</v>
      </c>
      <c r="N1865" s="157">
        <v>2</v>
      </c>
      <c r="O1865" s="157"/>
      <c r="P1865" s="157"/>
      <c r="Q1865" s="157"/>
      <c r="R1865" s="157"/>
      <c r="S1865" s="157"/>
      <c r="T1865" s="157"/>
      <c r="U1865" s="157"/>
      <c r="V1865" s="158"/>
      <c r="W1865" s="182"/>
      <c r="X1865" s="1"/>
      <c r="Y1865" s="78">
        <f t="shared" si="236"/>
        <v>0</v>
      </c>
      <c r="Z1865" s="78">
        <f t="shared" si="237"/>
        <v>0</v>
      </c>
      <c r="AA1865" s="78">
        <f t="shared" si="235"/>
        <v>0</v>
      </c>
      <c r="AB1865" s="78">
        <f t="shared" si="238"/>
        <v>0</v>
      </c>
      <c r="AC1865" s="78"/>
      <c r="AD1865" s="78">
        <v>0</v>
      </c>
      <c r="AE1865" s="80">
        <f t="shared" ref="AE1865:AE1928" si="240">Y1865+Z1865+AA1865+AB1865+AC1865+AD1865</f>
        <v>0</v>
      </c>
      <c r="AF1865" s="82">
        <v>0</v>
      </c>
      <c r="AG1865" s="69">
        <v>40505</v>
      </c>
      <c r="AH1865" s="84"/>
      <c r="AI1865" s="69" t="s">
        <v>1984</v>
      </c>
      <c r="AJ1865" s="25" t="s">
        <v>1985</v>
      </c>
      <c r="AK1865" s="65"/>
      <c r="AL1865" s="176" t="s">
        <v>1257</v>
      </c>
      <c r="AM1865" s="173" t="s">
        <v>3000</v>
      </c>
      <c r="AN1865" s="159"/>
      <c r="AO1865" s="160"/>
      <c r="AP1865" s="161"/>
      <c r="AQ1865" s="160"/>
      <c r="AR1865" s="160"/>
      <c r="AS1865" s="160"/>
      <c r="AT1865" s="160"/>
      <c r="AU1865" s="160"/>
      <c r="AV1865" s="160"/>
      <c r="AW1865" s="160"/>
      <c r="AX1865" s="160"/>
      <c r="AY1865" s="160"/>
      <c r="AZ1865" s="160"/>
      <c r="BA1865" s="160"/>
      <c r="BB1865" s="160"/>
      <c r="BC1865" s="160"/>
      <c r="BD1865" s="160"/>
      <c r="BE1865" s="160"/>
      <c r="BF1865" s="160"/>
      <c r="BG1865" s="160"/>
      <c r="BH1865" s="160"/>
      <c r="BI1865" s="160"/>
      <c r="BJ1865" s="160"/>
      <c r="BK1865" s="160"/>
      <c r="BL1865" s="160"/>
      <c r="BM1865" s="160"/>
      <c r="BN1865" s="160"/>
      <c r="BO1865" s="160"/>
      <c r="BP1865" s="160"/>
      <c r="BQ1865" s="160"/>
      <c r="BR1865" s="160"/>
      <c r="BS1865" s="160"/>
      <c r="BT1865" s="160"/>
      <c r="BU1865" s="160"/>
      <c r="BV1865" s="160"/>
      <c r="BW1865" s="160"/>
      <c r="BX1865" s="160"/>
      <c r="BY1865" s="160"/>
      <c r="BZ1865" s="160"/>
      <c r="CA1865" s="160"/>
      <c r="CB1865" s="160"/>
      <c r="CC1865" s="160"/>
      <c r="CD1865" s="160"/>
      <c r="CE1865" s="160"/>
      <c r="CF1865" s="160"/>
      <c r="CG1865" s="160"/>
      <c r="CH1865" s="160"/>
      <c r="CI1865" s="160"/>
      <c r="CJ1865" s="160"/>
      <c r="CK1865" s="160"/>
      <c r="CL1865" s="160"/>
      <c r="CM1865" s="160"/>
      <c r="CN1865" s="160"/>
      <c r="CO1865" s="160"/>
      <c r="CP1865" s="162"/>
      <c r="CQ1865" s="163"/>
      <c r="CR1865" s="162"/>
      <c r="CS1865" s="163"/>
      <c r="CT1865" s="162"/>
      <c r="CU1865" s="163"/>
      <c r="CV1865" s="164">
        <f t="shared" si="239"/>
        <v>0</v>
      </c>
      <c r="CW1865" s="165"/>
      <c r="CX1865" s="166"/>
      <c r="CY1865" s="167"/>
      <c r="CZ1865" s="168"/>
      <c r="DA1865" s="169"/>
      <c r="DB1865" s="168"/>
      <c r="DC1865" s="165"/>
      <c r="DD1865" s="166"/>
      <c r="DE1865" s="71"/>
      <c r="DF1865" s="170"/>
      <c r="EO1865" s="375" t="str">
        <f t="shared" si="234"/>
        <v>NARIÑO_TAMINANGO</v>
      </c>
      <c r="EP1865" s="376"/>
      <c r="EQ1865" s="376"/>
      <c r="ER1865" s="377"/>
      <c r="ES1865" s="376"/>
      <c r="ET1865" s="376"/>
      <c r="EU1865" s="376"/>
    </row>
    <row r="1866" spans="1:151" s="171" customFormat="1" ht="51" x14ac:dyDescent="0.2">
      <c r="A1866" s="242">
        <v>40505</v>
      </c>
      <c r="B1866" s="222" t="s">
        <v>1336</v>
      </c>
      <c r="C1866" s="222" t="s">
        <v>1381</v>
      </c>
      <c r="D1866" s="427" t="s">
        <v>837</v>
      </c>
      <c r="E1866" s="107" t="str">
        <f>VLOOKUP(B1866&amp;C1866,Divipola!$C$2:$F$1138,4,FALSE)</f>
        <v>54670</v>
      </c>
      <c r="F1866" s="330"/>
      <c r="G1866" s="221"/>
      <c r="H1866" s="157"/>
      <c r="I1866" s="157"/>
      <c r="J1866" s="157">
        <v>1986</v>
      </c>
      <c r="K1866" s="157">
        <v>451</v>
      </c>
      <c r="L1866" s="75"/>
      <c r="M1866" s="157">
        <v>350</v>
      </c>
      <c r="N1866" s="157"/>
      <c r="O1866" s="157"/>
      <c r="P1866" s="157"/>
      <c r="Q1866" s="157"/>
      <c r="R1866" s="157"/>
      <c r="S1866" s="157"/>
      <c r="T1866" s="157"/>
      <c r="U1866" s="157"/>
      <c r="V1866" s="158"/>
      <c r="W1866" s="182"/>
      <c r="X1866" s="1"/>
      <c r="Y1866" s="78">
        <f t="shared" si="236"/>
        <v>0</v>
      </c>
      <c r="Z1866" s="78">
        <f t="shared" si="237"/>
        <v>0</v>
      </c>
      <c r="AA1866" s="78">
        <f t="shared" si="235"/>
        <v>0</v>
      </c>
      <c r="AB1866" s="78">
        <f t="shared" si="238"/>
        <v>0</v>
      </c>
      <c r="AC1866" s="78"/>
      <c r="AD1866" s="78">
        <v>0</v>
      </c>
      <c r="AE1866" s="80">
        <f t="shared" si="240"/>
        <v>0</v>
      </c>
      <c r="AF1866" s="82">
        <v>0</v>
      </c>
      <c r="AG1866" s="69">
        <v>40506</v>
      </c>
      <c r="AH1866" s="84"/>
      <c r="AI1866" s="69" t="s">
        <v>1984</v>
      </c>
      <c r="AJ1866" s="25" t="s">
        <v>1985</v>
      </c>
      <c r="AK1866" s="65"/>
      <c r="AL1866" s="176" t="s">
        <v>1257</v>
      </c>
      <c r="AM1866" s="173" t="s">
        <v>549</v>
      </c>
      <c r="AN1866" s="159"/>
      <c r="AO1866" s="160"/>
      <c r="AP1866" s="161"/>
      <c r="AQ1866" s="160"/>
      <c r="AR1866" s="160"/>
      <c r="AS1866" s="160"/>
      <c r="AT1866" s="160"/>
      <c r="AU1866" s="160"/>
      <c r="AV1866" s="160"/>
      <c r="AW1866" s="160"/>
      <c r="AX1866" s="160"/>
      <c r="AY1866" s="160"/>
      <c r="AZ1866" s="160"/>
      <c r="BA1866" s="160"/>
      <c r="BB1866" s="160"/>
      <c r="BC1866" s="160"/>
      <c r="BD1866" s="160"/>
      <c r="BE1866" s="160"/>
      <c r="BF1866" s="160"/>
      <c r="BG1866" s="160"/>
      <c r="BH1866" s="160"/>
      <c r="BI1866" s="160"/>
      <c r="BJ1866" s="160"/>
      <c r="BK1866" s="160"/>
      <c r="BL1866" s="160"/>
      <c r="BM1866" s="160"/>
      <c r="BN1866" s="160"/>
      <c r="BO1866" s="160"/>
      <c r="BP1866" s="160"/>
      <c r="BQ1866" s="160"/>
      <c r="BR1866" s="160"/>
      <c r="BS1866" s="160"/>
      <c r="BT1866" s="160"/>
      <c r="BU1866" s="160"/>
      <c r="BV1866" s="160"/>
      <c r="BW1866" s="160"/>
      <c r="BX1866" s="160"/>
      <c r="BY1866" s="160"/>
      <c r="BZ1866" s="160"/>
      <c r="CA1866" s="160"/>
      <c r="CB1866" s="160"/>
      <c r="CC1866" s="160"/>
      <c r="CD1866" s="160"/>
      <c r="CE1866" s="160"/>
      <c r="CF1866" s="160"/>
      <c r="CG1866" s="160"/>
      <c r="CH1866" s="160"/>
      <c r="CI1866" s="160"/>
      <c r="CJ1866" s="160"/>
      <c r="CK1866" s="160"/>
      <c r="CL1866" s="160"/>
      <c r="CM1866" s="160"/>
      <c r="CN1866" s="160"/>
      <c r="CO1866" s="160"/>
      <c r="CP1866" s="162"/>
      <c r="CQ1866" s="163"/>
      <c r="CR1866" s="162"/>
      <c r="CS1866" s="163"/>
      <c r="CT1866" s="162"/>
      <c r="CU1866" s="163"/>
      <c r="CV1866" s="164">
        <f t="shared" si="239"/>
        <v>0</v>
      </c>
      <c r="CW1866" s="165"/>
      <c r="CX1866" s="166"/>
      <c r="CY1866" s="167"/>
      <c r="CZ1866" s="168"/>
      <c r="DA1866" s="169"/>
      <c r="DB1866" s="168"/>
      <c r="DC1866" s="165"/>
      <c r="DD1866" s="166"/>
      <c r="DE1866" s="71"/>
      <c r="DF1866" s="170"/>
      <c r="EO1866" s="378" t="str">
        <f t="shared" si="234"/>
        <v>NORTE DE SANTANDER_SAN CALIXTO</v>
      </c>
      <c r="EP1866" s="379"/>
      <c r="EQ1866" s="376"/>
      <c r="ER1866" s="377"/>
      <c r="ES1866" s="376"/>
      <c r="ET1866" s="376"/>
      <c r="EU1866" s="376"/>
    </row>
    <row r="1867" spans="1:151" s="171" customFormat="1" ht="51" x14ac:dyDescent="0.2">
      <c r="A1867" s="242">
        <v>40505</v>
      </c>
      <c r="B1867" s="222" t="s">
        <v>1336</v>
      </c>
      <c r="C1867" s="222" t="s">
        <v>1056</v>
      </c>
      <c r="D1867" s="430" t="s">
        <v>2331</v>
      </c>
      <c r="E1867" s="107" t="str">
        <f>VLOOKUP(B1867&amp;C1867,Divipola!$C$2:$F$1138,4,FALSE)</f>
        <v>54800</v>
      </c>
      <c r="F1867" s="333"/>
      <c r="G1867" s="221"/>
      <c r="H1867" s="157"/>
      <c r="I1867" s="157"/>
      <c r="J1867" s="157"/>
      <c r="K1867" s="157"/>
      <c r="L1867" s="157"/>
      <c r="M1867" s="157"/>
      <c r="N1867" s="157"/>
      <c r="O1867" s="157"/>
      <c r="P1867" s="157">
        <v>1</v>
      </c>
      <c r="Q1867" s="157"/>
      <c r="R1867" s="157"/>
      <c r="S1867" s="157"/>
      <c r="T1867" s="157"/>
      <c r="U1867" s="157"/>
      <c r="V1867" s="158"/>
      <c r="W1867" s="182" t="s">
        <v>2069</v>
      </c>
      <c r="X1867" s="1"/>
      <c r="Y1867" s="78">
        <f t="shared" si="236"/>
        <v>0</v>
      </c>
      <c r="Z1867" s="78">
        <f t="shared" si="237"/>
        <v>0</v>
      </c>
      <c r="AA1867" s="78">
        <f t="shared" si="235"/>
        <v>0</v>
      </c>
      <c r="AB1867" s="78">
        <f t="shared" si="238"/>
        <v>0</v>
      </c>
      <c r="AC1867" s="78"/>
      <c r="AD1867" s="78">
        <v>0</v>
      </c>
      <c r="AE1867" s="80">
        <f t="shared" si="240"/>
        <v>0</v>
      </c>
      <c r="AF1867" s="82">
        <v>0</v>
      </c>
      <c r="AG1867" s="69">
        <v>40506</v>
      </c>
      <c r="AH1867" s="84"/>
      <c r="AI1867" s="69" t="s">
        <v>1984</v>
      </c>
      <c r="AJ1867" s="25" t="s">
        <v>1985</v>
      </c>
      <c r="AK1867" s="65"/>
      <c r="AL1867" s="176" t="s">
        <v>1257</v>
      </c>
      <c r="AM1867" s="173" t="s">
        <v>2068</v>
      </c>
      <c r="AN1867" s="159"/>
      <c r="AO1867" s="160"/>
      <c r="AP1867" s="161"/>
      <c r="AQ1867" s="160"/>
      <c r="AR1867" s="160"/>
      <c r="AS1867" s="160"/>
      <c r="AT1867" s="160"/>
      <c r="AU1867" s="160"/>
      <c r="AV1867" s="160"/>
      <c r="AW1867" s="160"/>
      <c r="AX1867" s="160"/>
      <c r="AY1867" s="160"/>
      <c r="AZ1867" s="160"/>
      <c r="BA1867" s="160"/>
      <c r="BB1867" s="160"/>
      <c r="BC1867" s="160"/>
      <c r="BD1867" s="160"/>
      <c r="BE1867" s="160"/>
      <c r="BF1867" s="160"/>
      <c r="BG1867" s="160"/>
      <c r="BH1867" s="160"/>
      <c r="BI1867" s="160"/>
      <c r="BJ1867" s="160"/>
      <c r="BK1867" s="160"/>
      <c r="BL1867" s="160"/>
      <c r="BM1867" s="160"/>
      <c r="BN1867" s="160"/>
      <c r="BO1867" s="160"/>
      <c r="BP1867" s="160"/>
      <c r="BQ1867" s="160"/>
      <c r="BR1867" s="160"/>
      <c r="BS1867" s="160"/>
      <c r="BT1867" s="160"/>
      <c r="BU1867" s="160"/>
      <c r="BV1867" s="160"/>
      <c r="BW1867" s="160"/>
      <c r="BX1867" s="160"/>
      <c r="BY1867" s="160"/>
      <c r="BZ1867" s="160"/>
      <c r="CA1867" s="160"/>
      <c r="CB1867" s="160"/>
      <c r="CC1867" s="160"/>
      <c r="CD1867" s="160"/>
      <c r="CE1867" s="160"/>
      <c r="CF1867" s="160"/>
      <c r="CG1867" s="160"/>
      <c r="CH1867" s="160"/>
      <c r="CI1867" s="160"/>
      <c r="CJ1867" s="160"/>
      <c r="CK1867" s="160"/>
      <c r="CL1867" s="160"/>
      <c r="CM1867" s="160"/>
      <c r="CN1867" s="160"/>
      <c r="CO1867" s="160"/>
      <c r="CP1867" s="162"/>
      <c r="CQ1867" s="163"/>
      <c r="CR1867" s="162"/>
      <c r="CS1867" s="163"/>
      <c r="CT1867" s="162"/>
      <c r="CU1867" s="163"/>
      <c r="CV1867" s="164">
        <f t="shared" si="239"/>
        <v>0</v>
      </c>
      <c r="CW1867" s="165"/>
      <c r="CX1867" s="166"/>
      <c r="CY1867" s="167"/>
      <c r="CZ1867" s="168"/>
      <c r="DA1867" s="169"/>
      <c r="DB1867" s="168"/>
      <c r="DC1867" s="165"/>
      <c r="DD1867" s="166"/>
      <c r="DE1867" s="71"/>
      <c r="DF1867" s="170"/>
      <c r="EO1867" s="378" t="str">
        <f t="shared" si="234"/>
        <v>NORTE DE SANTANDER_TEORAMA</v>
      </c>
      <c r="EP1867" s="379"/>
      <c r="EQ1867" s="376"/>
      <c r="ER1867" s="377"/>
      <c r="ES1867" s="376"/>
      <c r="ET1867" s="376"/>
      <c r="EU1867" s="376"/>
    </row>
    <row r="1868" spans="1:151" s="171" customFormat="1" ht="38.25" x14ac:dyDescent="0.2">
      <c r="A1868" s="242">
        <v>40505.640277777777</v>
      </c>
      <c r="B1868" s="107" t="s">
        <v>6305</v>
      </c>
      <c r="C1868" s="107" t="s">
        <v>6305</v>
      </c>
      <c r="D1868" s="430" t="s">
        <v>837</v>
      </c>
      <c r="E1868" s="107" t="str">
        <f>VLOOKUP(B1868&amp;C1868,Divipola!$C$2:$F$1138,4,FALSE)</f>
        <v>11001</v>
      </c>
      <c r="F1868" s="333"/>
      <c r="G1868" s="221"/>
      <c r="H1868" s="157"/>
      <c r="I1868" s="157"/>
      <c r="J1868" s="157"/>
      <c r="K1868" s="414"/>
      <c r="L1868" s="157"/>
      <c r="M1868" s="157"/>
      <c r="N1868" s="157"/>
      <c r="O1868" s="157"/>
      <c r="P1868" s="157"/>
      <c r="Q1868" s="157"/>
      <c r="R1868" s="157"/>
      <c r="S1868" s="157"/>
      <c r="T1868" s="157"/>
      <c r="U1868" s="157"/>
      <c r="V1868" s="158"/>
      <c r="W1868" s="182"/>
      <c r="X1868" s="1"/>
      <c r="Y1868" s="78">
        <f t="shared" si="236"/>
        <v>0</v>
      </c>
      <c r="Z1868" s="78">
        <f t="shared" si="237"/>
        <v>0</v>
      </c>
      <c r="AA1868" s="78">
        <f t="shared" si="235"/>
        <v>0</v>
      </c>
      <c r="AB1868" s="78">
        <f t="shared" si="238"/>
        <v>0</v>
      </c>
      <c r="AC1868" s="78"/>
      <c r="AD1868" s="78">
        <v>0</v>
      </c>
      <c r="AE1868" s="80">
        <f t="shared" si="240"/>
        <v>0</v>
      </c>
      <c r="AF1868" s="82">
        <v>0</v>
      </c>
      <c r="AG1868" s="306">
        <v>40624</v>
      </c>
      <c r="AH1868" s="307"/>
      <c r="AI1868" s="306" t="s">
        <v>1984</v>
      </c>
      <c r="AJ1868" s="308" t="s">
        <v>1985</v>
      </c>
      <c r="AK1868" s="309"/>
      <c r="AL1868" s="310" t="s">
        <v>1257</v>
      </c>
      <c r="AM1868" s="419" t="s">
        <v>3771</v>
      </c>
      <c r="AN1868" s="159"/>
      <c r="AO1868" s="160"/>
      <c r="AP1868" s="161"/>
      <c r="AQ1868" s="160"/>
      <c r="AR1868" s="160"/>
      <c r="AS1868" s="160"/>
      <c r="AT1868" s="160"/>
      <c r="AU1868" s="160"/>
      <c r="AV1868" s="160"/>
      <c r="AW1868" s="160"/>
      <c r="AX1868" s="160"/>
      <c r="AY1868" s="160"/>
      <c r="AZ1868" s="160"/>
      <c r="BA1868" s="160"/>
      <c r="BB1868" s="160"/>
      <c r="BC1868" s="160"/>
      <c r="BD1868" s="160"/>
      <c r="BE1868" s="160"/>
      <c r="BF1868" s="160"/>
      <c r="BG1868" s="160"/>
      <c r="BH1868" s="160"/>
      <c r="BI1868" s="160"/>
      <c r="BJ1868" s="160"/>
      <c r="BK1868" s="160"/>
      <c r="BL1868" s="160"/>
      <c r="BM1868" s="160"/>
      <c r="BN1868" s="160"/>
      <c r="BO1868" s="160"/>
      <c r="BP1868" s="160"/>
      <c r="BQ1868" s="160"/>
      <c r="BR1868" s="160"/>
      <c r="BS1868" s="160"/>
      <c r="BT1868" s="160"/>
      <c r="BU1868" s="160"/>
      <c r="BV1868" s="160"/>
      <c r="BW1868" s="160"/>
      <c r="BX1868" s="160"/>
      <c r="BY1868" s="160"/>
      <c r="BZ1868" s="160"/>
      <c r="CA1868" s="160"/>
      <c r="CB1868" s="160"/>
      <c r="CC1868" s="160"/>
      <c r="CD1868" s="160"/>
      <c r="CE1868" s="160"/>
      <c r="CF1868" s="160"/>
      <c r="CG1868" s="160"/>
      <c r="CH1868" s="160"/>
      <c r="CI1868" s="160"/>
      <c r="CJ1868" s="160"/>
      <c r="CK1868" s="160"/>
      <c r="CL1868" s="160"/>
      <c r="CM1868" s="160"/>
      <c r="CN1868" s="160"/>
      <c r="CO1868" s="160"/>
      <c r="CP1868" s="162"/>
      <c r="CQ1868" s="163"/>
      <c r="CR1868" s="162"/>
      <c r="CS1868" s="163"/>
      <c r="CT1868" s="162"/>
      <c r="CU1868" s="163"/>
      <c r="CV1868" s="164">
        <f t="shared" si="239"/>
        <v>0</v>
      </c>
      <c r="CW1868" s="165"/>
      <c r="CX1868" s="166"/>
      <c r="CY1868" s="167"/>
      <c r="CZ1868" s="168"/>
      <c r="DA1868" s="169"/>
      <c r="DB1868" s="168"/>
      <c r="DC1868" s="165"/>
      <c r="DD1868" s="166"/>
      <c r="DE1868" s="71"/>
      <c r="DF1868" s="170"/>
      <c r="EO1868" s="375" t="str">
        <f t="shared" ref="EO1868:EO1925" si="241">B1868&amp;"_"&amp;C1868</f>
        <v>BOGOTA, D.C._BOGOTA, D.C.</v>
      </c>
      <c r="EP1868" s="376"/>
      <c r="EQ1868" s="376"/>
      <c r="ER1868" s="377"/>
      <c r="ES1868" s="376"/>
      <c r="ET1868" s="376"/>
      <c r="EU1868" s="376"/>
    </row>
    <row r="1869" spans="1:151" s="171" customFormat="1" ht="38.25" x14ac:dyDescent="0.2">
      <c r="A1869" s="242">
        <v>40505.645138888889</v>
      </c>
      <c r="B1869" s="107" t="s">
        <v>6305</v>
      </c>
      <c r="C1869" s="107" t="s">
        <v>6305</v>
      </c>
      <c r="D1869" s="430" t="s">
        <v>837</v>
      </c>
      <c r="E1869" s="107" t="str">
        <f>VLOOKUP(B1869&amp;C1869,Divipola!$C$2:$F$1138,4,FALSE)</f>
        <v>11001</v>
      </c>
      <c r="F1869" s="333"/>
      <c r="G1869" s="221"/>
      <c r="H1869" s="157"/>
      <c r="I1869" s="157"/>
      <c r="J1869" s="157"/>
      <c r="K1869" s="414"/>
      <c r="L1869" s="157"/>
      <c r="M1869" s="157"/>
      <c r="N1869" s="157"/>
      <c r="O1869" s="157"/>
      <c r="P1869" s="157"/>
      <c r="Q1869" s="157"/>
      <c r="R1869" s="157"/>
      <c r="S1869" s="157"/>
      <c r="T1869" s="157"/>
      <c r="U1869" s="157"/>
      <c r="V1869" s="158"/>
      <c r="W1869" s="182"/>
      <c r="X1869" s="1"/>
      <c r="Y1869" s="78">
        <f t="shared" si="236"/>
        <v>0</v>
      </c>
      <c r="Z1869" s="78">
        <f t="shared" si="237"/>
        <v>0</v>
      </c>
      <c r="AA1869" s="78">
        <f t="shared" si="235"/>
        <v>0</v>
      </c>
      <c r="AB1869" s="78">
        <f t="shared" si="238"/>
        <v>0</v>
      </c>
      <c r="AC1869" s="78"/>
      <c r="AD1869" s="78">
        <v>0</v>
      </c>
      <c r="AE1869" s="80">
        <f t="shared" si="240"/>
        <v>0</v>
      </c>
      <c r="AF1869" s="82">
        <v>0</v>
      </c>
      <c r="AG1869" s="306">
        <v>40624</v>
      </c>
      <c r="AH1869" s="307"/>
      <c r="AI1869" s="306" t="s">
        <v>1984</v>
      </c>
      <c r="AJ1869" s="308" t="s">
        <v>1985</v>
      </c>
      <c r="AK1869" s="309"/>
      <c r="AL1869" s="310" t="s">
        <v>1257</v>
      </c>
      <c r="AM1869" s="419" t="s">
        <v>3772</v>
      </c>
      <c r="AN1869" s="159"/>
      <c r="AO1869" s="160"/>
      <c r="AP1869" s="161"/>
      <c r="AQ1869" s="160"/>
      <c r="AR1869" s="160"/>
      <c r="AS1869" s="160"/>
      <c r="AT1869" s="160"/>
      <c r="AU1869" s="160"/>
      <c r="AV1869" s="160"/>
      <c r="AW1869" s="160"/>
      <c r="AX1869" s="160"/>
      <c r="AY1869" s="160"/>
      <c r="AZ1869" s="160"/>
      <c r="BA1869" s="160"/>
      <c r="BB1869" s="160"/>
      <c r="BC1869" s="160"/>
      <c r="BD1869" s="160"/>
      <c r="BE1869" s="160"/>
      <c r="BF1869" s="160"/>
      <c r="BG1869" s="160"/>
      <c r="BH1869" s="160"/>
      <c r="BI1869" s="160"/>
      <c r="BJ1869" s="160"/>
      <c r="BK1869" s="160"/>
      <c r="BL1869" s="160"/>
      <c r="BM1869" s="160"/>
      <c r="BN1869" s="160"/>
      <c r="BO1869" s="160"/>
      <c r="BP1869" s="160"/>
      <c r="BQ1869" s="160"/>
      <c r="BR1869" s="160"/>
      <c r="BS1869" s="160"/>
      <c r="BT1869" s="160"/>
      <c r="BU1869" s="160"/>
      <c r="BV1869" s="160"/>
      <c r="BW1869" s="160"/>
      <c r="BX1869" s="160"/>
      <c r="BY1869" s="160"/>
      <c r="BZ1869" s="160"/>
      <c r="CA1869" s="160"/>
      <c r="CB1869" s="160"/>
      <c r="CC1869" s="160"/>
      <c r="CD1869" s="160"/>
      <c r="CE1869" s="160"/>
      <c r="CF1869" s="160"/>
      <c r="CG1869" s="160"/>
      <c r="CH1869" s="160"/>
      <c r="CI1869" s="160"/>
      <c r="CJ1869" s="160"/>
      <c r="CK1869" s="160"/>
      <c r="CL1869" s="160"/>
      <c r="CM1869" s="160"/>
      <c r="CN1869" s="160"/>
      <c r="CO1869" s="160"/>
      <c r="CP1869" s="162"/>
      <c r="CQ1869" s="163"/>
      <c r="CR1869" s="162"/>
      <c r="CS1869" s="163"/>
      <c r="CT1869" s="162"/>
      <c r="CU1869" s="163"/>
      <c r="CV1869" s="164">
        <f t="shared" si="239"/>
        <v>0</v>
      </c>
      <c r="CW1869" s="165"/>
      <c r="CX1869" s="166"/>
      <c r="CY1869" s="167"/>
      <c r="CZ1869" s="168"/>
      <c r="DA1869" s="169"/>
      <c r="DB1869" s="168"/>
      <c r="DC1869" s="165"/>
      <c r="DD1869" s="166"/>
      <c r="DE1869" s="71"/>
      <c r="DF1869" s="170"/>
      <c r="EO1869" s="375" t="str">
        <f t="shared" si="241"/>
        <v>BOGOTA, D.C._BOGOTA, D.C.</v>
      </c>
      <c r="EP1869" s="376"/>
      <c r="EQ1869" s="376"/>
      <c r="ER1869" s="377"/>
      <c r="ES1869" s="376"/>
      <c r="ET1869" s="376"/>
      <c r="EU1869" s="376"/>
    </row>
    <row r="1870" spans="1:151" s="171" customFormat="1" ht="38.25" x14ac:dyDescent="0.2">
      <c r="A1870" s="242">
        <v>40505.658333333333</v>
      </c>
      <c r="B1870" s="107" t="s">
        <v>6305</v>
      </c>
      <c r="C1870" s="107" t="s">
        <v>6305</v>
      </c>
      <c r="D1870" s="430" t="s">
        <v>837</v>
      </c>
      <c r="E1870" s="107" t="str">
        <f>VLOOKUP(B1870&amp;C1870,Divipola!$C$2:$F$1138,4,FALSE)</f>
        <v>11001</v>
      </c>
      <c r="F1870" s="333"/>
      <c r="G1870" s="221"/>
      <c r="H1870" s="157"/>
      <c r="I1870" s="157"/>
      <c r="J1870" s="157"/>
      <c r="K1870" s="414"/>
      <c r="L1870" s="157"/>
      <c r="M1870" s="157"/>
      <c r="N1870" s="157"/>
      <c r="O1870" s="157"/>
      <c r="P1870" s="157"/>
      <c r="Q1870" s="157"/>
      <c r="R1870" s="157"/>
      <c r="S1870" s="157"/>
      <c r="T1870" s="157"/>
      <c r="U1870" s="157"/>
      <c r="V1870" s="158"/>
      <c r="W1870" s="182"/>
      <c r="X1870" s="1"/>
      <c r="Y1870" s="78">
        <f t="shared" si="236"/>
        <v>0</v>
      </c>
      <c r="Z1870" s="78">
        <f t="shared" si="237"/>
        <v>0</v>
      </c>
      <c r="AA1870" s="78">
        <f t="shared" si="235"/>
        <v>0</v>
      </c>
      <c r="AB1870" s="78">
        <f t="shared" si="238"/>
        <v>0</v>
      </c>
      <c r="AC1870" s="78"/>
      <c r="AD1870" s="78">
        <v>0</v>
      </c>
      <c r="AE1870" s="80">
        <f t="shared" si="240"/>
        <v>0</v>
      </c>
      <c r="AF1870" s="82">
        <v>0</v>
      </c>
      <c r="AG1870" s="306">
        <v>40624</v>
      </c>
      <c r="AH1870" s="307"/>
      <c r="AI1870" s="306" t="s">
        <v>1984</v>
      </c>
      <c r="AJ1870" s="308" t="s">
        <v>1985</v>
      </c>
      <c r="AK1870" s="309"/>
      <c r="AL1870" s="310" t="s">
        <v>1257</v>
      </c>
      <c r="AM1870" s="419" t="s">
        <v>3773</v>
      </c>
      <c r="AN1870" s="159"/>
      <c r="AO1870" s="160"/>
      <c r="AP1870" s="161"/>
      <c r="AQ1870" s="160"/>
      <c r="AR1870" s="160"/>
      <c r="AS1870" s="160"/>
      <c r="AT1870" s="160"/>
      <c r="AU1870" s="160"/>
      <c r="AV1870" s="160"/>
      <c r="AW1870" s="160"/>
      <c r="AX1870" s="160"/>
      <c r="AY1870" s="160"/>
      <c r="AZ1870" s="160"/>
      <c r="BA1870" s="160"/>
      <c r="BB1870" s="160"/>
      <c r="BC1870" s="160"/>
      <c r="BD1870" s="160"/>
      <c r="BE1870" s="160"/>
      <c r="BF1870" s="160"/>
      <c r="BG1870" s="160"/>
      <c r="BH1870" s="160"/>
      <c r="BI1870" s="160"/>
      <c r="BJ1870" s="160"/>
      <c r="BK1870" s="160"/>
      <c r="BL1870" s="160"/>
      <c r="BM1870" s="160"/>
      <c r="BN1870" s="160"/>
      <c r="BO1870" s="160"/>
      <c r="BP1870" s="160"/>
      <c r="BQ1870" s="160"/>
      <c r="BR1870" s="160"/>
      <c r="BS1870" s="160"/>
      <c r="BT1870" s="160"/>
      <c r="BU1870" s="160"/>
      <c r="BV1870" s="160"/>
      <c r="BW1870" s="160"/>
      <c r="BX1870" s="160"/>
      <c r="BY1870" s="160"/>
      <c r="BZ1870" s="160"/>
      <c r="CA1870" s="160"/>
      <c r="CB1870" s="160"/>
      <c r="CC1870" s="160"/>
      <c r="CD1870" s="160"/>
      <c r="CE1870" s="160"/>
      <c r="CF1870" s="160"/>
      <c r="CG1870" s="160"/>
      <c r="CH1870" s="160"/>
      <c r="CI1870" s="160"/>
      <c r="CJ1870" s="160"/>
      <c r="CK1870" s="160"/>
      <c r="CL1870" s="160"/>
      <c r="CM1870" s="160"/>
      <c r="CN1870" s="160"/>
      <c r="CO1870" s="160"/>
      <c r="CP1870" s="162"/>
      <c r="CQ1870" s="163"/>
      <c r="CR1870" s="162"/>
      <c r="CS1870" s="163"/>
      <c r="CT1870" s="162"/>
      <c r="CU1870" s="163"/>
      <c r="CV1870" s="164">
        <f t="shared" si="239"/>
        <v>0</v>
      </c>
      <c r="CW1870" s="165"/>
      <c r="CX1870" s="166"/>
      <c r="CY1870" s="167"/>
      <c r="CZ1870" s="168"/>
      <c r="DA1870" s="169"/>
      <c r="DB1870" s="168"/>
      <c r="DC1870" s="165"/>
      <c r="DD1870" s="166"/>
      <c r="DE1870" s="71"/>
      <c r="DF1870" s="170"/>
      <c r="EO1870" s="375" t="str">
        <f t="shared" si="241"/>
        <v>BOGOTA, D.C._BOGOTA, D.C.</v>
      </c>
      <c r="EP1870" s="376"/>
      <c r="EQ1870" s="379"/>
      <c r="ER1870" s="379"/>
      <c r="ES1870" s="379"/>
      <c r="ET1870" s="379"/>
      <c r="EU1870" s="379"/>
    </row>
    <row r="1871" spans="1:151" s="171" customFormat="1" ht="38.25" x14ac:dyDescent="0.2">
      <c r="A1871" s="242">
        <v>40506</v>
      </c>
      <c r="B1871" s="222" t="s">
        <v>2017</v>
      </c>
      <c r="C1871" s="222" t="s">
        <v>2008</v>
      </c>
      <c r="D1871" s="430" t="s">
        <v>837</v>
      </c>
      <c r="E1871" s="107">
        <f>VLOOKUP(B1871&amp;C1871,Divipola!$C$2:$F$1138,4,FALSE)</f>
        <v>13</v>
      </c>
      <c r="F1871" s="333"/>
      <c r="G1871" s="221"/>
      <c r="H1871" s="157"/>
      <c r="I1871" s="157"/>
      <c r="J1871" s="157"/>
      <c r="K1871" s="157"/>
      <c r="L1871" s="157"/>
      <c r="M1871" s="157"/>
      <c r="N1871" s="157"/>
      <c r="O1871" s="157"/>
      <c r="P1871" s="157"/>
      <c r="Q1871" s="157"/>
      <c r="R1871" s="157"/>
      <c r="S1871" s="157"/>
      <c r="T1871" s="157"/>
      <c r="U1871" s="157"/>
      <c r="V1871" s="158"/>
      <c r="W1871" s="182"/>
      <c r="X1871" s="1">
        <v>40526</v>
      </c>
      <c r="Y1871" s="78">
        <f t="shared" si="236"/>
        <v>47000000</v>
      </c>
      <c r="Z1871" s="78">
        <f t="shared" si="237"/>
        <v>0</v>
      </c>
      <c r="AA1871" s="78">
        <f t="shared" si="235"/>
        <v>0</v>
      </c>
      <c r="AB1871" s="78">
        <f t="shared" si="238"/>
        <v>645066000</v>
      </c>
      <c r="AC1871" s="78"/>
      <c r="AD1871" s="78">
        <v>0</v>
      </c>
      <c r="AE1871" s="80">
        <f t="shared" si="240"/>
        <v>692066000</v>
      </c>
      <c r="AF1871" s="82">
        <v>0</v>
      </c>
      <c r="AG1871" s="69">
        <v>40508</v>
      </c>
      <c r="AH1871" s="84">
        <v>68462</v>
      </c>
      <c r="AI1871" s="69" t="s">
        <v>2009</v>
      </c>
      <c r="AJ1871" s="25" t="s">
        <v>2010</v>
      </c>
      <c r="AK1871" s="65">
        <v>26392</v>
      </c>
      <c r="AL1871" s="109" t="s">
        <v>1431</v>
      </c>
      <c r="AM1871" s="173" t="s">
        <v>3132</v>
      </c>
      <c r="AN1871" s="159"/>
      <c r="AO1871" s="160"/>
      <c r="AP1871" s="161"/>
      <c r="AQ1871" s="160"/>
      <c r="AR1871" s="160"/>
      <c r="AS1871" s="160"/>
      <c r="AT1871" s="160"/>
      <c r="AU1871" s="160"/>
      <c r="AV1871" s="160"/>
      <c r="AW1871" s="160"/>
      <c r="AX1871" s="160"/>
      <c r="AY1871" s="160"/>
      <c r="AZ1871" s="160"/>
      <c r="BA1871" s="160"/>
      <c r="BB1871" s="160"/>
      <c r="BC1871" s="160"/>
      <c r="BD1871" s="160"/>
      <c r="BE1871" s="160"/>
      <c r="BF1871" s="160"/>
      <c r="BG1871" s="160"/>
      <c r="BH1871" s="160"/>
      <c r="BI1871" s="160"/>
      <c r="BJ1871" s="160"/>
      <c r="BK1871" s="160"/>
      <c r="BL1871" s="160"/>
      <c r="BM1871" s="160"/>
      <c r="BN1871" s="160"/>
      <c r="BO1871" s="160"/>
      <c r="BP1871" s="160"/>
      <c r="BQ1871" s="160"/>
      <c r="BR1871" s="160"/>
      <c r="BS1871" s="160"/>
      <c r="BT1871" s="160"/>
      <c r="BU1871" s="160"/>
      <c r="BV1871" s="160"/>
      <c r="BW1871" s="160"/>
      <c r="BX1871" s="160"/>
      <c r="BY1871" s="160"/>
      <c r="BZ1871" s="160">
        <v>100</v>
      </c>
      <c r="CA1871" s="160">
        <f>100*470000</f>
        <v>47000000</v>
      </c>
      <c r="CB1871" s="160"/>
      <c r="CC1871" s="160"/>
      <c r="CD1871" s="160"/>
      <c r="CE1871" s="160"/>
      <c r="CF1871" s="160"/>
      <c r="CG1871" s="160"/>
      <c r="CH1871" s="160"/>
      <c r="CI1871" s="160"/>
      <c r="CJ1871" s="160"/>
      <c r="CK1871" s="160"/>
      <c r="CL1871" s="160"/>
      <c r="CM1871" s="160"/>
      <c r="CN1871" s="160"/>
      <c r="CO1871" s="160"/>
      <c r="CP1871" s="162"/>
      <c r="CQ1871" s="163"/>
      <c r="CR1871" s="162"/>
      <c r="CS1871" s="163"/>
      <c r="CT1871" s="162"/>
      <c r="CU1871" s="163"/>
      <c r="CV1871" s="164">
        <f t="shared" si="239"/>
        <v>47000000</v>
      </c>
      <c r="CW1871" s="165">
        <f>150000+200000+100000+150000+100000</f>
        <v>700000</v>
      </c>
      <c r="CX1871" s="166">
        <f>150000*910.6+200000*904.8+100000*900.16+150000*950+100000*950</f>
        <v>645066000</v>
      </c>
      <c r="CY1871" s="167"/>
      <c r="CZ1871" s="168"/>
      <c r="DA1871" s="169"/>
      <c r="DB1871" s="168"/>
      <c r="DC1871" s="165"/>
      <c r="DD1871" s="166"/>
      <c r="DE1871" s="71"/>
      <c r="DF1871" s="170"/>
      <c r="EO1871" s="375" t="str">
        <f t="shared" si="241"/>
        <v>BOLIVAR_DEPARTAMENTO</v>
      </c>
      <c r="EP1871" s="376"/>
      <c r="EQ1871" s="379"/>
      <c r="ER1871" s="379"/>
      <c r="ES1871" s="379"/>
      <c r="ET1871" s="379"/>
      <c r="EU1871" s="379"/>
    </row>
    <row r="1872" spans="1:151" s="171" customFormat="1" ht="38.25" x14ac:dyDescent="0.2">
      <c r="A1872" s="242">
        <v>40506</v>
      </c>
      <c r="B1872" s="222" t="s">
        <v>828</v>
      </c>
      <c r="C1872" s="222" t="s">
        <v>368</v>
      </c>
      <c r="D1872" s="430" t="s">
        <v>837</v>
      </c>
      <c r="E1872" s="107" t="str">
        <f>VLOOKUP(B1872&amp;C1872,Divipola!$C$2:$F$1138,4,FALSE)</f>
        <v>15720</v>
      </c>
      <c r="F1872" s="333"/>
      <c r="G1872" s="221"/>
      <c r="H1872" s="157"/>
      <c r="I1872" s="157"/>
      <c r="J1872" s="157">
        <v>550</v>
      </c>
      <c r="K1872" s="157">
        <v>110</v>
      </c>
      <c r="L1872" s="157">
        <v>13</v>
      </c>
      <c r="M1872" s="157">
        <v>97</v>
      </c>
      <c r="N1872" s="157"/>
      <c r="O1872" s="157"/>
      <c r="P1872" s="157"/>
      <c r="Q1872" s="157"/>
      <c r="R1872" s="157"/>
      <c r="S1872" s="157"/>
      <c r="T1872" s="157"/>
      <c r="U1872" s="157"/>
      <c r="V1872" s="158"/>
      <c r="W1872" s="182"/>
      <c r="X1872" s="1"/>
      <c r="Y1872" s="78">
        <f t="shared" si="236"/>
        <v>0</v>
      </c>
      <c r="Z1872" s="78">
        <f t="shared" si="237"/>
        <v>0</v>
      </c>
      <c r="AA1872" s="78">
        <f t="shared" si="235"/>
        <v>0</v>
      </c>
      <c r="AB1872" s="78">
        <f t="shared" si="238"/>
        <v>0</v>
      </c>
      <c r="AC1872" s="78"/>
      <c r="AD1872" s="78">
        <v>0</v>
      </c>
      <c r="AE1872" s="80">
        <f t="shared" si="240"/>
        <v>0</v>
      </c>
      <c r="AF1872" s="82">
        <v>0</v>
      </c>
      <c r="AG1872" s="69">
        <v>40581</v>
      </c>
      <c r="AH1872" s="84"/>
      <c r="AI1872" s="69" t="s">
        <v>1984</v>
      </c>
      <c r="AJ1872" s="25" t="s">
        <v>1985</v>
      </c>
      <c r="AK1872" s="65"/>
      <c r="AL1872" s="176" t="s">
        <v>1257</v>
      </c>
      <c r="AM1872" s="173" t="s">
        <v>349</v>
      </c>
      <c r="AN1872" s="159"/>
      <c r="AO1872" s="160"/>
      <c r="AP1872" s="161"/>
      <c r="AQ1872" s="160"/>
      <c r="AR1872" s="160"/>
      <c r="AS1872" s="160"/>
      <c r="AT1872" s="160"/>
      <c r="AU1872" s="160"/>
      <c r="AV1872" s="160"/>
      <c r="AW1872" s="160"/>
      <c r="AX1872" s="160"/>
      <c r="AY1872" s="160"/>
      <c r="AZ1872" s="160"/>
      <c r="BA1872" s="160"/>
      <c r="BB1872" s="160"/>
      <c r="BC1872" s="160"/>
      <c r="BD1872" s="160"/>
      <c r="BE1872" s="160"/>
      <c r="BF1872" s="160"/>
      <c r="BG1872" s="160"/>
      <c r="BH1872" s="160"/>
      <c r="BI1872" s="160"/>
      <c r="BJ1872" s="160"/>
      <c r="BK1872" s="160"/>
      <c r="BL1872" s="160"/>
      <c r="BM1872" s="160"/>
      <c r="BN1872" s="160"/>
      <c r="BO1872" s="160"/>
      <c r="BP1872" s="160"/>
      <c r="BQ1872" s="160"/>
      <c r="BR1872" s="160"/>
      <c r="BS1872" s="160"/>
      <c r="BT1872" s="160"/>
      <c r="BU1872" s="160"/>
      <c r="BV1872" s="160"/>
      <c r="BW1872" s="160"/>
      <c r="BX1872" s="160"/>
      <c r="BY1872" s="160"/>
      <c r="BZ1872" s="160"/>
      <c r="CA1872" s="160"/>
      <c r="CB1872" s="160"/>
      <c r="CC1872" s="160"/>
      <c r="CD1872" s="160"/>
      <c r="CE1872" s="160"/>
      <c r="CF1872" s="160"/>
      <c r="CG1872" s="160"/>
      <c r="CH1872" s="160"/>
      <c r="CI1872" s="160"/>
      <c r="CJ1872" s="160"/>
      <c r="CK1872" s="160"/>
      <c r="CL1872" s="160"/>
      <c r="CM1872" s="160"/>
      <c r="CN1872" s="160"/>
      <c r="CO1872" s="160"/>
      <c r="CP1872" s="162"/>
      <c r="CQ1872" s="163"/>
      <c r="CR1872" s="162"/>
      <c r="CS1872" s="163"/>
      <c r="CT1872" s="162"/>
      <c r="CU1872" s="163"/>
      <c r="CV1872" s="164">
        <f t="shared" si="239"/>
        <v>0</v>
      </c>
      <c r="CW1872" s="165"/>
      <c r="CX1872" s="166"/>
      <c r="CY1872" s="167"/>
      <c r="CZ1872" s="168"/>
      <c r="DA1872" s="169"/>
      <c r="DB1872" s="168"/>
      <c r="DC1872" s="165"/>
      <c r="DD1872" s="166"/>
      <c r="DE1872" s="71"/>
      <c r="DF1872" s="170"/>
      <c r="EO1872" s="375" t="str">
        <f t="shared" si="241"/>
        <v>BOYACA_SATIVANORTE</v>
      </c>
      <c r="EP1872" s="376"/>
      <c r="EQ1872" s="376"/>
      <c r="ER1872" s="377"/>
      <c r="ES1872" s="376"/>
      <c r="ET1872" s="376"/>
      <c r="EU1872" s="376"/>
    </row>
    <row r="1873" spans="1:151" s="171" customFormat="1" ht="25.5" x14ac:dyDescent="0.2">
      <c r="A1873" s="242">
        <v>40506</v>
      </c>
      <c r="B1873" s="222" t="s">
        <v>289</v>
      </c>
      <c r="C1873" s="222" t="s">
        <v>2070</v>
      </c>
      <c r="D1873" s="427" t="s">
        <v>2307</v>
      </c>
      <c r="E1873" s="107" t="str">
        <f>VLOOKUP(B1873&amp;C1873,Divipola!$C$2:$F$1138,4,FALSE)</f>
        <v>17013</v>
      </c>
      <c r="F1873" s="330"/>
      <c r="G1873" s="221">
        <v>2</v>
      </c>
      <c r="H1873" s="157"/>
      <c r="I1873" s="157"/>
      <c r="J1873" s="157">
        <f>200*5</f>
        <v>1000</v>
      </c>
      <c r="K1873" s="157">
        <v>200</v>
      </c>
      <c r="L1873" s="157"/>
      <c r="M1873" s="157">
        <v>6</v>
      </c>
      <c r="N1873" s="157"/>
      <c r="O1873" s="157"/>
      <c r="P1873" s="157"/>
      <c r="Q1873" s="157"/>
      <c r="R1873" s="157"/>
      <c r="S1873" s="157"/>
      <c r="T1873" s="157"/>
      <c r="U1873" s="157"/>
      <c r="V1873" s="158"/>
      <c r="W1873" s="182"/>
      <c r="X1873" s="1"/>
      <c r="Y1873" s="78">
        <f t="shared" si="236"/>
        <v>0</v>
      </c>
      <c r="Z1873" s="78">
        <f t="shared" si="237"/>
        <v>0</v>
      </c>
      <c r="AA1873" s="78">
        <f t="shared" si="235"/>
        <v>0</v>
      </c>
      <c r="AB1873" s="78">
        <f t="shared" si="238"/>
        <v>0</v>
      </c>
      <c r="AC1873" s="78"/>
      <c r="AD1873" s="78">
        <v>0</v>
      </c>
      <c r="AE1873" s="80">
        <f t="shared" si="240"/>
        <v>0</v>
      </c>
      <c r="AF1873" s="82">
        <v>0</v>
      </c>
      <c r="AG1873" s="69">
        <v>40506</v>
      </c>
      <c r="AH1873" s="84"/>
      <c r="AI1873" s="69" t="s">
        <v>2009</v>
      </c>
      <c r="AJ1873" s="25" t="s">
        <v>2010</v>
      </c>
      <c r="AK1873" s="65"/>
      <c r="AL1873" s="184" t="s">
        <v>3833</v>
      </c>
      <c r="AM1873" s="173" t="s">
        <v>2880</v>
      </c>
      <c r="AN1873" s="159"/>
      <c r="AO1873" s="160"/>
      <c r="AP1873" s="161"/>
      <c r="AQ1873" s="160"/>
      <c r="AR1873" s="160"/>
      <c r="AS1873" s="160"/>
      <c r="AT1873" s="160"/>
      <c r="AU1873" s="160"/>
      <c r="AV1873" s="160"/>
      <c r="AW1873" s="160"/>
      <c r="AX1873" s="160"/>
      <c r="AY1873" s="160"/>
      <c r="AZ1873" s="160"/>
      <c r="BA1873" s="160"/>
      <c r="BB1873" s="160"/>
      <c r="BC1873" s="160"/>
      <c r="BD1873" s="160"/>
      <c r="BE1873" s="160"/>
      <c r="BF1873" s="160"/>
      <c r="BG1873" s="160"/>
      <c r="BH1873" s="160"/>
      <c r="BI1873" s="160"/>
      <c r="BJ1873" s="160"/>
      <c r="BK1873" s="160"/>
      <c r="BL1873" s="160"/>
      <c r="BM1873" s="160"/>
      <c r="BN1873" s="160"/>
      <c r="BO1873" s="160"/>
      <c r="BP1873" s="160"/>
      <c r="BQ1873" s="160"/>
      <c r="BR1873" s="160"/>
      <c r="BS1873" s="160"/>
      <c r="BT1873" s="160"/>
      <c r="BU1873" s="160"/>
      <c r="BV1873" s="160"/>
      <c r="BW1873" s="160"/>
      <c r="BX1873" s="160"/>
      <c r="BY1873" s="160"/>
      <c r="BZ1873" s="160"/>
      <c r="CA1873" s="160"/>
      <c r="CB1873" s="160"/>
      <c r="CC1873" s="160"/>
      <c r="CD1873" s="160"/>
      <c r="CE1873" s="160"/>
      <c r="CF1873" s="160"/>
      <c r="CG1873" s="160"/>
      <c r="CH1873" s="160"/>
      <c r="CI1873" s="160"/>
      <c r="CJ1873" s="160"/>
      <c r="CK1873" s="160"/>
      <c r="CL1873" s="160"/>
      <c r="CM1873" s="160"/>
      <c r="CN1873" s="160"/>
      <c r="CO1873" s="160"/>
      <c r="CP1873" s="162"/>
      <c r="CQ1873" s="163"/>
      <c r="CR1873" s="162"/>
      <c r="CS1873" s="163"/>
      <c r="CT1873" s="162"/>
      <c r="CU1873" s="163"/>
      <c r="CV1873" s="164">
        <f t="shared" si="239"/>
        <v>0</v>
      </c>
      <c r="CW1873" s="165"/>
      <c r="CX1873" s="166"/>
      <c r="CY1873" s="167"/>
      <c r="CZ1873" s="168"/>
      <c r="DA1873" s="169"/>
      <c r="DB1873" s="168"/>
      <c r="DC1873" s="165"/>
      <c r="DD1873" s="166"/>
      <c r="DE1873" s="71"/>
      <c r="DF1873" s="170"/>
      <c r="EO1873" s="375" t="str">
        <f t="shared" si="241"/>
        <v>CALDAS_AGUADAS</v>
      </c>
      <c r="EP1873" s="376"/>
      <c r="EQ1873" s="376"/>
      <c r="ER1873" s="377"/>
      <c r="ES1873" s="376"/>
      <c r="ET1873" s="376"/>
      <c r="EU1873" s="376"/>
    </row>
    <row r="1874" spans="1:151" s="171" customFormat="1" ht="84" x14ac:dyDescent="0.2">
      <c r="A1874" s="242">
        <v>40506</v>
      </c>
      <c r="B1874" s="222" t="s">
        <v>1719</v>
      </c>
      <c r="C1874" s="222" t="s">
        <v>33</v>
      </c>
      <c r="D1874" s="430" t="s">
        <v>837</v>
      </c>
      <c r="E1874" s="107" t="str">
        <f>VLOOKUP(B1874&amp;C1874,Divipola!$C$2:$F$1138,4,FALSE)</f>
        <v>19807</v>
      </c>
      <c r="F1874" s="333"/>
      <c r="G1874" s="221"/>
      <c r="H1874" s="157"/>
      <c r="I1874" s="157"/>
      <c r="J1874" s="157">
        <f>183*5</f>
        <v>915</v>
      </c>
      <c r="K1874" s="157">
        <v>183</v>
      </c>
      <c r="L1874" s="157"/>
      <c r="M1874" s="157">
        <v>183</v>
      </c>
      <c r="N1874" s="157"/>
      <c r="O1874" s="157"/>
      <c r="P1874" s="157"/>
      <c r="Q1874" s="157"/>
      <c r="R1874" s="157"/>
      <c r="S1874" s="157"/>
      <c r="T1874" s="157"/>
      <c r="U1874" s="157"/>
      <c r="V1874" s="158"/>
      <c r="W1874" s="182"/>
      <c r="X1874" s="1"/>
      <c r="Y1874" s="78">
        <f t="shared" si="236"/>
        <v>0</v>
      </c>
      <c r="Z1874" s="78">
        <f t="shared" si="237"/>
        <v>0</v>
      </c>
      <c r="AA1874" s="78">
        <f t="shared" si="235"/>
        <v>0</v>
      </c>
      <c r="AB1874" s="78">
        <f t="shared" si="238"/>
        <v>0</v>
      </c>
      <c r="AC1874" s="78"/>
      <c r="AD1874" s="78">
        <v>0</v>
      </c>
      <c r="AE1874" s="80">
        <f t="shared" si="240"/>
        <v>0</v>
      </c>
      <c r="AF1874" s="82">
        <v>0</v>
      </c>
      <c r="AG1874" s="69"/>
      <c r="AH1874" s="84"/>
      <c r="AI1874" s="69" t="s">
        <v>2009</v>
      </c>
      <c r="AJ1874" s="276" t="s">
        <v>2010</v>
      </c>
      <c r="AK1874" s="65"/>
      <c r="AL1874" s="272" t="s">
        <v>311</v>
      </c>
      <c r="AM1874" s="173" t="s">
        <v>2647</v>
      </c>
      <c r="AN1874" s="159"/>
      <c r="AO1874" s="160"/>
      <c r="AP1874" s="161"/>
      <c r="AQ1874" s="160"/>
      <c r="AR1874" s="160"/>
      <c r="AS1874" s="160"/>
      <c r="AT1874" s="160"/>
      <c r="AU1874" s="160"/>
      <c r="AV1874" s="160"/>
      <c r="AW1874" s="160"/>
      <c r="AX1874" s="160"/>
      <c r="AY1874" s="160"/>
      <c r="AZ1874" s="160"/>
      <c r="BA1874" s="160"/>
      <c r="BB1874" s="160"/>
      <c r="BC1874" s="160"/>
      <c r="BD1874" s="160"/>
      <c r="BE1874" s="160"/>
      <c r="BF1874" s="160"/>
      <c r="BG1874" s="160"/>
      <c r="BH1874" s="160"/>
      <c r="BI1874" s="160"/>
      <c r="BJ1874" s="160"/>
      <c r="BK1874" s="160"/>
      <c r="BL1874" s="160"/>
      <c r="BM1874" s="160"/>
      <c r="BN1874" s="160"/>
      <c r="BO1874" s="160"/>
      <c r="BP1874" s="160"/>
      <c r="BQ1874" s="160"/>
      <c r="BR1874" s="160"/>
      <c r="BS1874" s="160"/>
      <c r="BT1874" s="160"/>
      <c r="BU1874" s="160"/>
      <c r="BV1874" s="160"/>
      <c r="BW1874" s="160"/>
      <c r="BX1874" s="160"/>
      <c r="BY1874" s="160"/>
      <c r="BZ1874" s="160"/>
      <c r="CA1874" s="160"/>
      <c r="CB1874" s="160"/>
      <c r="CC1874" s="160"/>
      <c r="CD1874" s="160"/>
      <c r="CE1874" s="160"/>
      <c r="CF1874" s="160"/>
      <c r="CG1874" s="160"/>
      <c r="CH1874" s="160"/>
      <c r="CI1874" s="160"/>
      <c r="CJ1874" s="160"/>
      <c r="CK1874" s="160"/>
      <c r="CL1874" s="160"/>
      <c r="CM1874" s="160"/>
      <c r="CN1874" s="160"/>
      <c r="CO1874" s="160"/>
      <c r="CP1874" s="162"/>
      <c r="CQ1874" s="163"/>
      <c r="CR1874" s="162"/>
      <c r="CS1874" s="163"/>
      <c r="CT1874" s="162"/>
      <c r="CU1874" s="163"/>
      <c r="CV1874" s="164">
        <f t="shared" si="239"/>
        <v>0</v>
      </c>
      <c r="CW1874" s="165"/>
      <c r="CX1874" s="166"/>
      <c r="CY1874" s="167"/>
      <c r="CZ1874" s="168"/>
      <c r="DA1874" s="169"/>
      <c r="DB1874" s="168"/>
      <c r="DC1874" s="165"/>
      <c r="DD1874" s="166"/>
      <c r="DE1874" s="71"/>
      <c r="DF1874" s="170"/>
      <c r="EO1874" s="375" t="str">
        <f t="shared" si="241"/>
        <v>CAUCA_TIMBIO</v>
      </c>
      <c r="EP1874" s="376"/>
      <c r="EQ1874" s="376"/>
      <c r="ER1874" s="377"/>
      <c r="ES1874" s="376"/>
      <c r="ET1874" s="376"/>
      <c r="EU1874" s="376"/>
    </row>
    <row r="1875" spans="1:151" s="171" customFormat="1" ht="38.25" x14ac:dyDescent="0.2">
      <c r="A1875" s="242">
        <v>40506</v>
      </c>
      <c r="B1875" s="222" t="s">
        <v>2007</v>
      </c>
      <c r="C1875" s="222" t="s">
        <v>2885</v>
      </c>
      <c r="D1875" s="427" t="s">
        <v>2307</v>
      </c>
      <c r="E1875" s="107" t="str">
        <f>VLOOKUP(B1875&amp;C1875,Divipola!$C$2:$F$1138,4,FALSE)</f>
        <v>25843</v>
      </c>
      <c r="F1875" s="330"/>
      <c r="G1875" s="221"/>
      <c r="H1875" s="157"/>
      <c r="I1875" s="157"/>
      <c r="J1875" s="157"/>
      <c r="K1875" s="157"/>
      <c r="L1875" s="157"/>
      <c r="M1875" s="157"/>
      <c r="N1875" s="157"/>
      <c r="O1875" s="157"/>
      <c r="P1875" s="157"/>
      <c r="Q1875" s="157"/>
      <c r="R1875" s="157"/>
      <c r="S1875" s="157"/>
      <c r="T1875" s="157">
        <v>1</v>
      </c>
      <c r="U1875" s="157"/>
      <c r="V1875" s="158"/>
      <c r="W1875" s="182"/>
      <c r="X1875" s="1"/>
      <c r="Y1875" s="78">
        <f t="shared" si="236"/>
        <v>0</v>
      </c>
      <c r="Z1875" s="78">
        <f t="shared" si="237"/>
        <v>0</v>
      </c>
      <c r="AA1875" s="78">
        <f t="shared" si="235"/>
        <v>0</v>
      </c>
      <c r="AB1875" s="78">
        <f t="shared" si="238"/>
        <v>0</v>
      </c>
      <c r="AC1875" s="78"/>
      <c r="AD1875" s="78">
        <v>0</v>
      </c>
      <c r="AE1875" s="80">
        <f t="shared" si="240"/>
        <v>0</v>
      </c>
      <c r="AF1875" s="82">
        <v>0</v>
      </c>
      <c r="AG1875" s="69">
        <v>40506</v>
      </c>
      <c r="AH1875" s="84"/>
      <c r="AI1875" s="69" t="s">
        <v>1984</v>
      </c>
      <c r="AJ1875" s="25" t="s">
        <v>1985</v>
      </c>
      <c r="AK1875" s="65"/>
      <c r="AL1875" s="176" t="s">
        <v>1257</v>
      </c>
      <c r="AM1875" s="173" t="s">
        <v>2886</v>
      </c>
      <c r="AN1875" s="159"/>
      <c r="AO1875" s="160"/>
      <c r="AP1875" s="161"/>
      <c r="AQ1875" s="160"/>
      <c r="AR1875" s="160"/>
      <c r="AS1875" s="160"/>
      <c r="AT1875" s="160"/>
      <c r="AU1875" s="160"/>
      <c r="AV1875" s="160"/>
      <c r="AW1875" s="160"/>
      <c r="AX1875" s="160"/>
      <c r="AY1875" s="160"/>
      <c r="AZ1875" s="160"/>
      <c r="BA1875" s="160"/>
      <c r="BB1875" s="160"/>
      <c r="BC1875" s="160"/>
      <c r="BD1875" s="160"/>
      <c r="BE1875" s="160"/>
      <c r="BF1875" s="160"/>
      <c r="BG1875" s="160"/>
      <c r="BH1875" s="160"/>
      <c r="BI1875" s="160"/>
      <c r="BJ1875" s="160"/>
      <c r="BK1875" s="160"/>
      <c r="BL1875" s="160"/>
      <c r="BM1875" s="160"/>
      <c r="BN1875" s="160"/>
      <c r="BO1875" s="160"/>
      <c r="BP1875" s="160"/>
      <c r="BQ1875" s="160"/>
      <c r="BR1875" s="160"/>
      <c r="BS1875" s="160"/>
      <c r="BT1875" s="160"/>
      <c r="BU1875" s="160"/>
      <c r="BV1875" s="160"/>
      <c r="BW1875" s="160"/>
      <c r="BX1875" s="160"/>
      <c r="BY1875" s="160"/>
      <c r="BZ1875" s="160"/>
      <c r="CA1875" s="160"/>
      <c r="CB1875" s="160"/>
      <c r="CC1875" s="160"/>
      <c r="CD1875" s="160"/>
      <c r="CE1875" s="160"/>
      <c r="CF1875" s="160"/>
      <c r="CG1875" s="160"/>
      <c r="CH1875" s="160"/>
      <c r="CI1875" s="160"/>
      <c r="CJ1875" s="160"/>
      <c r="CK1875" s="160"/>
      <c r="CL1875" s="160"/>
      <c r="CM1875" s="160"/>
      <c r="CN1875" s="160"/>
      <c r="CO1875" s="160"/>
      <c r="CP1875" s="162"/>
      <c r="CQ1875" s="163"/>
      <c r="CR1875" s="162"/>
      <c r="CS1875" s="163"/>
      <c r="CT1875" s="162"/>
      <c r="CU1875" s="163"/>
      <c r="CV1875" s="164">
        <f t="shared" si="239"/>
        <v>0</v>
      </c>
      <c r="CW1875" s="165"/>
      <c r="CX1875" s="166"/>
      <c r="CY1875" s="167"/>
      <c r="CZ1875" s="168"/>
      <c r="DA1875" s="169"/>
      <c r="DB1875" s="168"/>
      <c r="DC1875" s="165"/>
      <c r="DD1875" s="166"/>
      <c r="DE1875" s="71"/>
      <c r="DF1875" s="170"/>
      <c r="EO1875" s="375" t="str">
        <f t="shared" si="241"/>
        <v>CUNDINAMARCA_UBATE</v>
      </c>
      <c r="EP1875" s="376"/>
      <c r="EQ1875" s="376"/>
      <c r="ER1875" s="377"/>
      <c r="ES1875" s="376"/>
      <c r="ET1875" s="376"/>
      <c r="EU1875" s="376"/>
    </row>
    <row r="1876" spans="1:151" s="171" customFormat="1" ht="48" x14ac:dyDescent="0.2">
      <c r="A1876" s="242">
        <v>40506</v>
      </c>
      <c r="B1876" s="222" t="s">
        <v>1333</v>
      </c>
      <c r="C1876" s="222" t="s">
        <v>226</v>
      </c>
      <c r="D1876" s="430" t="s">
        <v>837</v>
      </c>
      <c r="E1876" s="107" t="str">
        <f>VLOOKUP(B1876&amp;C1876,Divipola!$C$2:$F$1138,4,FALSE)</f>
        <v>41001</v>
      </c>
      <c r="F1876" s="333"/>
      <c r="G1876" s="221"/>
      <c r="H1876" s="157"/>
      <c r="I1876" s="157"/>
      <c r="J1876" s="157">
        <v>5</v>
      </c>
      <c r="K1876" s="157">
        <v>1</v>
      </c>
      <c r="L1876" s="157"/>
      <c r="M1876" s="157">
        <v>1</v>
      </c>
      <c r="N1876" s="157"/>
      <c r="O1876" s="157"/>
      <c r="P1876" s="157"/>
      <c r="Q1876" s="157">
        <v>1</v>
      </c>
      <c r="R1876" s="157"/>
      <c r="S1876" s="157"/>
      <c r="T1876" s="157"/>
      <c r="U1876" s="157"/>
      <c r="V1876" s="158"/>
      <c r="W1876" s="182"/>
      <c r="X1876" s="1"/>
      <c r="Y1876" s="78">
        <f t="shared" si="236"/>
        <v>0</v>
      </c>
      <c r="Z1876" s="78">
        <f t="shared" si="237"/>
        <v>0</v>
      </c>
      <c r="AA1876" s="78">
        <f t="shared" si="235"/>
        <v>0</v>
      </c>
      <c r="AB1876" s="78">
        <f t="shared" si="238"/>
        <v>0</v>
      </c>
      <c r="AC1876" s="78"/>
      <c r="AD1876" s="78">
        <v>0</v>
      </c>
      <c r="AE1876" s="80">
        <f t="shared" si="240"/>
        <v>0</v>
      </c>
      <c r="AF1876" s="82">
        <v>0</v>
      </c>
      <c r="AG1876" s="69">
        <v>40508</v>
      </c>
      <c r="AH1876" s="84"/>
      <c r="AI1876" s="69" t="s">
        <v>1984</v>
      </c>
      <c r="AJ1876" s="25" t="s">
        <v>1985</v>
      </c>
      <c r="AK1876" s="65"/>
      <c r="AL1876" s="176" t="s">
        <v>1257</v>
      </c>
      <c r="AM1876" s="173" t="s">
        <v>2906</v>
      </c>
      <c r="AN1876" s="159"/>
      <c r="AO1876" s="160"/>
      <c r="AP1876" s="161"/>
      <c r="AQ1876" s="160"/>
      <c r="AR1876" s="160"/>
      <c r="AS1876" s="160"/>
      <c r="AT1876" s="160"/>
      <c r="AU1876" s="160"/>
      <c r="AV1876" s="160"/>
      <c r="AW1876" s="160"/>
      <c r="AX1876" s="160"/>
      <c r="AY1876" s="160"/>
      <c r="AZ1876" s="160"/>
      <c r="BA1876" s="160"/>
      <c r="BB1876" s="160"/>
      <c r="BC1876" s="160"/>
      <c r="BD1876" s="160"/>
      <c r="BE1876" s="160"/>
      <c r="BF1876" s="160"/>
      <c r="BG1876" s="160"/>
      <c r="BH1876" s="160"/>
      <c r="BI1876" s="160"/>
      <c r="BJ1876" s="160"/>
      <c r="BK1876" s="160"/>
      <c r="BL1876" s="160"/>
      <c r="BM1876" s="160"/>
      <c r="BN1876" s="160"/>
      <c r="BO1876" s="160"/>
      <c r="BP1876" s="160"/>
      <c r="BQ1876" s="160"/>
      <c r="BR1876" s="160"/>
      <c r="BS1876" s="160"/>
      <c r="BT1876" s="160"/>
      <c r="BU1876" s="160"/>
      <c r="BV1876" s="160"/>
      <c r="BW1876" s="160"/>
      <c r="BX1876" s="160"/>
      <c r="BY1876" s="160"/>
      <c r="BZ1876" s="160"/>
      <c r="CA1876" s="160"/>
      <c r="CB1876" s="160"/>
      <c r="CC1876" s="160"/>
      <c r="CD1876" s="160"/>
      <c r="CE1876" s="160"/>
      <c r="CF1876" s="160"/>
      <c r="CG1876" s="160"/>
      <c r="CH1876" s="160"/>
      <c r="CI1876" s="160"/>
      <c r="CJ1876" s="160"/>
      <c r="CK1876" s="160"/>
      <c r="CL1876" s="160"/>
      <c r="CM1876" s="160"/>
      <c r="CN1876" s="160"/>
      <c r="CO1876" s="160"/>
      <c r="CP1876" s="162"/>
      <c r="CQ1876" s="163"/>
      <c r="CR1876" s="162"/>
      <c r="CS1876" s="163"/>
      <c r="CT1876" s="162"/>
      <c r="CU1876" s="163"/>
      <c r="CV1876" s="164">
        <f t="shared" si="239"/>
        <v>0</v>
      </c>
      <c r="CW1876" s="165"/>
      <c r="CX1876" s="166"/>
      <c r="CY1876" s="167"/>
      <c r="CZ1876" s="168"/>
      <c r="DA1876" s="169"/>
      <c r="DB1876" s="168"/>
      <c r="DC1876" s="165"/>
      <c r="DD1876" s="166"/>
      <c r="DE1876" s="71"/>
      <c r="DF1876" s="170"/>
      <c r="EO1876" s="380" t="str">
        <f t="shared" si="241"/>
        <v>HUILA_NEIVA</v>
      </c>
      <c r="EP1876" s="377"/>
      <c r="EQ1876" s="376"/>
      <c r="ER1876" s="377"/>
      <c r="ES1876" s="376"/>
      <c r="ET1876" s="376"/>
      <c r="EU1876" s="376"/>
    </row>
    <row r="1877" spans="1:151" s="171" customFormat="1" ht="60" x14ac:dyDescent="0.2">
      <c r="A1877" s="242">
        <v>40506</v>
      </c>
      <c r="B1877" s="222" t="s">
        <v>1333</v>
      </c>
      <c r="C1877" s="222" t="s">
        <v>2907</v>
      </c>
      <c r="D1877" s="430" t="s">
        <v>2307</v>
      </c>
      <c r="E1877" s="107" t="str">
        <f>VLOOKUP(B1877&amp;C1877,Divipola!$C$2:$F$1138,4,FALSE)</f>
        <v>41791</v>
      </c>
      <c r="F1877" s="333"/>
      <c r="G1877" s="221"/>
      <c r="H1877" s="157"/>
      <c r="I1877" s="157"/>
      <c r="J1877" s="157">
        <v>75</v>
      </c>
      <c r="K1877" s="157">
        <v>24</v>
      </c>
      <c r="L1877" s="157"/>
      <c r="M1877" s="157"/>
      <c r="N1877" s="157"/>
      <c r="O1877" s="157"/>
      <c r="P1877" s="157"/>
      <c r="Q1877" s="157"/>
      <c r="R1877" s="157"/>
      <c r="S1877" s="157"/>
      <c r="T1877" s="157"/>
      <c r="U1877" s="157"/>
      <c r="V1877" s="158"/>
      <c r="W1877" s="182"/>
      <c r="X1877" s="1"/>
      <c r="Y1877" s="78">
        <f t="shared" si="236"/>
        <v>0</v>
      </c>
      <c r="Z1877" s="78">
        <f t="shared" si="237"/>
        <v>0</v>
      </c>
      <c r="AA1877" s="78">
        <f t="shared" si="235"/>
        <v>0</v>
      </c>
      <c r="AB1877" s="78">
        <f t="shared" si="238"/>
        <v>0</v>
      </c>
      <c r="AC1877" s="78"/>
      <c r="AD1877" s="78">
        <v>0</v>
      </c>
      <c r="AE1877" s="80">
        <f t="shared" si="240"/>
        <v>0</v>
      </c>
      <c r="AF1877" s="82">
        <v>0</v>
      </c>
      <c r="AG1877" s="69">
        <v>40508</v>
      </c>
      <c r="AH1877" s="84"/>
      <c r="AI1877" s="69" t="s">
        <v>1984</v>
      </c>
      <c r="AJ1877" s="25" t="s">
        <v>1985</v>
      </c>
      <c r="AK1877" s="65"/>
      <c r="AL1877" s="176" t="s">
        <v>1257</v>
      </c>
      <c r="AM1877" s="173" t="s">
        <v>909</v>
      </c>
      <c r="AN1877" s="159"/>
      <c r="AO1877" s="160"/>
      <c r="AP1877" s="161"/>
      <c r="AQ1877" s="160"/>
      <c r="AR1877" s="160"/>
      <c r="AS1877" s="160"/>
      <c r="AT1877" s="160"/>
      <c r="AU1877" s="160"/>
      <c r="AV1877" s="160"/>
      <c r="AW1877" s="160"/>
      <c r="AX1877" s="160"/>
      <c r="AY1877" s="160"/>
      <c r="AZ1877" s="160"/>
      <c r="BA1877" s="160"/>
      <c r="BB1877" s="160"/>
      <c r="BC1877" s="160"/>
      <c r="BD1877" s="160"/>
      <c r="BE1877" s="160"/>
      <c r="BF1877" s="160"/>
      <c r="BG1877" s="160"/>
      <c r="BH1877" s="160"/>
      <c r="BI1877" s="160"/>
      <c r="BJ1877" s="160"/>
      <c r="BK1877" s="160"/>
      <c r="BL1877" s="160"/>
      <c r="BM1877" s="160"/>
      <c r="BN1877" s="160"/>
      <c r="BO1877" s="160"/>
      <c r="BP1877" s="160"/>
      <c r="BQ1877" s="160"/>
      <c r="BR1877" s="160"/>
      <c r="BS1877" s="160"/>
      <c r="BT1877" s="160"/>
      <c r="BU1877" s="160"/>
      <c r="BV1877" s="160"/>
      <c r="BW1877" s="160"/>
      <c r="BX1877" s="160"/>
      <c r="BY1877" s="160"/>
      <c r="BZ1877" s="160"/>
      <c r="CA1877" s="160"/>
      <c r="CB1877" s="160"/>
      <c r="CC1877" s="160"/>
      <c r="CD1877" s="160"/>
      <c r="CE1877" s="160"/>
      <c r="CF1877" s="160"/>
      <c r="CG1877" s="160"/>
      <c r="CH1877" s="160"/>
      <c r="CI1877" s="160"/>
      <c r="CJ1877" s="160"/>
      <c r="CK1877" s="160"/>
      <c r="CL1877" s="160"/>
      <c r="CM1877" s="160"/>
      <c r="CN1877" s="160"/>
      <c r="CO1877" s="160"/>
      <c r="CP1877" s="162"/>
      <c r="CQ1877" s="163"/>
      <c r="CR1877" s="162"/>
      <c r="CS1877" s="163"/>
      <c r="CT1877" s="162"/>
      <c r="CU1877" s="163"/>
      <c r="CV1877" s="164">
        <f t="shared" si="239"/>
        <v>0</v>
      </c>
      <c r="CW1877" s="165"/>
      <c r="CX1877" s="166"/>
      <c r="CY1877" s="167"/>
      <c r="CZ1877" s="168"/>
      <c r="DA1877" s="169"/>
      <c r="DB1877" s="168"/>
      <c r="DC1877" s="165"/>
      <c r="DD1877" s="166"/>
      <c r="DE1877" s="71"/>
      <c r="DF1877" s="170"/>
      <c r="EO1877" s="380" t="str">
        <f t="shared" si="241"/>
        <v>HUILA_TARQUI</v>
      </c>
      <c r="EP1877" s="377"/>
      <c r="EQ1877" s="376"/>
      <c r="ER1877" s="377"/>
      <c r="ES1877" s="376"/>
      <c r="ET1877" s="376"/>
      <c r="EU1877" s="376"/>
    </row>
    <row r="1878" spans="1:151" s="171" customFormat="1" ht="108" x14ac:dyDescent="0.2">
      <c r="A1878" s="242">
        <v>40506</v>
      </c>
      <c r="B1878" s="222" t="s">
        <v>2245</v>
      </c>
      <c r="C1878" s="222" t="s">
        <v>4495</v>
      </c>
      <c r="D1878" s="430" t="s">
        <v>2307</v>
      </c>
      <c r="E1878" s="107" t="str">
        <f>VLOOKUP(B1878&amp;C1878,Divipola!$C$2:$F$1138,4,FALSE)</f>
        <v>52258</v>
      </c>
      <c r="F1878" s="333"/>
      <c r="G1878" s="221"/>
      <c r="H1878" s="157"/>
      <c r="I1878" s="157"/>
      <c r="J1878" s="157">
        <v>115</v>
      </c>
      <c r="K1878" s="157">
        <v>30</v>
      </c>
      <c r="L1878" s="157">
        <v>30</v>
      </c>
      <c r="M1878" s="157"/>
      <c r="N1878" s="157">
        <v>8</v>
      </c>
      <c r="O1878" s="157">
        <v>2</v>
      </c>
      <c r="P1878" s="157"/>
      <c r="Q1878" s="157"/>
      <c r="R1878" s="157"/>
      <c r="S1878" s="157"/>
      <c r="T1878" s="157"/>
      <c r="U1878" s="157"/>
      <c r="V1878" s="158"/>
      <c r="W1878" s="182"/>
      <c r="X1878" s="1"/>
      <c r="Y1878" s="78">
        <f t="shared" si="236"/>
        <v>0</v>
      </c>
      <c r="Z1878" s="78">
        <f t="shared" si="237"/>
        <v>0</v>
      </c>
      <c r="AA1878" s="78">
        <f t="shared" si="235"/>
        <v>0</v>
      </c>
      <c r="AB1878" s="78">
        <f t="shared" si="238"/>
        <v>0</v>
      </c>
      <c r="AC1878" s="78"/>
      <c r="AD1878" s="78">
        <v>0</v>
      </c>
      <c r="AE1878" s="80">
        <f t="shared" si="240"/>
        <v>0</v>
      </c>
      <c r="AF1878" s="82">
        <v>0</v>
      </c>
      <c r="AG1878" s="69">
        <v>40506</v>
      </c>
      <c r="AH1878" s="84"/>
      <c r="AI1878" s="69" t="s">
        <v>1984</v>
      </c>
      <c r="AJ1878" s="25" t="s">
        <v>1985</v>
      </c>
      <c r="AK1878" s="65"/>
      <c r="AL1878" s="176" t="s">
        <v>1257</v>
      </c>
      <c r="AM1878" s="173" t="s">
        <v>555</v>
      </c>
      <c r="AN1878" s="159"/>
      <c r="AO1878" s="160"/>
      <c r="AP1878" s="161"/>
      <c r="AQ1878" s="160"/>
      <c r="AR1878" s="160"/>
      <c r="AS1878" s="160"/>
      <c r="AT1878" s="160"/>
      <c r="AU1878" s="160"/>
      <c r="AV1878" s="160"/>
      <c r="AW1878" s="160"/>
      <c r="AX1878" s="160"/>
      <c r="AY1878" s="160"/>
      <c r="AZ1878" s="160"/>
      <c r="BA1878" s="160"/>
      <c r="BB1878" s="160"/>
      <c r="BC1878" s="160"/>
      <c r="BD1878" s="160"/>
      <c r="BE1878" s="160"/>
      <c r="BF1878" s="160"/>
      <c r="BG1878" s="160"/>
      <c r="BH1878" s="160"/>
      <c r="BI1878" s="160"/>
      <c r="BJ1878" s="160"/>
      <c r="BK1878" s="160"/>
      <c r="BL1878" s="160"/>
      <c r="BM1878" s="160"/>
      <c r="BN1878" s="160"/>
      <c r="BO1878" s="160"/>
      <c r="BP1878" s="160"/>
      <c r="BQ1878" s="160"/>
      <c r="BR1878" s="160"/>
      <c r="BS1878" s="160"/>
      <c r="BT1878" s="160"/>
      <c r="BU1878" s="160"/>
      <c r="BV1878" s="160"/>
      <c r="BW1878" s="160"/>
      <c r="BX1878" s="160"/>
      <c r="BY1878" s="160"/>
      <c r="BZ1878" s="160"/>
      <c r="CA1878" s="160"/>
      <c r="CB1878" s="160"/>
      <c r="CC1878" s="160"/>
      <c r="CD1878" s="160"/>
      <c r="CE1878" s="160"/>
      <c r="CF1878" s="160"/>
      <c r="CG1878" s="160"/>
      <c r="CH1878" s="160"/>
      <c r="CI1878" s="160"/>
      <c r="CJ1878" s="160"/>
      <c r="CK1878" s="160"/>
      <c r="CL1878" s="160"/>
      <c r="CM1878" s="160"/>
      <c r="CN1878" s="160"/>
      <c r="CO1878" s="160"/>
      <c r="CP1878" s="162"/>
      <c r="CQ1878" s="163"/>
      <c r="CR1878" s="162"/>
      <c r="CS1878" s="163"/>
      <c r="CT1878" s="162"/>
      <c r="CU1878" s="163"/>
      <c r="CV1878" s="164">
        <f t="shared" si="239"/>
        <v>0</v>
      </c>
      <c r="CW1878" s="165"/>
      <c r="CX1878" s="166"/>
      <c r="CY1878" s="167"/>
      <c r="CZ1878" s="168"/>
      <c r="DA1878" s="169"/>
      <c r="DB1878" s="168"/>
      <c r="DC1878" s="165"/>
      <c r="DD1878" s="166"/>
      <c r="DE1878" s="71"/>
      <c r="DF1878" s="170"/>
      <c r="EO1878" s="375" t="str">
        <f t="shared" si="241"/>
        <v>NARIÑO_EL TABLON DE GOMEZ</v>
      </c>
      <c r="EP1878" s="376"/>
      <c r="EQ1878" s="376"/>
      <c r="ER1878" s="377"/>
      <c r="ES1878" s="376"/>
      <c r="ET1878" s="376"/>
      <c r="EU1878" s="376"/>
    </row>
    <row r="1879" spans="1:151" s="171" customFormat="1" ht="25.5" x14ac:dyDescent="0.2">
      <c r="A1879" s="242">
        <v>40506</v>
      </c>
      <c r="B1879" s="222" t="s">
        <v>2245</v>
      </c>
      <c r="C1879" s="222" t="s">
        <v>554</v>
      </c>
      <c r="D1879" s="430" t="s">
        <v>2307</v>
      </c>
      <c r="E1879" s="107" t="str">
        <f>VLOOKUP(B1879&amp;C1879,Divipola!$C$2:$F$1138,4,FALSE)</f>
        <v>52378</v>
      </c>
      <c r="F1879" s="333"/>
      <c r="G1879" s="221"/>
      <c r="H1879" s="157"/>
      <c r="I1879" s="157"/>
      <c r="J1879" s="157">
        <f>2379-25</f>
        <v>2354</v>
      </c>
      <c r="K1879" s="157">
        <v>585</v>
      </c>
      <c r="L1879" s="157">
        <v>1</v>
      </c>
      <c r="M1879" s="157">
        <v>25</v>
      </c>
      <c r="N1879" s="157"/>
      <c r="O1879" s="157"/>
      <c r="P1879" s="157"/>
      <c r="Q1879" s="157"/>
      <c r="R1879" s="157"/>
      <c r="S1879" s="157"/>
      <c r="T1879" s="157">
        <v>4</v>
      </c>
      <c r="U1879" s="157"/>
      <c r="V1879" s="158"/>
      <c r="W1879" s="182"/>
      <c r="X1879" s="1"/>
      <c r="Y1879" s="78">
        <f t="shared" si="236"/>
        <v>0</v>
      </c>
      <c r="Z1879" s="78">
        <f t="shared" si="237"/>
        <v>0</v>
      </c>
      <c r="AA1879" s="78">
        <f t="shared" si="235"/>
        <v>0</v>
      </c>
      <c r="AB1879" s="78">
        <f t="shared" si="238"/>
        <v>0</v>
      </c>
      <c r="AC1879" s="78"/>
      <c r="AD1879" s="78">
        <v>0</v>
      </c>
      <c r="AE1879" s="80">
        <f t="shared" si="240"/>
        <v>0</v>
      </c>
      <c r="AF1879" s="82">
        <v>0</v>
      </c>
      <c r="AG1879" s="69">
        <v>40506</v>
      </c>
      <c r="AH1879" s="84"/>
      <c r="AI1879" s="69" t="s">
        <v>1984</v>
      </c>
      <c r="AJ1879" s="25" t="s">
        <v>1985</v>
      </c>
      <c r="AK1879" s="65"/>
      <c r="AL1879" s="69" t="s">
        <v>1257</v>
      </c>
      <c r="AM1879" s="173" t="s">
        <v>2117</v>
      </c>
      <c r="AN1879" s="159"/>
      <c r="AO1879" s="160"/>
      <c r="AP1879" s="161"/>
      <c r="AQ1879" s="160"/>
      <c r="AR1879" s="160"/>
      <c r="AS1879" s="160"/>
      <c r="AT1879" s="160"/>
      <c r="AU1879" s="160"/>
      <c r="AV1879" s="160"/>
      <c r="AW1879" s="160"/>
      <c r="AX1879" s="160"/>
      <c r="AY1879" s="160"/>
      <c r="AZ1879" s="160"/>
      <c r="BA1879" s="160"/>
      <c r="BB1879" s="160"/>
      <c r="BC1879" s="160"/>
      <c r="BD1879" s="160"/>
      <c r="BE1879" s="160"/>
      <c r="BF1879" s="160"/>
      <c r="BG1879" s="160"/>
      <c r="BH1879" s="160"/>
      <c r="BI1879" s="160"/>
      <c r="BJ1879" s="160"/>
      <c r="BK1879" s="160"/>
      <c r="BL1879" s="160"/>
      <c r="BM1879" s="160"/>
      <c r="BN1879" s="160"/>
      <c r="BO1879" s="160"/>
      <c r="BP1879" s="160"/>
      <c r="BQ1879" s="160"/>
      <c r="BR1879" s="160"/>
      <c r="BS1879" s="160"/>
      <c r="BT1879" s="160"/>
      <c r="BU1879" s="160"/>
      <c r="BV1879" s="160"/>
      <c r="BW1879" s="160"/>
      <c r="BX1879" s="160"/>
      <c r="BY1879" s="160"/>
      <c r="BZ1879" s="160"/>
      <c r="CA1879" s="160"/>
      <c r="CB1879" s="160"/>
      <c r="CC1879" s="160"/>
      <c r="CD1879" s="160"/>
      <c r="CE1879" s="160"/>
      <c r="CF1879" s="160"/>
      <c r="CG1879" s="160"/>
      <c r="CH1879" s="160"/>
      <c r="CI1879" s="160"/>
      <c r="CJ1879" s="160"/>
      <c r="CK1879" s="160"/>
      <c r="CL1879" s="160"/>
      <c r="CM1879" s="160"/>
      <c r="CN1879" s="160"/>
      <c r="CO1879" s="160"/>
      <c r="CP1879" s="162"/>
      <c r="CQ1879" s="163"/>
      <c r="CR1879" s="162"/>
      <c r="CS1879" s="163"/>
      <c r="CT1879" s="162"/>
      <c r="CU1879" s="163"/>
      <c r="CV1879" s="164">
        <f t="shared" si="239"/>
        <v>0</v>
      </c>
      <c r="CW1879" s="165"/>
      <c r="CX1879" s="166"/>
      <c r="CY1879" s="167"/>
      <c r="CZ1879" s="168"/>
      <c r="DA1879" s="169"/>
      <c r="DB1879" s="168"/>
      <c r="DC1879" s="165"/>
      <c r="DD1879" s="166"/>
      <c r="DE1879" s="71"/>
      <c r="DF1879" s="170"/>
      <c r="EO1879" s="375" t="str">
        <f t="shared" si="241"/>
        <v>NARIÑO_LA CRUZ</v>
      </c>
      <c r="EP1879" s="376"/>
      <c r="EQ1879" s="376"/>
      <c r="ER1879" s="377"/>
      <c r="ES1879" s="376"/>
      <c r="ET1879" s="376"/>
      <c r="EU1879" s="376"/>
    </row>
    <row r="1880" spans="1:151" s="171" customFormat="1" ht="25.5" x14ac:dyDescent="0.2">
      <c r="A1880" s="242">
        <v>40506</v>
      </c>
      <c r="B1880" s="222" t="s">
        <v>2014</v>
      </c>
      <c r="C1880" s="222" t="s">
        <v>1978</v>
      </c>
      <c r="D1880" s="427" t="s">
        <v>2307</v>
      </c>
      <c r="E1880" s="107" t="str">
        <f>VLOOKUP(B1880&amp;C1880,Divipola!$C$2:$F$1138,4,FALSE)</f>
        <v>63594</v>
      </c>
      <c r="F1880" s="330"/>
      <c r="G1880" s="221"/>
      <c r="H1880" s="157"/>
      <c r="I1880" s="157"/>
      <c r="J1880" s="157">
        <v>35</v>
      </c>
      <c r="K1880" s="157">
        <v>12</v>
      </c>
      <c r="L1880" s="157"/>
      <c r="M1880" s="157">
        <v>9</v>
      </c>
      <c r="N1880" s="157"/>
      <c r="O1880" s="157"/>
      <c r="P1880" s="157"/>
      <c r="Q1880" s="157"/>
      <c r="R1880" s="157"/>
      <c r="S1880" s="157"/>
      <c r="T1880" s="157"/>
      <c r="U1880" s="157"/>
      <c r="V1880" s="158"/>
      <c r="W1880" s="182"/>
      <c r="X1880" s="1"/>
      <c r="Y1880" s="78">
        <f t="shared" si="236"/>
        <v>0</v>
      </c>
      <c r="Z1880" s="78">
        <f t="shared" si="237"/>
        <v>0</v>
      </c>
      <c r="AA1880" s="78">
        <f t="shared" si="235"/>
        <v>0</v>
      </c>
      <c r="AB1880" s="78">
        <f t="shared" si="238"/>
        <v>0</v>
      </c>
      <c r="AC1880" s="78"/>
      <c r="AD1880" s="78">
        <v>0</v>
      </c>
      <c r="AE1880" s="80">
        <f t="shared" si="240"/>
        <v>0</v>
      </c>
      <c r="AF1880" s="82">
        <v>0</v>
      </c>
      <c r="AG1880" s="69">
        <v>40506</v>
      </c>
      <c r="AH1880" s="84"/>
      <c r="AI1880" s="69" t="s">
        <v>1984</v>
      </c>
      <c r="AJ1880" s="25" t="s">
        <v>1985</v>
      </c>
      <c r="AK1880" s="65"/>
      <c r="AL1880" s="176" t="s">
        <v>1257</v>
      </c>
      <c r="AM1880" s="173" t="s">
        <v>2883</v>
      </c>
      <c r="AN1880" s="159"/>
      <c r="AO1880" s="160"/>
      <c r="AP1880" s="161"/>
      <c r="AQ1880" s="160"/>
      <c r="AR1880" s="160"/>
      <c r="AS1880" s="160"/>
      <c r="AT1880" s="160"/>
      <c r="AU1880" s="160"/>
      <c r="AV1880" s="160"/>
      <c r="AW1880" s="160"/>
      <c r="AX1880" s="160"/>
      <c r="AY1880" s="160"/>
      <c r="AZ1880" s="160"/>
      <c r="BA1880" s="160"/>
      <c r="BB1880" s="160"/>
      <c r="BC1880" s="160"/>
      <c r="BD1880" s="160"/>
      <c r="BE1880" s="160"/>
      <c r="BF1880" s="160"/>
      <c r="BG1880" s="160"/>
      <c r="BH1880" s="160"/>
      <c r="BI1880" s="160"/>
      <c r="BJ1880" s="160"/>
      <c r="BK1880" s="160"/>
      <c r="BL1880" s="160"/>
      <c r="BM1880" s="160"/>
      <c r="BN1880" s="160"/>
      <c r="BO1880" s="160"/>
      <c r="BP1880" s="160"/>
      <c r="BQ1880" s="160"/>
      <c r="BR1880" s="160"/>
      <c r="BS1880" s="160"/>
      <c r="BT1880" s="160"/>
      <c r="BU1880" s="160"/>
      <c r="BV1880" s="160"/>
      <c r="BW1880" s="160"/>
      <c r="BX1880" s="160"/>
      <c r="BY1880" s="160"/>
      <c r="BZ1880" s="160"/>
      <c r="CA1880" s="160"/>
      <c r="CB1880" s="160"/>
      <c r="CC1880" s="160"/>
      <c r="CD1880" s="160"/>
      <c r="CE1880" s="160"/>
      <c r="CF1880" s="160"/>
      <c r="CG1880" s="160"/>
      <c r="CH1880" s="160"/>
      <c r="CI1880" s="160"/>
      <c r="CJ1880" s="160"/>
      <c r="CK1880" s="160"/>
      <c r="CL1880" s="160"/>
      <c r="CM1880" s="160"/>
      <c r="CN1880" s="160"/>
      <c r="CO1880" s="160"/>
      <c r="CP1880" s="162"/>
      <c r="CQ1880" s="163"/>
      <c r="CR1880" s="162"/>
      <c r="CS1880" s="163"/>
      <c r="CT1880" s="162"/>
      <c r="CU1880" s="163"/>
      <c r="CV1880" s="164">
        <f t="shared" si="239"/>
        <v>0</v>
      </c>
      <c r="CW1880" s="165"/>
      <c r="CX1880" s="166"/>
      <c r="CY1880" s="167"/>
      <c r="CZ1880" s="168"/>
      <c r="DA1880" s="169"/>
      <c r="DB1880" s="168"/>
      <c r="DC1880" s="165"/>
      <c r="DD1880" s="166"/>
      <c r="DE1880" s="71"/>
      <c r="DF1880" s="170"/>
      <c r="EO1880" s="375" t="str">
        <f t="shared" si="241"/>
        <v>QUINDIO_QUIMBAYA</v>
      </c>
      <c r="EP1880" s="376"/>
      <c r="EQ1880" s="377"/>
      <c r="ER1880" s="377"/>
      <c r="ES1880" s="377"/>
      <c r="ET1880" s="377"/>
      <c r="EU1880" s="377"/>
    </row>
    <row r="1881" spans="1:151" s="171" customFormat="1" ht="25.5" x14ac:dyDescent="0.2">
      <c r="A1881" s="242">
        <v>40506</v>
      </c>
      <c r="B1881" s="107" t="s">
        <v>2012</v>
      </c>
      <c r="C1881" s="222" t="s">
        <v>2199</v>
      </c>
      <c r="D1881" s="427" t="s">
        <v>2307</v>
      </c>
      <c r="E1881" s="107" t="str">
        <f>VLOOKUP(B1881&amp;C1881,Divipola!$C$2:$F$1138,4,FALSE)</f>
        <v>66383</v>
      </c>
      <c r="F1881" s="330"/>
      <c r="G1881" s="221">
        <v>1</v>
      </c>
      <c r="H1881" s="157"/>
      <c r="I1881" s="157"/>
      <c r="J1881" s="157"/>
      <c r="K1881" s="157"/>
      <c r="L1881" s="157"/>
      <c r="M1881" s="157"/>
      <c r="N1881" s="157">
        <v>6</v>
      </c>
      <c r="O1881" s="157"/>
      <c r="P1881" s="157"/>
      <c r="Q1881" s="157"/>
      <c r="R1881" s="157"/>
      <c r="S1881" s="157"/>
      <c r="T1881" s="157"/>
      <c r="U1881" s="157"/>
      <c r="V1881" s="158"/>
      <c r="W1881" s="182"/>
      <c r="X1881" s="1"/>
      <c r="Y1881" s="78">
        <f t="shared" si="236"/>
        <v>0</v>
      </c>
      <c r="Z1881" s="78">
        <f t="shared" si="237"/>
        <v>0</v>
      </c>
      <c r="AA1881" s="78">
        <f t="shared" si="235"/>
        <v>0</v>
      </c>
      <c r="AB1881" s="78">
        <f t="shared" si="238"/>
        <v>0</v>
      </c>
      <c r="AC1881" s="78"/>
      <c r="AD1881" s="78">
        <v>0</v>
      </c>
      <c r="AE1881" s="80">
        <f t="shared" si="240"/>
        <v>0</v>
      </c>
      <c r="AF1881" s="82">
        <v>0</v>
      </c>
      <c r="AG1881" s="69">
        <v>40506</v>
      </c>
      <c r="AH1881" s="84"/>
      <c r="AI1881" s="69" t="s">
        <v>1984</v>
      </c>
      <c r="AJ1881" s="25" t="s">
        <v>1985</v>
      </c>
      <c r="AK1881" s="65"/>
      <c r="AL1881" s="176" t="s">
        <v>1257</v>
      </c>
      <c r="AM1881" s="173" t="s">
        <v>2881</v>
      </c>
      <c r="AN1881" s="159"/>
      <c r="AO1881" s="160"/>
      <c r="AP1881" s="161"/>
      <c r="AQ1881" s="160"/>
      <c r="AR1881" s="160"/>
      <c r="AS1881" s="160"/>
      <c r="AT1881" s="160"/>
      <c r="AU1881" s="160"/>
      <c r="AV1881" s="160"/>
      <c r="AW1881" s="160"/>
      <c r="AX1881" s="160"/>
      <c r="AY1881" s="160"/>
      <c r="AZ1881" s="160"/>
      <c r="BA1881" s="160"/>
      <c r="BB1881" s="160"/>
      <c r="BC1881" s="160"/>
      <c r="BD1881" s="160"/>
      <c r="BE1881" s="160"/>
      <c r="BF1881" s="160"/>
      <c r="BG1881" s="160"/>
      <c r="BH1881" s="160"/>
      <c r="BI1881" s="160"/>
      <c r="BJ1881" s="160"/>
      <c r="BK1881" s="160"/>
      <c r="BL1881" s="160"/>
      <c r="BM1881" s="160"/>
      <c r="BN1881" s="160"/>
      <c r="BO1881" s="160"/>
      <c r="BP1881" s="160"/>
      <c r="BQ1881" s="160"/>
      <c r="BR1881" s="160"/>
      <c r="BS1881" s="160"/>
      <c r="BT1881" s="160"/>
      <c r="BU1881" s="160"/>
      <c r="BV1881" s="160"/>
      <c r="BW1881" s="160"/>
      <c r="BX1881" s="160"/>
      <c r="BY1881" s="160"/>
      <c r="BZ1881" s="160"/>
      <c r="CA1881" s="160"/>
      <c r="CB1881" s="160"/>
      <c r="CC1881" s="160"/>
      <c r="CD1881" s="160"/>
      <c r="CE1881" s="160"/>
      <c r="CF1881" s="160"/>
      <c r="CG1881" s="160"/>
      <c r="CH1881" s="160"/>
      <c r="CI1881" s="160"/>
      <c r="CJ1881" s="160"/>
      <c r="CK1881" s="160"/>
      <c r="CL1881" s="160"/>
      <c r="CM1881" s="160"/>
      <c r="CN1881" s="160"/>
      <c r="CO1881" s="160"/>
      <c r="CP1881" s="162"/>
      <c r="CQ1881" s="163"/>
      <c r="CR1881" s="162"/>
      <c r="CS1881" s="163"/>
      <c r="CT1881" s="162"/>
      <c r="CU1881" s="163"/>
      <c r="CV1881" s="164">
        <f t="shared" si="239"/>
        <v>0</v>
      </c>
      <c r="CW1881" s="165"/>
      <c r="CX1881" s="166"/>
      <c r="CY1881" s="167"/>
      <c r="CZ1881" s="168"/>
      <c r="DA1881" s="169"/>
      <c r="DB1881" s="168"/>
      <c r="DC1881" s="165"/>
      <c r="DD1881" s="166"/>
      <c r="DE1881" s="71"/>
      <c r="DF1881" s="170"/>
      <c r="EO1881" s="375" t="str">
        <f t="shared" si="241"/>
        <v>RISARALDA_LA CELIA</v>
      </c>
      <c r="EP1881" s="376"/>
      <c r="EQ1881" s="377"/>
      <c r="ER1881" s="377"/>
      <c r="ES1881" s="377"/>
      <c r="ET1881" s="377"/>
      <c r="EU1881" s="377"/>
    </row>
    <row r="1882" spans="1:151" s="171" customFormat="1" ht="38.25" x14ac:dyDescent="0.2">
      <c r="A1882" s="242">
        <v>40506</v>
      </c>
      <c r="B1882" s="222" t="s">
        <v>2012</v>
      </c>
      <c r="C1882" s="222" t="s">
        <v>2766</v>
      </c>
      <c r="D1882" s="430" t="s">
        <v>2209</v>
      </c>
      <c r="E1882" s="107" t="str">
        <f>VLOOKUP(B1882&amp;C1882,Divipola!$C$2:$F$1138,4,FALSE)</f>
        <v>66440</v>
      </c>
      <c r="F1882" s="333"/>
      <c r="G1882" s="221"/>
      <c r="H1882" s="157"/>
      <c r="I1882" s="157"/>
      <c r="J1882" s="157">
        <v>195</v>
      </c>
      <c r="K1882" s="157">
        <v>39</v>
      </c>
      <c r="L1882" s="157"/>
      <c r="M1882" s="157"/>
      <c r="N1882" s="157"/>
      <c r="O1882" s="157"/>
      <c r="P1882" s="157"/>
      <c r="Q1882" s="157"/>
      <c r="R1882" s="157"/>
      <c r="S1882" s="157"/>
      <c r="T1882" s="157"/>
      <c r="U1882" s="157"/>
      <c r="V1882" s="158"/>
      <c r="W1882" s="182"/>
      <c r="X1882" s="1"/>
      <c r="Y1882" s="78">
        <f t="shared" si="236"/>
        <v>0</v>
      </c>
      <c r="Z1882" s="78">
        <f t="shared" si="237"/>
        <v>0</v>
      </c>
      <c r="AA1882" s="78">
        <f t="shared" si="235"/>
        <v>0</v>
      </c>
      <c r="AB1882" s="78">
        <f t="shared" si="238"/>
        <v>0</v>
      </c>
      <c r="AC1882" s="78"/>
      <c r="AD1882" s="78">
        <v>0</v>
      </c>
      <c r="AE1882" s="80">
        <f t="shared" si="240"/>
        <v>0</v>
      </c>
      <c r="AF1882" s="82">
        <v>0</v>
      </c>
      <c r="AG1882" s="69">
        <v>40624</v>
      </c>
      <c r="AH1882" s="84"/>
      <c r="AI1882" s="69" t="s">
        <v>1984</v>
      </c>
      <c r="AJ1882" s="25" t="s">
        <v>1985</v>
      </c>
      <c r="AK1882" s="65"/>
      <c r="AL1882" s="176" t="s">
        <v>1257</v>
      </c>
      <c r="AM1882" s="173" t="s">
        <v>457</v>
      </c>
      <c r="AN1882" s="159"/>
      <c r="AO1882" s="160"/>
      <c r="AP1882" s="161"/>
      <c r="AQ1882" s="160"/>
      <c r="AR1882" s="160"/>
      <c r="AS1882" s="160"/>
      <c r="AT1882" s="160"/>
      <c r="AU1882" s="160"/>
      <c r="AV1882" s="160"/>
      <c r="AW1882" s="160"/>
      <c r="AX1882" s="160"/>
      <c r="AY1882" s="160"/>
      <c r="AZ1882" s="160"/>
      <c r="BA1882" s="160"/>
      <c r="BB1882" s="160"/>
      <c r="BC1882" s="160"/>
      <c r="BD1882" s="160"/>
      <c r="BE1882" s="160"/>
      <c r="BF1882" s="160"/>
      <c r="BG1882" s="160"/>
      <c r="BH1882" s="160"/>
      <c r="BI1882" s="160"/>
      <c r="BJ1882" s="160"/>
      <c r="BK1882" s="160"/>
      <c r="BL1882" s="160"/>
      <c r="BM1882" s="160"/>
      <c r="BN1882" s="160"/>
      <c r="BO1882" s="160"/>
      <c r="BP1882" s="160"/>
      <c r="BQ1882" s="160"/>
      <c r="BR1882" s="160"/>
      <c r="BS1882" s="160"/>
      <c r="BT1882" s="160"/>
      <c r="BU1882" s="160"/>
      <c r="BV1882" s="160"/>
      <c r="BW1882" s="160"/>
      <c r="BX1882" s="160"/>
      <c r="BY1882" s="160"/>
      <c r="BZ1882" s="160"/>
      <c r="CA1882" s="160"/>
      <c r="CB1882" s="160"/>
      <c r="CC1882" s="160"/>
      <c r="CD1882" s="160"/>
      <c r="CE1882" s="160"/>
      <c r="CF1882" s="160"/>
      <c r="CG1882" s="160"/>
      <c r="CH1882" s="160"/>
      <c r="CI1882" s="160"/>
      <c r="CJ1882" s="160"/>
      <c r="CK1882" s="160"/>
      <c r="CL1882" s="160"/>
      <c r="CM1882" s="160"/>
      <c r="CN1882" s="160"/>
      <c r="CO1882" s="160"/>
      <c r="CP1882" s="162"/>
      <c r="CQ1882" s="163"/>
      <c r="CR1882" s="162"/>
      <c r="CS1882" s="163"/>
      <c r="CT1882" s="162"/>
      <c r="CU1882" s="163"/>
      <c r="CV1882" s="164">
        <f t="shared" si="239"/>
        <v>0</v>
      </c>
      <c r="CW1882" s="165"/>
      <c r="CX1882" s="166"/>
      <c r="CY1882" s="167"/>
      <c r="CZ1882" s="168"/>
      <c r="DA1882" s="169"/>
      <c r="DB1882" s="168"/>
      <c r="DC1882" s="165"/>
      <c r="DD1882" s="166"/>
      <c r="DE1882" s="71"/>
      <c r="DF1882" s="170"/>
      <c r="EO1882" s="375" t="str">
        <f t="shared" si="241"/>
        <v>RISARALDA_MARSELLA</v>
      </c>
      <c r="EP1882" s="376"/>
      <c r="EQ1882" s="376"/>
      <c r="ER1882" s="377"/>
      <c r="ES1882" s="376"/>
      <c r="ET1882" s="376"/>
      <c r="EU1882" s="376"/>
    </row>
    <row r="1883" spans="1:151" s="171" customFormat="1" ht="51" x14ac:dyDescent="0.2">
      <c r="A1883" s="242">
        <v>40506</v>
      </c>
      <c r="B1883" s="222" t="s">
        <v>1462</v>
      </c>
      <c r="C1883" s="222" t="s">
        <v>2904</v>
      </c>
      <c r="D1883" s="430" t="s">
        <v>837</v>
      </c>
      <c r="E1883" s="107" t="str">
        <f>VLOOKUP(B1883&amp;C1883,Divipola!$C$2:$F$1138,4,FALSE)</f>
        <v>76250</v>
      </c>
      <c r="F1883" s="333"/>
      <c r="G1883" s="221"/>
      <c r="H1883" s="157"/>
      <c r="I1883" s="157"/>
      <c r="J1883" s="157">
        <f>221*5</f>
        <v>1105</v>
      </c>
      <c r="K1883" s="157">
        <v>221</v>
      </c>
      <c r="L1883" s="157"/>
      <c r="M1883" s="157">
        <v>135</v>
      </c>
      <c r="N1883" s="157"/>
      <c r="O1883" s="157"/>
      <c r="P1883" s="157"/>
      <c r="Q1883" s="157"/>
      <c r="R1883" s="157"/>
      <c r="S1883" s="157"/>
      <c r="T1883" s="157"/>
      <c r="U1883" s="157"/>
      <c r="V1883" s="158"/>
      <c r="W1883" s="182"/>
      <c r="X1883" s="1"/>
      <c r="Y1883" s="78">
        <f t="shared" si="236"/>
        <v>4736000</v>
      </c>
      <c r="Z1883" s="78">
        <f t="shared" si="237"/>
        <v>10880000</v>
      </c>
      <c r="AA1883" s="78">
        <f t="shared" si="235"/>
        <v>0</v>
      </c>
      <c r="AB1883" s="78">
        <f t="shared" si="238"/>
        <v>0</v>
      </c>
      <c r="AC1883" s="78"/>
      <c r="AD1883" s="78">
        <v>0</v>
      </c>
      <c r="AE1883" s="80">
        <f t="shared" si="240"/>
        <v>15616000</v>
      </c>
      <c r="AF1883" s="82">
        <v>0</v>
      </c>
      <c r="AG1883" s="69">
        <v>40508</v>
      </c>
      <c r="AH1883" s="84"/>
      <c r="AI1883" s="69" t="s">
        <v>2009</v>
      </c>
      <c r="AJ1883" s="25" t="s">
        <v>2010</v>
      </c>
      <c r="AK1883" s="65"/>
      <c r="AL1883" s="176" t="s">
        <v>1257</v>
      </c>
      <c r="AM1883" s="173" t="s">
        <v>2905</v>
      </c>
      <c r="AN1883" s="159"/>
      <c r="AO1883" s="160"/>
      <c r="AP1883" s="161"/>
      <c r="AQ1883" s="160"/>
      <c r="AR1883" s="160"/>
      <c r="AS1883" s="160"/>
      <c r="AT1883" s="160"/>
      <c r="AU1883" s="160"/>
      <c r="AV1883" s="160"/>
      <c r="AW1883" s="160"/>
      <c r="AX1883" s="160"/>
      <c r="AY1883" s="160"/>
      <c r="AZ1883" s="160"/>
      <c r="BA1883" s="160"/>
      <c r="BB1883" s="160"/>
      <c r="BC1883" s="160"/>
      <c r="BD1883" s="160"/>
      <c r="BE1883" s="160"/>
      <c r="BF1883" s="160"/>
      <c r="BG1883" s="160"/>
      <c r="BH1883" s="160"/>
      <c r="BI1883" s="160"/>
      <c r="BJ1883" s="160"/>
      <c r="BK1883" s="160"/>
      <c r="BL1883" s="160"/>
      <c r="BM1883" s="160"/>
      <c r="BN1883" s="160"/>
      <c r="BO1883" s="160"/>
      <c r="BP1883" s="160"/>
      <c r="BQ1883" s="160"/>
      <c r="BR1883" s="160"/>
      <c r="BS1883" s="160"/>
      <c r="BT1883" s="160"/>
      <c r="BU1883" s="160"/>
      <c r="BV1883" s="160"/>
      <c r="BW1883" s="160"/>
      <c r="BX1883" s="160"/>
      <c r="BY1883" s="160"/>
      <c r="BZ1883" s="160"/>
      <c r="CA1883" s="160"/>
      <c r="CB1883" s="160"/>
      <c r="CC1883" s="160"/>
      <c r="CD1883" s="160"/>
      <c r="CE1883" s="160"/>
      <c r="CF1883" s="160"/>
      <c r="CG1883" s="160"/>
      <c r="CH1883" s="160"/>
      <c r="CI1883" s="160"/>
      <c r="CJ1883" s="160"/>
      <c r="CK1883" s="160"/>
      <c r="CL1883" s="160"/>
      <c r="CM1883" s="160"/>
      <c r="CN1883" s="160"/>
      <c r="CO1883" s="160"/>
      <c r="CP1883" s="162">
        <v>128</v>
      </c>
      <c r="CQ1883" s="163">
        <f>128*37000</f>
        <v>4736000</v>
      </c>
      <c r="CR1883" s="162"/>
      <c r="CS1883" s="163"/>
      <c r="CT1883" s="162"/>
      <c r="CU1883" s="163"/>
      <c r="CV1883" s="164">
        <f t="shared" si="239"/>
        <v>4736000</v>
      </c>
      <c r="CW1883" s="165"/>
      <c r="CX1883" s="166"/>
      <c r="CY1883" s="167">
        <v>128</v>
      </c>
      <c r="CZ1883" s="168">
        <f>128*85000</f>
        <v>10880000</v>
      </c>
      <c r="DA1883" s="169"/>
      <c r="DB1883" s="168"/>
      <c r="DC1883" s="165"/>
      <c r="DD1883" s="166"/>
      <c r="DE1883" s="71"/>
      <c r="DF1883" s="170"/>
      <c r="EO1883" s="375" t="str">
        <f t="shared" si="241"/>
        <v>VALLE DEL CAUCA_EL DOVIO</v>
      </c>
      <c r="EP1883" s="376"/>
      <c r="EQ1883" s="376"/>
      <c r="ER1883" s="377"/>
      <c r="ES1883" s="376"/>
      <c r="ET1883" s="376"/>
      <c r="EU1883" s="376"/>
    </row>
    <row r="1884" spans="1:151" s="171" customFormat="1" ht="51" x14ac:dyDescent="0.2">
      <c r="A1884" s="242">
        <v>40506</v>
      </c>
      <c r="B1884" s="222" t="s">
        <v>1462</v>
      </c>
      <c r="C1884" s="222" t="s">
        <v>2041</v>
      </c>
      <c r="D1884" s="430" t="s">
        <v>837</v>
      </c>
      <c r="E1884" s="107" t="str">
        <f>VLOOKUP(B1884&amp;C1884,Divipola!$C$2:$F$1138,4,FALSE)</f>
        <v>76563</v>
      </c>
      <c r="F1884" s="333"/>
      <c r="G1884" s="221"/>
      <c r="H1884" s="157"/>
      <c r="I1884" s="157"/>
      <c r="J1884" s="157">
        <f>608*5</f>
        <v>3040</v>
      </c>
      <c r="K1884" s="157">
        <v>608</v>
      </c>
      <c r="L1884" s="157"/>
      <c r="M1884" s="157">
        <v>276</v>
      </c>
      <c r="N1884" s="157"/>
      <c r="O1884" s="157"/>
      <c r="P1884" s="157"/>
      <c r="Q1884" s="157"/>
      <c r="R1884" s="157"/>
      <c r="S1884" s="157"/>
      <c r="T1884" s="157"/>
      <c r="U1884" s="157"/>
      <c r="V1884" s="158"/>
      <c r="W1884" s="182"/>
      <c r="X1884" s="1"/>
      <c r="Y1884" s="78">
        <f t="shared" si="236"/>
        <v>0</v>
      </c>
      <c r="Z1884" s="78">
        <f t="shared" si="237"/>
        <v>0</v>
      </c>
      <c r="AA1884" s="78">
        <f t="shared" si="235"/>
        <v>0</v>
      </c>
      <c r="AB1884" s="78">
        <f t="shared" si="238"/>
        <v>0</v>
      </c>
      <c r="AC1884" s="78"/>
      <c r="AD1884" s="78">
        <v>0</v>
      </c>
      <c r="AE1884" s="80">
        <f t="shared" si="240"/>
        <v>0</v>
      </c>
      <c r="AF1884" s="82">
        <v>0</v>
      </c>
      <c r="AG1884" s="69">
        <v>40508</v>
      </c>
      <c r="AH1884" s="84"/>
      <c r="AI1884" s="69" t="s">
        <v>1984</v>
      </c>
      <c r="AJ1884" s="25" t="s">
        <v>1985</v>
      </c>
      <c r="AK1884" s="65"/>
      <c r="AL1884" s="176" t="s">
        <v>1257</v>
      </c>
      <c r="AM1884" s="173" t="s">
        <v>2903</v>
      </c>
      <c r="AN1884" s="159"/>
      <c r="AO1884" s="160"/>
      <c r="AP1884" s="161"/>
      <c r="AQ1884" s="160"/>
      <c r="AR1884" s="160"/>
      <c r="AS1884" s="160"/>
      <c r="AT1884" s="160"/>
      <c r="AU1884" s="160"/>
      <c r="AV1884" s="160"/>
      <c r="AW1884" s="160"/>
      <c r="AX1884" s="160"/>
      <c r="AY1884" s="160"/>
      <c r="AZ1884" s="160"/>
      <c r="BA1884" s="160"/>
      <c r="BB1884" s="160"/>
      <c r="BC1884" s="160"/>
      <c r="BD1884" s="160"/>
      <c r="BE1884" s="160"/>
      <c r="BF1884" s="160"/>
      <c r="BG1884" s="160"/>
      <c r="BH1884" s="160"/>
      <c r="BI1884" s="160"/>
      <c r="BJ1884" s="160"/>
      <c r="BK1884" s="160"/>
      <c r="BL1884" s="160"/>
      <c r="BM1884" s="160"/>
      <c r="BN1884" s="160"/>
      <c r="BO1884" s="160"/>
      <c r="BP1884" s="160"/>
      <c r="BQ1884" s="160"/>
      <c r="BR1884" s="160"/>
      <c r="BS1884" s="160"/>
      <c r="BT1884" s="160"/>
      <c r="BU1884" s="160"/>
      <c r="BV1884" s="160"/>
      <c r="BW1884" s="160"/>
      <c r="BX1884" s="160"/>
      <c r="BY1884" s="160"/>
      <c r="BZ1884" s="160"/>
      <c r="CA1884" s="160"/>
      <c r="CB1884" s="160"/>
      <c r="CC1884" s="160"/>
      <c r="CD1884" s="160"/>
      <c r="CE1884" s="160"/>
      <c r="CF1884" s="160"/>
      <c r="CG1884" s="160"/>
      <c r="CH1884" s="160"/>
      <c r="CI1884" s="160"/>
      <c r="CJ1884" s="160"/>
      <c r="CK1884" s="160"/>
      <c r="CL1884" s="160"/>
      <c r="CM1884" s="160"/>
      <c r="CN1884" s="160"/>
      <c r="CO1884" s="160"/>
      <c r="CP1884" s="162"/>
      <c r="CQ1884" s="163"/>
      <c r="CR1884" s="162"/>
      <c r="CS1884" s="163"/>
      <c r="CT1884" s="162"/>
      <c r="CU1884" s="163"/>
      <c r="CV1884" s="164">
        <f t="shared" si="239"/>
        <v>0</v>
      </c>
      <c r="CW1884" s="165"/>
      <c r="CX1884" s="166"/>
      <c r="CY1884" s="167"/>
      <c r="CZ1884" s="168"/>
      <c r="DA1884" s="169"/>
      <c r="DB1884" s="168"/>
      <c r="DC1884" s="165"/>
      <c r="DD1884" s="166"/>
      <c r="DE1884" s="71"/>
      <c r="DF1884" s="170"/>
      <c r="EO1884" s="375" t="str">
        <f t="shared" si="241"/>
        <v>VALLE DEL CAUCA_PRADERA</v>
      </c>
      <c r="EP1884" s="376"/>
      <c r="EQ1884" s="376"/>
      <c r="ER1884" s="377"/>
      <c r="ES1884" s="376"/>
      <c r="ET1884" s="376"/>
      <c r="EU1884" s="376"/>
    </row>
    <row r="1885" spans="1:151" s="171" customFormat="1" ht="38.25" x14ac:dyDescent="0.2">
      <c r="A1885" s="242">
        <v>40506.961805555555</v>
      </c>
      <c r="B1885" s="107" t="s">
        <v>6305</v>
      </c>
      <c r="C1885" s="107" t="s">
        <v>6305</v>
      </c>
      <c r="D1885" s="430" t="s">
        <v>2307</v>
      </c>
      <c r="E1885" s="107" t="str">
        <f>VLOOKUP(B1885&amp;C1885,Divipola!$C$2:$F$1138,4,FALSE)</f>
        <v>11001</v>
      </c>
      <c r="F1885" s="333"/>
      <c r="G1885" s="221"/>
      <c r="H1885" s="157"/>
      <c r="I1885" s="157"/>
      <c r="J1885" s="157">
        <v>21</v>
      </c>
      <c r="K1885" s="414">
        <v>5</v>
      </c>
      <c r="L1885" s="157"/>
      <c r="M1885" s="157"/>
      <c r="N1885" s="157"/>
      <c r="O1885" s="157"/>
      <c r="P1885" s="157"/>
      <c r="Q1885" s="157"/>
      <c r="R1885" s="157"/>
      <c r="S1885" s="157"/>
      <c r="T1885" s="157"/>
      <c r="U1885" s="157"/>
      <c r="V1885" s="158"/>
      <c r="W1885" s="182"/>
      <c r="X1885" s="1"/>
      <c r="Y1885" s="78">
        <f t="shared" si="236"/>
        <v>0</v>
      </c>
      <c r="Z1885" s="78">
        <f t="shared" si="237"/>
        <v>0</v>
      </c>
      <c r="AA1885" s="78">
        <f t="shared" si="235"/>
        <v>0</v>
      </c>
      <c r="AB1885" s="78">
        <f t="shared" si="238"/>
        <v>0</v>
      </c>
      <c r="AC1885" s="78"/>
      <c r="AD1885" s="78">
        <v>0</v>
      </c>
      <c r="AE1885" s="80">
        <f t="shared" si="240"/>
        <v>0</v>
      </c>
      <c r="AF1885" s="82">
        <v>0</v>
      </c>
      <c r="AG1885" s="306">
        <v>40624</v>
      </c>
      <c r="AH1885" s="307"/>
      <c r="AI1885" s="306" t="s">
        <v>1984</v>
      </c>
      <c r="AJ1885" s="308" t="s">
        <v>1985</v>
      </c>
      <c r="AK1885" s="309"/>
      <c r="AL1885" s="310" t="s">
        <v>1257</v>
      </c>
      <c r="AM1885" s="419" t="s">
        <v>3774</v>
      </c>
      <c r="AN1885" s="159"/>
      <c r="AO1885" s="160"/>
      <c r="AP1885" s="161"/>
      <c r="AQ1885" s="160"/>
      <c r="AR1885" s="160"/>
      <c r="AS1885" s="160"/>
      <c r="AT1885" s="160"/>
      <c r="AU1885" s="160"/>
      <c r="AV1885" s="160"/>
      <c r="AW1885" s="160"/>
      <c r="AX1885" s="160"/>
      <c r="AY1885" s="160"/>
      <c r="AZ1885" s="160"/>
      <c r="BA1885" s="160"/>
      <c r="BB1885" s="160"/>
      <c r="BC1885" s="160"/>
      <c r="BD1885" s="160"/>
      <c r="BE1885" s="160"/>
      <c r="BF1885" s="160"/>
      <c r="BG1885" s="160"/>
      <c r="BH1885" s="160"/>
      <c r="BI1885" s="160"/>
      <c r="BJ1885" s="160"/>
      <c r="BK1885" s="160"/>
      <c r="BL1885" s="160"/>
      <c r="BM1885" s="160"/>
      <c r="BN1885" s="160"/>
      <c r="BO1885" s="160"/>
      <c r="BP1885" s="160"/>
      <c r="BQ1885" s="160"/>
      <c r="BR1885" s="160"/>
      <c r="BS1885" s="160"/>
      <c r="BT1885" s="160"/>
      <c r="BU1885" s="160"/>
      <c r="BV1885" s="160"/>
      <c r="BW1885" s="160"/>
      <c r="BX1885" s="160"/>
      <c r="BY1885" s="160"/>
      <c r="BZ1885" s="160"/>
      <c r="CA1885" s="160"/>
      <c r="CB1885" s="160"/>
      <c r="CC1885" s="160"/>
      <c r="CD1885" s="160"/>
      <c r="CE1885" s="160"/>
      <c r="CF1885" s="160"/>
      <c r="CG1885" s="160"/>
      <c r="CH1885" s="160"/>
      <c r="CI1885" s="160"/>
      <c r="CJ1885" s="160"/>
      <c r="CK1885" s="160"/>
      <c r="CL1885" s="160"/>
      <c r="CM1885" s="160"/>
      <c r="CN1885" s="160"/>
      <c r="CO1885" s="160"/>
      <c r="CP1885" s="162"/>
      <c r="CQ1885" s="163"/>
      <c r="CR1885" s="162"/>
      <c r="CS1885" s="163"/>
      <c r="CT1885" s="162"/>
      <c r="CU1885" s="163"/>
      <c r="CV1885" s="164">
        <f t="shared" si="239"/>
        <v>0</v>
      </c>
      <c r="CW1885" s="165"/>
      <c r="CX1885" s="166"/>
      <c r="CY1885" s="167"/>
      <c r="CZ1885" s="168"/>
      <c r="DA1885" s="169"/>
      <c r="DB1885" s="168"/>
      <c r="DC1885" s="165"/>
      <c r="DD1885" s="166"/>
      <c r="DE1885" s="71"/>
      <c r="DF1885" s="170"/>
      <c r="EO1885" s="375" t="str">
        <f t="shared" si="241"/>
        <v>BOGOTA, D.C._BOGOTA, D.C.</v>
      </c>
      <c r="EP1885" s="376"/>
      <c r="EQ1885" s="376"/>
      <c r="ER1885" s="377"/>
      <c r="ES1885" s="376"/>
      <c r="ET1885" s="376"/>
      <c r="EU1885" s="376"/>
    </row>
    <row r="1886" spans="1:151" s="171" customFormat="1" ht="38.25" x14ac:dyDescent="0.2">
      <c r="A1886" s="242">
        <v>40507</v>
      </c>
      <c r="B1886" s="222" t="s">
        <v>3112</v>
      </c>
      <c r="C1886" s="222" t="s">
        <v>2019</v>
      </c>
      <c r="D1886" s="430" t="s">
        <v>2209</v>
      </c>
      <c r="E1886" s="107" t="str">
        <f>VLOOKUP(B1886&amp;C1886,Divipola!$C$2:$F$1138,4,FALSE)</f>
        <v>18592</v>
      </c>
      <c r="F1886" s="333"/>
      <c r="G1886" s="221"/>
      <c r="H1886" s="157"/>
      <c r="I1886" s="157"/>
      <c r="J1886" s="157">
        <v>35</v>
      </c>
      <c r="K1886" s="157">
        <v>7</v>
      </c>
      <c r="L1886" s="157"/>
      <c r="M1886" s="157">
        <v>7</v>
      </c>
      <c r="N1886" s="157"/>
      <c r="O1886" s="157"/>
      <c r="P1886" s="157"/>
      <c r="Q1886" s="157"/>
      <c r="R1886" s="157"/>
      <c r="S1886" s="157"/>
      <c r="T1886" s="157">
        <v>1</v>
      </c>
      <c r="U1886" s="157"/>
      <c r="V1886" s="158"/>
      <c r="W1886" s="182"/>
      <c r="X1886" s="1"/>
      <c r="Y1886" s="78">
        <f t="shared" si="236"/>
        <v>0</v>
      </c>
      <c r="Z1886" s="78">
        <f t="shared" si="237"/>
        <v>0</v>
      </c>
      <c r="AA1886" s="78">
        <f t="shared" si="235"/>
        <v>0</v>
      </c>
      <c r="AB1886" s="78">
        <f t="shared" si="238"/>
        <v>0</v>
      </c>
      <c r="AC1886" s="78"/>
      <c r="AD1886" s="78">
        <v>0</v>
      </c>
      <c r="AE1886" s="80">
        <f t="shared" si="240"/>
        <v>0</v>
      </c>
      <c r="AF1886" s="82">
        <v>0</v>
      </c>
      <c r="AG1886" s="69">
        <v>40617</v>
      </c>
      <c r="AH1886" s="84"/>
      <c r="AI1886" s="69" t="s">
        <v>1984</v>
      </c>
      <c r="AJ1886" s="25" t="s">
        <v>1985</v>
      </c>
      <c r="AK1886" s="65"/>
      <c r="AL1886" s="176" t="s">
        <v>1257</v>
      </c>
      <c r="AM1886" s="173" t="s">
        <v>457</v>
      </c>
      <c r="AN1886" s="159"/>
      <c r="AO1886" s="160"/>
      <c r="AP1886" s="161"/>
      <c r="AQ1886" s="160"/>
      <c r="AR1886" s="160"/>
      <c r="AS1886" s="160"/>
      <c r="AT1886" s="160"/>
      <c r="AU1886" s="160"/>
      <c r="AV1886" s="160"/>
      <c r="AW1886" s="160"/>
      <c r="AX1886" s="160"/>
      <c r="AY1886" s="160"/>
      <c r="AZ1886" s="160"/>
      <c r="BA1886" s="160"/>
      <c r="BB1886" s="160"/>
      <c r="BC1886" s="160"/>
      <c r="BD1886" s="160"/>
      <c r="BE1886" s="160"/>
      <c r="BF1886" s="160"/>
      <c r="BG1886" s="160"/>
      <c r="BH1886" s="160"/>
      <c r="BI1886" s="160"/>
      <c r="BJ1886" s="160"/>
      <c r="BK1886" s="160"/>
      <c r="BL1886" s="160"/>
      <c r="BM1886" s="160"/>
      <c r="BN1886" s="160"/>
      <c r="BO1886" s="160"/>
      <c r="BP1886" s="160"/>
      <c r="BQ1886" s="160"/>
      <c r="BR1886" s="160"/>
      <c r="BS1886" s="160"/>
      <c r="BT1886" s="160"/>
      <c r="BU1886" s="160"/>
      <c r="BV1886" s="160"/>
      <c r="BW1886" s="160"/>
      <c r="BX1886" s="160"/>
      <c r="BY1886" s="160"/>
      <c r="BZ1886" s="160"/>
      <c r="CA1886" s="160"/>
      <c r="CB1886" s="160"/>
      <c r="CC1886" s="160"/>
      <c r="CD1886" s="160"/>
      <c r="CE1886" s="160"/>
      <c r="CF1886" s="160"/>
      <c r="CG1886" s="160"/>
      <c r="CH1886" s="160"/>
      <c r="CI1886" s="160"/>
      <c r="CJ1886" s="160"/>
      <c r="CK1886" s="160"/>
      <c r="CL1886" s="160"/>
      <c r="CM1886" s="160"/>
      <c r="CN1886" s="160"/>
      <c r="CO1886" s="160"/>
      <c r="CP1886" s="162"/>
      <c r="CQ1886" s="163"/>
      <c r="CR1886" s="162"/>
      <c r="CS1886" s="163"/>
      <c r="CT1886" s="162"/>
      <c r="CU1886" s="163"/>
      <c r="CV1886" s="164">
        <f t="shared" si="239"/>
        <v>0</v>
      </c>
      <c r="CW1886" s="165"/>
      <c r="CX1886" s="166"/>
      <c r="CY1886" s="167"/>
      <c r="CZ1886" s="168"/>
      <c r="DA1886" s="169"/>
      <c r="DB1886" s="168"/>
      <c r="DC1886" s="165"/>
      <c r="DD1886" s="166"/>
      <c r="DE1886" s="71"/>
      <c r="DF1886" s="170"/>
      <c r="EO1886" s="375" t="str">
        <f t="shared" si="241"/>
        <v>CAQUETA_PUERTO RICO</v>
      </c>
      <c r="EP1886" s="376"/>
      <c r="EQ1886" s="376"/>
      <c r="ER1886" s="377"/>
      <c r="ES1886" s="376"/>
      <c r="ET1886" s="376"/>
      <c r="EU1886" s="376"/>
    </row>
    <row r="1887" spans="1:151" s="171" customFormat="1" ht="38.25" x14ac:dyDescent="0.2">
      <c r="A1887" s="242">
        <v>40507</v>
      </c>
      <c r="B1887" s="222" t="s">
        <v>1836</v>
      </c>
      <c r="C1887" s="222" t="s">
        <v>1861</v>
      </c>
      <c r="D1887" s="430" t="s">
        <v>837</v>
      </c>
      <c r="E1887" s="107" t="str">
        <f>VLOOKUP(B1887&amp;C1887,Divipola!$C$2:$F$1138,4,FALSE)</f>
        <v>47707</v>
      </c>
      <c r="F1887" s="333"/>
      <c r="G1887" s="221"/>
      <c r="H1887" s="157"/>
      <c r="I1887" s="157"/>
      <c r="J1887" s="157">
        <f>8895-4405</f>
        <v>4490</v>
      </c>
      <c r="K1887" s="157">
        <f>1779-881</f>
        <v>898</v>
      </c>
      <c r="L1887" s="157"/>
      <c r="M1887" s="157">
        <v>400</v>
      </c>
      <c r="N1887" s="157"/>
      <c r="O1887" s="157"/>
      <c r="P1887" s="157"/>
      <c r="Q1887" s="157"/>
      <c r="R1887" s="157"/>
      <c r="S1887" s="157"/>
      <c r="T1887" s="157"/>
      <c r="U1887" s="157"/>
      <c r="V1887" s="158"/>
      <c r="W1887" s="182"/>
      <c r="X1887" s="1"/>
      <c r="Y1887" s="78">
        <f t="shared" si="236"/>
        <v>10500000</v>
      </c>
      <c r="Z1887" s="78">
        <f t="shared" si="237"/>
        <v>108885000</v>
      </c>
      <c r="AA1887" s="78">
        <f t="shared" si="235"/>
        <v>0</v>
      </c>
      <c r="AB1887" s="78">
        <f t="shared" si="238"/>
        <v>0</v>
      </c>
      <c r="AC1887" s="78"/>
      <c r="AD1887" s="78">
        <v>0</v>
      </c>
      <c r="AE1887" s="80">
        <f t="shared" si="240"/>
        <v>119385000</v>
      </c>
      <c r="AF1887" s="82">
        <v>0</v>
      </c>
      <c r="AG1887" s="69">
        <v>40508</v>
      </c>
      <c r="AH1887" s="84"/>
      <c r="AI1887" s="69" t="s">
        <v>2009</v>
      </c>
      <c r="AJ1887" s="25" t="s">
        <v>2010</v>
      </c>
      <c r="AK1887" s="65"/>
      <c r="AL1887" s="176" t="s">
        <v>1257</v>
      </c>
      <c r="AM1887" s="173" t="s">
        <v>2929</v>
      </c>
      <c r="AN1887" s="159"/>
      <c r="AO1887" s="160"/>
      <c r="AP1887" s="161"/>
      <c r="AQ1887" s="160"/>
      <c r="AR1887" s="160"/>
      <c r="AS1887" s="160"/>
      <c r="AT1887" s="160"/>
      <c r="AU1887" s="160"/>
      <c r="AV1887" s="160"/>
      <c r="AW1887" s="160"/>
      <c r="AX1887" s="160"/>
      <c r="AY1887" s="160"/>
      <c r="AZ1887" s="160"/>
      <c r="BA1887" s="160"/>
      <c r="BB1887" s="160"/>
      <c r="BC1887" s="160"/>
      <c r="BD1887" s="160"/>
      <c r="BE1887" s="160"/>
      <c r="BF1887" s="160"/>
      <c r="BG1887" s="160"/>
      <c r="BH1887" s="160"/>
      <c r="BI1887" s="160"/>
      <c r="BJ1887" s="160"/>
      <c r="BK1887" s="160"/>
      <c r="BL1887" s="160">
        <v>200</v>
      </c>
      <c r="BM1887" s="160">
        <f>200*25500</f>
        <v>5100000</v>
      </c>
      <c r="BN1887" s="160"/>
      <c r="BO1887" s="160"/>
      <c r="BP1887" s="160"/>
      <c r="BQ1887" s="160"/>
      <c r="BR1887" s="160"/>
      <c r="BS1887" s="160"/>
      <c r="BT1887" s="160"/>
      <c r="BU1887" s="160"/>
      <c r="BV1887" s="160"/>
      <c r="BW1887" s="160"/>
      <c r="BX1887" s="160"/>
      <c r="BY1887" s="160"/>
      <c r="BZ1887" s="160"/>
      <c r="CA1887" s="160"/>
      <c r="CB1887" s="160"/>
      <c r="CC1887" s="160"/>
      <c r="CD1887" s="160"/>
      <c r="CE1887" s="160"/>
      <c r="CF1887" s="160"/>
      <c r="CG1887" s="160"/>
      <c r="CH1887" s="160"/>
      <c r="CI1887" s="160"/>
      <c r="CJ1887" s="160"/>
      <c r="CK1887" s="160"/>
      <c r="CL1887" s="160"/>
      <c r="CM1887" s="160"/>
      <c r="CN1887" s="160">
        <v>300</v>
      </c>
      <c r="CO1887" s="160">
        <f>300*18000</f>
        <v>5400000</v>
      </c>
      <c r="CP1887" s="162"/>
      <c r="CQ1887" s="163"/>
      <c r="CR1887" s="162"/>
      <c r="CS1887" s="163"/>
      <c r="CT1887" s="162"/>
      <c r="CU1887" s="163"/>
      <c r="CV1887" s="164">
        <f t="shared" si="239"/>
        <v>10500000</v>
      </c>
      <c r="CW1887" s="165"/>
      <c r="CX1887" s="166"/>
      <c r="CY1887" s="167">
        <v>1281</v>
      </c>
      <c r="CZ1887" s="168">
        <f>1281*85000</f>
        <v>108885000</v>
      </c>
      <c r="DA1887" s="169"/>
      <c r="DB1887" s="168"/>
      <c r="DC1887" s="165"/>
      <c r="DD1887" s="166"/>
      <c r="DE1887" s="71"/>
      <c r="DF1887" s="170"/>
      <c r="EO1887" s="375" t="str">
        <f t="shared" si="241"/>
        <v>MAGDALENA_SANTA ANA</v>
      </c>
      <c r="EP1887" s="376"/>
      <c r="EQ1887" s="376"/>
      <c r="ER1887" s="377"/>
      <c r="ES1887" s="376"/>
      <c r="ET1887" s="376"/>
      <c r="EU1887" s="376"/>
    </row>
    <row r="1888" spans="1:151" s="171" customFormat="1" ht="51" x14ac:dyDescent="0.2">
      <c r="A1888" s="242">
        <v>40507</v>
      </c>
      <c r="B1888" s="222" t="s">
        <v>1836</v>
      </c>
      <c r="C1888" s="222" t="s">
        <v>1877</v>
      </c>
      <c r="D1888" s="430" t="s">
        <v>837</v>
      </c>
      <c r="E1888" s="107" t="str">
        <f>VLOOKUP(B1888&amp;C1888,Divipola!$C$2:$F$1138,4,FALSE)</f>
        <v>47720</v>
      </c>
      <c r="F1888" s="333"/>
      <c r="G1888" s="221"/>
      <c r="H1888" s="157"/>
      <c r="I1888" s="157"/>
      <c r="J1888" s="157">
        <f>6130-3600</f>
        <v>2530</v>
      </c>
      <c r="K1888" s="157">
        <f>1226-720</f>
        <v>506</v>
      </c>
      <c r="L1888" s="157"/>
      <c r="M1888" s="157">
        <v>506</v>
      </c>
      <c r="N1888" s="157">
        <v>1</v>
      </c>
      <c r="O1888" s="157"/>
      <c r="P1888" s="157"/>
      <c r="Q1888" s="157"/>
      <c r="R1888" s="157"/>
      <c r="S1888" s="157"/>
      <c r="T1888" s="157"/>
      <c r="U1888" s="157"/>
      <c r="V1888" s="158"/>
      <c r="W1888" s="182"/>
      <c r="X1888" s="1"/>
      <c r="Y1888" s="78">
        <f t="shared" si="236"/>
        <v>20075000</v>
      </c>
      <c r="Z1888" s="78">
        <f t="shared" si="237"/>
        <v>269450000</v>
      </c>
      <c r="AA1888" s="78">
        <f t="shared" si="235"/>
        <v>0</v>
      </c>
      <c r="AB1888" s="78">
        <f t="shared" si="238"/>
        <v>0</v>
      </c>
      <c r="AC1888" s="78"/>
      <c r="AD1888" s="78">
        <v>0</v>
      </c>
      <c r="AE1888" s="80">
        <f t="shared" si="240"/>
        <v>289525000</v>
      </c>
      <c r="AF1888" s="82">
        <v>0</v>
      </c>
      <c r="AG1888" s="69">
        <v>40508</v>
      </c>
      <c r="AH1888" s="84"/>
      <c r="AI1888" s="69" t="s">
        <v>2009</v>
      </c>
      <c r="AJ1888" s="25" t="s">
        <v>2010</v>
      </c>
      <c r="AK1888" s="65"/>
      <c r="AL1888" s="176" t="s">
        <v>1257</v>
      </c>
      <c r="AM1888" s="173" t="s">
        <v>1069</v>
      </c>
      <c r="AN1888" s="159"/>
      <c r="AO1888" s="160"/>
      <c r="AP1888" s="161"/>
      <c r="AQ1888" s="160"/>
      <c r="AR1888" s="160"/>
      <c r="AS1888" s="160"/>
      <c r="AT1888" s="160"/>
      <c r="AU1888" s="160"/>
      <c r="AV1888" s="160"/>
      <c r="AW1888" s="160"/>
      <c r="AX1888" s="160"/>
      <c r="AY1888" s="160"/>
      <c r="AZ1888" s="160"/>
      <c r="BA1888" s="160"/>
      <c r="BB1888" s="160"/>
      <c r="BC1888" s="160"/>
      <c r="BD1888" s="160"/>
      <c r="BE1888" s="160"/>
      <c r="BF1888" s="160"/>
      <c r="BG1888" s="160"/>
      <c r="BH1888" s="160"/>
      <c r="BI1888" s="160"/>
      <c r="BJ1888" s="160"/>
      <c r="BK1888" s="160"/>
      <c r="BL1888" s="160">
        <v>250</v>
      </c>
      <c r="BM1888" s="160">
        <f>250*25500</f>
        <v>6375000</v>
      </c>
      <c r="BN1888" s="160"/>
      <c r="BO1888" s="160"/>
      <c r="BP1888" s="160"/>
      <c r="BQ1888" s="160"/>
      <c r="BR1888" s="160"/>
      <c r="BS1888" s="160"/>
      <c r="BT1888" s="160"/>
      <c r="BU1888" s="160"/>
      <c r="BV1888" s="160"/>
      <c r="BW1888" s="160"/>
      <c r="BX1888" s="160"/>
      <c r="BY1888" s="160"/>
      <c r="BZ1888" s="160">
        <v>10</v>
      </c>
      <c r="CA1888" s="160">
        <f>10*470000</f>
        <v>4700000</v>
      </c>
      <c r="CB1888" s="160"/>
      <c r="CC1888" s="160"/>
      <c r="CD1888" s="160"/>
      <c r="CE1888" s="160"/>
      <c r="CF1888" s="160"/>
      <c r="CG1888" s="160"/>
      <c r="CH1888" s="160"/>
      <c r="CI1888" s="160"/>
      <c r="CJ1888" s="160"/>
      <c r="CK1888" s="160"/>
      <c r="CL1888" s="160"/>
      <c r="CM1888" s="160"/>
      <c r="CN1888" s="160">
        <v>500</v>
      </c>
      <c r="CO1888" s="160">
        <f>500*18000</f>
        <v>9000000</v>
      </c>
      <c r="CP1888" s="162"/>
      <c r="CQ1888" s="163"/>
      <c r="CR1888" s="162"/>
      <c r="CS1888" s="163"/>
      <c r="CT1888" s="162"/>
      <c r="CU1888" s="163"/>
      <c r="CV1888" s="164">
        <f t="shared" si="239"/>
        <v>20075000</v>
      </c>
      <c r="CW1888" s="165"/>
      <c r="CX1888" s="166"/>
      <c r="CY1888" s="167">
        <f>1750+1420</f>
        <v>3170</v>
      </c>
      <c r="CZ1888" s="168">
        <f>1750*85000+1420*85000</f>
        <v>269450000</v>
      </c>
      <c r="DA1888" s="169"/>
      <c r="DB1888" s="168"/>
      <c r="DC1888" s="165"/>
      <c r="DD1888" s="166"/>
      <c r="DE1888" s="71"/>
      <c r="DF1888" s="170"/>
      <c r="EO1888" s="375" t="str">
        <f t="shared" si="241"/>
        <v>MAGDALENA_SANTA BARBARA DE PINTO</v>
      </c>
      <c r="EP1888" s="376"/>
      <c r="EQ1888" s="376"/>
      <c r="ER1888" s="377"/>
      <c r="ES1888" s="376"/>
      <c r="ET1888" s="376"/>
      <c r="EU1888" s="376"/>
    </row>
    <row r="1889" spans="1:151" s="171" customFormat="1" ht="156" x14ac:dyDescent="0.2">
      <c r="A1889" s="242">
        <v>40507</v>
      </c>
      <c r="B1889" s="222" t="s">
        <v>1836</v>
      </c>
      <c r="C1889" s="222" t="s">
        <v>1814</v>
      </c>
      <c r="D1889" s="430" t="s">
        <v>837</v>
      </c>
      <c r="E1889" s="107" t="str">
        <f>VLOOKUP(B1889&amp;C1889,Divipola!$C$2:$F$1138,4,FALSE)</f>
        <v>47001</v>
      </c>
      <c r="F1889" s="333"/>
      <c r="G1889" s="221"/>
      <c r="H1889" s="157"/>
      <c r="I1889" s="157"/>
      <c r="J1889" s="157">
        <v>4800</v>
      </c>
      <c r="K1889" s="157">
        <v>1200</v>
      </c>
      <c r="L1889" s="157">
        <v>8</v>
      </c>
      <c r="M1889" s="157">
        <v>1192</v>
      </c>
      <c r="N1889" s="157"/>
      <c r="O1889" s="157"/>
      <c r="P1889" s="157"/>
      <c r="Q1889" s="157"/>
      <c r="R1889" s="157"/>
      <c r="S1889" s="157"/>
      <c r="T1889" s="157"/>
      <c r="U1889" s="157"/>
      <c r="V1889" s="158"/>
      <c r="W1889" s="182"/>
      <c r="X1889" s="1"/>
      <c r="Y1889" s="78">
        <f t="shared" si="236"/>
        <v>0</v>
      </c>
      <c r="Z1889" s="78">
        <f t="shared" si="237"/>
        <v>0</v>
      </c>
      <c r="AA1889" s="78">
        <f t="shared" si="235"/>
        <v>0</v>
      </c>
      <c r="AB1889" s="78">
        <f t="shared" si="238"/>
        <v>0</v>
      </c>
      <c r="AC1889" s="78"/>
      <c r="AD1889" s="78">
        <v>0</v>
      </c>
      <c r="AE1889" s="80">
        <f t="shared" si="240"/>
        <v>0</v>
      </c>
      <c r="AF1889" s="82">
        <v>0</v>
      </c>
      <c r="AG1889" s="242">
        <v>40510</v>
      </c>
      <c r="AH1889" s="84"/>
      <c r="AI1889" s="69" t="s">
        <v>1984</v>
      </c>
      <c r="AJ1889" s="25" t="s">
        <v>1985</v>
      </c>
      <c r="AK1889" s="65"/>
      <c r="AL1889" s="176" t="s">
        <v>1257</v>
      </c>
      <c r="AM1889" s="173" t="s">
        <v>2931</v>
      </c>
      <c r="AN1889" s="159"/>
      <c r="AO1889" s="160"/>
      <c r="AP1889" s="161"/>
      <c r="AQ1889" s="160"/>
      <c r="AR1889" s="160"/>
      <c r="AS1889" s="160"/>
      <c r="AT1889" s="160"/>
      <c r="AU1889" s="160"/>
      <c r="AV1889" s="160"/>
      <c r="AW1889" s="160"/>
      <c r="AX1889" s="160"/>
      <c r="AY1889" s="160"/>
      <c r="AZ1889" s="160"/>
      <c r="BA1889" s="160"/>
      <c r="BB1889" s="160"/>
      <c r="BC1889" s="160"/>
      <c r="BD1889" s="160"/>
      <c r="BE1889" s="160"/>
      <c r="BF1889" s="160"/>
      <c r="BG1889" s="160"/>
      <c r="BH1889" s="160"/>
      <c r="BI1889" s="160"/>
      <c r="BJ1889" s="160"/>
      <c r="BK1889" s="160"/>
      <c r="BL1889" s="160"/>
      <c r="BM1889" s="160"/>
      <c r="BN1889" s="160"/>
      <c r="BO1889" s="160"/>
      <c r="BP1889" s="160"/>
      <c r="BQ1889" s="160"/>
      <c r="BR1889" s="160"/>
      <c r="BS1889" s="160"/>
      <c r="BT1889" s="160"/>
      <c r="BU1889" s="160"/>
      <c r="BV1889" s="160"/>
      <c r="BW1889" s="160"/>
      <c r="BX1889" s="160"/>
      <c r="BY1889" s="160"/>
      <c r="BZ1889" s="160"/>
      <c r="CA1889" s="160"/>
      <c r="CB1889" s="160"/>
      <c r="CC1889" s="160"/>
      <c r="CD1889" s="160"/>
      <c r="CE1889" s="160"/>
      <c r="CF1889" s="160"/>
      <c r="CG1889" s="160"/>
      <c r="CH1889" s="160"/>
      <c r="CI1889" s="160"/>
      <c r="CJ1889" s="160"/>
      <c r="CK1889" s="160"/>
      <c r="CL1889" s="160"/>
      <c r="CM1889" s="160"/>
      <c r="CN1889" s="160"/>
      <c r="CO1889" s="160"/>
      <c r="CP1889" s="162"/>
      <c r="CQ1889" s="163"/>
      <c r="CR1889" s="162"/>
      <c r="CS1889" s="163"/>
      <c r="CT1889" s="162"/>
      <c r="CU1889" s="163"/>
      <c r="CV1889" s="164">
        <f t="shared" si="239"/>
        <v>0</v>
      </c>
      <c r="CW1889" s="165"/>
      <c r="CX1889" s="166"/>
      <c r="CY1889" s="167"/>
      <c r="CZ1889" s="168"/>
      <c r="DA1889" s="169"/>
      <c r="DB1889" s="168"/>
      <c r="DC1889" s="165"/>
      <c r="DD1889" s="166"/>
      <c r="DE1889" s="71"/>
      <c r="DF1889" s="170">
        <v>1435</v>
      </c>
      <c r="EO1889" s="375" t="str">
        <f t="shared" si="241"/>
        <v>MAGDALENA_SANTA MARTA</v>
      </c>
      <c r="EP1889" s="376"/>
      <c r="EQ1889" s="376"/>
      <c r="ER1889" s="377"/>
      <c r="ES1889" s="376"/>
      <c r="ET1889" s="376"/>
      <c r="EU1889" s="376"/>
    </row>
    <row r="1890" spans="1:151" s="171" customFormat="1" ht="36" x14ac:dyDescent="0.2">
      <c r="A1890" s="242">
        <v>40507</v>
      </c>
      <c r="B1890" s="222" t="s">
        <v>2245</v>
      </c>
      <c r="C1890" s="222" t="s">
        <v>556</v>
      </c>
      <c r="D1890" s="430" t="s">
        <v>2307</v>
      </c>
      <c r="E1890" s="107" t="str">
        <f>VLOOKUP(B1890&amp;C1890,Divipola!$C$2:$F$1138,4,FALSE)</f>
        <v>52019</v>
      </c>
      <c r="F1890" s="333"/>
      <c r="G1890" s="221"/>
      <c r="H1890" s="157"/>
      <c r="I1890" s="157"/>
      <c r="J1890" s="157">
        <v>280</v>
      </c>
      <c r="K1890" s="157">
        <v>56</v>
      </c>
      <c r="L1890" s="157"/>
      <c r="M1890" s="157">
        <v>56</v>
      </c>
      <c r="N1890" s="157"/>
      <c r="O1890" s="157"/>
      <c r="P1890" s="157"/>
      <c r="Q1890" s="157"/>
      <c r="R1890" s="157"/>
      <c r="S1890" s="157"/>
      <c r="T1890" s="157"/>
      <c r="U1890" s="157"/>
      <c r="V1890" s="158"/>
      <c r="W1890" s="182"/>
      <c r="X1890" s="1"/>
      <c r="Y1890" s="78">
        <f t="shared" si="236"/>
        <v>0</v>
      </c>
      <c r="Z1890" s="78">
        <f t="shared" si="237"/>
        <v>0</v>
      </c>
      <c r="AA1890" s="78">
        <f t="shared" si="235"/>
        <v>0</v>
      </c>
      <c r="AB1890" s="78">
        <f t="shared" si="238"/>
        <v>0</v>
      </c>
      <c r="AC1890" s="78"/>
      <c r="AD1890" s="78">
        <v>0</v>
      </c>
      <c r="AE1890" s="80">
        <f t="shared" si="240"/>
        <v>0</v>
      </c>
      <c r="AF1890" s="82">
        <v>0</v>
      </c>
      <c r="AG1890" s="69">
        <v>40507</v>
      </c>
      <c r="AH1890" s="84"/>
      <c r="AI1890" s="69" t="s">
        <v>1984</v>
      </c>
      <c r="AJ1890" s="25" t="s">
        <v>1985</v>
      </c>
      <c r="AK1890" s="65"/>
      <c r="AL1890" s="176" t="s">
        <v>1257</v>
      </c>
      <c r="AM1890" s="173" t="s">
        <v>557</v>
      </c>
      <c r="AN1890" s="159"/>
      <c r="AO1890" s="160"/>
      <c r="AP1890" s="161"/>
      <c r="AQ1890" s="160"/>
      <c r="AR1890" s="160"/>
      <c r="AS1890" s="160"/>
      <c r="AT1890" s="160"/>
      <c r="AU1890" s="160"/>
      <c r="AV1890" s="160"/>
      <c r="AW1890" s="160"/>
      <c r="AX1890" s="160"/>
      <c r="AY1890" s="160"/>
      <c r="AZ1890" s="160"/>
      <c r="BA1890" s="160"/>
      <c r="BB1890" s="160"/>
      <c r="BC1890" s="160"/>
      <c r="BD1890" s="160"/>
      <c r="BE1890" s="160"/>
      <c r="BF1890" s="160"/>
      <c r="BG1890" s="160"/>
      <c r="BH1890" s="160"/>
      <c r="BI1890" s="160"/>
      <c r="BJ1890" s="160"/>
      <c r="BK1890" s="160"/>
      <c r="BL1890" s="160"/>
      <c r="BM1890" s="160"/>
      <c r="BN1890" s="160"/>
      <c r="BO1890" s="160"/>
      <c r="BP1890" s="160"/>
      <c r="BQ1890" s="160"/>
      <c r="BR1890" s="160"/>
      <c r="BS1890" s="160"/>
      <c r="BT1890" s="160"/>
      <c r="BU1890" s="160"/>
      <c r="BV1890" s="160"/>
      <c r="BW1890" s="160"/>
      <c r="BX1890" s="160"/>
      <c r="BY1890" s="160"/>
      <c r="BZ1890" s="160"/>
      <c r="CA1890" s="160"/>
      <c r="CB1890" s="160"/>
      <c r="CC1890" s="160"/>
      <c r="CD1890" s="160"/>
      <c r="CE1890" s="160"/>
      <c r="CF1890" s="160"/>
      <c r="CG1890" s="160"/>
      <c r="CH1890" s="160"/>
      <c r="CI1890" s="160"/>
      <c r="CJ1890" s="160"/>
      <c r="CK1890" s="160"/>
      <c r="CL1890" s="160"/>
      <c r="CM1890" s="160"/>
      <c r="CN1890" s="160"/>
      <c r="CO1890" s="160"/>
      <c r="CP1890" s="162"/>
      <c r="CQ1890" s="163"/>
      <c r="CR1890" s="162"/>
      <c r="CS1890" s="163"/>
      <c r="CT1890" s="162"/>
      <c r="CU1890" s="163"/>
      <c r="CV1890" s="164">
        <f t="shared" si="239"/>
        <v>0</v>
      </c>
      <c r="CW1890" s="165"/>
      <c r="CX1890" s="166"/>
      <c r="CY1890" s="167"/>
      <c r="CZ1890" s="168"/>
      <c r="DA1890" s="169"/>
      <c r="DB1890" s="168"/>
      <c r="DC1890" s="165"/>
      <c r="DD1890" s="166"/>
      <c r="DE1890" s="71"/>
      <c r="DF1890" s="170"/>
      <c r="EO1890" s="375" t="str">
        <f t="shared" si="241"/>
        <v>NARIÑO_ALBAN</v>
      </c>
      <c r="EP1890" s="376"/>
      <c r="EQ1890" s="376"/>
      <c r="ER1890" s="377"/>
      <c r="ES1890" s="376"/>
      <c r="ET1890" s="376"/>
      <c r="EU1890" s="376"/>
    </row>
    <row r="1891" spans="1:151" s="171" customFormat="1" ht="60" x14ac:dyDescent="0.2">
      <c r="A1891" s="242">
        <v>40507</v>
      </c>
      <c r="B1891" s="222" t="s">
        <v>2245</v>
      </c>
      <c r="C1891" s="222" t="s">
        <v>113</v>
      </c>
      <c r="D1891" s="430" t="s">
        <v>2307</v>
      </c>
      <c r="E1891" s="107" t="str">
        <f>VLOOKUP(B1891&amp;C1891,Divipola!$C$2:$F$1138,4,FALSE)</f>
        <v>52399</v>
      </c>
      <c r="F1891" s="333"/>
      <c r="G1891" s="221">
        <v>1</v>
      </c>
      <c r="H1891" s="157"/>
      <c r="I1891" s="157"/>
      <c r="J1891" s="157">
        <v>2850</v>
      </c>
      <c r="K1891" s="157">
        <v>710</v>
      </c>
      <c r="L1891" s="157">
        <v>30</v>
      </c>
      <c r="M1891" s="157">
        <v>483</v>
      </c>
      <c r="N1891" s="157">
        <v>19</v>
      </c>
      <c r="O1891" s="157">
        <v>1</v>
      </c>
      <c r="P1891" s="157"/>
      <c r="Q1891" s="157"/>
      <c r="R1891" s="157"/>
      <c r="S1891" s="157"/>
      <c r="T1891" s="157"/>
      <c r="U1891" s="157"/>
      <c r="V1891" s="158"/>
      <c r="W1891" s="182"/>
      <c r="X1891" s="1"/>
      <c r="Y1891" s="78">
        <f t="shared" si="236"/>
        <v>0</v>
      </c>
      <c r="Z1891" s="78">
        <f t="shared" si="237"/>
        <v>0</v>
      </c>
      <c r="AA1891" s="78">
        <f t="shared" si="235"/>
        <v>0</v>
      </c>
      <c r="AB1891" s="78">
        <f t="shared" si="238"/>
        <v>0</v>
      </c>
      <c r="AC1891" s="78"/>
      <c r="AD1891" s="78">
        <v>0</v>
      </c>
      <c r="AE1891" s="80">
        <f t="shared" si="240"/>
        <v>0</v>
      </c>
      <c r="AF1891" s="82">
        <v>0</v>
      </c>
      <c r="AG1891" s="69">
        <v>40507</v>
      </c>
      <c r="AH1891" s="84"/>
      <c r="AI1891" s="69" t="s">
        <v>1984</v>
      </c>
      <c r="AJ1891" s="25" t="s">
        <v>1985</v>
      </c>
      <c r="AK1891" s="65"/>
      <c r="AL1891" s="176" t="s">
        <v>1257</v>
      </c>
      <c r="AM1891" s="173" t="s">
        <v>558</v>
      </c>
      <c r="AN1891" s="159"/>
      <c r="AO1891" s="160"/>
      <c r="AP1891" s="161"/>
      <c r="AQ1891" s="160"/>
      <c r="AR1891" s="160"/>
      <c r="AS1891" s="160"/>
      <c r="AT1891" s="160"/>
      <c r="AU1891" s="160"/>
      <c r="AV1891" s="160"/>
      <c r="AW1891" s="160"/>
      <c r="AX1891" s="160"/>
      <c r="AY1891" s="160"/>
      <c r="AZ1891" s="160"/>
      <c r="BA1891" s="160"/>
      <c r="BB1891" s="160"/>
      <c r="BC1891" s="160"/>
      <c r="BD1891" s="160"/>
      <c r="BE1891" s="160"/>
      <c r="BF1891" s="160"/>
      <c r="BG1891" s="160"/>
      <c r="BH1891" s="160"/>
      <c r="BI1891" s="160"/>
      <c r="BJ1891" s="160"/>
      <c r="BK1891" s="160"/>
      <c r="BL1891" s="160"/>
      <c r="BM1891" s="160"/>
      <c r="BN1891" s="160"/>
      <c r="BO1891" s="160"/>
      <c r="BP1891" s="160"/>
      <c r="BQ1891" s="160"/>
      <c r="BR1891" s="160"/>
      <c r="BS1891" s="160"/>
      <c r="BT1891" s="160"/>
      <c r="BU1891" s="160"/>
      <c r="BV1891" s="160"/>
      <c r="BW1891" s="160"/>
      <c r="BX1891" s="160"/>
      <c r="BY1891" s="160"/>
      <c r="BZ1891" s="160"/>
      <c r="CA1891" s="160"/>
      <c r="CB1891" s="160"/>
      <c r="CC1891" s="160"/>
      <c r="CD1891" s="160"/>
      <c r="CE1891" s="160"/>
      <c r="CF1891" s="160"/>
      <c r="CG1891" s="160"/>
      <c r="CH1891" s="160"/>
      <c r="CI1891" s="160"/>
      <c r="CJ1891" s="160"/>
      <c r="CK1891" s="160"/>
      <c r="CL1891" s="160"/>
      <c r="CM1891" s="160"/>
      <c r="CN1891" s="160"/>
      <c r="CO1891" s="160"/>
      <c r="CP1891" s="162"/>
      <c r="CQ1891" s="163"/>
      <c r="CR1891" s="162"/>
      <c r="CS1891" s="163"/>
      <c r="CT1891" s="162"/>
      <c r="CU1891" s="163"/>
      <c r="CV1891" s="164">
        <f t="shared" si="239"/>
        <v>0</v>
      </c>
      <c r="CW1891" s="165"/>
      <c r="CX1891" s="166"/>
      <c r="CY1891" s="167"/>
      <c r="CZ1891" s="168"/>
      <c r="DA1891" s="169"/>
      <c r="DB1891" s="168"/>
      <c r="DC1891" s="165"/>
      <c r="DD1891" s="166"/>
      <c r="DE1891" s="71"/>
      <c r="DF1891" s="170"/>
      <c r="EO1891" s="375" t="str">
        <f t="shared" si="241"/>
        <v>NARIÑO_LA UNION</v>
      </c>
      <c r="EP1891" s="376"/>
      <c r="EQ1891" s="376"/>
      <c r="ER1891" s="377"/>
      <c r="ES1891" s="376"/>
      <c r="ET1891" s="376"/>
      <c r="EU1891" s="376"/>
    </row>
    <row r="1892" spans="1:151" s="171" customFormat="1" ht="25.5" x14ac:dyDescent="0.2">
      <c r="A1892" s="242">
        <v>40507</v>
      </c>
      <c r="B1892" s="222" t="s">
        <v>2245</v>
      </c>
      <c r="C1892" s="222" t="s">
        <v>2921</v>
      </c>
      <c r="D1892" s="430" t="s">
        <v>2307</v>
      </c>
      <c r="E1892" s="107" t="str">
        <f>VLOOKUP(B1892&amp;C1892,Divipola!$C$2:$F$1138,4,FALSE)</f>
        <v>52788</v>
      </c>
      <c r="F1892" s="333"/>
      <c r="G1892" s="221"/>
      <c r="H1892" s="157"/>
      <c r="I1892" s="157"/>
      <c r="J1892" s="157">
        <f>288-99</f>
        <v>189</v>
      </c>
      <c r="K1892" s="157">
        <v>40</v>
      </c>
      <c r="L1892" s="157">
        <v>3</v>
      </c>
      <c r="M1892" s="157">
        <v>2</v>
      </c>
      <c r="N1892" s="157"/>
      <c r="O1892" s="157"/>
      <c r="P1892" s="157"/>
      <c r="Q1892" s="157"/>
      <c r="R1892" s="157"/>
      <c r="S1892" s="157"/>
      <c r="T1892" s="157"/>
      <c r="U1892" s="157"/>
      <c r="V1892" s="158"/>
      <c r="W1892" s="182"/>
      <c r="X1892" s="1"/>
      <c r="Y1892" s="78">
        <f t="shared" si="236"/>
        <v>0</v>
      </c>
      <c r="Z1892" s="78">
        <f t="shared" si="237"/>
        <v>0</v>
      </c>
      <c r="AA1892" s="78">
        <f t="shared" si="235"/>
        <v>0</v>
      </c>
      <c r="AB1892" s="78">
        <f t="shared" si="238"/>
        <v>0</v>
      </c>
      <c r="AC1892" s="78"/>
      <c r="AD1892" s="78">
        <v>0</v>
      </c>
      <c r="AE1892" s="80">
        <f t="shared" si="240"/>
        <v>0</v>
      </c>
      <c r="AF1892" s="82">
        <v>0</v>
      </c>
      <c r="AG1892" s="69">
        <v>40507</v>
      </c>
      <c r="AH1892" s="84"/>
      <c r="AI1892" s="69" t="s">
        <v>1984</v>
      </c>
      <c r="AJ1892" s="25" t="s">
        <v>1985</v>
      </c>
      <c r="AK1892" s="65"/>
      <c r="AL1892" s="176" t="s">
        <v>1257</v>
      </c>
      <c r="AM1892" s="173" t="s">
        <v>1268</v>
      </c>
      <c r="AN1892" s="159"/>
      <c r="AO1892" s="160"/>
      <c r="AP1892" s="161"/>
      <c r="AQ1892" s="160"/>
      <c r="AR1892" s="160"/>
      <c r="AS1892" s="160"/>
      <c r="AT1892" s="160"/>
      <c r="AU1892" s="160"/>
      <c r="AV1892" s="160"/>
      <c r="AW1892" s="160"/>
      <c r="AX1892" s="160"/>
      <c r="AY1892" s="160"/>
      <c r="AZ1892" s="160"/>
      <c r="BA1892" s="160"/>
      <c r="BB1892" s="160"/>
      <c r="BC1892" s="160"/>
      <c r="BD1892" s="160"/>
      <c r="BE1892" s="160"/>
      <c r="BF1892" s="160"/>
      <c r="BG1892" s="160"/>
      <c r="BH1892" s="160"/>
      <c r="BI1892" s="160"/>
      <c r="BJ1892" s="160"/>
      <c r="BK1892" s="160"/>
      <c r="BL1892" s="160"/>
      <c r="BM1892" s="160"/>
      <c r="BN1892" s="160"/>
      <c r="BO1892" s="160"/>
      <c r="BP1892" s="160"/>
      <c r="BQ1892" s="160"/>
      <c r="BR1892" s="160"/>
      <c r="BS1892" s="160"/>
      <c r="BT1892" s="160"/>
      <c r="BU1892" s="160"/>
      <c r="BV1892" s="160"/>
      <c r="BW1892" s="160"/>
      <c r="BX1892" s="160"/>
      <c r="BY1892" s="160"/>
      <c r="BZ1892" s="160"/>
      <c r="CA1892" s="160"/>
      <c r="CB1892" s="160"/>
      <c r="CC1892" s="160"/>
      <c r="CD1892" s="160"/>
      <c r="CE1892" s="160"/>
      <c r="CF1892" s="160"/>
      <c r="CG1892" s="160"/>
      <c r="CH1892" s="160"/>
      <c r="CI1892" s="160"/>
      <c r="CJ1892" s="160"/>
      <c r="CK1892" s="160"/>
      <c r="CL1892" s="160"/>
      <c r="CM1892" s="160"/>
      <c r="CN1892" s="160"/>
      <c r="CO1892" s="160"/>
      <c r="CP1892" s="162"/>
      <c r="CQ1892" s="163"/>
      <c r="CR1892" s="162"/>
      <c r="CS1892" s="163"/>
      <c r="CT1892" s="162"/>
      <c r="CU1892" s="163"/>
      <c r="CV1892" s="164">
        <f t="shared" si="239"/>
        <v>0</v>
      </c>
      <c r="CW1892" s="165"/>
      <c r="CX1892" s="166"/>
      <c r="CY1892" s="167"/>
      <c r="CZ1892" s="168"/>
      <c r="DA1892" s="169"/>
      <c r="DB1892" s="168"/>
      <c r="DC1892" s="165"/>
      <c r="DD1892" s="166"/>
      <c r="DE1892" s="71"/>
      <c r="DF1892" s="170"/>
      <c r="EO1892" s="375" t="str">
        <f t="shared" si="241"/>
        <v>NARIÑO_TANGUA</v>
      </c>
      <c r="EP1892" s="376"/>
      <c r="EQ1892" s="376"/>
      <c r="ER1892" s="377"/>
      <c r="ES1892" s="376"/>
      <c r="ET1892" s="376"/>
      <c r="EU1892" s="376"/>
    </row>
    <row r="1893" spans="1:151" s="171" customFormat="1" ht="45" x14ac:dyDescent="0.2">
      <c r="A1893" s="242">
        <v>40507</v>
      </c>
      <c r="B1893" s="222" t="s">
        <v>2791</v>
      </c>
      <c r="C1893" s="222" t="s">
        <v>1997</v>
      </c>
      <c r="D1893" s="430" t="s">
        <v>837</v>
      </c>
      <c r="E1893" s="107" t="str">
        <f>VLOOKUP(B1893&amp;C1893,Divipola!$C$2:$F$1138,4,FALSE)</f>
        <v>73616</v>
      </c>
      <c r="F1893" s="333"/>
      <c r="G1893" s="221"/>
      <c r="H1893" s="157"/>
      <c r="I1893" s="157"/>
      <c r="J1893" s="157">
        <f>565*5</f>
        <v>2825</v>
      </c>
      <c r="K1893" s="157">
        <f>598-33</f>
        <v>565</v>
      </c>
      <c r="L1893" s="157">
        <f>23+5</f>
        <v>28</v>
      </c>
      <c r="M1893" s="157">
        <f>34+11</f>
        <v>45</v>
      </c>
      <c r="N1893" s="157"/>
      <c r="O1893" s="157"/>
      <c r="P1893" s="157">
        <v>2</v>
      </c>
      <c r="Q1893" s="157"/>
      <c r="R1893" s="157"/>
      <c r="S1893" s="157"/>
      <c r="T1893" s="157"/>
      <c r="U1893" s="157"/>
      <c r="V1893" s="158">
        <v>210</v>
      </c>
      <c r="W1893" s="182"/>
      <c r="X1893" s="1"/>
      <c r="Y1893" s="78">
        <f t="shared" si="236"/>
        <v>0</v>
      </c>
      <c r="Z1893" s="78">
        <f t="shared" si="237"/>
        <v>0</v>
      </c>
      <c r="AA1893" s="78">
        <f t="shared" si="235"/>
        <v>0</v>
      </c>
      <c r="AB1893" s="78">
        <f t="shared" si="238"/>
        <v>0</v>
      </c>
      <c r="AC1893" s="78"/>
      <c r="AD1893" s="78">
        <v>0</v>
      </c>
      <c r="AE1893" s="80">
        <f t="shared" si="240"/>
        <v>0</v>
      </c>
      <c r="AF1893" s="82">
        <v>0</v>
      </c>
      <c r="AG1893" s="69"/>
      <c r="AH1893" s="84"/>
      <c r="AI1893" s="69" t="s">
        <v>2009</v>
      </c>
      <c r="AJ1893" s="276" t="s">
        <v>2010</v>
      </c>
      <c r="AK1893" s="65"/>
      <c r="AL1893" s="272" t="s">
        <v>311</v>
      </c>
      <c r="AM1893" s="173" t="s">
        <v>321</v>
      </c>
      <c r="AN1893" s="159"/>
      <c r="AO1893" s="160"/>
      <c r="AP1893" s="161"/>
      <c r="AQ1893" s="160"/>
      <c r="AR1893" s="160"/>
      <c r="AS1893" s="160"/>
      <c r="AT1893" s="160"/>
      <c r="AU1893" s="160"/>
      <c r="AV1893" s="160"/>
      <c r="AW1893" s="160"/>
      <c r="AX1893" s="160"/>
      <c r="AY1893" s="160"/>
      <c r="AZ1893" s="160"/>
      <c r="BA1893" s="160"/>
      <c r="BB1893" s="160"/>
      <c r="BC1893" s="160"/>
      <c r="BD1893" s="160"/>
      <c r="BE1893" s="160"/>
      <c r="BF1893" s="160"/>
      <c r="BG1893" s="160"/>
      <c r="BH1893" s="160"/>
      <c r="BI1893" s="160"/>
      <c r="BJ1893" s="160"/>
      <c r="BK1893" s="160"/>
      <c r="BL1893" s="160"/>
      <c r="BM1893" s="160"/>
      <c r="BN1893" s="160"/>
      <c r="BO1893" s="160"/>
      <c r="BP1893" s="160"/>
      <c r="BQ1893" s="160"/>
      <c r="BR1893" s="160"/>
      <c r="BS1893" s="160"/>
      <c r="BT1893" s="160"/>
      <c r="BU1893" s="160"/>
      <c r="BV1893" s="160"/>
      <c r="BW1893" s="160"/>
      <c r="BX1893" s="160"/>
      <c r="BY1893" s="160"/>
      <c r="BZ1893" s="160"/>
      <c r="CA1893" s="160"/>
      <c r="CB1893" s="160"/>
      <c r="CC1893" s="160"/>
      <c r="CD1893" s="160"/>
      <c r="CE1893" s="160"/>
      <c r="CF1893" s="160"/>
      <c r="CG1893" s="160"/>
      <c r="CH1893" s="160"/>
      <c r="CI1893" s="160"/>
      <c r="CJ1893" s="160"/>
      <c r="CK1893" s="160"/>
      <c r="CL1893" s="160"/>
      <c r="CM1893" s="160"/>
      <c r="CN1893" s="160"/>
      <c r="CO1893" s="160"/>
      <c r="CP1893" s="162"/>
      <c r="CQ1893" s="163"/>
      <c r="CR1893" s="162"/>
      <c r="CS1893" s="163"/>
      <c r="CT1893" s="162"/>
      <c r="CU1893" s="163"/>
      <c r="CV1893" s="164">
        <f t="shared" si="239"/>
        <v>0</v>
      </c>
      <c r="CW1893" s="165"/>
      <c r="CX1893" s="166"/>
      <c r="CY1893" s="167"/>
      <c r="CZ1893" s="168"/>
      <c r="DA1893" s="169"/>
      <c r="DB1893" s="168"/>
      <c r="DC1893" s="165"/>
      <c r="DD1893" s="166"/>
      <c r="DE1893" s="71"/>
      <c r="DF1893" s="170"/>
      <c r="EO1893" s="375" t="str">
        <f t="shared" si="241"/>
        <v>TOLIMA_RIOBLANCO</v>
      </c>
      <c r="EP1893" s="376"/>
      <c r="EQ1893" s="376"/>
      <c r="ER1893" s="377"/>
      <c r="ES1893" s="376"/>
      <c r="ET1893" s="376"/>
      <c r="EU1893" s="376"/>
    </row>
    <row r="1894" spans="1:151" s="171" customFormat="1" ht="25.5" x14ac:dyDescent="0.2">
      <c r="A1894" s="242">
        <v>40507</v>
      </c>
      <c r="B1894" s="222" t="s">
        <v>2791</v>
      </c>
      <c r="C1894" s="222" t="s">
        <v>374</v>
      </c>
      <c r="D1894" s="430" t="s">
        <v>837</v>
      </c>
      <c r="E1894" s="107" t="str">
        <f>VLOOKUP(B1894&amp;C1894,Divipola!$C$2:$F$1138,4,FALSE)</f>
        <v>73671</v>
      </c>
      <c r="F1894" s="333"/>
      <c r="G1894" s="221"/>
      <c r="H1894" s="157"/>
      <c r="I1894" s="157"/>
      <c r="J1894" s="157">
        <v>275</v>
      </c>
      <c r="K1894" s="157">
        <v>61</v>
      </c>
      <c r="L1894" s="157"/>
      <c r="M1894" s="157"/>
      <c r="N1894" s="157"/>
      <c r="O1894" s="157"/>
      <c r="P1894" s="157"/>
      <c r="Q1894" s="157"/>
      <c r="R1894" s="157"/>
      <c r="S1894" s="157"/>
      <c r="T1894" s="157"/>
      <c r="U1894" s="157"/>
      <c r="V1894" s="158"/>
      <c r="W1894" s="182"/>
      <c r="X1894" s="1"/>
      <c r="Y1894" s="78">
        <f t="shared" si="236"/>
        <v>0</v>
      </c>
      <c r="Z1894" s="78">
        <f t="shared" si="237"/>
        <v>0</v>
      </c>
      <c r="AA1894" s="78">
        <f t="shared" si="235"/>
        <v>0</v>
      </c>
      <c r="AB1894" s="78">
        <f t="shared" si="238"/>
        <v>0</v>
      </c>
      <c r="AC1894" s="78"/>
      <c r="AD1894" s="78">
        <v>0</v>
      </c>
      <c r="AE1894" s="80">
        <f t="shared" si="240"/>
        <v>0</v>
      </c>
      <c r="AF1894" s="82">
        <v>0</v>
      </c>
      <c r="AG1894" s="69">
        <v>40581</v>
      </c>
      <c r="AH1894" s="84"/>
      <c r="AI1894" s="69" t="s">
        <v>1984</v>
      </c>
      <c r="AJ1894" s="25" t="s">
        <v>1985</v>
      </c>
      <c r="AK1894" s="65"/>
      <c r="AL1894" s="176" t="s">
        <v>1257</v>
      </c>
      <c r="AM1894" s="173" t="s">
        <v>349</v>
      </c>
      <c r="AN1894" s="159"/>
      <c r="AO1894" s="160"/>
      <c r="AP1894" s="161"/>
      <c r="AQ1894" s="160"/>
      <c r="AR1894" s="160"/>
      <c r="AS1894" s="160"/>
      <c r="AT1894" s="160"/>
      <c r="AU1894" s="160"/>
      <c r="AV1894" s="160"/>
      <c r="AW1894" s="160"/>
      <c r="AX1894" s="160"/>
      <c r="AY1894" s="160"/>
      <c r="AZ1894" s="160"/>
      <c r="BA1894" s="160"/>
      <c r="BB1894" s="160"/>
      <c r="BC1894" s="160"/>
      <c r="BD1894" s="160"/>
      <c r="BE1894" s="160"/>
      <c r="BF1894" s="160"/>
      <c r="BG1894" s="160"/>
      <c r="BH1894" s="160"/>
      <c r="BI1894" s="160"/>
      <c r="BJ1894" s="160"/>
      <c r="BK1894" s="160"/>
      <c r="BL1894" s="160"/>
      <c r="BM1894" s="160"/>
      <c r="BN1894" s="160"/>
      <c r="BO1894" s="160"/>
      <c r="BP1894" s="160"/>
      <c r="BQ1894" s="160"/>
      <c r="BR1894" s="160"/>
      <c r="BS1894" s="160"/>
      <c r="BT1894" s="160"/>
      <c r="BU1894" s="160"/>
      <c r="BV1894" s="160"/>
      <c r="BW1894" s="160"/>
      <c r="BX1894" s="160"/>
      <c r="BY1894" s="160"/>
      <c r="BZ1894" s="160"/>
      <c r="CA1894" s="160"/>
      <c r="CB1894" s="160"/>
      <c r="CC1894" s="160"/>
      <c r="CD1894" s="160"/>
      <c r="CE1894" s="160"/>
      <c r="CF1894" s="160"/>
      <c r="CG1894" s="160"/>
      <c r="CH1894" s="160"/>
      <c r="CI1894" s="160"/>
      <c r="CJ1894" s="160"/>
      <c r="CK1894" s="160"/>
      <c r="CL1894" s="160"/>
      <c r="CM1894" s="160"/>
      <c r="CN1894" s="160"/>
      <c r="CO1894" s="160"/>
      <c r="CP1894" s="162"/>
      <c r="CQ1894" s="163"/>
      <c r="CR1894" s="162"/>
      <c r="CS1894" s="163"/>
      <c r="CT1894" s="162"/>
      <c r="CU1894" s="163"/>
      <c r="CV1894" s="164">
        <f t="shared" si="239"/>
        <v>0</v>
      </c>
      <c r="CW1894" s="165"/>
      <c r="CX1894" s="166"/>
      <c r="CY1894" s="167"/>
      <c r="CZ1894" s="168"/>
      <c r="DA1894" s="169"/>
      <c r="DB1894" s="168"/>
      <c r="DC1894" s="165"/>
      <c r="DD1894" s="166"/>
      <c r="DE1894" s="71"/>
      <c r="DF1894" s="170"/>
      <c r="EO1894" s="375" t="str">
        <f t="shared" si="241"/>
        <v>TOLIMA_SALDAÑA</v>
      </c>
      <c r="EP1894" s="376"/>
      <c r="EQ1894" s="376"/>
      <c r="ER1894" s="377"/>
      <c r="ES1894" s="376"/>
      <c r="ET1894" s="376"/>
      <c r="EU1894" s="376"/>
    </row>
    <row r="1895" spans="1:151" s="171" customFormat="1" ht="51" x14ac:dyDescent="0.2">
      <c r="A1895" s="242">
        <v>40507</v>
      </c>
      <c r="B1895" s="222" t="s">
        <v>1462</v>
      </c>
      <c r="C1895" s="107" t="s">
        <v>4615</v>
      </c>
      <c r="D1895" s="430" t="s">
        <v>837</v>
      </c>
      <c r="E1895" s="107" t="str">
        <f>VLOOKUP(B1895&amp;C1895,Divipola!$C$2:$F$1138,4,FALSE)</f>
        <v>76001</v>
      </c>
      <c r="F1895" s="333"/>
      <c r="G1895" s="221"/>
      <c r="H1895" s="157"/>
      <c r="I1895" s="157"/>
      <c r="J1895" s="157">
        <f>198*5</f>
        <v>990</v>
      </c>
      <c r="K1895" s="157">
        <v>198</v>
      </c>
      <c r="L1895" s="157"/>
      <c r="M1895" s="157">
        <v>198</v>
      </c>
      <c r="N1895" s="157"/>
      <c r="O1895" s="157"/>
      <c r="P1895" s="157"/>
      <c r="Q1895" s="157"/>
      <c r="R1895" s="157"/>
      <c r="S1895" s="157"/>
      <c r="T1895" s="157"/>
      <c r="U1895" s="157"/>
      <c r="V1895" s="158"/>
      <c r="W1895" s="182"/>
      <c r="X1895" s="1"/>
      <c r="Y1895" s="78">
        <f t="shared" si="236"/>
        <v>0</v>
      </c>
      <c r="Z1895" s="78">
        <f t="shared" si="237"/>
        <v>0</v>
      </c>
      <c r="AA1895" s="78">
        <f t="shared" si="235"/>
        <v>0</v>
      </c>
      <c r="AB1895" s="78">
        <f t="shared" si="238"/>
        <v>0</v>
      </c>
      <c r="AC1895" s="78"/>
      <c r="AD1895" s="78">
        <v>0</v>
      </c>
      <c r="AE1895" s="80">
        <f t="shared" si="240"/>
        <v>0</v>
      </c>
      <c r="AF1895" s="82">
        <v>0</v>
      </c>
      <c r="AG1895" s="69">
        <v>40508</v>
      </c>
      <c r="AH1895" s="84"/>
      <c r="AI1895" s="69" t="s">
        <v>1984</v>
      </c>
      <c r="AJ1895" s="25" t="s">
        <v>1985</v>
      </c>
      <c r="AK1895" s="65"/>
      <c r="AL1895" s="176" t="s">
        <v>1257</v>
      </c>
      <c r="AM1895" s="173" t="s">
        <v>2908</v>
      </c>
      <c r="AN1895" s="159"/>
      <c r="AO1895" s="160"/>
      <c r="AP1895" s="161"/>
      <c r="AQ1895" s="160"/>
      <c r="AR1895" s="160"/>
      <c r="AS1895" s="160"/>
      <c r="AT1895" s="160"/>
      <c r="AU1895" s="160"/>
      <c r="AV1895" s="160"/>
      <c r="AW1895" s="160"/>
      <c r="AX1895" s="160"/>
      <c r="AY1895" s="160"/>
      <c r="AZ1895" s="160"/>
      <c r="BA1895" s="160"/>
      <c r="BB1895" s="160"/>
      <c r="BC1895" s="160"/>
      <c r="BD1895" s="160"/>
      <c r="BE1895" s="160"/>
      <c r="BF1895" s="160"/>
      <c r="BG1895" s="160"/>
      <c r="BH1895" s="160"/>
      <c r="BI1895" s="160"/>
      <c r="BJ1895" s="160"/>
      <c r="BK1895" s="160"/>
      <c r="BL1895" s="160"/>
      <c r="BM1895" s="160"/>
      <c r="BN1895" s="160"/>
      <c r="BO1895" s="160"/>
      <c r="BP1895" s="160"/>
      <c r="BQ1895" s="160"/>
      <c r="BR1895" s="160"/>
      <c r="BS1895" s="160"/>
      <c r="BT1895" s="160"/>
      <c r="BU1895" s="160"/>
      <c r="BV1895" s="160"/>
      <c r="BW1895" s="160"/>
      <c r="BX1895" s="160"/>
      <c r="BY1895" s="160"/>
      <c r="BZ1895" s="160"/>
      <c r="CA1895" s="160"/>
      <c r="CB1895" s="160"/>
      <c r="CC1895" s="160"/>
      <c r="CD1895" s="160"/>
      <c r="CE1895" s="160"/>
      <c r="CF1895" s="160"/>
      <c r="CG1895" s="160"/>
      <c r="CH1895" s="160"/>
      <c r="CI1895" s="160"/>
      <c r="CJ1895" s="160"/>
      <c r="CK1895" s="160"/>
      <c r="CL1895" s="160"/>
      <c r="CM1895" s="160"/>
      <c r="CN1895" s="160"/>
      <c r="CO1895" s="160"/>
      <c r="CP1895" s="162"/>
      <c r="CQ1895" s="163"/>
      <c r="CR1895" s="162"/>
      <c r="CS1895" s="163"/>
      <c r="CT1895" s="162"/>
      <c r="CU1895" s="163"/>
      <c r="CV1895" s="164">
        <f t="shared" si="239"/>
        <v>0</v>
      </c>
      <c r="CW1895" s="165"/>
      <c r="CX1895" s="166"/>
      <c r="CY1895" s="167"/>
      <c r="CZ1895" s="168"/>
      <c r="DA1895" s="169"/>
      <c r="DB1895" s="168"/>
      <c r="DC1895" s="165"/>
      <c r="DD1895" s="166"/>
      <c r="DE1895" s="71"/>
      <c r="DF1895" s="170"/>
      <c r="EO1895" s="375" t="str">
        <f t="shared" si="241"/>
        <v>VALLE DEL CAUCA_CALI</v>
      </c>
      <c r="EP1895" s="376"/>
      <c r="EQ1895" s="376"/>
      <c r="ER1895" s="377"/>
      <c r="ES1895" s="376"/>
      <c r="ET1895" s="376"/>
      <c r="EU1895" s="376"/>
    </row>
    <row r="1896" spans="1:151" s="171" customFormat="1" ht="38.25" x14ac:dyDescent="0.2">
      <c r="A1896" s="242">
        <v>40507.530555555553</v>
      </c>
      <c r="B1896" s="107" t="s">
        <v>6305</v>
      </c>
      <c r="C1896" s="107" t="s">
        <v>6305</v>
      </c>
      <c r="D1896" s="430" t="s">
        <v>2307</v>
      </c>
      <c r="E1896" s="107" t="str">
        <f>VLOOKUP(B1896&amp;C1896,Divipola!$C$2:$F$1138,4,FALSE)</f>
        <v>11001</v>
      </c>
      <c r="F1896" s="333"/>
      <c r="G1896" s="221"/>
      <c r="H1896" s="157"/>
      <c r="I1896" s="157"/>
      <c r="J1896" s="157">
        <v>44</v>
      </c>
      <c r="K1896" s="414">
        <v>12</v>
      </c>
      <c r="L1896" s="157"/>
      <c r="M1896" s="157"/>
      <c r="N1896" s="157"/>
      <c r="O1896" s="157"/>
      <c r="P1896" s="157"/>
      <c r="Q1896" s="157"/>
      <c r="R1896" s="157"/>
      <c r="S1896" s="157"/>
      <c r="T1896" s="157"/>
      <c r="U1896" s="157"/>
      <c r="V1896" s="158"/>
      <c r="W1896" s="182"/>
      <c r="X1896" s="1"/>
      <c r="Y1896" s="78">
        <f t="shared" si="236"/>
        <v>0</v>
      </c>
      <c r="Z1896" s="78">
        <f t="shared" si="237"/>
        <v>0</v>
      </c>
      <c r="AA1896" s="78">
        <f t="shared" si="235"/>
        <v>0</v>
      </c>
      <c r="AB1896" s="78">
        <f t="shared" si="238"/>
        <v>0</v>
      </c>
      <c r="AC1896" s="78"/>
      <c r="AD1896" s="78">
        <v>0</v>
      </c>
      <c r="AE1896" s="80">
        <f t="shared" si="240"/>
        <v>0</v>
      </c>
      <c r="AF1896" s="82">
        <v>0</v>
      </c>
      <c r="AG1896" s="306">
        <v>40624</v>
      </c>
      <c r="AH1896" s="307"/>
      <c r="AI1896" s="306" t="s">
        <v>1984</v>
      </c>
      <c r="AJ1896" s="308" t="s">
        <v>1985</v>
      </c>
      <c r="AK1896" s="309"/>
      <c r="AL1896" s="310" t="s">
        <v>1257</v>
      </c>
      <c r="AM1896" s="419" t="s">
        <v>3775</v>
      </c>
      <c r="AN1896" s="159"/>
      <c r="AO1896" s="160"/>
      <c r="AP1896" s="161"/>
      <c r="AQ1896" s="160"/>
      <c r="AR1896" s="160"/>
      <c r="AS1896" s="160"/>
      <c r="AT1896" s="160"/>
      <c r="AU1896" s="160"/>
      <c r="AV1896" s="160"/>
      <c r="AW1896" s="160"/>
      <c r="AX1896" s="160"/>
      <c r="AY1896" s="160"/>
      <c r="AZ1896" s="160"/>
      <c r="BA1896" s="160"/>
      <c r="BB1896" s="160"/>
      <c r="BC1896" s="160"/>
      <c r="BD1896" s="160"/>
      <c r="BE1896" s="160"/>
      <c r="BF1896" s="160"/>
      <c r="BG1896" s="160"/>
      <c r="BH1896" s="160"/>
      <c r="BI1896" s="160"/>
      <c r="BJ1896" s="160"/>
      <c r="BK1896" s="160"/>
      <c r="BL1896" s="160"/>
      <c r="BM1896" s="160"/>
      <c r="BN1896" s="160"/>
      <c r="BO1896" s="160"/>
      <c r="BP1896" s="160"/>
      <c r="BQ1896" s="160"/>
      <c r="BR1896" s="160"/>
      <c r="BS1896" s="160"/>
      <c r="BT1896" s="160"/>
      <c r="BU1896" s="160"/>
      <c r="BV1896" s="160"/>
      <c r="BW1896" s="160"/>
      <c r="BX1896" s="160"/>
      <c r="BY1896" s="160"/>
      <c r="BZ1896" s="160"/>
      <c r="CA1896" s="160"/>
      <c r="CB1896" s="160"/>
      <c r="CC1896" s="160"/>
      <c r="CD1896" s="160"/>
      <c r="CE1896" s="160"/>
      <c r="CF1896" s="160"/>
      <c r="CG1896" s="160"/>
      <c r="CH1896" s="160"/>
      <c r="CI1896" s="160"/>
      <c r="CJ1896" s="160"/>
      <c r="CK1896" s="160"/>
      <c r="CL1896" s="160"/>
      <c r="CM1896" s="160"/>
      <c r="CN1896" s="160"/>
      <c r="CO1896" s="160"/>
      <c r="CP1896" s="162"/>
      <c r="CQ1896" s="163"/>
      <c r="CR1896" s="162"/>
      <c r="CS1896" s="163"/>
      <c r="CT1896" s="162"/>
      <c r="CU1896" s="163"/>
      <c r="CV1896" s="164">
        <f t="shared" si="239"/>
        <v>0</v>
      </c>
      <c r="CW1896" s="165"/>
      <c r="CX1896" s="166"/>
      <c r="CY1896" s="167"/>
      <c r="CZ1896" s="168"/>
      <c r="DA1896" s="169"/>
      <c r="DB1896" s="168"/>
      <c r="DC1896" s="165"/>
      <c r="DD1896" s="166"/>
      <c r="DE1896" s="71"/>
      <c r="DF1896" s="170"/>
      <c r="EO1896" s="375" t="str">
        <f t="shared" si="241"/>
        <v>BOGOTA, D.C._BOGOTA, D.C.</v>
      </c>
      <c r="EP1896" s="376"/>
      <c r="EQ1896" s="376"/>
      <c r="ER1896" s="377"/>
      <c r="ES1896" s="376"/>
      <c r="ET1896" s="376"/>
      <c r="EU1896" s="376"/>
    </row>
    <row r="1897" spans="1:151" s="171" customFormat="1" ht="45" x14ac:dyDescent="0.2">
      <c r="A1897" s="242">
        <v>40508</v>
      </c>
      <c r="B1897" s="222" t="s">
        <v>1333</v>
      </c>
      <c r="C1897" s="222" t="s">
        <v>2770</v>
      </c>
      <c r="D1897" s="430" t="s">
        <v>2209</v>
      </c>
      <c r="E1897" s="107" t="str">
        <f>VLOOKUP(B1897&amp;C1897,Divipola!$C$2:$F$1138,4,FALSE)</f>
        <v>41206</v>
      </c>
      <c r="F1897" s="333"/>
      <c r="G1897" s="221"/>
      <c r="H1897" s="157"/>
      <c r="I1897" s="157"/>
      <c r="J1897" s="157">
        <v>20</v>
      </c>
      <c r="K1897" s="157">
        <v>4</v>
      </c>
      <c r="L1897" s="157"/>
      <c r="M1897" s="157">
        <v>4</v>
      </c>
      <c r="N1897" s="157"/>
      <c r="O1897" s="157"/>
      <c r="P1897" s="157"/>
      <c r="Q1897" s="157"/>
      <c r="R1897" s="157"/>
      <c r="S1897" s="157"/>
      <c r="T1897" s="157"/>
      <c r="U1897" s="157"/>
      <c r="V1897" s="158"/>
      <c r="W1897" s="182"/>
      <c r="X1897" s="1"/>
      <c r="Y1897" s="78">
        <f t="shared" si="236"/>
        <v>0</v>
      </c>
      <c r="Z1897" s="78">
        <f t="shared" si="237"/>
        <v>0</v>
      </c>
      <c r="AA1897" s="78">
        <f t="shared" si="235"/>
        <v>0</v>
      </c>
      <c r="AB1897" s="78">
        <f t="shared" si="238"/>
        <v>0</v>
      </c>
      <c r="AC1897" s="78"/>
      <c r="AD1897" s="78">
        <v>0</v>
      </c>
      <c r="AE1897" s="80">
        <f t="shared" si="240"/>
        <v>0</v>
      </c>
      <c r="AF1897" s="82">
        <v>0</v>
      </c>
      <c r="AG1897" s="69">
        <v>40508</v>
      </c>
      <c r="AH1897" s="84"/>
      <c r="AI1897" s="69" t="s">
        <v>2009</v>
      </c>
      <c r="AJ1897" s="276" t="s">
        <v>2010</v>
      </c>
      <c r="AK1897" s="65"/>
      <c r="AL1897" s="272" t="s">
        <v>311</v>
      </c>
      <c r="AM1897" s="173" t="s">
        <v>2963</v>
      </c>
      <c r="AN1897" s="159"/>
      <c r="AO1897" s="160"/>
      <c r="AP1897" s="161"/>
      <c r="AQ1897" s="160"/>
      <c r="AR1897" s="160"/>
      <c r="AS1897" s="160"/>
      <c r="AT1897" s="160"/>
      <c r="AU1897" s="160"/>
      <c r="AV1897" s="160"/>
      <c r="AW1897" s="160"/>
      <c r="AX1897" s="160"/>
      <c r="AY1897" s="160"/>
      <c r="AZ1897" s="160"/>
      <c r="BA1897" s="160"/>
      <c r="BB1897" s="160"/>
      <c r="BC1897" s="160"/>
      <c r="BD1897" s="160"/>
      <c r="BE1897" s="160"/>
      <c r="BF1897" s="160"/>
      <c r="BG1897" s="160"/>
      <c r="BH1897" s="160"/>
      <c r="BI1897" s="160"/>
      <c r="BJ1897" s="160"/>
      <c r="BK1897" s="160"/>
      <c r="BL1897" s="160"/>
      <c r="BM1897" s="160"/>
      <c r="BN1897" s="160"/>
      <c r="BO1897" s="160"/>
      <c r="BP1897" s="160"/>
      <c r="BQ1897" s="160"/>
      <c r="BR1897" s="160"/>
      <c r="BS1897" s="160"/>
      <c r="BT1897" s="160"/>
      <c r="BU1897" s="160"/>
      <c r="BV1897" s="160"/>
      <c r="BW1897" s="160"/>
      <c r="BX1897" s="160"/>
      <c r="BY1897" s="160"/>
      <c r="BZ1897" s="160"/>
      <c r="CA1897" s="160"/>
      <c r="CB1897" s="160"/>
      <c r="CC1897" s="160"/>
      <c r="CD1897" s="160"/>
      <c r="CE1897" s="160"/>
      <c r="CF1897" s="160"/>
      <c r="CG1897" s="160"/>
      <c r="CH1897" s="160"/>
      <c r="CI1897" s="160"/>
      <c r="CJ1897" s="160"/>
      <c r="CK1897" s="160"/>
      <c r="CL1897" s="160"/>
      <c r="CM1897" s="160"/>
      <c r="CN1897" s="160"/>
      <c r="CO1897" s="160"/>
      <c r="CP1897" s="162"/>
      <c r="CQ1897" s="163"/>
      <c r="CR1897" s="162"/>
      <c r="CS1897" s="163"/>
      <c r="CT1897" s="162"/>
      <c r="CU1897" s="163"/>
      <c r="CV1897" s="164">
        <f t="shared" si="239"/>
        <v>0</v>
      </c>
      <c r="CW1897" s="165"/>
      <c r="CX1897" s="166"/>
      <c r="CY1897" s="167"/>
      <c r="CZ1897" s="168"/>
      <c r="DA1897" s="169"/>
      <c r="DB1897" s="168"/>
      <c r="DC1897" s="165"/>
      <c r="DD1897" s="166"/>
      <c r="DE1897" s="71"/>
      <c r="DF1897" s="170"/>
      <c r="EO1897" s="375" t="str">
        <f t="shared" si="241"/>
        <v>HUILA_COLOMBIA</v>
      </c>
      <c r="EP1897" s="376"/>
      <c r="EQ1897" s="376"/>
      <c r="ER1897" s="377"/>
      <c r="ES1897" s="376"/>
      <c r="ET1897" s="376"/>
      <c r="EU1897" s="376"/>
    </row>
    <row r="1898" spans="1:151" s="171" customFormat="1" ht="45" x14ac:dyDescent="0.2">
      <c r="A1898" s="242">
        <v>40508</v>
      </c>
      <c r="B1898" s="222" t="s">
        <v>1333</v>
      </c>
      <c r="C1898" s="222" t="s">
        <v>2770</v>
      </c>
      <c r="D1898" s="430" t="s">
        <v>2209</v>
      </c>
      <c r="E1898" s="107" t="str">
        <f>VLOOKUP(B1898&amp;C1898,Divipola!$C$2:$F$1138,4,FALSE)</f>
        <v>41206</v>
      </c>
      <c r="F1898" s="333"/>
      <c r="G1898" s="221"/>
      <c r="H1898" s="157"/>
      <c r="I1898" s="157"/>
      <c r="J1898" s="157">
        <v>20</v>
      </c>
      <c r="K1898" s="157">
        <v>4</v>
      </c>
      <c r="L1898" s="157"/>
      <c r="M1898" s="157">
        <v>4</v>
      </c>
      <c r="N1898" s="157"/>
      <c r="O1898" s="157"/>
      <c r="P1898" s="157"/>
      <c r="Q1898" s="157"/>
      <c r="R1898" s="157"/>
      <c r="S1898" s="157"/>
      <c r="T1898" s="157"/>
      <c r="U1898" s="157"/>
      <c r="V1898" s="158"/>
      <c r="W1898" s="182"/>
      <c r="X1898" s="1"/>
      <c r="Y1898" s="78">
        <f t="shared" si="236"/>
        <v>0</v>
      </c>
      <c r="Z1898" s="78">
        <f t="shared" si="237"/>
        <v>0</v>
      </c>
      <c r="AA1898" s="78">
        <f t="shared" si="235"/>
        <v>0</v>
      </c>
      <c r="AB1898" s="78">
        <f t="shared" si="238"/>
        <v>0</v>
      </c>
      <c r="AC1898" s="78"/>
      <c r="AD1898" s="78">
        <v>0</v>
      </c>
      <c r="AE1898" s="80">
        <f t="shared" si="240"/>
        <v>0</v>
      </c>
      <c r="AF1898" s="82">
        <v>0</v>
      </c>
      <c r="AG1898" s="69">
        <v>40508</v>
      </c>
      <c r="AH1898" s="84"/>
      <c r="AI1898" s="69" t="s">
        <v>2009</v>
      </c>
      <c r="AJ1898" s="276" t="s">
        <v>2010</v>
      </c>
      <c r="AK1898" s="65"/>
      <c r="AL1898" s="272" t="s">
        <v>311</v>
      </c>
      <c r="AM1898" s="173" t="s">
        <v>910</v>
      </c>
      <c r="AN1898" s="159"/>
      <c r="AO1898" s="160"/>
      <c r="AP1898" s="161"/>
      <c r="AQ1898" s="160"/>
      <c r="AR1898" s="160"/>
      <c r="AS1898" s="160"/>
      <c r="AT1898" s="160"/>
      <c r="AU1898" s="160"/>
      <c r="AV1898" s="160"/>
      <c r="AW1898" s="160"/>
      <c r="AX1898" s="160"/>
      <c r="AY1898" s="160"/>
      <c r="AZ1898" s="160"/>
      <c r="BA1898" s="160"/>
      <c r="BB1898" s="160"/>
      <c r="BC1898" s="160"/>
      <c r="BD1898" s="160"/>
      <c r="BE1898" s="160"/>
      <c r="BF1898" s="160"/>
      <c r="BG1898" s="160"/>
      <c r="BH1898" s="160"/>
      <c r="BI1898" s="160"/>
      <c r="BJ1898" s="160"/>
      <c r="BK1898" s="160"/>
      <c r="BL1898" s="160"/>
      <c r="BM1898" s="160"/>
      <c r="BN1898" s="160"/>
      <c r="BO1898" s="160"/>
      <c r="BP1898" s="160"/>
      <c r="BQ1898" s="160"/>
      <c r="BR1898" s="160"/>
      <c r="BS1898" s="160"/>
      <c r="BT1898" s="160"/>
      <c r="BU1898" s="160"/>
      <c r="BV1898" s="160"/>
      <c r="BW1898" s="160"/>
      <c r="BX1898" s="160"/>
      <c r="BY1898" s="160"/>
      <c r="BZ1898" s="160"/>
      <c r="CA1898" s="160"/>
      <c r="CB1898" s="160"/>
      <c r="CC1898" s="160"/>
      <c r="CD1898" s="160"/>
      <c r="CE1898" s="160"/>
      <c r="CF1898" s="160"/>
      <c r="CG1898" s="160"/>
      <c r="CH1898" s="160"/>
      <c r="CI1898" s="160"/>
      <c r="CJ1898" s="160"/>
      <c r="CK1898" s="160"/>
      <c r="CL1898" s="160"/>
      <c r="CM1898" s="160"/>
      <c r="CN1898" s="160"/>
      <c r="CO1898" s="160"/>
      <c r="CP1898" s="162"/>
      <c r="CQ1898" s="163"/>
      <c r="CR1898" s="162"/>
      <c r="CS1898" s="163"/>
      <c r="CT1898" s="162"/>
      <c r="CU1898" s="163"/>
      <c r="CV1898" s="164">
        <f t="shared" si="239"/>
        <v>0</v>
      </c>
      <c r="CW1898" s="165"/>
      <c r="CX1898" s="166"/>
      <c r="CY1898" s="167"/>
      <c r="CZ1898" s="168"/>
      <c r="DA1898" s="169"/>
      <c r="DB1898" s="168"/>
      <c r="DC1898" s="165"/>
      <c r="DD1898" s="166"/>
      <c r="DE1898" s="71"/>
      <c r="DF1898" s="170"/>
      <c r="EO1898" s="375" t="str">
        <f t="shared" si="241"/>
        <v>HUILA_COLOMBIA</v>
      </c>
      <c r="EP1898" s="376"/>
      <c r="EQ1898" s="376"/>
      <c r="ER1898" s="377"/>
      <c r="ES1898" s="376"/>
      <c r="ET1898" s="376"/>
      <c r="EU1898" s="376"/>
    </row>
    <row r="1899" spans="1:151" s="171" customFormat="1" ht="38.25" x14ac:dyDescent="0.2">
      <c r="A1899" s="242">
        <v>40508</v>
      </c>
      <c r="B1899" s="222" t="s">
        <v>1836</v>
      </c>
      <c r="C1899" s="222" t="s">
        <v>1880</v>
      </c>
      <c r="D1899" s="430" t="s">
        <v>837</v>
      </c>
      <c r="E1899" s="107" t="str">
        <f>VLOOKUP(B1899&amp;C1899,Divipola!$C$2:$F$1138,4,FALSE)</f>
        <v>47798</v>
      </c>
      <c r="F1899" s="333"/>
      <c r="G1899" s="221"/>
      <c r="H1899" s="157"/>
      <c r="I1899" s="157"/>
      <c r="J1899" s="157">
        <v>840</v>
      </c>
      <c r="K1899" s="157">
        <v>168</v>
      </c>
      <c r="L1899" s="157">
        <v>20</v>
      </c>
      <c r="M1899" s="157"/>
      <c r="N1899" s="157"/>
      <c r="O1899" s="157"/>
      <c r="P1899" s="157"/>
      <c r="Q1899" s="157"/>
      <c r="R1899" s="157"/>
      <c r="S1899" s="157"/>
      <c r="T1899" s="157"/>
      <c r="U1899" s="157"/>
      <c r="V1899" s="158"/>
      <c r="W1899" s="182"/>
      <c r="X1899" s="1"/>
      <c r="Y1899" s="78">
        <f t="shared" si="236"/>
        <v>55660000</v>
      </c>
      <c r="Z1899" s="78">
        <f t="shared" si="237"/>
        <v>121040000</v>
      </c>
      <c r="AA1899" s="78">
        <f t="shared" si="235"/>
        <v>0</v>
      </c>
      <c r="AB1899" s="78">
        <f t="shared" si="238"/>
        <v>0</v>
      </c>
      <c r="AC1899" s="78"/>
      <c r="AD1899" s="78">
        <v>0</v>
      </c>
      <c r="AE1899" s="80">
        <f t="shared" si="240"/>
        <v>176700000</v>
      </c>
      <c r="AF1899" s="82">
        <v>0</v>
      </c>
      <c r="AG1899" s="69">
        <v>40512</v>
      </c>
      <c r="AH1899" s="84"/>
      <c r="AI1899" s="69" t="s">
        <v>2009</v>
      </c>
      <c r="AJ1899" s="25" t="s">
        <v>2010</v>
      </c>
      <c r="AK1899" s="65"/>
      <c r="AL1899" s="176" t="s">
        <v>1257</v>
      </c>
      <c r="AM1899" s="173" t="s">
        <v>1150</v>
      </c>
      <c r="AN1899" s="159"/>
      <c r="AO1899" s="160"/>
      <c r="AP1899" s="161"/>
      <c r="AQ1899" s="160"/>
      <c r="AR1899" s="160"/>
      <c r="AS1899" s="160"/>
      <c r="AT1899" s="160"/>
      <c r="AU1899" s="160"/>
      <c r="AV1899" s="160"/>
      <c r="AW1899" s="160"/>
      <c r="AX1899" s="160"/>
      <c r="AY1899" s="160"/>
      <c r="AZ1899" s="160"/>
      <c r="BA1899" s="160"/>
      <c r="BB1899" s="160"/>
      <c r="BC1899" s="160"/>
      <c r="BD1899" s="160"/>
      <c r="BE1899" s="160"/>
      <c r="BF1899" s="160"/>
      <c r="BG1899" s="160"/>
      <c r="BH1899" s="160"/>
      <c r="BI1899" s="160"/>
      <c r="BJ1899" s="160"/>
      <c r="BK1899" s="160"/>
      <c r="BL1899" s="160">
        <v>400</v>
      </c>
      <c r="BM1899" s="160">
        <f>400*25500</f>
        <v>10200000</v>
      </c>
      <c r="BN1899" s="160"/>
      <c r="BO1899" s="160"/>
      <c r="BP1899" s="160"/>
      <c r="BQ1899" s="160"/>
      <c r="BR1899" s="160"/>
      <c r="BS1899" s="160"/>
      <c r="BT1899" s="160"/>
      <c r="BU1899" s="160"/>
      <c r="BV1899" s="160"/>
      <c r="BW1899" s="160"/>
      <c r="BX1899" s="160"/>
      <c r="BY1899" s="160"/>
      <c r="BZ1899" s="160">
        <v>18</v>
      </c>
      <c r="CA1899" s="160">
        <f>18*470000</f>
        <v>8460000</v>
      </c>
      <c r="CB1899" s="160"/>
      <c r="CC1899" s="160"/>
      <c r="CD1899" s="160"/>
      <c r="CE1899" s="160"/>
      <c r="CF1899" s="160"/>
      <c r="CG1899" s="160"/>
      <c r="CH1899" s="160"/>
      <c r="CI1899" s="160"/>
      <c r="CJ1899" s="160"/>
      <c r="CK1899" s="160"/>
      <c r="CL1899" s="160"/>
      <c r="CM1899" s="160"/>
      <c r="CN1899" s="160"/>
      <c r="CO1899" s="160"/>
      <c r="CP1899" s="162">
        <v>1000</v>
      </c>
      <c r="CQ1899" s="163">
        <f>1000*37000</f>
        <v>37000000</v>
      </c>
      <c r="CR1899" s="162"/>
      <c r="CS1899" s="163"/>
      <c r="CT1899" s="162"/>
      <c r="CU1899" s="163"/>
      <c r="CV1899" s="164">
        <f t="shared" si="239"/>
        <v>55660000</v>
      </c>
      <c r="CW1899" s="165"/>
      <c r="CX1899" s="166"/>
      <c r="CY1899" s="167">
        <v>1424</v>
      </c>
      <c r="CZ1899" s="168">
        <f>1424*85000</f>
        <v>121040000</v>
      </c>
      <c r="DA1899" s="169"/>
      <c r="DB1899" s="168"/>
      <c r="DC1899" s="165"/>
      <c r="DD1899" s="166"/>
      <c r="DE1899" s="71"/>
      <c r="DF1899" s="170"/>
      <c r="EO1899" s="375" t="str">
        <f t="shared" si="241"/>
        <v>MAGDALENA_TENERIFE</v>
      </c>
      <c r="EP1899" s="376"/>
      <c r="EQ1899" s="376"/>
      <c r="ER1899" s="377"/>
      <c r="ES1899" s="376"/>
      <c r="ET1899" s="376"/>
      <c r="EU1899" s="376"/>
    </row>
    <row r="1900" spans="1:151" s="171" customFormat="1" ht="38.25" x14ac:dyDescent="0.2">
      <c r="A1900" s="242">
        <v>40508</v>
      </c>
      <c r="B1900" s="222" t="s">
        <v>1336</v>
      </c>
      <c r="C1900" s="222" t="s">
        <v>385</v>
      </c>
      <c r="D1900" s="430" t="s">
        <v>2307</v>
      </c>
      <c r="E1900" s="107" t="str">
        <f>VLOOKUP(B1900&amp;C1900,Divipola!$C$2:$F$1138,4,FALSE)</f>
        <v>54125</v>
      </c>
      <c r="F1900" s="333"/>
      <c r="G1900" s="221"/>
      <c r="H1900" s="157"/>
      <c r="I1900" s="157"/>
      <c r="J1900" s="157">
        <f>397*5</f>
        <v>1985</v>
      </c>
      <c r="K1900" s="157">
        <f>92+305</f>
        <v>397</v>
      </c>
      <c r="L1900" s="157">
        <v>2</v>
      </c>
      <c r="M1900" s="157">
        <v>395</v>
      </c>
      <c r="N1900" s="157"/>
      <c r="O1900" s="157"/>
      <c r="P1900" s="157"/>
      <c r="Q1900" s="157"/>
      <c r="R1900" s="157"/>
      <c r="S1900" s="157"/>
      <c r="T1900" s="157">
        <v>11</v>
      </c>
      <c r="U1900" s="157"/>
      <c r="V1900" s="158"/>
      <c r="W1900" s="182"/>
      <c r="X1900" s="1"/>
      <c r="Y1900" s="78">
        <f t="shared" si="236"/>
        <v>0</v>
      </c>
      <c r="Z1900" s="78">
        <f t="shared" si="237"/>
        <v>0</v>
      </c>
      <c r="AA1900" s="78">
        <f t="shared" si="235"/>
        <v>0</v>
      </c>
      <c r="AB1900" s="78">
        <f t="shared" si="238"/>
        <v>0</v>
      </c>
      <c r="AC1900" s="78"/>
      <c r="AD1900" s="78">
        <v>0</v>
      </c>
      <c r="AE1900" s="80">
        <f t="shared" si="240"/>
        <v>0</v>
      </c>
      <c r="AF1900" s="82">
        <v>0</v>
      </c>
      <c r="AG1900" s="69">
        <v>40581</v>
      </c>
      <c r="AH1900" s="84"/>
      <c r="AI1900" s="69" t="s">
        <v>1984</v>
      </c>
      <c r="AJ1900" s="25" t="s">
        <v>1985</v>
      </c>
      <c r="AK1900" s="65"/>
      <c r="AL1900" s="176" t="s">
        <v>1257</v>
      </c>
      <c r="AM1900" s="173" t="s">
        <v>349</v>
      </c>
      <c r="AN1900" s="159"/>
      <c r="AO1900" s="160"/>
      <c r="AP1900" s="161"/>
      <c r="AQ1900" s="160"/>
      <c r="AR1900" s="160"/>
      <c r="AS1900" s="160"/>
      <c r="AT1900" s="160"/>
      <c r="AU1900" s="160"/>
      <c r="AV1900" s="160"/>
      <c r="AW1900" s="160"/>
      <c r="AX1900" s="160"/>
      <c r="AY1900" s="160"/>
      <c r="AZ1900" s="160"/>
      <c r="BA1900" s="160"/>
      <c r="BB1900" s="160"/>
      <c r="BC1900" s="160"/>
      <c r="BD1900" s="160"/>
      <c r="BE1900" s="160"/>
      <c r="BF1900" s="160"/>
      <c r="BG1900" s="160"/>
      <c r="BH1900" s="160"/>
      <c r="BI1900" s="160"/>
      <c r="BJ1900" s="160"/>
      <c r="BK1900" s="160"/>
      <c r="BL1900" s="160"/>
      <c r="BM1900" s="160"/>
      <c r="BN1900" s="160"/>
      <c r="BO1900" s="160"/>
      <c r="BP1900" s="160"/>
      <c r="BQ1900" s="160"/>
      <c r="BR1900" s="160"/>
      <c r="BS1900" s="160"/>
      <c r="BT1900" s="160"/>
      <c r="BU1900" s="160"/>
      <c r="BV1900" s="160"/>
      <c r="BW1900" s="160"/>
      <c r="BX1900" s="160"/>
      <c r="BY1900" s="160"/>
      <c r="BZ1900" s="160"/>
      <c r="CA1900" s="160"/>
      <c r="CB1900" s="160"/>
      <c r="CC1900" s="160"/>
      <c r="CD1900" s="160"/>
      <c r="CE1900" s="160"/>
      <c r="CF1900" s="160"/>
      <c r="CG1900" s="160"/>
      <c r="CH1900" s="160"/>
      <c r="CI1900" s="160"/>
      <c r="CJ1900" s="160"/>
      <c r="CK1900" s="160"/>
      <c r="CL1900" s="160"/>
      <c r="CM1900" s="160"/>
      <c r="CN1900" s="160"/>
      <c r="CO1900" s="160"/>
      <c r="CP1900" s="162"/>
      <c r="CQ1900" s="163"/>
      <c r="CR1900" s="162"/>
      <c r="CS1900" s="163"/>
      <c r="CT1900" s="162"/>
      <c r="CU1900" s="163"/>
      <c r="CV1900" s="164">
        <f t="shared" si="239"/>
        <v>0</v>
      </c>
      <c r="CW1900" s="165"/>
      <c r="CX1900" s="166"/>
      <c r="CY1900" s="167"/>
      <c r="CZ1900" s="168"/>
      <c r="DA1900" s="169"/>
      <c r="DB1900" s="168"/>
      <c r="DC1900" s="165"/>
      <c r="DD1900" s="166"/>
      <c r="DE1900" s="71"/>
      <c r="DF1900" s="170"/>
      <c r="EO1900" s="375" t="str">
        <f t="shared" si="241"/>
        <v>NORTE DE SANTANDER_CACOTA</v>
      </c>
      <c r="EP1900" s="376"/>
      <c r="EQ1900" s="376"/>
      <c r="ER1900" s="377"/>
      <c r="ES1900" s="376"/>
      <c r="ET1900" s="376"/>
      <c r="EU1900" s="376"/>
    </row>
    <row r="1901" spans="1:151" s="171" customFormat="1" ht="25.5" x14ac:dyDescent="0.2">
      <c r="A1901" s="242">
        <v>40508</v>
      </c>
      <c r="B1901" s="222" t="s">
        <v>2012</v>
      </c>
      <c r="C1901" s="222" t="s">
        <v>2433</v>
      </c>
      <c r="D1901" s="430" t="s">
        <v>2307</v>
      </c>
      <c r="E1901" s="107" t="str">
        <f>VLOOKUP(B1901&amp;C1901,Divipola!$C$2:$F$1138,4,FALSE)</f>
        <v>66001</v>
      </c>
      <c r="F1901" s="333"/>
      <c r="G1901" s="221"/>
      <c r="H1901" s="157"/>
      <c r="I1901" s="157"/>
      <c r="J1901" s="157">
        <v>10</v>
      </c>
      <c r="K1901" s="157">
        <v>2</v>
      </c>
      <c r="L1901" s="157"/>
      <c r="M1901" s="157">
        <v>2</v>
      </c>
      <c r="N1901" s="157"/>
      <c r="O1901" s="157"/>
      <c r="P1901" s="157"/>
      <c r="Q1901" s="157"/>
      <c r="R1901" s="157"/>
      <c r="S1901" s="157"/>
      <c r="T1901" s="157"/>
      <c r="U1901" s="157"/>
      <c r="V1901" s="158"/>
      <c r="W1901" s="182"/>
      <c r="X1901" s="1"/>
      <c r="Y1901" s="78">
        <f t="shared" si="236"/>
        <v>0</v>
      </c>
      <c r="Z1901" s="78">
        <f t="shared" si="237"/>
        <v>0</v>
      </c>
      <c r="AA1901" s="78">
        <f t="shared" si="235"/>
        <v>0</v>
      </c>
      <c r="AB1901" s="78">
        <f t="shared" si="238"/>
        <v>0</v>
      </c>
      <c r="AC1901" s="78"/>
      <c r="AD1901" s="78">
        <v>0</v>
      </c>
      <c r="AE1901" s="80">
        <f t="shared" si="240"/>
        <v>0</v>
      </c>
      <c r="AF1901" s="82">
        <v>0</v>
      </c>
      <c r="AG1901" s="69">
        <v>40510</v>
      </c>
      <c r="AH1901" s="84"/>
      <c r="AI1901" s="69" t="s">
        <v>1984</v>
      </c>
      <c r="AJ1901" s="25" t="s">
        <v>1985</v>
      </c>
      <c r="AK1901" s="65"/>
      <c r="AL1901" s="176" t="s">
        <v>1257</v>
      </c>
      <c r="AM1901" s="173" t="s">
        <v>2932</v>
      </c>
      <c r="AN1901" s="159"/>
      <c r="AO1901" s="160"/>
      <c r="AP1901" s="161"/>
      <c r="AQ1901" s="160"/>
      <c r="AR1901" s="160"/>
      <c r="AS1901" s="160"/>
      <c r="AT1901" s="160"/>
      <c r="AU1901" s="160"/>
      <c r="AV1901" s="160"/>
      <c r="AW1901" s="160"/>
      <c r="AX1901" s="160"/>
      <c r="AY1901" s="160"/>
      <c r="AZ1901" s="160"/>
      <c r="BA1901" s="160"/>
      <c r="BB1901" s="160"/>
      <c r="BC1901" s="160"/>
      <c r="BD1901" s="160"/>
      <c r="BE1901" s="160"/>
      <c r="BF1901" s="160"/>
      <c r="BG1901" s="160"/>
      <c r="BH1901" s="160"/>
      <c r="BI1901" s="160"/>
      <c r="BJ1901" s="160"/>
      <c r="BK1901" s="160"/>
      <c r="BL1901" s="160"/>
      <c r="BM1901" s="160"/>
      <c r="BN1901" s="160"/>
      <c r="BO1901" s="160"/>
      <c r="BP1901" s="160"/>
      <c r="BQ1901" s="160"/>
      <c r="BR1901" s="160"/>
      <c r="BS1901" s="160"/>
      <c r="BT1901" s="160"/>
      <c r="BU1901" s="160"/>
      <c r="BV1901" s="160"/>
      <c r="BW1901" s="160"/>
      <c r="BX1901" s="160"/>
      <c r="BY1901" s="160"/>
      <c r="BZ1901" s="160"/>
      <c r="CA1901" s="160"/>
      <c r="CB1901" s="160"/>
      <c r="CC1901" s="160"/>
      <c r="CD1901" s="160"/>
      <c r="CE1901" s="160"/>
      <c r="CF1901" s="160"/>
      <c r="CG1901" s="160"/>
      <c r="CH1901" s="160"/>
      <c r="CI1901" s="160"/>
      <c r="CJ1901" s="160"/>
      <c r="CK1901" s="160"/>
      <c r="CL1901" s="160"/>
      <c r="CM1901" s="160"/>
      <c r="CN1901" s="160"/>
      <c r="CO1901" s="160"/>
      <c r="CP1901" s="162"/>
      <c r="CQ1901" s="163"/>
      <c r="CR1901" s="162"/>
      <c r="CS1901" s="163"/>
      <c r="CT1901" s="162"/>
      <c r="CU1901" s="163"/>
      <c r="CV1901" s="164">
        <f t="shared" si="239"/>
        <v>0</v>
      </c>
      <c r="CW1901" s="165"/>
      <c r="CX1901" s="166"/>
      <c r="CY1901" s="167"/>
      <c r="CZ1901" s="168"/>
      <c r="DA1901" s="169"/>
      <c r="DB1901" s="168"/>
      <c r="DC1901" s="165"/>
      <c r="DD1901" s="166"/>
      <c r="DE1901" s="71"/>
      <c r="DF1901" s="170"/>
      <c r="EO1901" s="375" t="str">
        <f t="shared" si="241"/>
        <v>RISARALDA_PEREIRA</v>
      </c>
      <c r="EP1901" s="376"/>
      <c r="EQ1901" s="376"/>
      <c r="ER1901" s="377"/>
      <c r="ES1901" s="376"/>
      <c r="ET1901" s="376"/>
      <c r="EU1901" s="376"/>
    </row>
    <row r="1902" spans="1:151" s="171" customFormat="1" ht="25.5" x14ac:dyDescent="0.2">
      <c r="A1902" s="242">
        <v>40508</v>
      </c>
      <c r="B1902" s="222" t="s">
        <v>2012</v>
      </c>
      <c r="C1902" s="222" t="s">
        <v>2433</v>
      </c>
      <c r="D1902" s="430" t="s">
        <v>1721</v>
      </c>
      <c r="E1902" s="107" t="str">
        <f>VLOOKUP(B1902&amp;C1902,Divipola!$C$2:$F$1138,4,FALSE)</f>
        <v>66001</v>
      </c>
      <c r="F1902" s="333"/>
      <c r="G1902" s="221"/>
      <c r="H1902" s="157"/>
      <c r="I1902" s="157"/>
      <c r="J1902" s="157">
        <v>10</v>
      </c>
      <c r="K1902" s="157">
        <v>2</v>
      </c>
      <c r="L1902" s="157"/>
      <c r="M1902" s="157">
        <v>1</v>
      </c>
      <c r="N1902" s="157"/>
      <c r="O1902" s="157"/>
      <c r="P1902" s="157"/>
      <c r="Q1902" s="157"/>
      <c r="R1902" s="157"/>
      <c r="S1902" s="157"/>
      <c r="T1902" s="157"/>
      <c r="U1902" s="157"/>
      <c r="V1902" s="158"/>
      <c r="W1902" s="182"/>
      <c r="X1902" s="1"/>
      <c r="Y1902" s="78">
        <f t="shared" si="236"/>
        <v>0</v>
      </c>
      <c r="Z1902" s="78">
        <f t="shared" si="237"/>
        <v>0</v>
      </c>
      <c r="AA1902" s="78">
        <f t="shared" si="235"/>
        <v>0</v>
      </c>
      <c r="AB1902" s="78">
        <f t="shared" si="238"/>
        <v>0</v>
      </c>
      <c r="AC1902" s="78"/>
      <c r="AD1902" s="78">
        <v>0</v>
      </c>
      <c r="AE1902" s="80">
        <f t="shared" si="240"/>
        <v>0</v>
      </c>
      <c r="AF1902" s="82">
        <v>0</v>
      </c>
      <c r="AG1902" s="69">
        <v>40510</v>
      </c>
      <c r="AH1902" s="84"/>
      <c r="AI1902" s="69" t="s">
        <v>1984</v>
      </c>
      <c r="AJ1902" s="25" t="s">
        <v>1985</v>
      </c>
      <c r="AK1902" s="65"/>
      <c r="AL1902" s="176" t="s">
        <v>1257</v>
      </c>
      <c r="AM1902" s="173" t="s">
        <v>2933</v>
      </c>
      <c r="AN1902" s="159"/>
      <c r="AO1902" s="160"/>
      <c r="AP1902" s="161"/>
      <c r="AQ1902" s="160"/>
      <c r="AR1902" s="160"/>
      <c r="AS1902" s="160"/>
      <c r="AT1902" s="160"/>
      <c r="AU1902" s="160"/>
      <c r="AV1902" s="160"/>
      <c r="AW1902" s="160"/>
      <c r="AX1902" s="160"/>
      <c r="AY1902" s="160"/>
      <c r="AZ1902" s="160"/>
      <c r="BA1902" s="160"/>
      <c r="BB1902" s="160"/>
      <c r="BC1902" s="160"/>
      <c r="BD1902" s="160"/>
      <c r="BE1902" s="160"/>
      <c r="BF1902" s="160"/>
      <c r="BG1902" s="160"/>
      <c r="BH1902" s="160"/>
      <c r="BI1902" s="160"/>
      <c r="BJ1902" s="160"/>
      <c r="BK1902" s="160"/>
      <c r="BL1902" s="160"/>
      <c r="BM1902" s="160"/>
      <c r="BN1902" s="160"/>
      <c r="BO1902" s="160"/>
      <c r="BP1902" s="160"/>
      <c r="BQ1902" s="160"/>
      <c r="BR1902" s="160"/>
      <c r="BS1902" s="160"/>
      <c r="BT1902" s="160"/>
      <c r="BU1902" s="160"/>
      <c r="BV1902" s="160"/>
      <c r="BW1902" s="160"/>
      <c r="BX1902" s="160"/>
      <c r="BY1902" s="160"/>
      <c r="BZ1902" s="160"/>
      <c r="CA1902" s="160"/>
      <c r="CB1902" s="160"/>
      <c r="CC1902" s="160"/>
      <c r="CD1902" s="160"/>
      <c r="CE1902" s="160"/>
      <c r="CF1902" s="160"/>
      <c r="CG1902" s="160"/>
      <c r="CH1902" s="160"/>
      <c r="CI1902" s="160"/>
      <c r="CJ1902" s="160"/>
      <c r="CK1902" s="160"/>
      <c r="CL1902" s="160"/>
      <c r="CM1902" s="160"/>
      <c r="CN1902" s="160"/>
      <c r="CO1902" s="160"/>
      <c r="CP1902" s="162"/>
      <c r="CQ1902" s="163"/>
      <c r="CR1902" s="162"/>
      <c r="CS1902" s="163"/>
      <c r="CT1902" s="162"/>
      <c r="CU1902" s="163"/>
      <c r="CV1902" s="164">
        <f t="shared" si="239"/>
        <v>0</v>
      </c>
      <c r="CW1902" s="165"/>
      <c r="CX1902" s="166"/>
      <c r="CY1902" s="167"/>
      <c r="CZ1902" s="168"/>
      <c r="DA1902" s="169"/>
      <c r="DB1902" s="168"/>
      <c r="DC1902" s="165"/>
      <c r="DD1902" s="166"/>
      <c r="DE1902" s="71"/>
      <c r="DF1902" s="170"/>
      <c r="EO1902" s="375" t="str">
        <f t="shared" si="241"/>
        <v>RISARALDA_PEREIRA</v>
      </c>
      <c r="EP1902" s="376"/>
      <c r="EQ1902" s="376"/>
      <c r="ER1902" s="377"/>
      <c r="ES1902" s="376"/>
      <c r="ET1902" s="376"/>
      <c r="EU1902" s="376"/>
    </row>
    <row r="1903" spans="1:151" s="171" customFormat="1" ht="38.25" x14ac:dyDescent="0.2">
      <c r="A1903" s="242">
        <v>40508</v>
      </c>
      <c r="B1903" s="222" t="s">
        <v>2427</v>
      </c>
      <c r="C1903" s="222" t="s">
        <v>2655</v>
      </c>
      <c r="D1903" s="430" t="s">
        <v>837</v>
      </c>
      <c r="E1903" s="107" t="str">
        <f>VLOOKUP(B1903&amp;C1903,Divipola!$C$2:$F$1138,4,FALSE)</f>
        <v>68615</v>
      </c>
      <c r="F1903" s="333"/>
      <c r="G1903" s="275"/>
      <c r="H1903" s="157"/>
      <c r="I1903" s="157"/>
      <c r="J1903" s="157">
        <v>250</v>
      </c>
      <c r="K1903" s="157">
        <v>50</v>
      </c>
      <c r="L1903" s="157"/>
      <c r="M1903" s="157"/>
      <c r="N1903" s="157"/>
      <c r="O1903" s="157"/>
      <c r="P1903" s="157"/>
      <c r="Q1903" s="157"/>
      <c r="R1903" s="157"/>
      <c r="S1903" s="157"/>
      <c r="T1903" s="157"/>
      <c r="U1903" s="157"/>
      <c r="V1903" s="158"/>
      <c r="W1903" s="182"/>
      <c r="X1903" s="1"/>
      <c r="Y1903" s="78">
        <f t="shared" si="236"/>
        <v>0</v>
      </c>
      <c r="Z1903" s="78">
        <f t="shared" si="237"/>
        <v>0</v>
      </c>
      <c r="AA1903" s="78">
        <f t="shared" si="235"/>
        <v>0</v>
      </c>
      <c r="AB1903" s="78">
        <f t="shared" si="238"/>
        <v>0</v>
      </c>
      <c r="AC1903" s="78"/>
      <c r="AD1903" s="78">
        <v>0</v>
      </c>
      <c r="AE1903" s="80">
        <f t="shared" si="240"/>
        <v>0</v>
      </c>
      <c r="AF1903" s="82">
        <v>0</v>
      </c>
      <c r="AG1903" s="69">
        <v>40510</v>
      </c>
      <c r="AH1903" s="84"/>
      <c r="AI1903" s="69" t="s">
        <v>1984</v>
      </c>
      <c r="AJ1903" s="25" t="s">
        <v>1985</v>
      </c>
      <c r="AK1903" s="65"/>
      <c r="AL1903" s="176" t="s">
        <v>1257</v>
      </c>
      <c r="AM1903" s="173" t="s">
        <v>2934</v>
      </c>
      <c r="AN1903" s="159"/>
      <c r="AO1903" s="160"/>
      <c r="AP1903" s="161"/>
      <c r="AQ1903" s="160"/>
      <c r="AR1903" s="160"/>
      <c r="AS1903" s="160"/>
      <c r="AT1903" s="160"/>
      <c r="AU1903" s="160"/>
      <c r="AV1903" s="160"/>
      <c r="AW1903" s="160"/>
      <c r="AX1903" s="160"/>
      <c r="AY1903" s="160"/>
      <c r="AZ1903" s="160"/>
      <c r="BA1903" s="160"/>
      <c r="BB1903" s="160"/>
      <c r="BC1903" s="160"/>
      <c r="BD1903" s="160"/>
      <c r="BE1903" s="160"/>
      <c r="BF1903" s="160"/>
      <c r="BG1903" s="160"/>
      <c r="BH1903" s="160"/>
      <c r="BI1903" s="160"/>
      <c r="BJ1903" s="160"/>
      <c r="BK1903" s="160"/>
      <c r="BL1903" s="160"/>
      <c r="BM1903" s="160"/>
      <c r="BN1903" s="160"/>
      <c r="BO1903" s="160"/>
      <c r="BP1903" s="160"/>
      <c r="BQ1903" s="160"/>
      <c r="BR1903" s="160"/>
      <c r="BS1903" s="160"/>
      <c r="BT1903" s="160"/>
      <c r="BU1903" s="160"/>
      <c r="BV1903" s="160"/>
      <c r="BW1903" s="160"/>
      <c r="BX1903" s="160"/>
      <c r="BY1903" s="160"/>
      <c r="BZ1903" s="160"/>
      <c r="CA1903" s="160"/>
      <c r="CB1903" s="160"/>
      <c r="CC1903" s="160"/>
      <c r="CD1903" s="160"/>
      <c r="CE1903" s="160"/>
      <c r="CF1903" s="160"/>
      <c r="CG1903" s="160"/>
      <c r="CH1903" s="160"/>
      <c r="CI1903" s="160"/>
      <c r="CJ1903" s="160"/>
      <c r="CK1903" s="160"/>
      <c r="CL1903" s="160"/>
      <c r="CM1903" s="160"/>
      <c r="CN1903" s="160"/>
      <c r="CO1903" s="160"/>
      <c r="CP1903" s="162"/>
      <c r="CQ1903" s="163"/>
      <c r="CR1903" s="162"/>
      <c r="CS1903" s="163"/>
      <c r="CT1903" s="162"/>
      <c r="CU1903" s="163"/>
      <c r="CV1903" s="164">
        <f t="shared" si="239"/>
        <v>0</v>
      </c>
      <c r="CW1903" s="165"/>
      <c r="CX1903" s="166"/>
      <c r="CY1903" s="167"/>
      <c r="CZ1903" s="168"/>
      <c r="DA1903" s="169"/>
      <c r="DB1903" s="168"/>
      <c r="DC1903" s="165"/>
      <c r="DD1903" s="166"/>
      <c r="DE1903" s="71"/>
      <c r="DF1903" s="170"/>
      <c r="EO1903" s="375" t="str">
        <f t="shared" si="241"/>
        <v>SANTANDER_RIONEGRO</v>
      </c>
      <c r="EP1903" s="376"/>
      <c r="EQ1903" s="376"/>
      <c r="ER1903" s="377"/>
      <c r="ES1903" s="376"/>
      <c r="ET1903" s="376"/>
      <c r="EU1903" s="376"/>
    </row>
    <row r="1904" spans="1:151" s="171" customFormat="1" ht="25.5" x14ac:dyDescent="0.2">
      <c r="A1904" s="242">
        <v>40509</v>
      </c>
      <c r="B1904" s="222" t="s">
        <v>1719</v>
      </c>
      <c r="C1904" s="222" t="s">
        <v>1558</v>
      </c>
      <c r="D1904" s="430" t="s">
        <v>2307</v>
      </c>
      <c r="E1904" s="107" t="str">
        <f>VLOOKUP(B1904&amp;C1904,Divipola!$C$2:$F$1138,4,FALSE)</f>
        <v>19780</v>
      </c>
      <c r="F1904" s="333"/>
      <c r="G1904" s="221">
        <v>1</v>
      </c>
      <c r="H1904" s="157"/>
      <c r="I1904" s="157"/>
      <c r="J1904" s="157">
        <f>1197*5</f>
        <v>5985</v>
      </c>
      <c r="K1904" s="157">
        <v>1197</v>
      </c>
      <c r="L1904" s="157"/>
      <c r="M1904" s="157">
        <v>962</v>
      </c>
      <c r="N1904" s="157"/>
      <c r="O1904" s="157"/>
      <c r="P1904" s="157"/>
      <c r="Q1904" s="157">
        <v>15</v>
      </c>
      <c r="R1904" s="157"/>
      <c r="S1904" s="157"/>
      <c r="T1904" s="157"/>
      <c r="U1904" s="157"/>
      <c r="V1904" s="158">
        <v>133</v>
      </c>
      <c r="W1904" s="182" t="s">
        <v>758</v>
      </c>
      <c r="X1904" s="1"/>
      <c r="Y1904" s="78">
        <f t="shared" si="236"/>
        <v>0</v>
      </c>
      <c r="Z1904" s="78">
        <f t="shared" si="237"/>
        <v>0</v>
      </c>
      <c r="AA1904" s="78">
        <f t="shared" si="235"/>
        <v>0</v>
      </c>
      <c r="AB1904" s="78">
        <f t="shared" si="238"/>
        <v>0</v>
      </c>
      <c r="AC1904" s="78"/>
      <c r="AD1904" s="78">
        <v>0</v>
      </c>
      <c r="AE1904" s="80">
        <f t="shared" si="240"/>
        <v>0</v>
      </c>
      <c r="AF1904" s="82">
        <v>0</v>
      </c>
      <c r="AG1904" s="69">
        <v>40512</v>
      </c>
      <c r="AH1904" s="84"/>
      <c r="AI1904" s="69" t="s">
        <v>1984</v>
      </c>
      <c r="AJ1904" s="25" t="s">
        <v>1985</v>
      </c>
      <c r="AK1904" s="65"/>
      <c r="AL1904" s="176" t="s">
        <v>1257</v>
      </c>
      <c r="AM1904" s="173" t="s">
        <v>2841</v>
      </c>
      <c r="AN1904" s="159"/>
      <c r="AO1904" s="160"/>
      <c r="AP1904" s="161"/>
      <c r="AQ1904" s="160"/>
      <c r="AR1904" s="160"/>
      <c r="AS1904" s="160"/>
      <c r="AT1904" s="160"/>
      <c r="AU1904" s="160"/>
      <c r="AV1904" s="160"/>
      <c r="AW1904" s="160"/>
      <c r="AX1904" s="160"/>
      <c r="AY1904" s="160"/>
      <c r="AZ1904" s="160"/>
      <c r="BA1904" s="160"/>
      <c r="BB1904" s="160"/>
      <c r="BC1904" s="160"/>
      <c r="BD1904" s="160"/>
      <c r="BE1904" s="160"/>
      <c r="BF1904" s="160"/>
      <c r="BG1904" s="160"/>
      <c r="BH1904" s="160"/>
      <c r="BI1904" s="160"/>
      <c r="BJ1904" s="160"/>
      <c r="BK1904" s="160"/>
      <c r="BL1904" s="160"/>
      <c r="BM1904" s="160"/>
      <c r="BN1904" s="160"/>
      <c r="BO1904" s="160"/>
      <c r="BP1904" s="160"/>
      <c r="BQ1904" s="160"/>
      <c r="BR1904" s="160"/>
      <c r="BS1904" s="160"/>
      <c r="BT1904" s="160"/>
      <c r="BU1904" s="160"/>
      <c r="BV1904" s="160"/>
      <c r="BW1904" s="160"/>
      <c r="BX1904" s="160"/>
      <c r="BY1904" s="160"/>
      <c r="BZ1904" s="160"/>
      <c r="CA1904" s="160"/>
      <c r="CB1904" s="160"/>
      <c r="CC1904" s="160"/>
      <c r="CD1904" s="160"/>
      <c r="CE1904" s="160"/>
      <c r="CF1904" s="160"/>
      <c r="CG1904" s="160"/>
      <c r="CH1904" s="160"/>
      <c r="CI1904" s="160"/>
      <c r="CJ1904" s="160"/>
      <c r="CK1904" s="160"/>
      <c r="CL1904" s="160"/>
      <c r="CM1904" s="160"/>
      <c r="CN1904" s="160"/>
      <c r="CO1904" s="160"/>
      <c r="CP1904" s="162"/>
      <c r="CQ1904" s="163"/>
      <c r="CR1904" s="162"/>
      <c r="CS1904" s="163"/>
      <c r="CT1904" s="162"/>
      <c r="CU1904" s="163"/>
      <c r="CV1904" s="164">
        <f t="shared" si="239"/>
        <v>0</v>
      </c>
      <c r="CW1904" s="165"/>
      <c r="CX1904" s="166"/>
      <c r="CY1904" s="167"/>
      <c r="CZ1904" s="168"/>
      <c r="DA1904" s="169"/>
      <c r="DB1904" s="168"/>
      <c r="DC1904" s="165"/>
      <c r="DD1904" s="166"/>
      <c r="DE1904" s="71"/>
      <c r="DF1904" s="170"/>
      <c r="EO1904" s="375" t="str">
        <f t="shared" si="241"/>
        <v>CAUCA_SUAREZ</v>
      </c>
      <c r="EP1904" s="376"/>
      <c r="EQ1904" s="376"/>
      <c r="ER1904" s="377"/>
      <c r="ES1904" s="376"/>
      <c r="ET1904" s="376"/>
      <c r="EU1904" s="376"/>
    </row>
    <row r="1905" spans="1:151" s="171" customFormat="1" ht="25.5" x14ac:dyDescent="0.2">
      <c r="A1905" s="242">
        <v>40509</v>
      </c>
      <c r="B1905" s="222" t="s">
        <v>2425</v>
      </c>
      <c r="C1905" s="222" t="s">
        <v>2483</v>
      </c>
      <c r="D1905" s="430" t="s">
        <v>837</v>
      </c>
      <c r="E1905" s="107" t="str">
        <f>VLOOKUP(B1905&amp;C1905,Divipola!$C$2:$F$1138,4,FALSE)</f>
        <v>27615</v>
      </c>
      <c r="F1905" s="333"/>
      <c r="G1905" s="221">
        <v>2</v>
      </c>
      <c r="H1905" s="157">
        <v>3</v>
      </c>
      <c r="I1905" s="157"/>
      <c r="J1905" s="157"/>
      <c r="K1905" s="157"/>
      <c r="L1905" s="157"/>
      <c r="M1905" s="157"/>
      <c r="N1905" s="157"/>
      <c r="O1905" s="157"/>
      <c r="P1905" s="157"/>
      <c r="Q1905" s="157"/>
      <c r="R1905" s="157"/>
      <c r="S1905" s="157"/>
      <c r="T1905" s="157"/>
      <c r="U1905" s="157"/>
      <c r="V1905" s="158"/>
      <c r="W1905" s="182"/>
      <c r="X1905" s="1"/>
      <c r="Y1905" s="78">
        <f t="shared" si="236"/>
        <v>67434000</v>
      </c>
      <c r="Z1905" s="78">
        <f t="shared" si="237"/>
        <v>239105000</v>
      </c>
      <c r="AA1905" s="78">
        <f t="shared" si="235"/>
        <v>0</v>
      </c>
      <c r="AB1905" s="78">
        <f t="shared" si="238"/>
        <v>0</v>
      </c>
      <c r="AC1905" s="78"/>
      <c r="AD1905" s="78">
        <v>0</v>
      </c>
      <c r="AE1905" s="80">
        <f t="shared" si="240"/>
        <v>306539000</v>
      </c>
      <c r="AF1905" s="82">
        <v>0</v>
      </c>
      <c r="AG1905" s="69"/>
      <c r="AH1905" s="84"/>
      <c r="AI1905" s="69" t="s">
        <v>2009</v>
      </c>
      <c r="AJ1905" s="25" t="s">
        <v>2010</v>
      </c>
      <c r="AK1905" s="65"/>
      <c r="AL1905" s="176"/>
      <c r="AM1905" s="173" t="s">
        <v>548</v>
      </c>
      <c r="AN1905" s="159"/>
      <c r="AO1905" s="160"/>
      <c r="AP1905" s="161"/>
      <c r="AQ1905" s="160"/>
      <c r="AR1905" s="160"/>
      <c r="AS1905" s="160"/>
      <c r="AT1905" s="160"/>
      <c r="AU1905" s="160"/>
      <c r="AV1905" s="160"/>
      <c r="AW1905" s="160"/>
      <c r="AX1905" s="160"/>
      <c r="AY1905" s="160"/>
      <c r="AZ1905" s="160"/>
      <c r="BA1905" s="160"/>
      <c r="BB1905" s="160">
        <v>300</v>
      </c>
      <c r="BC1905" s="160">
        <f>300*56000</f>
        <v>16800000</v>
      </c>
      <c r="BD1905" s="160"/>
      <c r="BE1905" s="160"/>
      <c r="BF1905" s="160"/>
      <c r="BG1905" s="160"/>
      <c r="BH1905" s="160"/>
      <c r="BI1905" s="160"/>
      <c r="BJ1905" s="160"/>
      <c r="BK1905" s="160"/>
      <c r="BL1905" s="160"/>
      <c r="BM1905" s="160"/>
      <c r="BN1905" s="160"/>
      <c r="BO1905" s="160"/>
      <c r="BP1905" s="160"/>
      <c r="BQ1905" s="160"/>
      <c r="BR1905" s="160"/>
      <c r="BS1905" s="160"/>
      <c r="BT1905" s="160"/>
      <c r="BU1905" s="160"/>
      <c r="BV1905" s="160"/>
      <c r="BW1905" s="160"/>
      <c r="BX1905" s="160"/>
      <c r="BY1905" s="160"/>
      <c r="BZ1905" s="160"/>
      <c r="CA1905" s="160"/>
      <c r="CB1905" s="160"/>
      <c r="CC1905" s="160"/>
      <c r="CD1905" s="160"/>
      <c r="CE1905" s="160"/>
      <c r="CF1905" s="160"/>
      <c r="CG1905" s="160"/>
      <c r="CH1905" s="160"/>
      <c r="CI1905" s="160"/>
      <c r="CJ1905" s="160"/>
      <c r="CK1905" s="160"/>
      <c r="CL1905" s="160"/>
      <c r="CM1905" s="160"/>
      <c r="CN1905" s="160">
        <v>2813</v>
      </c>
      <c r="CO1905" s="160">
        <f>2813*18000</f>
        <v>50634000</v>
      </c>
      <c r="CP1905" s="162"/>
      <c r="CQ1905" s="163"/>
      <c r="CR1905" s="162"/>
      <c r="CS1905" s="163"/>
      <c r="CT1905" s="162"/>
      <c r="CU1905" s="163"/>
      <c r="CV1905" s="164">
        <f t="shared" si="239"/>
        <v>67434000</v>
      </c>
      <c r="CW1905" s="165"/>
      <c r="CX1905" s="166"/>
      <c r="CY1905" s="167">
        <v>2813</v>
      </c>
      <c r="CZ1905" s="168">
        <f>2813*85000</f>
        <v>239105000</v>
      </c>
      <c r="DA1905" s="169"/>
      <c r="DB1905" s="168"/>
      <c r="DC1905" s="165"/>
      <c r="DD1905" s="166"/>
      <c r="DE1905" s="71"/>
      <c r="DF1905" s="170"/>
      <c r="EO1905" s="375" t="str">
        <f t="shared" si="241"/>
        <v>CHOCO_RIOSUCIO</v>
      </c>
      <c r="EP1905" s="376"/>
      <c r="EQ1905" s="376"/>
      <c r="ER1905" s="377"/>
      <c r="ES1905" s="376"/>
      <c r="ET1905" s="376"/>
      <c r="EU1905" s="376"/>
    </row>
    <row r="1906" spans="1:151" s="171" customFormat="1" ht="38.25" x14ac:dyDescent="0.2">
      <c r="A1906" s="246">
        <v>40510</v>
      </c>
      <c r="B1906" s="280" t="s">
        <v>2401</v>
      </c>
      <c r="C1906" s="280" t="s">
        <v>1583</v>
      </c>
      <c r="D1906" s="432" t="s">
        <v>2307</v>
      </c>
      <c r="E1906" s="107" t="str">
        <f>VLOOKUP(B1906&amp;C1906,Divipola!$C$2:$F$1138,4,FALSE)</f>
        <v>05390</v>
      </c>
      <c r="F1906" s="337"/>
      <c r="G1906" s="221"/>
      <c r="H1906" s="157"/>
      <c r="I1906" s="157"/>
      <c r="J1906" s="157">
        <v>160</v>
      </c>
      <c r="K1906" s="157">
        <v>32</v>
      </c>
      <c r="L1906" s="157">
        <v>32</v>
      </c>
      <c r="M1906" s="157"/>
      <c r="N1906" s="157"/>
      <c r="O1906" s="157"/>
      <c r="P1906" s="157"/>
      <c r="Q1906" s="157"/>
      <c r="R1906" s="157"/>
      <c r="S1906" s="157"/>
      <c r="T1906" s="157"/>
      <c r="U1906" s="157"/>
      <c r="V1906" s="158"/>
      <c r="W1906" s="182"/>
      <c r="X1906" s="1"/>
      <c r="Y1906" s="78">
        <f t="shared" si="236"/>
        <v>0</v>
      </c>
      <c r="Z1906" s="78">
        <f t="shared" si="237"/>
        <v>0</v>
      </c>
      <c r="AA1906" s="78">
        <f t="shared" si="235"/>
        <v>0</v>
      </c>
      <c r="AB1906" s="78">
        <f t="shared" si="238"/>
        <v>0</v>
      </c>
      <c r="AC1906" s="78"/>
      <c r="AD1906" s="78">
        <v>0</v>
      </c>
      <c r="AE1906" s="80">
        <f t="shared" si="240"/>
        <v>0</v>
      </c>
      <c r="AF1906" s="82">
        <v>0</v>
      </c>
      <c r="AG1906" s="69">
        <v>40512</v>
      </c>
      <c r="AH1906" s="84"/>
      <c r="AI1906" s="69" t="s">
        <v>1984</v>
      </c>
      <c r="AJ1906" s="25" t="s">
        <v>1985</v>
      </c>
      <c r="AK1906" s="65"/>
      <c r="AL1906" s="176" t="s">
        <v>1257</v>
      </c>
      <c r="AM1906" s="173" t="s">
        <v>1151</v>
      </c>
      <c r="AN1906" s="159"/>
      <c r="AO1906" s="160"/>
      <c r="AP1906" s="161"/>
      <c r="AQ1906" s="160"/>
      <c r="AR1906" s="160"/>
      <c r="AS1906" s="160"/>
      <c r="AT1906" s="160"/>
      <c r="AU1906" s="160"/>
      <c r="AV1906" s="160"/>
      <c r="AW1906" s="160"/>
      <c r="AX1906" s="160"/>
      <c r="AY1906" s="160"/>
      <c r="AZ1906" s="160"/>
      <c r="BA1906" s="160"/>
      <c r="BB1906" s="160"/>
      <c r="BC1906" s="160"/>
      <c r="BD1906" s="160"/>
      <c r="BE1906" s="160"/>
      <c r="BF1906" s="160"/>
      <c r="BG1906" s="160"/>
      <c r="BH1906" s="160"/>
      <c r="BI1906" s="160"/>
      <c r="BJ1906" s="160"/>
      <c r="BK1906" s="160"/>
      <c r="BL1906" s="160"/>
      <c r="BM1906" s="160"/>
      <c r="BN1906" s="160"/>
      <c r="BO1906" s="160"/>
      <c r="BP1906" s="160"/>
      <c r="BQ1906" s="160"/>
      <c r="BR1906" s="160"/>
      <c r="BS1906" s="160"/>
      <c r="BT1906" s="160"/>
      <c r="BU1906" s="160"/>
      <c r="BV1906" s="160"/>
      <c r="BW1906" s="160"/>
      <c r="BX1906" s="160"/>
      <c r="BY1906" s="160"/>
      <c r="BZ1906" s="160"/>
      <c r="CA1906" s="160"/>
      <c r="CB1906" s="160"/>
      <c r="CC1906" s="160"/>
      <c r="CD1906" s="160"/>
      <c r="CE1906" s="160"/>
      <c r="CF1906" s="160"/>
      <c r="CG1906" s="160"/>
      <c r="CH1906" s="160"/>
      <c r="CI1906" s="160"/>
      <c r="CJ1906" s="160"/>
      <c r="CK1906" s="160"/>
      <c r="CL1906" s="160"/>
      <c r="CM1906" s="160"/>
      <c r="CN1906" s="160"/>
      <c r="CO1906" s="160"/>
      <c r="CP1906" s="162"/>
      <c r="CQ1906" s="163"/>
      <c r="CR1906" s="162"/>
      <c r="CS1906" s="163"/>
      <c r="CT1906" s="162"/>
      <c r="CU1906" s="163"/>
      <c r="CV1906" s="164">
        <f t="shared" si="239"/>
        <v>0</v>
      </c>
      <c r="CW1906" s="165"/>
      <c r="CX1906" s="166"/>
      <c r="CY1906" s="167"/>
      <c r="CZ1906" s="168"/>
      <c r="DA1906" s="169"/>
      <c r="DB1906" s="168"/>
      <c r="DC1906" s="165"/>
      <c r="DD1906" s="166"/>
      <c r="DE1906" s="71"/>
      <c r="DF1906" s="170"/>
      <c r="EO1906" s="375" t="str">
        <f t="shared" si="241"/>
        <v>ANTIOQUIA_LA PINTADA</v>
      </c>
      <c r="EP1906" s="376"/>
      <c r="EQ1906" s="376"/>
      <c r="ER1906" s="377"/>
      <c r="ES1906" s="376"/>
      <c r="ET1906" s="376"/>
      <c r="EU1906" s="376"/>
    </row>
    <row r="1907" spans="1:151" s="171" customFormat="1" ht="84" x14ac:dyDescent="0.2">
      <c r="A1907" s="242">
        <v>40510</v>
      </c>
      <c r="B1907" s="222" t="s">
        <v>1951</v>
      </c>
      <c r="C1907" s="222" t="s">
        <v>674</v>
      </c>
      <c r="D1907" s="430" t="s">
        <v>837</v>
      </c>
      <c r="E1907" s="107" t="str">
        <f>VLOOKUP(B1907&amp;C1907,Divipola!$C$2:$F$1138,4,FALSE)</f>
        <v>08638</v>
      </c>
      <c r="F1907" s="333"/>
      <c r="G1907" s="221"/>
      <c r="H1907" s="157"/>
      <c r="I1907" s="157"/>
      <c r="J1907" s="157">
        <f>448*5</f>
        <v>2240</v>
      </c>
      <c r="K1907" s="157">
        <f>963-20-495</f>
        <v>448</v>
      </c>
      <c r="L1907" s="157"/>
      <c r="M1907" s="157">
        <v>200</v>
      </c>
      <c r="N1907" s="157"/>
      <c r="O1907" s="157"/>
      <c r="P1907" s="157"/>
      <c r="Q1907" s="157"/>
      <c r="R1907" s="157"/>
      <c r="S1907" s="157"/>
      <c r="T1907" s="157"/>
      <c r="U1907" s="157"/>
      <c r="V1907" s="158"/>
      <c r="W1907" s="182"/>
      <c r="X1907" s="1"/>
      <c r="Y1907" s="78">
        <f t="shared" si="236"/>
        <v>0</v>
      </c>
      <c r="Z1907" s="78">
        <f t="shared" si="237"/>
        <v>0</v>
      </c>
      <c r="AA1907" s="78">
        <f t="shared" si="235"/>
        <v>0</v>
      </c>
      <c r="AB1907" s="78">
        <f t="shared" si="238"/>
        <v>0</v>
      </c>
      <c r="AC1907" s="78"/>
      <c r="AD1907" s="78">
        <v>0</v>
      </c>
      <c r="AE1907" s="80">
        <f t="shared" si="240"/>
        <v>0</v>
      </c>
      <c r="AF1907" s="82">
        <v>0</v>
      </c>
      <c r="AG1907" s="69">
        <v>40512</v>
      </c>
      <c r="AH1907" s="84"/>
      <c r="AI1907" s="69" t="s">
        <v>1984</v>
      </c>
      <c r="AJ1907" s="25" t="s">
        <v>1985</v>
      </c>
      <c r="AK1907" s="65"/>
      <c r="AL1907" s="176" t="s">
        <v>1257</v>
      </c>
      <c r="AM1907" s="173" t="s">
        <v>1149</v>
      </c>
      <c r="AN1907" s="159"/>
      <c r="AO1907" s="160"/>
      <c r="AP1907" s="161"/>
      <c r="AQ1907" s="160"/>
      <c r="AR1907" s="160"/>
      <c r="AS1907" s="160"/>
      <c r="AT1907" s="160"/>
      <c r="AU1907" s="160"/>
      <c r="AV1907" s="160"/>
      <c r="AW1907" s="160"/>
      <c r="AX1907" s="160"/>
      <c r="AY1907" s="160"/>
      <c r="AZ1907" s="160"/>
      <c r="BA1907" s="160"/>
      <c r="BB1907" s="160"/>
      <c r="BC1907" s="160"/>
      <c r="BD1907" s="160"/>
      <c r="BE1907" s="160"/>
      <c r="BF1907" s="160"/>
      <c r="BG1907" s="160"/>
      <c r="BH1907" s="160"/>
      <c r="BI1907" s="160"/>
      <c r="BJ1907" s="160"/>
      <c r="BK1907" s="160"/>
      <c r="BL1907" s="160"/>
      <c r="BM1907" s="160"/>
      <c r="BN1907" s="160"/>
      <c r="BO1907" s="160"/>
      <c r="BP1907" s="160"/>
      <c r="BQ1907" s="160"/>
      <c r="BR1907" s="160"/>
      <c r="BS1907" s="160"/>
      <c r="BT1907" s="160"/>
      <c r="BU1907" s="160"/>
      <c r="BV1907" s="160"/>
      <c r="BW1907" s="160"/>
      <c r="BX1907" s="160"/>
      <c r="BY1907" s="160"/>
      <c r="BZ1907" s="160"/>
      <c r="CA1907" s="160"/>
      <c r="CB1907" s="160"/>
      <c r="CC1907" s="160"/>
      <c r="CD1907" s="160"/>
      <c r="CE1907" s="160"/>
      <c r="CF1907" s="160"/>
      <c r="CG1907" s="160"/>
      <c r="CH1907" s="160"/>
      <c r="CI1907" s="160"/>
      <c r="CJ1907" s="160"/>
      <c r="CK1907" s="160"/>
      <c r="CL1907" s="160"/>
      <c r="CM1907" s="160"/>
      <c r="CN1907" s="160"/>
      <c r="CO1907" s="160"/>
      <c r="CP1907" s="162"/>
      <c r="CQ1907" s="163"/>
      <c r="CR1907" s="162"/>
      <c r="CS1907" s="163"/>
      <c r="CT1907" s="162"/>
      <c r="CU1907" s="163"/>
      <c r="CV1907" s="164">
        <f t="shared" si="239"/>
        <v>0</v>
      </c>
      <c r="CW1907" s="165"/>
      <c r="CX1907" s="166"/>
      <c r="CY1907" s="167"/>
      <c r="CZ1907" s="168"/>
      <c r="DA1907" s="169"/>
      <c r="DB1907" s="168"/>
      <c r="DC1907" s="165"/>
      <c r="DD1907" s="166"/>
      <c r="DE1907" s="71"/>
      <c r="DF1907" s="170"/>
      <c r="EO1907" s="375" t="str">
        <f t="shared" si="241"/>
        <v>ATLANTICO_SABANALARGA</v>
      </c>
      <c r="EP1907" s="376"/>
      <c r="EQ1907" s="376"/>
      <c r="ER1907" s="377"/>
      <c r="ES1907" s="376"/>
      <c r="ET1907" s="376"/>
      <c r="EU1907" s="376"/>
    </row>
    <row r="1908" spans="1:151" s="171" customFormat="1" ht="45" x14ac:dyDescent="0.2">
      <c r="A1908" s="242">
        <v>40510</v>
      </c>
      <c r="B1908" s="222" t="s">
        <v>1333</v>
      </c>
      <c r="C1908" s="222" t="s">
        <v>1538</v>
      </c>
      <c r="D1908" s="430" t="s">
        <v>2307</v>
      </c>
      <c r="E1908" s="107" t="str">
        <f>VLOOKUP(B1908&amp;C1908,Divipola!$C$2:$F$1138,4,FALSE)</f>
        <v>41396</v>
      </c>
      <c r="F1908" s="333"/>
      <c r="G1908" s="221"/>
      <c r="H1908" s="157"/>
      <c r="I1908" s="157"/>
      <c r="J1908" s="157">
        <v>12</v>
      </c>
      <c r="K1908" s="157">
        <v>3</v>
      </c>
      <c r="L1908" s="157"/>
      <c r="M1908" s="157"/>
      <c r="N1908" s="157"/>
      <c r="O1908" s="157"/>
      <c r="P1908" s="157"/>
      <c r="Q1908" s="157"/>
      <c r="R1908" s="157"/>
      <c r="S1908" s="157"/>
      <c r="T1908" s="157"/>
      <c r="U1908" s="157"/>
      <c r="V1908" s="158"/>
      <c r="W1908" s="182"/>
      <c r="X1908" s="1"/>
      <c r="Y1908" s="78">
        <f t="shared" si="236"/>
        <v>0</v>
      </c>
      <c r="Z1908" s="78">
        <f t="shared" si="237"/>
        <v>0</v>
      </c>
      <c r="AA1908" s="78">
        <f t="shared" si="235"/>
        <v>0</v>
      </c>
      <c r="AB1908" s="78">
        <f t="shared" si="238"/>
        <v>0</v>
      </c>
      <c r="AC1908" s="78"/>
      <c r="AD1908" s="78">
        <v>0</v>
      </c>
      <c r="AE1908" s="80">
        <f t="shared" si="240"/>
        <v>0</v>
      </c>
      <c r="AF1908" s="82">
        <v>0</v>
      </c>
      <c r="AG1908" s="69">
        <v>40510</v>
      </c>
      <c r="AH1908" s="84"/>
      <c r="AI1908" s="69" t="s">
        <v>2009</v>
      </c>
      <c r="AJ1908" s="276" t="s">
        <v>2010</v>
      </c>
      <c r="AK1908" s="65"/>
      <c r="AL1908" s="272" t="s">
        <v>311</v>
      </c>
      <c r="AM1908" s="173" t="s">
        <v>2961</v>
      </c>
      <c r="AN1908" s="159"/>
      <c r="AO1908" s="160"/>
      <c r="AP1908" s="161"/>
      <c r="AQ1908" s="160"/>
      <c r="AR1908" s="160"/>
      <c r="AS1908" s="160"/>
      <c r="AT1908" s="160"/>
      <c r="AU1908" s="160"/>
      <c r="AV1908" s="160"/>
      <c r="AW1908" s="160"/>
      <c r="AX1908" s="160"/>
      <c r="AY1908" s="160"/>
      <c r="AZ1908" s="160"/>
      <c r="BA1908" s="160"/>
      <c r="BB1908" s="160"/>
      <c r="BC1908" s="160"/>
      <c r="BD1908" s="160"/>
      <c r="BE1908" s="160"/>
      <c r="BF1908" s="160"/>
      <c r="BG1908" s="160"/>
      <c r="BH1908" s="160"/>
      <c r="BI1908" s="160"/>
      <c r="BJ1908" s="160"/>
      <c r="BK1908" s="160"/>
      <c r="BL1908" s="160"/>
      <c r="BM1908" s="160"/>
      <c r="BN1908" s="160"/>
      <c r="BO1908" s="160"/>
      <c r="BP1908" s="160"/>
      <c r="BQ1908" s="160"/>
      <c r="BR1908" s="160"/>
      <c r="BS1908" s="160"/>
      <c r="BT1908" s="160"/>
      <c r="BU1908" s="160"/>
      <c r="BV1908" s="160"/>
      <c r="BW1908" s="160"/>
      <c r="BX1908" s="160"/>
      <c r="BY1908" s="160"/>
      <c r="BZ1908" s="160"/>
      <c r="CA1908" s="160"/>
      <c r="CB1908" s="160"/>
      <c r="CC1908" s="160"/>
      <c r="CD1908" s="160"/>
      <c r="CE1908" s="160"/>
      <c r="CF1908" s="160"/>
      <c r="CG1908" s="160"/>
      <c r="CH1908" s="160"/>
      <c r="CI1908" s="160"/>
      <c r="CJ1908" s="160"/>
      <c r="CK1908" s="160"/>
      <c r="CL1908" s="160"/>
      <c r="CM1908" s="160"/>
      <c r="CN1908" s="160"/>
      <c r="CO1908" s="160"/>
      <c r="CP1908" s="162"/>
      <c r="CQ1908" s="163"/>
      <c r="CR1908" s="162"/>
      <c r="CS1908" s="163"/>
      <c r="CT1908" s="162"/>
      <c r="CU1908" s="163"/>
      <c r="CV1908" s="164">
        <f t="shared" si="239"/>
        <v>0</v>
      </c>
      <c r="CW1908" s="165"/>
      <c r="CX1908" s="166"/>
      <c r="CY1908" s="167"/>
      <c r="CZ1908" s="168"/>
      <c r="DA1908" s="169"/>
      <c r="DB1908" s="168"/>
      <c r="DC1908" s="165"/>
      <c r="DD1908" s="166"/>
      <c r="DE1908" s="71"/>
      <c r="DF1908" s="170"/>
      <c r="EO1908" s="375" t="str">
        <f t="shared" si="241"/>
        <v>HUILA_LA PLATA</v>
      </c>
      <c r="EP1908" s="376"/>
      <c r="EQ1908" s="376"/>
      <c r="ER1908" s="377"/>
      <c r="ES1908" s="376"/>
      <c r="ET1908" s="376"/>
      <c r="EU1908" s="376"/>
    </row>
    <row r="1909" spans="1:151" s="171" customFormat="1" ht="25.5" x14ac:dyDescent="0.2">
      <c r="A1909" s="242">
        <v>40510</v>
      </c>
      <c r="B1909" s="222" t="s">
        <v>1333</v>
      </c>
      <c r="C1909" s="222" t="s">
        <v>226</v>
      </c>
      <c r="D1909" s="430" t="s">
        <v>837</v>
      </c>
      <c r="E1909" s="107" t="str">
        <f>VLOOKUP(B1909&amp;C1909,Divipola!$C$2:$F$1138,4,FALSE)</f>
        <v>41001</v>
      </c>
      <c r="F1909" s="333"/>
      <c r="G1909" s="221"/>
      <c r="H1909" s="157"/>
      <c r="I1909" s="157"/>
      <c r="J1909" s="157">
        <v>35</v>
      </c>
      <c r="K1909" s="157">
        <v>7</v>
      </c>
      <c r="L1909" s="157"/>
      <c r="M1909" s="157">
        <v>7</v>
      </c>
      <c r="N1909" s="157"/>
      <c r="O1909" s="157"/>
      <c r="P1909" s="157"/>
      <c r="Q1909" s="157"/>
      <c r="R1909" s="157"/>
      <c r="S1909" s="157"/>
      <c r="T1909" s="157"/>
      <c r="U1909" s="157"/>
      <c r="V1909" s="158"/>
      <c r="W1909" s="182"/>
      <c r="X1909" s="1"/>
      <c r="Y1909" s="78">
        <f t="shared" si="236"/>
        <v>0</v>
      </c>
      <c r="Z1909" s="78">
        <f t="shared" si="237"/>
        <v>0</v>
      </c>
      <c r="AA1909" s="78">
        <f t="shared" ref="AA1909:AA1972" si="242">DB1909+DD1909</f>
        <v>0</v>
      </c>
      <c r="AB1909" s="78">
        <f t="shared" si="238"/>
        <v>0</v>
      </c>
      <c r="AC1909" s="78"/>
      <c r="AD1909" s="78">
        <v>0</v>
      </c>
      <c r="AE1909" s="80">
        <f t="shared" si="240"/>
        <v>0</v>
      </c>
      <c r="AF1909" s="82">
        <v>0</v>
      </c>
      <c r="AG1909" s="69">
        <v>40512</v>
      </c>
      <c r="AH1909" s="84"/>
      <c r="AI1909" s="69" t="s">
        <v>1984</v>
      </c>
      <c r="AJ1909" s="25" t="s">
        <v>1985</v>
      </c>
      <c r="AK1909" s="65"/>
      <c r="AL1909" s="176" t="s">
        <v>1257</v>
      </c>
      <c r="AM1909" s="173" t="s">
        <v>1155</v>
      </c>
      <c r="AN1909" s="159"/>
      <c r="AO1909" s="160"/>
      <c r="AP1909" s="161"/>
      <c r="AQ1909" s="160"/>
      <c r="AR1909" s="160"/>
      <c r="AS1909" s="160"/>
      <c r="AT1909" s="160"/>
      <c r="AU1909" s="160"/>
      <c r="AV1909" s="160"/>
      <c r="AW1909" s="160"/>
      <c r="AX1909" s="160"/>
      <c r="AY1909" s="160"/>
      <c r="AZ1909" s="160"/>
      <c r="BA1909" s="160"/>
      <c r="BB1909" s="160"/>
      <c r="BC1909" s="160"/>
      <c r="BD1909" s="160"/>
      <c r="BE1909" s="160"/>
      <c r="BF1909" s="160"/>
      <c r="BG1909" s="160"/>
      <c r="BH1909" s="160"/>
      <c r="BI1909" s="160"/>
      <c r="BJ1909" s="160"/>
      <c r="BK1909" s="160"/>
      <c r="BL1909" s="160"/>
      <c r="BM1909" s="160"/>
      <c r="BN1909" s="160"/>
      <c r="BO1909" s="160"/>
      <c r="BP1909" s="160"/>
      <c r="BQ1909" s="160"/>
      <c r="BR1909" s="160"/>
      <c r="BS1909" s="160"/>
      <c r="BT1909" s="160"/>
      <c r="BU1909" s="160"/>
      <c r="BV1909" s="160"/>
      <c r="BW1909" s="160"/>
      <c r="BX1909" s="160"/>
      <c r="BY1909" s="160"/>
      <c r="BZ1909" s="160"/>
      <c r="CA1909" s="160"/>
      <c r="CB1909" s="160"/>
      <c r="CC1909" s="160"/>
      <c r="CD1909" s="160"/>
      <c r="CE1909" s="160"/>
      <c r="CF1909" s="160"/>
      <c r="CG1909" s="160"/>
      <c r="CH1909" s="160"/>
      <c r="CI1909" s="160"/>
      <c r="CJ1909" s="160"/>
      <c r="CK1909" s="160"/>
      <c r="CL1909" s="160"/>
      <c r="CM1909" s="160"/>
      <c r="CN1909" s="160"/>
      <c r="CO1909" s="160"/>
      <c r="CP1909" s="162"/>
      <c r="CQ1909" s="163"/>
      <c r="CR1909" s="162"/>
      <c r="CS1909" s="163"/>
      <c r="CT1909" s="162"/>
      <c r="CU1909" s="163"/>
      <c r="CV1909" s="164">
        <f t="shared" si="239"/>
        <v>0</v>
      </c>
      <c r="CW1909" s="165"/>
      <c r="CX1909" s="166"/>
      <c r="CY1909" s="167"/>
      <c r="CZ1909" s="168"/>
      <c r="DA1909" s="169"/>
      <c r="DB1909" s="168"/>
      <c r="DC1909" s="165"/>
      <c r="DD1909" s="166"/>
      <c r="DE1909" s="71"/>
      <c r="DF1909" s="170"/>
      <c r="EO1909" s="375" t="str">
        <f t="shared" si="241"/>
        <v>HUILA_NEIVA</v>
      </c>
      <c r="EP1909" s="376"/>
      <c r="EQ1909" s="376"/>
      <c r="ER1909" s="377"/>
      <c r="ES1909" s="376"/>
      <c r="ET1909" s="376"/>
      <c r="EU1909" s="376"/>
    </row>
    <row r="1910" spans="1:151" s="171" customFormat="1" ht="25.5" x14ac:dyDescent="0.2">
      <c r="A1910" s="242">
        <v>40510</v>
      </c>
      <c r="B1910" s="222" t="s">
        <v>2245</v>
      </c>
      <c r="C1910" s="222" t="s">
        <v>2923</v>
      </c>
      <c r="D1910" s="430" t="s">
        <v>2307</v>
      </c>
      <c r="E1910" s="107" t="str">
        <f>VLOOKUP(B1910&amp;C1910,Divipola!$C$2:$F$1138,4,FALSE)</f>
        <v>52678</v>
      </c>
      <c r="F1910" s="333"/>
      <c r="G1910" s="221">
        <v>1</v>
      </c>
      <c r="H1910" s="157"/>
      <c r="I1910" s="157"/>
      <c r="J1910" s="157">
        <v>237</v>
      </c>
      <c r="K1910" s="157">
        <v>60</v>
      </c>
      <c r="L1910" s="157"/>
      <c r="M1910" s="157">
        <v>30</v>
      </c>
      <c r="N1910" s="157">
        <v>1</v>
      </c>
      <c r="O1910" s="157"/>
      <c r="P1910" s="157"/>
      <c r="Q1910" s="157"/>
      <c r="R1910" s="157"/>
      <c r="S1910" s="157"/>
      <c r="T1910" s="157"/>
      <c r="U1910" s="157"/>
      <c r="V1910" s="158"/>
      <c r="W1910" s="182"/>
      <c r="X1910" s="1"/>
      <c r="Y1910" s="78">
        <f t="shared" si="236"/>
        <v>0</v>
      </c>
      <c r="Z1910" s="78">
        <f t="shared" si="237"/>
        <v>0</v>
      </c>
      <c r="AA1910" s="78">
        <f t="shared" si="242"/>
        <v>0</v>
      </c>
      <c r="AB1910" s="78">
        <f t="shared" si="238"/>
        <v>0</v>
      </c>
      <c r="AC1910" s="78"/>
      <c r="AD1910" s="78">
        <v>0</v>
      </c>
      <c r="AE1910" s="80">
        <f t="shared" si="240"/>
        <v>0</v>
      </c>
      <c r="AF1910" s="82">
        <v>0</v>
      </c>
      <c r="AG1910" s="69">
        <v>40512</v>
      </c>
      <c r="AH1910" s="84"/>
      <c r="AI1910" s="69" t="s">
        <v>1984</v>
      </c>
      <c r="AJ1910" s="25" t="s">
        <v>1985</v>
      </c>
      <c r="AK1910" s="65"/>
      <c r="AL1910" s="176" t="s">
        <v>1257</v>
      </c>
      <c r="AM1910" s="173" t="s">
        <v>3822</v>
      </c>
      <c r="AN1910" s="159"/>
      <c r="AO1910" s="160"/>
      <c r="AP1910" s="161"/>
      <c r="AQ1910" s="160"/>
      <c r="AR1910" s="160"/>
      <c r="AS1910" s="160"/>
      <c r="AT1910" s="160"/>
      <c r="AU1910" s="160"/>
      <c r="AV1910" s="160"/>
      <c r="AW1910" s="160"/>
      <c r="AX1910" s="160"/>
      <c r="AY1910" s="160"/>
      <c r="AZ1910" s="160"/>
      <c r="BA1910" s="160"/>
      <c r="BB1910" s="160"/>
      <c r="BC1910" s="160"/>
      <c r="BD1910" s="160"/>
      <c r="BE1910" s="160"/>
      <c r="BF1910" s="160"/>
      <c r="BG1910" s="160"/>
      <c r="BH1910" s="160"/>
      <c r="BI1910" s="160"/>
      <c r="BJ1910" s="160"/>
      <c r="BK1910" s="160"/>
      <c r="BL1910" s="160"/>
      <c r="BM1910" s="160"/>
      <c r="BN1910" s="160"/>
      <c r="BO1910" s="160"/>
      <c r="BP1910" s="160"/>
      <c r="BQ1910" s="160"/>
      <c r="BR1910" s="160"/>
      <c r="BS1910" s="160"/>
      <c r="BT1910" s="160"/>
      <c r="BU1910" s="160"/>
      <c r="BV1910" s="160"/>
      <c r="BW1910" s="160"/>
      <c r="BX1910" s="160"/>
      <c r="BY1910" s="160"/>
      <c r="BZ1910" s="160"/>
      <c r="CA1910" s="160"/>
      <c r="CB1910" s="160"/>
      <c r="CC1910" s="160"/>
      <c r="CD1910" s="160"/>
      <c r="CE1910" s="160"/>
      <c r="CF1910" s="160"/>
      <c r="CG1910" s="160"/>
      <c r="CH1910" s="160"/>
      <c r="CI1910" s="160"/>
      <c r="CJ1910" s="160"/>
      <c r="CK1910" s="160"/>
      <c r="CL1910" s="160"/>
      <c r="CM1910" s="160"/>
      <c r="CN1910" s="160"/>
      <c r="CO1910" s="160"/>
      <c r="CP1910" s="162"/>
      <c r="CQ1910" s="163"/>
      <c r="CR1910" s="162"/>
      <c r="CS1910" s="163"/>
      <c r="CT1910" s="162"/>
      <c r="CU1910" s="163"/>
      <c r="CV1910" s="164">
        <f t="shared" si="239"/>
        <v>0</v>
      </c>
      <c r="CW1910" s="165"/>
      <c r="CX1910" s="166"/>
      <c r="CY1910" s="167"/>
      <c r="CZ1910" s="168"/>
      <c r="DA1910" s="169"/>
      <c r="DB1910" s="168"/>
      <c r="DC1910" s="165"/>
      <c r="DD1910" s="166"/>
      <c r="DE1910" s="71"/>
      <c r="DF1910" s="170"/>
      <c r="EO1910" s="375" t="str">
        <f t="shared" si="241"/>
        <v>NARIÑO_SAMANIEGO</v>
      </c>
      <c r="EP1910" s="376"/>
      <c r="EQ1910" s="376"/>
      <c r="ER1910" s="377"/>
      <c r="ES1910" s="376"/>
      <c r="ET1910" s="376"/>
      <c r="EU1910" s="376"/>
    </row>
    <row r="1911" spans="1:151" s="171" customFormat="1" ht="48" x14ac:dyDescent="0.2">
      <c r="A1911" s="242">
        <v>40510</v>
      </c>
      <c r="B1911" s="222" t="s">
        <v>2427</v>
      </c>
      <c r="C1911" s="222" t="s">
        <v>1969</v>
      </c>
      <c r="D1911" s="430" t="s">
        <v>2352</v>
      </c>
      <c r="E1911" s="107" t="str">
        <f>VLOOKUP(B1911&amp;C1911,Divipola!$C$2:$F$1138,4,FALSE)</f>
        <v>68147</v>
      </c>
      <c r="F1911" s="333"/>
      <c r="G1911" s="221"/>
      <c r="H1911" s="157"/>
      <c r="I1911" s="157"/>
      <c r="J1911" s="157"/>
      <c r="K1911" s="157"/>
      <c r="L1911" s="157"/>
      <c r="M1911" s="157"/>
      <c r="N1911" s="157">
        <v>1</v>
      </c>
      <c r="O1911" s="157">
        <v>1</v>
      </c>
      <c r="P1911" s="157"/>
      <c r="Q1911" s="157"/>
      <c r="R1911" s="157"/>
      <c r="S1911" s="157"/>
      <c r="T1911" s="157"/>
      <c r="U1911" s="157"/>
      <c r="V1911" s="158"/>
      <c r="W1911" s="182"/>
      <c r="X1911" s="1"/>
      <c r="Y1911" s="78">
        <f t="shared" si="236"/>
        <v>0</v>
      </c>
      <c r="Z1911" s="78">
        <f t="shared" si="237"/>
        <v>0</v>
      </c>
      <c r="AA1911" s="78">
        <f t="shared" si="242"/>
        <v>0</v>
      </c>
      <c r="AB1911" s="78">
        <f t="shared" si="238"/>
        <v>0</v>
      </c>
      <c r="AC1911" s="78"/>
      <c r="AD1911" s="78">
        <v>0</v>
      </c>
      <c r="AE1911" s="80">
        <f t="shared" si="240"/>
        <v>0</v>
      </c>
      <c r="AF1911" s="82">
        <v>0</v>
      </c>
      <c r="AG1911" s="69">
        <v>40510</v>
      </c>
      <c r="AH1911" s="84"/>
      <c r="AI1911" s="69" t="s">
        <v>1984</v>
      </c>
      <c r="AJ1911" s="25" t="s">
        <v>1985</v>
      </c>
      <c r="AK1911" s="65"/>
      <c r="AL1911" s="176" t="s">
        <v>1257</v>
      </c>
      <c r="AM1911" s="173" t="s">
        <v>2935</v>
      </c>
      <c r="AN1911" s="159"/>
      <c r="AO1911" s="160"/>
      <c r="AP1911" s="161"/>
      <c r="AQ1911" s="160"/>
      <c r="AR1911" s="160"/>
      <c r="AS1911" s="160"/>
      <c r="AT1911" s="160"/>
      <c r="AU1911" s="160"/>
      <c r="AV1911" s="160"/>
      <c r="AW1911" s="160"/>
      <c r="AX1911" s="160"/>
      <c r="AY1911" s="160"/>
      <c r="AZ1911" s="160"/>
      <c r="BA1911" s="160"/>
      <c r="BB1911" s="160"/>
      <c r="BC1911" s="160"/>
      <c r="BD1911" s="160"/>
      <c r="BE1911" s="160"/>
      <c r="BF1911" s="160"/>
      <c r="BG1911" s="160"/>
      <c r="BH1911" s="160"/>
      <c r="BI1911" s="160"/>
      <c r="BJ1911" s="160"/>
      <c r="BK1911" s="160"/>
      <c r="BL1911" s="160"/>
      <c r="BM1911" s="160"/>
      <c r="BN1911" s="160"/>
      <c r="BO1911" s="160"/>
      <c r="BP1911" s="160"/>
      <c r="BQ1911" s="160"/>
      <c r="BR1911" s="160"/>
      <c r="BS1911" s="160"/>
      <c r="BT1911" s="160"/>
      <c r="BU1911" s="160"/>
      <c r="BV1911" s="160"/>
      <c r="BW1911" s="160"/>
      <c r="BX1911" s="160"/>
      <c r="BY1911" s="160"/>
      <c r="BZ1911" s="160"/>
      <c r="CA1911" s="160"/>
      <c r="CB1911" s="160"/>
      <c r="CC1911" s="160"/>
      <c r="CD1911" s="160"/>
      <c r="CE1911" s="160"/>
      <c r="CF1911" s="160"/>
      <c r="CG1911" s="160"/>
      <c r="CH1911" s="160"/>
      <c r="CI1911" s="160"/>
      <c r="CJ1911" s="160"/>
      <c r="CK1911" s="160"/>
      <c r="CL1911" s="160"/>
      <c r="CM1911" s="160"/>
      <c r="CN1911" s="160"/>
      <c r="CO1911" s="160"/>
      <c r="CP1911" s="162"/>
      <c r="CQ1911" s="163"/>
      <c r="CR1911" s="162"/>
      <c r="CS1911" s="163"/>
      <c r="CT1911" s="162"/>
      <c r="CU1911" s="163"/>
      <c r="CV1911" s="164">
        <f t="shared" si="239"/>
        <v>0</v>
      </c>
      <c r="CW1911" s="165"/>
      <c r="CX1911" s="166"/>
      <c r="CY1911" s="167"/>
      <c r="CZ1911" s="168"/>
      <c r="DA1911" s="169"/>
      <c r="DB1911" s="168"/>
      <c r="DC1911" s="165"/>
      <c r="DD1911" s="166"/>
      <c r="DE1911" s="71"/>
      <c r="DF1911" s="170"/>
      <c r="EO1911" s="375" t="str">
        <f t="shared" si="241"/>
        <v>SANTANDER_CAPITANEJO</v>
      </c>
      <c r="EP1911" s="376"/>
      <c r="EQ1911" s="376"/>
      <c r="ER1911" s="377"/>
      <c r="ES1911" s="376"/>
      <c r="ET1911" s="376"/>
      <c r="EU1911" s="376"/>
    </row>
    <row r="1912" spans="1:151" s="171" customFormat="1" ht="38.25" x14ac:dyDescent="0.2">
      <c r="A1912" s="242">
        <v>40510.899305555555</v>
      </c>
      <c r="B1912" s="107" t="s">
        <v>6305</v>
      </c>
      <c r="C1912" s="107" t="s">
        <v>6305</v>
      </c>
      <c r="D1912" s="430" t="s">
        <v>2307</v>
      </c>
      <c r="E1912" s="107" t="str">
        <f>VLOOKUP(B1912&amp;C1912,Divipola!$C$2:$F$1138,4,FALSE)</f>
        <v>11001</v>
      </c>
      <c r="F1912" s="333"/>
      <c r="G1912" s="221"/>
      <c r="H1912" s="157"/>
      <c r="I1912" s="157"/>
      <c r="J1912" s="157">
        <v>145</v>
      </c>
      <c r="K1912" s="414">
        <v>34</v>
      </c>
      <c r="L1912" s="157"/>
      <c r="M1912" s="157"/>
      <c r="N1912" s="157"/>
      <c r="O1912" s="157"/>
      <c r="P1912" s="157"/>
      <c r="Q1912" s="157"/>
      <c r="R1912" s="157"/>
      <c r="S1912" s="157"/>
      <c r="T1912" s="157"/>
      <c r="U1912" s="157"/>
      <c r="V1912" s="158"/>
      <c r="W1912" s="182"/>
      <c r="X1912" s="1"/>
      <c r="Y1912" s="78">
        <f t="shared" si="236"/>
        <v>0</v>
      </c>
      <c r="Z1912" s="78">
        <f t="shared" si="237"/>
        <v>0</v>
      </c>
      <c r="AA1912" s="78">
        <f t="shared" si="242"/>
        <v>0</v>
      </c>
      <c r="AB1912" s="78">
        <f t="shared" si="238"/>
        <v>0</v>
      </c>
      <c r="AC1912" s="78"/>
      <c r="AD1912" s="78">
        <v>0</v>
      </c>
      <c r="AE1912" s="80">
        <f t="shared" si="240"/>
        <v>0</v>
      </c>
      <c r="AF1912" s="82">
        <v>0</v>
      </c>
      <c r="AG1912" s="306">
        <v>40624</v>
      </c>
      <c r="AH1912" s="307"/>
      <c r="AI1912" s="306" t="s">
        <v>1984</v>
      </c>
      <c r="AJ1912" s="308" t="s">
        <v>1985</v>
      </c>
      <c r="AK1912" s="309"/>
      <c r="AL1912" s="310" t="s">
        <v>1257</v>
      </c>
      <c r="AM1912" s="419" t="s">
        <v>3776</v>
      </c>
      <c r="AN1912" s="159"/>
      <c r="AO1912" s="160"/>
      <c r="AP1912" s="161"/>
      <c r="AQ1912" s="160"/>
      <c r="AR1912" s="160"/>
      <c r="AS1912" s="160"/>
      <c r="AT1912" s="160"/>
      <c r="AU1912" s="160"/>
      <c r="AV1912" s="160"/>
      <c r="AW1912" s="160"/>
      <c r="AX1912" s="160"/>
      <c r="AY1912" s="160"/>
      <c r="AZ1912" s="160"/>
      <c r="BA1912" s="160"/>
      <c r="BB1912" s="160"/>
      <c r="BC1912" s="160"/>
      <c r="BD1912" s="160"/>
      <c r="BE1912" s="160"/>
      <c r="BF1912" s="160"/>
      <c r="BG1912" s="160"/>
      <c r="BH1912" s="160"/>
      <c r="BI1912" s="160"/>
      <c r="BJ1912" s="160"/>
      <c r="BK1912" s="160"/>
      <c r="BL1912" s="160"/>
      <c r="BM1912" s="160"/>
      <c r="BN1912" s="160"/>
      <c r="BO1912" s="160"/>
      <c r="BP1912" s="160"/>
      <c r="BQ1912" s="160"/>
      <c r="BR1912" s="160"/>
      <c r="BS1912" s="160"/>
      <c r="BT1912" s="160"/>
      <c r="BU1912" s="160"/>
      <c r="BV1912" s="160"/>
      <c r="BW1912" s="160"/>
      <c r="BX1912" s="160"/>
      <c r="BY1912" s="160"/>
      <c r="BZ1912" s="160"/>
      <c r="CA1912" s="160"/>
      <c r="CB1912" s="160"/>
      <c r="CC1912" s="160"/>
      <c r="CD1912" s="160"/>
      <c r="CE1912" s="160"/>
      <c r="CF1912" s="160"/>
      <c r="CG1912" s="160"/>
      <c r="CH1912" s="160"/>
      <c r="CI1912" s="160"/>
      <c r="CJ1912" s="160"/>
      <c r="CK1912" s="160"/>
      <c r="CL1912" s="160"/>
      <c r="CM1912" s="160"/>
      <c r="CN1912" s="160"/>
      <c r="CO1912" s="160"/>
      <c r="CP1912" s="162"/>
      <c r="CQ1912" s="163"/>
      <c r="CR1912" s="162"/>
      <c r="CS1912" s="163"/>
      <c r="CT1912" s="162"/>
      <c r="CU1912" s="163"/>
      <c r="CV1912" s="164">
        <f t="shared" si="239"/>
        <v>0</v>
      </c>
      <c r="CW1912" s="165"/>
      <c r="CX1912" s="166"/>
      <c r="CY1912" s="167"/>
      <c r="CZ1912" s="168"/>
      <c r="DA1912" s="169"/>
      <c r="DB1912" s="168"/>
      <c r="DC1912" s="165"/>
      <c r="DD1912" s="166"/>
      <c r="DE1912" s="71"/>
      <c r="DF1912" s="170"/>
      <c r="EO1912" s="375" t="str">
        <f t="shared" si="241"/>
        <v>BOGOTA, D.C._BOGOTA, D.C.</v>
      </c>
      <c r="EP1912" s="376"/>
      <c r="EQ1912" s="376"/>
      <c r="ER1912" s="377"/>
      <c r="ES1912" s="376"/>
      <c r="ET1912" s="376"/>
      <c r="EU1912" s="376"/>
    </row>
    <row r="1913" spans="1:151" s="171" customFormat="1" ht="38.25" x14ac:dyDescent="0.2">
      <c r="A1913" s="242">
        <v>40511</v>
      </c>
      <c r="B1913" s="222" t="s">
        <v>1951</v>
      </c>
      <c r="C1913" s="222" t="s">
        <v>2008</v>
      </c>
      <c r="D1913" s="430" t="s">
        <v>837</v>
      </c>
      <c r="E1913" s="107">
        <f>VLOOKUP(B1913&amp;C1913,Divipola!$C$2:$F$1138,4,FALSE)</f>
        <v>8</v>
      </c>
      <c r="F1913" s="333"/>
      <c r="G1913" s="221"/>
      <c r="H1913" s="157"/>
      <c r="I1913" s="157"/>
      <c r="J1913" s="157"/>
      <c r="K1913" s="157"/>
      <c r="L1913" s="157"/>
      <c r="M1913" s="157"/>
      <c r="N1913" s="157"/>
      <c r="O1913" s="157"/>
      <c r="P1913" s="157"/>
      <c r="Q1913" s="157"/>
      <c r="R1913" s="157"/>
      <c r="S1913" s="157"/>
      <c r="T1913" s="157"/>
      <c r="U1913" s="157"/>
      <c r="V1913" s="158"/>
      <c r="W1913" s="182"/>
      <c r="X1913" s="1">
        <v>40535</v>
      </c>
      <c r="Y1913" s="78">
        <f t="shared" si="236"/>
        <v>47000000</v>
      </c>
      <c r="Z1913" s="78">
        <f t="shared" si="237"/>
        <v>1717000000</v>
      </c>
      <c r="AA1913" s="78">
        <f t="shared" si="242"/>
        <v>0</v>
      </c>
      <c r="AB1913" s="78">
        <f t="shared" si="238"/>
        <v>138560000</v>
      </c>
      <c r="AC1913" s="78">
        <v>22040000</v>
      </c>
      <c r="AD1913" s="78">
        <v>0</v>
      </c>
      <c r="AE1913" s="80">
        <f t="shared" si="240"/>
        <v>1924600000</v>
      </c>
      <c r="AF1913" s="82">
        <v>0</v>
      </c>
      <c r="AG1913" s="69">
        <v>40504</v>
      </c>
      <c r="AH1913" s="84">
        <v>66066</v>
      </c>
      <c r="AI1913" s="69" t="s">
        <v>2009</v>
      </c>
      <c r="AJ1913" s="25" t="s">
        <v>2010</v>
      </c>
      <c r="AK1913" s="88" t="s">
        <v>784</v>
      </c>
      <c r="AL1913" s="176"/>
      <c r="AM1913" s="177" t="s">
        <v>3844</v>
      </c>
      <c r="AN1913" s="159"/>
      <c r="AO1913" s="160"/>
      <c r="AP1913" s="161"/>
      <c r="AQ1913" s="160"/>
      <c r="AR1913" s="160"/>
      <c r="AS1913" s="160"/>
      <c r="AT1913" s="160"/>
      <c r="AU1913" s="160"/>
      <c r="AV1913" s="160"/>
      <c r="AW1913" s="160"/>
      <c r="AX1913" s="160"/>
      <c r="AY1913" s="160"/>
      <c r="AZ1913" s="160"/>
      <c r="BA1913" s="160"/>
      <c r="BB1913" s="160"/>
      <c r="BC1913" s="160"/>
      <c r="BD1913" s="160"/>
      <c r="BE1913" s="160"/>
      <c r="BF1913" s="160"/>
      <c r="BG1913" s="160"/>
      <c r="BH1913" s="160"/>
      <c r="BI1913" s="160"/>
      <c r="BJ1913" s="160"/>
      <c r="BK1913" s="160"/>
      <c r="BL1913" s="160"/>
      <c r="BM1913" s="160"/>
      <c r="BN1913" s="160"/>
      <c r="BO1913" s="160"/>
      <c r="BP1913" s="160"/>
      <c r="BQ1913" s="160"/>
      <c r="BR1913" s="160"/>
      <c r="BS1913" s="160"/>
      <c r="BT1913" s="160"/>
      <c r="BU1913" s="160"/>
      <c r="BV1913" s="160"/>
      <c r="BW1913" s="160"/>
      <c r="BX1913" s="160"/>
      <c r="BY1913" s="160"/>
      <c r="BZ1913" s="160">
        <v>100</v>
      </c>
      <c r="CA1913" s="160">
        <f>100*470000</f>
        <v>47000000</v>
      </c>
      <c r="CB1913" s="160"/>
      <c r="CC1913" s="160"/>
      <c r="CD1913" s="160"/>
      <c r="CE1913" s="160"/>
      <c r="CF1913" s="160"/>
      <c r="CG1913" s="160"/>
      <c r="CH1913" s="160"/>
      <c r="CI1913" s="160"/>
      <c r="CJ1913" s="160"/>
      <c r="CK1913" s="160"/>
      <c r="CL1913" s="160"/>
      <c r="CM1913" s="160"/>
      <c r="CN1913" s="160"/>
      <c r="CO1913" s="160"/>
      <c r="CP1913" s="162"/>
      <c r="CQ1913" s="163"/>
      <c r="CR1913" s="162"/>
      <c r="CS1913" s="163"/>
      <c r="CT1913" s="162"/>
      <c r="CU1913" s="163"/>
      <c r="CV1913" s="164">
        <f t="shared" si="239"/>
        <v>47000000</v>
      </c>
      <c r="CW1913" s="165">
        <v>150000</v>
      </c>
      <c r="CX1913" s="166">
        <f>100000*910.6+50000*950</f>
        <v>138560000</v>
      </c>
      <c r="CY1913" s="167">
        <f>3000+17200</f>
        <v>20200</v>
      </c>
      <c r="CZ1913" s="168">
        <f>3000*85000+17200*85000</f>
        <v>1717000000</v>
      </c>
      <c r="DA1913" s="169"/>
      <c r="DB1913" s="168"/>
      <c r="DC1913" s="165"/>
      <c r="DD1913" s="166"/>
      <c r="DE1913" s="71"/>
      <c r="DF1913" s="170"/>
      <c r="EO1913" s="375" t="str">
        <f t="shared" si="241"/>
        <v>ATLANTICO_DEPARTAMENTO</v>
      </c>
      <c r="EP1913" s="376"/>
      <c r="EQ1913" s="376"/>
      <c r="ER1913" s="377"/>
      <c r="ES1913" s="376"/>
      <c r="ET1913" s="376"/>
      <c r="EU1913" s="376"/>
    </row>
    <row r="1914" spans="1:151" s="171" customFormat="1" ht="25.5" x14ac:dyDescent="0.2">
      <c r="A1914" s="242">
        <v>40511</v>
      </c>
      <c r="B1914" s="222" t="s">
        <v>289</v>
      </c>
      <c r="C1914" s="222" t="s">
        <v>711</v>
      </c>
      <c r="D1914" s="430" t="s">
        <v>2307</v>
      </c>
      <c r="E1914" s="107" t="str">
        <f>VLOOKUP(B1914&amp;C1914,Divipola!$C$2:$F$1138,4,FALSE)</f>
        <v>17001</v>
      </c>
      <c r="F1914" s="333"/>
      <c r="G1914" s="221"/>
      <c r="H1914" s="157">
        <v>1</v>
      </c>
      <c r="I1914" s="157"/>
      <c r="J1914" s="157"/>
      <c r="K1914" s="157"/>
      <c r="L1914" s="157"/>
      <c r="M1914" s="157"/>
      <c r="N1914" s="157"/>
      <c r="O1914" s="157"/>
      <c r="P1914" s="157"/>
      <c r="Q1914" s="157"/>
      <c r="R1914" s="157"/>
      <c r="S1914" s="157"/>
      <c r="T1914" s="157"/>
      <c r="U1914" s="157"/>
      <c r="V1914" s="158"/>
      <c r="W1914" s="182" t="s">
        <v>525</v>
      </c>
      <c r="X1914" s="1"/>
      <c r="Y1914" s="78">
        <f t="shared" si="236"/>
        <v>0</v>
      </c>
      <c r="Z1914" s="78">
        <f t="shared" si="237"/>
        <v>0</v>
      </c>
      <c r="AA1914" s="78">
        <f t="shared" si="242"/>
        <v>0</v>
      </c>
      <c r="AB1914" s="78">
        <f t="shared" si="238"/>
        <v>0</v>
      </c>
      <c r="AC1914" s="78"/>
      <c r="AD1914" s="78">
        <v>0</v>
      </c>
      <c r="AE1914" s="80">
        <f t="shared" si="240"/>
        <v>0</v>
      </c>
      <c r="AF1914" s="82">
        <v>0</v>
      </c>
      <c r="AG1914" s="69"/>
      <c r="AH1914" s="84"/>
      <c r="AI1914" s="69" t="s">
        <v>2009</v>
      </c>
      <c r="AJ1914" s="25" t="s">
        <v>2010</v>
      </c>
      <c r="AK1914" s="65"/>
      <c r="AL1914" s="184" t="s">
        <v>3833</v>
      </c>
      <c r="AM1914" s="173" t="s">
        <v>524</v>
      </c>
      <c r="AN1914" s="159"/>
      <c r="AO1914" s="160"/>
      <c r="AP1914" s="161"/>
      <c r="AQ1914" s="160"/>
      <c r="AR1914" s="160"/>
      <c r="AS1914" s="160"/>
      <c r="AT1914" s="160"/>
      <c r="AU1914" s="160"/>
      <c r="AV1914" s="160"/>
      <c r="AW1914" s="160"/>
      <c r="AX1914" s="160"/>
      <c r="AY1914" s="160"/>
      <c r="AZ1914" s="160"/>
      <c r="BA1914" s="160"/>
      <c r="BB1914" s="160"/>
      <c r="BC1914" s="160"/>
      <c r="BD1914" s="160"/>
      <c r="BE1914" s="160"/>
      <c r="BF1914" s="160"/>
      <c r="BG1914" s="160"/>
      <c r="BH1914" s="160"/>
      <c r="BI1914" s="160"/>
      <c r="BJ1914" s="160"/>
      <c r="BK1914" s="160"/>
      <c r="BL1914" s="160"/>
      <c r="BM1914" s="160"/>
      <c r="BN1914" s="160"/>
      <c r="BO1914" s="160"/>
      <c r="BP1914" s="160"/>
      <c r="BQ1914" s="160"/>
      <c r="BR1914" s="160"/>
      <c r="BS1914" s="160"/>
      <c r="BT1914" s="160"/>
      <c r="BU1914" s="160"/>
      <c r="BV1914" s="160"/>
      <c r="BW1914" s="160"/>
      <c r="BX1914" s="160"/>
      <c r="BY1914" s="160"/>
      <c r="BZ1914" s="160"/>
      <c r="CA1914" s="160"/>
      <c r="CB1914" s="160"/>
      <c r="CC1914" s="160"/>
      <c r="CD1914" s="160"/>
      <c r="CE1914" s="160"/>
      <c r="CF1914" s="160"/>
      <c r="CG1914" s="160"/>
      <c r="CH1914" s="160"/>
      <c r="CI1914" s="160"/>
      <c r="CJ1914" s="160"/>
      <c r="CK1914" s="160"/>
      <c r="CL1914" s="160"/>
      <c r="CM1914" s="160"/>
      <c r="CN1914" s="160"/>
      <c r="CO1914" s="160"/>
      <c r="CP1914" s="162"/>
      <c r="CQ1914" s="163"/>
      <c r="CR1914" s="162"/>
      <c r="CS1914" s="163"/>
      <c r="CT1914" s="162"/>
      <c r="CU1914" s="163"/>
      <c r="CV1914" s="164">
        <f t="shared" si="239"/>
        <v>0</v>
      </c>
      <c r="CW1914" s="165"/>
      <c r="CX1914" s="166"/>
      <c r="CY1914" s="167"/>
      <c r="CZ1914" s="168"/>
      <c r="DA1914" s="169"/>
      <c r="DB1914" s="168"/>
      <c r="DC1914" s="165"/>
      <c r="DD1914" s="166"/>
      <c r="DE1914" s="71"/>
      <c r="DF1914" s="170"/>
      <c r="EO1914" s="375" t="str">
        <f t="shared" si="241"/>
        <v>CALDAS_MANIZALES</v>
      </c>
      <c r="EP1914" s="376"/>
      <c r="EQ1914" s="376"/>
      <c r="ER1914" s="377"/>
      <c r="ES1914" s="376"/>
      <c r="ET1914" s="376"/>
      <c r="EU1914" s="376"/>
    </row>
    <row r="1915" spans="1:151" s="171" customFormat="1" ht="180" x14ac:dyDescent="0.2">
      <c r="A1915" s="242">
        <v>40511</v>
      </c>
      <c r="B1915" s="222" t="s">
        <v>1719</v>
      </c>
      <c r="C1915" s="222" t="s">
        <v>2017</v>
      </c>
      <c r="D1915" s="430" t="s">
        <v>837</v>
      </c>
      <c r="E1915" s="107" t="str">
        <f>VLOOKUP(B1915&amp;C1915,Divipola!$C$2:$F$1138,4,FALSE)</f>
        <v>19100</v>
      </c>
      <c r="F1915" s="333"/>
      <c r="G1915" s="221"/>
      <c r="H1915" s="157"/>
      <c r="I1915" s="157"/>
      <c r="J1915" s="157">
        <v>3470</v>
      </c>
      <c r="K1915" s="157">
        <v>694</v>
      </c>
      <c r="L1915" s="157"/>
      <c r="M1915" s="157">
        <v>694</v>
      </c>
      <c r="N1915" s="157">
        <v>11</v>
      </c>
      <c r="O1915" s="157"/>
      <c r="P1915" s="157"/>
      <c r="Q1915" s="157">
        <v>7</v>
      </c>
      <c r="R1915" s="157"/>
      <c r="S1915" s="157"/>
      <c r="T1915" s="157">
        <v>1</v>
      </c>
      <c r="U1915" s="157"/>
      <c r="V1915" s="158"/>
      <c r="W1915" s="182"/>
      <c r="X1915" s="1"/>
      <c r="Y1915" s="78">
        <f t="shared" si="236"/>
        <v>0</v>
      </c>
      <c r="Z1915" s="78">
        <f t="shared" si="237"/>
        <v>0</v>
      </c>
      <c r="AA1915" s="78">
        <f t="shared" si="242"/>
        <v>0</v>
      </c>
      <c r="AB1915" s="78">
        <f t="shared" si="238"/>
        <v>0</v>
      </c>
      <c r="AC1915" s="78"/>
      <c r="AD1915" s="78">
        <v>0</v>
      </c>
      <c r="AE1915" s="80">
        <f t="shared" si="240"/>
        <v>0</v>
      </c>
      <c r="AF1915" s="82">
        <v>0</v>
      </c>
      <c r="AG1915" s="69"/>
      <c r="AH1915" s="84"/>
      <c r="AI1915" s="69" t="s">
        <v>2009</v>
      </c>
      <c r="AJ1915" s="276" t="s">
        <v>2010</v>
      </c>
      <c r="AK1915" s="65"/>
      <c r="AL1915" s="272" t="s">
        <v>311</v>
      </c>
      <c r="AM1915" s="173" t="s">
        <v>2643</v>
      </c>
      <c r="AN1915" s="159"/>
      <c r="AO1915" s="160"/>
      <c r="AP1915" s="161"/>
      <c r="AQ1915" s="160"/>
      <c r="AR1915" s="160"/>
      <c r="AS1915" s="160"/>
      <c r="AT1915" s="160"/>
      <c r="AU1915" s="160"/>
      <c r="AV1915" s="160"/>
      <c r="AW1915" s="160"/>
      <c r="AX1915" s="160"/>
      <c r="AY1915" s="160"/>
      <c r="AZ1915" s="160"/>
      <c r="BA1915" s="160"/>
      <c r="BB1915" s="160"/>
      <c r="BC1915" s="160"/>
      <c r="BD1915" s="160"/>
      <c r="BE1915" s="160"/>
      <c r="BF1915" s="160"/>
      <c r="BG1915" s="160"/>
      <c r="BH1915" s="160"/>
      <c r="BI1915" s="160"/>
      <c r="BJ1915" s="160"/>
      <c r="BK1915" s="160"/>
      <c r="BL1915" s="160"/>
      <c r="BM1915" s="160"/>
      <c r="BN1915" s="160"/>
      <c r="BO1915" s="160"/>
      <c r="BP1915" s="160"/>
      <c r="BQ1915" s="160"/>
      <c r="BR1915" s="160"/>
      <c r="BS1915" s="160"/>
      <c r="BT1915" s="160"/>
      <c r="BU1915" s="160"/>
      <c r="BV1915" s="160"/>
      <c r="BW1915" s="160"/>
      <c r="BX1915" s="160"/>
      <c r="BY1915" s="160"/>
      <c r="BZ1915" s="160"/>
      <c r="CA1915" s="160"/>
      <c r="CB1915" s="160"/>
      <c r="CC1915" s="160"/>
      <c r="CD1915" s="160"/>
      <c r="CE1915" s="160"/>
      <c r="CF1915" s="160"/>
      <c r="CG1915" s="160"/>
      <c r="CH1915" s="160"/>
      <c r="CI1915" s="160"/>
      <c r="CJ1915" s="160"/>
      <c r="CK1915" s="160"/>
      <c r="CL1915" s="160"/>
      <c r="CM1915" s="160"/>
      <c r="CN1915" s="160"/>
      <c r="CO1915" s="160"/>
      <c r="CP1915" s="162"/>
      <c r="CQ1915" s="163"/>
      <c r="CR1915" s="162"/>
      <c r="CS1915" s="163"/>
      <c r="CT1915" s="162"/>
      <c r="CU1915" s="163"/>
      <c r="CV1915" s="164">
        <f t="shared" si="239"/>
        <v>0</v>
      </c>
      <c r="CW1915" s="165"/>
      <c r="CX1915" s="166"/>
      <c r="CY1915" s="167"/>
      <c r="CZ1915" s="168"/>
      <c r="DA1915" s="169"/>
      <c r="DB1915" s="168"/>
      <c r="DC1915" s="165"/>
      <c r="DD1915" s="166"/>
      <c r="DE1915" s="71"/>
      <c r="DF1915" s="170"/>
      <c r="EO1915" s="375" t="str">
        <f t="shared" si="241"/>
        <v>CAUCA_BOLIVAR</v>
      </c>
      <c r="EP1915" s="376"/>
      <c r="EQ1915" s="376"/>
      <c r="ER1915" s="377"/>
      <c r="ES1915" s="376"/>
      <c r="ET1915" s="376"/>
      <c r="EU1915" s="376"/>
    </row>
    <row r="1916" spans="1:151" s="171" customFormat="1" ht="25.5" x14ac:dyDescent="0.2">
      <c r="A1916" s="242">
        <v>40511</v>
      </c>
      <c r="B1916" s="222" t="s">
        <v>1719</v>
      </c>
      <c r="C1916" s="222" t="s">
        <v>170</v>
      </c>
      <c r="D1916" s="430" t="s">
        <v>2307</v>
      </c>
      <c r="E1916" s="107" t="str">
        <f>VLOOKUP(B1916&amp;C1916,Divipola!$C$2:$F$1138,4,FALSE)</f>
        <v>19256</v>
      </c>
      <c r="F1916" s="333"/>
      <c r="G1916" s="221">
        <v>1</v>
      </c>
      <c r="H1916" s="157"/>
      <c r="I1916" s="157"/>
      <c r="J1916" s="157">
        <f>1115*5</f>
        <v>5575</v>
      </c>
      <c r="K1916" s="157">
        <f>3295-2180</f>
        <v>1115</v>
      </c>
      <c r="L1916" s="157"/>
      <c r="M1916" s="157">
        <v>1115</v>
      </c>
      <c r="N1916" s="157"/>
      <c r="O1916" s="157"/>
      <c r="P1916" s="157"/>
      <c r="Q1916" s="157">
        <v>2</v>
      </c>
      <c r="R1916" s="157"/>
      <c r="S1916" s="157"/>
      <c r="T1916" s="157"/>
      <c r="U1916" s="157"/>
      <c r="V1916" s="158">
        <v>381.91</v>
      </c>
      <c r="W1916" s="182" t="s">
        <v>750</v>
      </c>
      <c r="X1916" s="1"/>
      <c r="Y1916" s="78">
        <f t="shared" si="236"/>
        <v>0</v>
      </c>
      <c r="Z1916" s="78">
        <f t="shared" si="237"/>
        <v>0</v>
      </c>
      <c r="AA1916" s="78">
        <f t="shared" si="242"/>
        <v>0</v>
      </c>
      <c r="AB1916" s="78">
        <f t="shared" si="238"/>
        <v>0</v>
      </c>
      <c r="AC1916" s="78"/>
      <c r="AD1916" s="78">
        <v>0</v>
      </c>
      <c r="AE1916" s="80">
        <f t="shared" si="240"/>
        <v>0</v>
      </c>
      <c r="AF1916" s="82">
        <v>0</v>
      </c>
      <c r="AG1916" s="69">
        <v>40513</v>
      </c>
      <c r="AH1916" s="84"/>
      <c r="AI1916" s="69" t="s">
        <v>1984</v>
      </c>
      <c r="AJ1916" s="25" t="s">
        <v>1985</v>
      </c>
      <c r="AK1916" s="65"/>
      <c r="AL1916" s="176" t="s">
        <v>1257</v>
      </c>
      <c r="AM1916" s="173" t="s">
        <v>1165</v>
      </c>
      <c r="AN1916" s="159"/>
      <c r="AO1916" s="160"/>
      <c r="AP1916" s="161"/>
      <c r="AQ1916" s="160"/>
      <c r="AR1916" s="160"/>
      <c r="AS1916" s="160"/>
      <c r="AT1916" s="160"/>
      <c r="AU1916" s="160"/>
      <c r="AV1916" s="160"/>
      <c r="AW1916" s="160"/>
      <c r="AX1916" s="160"/>
      <c r="AY1916" s="160"/>
      <c r="AZ1916" s="160"/>
      <c r="BA1916" s="160"/>
      <c r="BB1916" s="160"/>
      <c r="BC1916" s="160"/>
      <c r="BD1916" s="160"/>
      <c r="BE1916" s="160"/>
      <c r="BF1916" s="160"/>
      <c r="BG1916" s="160"/>
      <c r="BH1916" s="160"/>
      <c r="BI1916" s="160"/>
      <c r="BJ1916" s="160"/>
      <c r="BK1916" s="160"/>
      <c r="BL1916" s="160"/>
      <c r="BM1916" s="160"/>
      <c r="BN1916" s="160"/>
      <c r="BO1916" s="160"/>
      <c r="BP1916" s="160"/>
      <c r="BQ1916" s="160"/>
      <c r="BR1916" s="160"/>
      <c r="BS1916" s="160"/>
      <c r="BT1916" s="160"/>
      <c r="BU1916" s="160"/>
      <c r="BV1916" s="160"/>
      <c r="BW1916" s="160"/>
      <c r="BX1916" s="160"/>
      <c r="BY1916" s="160"/>
      <c r="BZ1916" s="160"/>
      <c r="CA1916" s="160"/>
      <c r="CB1916" s="160"/>
      <c r="CC1916" s="160"/>
      <c r="CD1916" s="160"/>
      <c r="CE1916" s="160"/>
      <c r="CF1916" s="160"/>
      <c r="CG1916" s="160"/>
      <c r="CH1916" s="160"/>
      <c r="CI1916" s="160"/>
      <c r="CJ1916" s="160"/>
      <c r="CK1916" s="160"/>
      <c r="CL1916" s="160"/>
      <c r="CM1916" s="160"/>
      <c r="CN1916" s="160"/>
      <c r="CO1916" s="160"/>
      <c r="CP1916" s="162"/>
      <c r="CQ1916" s="163"/>
      <c r="CR1916" s="162"/>
      <c r="CS1916" s="163"/>
      <c r="CT1916" s="162"/>
      <c r="CU1916" s="163"/>
      <c r="CV1916" s="164">
        <f t="shared" si="239"/>
        <v>0</v>
      </c>
      <c r="CW1916" s="165"/>
      <c r="CX1916" s="166"/>
      <c r="CY1916" s="167"/>
      <c r="CZ1916" s="168"/>
      <c r="DA1916" s="169"/>
      <c r="DB1916" s="168"/>
      <c r="DC1916" s="165"/>
      <c r="DD1916" s="166"/>
      <c r="DE1916" s="71"/>
      <c r="DF1916" s="170"/>
      <c r="EO1916" s="375" t="str">
        <f t="shared" si="241"/>
        <v>CAUCA_EL TAMBO</v>
      </c>
      <c r="EP1916" s="376"/>
      <c r="EQ1916" s="376"/>
      <c r="ER1916" s="377"/>
      <c r="ES1916" s="376"/>
      <c r="ET1916" s="376"/>
      <c r="EU1916" s="376"/>
    </row>
    <row r="1917" spans="1:151" s="171" customFormat="1" ht="36" x14ac:dyDescent="0.2">
      <c r="A1917" s="242">
        <v>40511</v>
      </c>
      <c r="B1917" s="222" t="s">
        <v>1719</v>
      </c>
      <c r="C1917" s="222" t="s">
        <v>1558</v>
      </c>
      <c r="D1917" s="430" t="s">
        <v>837</v>
      </c>
      <c r="E1917" s="107" t="str">
        <f>VLOOKUP(B1917&amp;C1917,Divipola!$C$2:$F$1138,4,FALSE)</f>
        <v>19780</v>
      </c>
      <c r="F1917" s="333"/>
      <c r="G1917" s="221">
        <v>1</v>
      </c>
      <c r="H1917" s="157"/>
      <c r="I1917" s="157"/>
      <c r="J1917" s="157"/>
      <c r="K1917" s="157"/>
      <c r="L1917" s="157"/>
      <c r="M1917" s="157"/>
      <c r="N1917" s="157"/>
      <c r="O1917" s="157"/>
      <c r="P1917" s="157"/>
      <c r="Q1917" s="157"/>
      <c r="R1917" s="157"/>
      <c r="S1917" s="157"/>
      <c r="T1917" s="157"/>
      <c r="U1917" s="157"/>
      <c r="V1917" s="158"/>
      <c r="W1917" s="182"/>
      <c r="X1917" s="1"/>
      <c r="Y1917" s="78">
        <f t="shared" si="236"/>
        <v>0</v>
      </c>
      <c r="Z1917" s="78">
        <f t="shared" si="237"/>
        <v>0</v>
      </c>
      <c r="AA1917" s="78">
        <f t="shared" si="242"/>
        <v>0</v>
      </c>
      <c r="AB1917" s="78">
        <f t="shared" si="238"/>
        <v>0</v>
      </c>
      <c r="AC1917" s="78"/>
      <c r="AD1917" s="78">
        <v>0</v>
      </c>
      <c r="AE1917" s="80">
        <f t="shared" si="240"/>
        <v>0</v>
      </c>
      <c r="AF1917" s="82">
        <v>0</v>
      </c>
      <c r="AG1917" s="69">
        <v>40512</v>
      </c>
      <c r="AH1917" s="84"/>
      <c r="AI1917" s="69" t="s">
        <v>1984</v>
      </c>
      <c r="AJ1917" s="25" t="s">
        <v>1985</v>
      </c>
      <c r="AK1917" s="65"/>
      <c r="AL1917" s="176" t="s">
        <v>1257</v>
      </c>
      <c r="AM1917" s="173" t="s">
        <v>1156</v>
      </c>
      <c r="AN1917" s="159"/>
      <c r="AO1917" s="160"/>
      <c r="AP1917" s="161"/>
      <c r="AQ1917" s="160"/>
      <c r="AR1917" s="160"/>
      <c r="AS1917" s="160"/>
      <c r="AT1917" s="160"/>
      <c r="AU1917" s="160"/>
      <c r="AV1917" s="160"/>
      <c r="AW1917" s="160"/>
      <c r="AX1917" s="160"/>
      <c r="AY1917" s="160"/>
      <c r="AZ1917" s="160"/>
      <c r="BA1917" s="160"/>
      <c r="BB1917" s="160"/>
      <c r="BC1917" s="160"/>
      <c r="BD1917" s="160"/>
      <c r="BE1917" s="160"/>
      <c r="BF1917" s="160"/>
      <c r="BG1917" s="160"/>
      <c r="BH1917" s="160"/>
      <c r="BI1917" s="160"/>
      <c r="BJ1917" s="160"/>
      <c r="BK1917" s="160"/>
      <c r="BL1917" s="160"/>
      <c r="BM1917" s="160"/>
      <c r="BN1917" s="160"/>
      <c r="BO1917" s="160"/>
      <c r="BP1917" s="160"/>
      <c r="BQ1917" s="160"/>
      <c r="BR1917" s="160"/>
      <c r="BS1917" s="160"/>
      <c r="BT1917" s="160"/>
      <c r="BU1917" s="160"/>
      <c r="BV1917" s="160"/>
      <c r="BW1917" s="160"/>
      <c r="BX1917" s="160"/>
      <c r="BY1917" s="160"/>
      <c r="BZ1917" s="160"/>
      <c r="CA1917" s="160"/>
      <c r="CB1917" s="160"/>
      <c r="CC1917" s="160"/>
      <c r="CD1917" s="160"/>
      <c r="CE1917" s="160"/>
      <c r="CF1917" s="160"/>
      <c r="CG1917" s="160"/>
      <c r="CH1917" s="160"/>
      <c r="CI1917" s="160"/>
      <c r="CJ1917" s="160"/>
      <c r="CK1917" s="160"/>
      <c r="CL1917" s="160"/>
      <c r="CM1917" s="160"/>
      <c r="CN1917" s="160"/>
      <c r="CO1917" s="160"/>
      <c r="CP1917" s="162"/>
      <c r="CQ1917" s="163"/>
      <c r="CR1917" s="162"/>
      <c r="CS1917" s="163"/>
      <c r="CT1917" s="162"/>
      <c r="CU1917" s="163"/>
      <c r="CV1917" s="164">
        <f t="shared" si="239"/>
        <v>0</v>
      </c>
      <c r="CW1917" s="165"/>
      <c r="CX1917" s="166"/>
      <c r="CY1917" s="167"/>
      <c r="CZ1917" s="168"/>
      <c r="DA1917" s="169"/>
      <c r="DB1917" s="168"/>
      <c r="DC1917" s="165"/>
      <c r="DD1917" s="166"/>
      <c r="DE1917" s="71"/>
      <c r="DF1917" s="170"/>
      <c r="EO1917" s="375" t="str">
        <f t="shared" si="241"/>
        <v>CAUCA_SUAREZ</v>
      </c>
      <c r="EP1917" s="376"/>
      <c r="EQ1917" s="376"/>
      <c r="ER1917" s="377"/>
      <c r="ES1917" s="376"/>
      <c r="ET1917" s="376"/>
      <c r="EU1917" s="376"/>
    </row>
    <row r="1918" spans="1:151" s="171" customFormat="1" ht="48" x14ac:dyDescent="0.2">
      <c r="A1918" s="242">
        <v>40511</v>
      </c>
      <c r="B1918" s="222" t="s">
        <v>2425</v>
      </c>
      <c r="C1918" s="222" t="s">
        <v>1310</v>
      </c>
      <c r="D1918" s="430" t="s">
        <v>837</v>
      </c>
      <c r="E1918" s="107" t="str">
        <f>VLOOKUP(B1918&amp;C1918,Divipola!$C$2:$F$1138,4,FALSE)</f>
        <v>27491</v>
      </c>
      <c r="F1918" s="333"/>
      <c r="G1918" s="221"/>
      <c r="H1918" s="157"/>
      <c r="I1918" s="157"/>
      <c r="J1918" s="157">
        <f>2780-1110</f>
        <v>1670</v>
      </c>
      <c r="K1918" s="157">
        <f>866-315</f>
        <v>551</v>
      </c>
      <c r="L1918" s="157"/>
      <c r="M1918" s="157"/>
      <c r="N1918" s="157"/>
      <c r="O1918" s="157"/>
      <c r="P1918" s="157"/>
      <c r="Q1918" s="157"/>
      <c r="R1918" s="157"/>
      <c r="S1918" s="157"/>
      <c r="T1918" s="157"/>
      <c r="U1918" s="157"/>
      <c r="V1918" s="158"/>
      <c r="W1918" s="182"/>
      <c r="X1918" s="1"/>
      <c r="Y1918" s="78">
        <f t="shared" si="236"/>
        <v>23170000</v>
      </c>
      <c r="Z1918" s="78">
        <f t="shared" si="237"/>
        <v>56525000</v>
      </c>
      <c r="AA1918" s="78">
        <f t="shared" si="242"/>
        <v>0</v>
      </c>
      <c r="AB1918" s="78">
        <f t="shared" si="238"/>
        <v>0</v>
      </c>
      <c r="AC1918" s="78"/>
      <c r="AD1918" s="78">
        <v>0</v>
      </c>
      <c r="AE1918" s="80">
        <f t="shared" si="240"/>
        <v>79695000</v>
      </c>
      <c r="AF1918" s="82">
        <v>0</v>
      </c>
      <c r="AG1918" s="69">
        <v>40511</v>
      </c>
      <c r="AH1918" s="84"/>
      <c r="AI1918" s="69" t="s">
        <v>2009</v>
      </c>
      <c r="AJ1918" s="25" t="s">
        <v>2010</v>
      </c>
      <c r="AK1918" s="65"/>
      <c r="AL1918" s="185" t="s">
        <v>2182</v>
      </c>
      <c r="AM1918" s="173" t="s">
        <v>528</v>
      </c>
      <c r="AN1918" s="159"/>
      <c r="AO1918" s="160"/>
      <c r="AP1918" s="161"/>
      <c r="AQ1918" s="160"/>
      <c r="AR1918" s="160"/>
      <c r="AS1918" s="160"/>
      <c r="AT1918" s="160"/>
      <c r="AU1918" s="160"/>
      <c r="AV1918" s="160"/>
      <c r="AW1918" s="160"/>
      <c r="AX1918" s="160"/>
      <c r="AY1918" s="160"/>
      <c r="AZ1918" s="160"/>
      <c r="BA1918" s="160"/>
      <c r="BB1918" s="160">
        <v>200</v>
      </c>
      <c r="BC1918" s="160">
        <f>200*56000</f>
        <v>11200000</v>
      </c>
      <c r="BD1918" s="160"/>
      <c r="BE1918" s="160"/>
      <c r="BF1918" s="160"/>
      <c r="BG1918" s="160"/>
      <c r="BH1918" s="160"/>
      <c r="BI1918" s="160"/>
      <c r="BJ1918" s="160"/>
      <c r="BK1918" s="160"/>
      <c r="BL1918" s="160"/>
      <c r="BM1918" s="160"/>
      <c r="BN1918" s="160"/>
      <c r="BO1918" s="160"/>
      <c r="BP1918" s="160"/>
      <c r="BQ1918" s="160"/>
      <c r="BR1918" s="160"/>
      <c r="BS1918" s="160"/>
      <c r="BT1918" s="160"/>
      <c r="BU1918" s="160"/>
      <c r="BV1918" s="160"/>
      <c r="BW1918" s="160"/>
      <c r="BX1918" s="160"/>
      <c r="BY1918" s="160"/>
      <c r="BZ1918" s="160"/>
      <c r="CA1918" s="160"/>
      <c r="CB1918" s="160"/>
      <c r="CC1918" s="160"/>
      <c r="CD1918" s="160"/>
      <c r="CE1918" s="160"/>
      <c r="CF1918" s="160"/>
      <c r="CG1918" s="160"/>
      <c r="CH1918" s="160"/>
      <c r="CI1918" s="160"/>
      <c r="CJ1918" s="160"/>
      <c r="CK1918" s="160"/>
      <c r="CL1918" s="160"/>
      <c r="CM1918" s="160"/>
      <c r="CN1918" s="160">
        <v>665</v>
      </c>
      <c r="CO1918" s="160">
        <f>665*18000</f>
        <v>11970000</v>
      </c>
      <c r="CP1918" s="162"/>
      <c r="CQ1918" s="163"/>
      <c r="CR1918" s="162"/>
      <c r="CS1918" s="163"/>
      <c r="CT1918" s="162"/>
      <c r="CU1918" s="163"/>
      <c r="CV1918" s="164">
        <f t="shared" si="239"/>
        <v>23170000</v>
      </c>
      <c r="CW1918" s="165"/>
      <c r="CX1918" s="166"/>
      <c r="CY1918" s="167">
        <v>665</v>
      </c>
      <c r="CZ1918" s="168">
        <f>665*85000</f>
        <v>56525000</v>
      </c>
      <c r="DA1918" s="169"/>
      <c r="DB1918" s="168"/>
      <c r="DC1918" s="165"/>
      <c r="DD1918" s="166"/>
      <c r="DE1918" s="71"/>
      <c r="DF1918" s="170"/>
      <c r="EO1918" s="375" t="str">
        <f t="shared" si="241"/>
        <v>CHOCO_NOVITA</v>
      </c>
      <c r="EP1918" s="376"/>
      <c r="EQ1918" s="376"/>
      <c r="ER1918" s="377"/>
      <c r="ES1918" s="376"/>
      <c r="ET1918" s="376"/>
      <c r="EU1918" s="376"/>
    </row>
    <row r="1919" spans="1:151" s="171" customFormat="1" ht="38.25" x14ac:dyDescent="0.2">
      <c r="A1919" s="242">
        <v>40511</v>
      </c>
      <c r="B1919" s="222" t="s">
        <v>2007</v>
      </c>
      <c r="C1919" s="222" t="s">
        <v>2377</v>
      </c>
      <c r="D1919" s="430" t="s">
        <v>837</v>
      </c>
      <c r="E1919" s="107" t="str">
        <f>VLOOKUP(B1919&amp;C1919,Divipola!$C$2:$F$1138,4,FALSE)</f>
        <v>25200</v>
      </c>
      <c r="F1919" s="333"/>
      <c r="G1919" s="221"/>
      <c r="H1919" s="157"/>
      <c r="I1919" s="157"/>
      <c r="J1919" s="157">
        <v>39</v>
      </c>
      <c r="K1919" s="157">
        <v>13</v>
      </c>
      <c r="L1919" s="157"/>
      <c r="M1919" s="157">
        <v>13</v>
      </c>
      <c r="N1919" s="157"/>
      <c r="O1919" s="157"/>
      <c r="P1919" s="157"/>
      <c r="Q1919" s="157"/>
      <c r="R1919" s="157"/>
      <c r="S1919" s="157"/>
      <c r="T1919" s="157"/>
      <c r="U1919" s="157"/>
      <c r="V1919" s="158"/>
      <c r="W1919" s="182"/>
      <c r="X1919" s="1"/>
      <c r="Y1919" s="78">
        <f t="shared" si="236"/>
        <v>0</v>
      </c>
      <c r="Z1919" s="78">
        <f t="shared" si="237"/>
        <v>0</v>
      </c>
      <c r="AA1919" s="78">
        <f t="shared" si="242"/>
        <v>0</v>
      </c>
      <c r="AB1919" s="78">
        <f t="shared" si="238"/>
        <v>0</v>
      </c>
      <c r="AC1919" s="78"/>
      <c r="AD1919" s="78">
        <v>0</v>
      </c>
      <c r="AE1919" s="80">
        <f t="shared" si="240"/>
        <v>0</v>
      </c>
      <c r="AF1919" s="82">
        <v>0</v>
      </c>
      <c r="AG1919" s="69">
        <v>40511</v>
      </c>
      <c r="AH1919" s="84"/>
      <c r="AI1919" s="69" t="s">
        <v>1984</v>
      </c>
      <c r="AJ1919" s="25" t="s">
        <v>1985</v>
      </c>
      <c r="AK1919" s="65"/>
      <c r="AL1919" s="176" t="s">
        <v>1257</v>
      </c>
      <c r="AM1919" s="173" t="s">
        <v>518</v>
      </c>
      <c r="AN1919" s="159"/>
      <c r="AO1919" s="160"/>
      <c r="AP1919" s="161"/>
      <c r="AQ1919" s="160"/>
      <c r="AR1919" s="160"/>
      <c r="AS1919" s="160"/>
      <c r="AT1919" s="160"/>
      <c r="AU1919" s="160"/>
      <c r="AV1919" s="160"/>
      <c r="AW1919" s="160"/>
      <c r="AX1919" s="160"/>
      <c r="AY1919" s="160"/>
      <c r="AZ1919" s="160"/>
      <c r="BA1919" s="160"/>
      <c r="BB1919" s="160"/>
      <c r="BC1919" s="160"/>
      <c r="BD1919" s="160"/>
      <c r="BE1919" s="160"/>
      <c r="BF1919" s="160"/>
      <c r="BG1919" s="160"/>
      <c r="BH1919" s="160"/>
      <c r="BI1919" s="160"/>
      <c r="BJ1919" s="160"/>
      <c r="BK1919" s="160"/>
      <c r="BL1919" s="160"/>
      <c r="BM1919" s="160"/>
      <c r="BN1919" s="160"/>
      <c r="BO1919" s="160"/>
      <c r="BP1919" s="160"/>
      <c r="BQ1919" s="160"/>
      <c r="BR1919" s="160"/>
      <c r="BS1919" s="160"/>
      <c r="BT1919" s="160"/>
      <c r="BU1919" s="160"/>
      <c r="BV1919" s="160"/>
      <c r="BW1919" s="160"/>
      <c r="BX1919" s="160"/>
      <c r="BY1919" s="160"/>
      <c r="BZ1919" s="160"/>
      <c r="CA1919" s="160"/>
      <c r="CB1919" s="160"/>
      <c r="CC1919" s="160"/>
      <c r="CD1919" s="160"/>
      <c r="CE1919" s="160"/>
      <c r="CF1919" s="160"/>
      <c r="CG1919" s="160"/>
      <c r="CH1919" s="160"/>
      <c r="CI1919" s="160"/>
      <c r="CJ1919" s="160"/>
      <c r="CK1919" s="160"/>
      <c r="CL1919" s="160"/>
      <c r="CM1919" s="160"/>
      <c r="CN1919" s="160"/>
      <c r="CO1919" s="160"/>
      <c r="CP1919" s="162"/>
      <c r="CQ1919" s="163"/>
      <c r="CR1919" s="162"/>
      <c r="CS1919" s="163"/>
      <c r="CT1919" s="162"/>
      <c r="CU1919" s="163"/>
      <c r="CV1919" s="164">
        <f t="shared" si="239"/>
        <v>0</v>
      </c>
      <c r="CW1919" s="165"/>
      <c r="CX1919" s="166"/>
      <c r="CY1919" s="167"/>
      <c r="CZ1919" s="168"/>
      <c r="DA1919" s="169"/>
      <c r="DB1919" s="168"/>
      <c r="DC1919" s="165"/>
      <c r="DD1919" s="166"/>
      <c r="DE1919" s="71"/>
      <c r="DF1919" s="170"/>
      <c r="EO1919" s="375" t="str">
        <f t="shared" si="241"/>
        <v>CUNDINAMARCA_COGUA</v>
      </c>
      <c r="EP1919" s="376"/>
      <c r="EQ1919" s="376"/>
      <c r="ER1919" s="377"/>
      <c r="ES1919" s="376"/>
      <c r="ET1919" s="376"/>
      <c r="EU1919" s="376"/>
    </row>
    <row r="1920" spans="1:151" s="171" customFormat="1" ht="38.25" x14ac:dyDescent="0.2">
      <c r="A1920" s="242">
        <v>40511</v>
      </c>
      <c r="B1920" s="222" t="s">
        <v>2007</v>
      </c>
      <c r="C1920" s="222" t="s">
        <v>2955</v>
      </c>
      <c r="D1920" s="430" t="s">
        <v>2307</v>
      </c>
      <c r="E1920" s="107" t="str">
        <f>VLOOKUP(B1920&amp;C1920,Divipola!$C$2:$F$1138,4,FALSE)</f>
        <v>25743</v>
      </c>
      <c r="F1920" s="333"/>
      <c r="G1920" s="221"/>
      <c r="H1920" s="157"/>
      <c r="I1920" s="157"/>
      <c r="J1920" s="157"/>
      <c r="K1920" s="157"/>
      <c r="L1920" s="157"/>
      <c r="M1920" s="157"/>
      <c r="N1920" s="157">
        <v>10</v>
      </c>
      <c r="O1920" s="157"/>
      <c r="P1920" s="157"/>
      <c r="Q1920" s="157"/>
      <c r="R1920" s="157"/>
      <c r="S1920" s="157">
        <v>1</v>
      </c>
      <c r="T1920" s="157"/>
      <c r="U1920" s="157"/>
      <c r="V1920" s="158"/>
      <c r="W1920" s="182"/>
      <c r="X1920" s="1"/>
      <c r="Y1920" s="78">
        <f t="shared" si="236"/>
        <v>0</v>
      </c>
      <c r="Z1920" s="78">
        <f t="shared" si="237"/>
        <v>0</v>
      </c>
      <c r="AA1920" s="78">
        <f t="shared" si="242"/>
        <v>0</v>
      </c>
      <c r="AB1920" s="78">
        <f t="shared" si="238"/>
        <v>0</v>
      </c>
      <c r="AC1920" s="78"/>
      <c r="AD1920" s="78">
        <v>0</v>
      </c>
      <c r="AE1920" s="80">
        <f t="shared" si="240"/>
        <v>0</v>
      </c>
      <c r="AF1920" s="82">
        <v>0</v>
      </c>
      <c r="AG1920" s="242">
        <v>40511</v>
      </c>
      <c r="AH1920" s="84"/>
      <c r="AI1920" s="69" t="s">
        <v>1984</v>
      </c>
      <c r="AJ1920" s="25" t="s">
        <v>1985</v>
      </c>
      <c r="AK1920" s="65"/>
      <c r="AL1920" s="176" t="s">
        <v>1257</v>
      </c>
      <c r="AM1920" s="187" t="s">
        <v>3004</v>
      </c>
      <c r="AN1920" s="159"/>
      <c r="AO1920" s="160"/>
      <c r="AP1920" s="161"/>
      <c r="AQ1920" s="160"/>
      <c r="AR1920" s="160"/>
      <c r="AS1920" s="160"/>
      <c r="AT1920" s="160"/>
      <c r="AU1920" s="160"/>
      <c r="AV1920" s="160"/>
      <c r="AW1920" s="160"/>
      <c r="AX1920" s="160"/>
      <c r="AY1920" s="160"/>
      <c r="AZ1920" s="160"/>
      <c r="BA1920" s="160"/>
      <c r="BB1920" s="160"/>
      <c r="BC1920" s="160"/>
      <c r="BD1920" s="160"/>
      <c r="BE1920" s="160"/>
      <c r="BF1920" s="160"/>
      <c r="BG1920" s="160"/>
      <c r="BH1920" s="160"/>
      <c r="BI1920" s="160"/>
      <c r="BJ1920" s="160"/>
      <c r="BK1920" s="160"/>
      <c r="BL1920" s="160"/>
      <c r="BM1920" s="160"/>
      <c r="BN1920" s="160"/>
      <c r="BO1920" s="160"/>
      <c r="BP1920" s="160"/>
      <c r="BQ1920" s="160"/>
      <c r="BR1920" s="160"/>
      <c r="BS1920" s="160"/>
      <c r="BT1920" s="160"/>
      <c r="BU1920" s="160"/>
      <c r="BV1920" s="160"/>
      <c r="BW1920" s="160"/>
      <c r="BX1920" s="160"/>
      <c r="BY1920" s="160"/>
      <c r="BZ1920" s="160"/>
      <c r="CA1920" s="160"/>
      <c r="CB1920" s="160"/>
      <c r="CC1920" s="160"/>
      <c r="CD1920" s="160"/>
      <c r="CE1920" s="160"/>
      <c r="CF1920" s="160"/>
      <c r="CG1920" s="160"/>
      <c r="CH1920" s="160"/>
      <c r="CI1920" s="160"/>
      <c r="CJ1920" s="160"/>
      <c r="CK1920" s="160"/>
      <c r="CL1920" s="160"/>
      <c r="CM1920" s="160"/>
      <c r="CN1920" s="160"/>
      <c r="CO1920" s="160"/>
      <c r="CP1920" s="162"/>
      <c r="CQ1920" s="163"/>
      <c r="CR1920" s="162"/>
      <c r="CS1920" s="163"/>
      <c r="CT1920" s="162"/>
      <c r="CU1920" s="163"/>
      <c r="CV1920" s="164">
        <f t="shared" si="239"/>
        <v>0</v>
      </c>
      <c r="CW1920" s="165"/>
      <c r="CX1920" s="166"/>
      <c r="CY1920" s="167"/>
      <c r="CZ1920" s="168"/>
      <c r="DA1920" s="169"/>
      <c r="DB1920" s="168"/>
      <c r="DC1920" s="165"/>
      <c r="DD1920" s="166"/>
      <c r="DE1920" s="71"/>
      <c r="DF1920" s="170"/>
      <c r="EO1920" s="375" t="str">
        <f t="shared" si="241"/>
        <v>CUNDINAMARCA_SILVANIA</v>
      </c>
      <c r="EP1920" s="376"/>
      <c r="EQ1920" s="376"/>
      <c r="ER1920" s="377"/>
      <c r="ES1920" s="376"/>
      <c r="ET1920" s="376"/>
      <c r="EU1920" s="376"/>
    </row>
    <row r="1921" spans="1:151" s="171" customFormat="1" ht="38.25" x14ac:dyDescent="0.2">
      <c r="A1921" s="242">
        <v>40511</v>
      </c>
      <c r="B1921" s="222" t="s">
        <v>2245</v>
      </c>
      <c r="C1921" s="222" t="s">
        <v>2993</v>
      </c>
      <c r="D1921" s="430" t="s">
        <v>837</v>
      </c>
      <c r="E1921" s="107" t="str">
        <f>VLOOKUP(B1921&amp;C1921,Divipola!$C$2:$F$1138,4,FALSE)</f>
        <v>52621</v>
      </c>
      <c r="F1921" s="333"/>
      <c r="G1921" s="221"/>
      <c r="H1921" s="157"/>
      <c r="I1921" s="157"/>
      <c r="J1921" s="157">
        <v>4800</v>
      </c>
      <c r="K1921" s="157">
        <v>1200</v>
      </c>
      <c r="L1921" s="157"/>
      <c r="M1921" s="157"/>
      <c r="N1921" s="157"/>
      <c r="O1921" s="157"/>
      <c r="P1921" s="157"/>
      <c r="Q1921" s="157"/>
      <c r="R1921" s="157"/>
      <c r="S1921" s="157"/>
      <c r="T1921" s="157"/>
      <c r="U1921" s="157"/>
      <c r="V1921" s="158"/>
      <c r="W1921" s="182"/>
      <c r="X1921" s="1"/>
      <c r="Y1921" s="78">
        <f t="shared" si="236"/>
        <v>0</v>
      </c>
      <c r="Z1921" s="78">
        <f t="shared" si="237"/>
        <v>0</v>
      </c>
      <c r="AA1921" s="78">
        <f t="shared" si="242"/>
        <v>0</v>
      </c>
      <c r="AB1921" s="78">
        <f t="shared" si="238"/>
        <v>0</v>
      </c>
      <c r="AC1921" s="78"/>
      <c r="AD1921" s="78">
        <v>0</v>
      </c>
      <c r="AE1921" s="80">
        <f t="shared" si="240"/>
        <v>0</v>
      </c>
      <c r="AF1921" s="82">
        <v>0</v>
      </c>
      <c r="AG1921" s="69">
        <v>40511</v>
      </c>
      <c r="AH1921" s="84"/>
      <c r="AI1921" s="69" t="s">
        <v>1984</v>
      </c>
      <c r="AJ1921" s="25" t="s">
        <v>1985</v>
      </c>
      <c r="AK1921" s="65"/>
      <c r="AL1921" s="176" t="s">
        <v>1257</v>
      </c>
      <c r="AM1921" s="173" t="s">
        <v>2994</v>
      </c>
      <c r="AN1921" s="159"/>
      <c r="AO1921" s="160"/>
      <c r="AP1921" s="161"/>
      <c r="AQ1921" s="160"/>
      <c r="AR1921" s="160"/>
      <c r="AS1921" s="160"/>
      <c r="AT1921" s="160"/>
      <c r="AU1921" s="160"/>
      <c r="AV1921" s="160"/>
      <c r="AW1921" s="160"/>
      <c r="AX1921" s="160"/>
      <c r="AY1921" s="160"/>
      <c r="AZ1921" s="160"/>
      <c r="BA1921" s="160"/>
      <c r="BB1921" s="160"/>
      <c r="BC1921" s="160"/>
      <c r="BD1921" s="160"/>
      <c r="BE1921" s="160"/>
      <c r="BF1921" s="160"/>
      <c r="BG1921" s="160"/>
      <c r="BH1921" s="160"/>
      <c r="BI1921" s="160"/>
      <c r="BJ1921" s="160"/>
      <c r="BK1921" s="160"/>
      <c r="BL1921" s="160"/>
      <c r="BM1921" s="160"/>
      <c r="BN1921" s="160"/>
      <c r="BO1921" s="160"/>
      <c r="BP1921" s="160"/>
      <c r="BQ1921" s="160"/>
      <c r="BR1921" s="160"/>
      <c r="BS1921" s="160"/>
      <c r="BT1921" s="160"/>
      <c r="BU1921" s="160"/>
      <c r="BV1921" s="160"/>
      <c r="BW1921" s="160"/>
      <c r="BX1921" s="160"/>
      <c r="BY1921" s="160"/>
      <c r="BZ1921" s="160"/>
      <c r="CA1921" s="160"/>
      <c r="CB1921" s="160"/>
      <c r="CC1921" s="160"/>
      <c r="CD1921" s="160"/>
      <c r="CE1921" s="160"/>
      <c r="CF1921" s="160"/>
      <c r="CG1921" s="160"/>
      <c r="CH1921" s="160"/>
      <c r="CI1921" s="160"/>
      <c r="CJ1921" s="160"/>
      <c r="CK1921" s="160"/>
      <c r="CL1921" s="160"/>
      <c r="CM1921" s="160"/>
      <c r="CN1921" s="160"/>
      <c r="CO1921" s="160"/>
      <c r="CP1921" s="162"/>
      <c r="CQ1921" s="163"/>
      <c r="CR1921" s="162"/>
      <c r="CS1921" s="163"/>
      <c r="CT1921" s="162"/>
      <c r="CU1921" s="163"/>
      <c r="CV1921" s="164">
        <f t="shared" si="239"/>
        <v>0</v>
      </c>
      <c r="CW1921" s="165"/>
      <c r="CX1921" s="166"/>
      <c r="CY1921" s="167"/>
      <c r="CZ1921" s="168"/>
      <c r="DA1921" s="169"/>
      <c r="DB1921" s="168"/>
      <c r="DC1921" s="165"/>
      <c r="DD1921" s="166"/>
      <c r="DE1921" s="71"/>
      <c r="DF1921" s="170"/>
      <c r="EO1921" s="375" t="str">
        <f t="shared" si="241"/>
        <v>NARIÑO_ROBERTO PAYAN</v>
      </c>
      <c r="EP1921" s="376"/>
      <c r="EQ1921" s="376"/>
      <c r="ER1921" s="377"/>
      <c r="ES1921" s="376"/>
      <c r="ET1921" s="376"/>
      <c r="EU1921" s="376"/>
    </row>
    <row r="1922" spans="1:151" s="171" customFormat="1" ht="38.25" x14ac:dyDescent="0.2">
      <c r="A1922" s="242">
        <v>40511</v>
      </c>
      <c r="B1922" s="222" t="s">
        <v>1336</v>
      </c>
      <c r="C1922" s="222" t="s">
        <v>1732</v>
      </c>
      <c r="D1922" s="430" t="s">
        <v>1721</v>
      </c>
      <c r="E1922" s="107" t="str">
        <f>VLOOKUP(B1922&amp;C1922,Divipola!$C$2:$F$1138,4,FALSE)</f>
        <v>54001</v>
      </c>
      <c r="F1922" s="333"/>
      <c r="G1922" s="221">
        <v>1</v>
      </c>
      <c r="H1922" s="157">
        <v>2</v>
      </c>
      <c r="I1922" s="157"/>
      <c r="J1922" s="157">
        <v>6</v>
      </c>
      <c r="K1922" s="157">
        <v>2</v>
      </c>
      <c r="L1922" s="157"/>
      <c r="M1922" s="157">
        <v>1</v>
      </c>
      <c r="N1922" s="157"/>
      <c r="O1922" s="157"/>
      <c r="P1922" s="157"/>
      <c r="Q1922" s="157"/>
      <c r="R1922" s="157"/>
      <c r="S1922" s="157"/>
      <c r="T1922" s="157"/>
      <c r="U1922" s="157"/>
      <c r="V1922" s="158"/>
      <c r="W1922" s="182"/>
      <c r="X1922" s="1"/>
      <c r="Y1922" s="78">
        <f t="shared" si="236"/>
        <v>0</v>
      </c>
      <c r="Z1922" s="78">
        <f t="shared" si="237"/>
        <v>0</v>
      </c>
      <c r="AA1922" s="78">
        <f t="shared" si="242"/>
        <v>0</v>
      </c>
      <c r="AB1922" s="78">
        <f t="shared" si="238"/>
        <v>0</v>
      </c>
      <c r="AC1922" s="78"/>
      <c r="AD1922" s="78">
        <v>0</v>
      </c>
      <c r="AE1922" s="80">
        <f t="shared" si="240"/>
        <v>0</v>
      </c>
      <c r="AF1922" s="82">
        <v>0</v>
      </c>
      <c r="AG1922" s="69">
        <v>40512</v>
      </c>
      <c r="AH1922" s="84"/>
      <c r="AI1922" s="69" t="s">
        <v>1984</v>
      </c>
      <c r="AJ1922" s="25" t="s">
        <v>1985</v>
      </c>
      <c r="AK1922" s="65"/>
      <c r="AL1922" s="176" t="s">
        <v>1257</v>
      </c>
      <c r="AM1922" s="173" t="s">
        <v>1158</v>
      </c>
      <c r="AN1922" s="159"/>
      <c r="AO1922" s="160"/>
      <c r="AP1922" s="161"/>
      <c r="AQ1922" s="160"/>
      <c r="AR1922" s="160"/>
      <c r="AS1922" s="160"/>
      <c r="AT1922" s="160"/>
      <c r="AU1922" s="160"/>
      <c r="AV1922" s="160"/>
      <c r="AW1922" s="160"/>
      <c r="AX1922" s="160"/>
      <c r="AY1922" s="160"/>
      <c r="AZ1922" s="160"/>
      <c r="BA1922" s="160"/>
      <c r="BB1922" s="160"/>
      <c r="BC1922" s="160"/>
      <c r="BD1922" s="160"/>
      <c r="BE1922" s="160"/>
      <c r="BF1922" s="160"/>
      <c r="BG1922" s="160"/>
      <c r="BH1922" s="160"/>
      <c r="BI1922" s="160"/>
      <c r="BJ1922" s="160"/>
      <c r="BK1922" s="160"/>
      <c r="BL1922" s="160"/>
      <c r="BM1922" s="160"/>
      <c r="BN1922" s="160"/>
      <c r="BO1922" s="160"/>
      <c r="BP1922" s="160"/>
      <c r="BQ1922" s="160"/>
      <c r="BR1922" s="160"/>
      <c r="BS1922" s="160"/>
      <c r="BT1922" s="160"/>
      <c r="BU1922" s="160"/>
      <c r="BV1922" s="160"/>
      <c r="BW1922" s="160"/>
      <c r="BX1922" s="160"/>
      <c r="BY1922" s="160"/>
      <c r="BZ1922" s="160"/>
      <c r="CA1922" s="160"/>
      <c r="CB1922" s="160"/>
      <c r="CC1922" s="160"/>
      <c r="CD1922" s="160"/>
      <c r="CE1922" s="160"/>
      <c r="CF1922" s="160"/>
      <c r="CG1922" s="160"/>
      <c r="CH1922" s="160"/>
      <c r="CI1922" s="160"/>
      <c r="CJ1922" s="160"/>
      <c r="CK1922" s="160"/>
      <c r="CL1922" s="160"/>
      <c r="CM1922" s="160"/>
      <c r="CN1922" s="160"/>
      <c r="CO1922" s="160"/>
      <c r="CP1922" s="162"/>
      <c r="CQ1922" s="163"/>
      <c r="CR1922" s="162"/>
      <c r="CS1922" s="163"/>
      <c r="CT1922" s="162"/>
      <c r="CU1922" s="163"/>
      <c r="CV1922" s="164">
        <f t="shared" si="239"/>
        <v>0</v>
      </c>
      <c r="CW1922" s="165"/>
      <c r="CX1922" s="166"/>
      <c r="CY1922" s="167"/>
      <c r="CZ1922" s="168"/>
      <c r="DA1922" s="169"/>
      <c r="DB1922" s="168"/>
      <c r="DC1922" s="165"/>
      <c r="DD1922" s="166"/>
      <c r="DE1922" s="71"/>
      <c r="DF1922" s="170"/>
      <c r="EO1922" s="375" t="str">
        <f t="shared" si="241"/>
        <v>NORTE DE SANTANDER_CUCUTA</v>
      </c>
      <c r="EP1922" s="376"/>
      <c r="EQ1922" s="376"/>
      <c r="ER1922" s="377"/>
      <c r="ES1922" s="376"/>
      <c r="ET1922" s="376"/>
      <c r="EU1922" s="376"/>
    </row>
    <row r="1923" spans="1:151" s="171" customFormat="1" ht="38.25" x14ac:dyDescent="0.2">
      <c r="A1923" s="242">
        <v>40511</v>
      </c>
      <c r="B1923" s="222" t="s">
        <v>1336</v>
      </c>
      <c r="C1923" s="222" t="s">
        <v>1624</v>
      </c>
      <c r="D1923" s="430" t="s">
        <v>2307</v>
      </c>
      <c r="E1923" s="107" t="str">
        <f>VLOOKUP(B1923&amp;C1923,Divipola!$C$2:$F$1138,4,FALSE)</f>
        <v>54261</v>
      </c>
      <c r="F1923" s="333"/>
      <c r="G1923" s="221"/>
      <c r="H1923" s="157"/>
      <c r="I1923" s="157"/>
      <c r="J1923" s="157">
        <v>55</v>
      </c>
      <c r="K1923" s="157">
        <v>11</v>
      </c>
      <c r="L1923" s="157">
        <v>1</v>
      </c>
      <c r="M1923" s="157">
        <v>10</v>
      </c>
      <c r="N1923" s="157"/>
      <c r="O1923" s="157"/>
      <c r="P1923" s="157"/>
      <c r="Q1923" s="157">
        <v>1</v>
      </c>
      <c r="R1923" s="157"/>
      <c r="S1923" s="157"/>
      <c r="T1923" s="157"/>
      <c r="U1923" s="157"/>
      <c r="V1923" s="158"/>
      <c r="W1923" s="182"/>
      <c r="X1923" s="1"/>
      <c r="Y1923" s="78">
        <f t="shared" ref="Y1923:Y1986" si="243">CV1923</f>
        <v>0</v>
      </c>
      <c r="Z1923" s="78">
        <f t="shared" ref="Z1923:Z1986" si="244">CZ1923</f>
        <v>0</v>
      </c>
      <c r="AA1923" s="78">
        <f t="shared" si="242"/>
        <v>0</v>
      </c>
      <c r="AB1923" s="78">
        <f t="shared" ref="AB1923:AB1986" si="245">CX1923</f>
        <v>0</v>
      </c>
      <c r="AC1923" s="78"/>
      <c r="AD1923" s="78">
        <v>0</v>
      </c>
      <c r="AE1923" s="80">
        <f t="shared" si="240"/>
        <v>0</v>
      </c>
      <c r="AF1923" s="82">
        <v>0</v>
      </c>
      <c r="AG1923" s="69">
        <v>40512</v>
      </c>
      <c r="AH1923" s="84"/>
      <c r="AI1923" s="69" t="s">
        <v>1984</v>
      </c>
      <c r="AJ1923" s="25" t="s">
        <v>1985</v>
      </c>
      <c r="AK1923" s="65"/>
      <c r="AL1923" s="176" t="s">
        <v>1257</v>
      </c>
      <c r="AM1923" s="173" t="s">
        <v>522</v>
      </c>
      <c r="AN1923" s="159"/>
      <c r="AO1923" s="160"/>
      <c r="AP1923" s="161"/>
      <c r="AQ1923" s="160"/>
      <c r="AR1923" s="160"/>
      <c r="AS1923" s="160"/>
      <c r="AT1923" s="160"/>
      <c r="AU1923" s="160"/>
      <c r="AV1923" s="160"/>
      <c r="AW1923" s="160"/>
      <c r="AX1923" s="160"/>
      <c r="AY1923" s="160"/>
      <c r="AZ1923" s="160"/>
      <c r="BA1923" s="160"/>
      <c r="BB1923" s="160"/>
      <c r="BC1923" s="160"/>
      <c r="BD1923" s="160"/>
      <c r="BE1923" s="160"/>
      <c r="BF1923" s="160"/>
      <c r="BG1923" s="160"/>
      <c r="BH1923" s="160"/>
      <c r="BI1923" s="160"/>
      <c r="BJ1923" s="160"/>
      <c r="BK1923" s="160"/>
      <c r="BL1923" s="160"/>
      <c r="BM1923" s="160"/>
      <c r="BN1923" s="160"/>
      <c r="BO1923" s="160"/>
      <c r="BP1923" s="160"/>
      <c r="BQ1923" s="160"/>
      <c r="BR1923" s="160"/>
      <c r="BS1923" s="160"/>
      <c r="BT1923" s="160"/>
      <c r="BU1923" s="160"/>
      <c r="BV1923" s="160"/>
      <c r="BW1923" s="160"/>
      <c r="BX1923" s="160"/>
      <c r="BY1923" s="160"/>
      <c r="BZ1923" s="160"/>
      <c r="CA1923" s="160"/>
      <c r="CB1923" s="160"/>
      <c r="CC1923" s="160"/>
      <c r="CD1923" s="160"/>
      <c r="CE1923" s="160"/>
      <c r="CF1923" s="160"/>
      <c r="CG1923" s="160"/>
      <c r="CH1923" s="160"/>
      <c r="CI1923" s="160"/>
      <c r="CJ1923" s="160"/>
      <c r="CK1923" s="160"/>
      <c r="CL1923" s="160"/>
      <c r="CM1923" s="160"/>
      <c r="CN1923" s="160"/>
      <c r="CO1923" s="160"/>
      <c r="CP1923" s="162"/>
      <c r="CQ1923" s="163"/>
      <c r="CR1923" s="162"/>
      <c r="CS1923" s="163"/>
      <c r="CT1923" s="162"/>
      <c r="CU1923" s="163"/>
      <c r="CV1923" s="164">
        <f t="shared" ref="CV1923:CV1986" si="246">AO1923+AQ1923+AS1923+AU1923+AW1923+AY1923+BA1923+BC1923+BE1923+BG1923+BI1923+BK1923+BM1923+BO1923+BQ1923+BS1923+BU1923+BW1923+BY1923+CA1923+CC1923+CE1923+CG1923+CI1923+CK1923+CM1923+CO1923+CQ1923+CS1923+CU1923</f>
        <v>0</v>
      </c>
      <c r="CW1923" s="165"/>
      <c r="CX1923" s="166"/>
      <c r="CY1923" s="167"/>
      <c r="CZ1923" s="168"/>
      <c r="DA1923" s="169"/>
      <c r="DB1923" s="168"/>
      <c r="DC1923" s="165"/>
      <c r="DD1923" s="166"/>
      <c r="DE1923" s="71"/>
      <c r="DF1923" s="170"/>
      <c r="EO1923" s="375" t="str">
        <f t="shared" si="241"/>
        <v>NORTE DE SANTANDER_EL ZULIA</v>
      </c>
      <c r="EP1923" s="376"/>
      <c r="EQ1923" s="376"/>
      <c r="ER1923" s="377"/>
      <c r="ES1923" s="376"/>
      <c r="ET1923" s="376"/>
      <c r="EU1923" s="376"/>
    </row>
    <row r="1924" spans="1:151" s="171" customFormat="1" ht="51" x14ac:dyDescent="0.2">
      <c r="A1924" s="242">
        <v>40511</v>
      </c>
      <c r="B1924" s="222" t="s">
        <v>1336</v>
      </c>
      <c r="C1924" s="222" t="s">
        <v>1734</v>
      </c>
      <c r="D1924" s="430" t="s">
        <v>837</v>
      </c>
      <c r="E1924" s="107" t="str">
        <f>VLOOKUP(B1924&amp;C1924,Divipola!$C$2:$F$1138,4,FALSE)</f>
        <v>54405</v>
      </c>
      <c r="F1924" s="333"/>
      <c r="G1924" s="221"/>
      <c r="H1924" s="157"/>
      <c r="I1924" s="157"/>
      <c r="J1924" s="157">
        <f>3751-20-75-400</f>
        <v>3256</v>
      </c>
      <c r="K1924" s="157">
        <f>890-4-15-80</f>
        <v>791</v>
      </c>
      <c r="L1924" s="157">
        <v>2</v>
      </c>
      <c r="M1924" s="157">
        <v>2</v>
      </c>
      <c r="N1924" s="157"/>
      <c r="O1924" s="157"/>
      <c r="P1924" s="157"/>
      <c r="Q1924" s="157"/>
      <c r="R1924" s="157"/>
      <c r="S1924" s="157"/>
      <c r="T1924" s="157"/>
      <c r="U1924" s="157"/>
      <c r="V1924" s="158"/>
      <c r="W1924" s="182"/>
      <c r="X1924" s="1"/>
      <c r="Y1924" s="78">
        <f t="shared" si="243"/>
        <v>0</v>
      </c>
      <c r="Z1924" s="78">
        <f t="shared" si="244"/>
        <v>0</v>
      </c>
      <c r="AA1924" s="78">
        <f t="shared" si="242"/>
        <v>0</v>
      </c>
      <c r="AB1924" s="78">
        <f t="shared" si="245"/>
        <v>0</v>
      </c>
      <c r="AC1924" s="78"/>
      <c r="AD1924" s="78">
        <v>0</v>
      </c>
      <c r="AE1924" s="80">
        <f t="shared" si="240"/>
        <v>0</v>
      </c>
      <c r="AF1924" s="82">
        <v>0</v>
      </c>
      <c r="AG1924" s="69">
        <v>40512</v>
      </c>
      <c r="AH1924" s="84"/>
      <c r="AI1924" s="69" t="s">
        <v>1984</v>
      </c>
      <c r="AJ1924" s="25" t="s">
        <v>1985</v>
      </c>
      <c r="AK1924" s="65"/>
      <c r="AL1924" s="176" t="s">
        <v>1257</v>
      </c>
      <c r="AM1924" s="173" t="s">
        <v>1157</v>
      </c>
      <c r="AN1924" s="159"/>
      <c r="AO1924" s="160"/>
      <c r="AP1924" s="161"/>
      <c r="AQ1924" s="160"/>
      <c r="AR1924" s="160"/>
      <c r="AS1924" s="160"/>
      <c r="AT1924" s="160"/>
      <c r="AU1924" s="160"/>
      <c r="AV1924" s="160"/>
      <c r="AW1924" s="160"/>
      <c r="AX1924" s="160"/>
      <c r="AY1924" s="160"/>
      <c r="AZ1924" s="160"/>
      <c r="BA1924" s="160"/>
      <c r="BB1924" s="160"/>
      <c r="BC1924" s="160"/>
      <c r="BD1924" s="160"/>
      <c r="BE1924" s="160"/>
      <c r="BF1924" s="160"/>
      <c r="BG1924" s="160"/>
      <c r="BH1924" s="160"/>
      <c r="BI1924" s="160"/>
      <c r="BJ1924" s="160"/>
      <c r="BK1924" s="160"/>
      <c r="BL1924" s="160"/>
      <c r="BM1924" s="160"/>
      <c r="BN1924" s="160"/>
      <c r="BO1924" s="160"/>
      <c r="BP1924" s="160"/>
      <c r="BQ1924" s="160"/>
      <c r="BR1924" s="160"/>
      <c r="BS1924" s="160"/>
      <c r="BT1924" s="160"/>
      <c r="BU1924" s="160"/>
      <c r="BV1924" s="160"/>
      <c r="BW1924" s="160"/>
      <c r="BX1924" s="160"/>
      <c r="BY1924" s="160"/>
      <c r="BZ1924" s="160"/>
      <c r="CA1924" s="160"/>
      <c r="CB1924" s="160"/>
      <c r="CC1924" s="160"/>
      <c r="CD1924" s="160"/>
      <c r="CE1924" s="160"/>
      <c r="CF1924" s="160"/>
      <c r="CG1924" s="160"/>
      <c r="CH1924" s="160"/>
      <c r="CI1924" s="160"/>
      <c r="CJ1924" s="160"/>
      <c r="CK1924" s="160"/>
      <c r="CL1924" s="160"/>
      <c r="CM1924" s="160"/>
      <c r="CN1924" s="160"/>
      <c r="CO1924" s="160"/>
      <c r="CP1924" s="162"/>
      <c r="CQ1924" s="163"/>
      <c r="CR1924" s="162"/>
      <c r="CS1924" s="163"/>
      <c r="CT1924" s="162"/>
      <c r="CU1924" s="163"/>
      <c r="CV1924" s="164">
        <f t="shared" si="246"/>
        <v>0</v>
      </c>
      <c r="CW1924" s="165"/>
      <c r="CX1924" s="166"/>
      <c r="CY1924" s="167"/>
      <c r="CZ1924" s="168"/>
      <c r="DA1924" s="169"/>
      <c r="DB1924" s="168"/>
      <c r="DC1924" s="165"/>
      <c r="DD1924" s="166"/>
      <c r="DE1924" s="71"/>
      <c r="DF1924" s="170"/>
      <c r="EO1924" s="375" t="str">
        <f t="shared" si="241"/>
        <v>NORTE DE SANTANDER_LOS PATIOS</v>
      </c>
      <c r="EP1924" s="376"/>
      <c r="EQ1924" s="376"/>
      <c r="ER1924" s="377"/>
      <c r="ES1924" s="376"/>
      <c r="ET1924" s="376"/>
      <c r="EU1924" s="376"/>
    </row>
    <row r="1925" spans="1:151" s="171" customFormat="1" ht="38.25" x14ac:dyDescent="0.2">
      <c r="A1925" s="242">
        <v>40511</v>
      </c>
      <c r="B1925" s="222" t="s">
        <v>2427</v>
      </c>
      <c r="C1925" s="222" t="s">
        <v>628</v>
      </c>
      <c r="D1925" s="430" t="s">
        <v>2307</v>
      </c>
      <c r="E1925" s="107" t="str">
        <f>VLOOKUP(B1925&amp;C1925,Divipola!$C$2:$F$1138,4,FALSE)</f>
        <v>68001</v>
      </c>
      <c r="F1925" s="333"/>
      <c r="G1925" s="275"/>
      <c r="H1925" s="157">
        <v>2</v>
      </c>
      <c r="I1925" s="157"/>
      <c r="J1925" s="157">
        <v>5</v>
      </c>
      <c r="K1925" s="157">
        <v>1</v>
      </c>
      <c r="L1925" s="157"/>
      <c r="M1925" s="157"/>
      <c r="N1925" s="157"/>
      <c r="O1925" s="157"/>
      <c r="P1925" s="157"/>
      <c r="Q1925" s="157"/>
      <c r="R1925" s="157"/>
      <c r="S1925" s="157"/>
      <c r="T1925" s="157"/>
      <c r="U1925" s="157"/>
      <c r="V1925" s="158"/>
      <c r="W1925" s="182"/>
      <c r="X1925" s="1"/>
      <c r="Y1925" s="78">
        <f t="shared" si="243"/>
        <v>0</v>
      </c>
      <c r="Z1925" s="78">
        <f t="shared" si="244"/>
        <v>0</v>
      </c>
      <c r="AA1925" s="78">
        <f t="shared" si="242"/>
        <v>0</v>
      </c>
      <c r="AB1925" s="78">
        <f t="shared" si="245"/>
        <v>0</v>
      </c>
      <c r="AC1925" s="78"/>
      <c r="AD1925" s="78">
        <v>0</v>
      </c>
      <c r="AE1925" s="80">
        <f t="shared" si="240"/>
        <v>0</v>
      </c>
      <c r="AF1925" s="82">
        <v>0</v>
      </c>
      <c r="AG1925" s="69">
        <v>40512</v>
      </c>
      <c r="AH1925" s="84"/>
      <c r="AI1925" s="69" t="s">
        <v>1984</v>
      </c>
      <c r="AJ1925" s="25" t="s">
        <v>1985</v>
      </c>
      <c r="AK1925" s="65"/>
      <c r="AL1925" s="176" t="s">
        <v>1257</v>
      </c>
      <c r="AM1925" s="173" t="s">
        <v>1152</v>
      </c>
      <c r="AN1925" s="159"/>
      <c r="AO1925" s="160"/>
      <c r="AP1925" s="161"/>
      <c r="AQ1925" s="160"/>
      <c r="AR1925" s="160"/>
      <c r="AS1925" s="160"/>
      <c r="AT1925" s="160"/>
      <c r="AU1925" s="160"/>
      <c r="AV1925" s="160"/>
      <c r="AW1925" s="160"/>
      <c r="AX1925" s="160"/>
      <c r="AY1925" s="160"/>
      <c r="AZ1925" s="160"/>
      <c r="BA1925" s="160"/>
      <c r="BB1925" s="160"/>
      <c r="BC1925" s="160"/>
      <c r="BD1925" s="160"/>
      <c r="BE1925" s="160"/>
      <c r="BF1925" s="160"/>
      <c r="BG1925" s="160"/>
      <c r="BH1925" s="160"/>
      <c r="BI1925" s="160"/>
      <c r="BJ1925" s="160"/>
      <c r="BK1925" s="160"/>
      <c r="BL1925" s="160"/>
      <c r="BM1925" s="160"/>
      <c r="BN1925" s="160"/>
      <c r="BO1925" s="160"/>
      <c r="BP1925" s="160"/>
      <c r="BQ1925" s="160"/>
      <c r="BR1925" s="160"/>
      <c r="BS1925" s="160"/>
      <c r="BT1925" s="160"/>
      <c r="BU1925" s="160"/>
      <c r="BV1925" s="160"/>
      <c r="BW1925" s="160"/>
      <c r="BX1925" s="160"/>
      <c r="BY1925" s="160"/>
      <c r="BZ1925" s="160"/>
      <c r="CA1925" s="160"/>
      <c r="CB1925" s="160"/>
      <c r="CC1925" s="160"/>
      <c r="CD1925" s="160"/>
      <c r="CE1925" s="160"/>
      <c r="CF1925" s="160"/>
      <c r="CG1925" s="160"/>
      <c r="CH1925" s="160"/>
      <c r="CI1925" s="160"/>
      <c r="CJ1925" s="160"/>
      <c r="CK1925" s="160"/>
      <c r="CL1925" s="160"/>
      <c r="CM1925" s="160"/>
      <c r="CN1925" s="160"/>
      <c r="CO1925" s="160"/>
      <c r="CP1925" s="162"/>
      <c r="CQ1925" s="163"/>
      <c r="CR1925" s="162"/>
      <c r="CS1925" s="163"/>
      <c r="CT1925" s="162"/>
      <c r="CU1925" s="163"/>
      <c r="CV1925" s="164">
        <f t="shared" si="246"/>
        <v>0</v>
      </c>
      <c r="CW1925" s="165"/>
      <c r="CX1925" s="166"/>
      <c r="CY1925" s="167"/>
      <c r="CZ1925" s="168"/>
      <c r="DA1925" s="169"/>
      <c r="DB1925" s="168"/>
      <c r="DC1925" s="165"/>
      <c r="DD1925" s="166"/>
      <c r="DE1925" s="71"/>
      <c r="DF1925" s="170"/>
      <c r="EO1925" s="375" t="str">
        <f t="shared" si="241"/>
        <v>SANTANDER_BUCARAMANGA</v>
      </c>
      <c r="EP1925" s="376"/>
      <c r="EQ1925" s="376"/>
      <c r="ER1925" s="377"/>
      <c r="ES1925" s="376"/>
      <c r="ET1925" s="376"/>
      <c r="EU1925" s="376"/>
    </row>
    <row r="1926" spans="1:151" s="171" customFormat="1" ht="38.25" x14ac:dyDescent="0.2">
      <c r="A1926" s="242">
        <v>40511</v>
      </c>
      <c r="B1926" s="222" t="s">
        <v>2427</v>
      </c>
      <c r="C1926" s="222" t="s">
        <v>1022</v>
      </c>
      <c r="D1926" s="430" t="s">
        <v>1721</v>
      </c>
      <c r="E1926" s="107" t="str">
        <f>VLOOKUP(B1926&amp;C1926,Divipola!$C$2:$F$1138,4,FALSE)</f>
        <v>68276</v>
      </c>
      <c r="F1926" s="333"/>
      <c r="G1926" s="221"/>
      <c r="H1926" s="157"/>
      <c r="I1926" s="157"/>
      <c r="J1926" s="157">
        <v>5</v>
      </c>
      <c r="K1926" s="157">
        <v>1</v>
      </c>
      <c r="L1926" s="157"/>
      <c r="M1926" s="157">
        <v>1</v>
      </c>
      <c r="N1926" s="157"/>
      <c r="O1926" s="157"/>
      <c r="P1926" s="157"/>
      <c r="Q1926" s="157"/>
      <c r="R1926" s="157"/>
      <c r="S1926" s="157"/>
      <c r="T1926" s="157"/>
      <c r="U1926" s="157"/>
      <c r="V1926" s="158"/>
      <c r="W1926" s="182"/>
      <c r="X1926" s="1"/>
      <c r="Y1926" s="78">
        <f t="shared" si="243"/>
        <v>0</v>
      </c>
      <c r="Z1926" s="78">
        <f t="shared" si="244"/>
        <v>0</v>
      </c>
      <c r="AA1926" s="78">
        <f t="shared" si="242"/>
        <v>0</v>
      </c>
      <c r="AB1926" s="78">
        <f t="shared" si="245"/>
        <v>0</v>
      </c>
      <c r="AC1926" s="78"/>
      <c r="AD1926" s="78">
        <v>0</v>
      </c>
      <c r="AE1926" s="80">
        <f t="shared" si="240"/>
        <v>0</v>
      </c>
      <c r="AF1926" s="82">
        <v>0</v>
      </c>
      <c r="AG1926" s="69">
        <v>40512</v>
      </c>
      <c r="AH1926" s="84"/>
      <c r="AI1926" s="69" t="s">
        <v>1984</v>
      </c>
      <c r="AJ1926" s="25" t="s">
        <v>1985</v>
      </c>
      <c r="AK1926" s="65"/>
      <c r="AL1926" s="176" t="s">
        <v>1257</v>
      </c>
      <c r="AM1926" s="173" t="s">
        <v>1154</v>
      </c>
      <c r="AN1926" s="159"/>
      <c r="AO1926" s="160"/>
      <c r="AP1926" s="161"/>
      <c r="AQ1926" s="160"/>
      <c r="AR1926" s="160"/>
      <c r="AS1926" s="160"/>
      <c r="AT1926" s="160"/>
      <c r="AU1926" s="160"/>
      <c r="AV1926" s="160"/>
      <c r="AW1926" s="160"/>
      <c r="AX1926" s="160"/>
      <c r="AY1926" s="160"/>
      <c r="AZ1926" s="160"/>
      <c r="BA1926" s="160"/>
      <c r="BB1926" s="160"/>
      <c r="BC1926" s="160"/>
      <c r="BD1926" s="160"/>
      <c r="BE1926" s="160"/>
      <c r="BF1926" s="160"/>
      <c r="BG1926" s="160"/>
      <c r="BH1926" s="160"/>
      <c r="BI1926" s="160"/>
      <c r="BJ1926" s="160"/>
      <c r="BK1926" s="160"/>
      <c r="BL1926" s="160"/>
      <c r="BM1926" s="160"/>
      <c r="BN1926" s="160"/>
      <c r="BO1926" s="160"/>
      <c r="BP1926" s="160"/>
      <c r="BQ1926" s="160"/>
      <c r="BR1926" s="160"/>
      <c r="BS1926" s="160"/>
      <c r="BT1926" s="160"/>
      <c r="BU1926" s="160"/>
      <c r="BV1926" s="160"/>
      <c r="BW1926" s="160"/>
      <c r="BX1926" s="160"/>
      <c r="BY1926" s="160"/>
      <c r="BZ1926" s="160"/>
      <c r="CA1926" s="160"/>
      <c r="CB1926" s="160"/>
      <c r="CC1926" s="160"/>
      <c r="CD1926" s="160"/>
      <c r="CE1926" s="160"/>
      <c r="CF1926" s="160"/>
      <c r="CG1926" s="160"/>
      <c r="CH1926" s="160"/>
      <c r="CI1926" s="160"/>
      <c r="CJ1926" s="160"/>
      <c r="CK1926" s="160"/>
      <c r="CL1926" s="160"/>
      <c r="CM1926" s="160"/>
      <c r="CN1926" s="160"/>
      <c r="CO1926" s="160"/>
      <c r="CP1926" s="162"/>
      <c r="CQ1926" s="163"/>
      <c r="CR1926" s="162"/>
      <c r="CS1926" s="163"/>
      <c r="CT1926" s="162"/>
      <c r="CU1926" s="163"/>
      <c r="CV1926" s="164">
        <f t="shared" si="246"/>
        <v>0</v>
      </c>
      <c r="CW1926" s="165"/>
      <c r="CX1926" s="166"/>
      <c r="CY1926" s="167"/>
      <c r="CZ1926" s="168"/>
      <c r="DA1926" s="169"/>
      <c r="DB1926" s="168"/>
      <c r="DC1926" s="165"/>
      <c r="DD1926" s="166"/>
      <c r="DE1926" s="71"/>
      <c r="DF1926" s="170"/>
      <c r="EO1926" s="375" t="str">
        <f t="shared" ref="EO1926:EO1987" si="247">B1926&amp;"_"&amp;C1926</f>
        <v>SANTANDER_FLORIDABLANCA</v>
      </c>
      <c r="EP1926" s="376"/>
      <c r="EQ1926" s="376"/>
      <c r="ER1926" s="377"/>
      <c r="ES1926" s="376"/>
      <c r="ET1926" s="376"/>
      <c r="EU1926" s="376"/>
    </row>
    <row r="1927" spans="1:151" s="171" customFormat="1" ht="38.25" x14ac:dyDescent="0.2">
      <c r="A1927" s="242">
        <v>40511</v>
      </c>
      <c r="B1927" s="222" t="s">
        <v>2427</v>
      </c>
      <c r="C1927" s="222" t="s">
        <v>2655</v>
      </c>
      <c r="D1927" s="430" t="s">
        <v>837</v>
      </c>
      <c r="E1927" s="107" t="str">
        <f>VLOOKUP(B1927&amp;C1927,Divipola!$C$2:$F$1138,4,FALSE)</f>
        <v>68615</v>
      </c>
      <c r="F1927" s="333"/>
      <c r="G1927" s="275">
        <v>1</v>
      </c>
      <c r="H1927" s="157"/>
      <c r="I1927" s="157"/>
      <c r="J1927" s="157"/>
      <c r="K1927" s="157"/>
      <c r="L1927" s="157"/>
      <c r="M1927" s="157"/>
      <c r="N1927" s="157"/>
      <c r="O1927" s="157"/>
      <c r="P1927" s="157"/>
      <c r="Q1927" s="157"/>
      <c r="R1927" s="157"/>
      <c r="S1927" s="157"/>
      <c r="T1927" s="157"/>
      <c r="U1927" s="157"/>
      <c r="V1927" s="158"/>
      <c r="W1927" s="182"/>
      <c r="X1927" s="1"/>
      <c r="Y1927" s="78">
        <f t="shared" si="243"/>
        <v>0</v>
      </c>
      <c r="Z1927" s="78">
        <f t="shared" si="244"/>
        <v>0</v>
      </c>
      <c r="AA1927" s="78">
        <f t="shared" si="242"/>
        <v>0</v>
      </c>
      <c r="AB1927" s="78">
        <f t="shared" si="245"/>
        <v>0</v>
      </c>
      <c r="AC1927" s="78"/>
      <c r="AD1927" s="78">
        <v>0</v>
      </c>
      <c r="AE1927" s="80">
        <f t="shared" si="240"/>
        <v>0</v>
      </c>
      <c r="AF1927" s="82">
        <v>0</v>
      </c>
      <c r="AG1927" s="69">
        <v>40512</v>
      </c>
      <c r="AH1927" s="84"/>
      <c r="AI1927" s="69" t="s">
        <v>1984</v>
      </c>
      <c r="AJ1927" s="25" t="s">
        <v>1985</v>
      </c>
      <c r="AK1927" s="65"/>
      <c r="AL1927" s="176" t="s">
        <v>1257</v>
      </c>
      <c r="AM1927" s="173" t="s">
        <v>1153</v>
      </c>
      <c r="AN1927" s="159"/>
      <c r="AO1927" s="160"/>
      <c r="AP1927" s="161"/>
      <c r="AQ1927" s="160"/>
      <c r="AR1927" s="160"/>
      <c r="AS1927" s="160"/>
      <c r="AT1927" s="160"/>
      <c r="AU1927" s="160"/>
      <c r="AV1927" s="160"/>
      <c r="AW1927" s="160"/>
      <c r="AX1927" s="160"/>
      <c r="AY1927" s="160"/>
      <c r="AZ1927" s="160"/>
      <c r="BA1927" s="160"/>
      <c r="BB1927" s="160"/>
      <c r="BC1927" s="160"/>
      <c r="BD1927" s="160"/>
      <c r="BE1927" s="160"/>
      <c r="BF1927" s="160"/>
      <c r="BG1927" s="160"/>
      <c r="BH1927" s="160"/>
      <c r="BI1927" s="160"/>
      <c r="BJ1927" s="160"/>
      <c r="BK1927" s="160"/>
      <c r="BL1927" s="160"/>
      <c r="BM1927" s="160"/>
      <c r="BN1927" s="160"/>
      <c r="BO1927" s="160"/>
      <c r="BP1927" s="160"/>
      <c r="BQ1927" s="160"/>
      <c r="BR1927" s="160"/>
      <c r="BS1927" s="160"/>
      <c r="BT1927" s="160"/>
      <c r="BU1927" s="160"/>
      <c r="BV1927" s="160"/>
      <c r="BW1927" s="160"/>
      <c r="BX1927" s="160"/>
      <c r="BY1927" s="160"/>
      <c r="BZ1927" s="160"/>
      <c r="CA1927" s="160"/>
      <c r="CB1927" s="160"/>
      <c r="CC1927" s="160"/>
      <c r="CD1927" s="160"/>
      <c r="CE1927" s="160"/>
      <c r="CF1927" s="160"/>
      <c r="CG1927" s="160"/>
      <c r="CH1927" s="160"/>
      <c r="CI1927" s="160"/>
      <c r="CJ1927" s="160"/>
      <c r="CK1927" s="160"/>
      <c r="CL1927" s="160"/>
      <c r="CM1927" s="160"/>
      <c r="CN1927" s="160"/>
      <c r="CO1927" s="160"/>
      <c r="CP1927" s="162"/>
      <c r="CQ1927" s="163"/>
      <c r="CR1927" s="162"/>
      <c r="CS1927" s="163"/>
      <c r="CT1927" s="162"/>
      <c r="CU1927" s="163"/>
      <c r="CV1927" s="164">
        <f t="shared" si="246"/>
        <v>0</v>
      </c>
      <c r="CW1927" s="165"/>
      <c r="CX1927" s="166"/>
      <c r="CY1927" s="167"/>
      <c r="CZ1927" s="168"/>
      <c r="DA1927" s="169"/>
      <c r="DB1927" s="168"/>
      <c r="DC1927" s="165"/>
      <c r="DD1927" s="166"/>
      <c r="DE1927" s="71"/>
      <c r="DF1927" s="170"/>
      <c r="EO1927" s="375" t="str">
        <f t="shared" si="247"/>
        <v>SANTANDER_RIONEGRO</v>
      </c>
      <c r="EP1927" s="376"/>
      <c r="EQ1927" s="376"/>
      <c r="ER1927" s="377"/>
      <c r="ES1927" s="376"/>
      <c r="ET1927" s="376"/>
      <c r="EU1927" s="376"/>
    </row>
    <row r="1928" spans="1:151" s="171" customFormat="1" ht="51" x14ac:dyDescent="0.2">
      <c r="A1928" s="242">
        <v>40511</v>
      </c>
      <c r="B1928" s="222" t="s">
        <v>1462</v>
      </c>
      <c r="C1928" s="222" t="s">
        <v>1975</v>
      </c>
      <c r="D1928" s="430" t="s">
        <v>837</v>
      </c>
      <c r="E1928" s="107" t="str">
        <f>VLOOKUP(B1928&amp;C1928,Divipola!$C$2:$F$1138,4,FALSE)</f>
        <v>76306</v>
      </c>
      <c r="F1928" s="333"/>
      <c r="G1928" s="221"/>
      <c r="H1928" s="157"/>
      <c r="I1928" s="157"/>
      <c r="J1928" s="157">
        <v>120</v>
      </c>
      <c r="K1928" s="157">
        <v>24</v>
      </c>
      <c r="L1928" s="157"/>
      <c r="M1928" s="157">
        <v>24</v>
      </c>
      <c r="N1928" s="157"/>
      <c r="O1928" s="157"/>
      <c r="P1928" s="157"/>
      <c r="Q1928" s="157"/>
      <c r="R1928" s="157"/>
      <c r="S1928" s="157"/>
      <c r="T1928" s="157"/>
      <c r="U1928" s="157"/>
      <c r="V1928" s="158"/>
      <c r="W1928" s="182"/>
      <c r="X1928" s="1"/>
      <c r="Y1928" s="78">
        <f t="shared" si="243"/>
        <v>0</v>
      </c>
      <c r="Z1928" s="78">
        <f t="shared" si="244"/>
        <v>0</v>
      </c>
      <c r="AA1928" s="78">
        <f t="shared" si="242"/>
        <v>0</v>
      </c>
      <c r="AB1928" s="78">
        <f t="shared" si="245"/>
        <v>0</v>
      </c>
      <c r="AC1928" s="78"/>
      <c r="AD1928" s="78">
        <v>0</v>
      </c>
      <c r="AE1928" s="80">
        <f t="shared" si="240"/>
        <v>0</v>
      </c>
      <c r="AF1928" s="82">
        <v>0</v>
      </c>
      <c r="AG1928" s="69">
        <v>40511</v>
      </c>
      <c r="AH1928" s="84"/>
      <c r="AI1928" s="69" t="s">
        <v>1984</v>
      </c>
      <c r="AJ1928" s="25" t="s">
        <v>1985</v>
      </c>
      <c r="AK1928" s="65"/>
      <c r="AL1928" s="176" t="s">
        <v>1257</v>
      </c>
      <c r="AM1928" s="173" t="s">
        <v>526</v>
      </c>
      <c r="AN1928" s="159"/>
      <c r="AO1928" s="160"/>
      <c r="AP1928" s="161"/>
      <c r="AQ1928" s="160"/>
      <c r="AR1928" s="160"/>
      <c r="AS1928" s="160"/>
      <c r="AT1928" s="160"/>
      <c r="AU1928" s="160"/>
      <c r="AV1928" s="160"/>
      <c r="AW1928" s="160"/>
      <c r="AX1928" s="160"/>
      <c r="AY1928" s="160"/>
      <c r="AZ1928" s="160"/>
      <c r="BA1928" s="160"/>
      <c r="BB1928" s="160"/>
      <c r="BC1928" s="160"/>
      <c r="BD1928" s="160"/>
      <c r="BE1928" s="160"/>
      <c r="BF1928" s="160"/>
      <c r="BG1928" s="160"/>
      <c r="BH1928" s="160"/>
      <c r="BI1928" s="160"/>
      <c r="BJ1928" s="160"/>
      <c r="BK1928" s="160"/>
      <c r="BL1928" s="160"/>
      <c r="BM1928" s="160"/>
      <c r="BN1928" s="160"/>
      <c r="BO1928" s="160"/>
      <c r="BP1928" s="160"/>
      <c r="BQ1928" s="160"/>
      <c r="BR1928" s="160"/>
      <c r="BS1928" s="160"/>
      <c r="BT1928" s="160"/>
      <c r="BU1928" s="160"/>
      <c r="BV1928" s="160"/>
      <c r="BW1928" s="160"/>
      <c r="BX1928" s="160"/>
      <c r="BY1928" s="160"/>
      <c r="BZ1928" s="160"/>
      <c r="CA1928" s="160"/>
      <c r="CB1928" s="160"/>
      <c r="CC1928" s="160"/>
      <c r="CD1928" s="160"/>
      <c r="CE1928" s="160"/>
      <c r="CF1928" s="160"/>
      <c r="CG1928" s="160"/>
      <c r="CH1928" s="160"/>
      <c r="CI1928" s="160"/>
      <c r="CJ1928" s="160"/>
      <c r="CK1928" s="160"/>
      <c r="CL1928" s="160"/>
      <c r="CM1928" s="160"/>
      <c r="CN1928" s="160"/>
      <c r="CO1928" s="160"/>
      <c r="CP1928" s="162"/>
      <c r="CQ1928" s="163"/>
      <c r="CR1928" s="162"/>
      <c r="CS1928" s="163"/>
      <c r="CT1928" s="162"/>
      <c r="CU1928" s="163"/>
      <c r="CV1928" s="164">
        <f t="shared" si="246"/>
        <v>0</v>
      </c>
      <c r="CW1928" s="165"/>
      <c r="CX1928" s="166"/>
      <c r="CY1928" s="167"/>
      <c r="CZ1928" s="168"/>
      <c r="DA1928" s="169"/>
      <c r="DB1928" s="168"/>
      <c r="DC1928" s="165"/>
      <c r="DD1928" s="166"/>
      <c r="DE1928" s="71"/>
      <c r="DF1928" s="170"/>
      <c r="EO1928" s="375" t="str">
        <f t="shared" si="247"/>
        <v>VALLE DEL CAUCA_GINEBRA</v>
      </c>
      <c r="EP1928" s="376"/>
      <c r="EQ1928" s="376"/>
      <c r="ER1928" s="377"/>
      <c r="ES1928" s="376"/>
      <c r="ET1928" s="376"/>
      <c r="EU1928" s="376"/>
    </row>
    <row r="1929" spans="1:151" s="171" customFormat="1" ht="51" x14ac:dyDescent="0.2">
      <c r="A1929" s="242">
        <v>40511</v>
      </c>
      <c r="B1929" s="222" t="s">
        <v>1462</v>
      </c>
      <c r="C1929" s="222" t="s">
        <v>610</v>
      </c>
      <c r="D1929" s="430" t="s">
        <v>837</v>
      </c>
      <c r="E1929" s="107" t="str">
        <f>VLOOKUP(B1929&amp;C1929,Divipola!$C$2:$F$1138,4,FALSE)</f>
        <v>76520</v>
      </c>
      <c r="F1929" s="333"/>
      <c r="G1929" s="221"/>
      <c r="H1929" s="157"/>
      <c r="I1929" s="157"/>
      <c r="J1929" s="157">
        <v>40</v>
      </c>
      <c r="K1929" s="157">
        <v>8</v>
      </c>
      <c r="L1929" s="157"/>
      <c r="M1929" s="157">
        <v>8</v>
      </c>
      <c r="N1929" s="157"/>
      <c r="O1929" s="157"/>
      <c r="P1929" s="157"/>
      <c r="Q1929" s="157"/>
      <c r="R1929" s="157"/>
      <c r="S1929" s="157"/>
      <c r="T1929" s="157"/>
      <c r="U1929" s="157">
        <v>1</v>
      </c>
      <c r="V1929" s="158"/>
      <c r="W1929" s="182" t="s">
        <v>527</v>
      </c>
      <c r="X1929" s="1"/>
      <c r="Y1929" s="78">
        <f t="shared" si="243"/>
        <v>0</v>
      </c>
      <c r="Z1929" s="78">
        <f t="shared" si="244"/>
        <v>0</v>
      </c>
      <c r="AA1929" s="78">
        <f t="shared" si="242"/>
        <v>0</v>
      </c>
      <c r="AB1929" s="78">
        <f t="shared" si="245"/>
        <v>0</v>
      </c>
      <c r="AC1929" s="78"/>
      <c r="AD1929" s="78">
        <v>0</v>
      </c>
      <c r="AE1929" s="80">
        <f t="shared" ref="AE1929:AE1992" si="248">Y1929+Z1929+AA1929+AB1929+AC1929+AD1929</f>
        <v>0</v>
      </c>
      <c r="AF1929" s="82">
        <v>0</v>
      </c>
      <c r="AG1929" s="69">
        <v>40511</v>
      </c>
      <c r="AH1929" s="84"/>
      <c r="AI1929" s="69" t="s">
        <v>1984</v>
      </c>
      <c r="AJ1929" s="25" t="s">
        <v>1985</v>
      </c>
      <c r="AK1929" s="65"/>
      <c r="AL1929" s="176" t="s">
        <v>1257</v>
      </c>
      <c r="AM1929" s="173" t="s">
        <v>599</v>
      </c>
      <c r="AN1929" s="159"/>
      <c r="AO1929" s="160"/>
      <c r="AP1929" s="161"/>
      <c r="AQ1929" s="160"/>
      <c r="AR1929" s="160"/>
      <c r="AS1929" s="160"/>
      <c r="AT1929" s="160"/>
      <c r="AU1929" s="160"/>
      <c r="AV1929" s="160"/>
      <c r="AW1929" s="160"/>
      <c r="AX1929" s="160"/>
      <c r="AY1929" s="160"/>
      <c r="AZ1929" s="160"/>
      <c r="BA1929" s="160"/>
      <c r="BB1929" s="160"/>
      <c r="BC1929" s="160"/>
      <c r="BD1929" s="160"/>
      <c r="BE1929" s="160"/>
      <c r="BF1929" s="160"/>
      <c r="BG1929" s="160"/>
      <c r="BH1929" s="160"/>
      <c r="BI1929" s="160"/>
      <c r="BJ1929" s="160"/>
      <c r="BK1929" s="160"/>
      <c r="BL1929" s="160"/>
      <c r="BM1929" s="160"/>
      <c r="BN1929" s="160"/>
      <c r="BO1929" s="160"/>
      <c r="BP1929" s="160"/>
      <c r="BQ1929" s="160"/>
      <c r="BR1929" s="160"/>
      <c r="BS1929" s="160"/>
      <c r="BT1929" s="160"/>
      <c r="BU1929" s="160"/>
      <c r="BV1929" s="160"/>
      <c r="BW1929" s="160"/>
      <c r="BX1929" s="160"/>
      <c r="BY1929" s="160"/>
      <c r="BZ1929" s="160"/>
      <c r="CA1929" s="160"/>
      <c r="CB1929" s="160"/>
      <c r="CC1929" s="160"/>
      <c r="CD1929" s="160"/>
      <c r="CE1929" s="160"/>
      <c r="CF1929" s="160"/>
      <c r="CG1929" s="160"/>
      <c r="CH1929" s="160"/>
      <c r="CI1929" s="160"/>
      <c r="CJ1929" s="160"/>
      <c r="CK1929" s="160"/>
      <c r="CL1929" s="160"/>
      <c r="CM1929" s="160"/>
      <c r="CN1929" s="160"/>
      <c r="CO1929" s="160"/>
      <c r="CP1929" s="162"/>
      <c r="CQ1929" s="163"/>
      <c r="CR1929" s="162"/>
      <c r="CS1929" s="163"/>
      <c r="CT1929" s="162"/>
      <c r="CU1929" s="163"/>
      <c r="CV1929" s="164">
        <f t="shared" si="246"/>
        <v>0</v>
      </c>
      <c r="CW1929" s="165"/>
      <c r="CX1929" s="166"/>
      <c r="CY1929" s="167"/>
      <c r="CZ1929" s="168"/>
      <c r="DA1929" s="169"/>
      <c r="DB1929" s="168"/>
      <c r="DC1929" s="165"/>
      <c r="DD1929" s="166"/>
      <c r="DE1929" s="71"/>
      <c r="DF1929" s="170"/>
      <c r="EO1929" s="375" t="str">
        <f t="shared" si="247"/>
        <v>VALLE DEL CAUCA_PALMIRA</v>
      </c>
      <c r="EP1929" s="376"/>
      <c r="EQ1929" s="376"/>
      <c r="ER1929" s="377"/>
      <c r="ES1929" s="376"/>
      <c r="ET1929" s="376"/>
      <c r="EU1929" s="376"/>
    </row>
    <row r="1930" spans="1:151" s="171" customFormat="1" ht="38.25" x14ac:dyDescent="0.2">
      <c r="A1930" s="242">
        <v>40511.379861111112</v>
      </c>
      <c r="B1930" s="107" t="s">
        <v>6305</v>
      </c>
      <c r="C1930" s="107" t="s">
        <v>6305</v>
      </c>
      <c r="D1930" s="430" t="s">
        <v>2307</v>
      </c>
      <c r="E1930" s="107" t="str">
        <f>VLOOKUP(B1930&amp;C1930,Divipola!$C$2:$F$1138,4,FALSE)</f>
        <v>11001</v>
      </c>
      <c r="F1930" s="333"/>
      <c r="G1930" s="221"/>
      <c r="H1930" s="157"/>
      <c r="I1930" s="157"/>
      <c r="J1930" s="157"/>
      <c r="K1930" s="414"/>
      <c r="L1930" s="157"/>
      <c r="M1930" s="157"/>
      <c r="N1930" s="157"/>
      <c r="O1930" s="157"/>
      <c r="P1930" s="157"/>
      <c r="Q1930" s="157"/>
      <c r="R1930" s="157"/>
      <c r="S1930" s="157"/>
      <c r="T1930" s="157"/>
      <c r="U1930" s="157"/>
      <c r="V1930" s="158"/>
      <c r="W1930" s="182"/>
      <c r="X1930" s="1"/>
      <c r="Y1930" s="78">
        <f t="shared" si="243"/>
        <v>0</v>
      </c>
      <c r="Z1930" s="78">
        <f t="shared" si="244"/>
        <v>0</v>
      </c>
      <c r="AA1930" s="78">
        <f t="shared" si="242"/>
        <v>0</v>
      </c>
      <c r="AB1930" s="78">
        <f t="shared" si="245"/>
        <v>0</v>
      </c>
      <c r="AC1930" s="78"/>
      <c r="AD1930" s="78">
        <v>0</v>
      </c>
      <c r="AE1930" s="80">
        <f t="shared" si="248"/>
        <v>0</v>
      </c>
      <c r="AF1930" s="82">
        <v>0</v>
      </c>
      <c r="AG1930" s="306">
        <v>40624</v>
      </c>
      <c r="AH1930" s="307"/>
      <c r="AI1930" s="306" t="s">
        <v>1984</v>
      </c>
      <c r="AJ1930" s="308" t="s">
        <v>1985</v>
      </c>
      <c r="AK1930" s="309"/>
      <c r="AL1930" s="310" t="s">
        <v>1257</v>
      </c>
      <c r="AM1930" s="419" t="s">
        <v>3766</v>
      </c>
      <c r="AN1930" s="159"/>
      <c r="AO1930" s="160"/>
      <c r="AP1930" s="161"/>
      <c r="AQ1930" s="160"/>
      <c r="AR1930" s="160"/>
      <c r="AS1930" s="160"/>
      <c r="AT1930" s="160"/>
      <c r="AU1930" s="160"/>
      <c r="AV1930" s="160"/>
      <c r="AW1930" s="160"/>
      <c r="AX1930" s="160"/>
      <c r="AY1930" s="160"/>
      <c r="AZ1930" s="160"/>
      <c r="BA1930" s="160"/>
      <c r="BB1930" s="160"/>
      <c r="BC1930" s="160"/>
      <c r="BD1930" s="160"/>
      <c r="BE1930" s="160"/>
      <c r="BF1930" s="160"/>
      <c r="BG1930" s="160"/>
      <c r="BH1930" s="160"/>
      <c r="BI1930" s="160"/>
      <c r="BJ1930" s="160"/>
      <c r="BK1930" s="160"/>
      <c r="BL1930" s="160"/>
      <c r="BM1930" s="160"/>
      <c r="BN1930" s="160"/>
      <c r="BO1930" s="160"/>
      <c r="BP1930" s="160"/>
      <c r="BQ1930" s="160"/>
      <c r="BR1930" s="160"/>
      <c r="BS1930" s="160"/>
      <c r="BT1930" s="160"/>
      <c r="BU1930" s="160"/>
      <c r="BV1930" s="160"/>
      <c r="BW1930" s="160"/>
      <c r="BX1930" s="160"/>
      <c r="BY1930" s="160"/>
      <c r="BZ1930" s="160"/>
      <c r="CA1930" s="160"/>
      <c r="CB1930" s="160"/>
      <c r="CC1930" s="160"/>
      <c r="CD1930" s="160"/>
      <c r="CE1930" s="160"/>
      <c r="CF1930" s="160"/>
      <c r="CG1930" s="160"/>
      <c r="CH1930" s="160"/>
      <c r="CI1930" s="160"/>
      <c r="CJ1930" s="160"/>
      <c r="CK1930" s="160"/>
      <c r="CL1930" s="160"/>
      <c r="CM1930" s="160"/>
      <c r="CN1930" s="160"/>
      <c r="CO1930" s="160"/>
      <c r="CP1930" s="162"/>
      <c r="CQ1930" s="163"/>
      <c r="CR1930" s="162"/>
      <c r="CS1930" s="163"/>
      <c r="CT1930" s="162"/>
      <c r="CU1930" s="163"/>
      <c r="CV1930" s="164">
        <f t="shared" si="246"/>
        <v>0</v>
      </c>
      <c r="CW1930" s="165"/>
      <c r="CX1930" s="166"/>
      <c r="CY1930" s="167"/>
      <c r="CZ1930" s="168"/>
      <c r="DA1930" s="169"/>
      <c r="DB1930" s="168"/>
      <c r="DC1930" s="165"/>
      <c r="DD1930" s="166"/>
      <c r="DE1930" s="71"/>
      <c r="DF1930" s="170"/>
      <c r="EO1930" s="375" t="str">
        <f t="shared" si="247"/>
        <v>BOGOTA, D.C._BOGOTA, D.C.</v>
      </c>
      <c r="EP1930" s="376"/>
      <c r="EQ1930" s="376"/>
      <c r="ER1930" s="377"/>
      <c r="ES1930" s="376"/>
      <c r="ET1930" s="376"/>
      <c r="EU1930" s="376"/>
    </row>
    <row r="1931" spans="1:151" s="171" customFormat="1" ht="25.5" x14ac:dyDescent="0.2">
      <c r="A1931" s="246">
        <v>40512</v>
      </c>
      <c r="B1931" s="280" t="s">
        <v>2401</v>
      </c>
      <c r="C1931" s="280" t="s">
        <v>2747</v>
      </c>
      <c r="D1931" s="432" t="s">
        <v>2209</v>
      </c>
      <c r="E1931" s="107" t="str">
        <f>VLOOKUP(B1931&amp;C1931,Divipola!$C$2:$F$1138,4,FALSE)</f>
        <v>05001</v>
      </c>
      <c r="F1931" s="337"/>
      <c r="G1931" s="221"/>
      <c r="H1931" s="157"/>
      <c r="I1931" s="157"/>
      <c r="J1931" s="157"/>
      <c r="K1931" s="157"/>
      <c r="L1931" s="157"/>
      <c r="M1931" s="157"/>
      <c r="N1931" s="157"/>
      <c r="O1931" s="157"/>
      <c r="P1931" s="157"/>
      <c r="Q1931" s="157"/>
      <c r="R1931" s="157"/>
      <c r="S1931" s="157"/>
      <c r="T1931" s="157"/>
      <c r="U1931" s="157"/>
      <c r="V1931" s="158"/>
      <c r="W1931" s="182" t="s">
        <v>514</v>
      </c>
      <c r="X1931" s="1"/>
      <c r="Y1931" s="78">
        <f t="shared" si="243"/>
        <v>0</v>
      </c>
      <c r="Z1931" s="78">
        <f t="shared" si="244"/>
        <v>0</v>
      </c>
      <c r="AA1931" s="78">
        <f t="shared" si="242"/>
        <v>0</v>
      </c>
      <c r="AB1931" s="78">
        <f t="shared" si="245"/>
        <v>0</v>
      </c>
      <c r="AC1931" s="78"/>
      <c r="AD1931" s="78">
        <v>0</v>
      </c>
      <c r="AE1931" s="80">
        <f t="shared" si="248"/>
        <v>0</v>
      </c>
      <c r="AF1931" s="82">
        <v>0</v>
      </c>
      <c r="AG1931" s="242">
        <v>40513</v>
      </c>
      <c r="AH1931" s="84"/>
      <c r="AI1931" s="69" t="s">
        <v>1984</v>
      </c>
      <c r="AJ1931" s="25" t="s">
        <v>1985</v>
      </c>
      <c r="AK1931" s="65"/>
      <c r="AL1931" s="176" t="s">
        <v>1257</v>
      </c>
      <c r="AM1931" s="173" t="s">
        <v>513</v>
      </c>
      <c r="AN1931" s="186"/>
      <c r="AO1931" s="160"/>
      <c r="AP1931" s="161"/>
      <c r="AQ1931" s="160"/>
      <c r="AR1931" s="160"/>
      <c r="AS1931" s="160"/>
      <c r="AT1931" s="160"/>
      <c r="AU1931" s="160"/>
      <c r="AV1931" s="160"/>
      <c r="AW1931" s="160"/>
      <c r="AX1931" s="160"/>
      <c r="AY1931" s="160"/>
      <c r="AZ1931" s="160"/>
      <c r="BA1931" s="160"/>
      <c r="BB1931" s="160"/>
      <c r="BC1931" s="160"/>
      <c r="BD1931" s="160"/>
      <c r="BE1931" s="160"/>
      <c r="BF1931" s="160"/>
      <c r="BG1931" s="160"/>
      <c r="BH1931" s="160"/>
      <c r="BI1931" s="160"/>
      <c r="BJ1931" s="160"/>
      <c r="BK1931" s="160"/>
      <c r="BL1931" s="160"/>
      <c r="BM1931" s="160"/>
      <c r="BN1931" s="160"/>
      <c r="BO1931" s="160"/>
      <c r="BP1931" s="160"/>
      <c r="BQ1931" s="160"/>
      <c r="BR1931" s="160"/>
      <c r="BS1931" s="160"/>
      <c r="BT1931" s="160"/>
      <c r="BU1931" s="160"/>
      <c r="BV1931" s="160"/>
      <c r="BW1931" s="160"/>
      <c r="BX1931" s="160"/>
      <c r="BY1931" s="160"/>
      <c r="BZ1931" s="160"/>
      <c r="CA1931" s="160"/>
      <c r="CB1931" s="160"/>
      <c r="CC1931" s="160"/>
      <c r="CD1931" s="160"/>
      <c r="CE1931" s="160"/>
      <c r="CF1931" s="160"/>
      <c r="CG1931" s="160"/>
      <c r="CH1931" s="160"/>
      <c r="CI1931" s="160"/>
      <c r="CJ1931" s="160"/>
      <c r="CK1931" s="160"/>
      <c r="CL1931" s="160"/>
      <c r="CM1931" s="160"/>
      <c r="CN1931" s="160"/>
      <c r="CO1931" s="160"/>
      <c r="CP1931" s="162"/>
      <c r="CQ1931" s="163"/>
      <c r="CR1931" s="162"/>
      <c r="CS1931" s="163"/>
      <c r="CT1931" s="162"/>
      <c r="CU1931" s="163"/>
      <c r="CV1931" s="164">
        <f t="shared" si="246"/>
        <v>0</v>
      </c>
      <c r="CW1931" s="165"/>
      <c r="CX1931" s="166"/>
      <c r="CY1931" s="167"/>
      <c r="CZ1931" s="168"/>
      <c r="DA1931" s="169"/>
      <c r="DB1931" s="168"/>
      <c r="DC1931" s="165"/>
      <c r="DD1931" s="166"/>
      <c r="DE1931" s="71"/>
      <c r="DF1931" s="170"/>
      <c r="EO1931" s="375" t="str">
        <f t="shared" si="247"/>
        <v>ANTIOQUIA_MEDELLIN</v>
      </c>
      <c r="EP1931" s="376"/>
      <c r="EQ1931" s="376"/>
      <c r="ER1931" s="377"/>
      <c r="ES1931" s="376"/>
      <c r="ET1931" s="376"/>
      <c r="EU1931" s="376"/>
    </row>
    <row r="1932" spans="1:151" s="171" customFormat="1" ht="36" x14ac:dyDescent="0.2">
      <c r="A1932" s="242">
        <v>40512</v>
      </c>
      <c r="B1932" s="222" t="s">
        <v>2017</v>
      </c>
      <c r="C1932" s="222" t="s">
        <v>2</v>
      </c>
      <c r="D1932" s="430" t="s">
        <v>837</v>
      </c>
      <c r="E1932" s="107" t="str">
        <f>VLOOKUP(B1932&amp;C1932,Divipola!$C$2:$F$1138,4,FALSE)</f>
        <v>13042</v>
      </c>
      <c r="F1932" s="333"/>
      <c r="G1932" s="221"/>
      <c r="H1932" s="157"/>
      <c r="I1932" s="157"/>
      <c r="J1932" s="157">
        <f>608*5</f>
        <v>3040</v>
      </c>
      <c r="K1932" s="157">
        <v>608</v>
      </c>
      <c r="L1932" s="157"/>
      <c r="M1932" s="157">
        <v>608</v>
      </c>
      <c r="N1932" s="157"/>
      <c r="O1932" s="157"/>
      <c r="P1932" s="157"/>
      <c r="Q1932" s="157"/>
      <c r="R1932" s="157"/>
      <c r="S1932" s="157"/>
      <c r="T1932" s="157"/>
      <c r="U1932" s="157"/>
      <c r="V1932" s="158"/>
      <c r="W1932" s="182"/>
      <c r="X1932" s="1"/>
      <c r="Y1932" s="78">
        <f t="shared" si="243"/>
        <v>66000000</v>
      </c>
      <c r="Z1932" s="78">
        <f t="shared" si="244"/>
        <v>42500000</v>
      </c>
      <c r="AA1932" s="78">
        <f t="shared" si="242"/>
        <v>0</v>
      </c>
      <c r="AB1932" s="78">
        <f t="shared" si="245"/>
        <v>0</v>
      </c>
      <c r="AC1932" s="78">
        <f>500*24000</f>
        <v>12000000</v>
      </c>
      <c r="AD1932" s="78">
        <v>0</v>
      </c>
      <c r="AE1932" s="80">
        <f t="shared" si="248"/>
        <v>120500000</v>
      </c>
      <c r="AF1932" s="82">
        <v>0</v>
      </c>
      <c r="AG1932" s="242"/>
      <c r="AH1932" s="84"/>
      <c r="AI1932" s="69" t="s">
        <v>2009</v>
      </c>
      <c r="AJ1932" s="25" t="s">
        <v>2010</v>
      </c>
      <c r="AK1932" s="65"/>
      <c r="AL1932" s="176"/>
      <c r="AM1932" s="173" t="s">
        <v>322</v>
      </c>
      <c r="AN1932" s="159"/>
      <c r="AO1932" s="160"/>
      <c r="AP1932" s="161"/>
      <c r="AQ1932" s="160"/>
      <c r="AR1932" s="160"/>
      <c r="AS1932" s="160"/>
      <c r="AT1932" s="160"/>
      <c r="AU1932" s="160"/>
      <c r="AV1932" s="160"/>
      <c r="AW1932" s="160"/>
      <c r="AX1932" s="160"/>
      <c r="AY1932" s="160"/>
      <c r="AZ1932" s="160">
        <v>500</v>
      </c>
      <c r="BA1932" s="160">
        <f>500*56000</f>
        <v>28000000</v>
      </c>
      <c r="BB1932" s="160"/>
      <c r="BC1932" s="160"/>
      <c r="BD1932" s="160"/>
      <c r="BE1932" s="160"/>
      <c r="BF1932" s="160"/>
      <c r="BG1932" s="160"/>
      <c r="BH1932" s="160"/>
      <c r="BI1932" s="160"/>
      <c r="BJ1932" s="160"/>
      <c r="BK1932" s="160"/>
      <c r="BL1932" s="160"/>
      <c r="BM1932" s="160"/>
      <c r="BN1932" s="160"/>
      <c r="BO1932" s="160"/>
      <c r="BP1932" s="160"/>
      <c r="BQ1932" s="160"/>
      <c r="BR1932" s="160"/>
      <c r="BS1932" s="160"/>
      <c r="BT1932" s="160"/>
      <c r="BU1932" s="160"/>
      <c r="BV1932" s="160"/>
      <c r="BW1932" s="160"/>
      <c r="BX1932" s="160"/>
      <c r="BY1932" s="160"/>
      <c r="BZ1932" s="160"/>
      <c r="CA1932" s="160"/>
      <c r="CB1932" s="160"/>
      <c r="CC1932" s="160"/>
      <c r="CD1932" s="160"/>
      <c r="CE1932" s="160"/>
      <c r="CF1932" s="160"/>
      <c r="CG1932" s="160"/>
      <c r="CH1932" s="160"/>
      <c r="CI1932" s="160"/>
      <c r="CJ1932" s="160">
        <v>500</v>
      </c>
      <c r="CK1932" s="160">
        <f>500*21000</f>
        <v>10500000</v>
      </c>
      <c r="CL1932" s="160"/>
      <c r="CM1932" s="160"/>
      <c r="CN1932" s="160">
        <v>500</v>
      </c>
      <c r="CO1932" s="160">
        <f>500*18000</f>
        <v>9000000</v>
      </c>
      <c r="CP1932" s="162">
        <v>500</v>
      </c>
      <c r="CQ1932" s="163">
        <f>500*37000</f>
        <v>18500000</v>
      </c>
      <c r="CR1932" s="162"/>
      <c r="CS1932" s="163"/>
      <c r="CT1932" s="162"/>
      <c r="CU1932" s="163"/>
      <c r="CV1932" s="164">
        <f t="shared" si="246"/>
        <v>66000000</v>
      </c>
      <c r="CW1932" s="165"/>
      <c r="CX1932" s="166"/>
      <c r="CY1932" s="167">
        <v>500</v>
      </c>
      <c r="CZ1932" s="168">
        <f>500*85000</f>
        <v>42500000</v>
      </c>
      <c r="DA1932" s="169"/>
      <c r="DB1932" s="168"/>
      <c r="DC1932" s="165"/>
      <c r="DD1932" s="166"/>
      <c r="DE1932" s="71"/>
      <c r="DF1932" s="170"/>
      <c r="EO1932" s="375" t="str">
        <f t="shared" si="247"/>
        <v>BOLIVAR_ARENAL</v>
      </c>
      <c r="EP1932" s="376"/>
      <c r="EQ1932" s="376"/>
      <c r="ER1932" s="377"/>
      <c r="ES1932" s="376"/>
      <c r="ET1932" s="376"/>
      <c r="EU1932" s="376"/>
    </row>
    <row r="1933" spans="1:151" s="171" customFormat="1" ht="38.25" x14ac:dyDescent="0.2">
      <c r="A1933" s="242">
        <v>40512</v>
      </c>
      <c r="B1933" s="222" t="s">
        <v>2017</v>
      </c>
      <c r="C1933" s="222" t="s">
        <v>4056</v>
      </c>
      <c r="D1933" s="430" t="s">
        <v>837</v>
      </c>
      <c r="E1933" s="107" t="str">
        <f>VLOOKUP(B1933&amp;C1933,Divipola!$C$2:$F$1138,4,FALSE)</f>
        <v>13062</v>
      </c>
      <c r="F1933" s="333"/>
      <c r="G1933" s="221"/>
      <c r="H1933" s="157"/>
      <c r="I1933" s="157"/>
      <c r="J1933" s="157">
        <f>128*5</f>
        <v>640</v>
      </c>
      <c r="K1933" s="157">
        <v>128</v>
      </c>
      <c r="L1933" s="157"/>
      <c r="M1933" s="157">
        <v>128</v>
      </c>
      <c r="N1933" s="157"/>
      <c r="O1933" s="157"/>
      <c r="P1933" s="157"/>
      <c r="Q1933" s="157"/>
      <c r="R1933" s="157"/>
      <c r="S1933" s="157"/>
      <c r="T1933" s="157"/>
      <c r="U1933" s="157"/>
      <c r="V1933" s="158"/>
      <c r="W1933" s="182"/>
      <c r="X1933" s="1"/>
      <c r="Y1933" s="78">
        <f t="shared" si="243"/>
        <v>0</v>
      </c>
      <c r="Z1933" s="78">
        <f t="shared" si="244"/>
        <v>4590000</v>
      </c>
      <c r="AA1933" s="78">
        <f t="shared" si="242"/>
        <v>0</v>
      </c>
      <c r="AB1933" s="78">
        <f t="shared" si="245"/>
        <v>0</v>
      </c>
      <c r="AC1933" s="78">
        <f>100*24000</f>
        <v>2400000</v>
      </c>
      <c r="AD1933" s="78"/>
      <c r="AE1933" s="80">
        <f t="shared" si="248"/>
        <v>6990000</v>
      </c>
      <c r="AF1933" s="82">
        <v>0</v>
      </c>
      <c r="AG1933" s="69"/>
      <c r="AH1933" s="84"/>
      <c r="AI1933" s="69" t="s">
        <v>2009</v>
      </c>
      <c r="AJ1933" s="25" t="s">
        <v>2010</v>
      </c>
      <c r="AK1933" s="65"/>
      <c r="AL1933" s="176"/>
      <c r="AM1933" s="173" t="s">
        <v>308</v>
      </c>
      <c r="AN1933" s="159"/>
      <c r="AO1933" s="160"/>
      <c r="AP1933" s="161"/>
      <c r="AQ1933" s="160"/>
      <c r="AR1933" s="160"/>
      <c r="AS1933" s="160"/>
      <c r="AT1933" s="160"/>
      <c r="AU1933" s="160"/>
      <c r="AV1933" s="160"/>
      <c r="AW1933" s="160"/>
      <c r="AX1933" s="160"/>
      <c r="AY1933" s="160"/>
      <c r="AZ1933" s="160"/>
      <c r="BA1933" s="160"/>
      <c r="BB1933" s="160"/>
      <c r="BC1933" s="160"/>
      <c r="BD1933" s="160"/>
      <c r="BE1933" s="160"/>
      <c r="BF1933" s="160"/>
      <c r="BG1933" s="160"/>
      <c r="BH1933" s="160"/>
      <c r="BI1933" s="160"/>
      <c r="BJ1933" s="160"/>
      <c r="BK1933" s="160"/>
      <c r="BL1933" s="160"/>
      <c r="BM1933" s="160"/>
      <c r="BN1933" s="160"/>
      <c r="BO1933" s="160"/>
      <c r="BP1933" s="160"/>
      <c r="BQ1933" s="160"/>
      <c r="BR1933" s="160"/>
      <c r="BS1933" s="160"/>
      <c r="BT1933" s="160"/>
      <c r="BU1933" s="160"/>
      <c r="BV1933" s="160"/>
      <c r="BW1933" s="160"/>
      <c r="BX1933" s="160"/>
      <c r="BY1933" s="160"/>
      <c r="BZ1933" s="160"/>
      <c r="CA1933" s="160"/>
      <c r="CB1933" s="160"/>
      <c r="CC1933" s="160"/>
      <c r="CD1933" s="160"/>
      <c r="CE1933" s="160"/>
      <c r="CF1933" s="160"/>
      <c r="CG1933" s="160"/>
      <c r="CH1933" s="160"/>
      <c r="CI1933" s="160"/>
      <c r="CJ1933" s="160"/>
      <c r="CK1933" s="160"/>
      <c r="CL1933" s="160"/>
      <c r="CM1933" s="160"/>
      <c r="CN1933" s="160"/>
      <c r="CO1933" s="160"/>
      <c r="CP1933" s="162"/>
      <c r="CQ1933" s="163"/>
      <c r="CR1933" s="162"/>
      <c r="CS1933" s="163"/>
      <c r="CT1933" s="162"/>
      <c r="CU1933" s="163"/>
      <c r="CV1933" s="164">
        <f t="shared" si="246"/>
        <v>0</v>
      </c>
      <c r="CW1933" s="165"/>
      <c r="CX1933" s="166"/>
      <c r="CY1933" s="167">
        <v>54</v>
      </c>
      <c r="CZ1933" s="168">
        <f>54*85000</f>
        <v>4590000</v>
      </c>
      <c r="DA1933" s="169"/>
      <c r="DB1933" s="168"/>
      <c r="DC1933" s="165"/>
      <c r="DD1933" s="166"/>
      <c r="DE1933" s="71"/>
      <c r="DF1933" s="170"/>
      <c r="EO1933" s="375" t="str">
        <f t="shared" si="247"/>
        <v>BOLIVAR_ARROYOHONDO</v>
      </c>
      <c r="EP1933" s="376"/>
      <c r="EQ1933" s="376"/>
      <c r="ER1933" s="377"/>
      <c r="ES1933" s="376"/>
      <c r="ET1933" s="376"/>
      <c r="EU1933" s="376"/>
    </row>
    <row r="1934" spans="1:151" s="171" customFormat="1" ht="60" x14ac:dyDescent="0.2">
      <c r="A1934" s="242">
        <v>40512</v>
      </c>
      <c r="B1934" s="222" t="s">
        <v>828</v>
      </c>
      <c r="C1934" s="222" t="s">
        <v>360</v>
      </c>
      <c r="D1934" s="430" t="s">
        <v>837</v>
      </c>
      <c r="E1934" s="107" t="str">
        <f>VLOOKUP(B1934&amp;C1934,Divipola!$C$2:$F$1138,4,FALSE)</f>
        <v>15755</v>
      </c>
      <c r="F1934" s="333"/>
      <c r="G1934" s="221"/>
      <c r="H1934" s="157"/>
      <c r="I1934" s="157"/>
      <c r="J1934" s="157">
        <f>74*5</f>
        <v>370</v>
      </c>
      <c r="K1934" s="157">
        <v>74</v>
      </c>
      <c r="L1934" s="157">
        <v>1</v>
      </c>
      <c r="M1934" s="157">
        <v>73</v>
      </c>
      <c r="N1934" s="157"/>
      <c r="O1934" s="157"/>
      <c r="P1934" s="157"/>
      <c r="Q1934" s="157"/>
      <c r="R1934" s="157"/>
      <c r="S1934" s="157"/>
      <c r="T1934" s="157"/>
      <c r="U1934" s="157"/>
      <c r="V1934" s="158"/>
      <c r="W1934" s="182"/>
      <c r="X1934" s="1"/>
      <c r="Y1934" s="78">
        <f t="shared" si="243"/>
        <v>0</v>
      </c>
      <c r="Z1934" s="78">
        <f t="shared" si="244"/>
        <v>0</v>
      </c>
      <c r="AA1934" s="78">
        <f t="shared" si="242"/>
        <v>0</v>
      </c>
      <c r="AB1934" s="78">
        <f t="shared" si="245"/>
        <v>0</v>
      </c>
      <c r="AC1934" s="78"/>
      <c r="AD1934" s="78">
        <v>0</v>
      </c>
      <c r="AE1934" s="80">
        <f t="shared" si="248"/>
        <v>0</v>
      </c>
      <c r="AF1934" s="82">
        <v>0</v>
      </c>
      <c r="AG1934" s="69">
        <v>40578</v>
      </c>
      <c r="AH1934" s="84"/>
      <c r="AI1934" s="69" t="s">
        <v>1984</v>
      </c>
      <c r="AJ1934" s="25" t="s">
        <v>1985</v>
      </c>
      <c r="AK1934" s="65"/>
      <c r="AL1934" s="176" t="s">
        <v>1257</v>
      </c>
      <c r="AM1934" s="173" t="s">
        <v>361</v>
      </c>
      <c r="AN1934" s="159"/>
      <c r="AO1934" s="160"/>
      <c r="AP1934" s="161"/>
      <c r="AQ1934" s="160"/>
      <c r="AR1934" s="160"/>
      <c r="AS1934" s="160"/>
      <c r="AT1934" s="160"/>
      <c r="AU1934" s="160"/>
      <c r="AV1934" s="160"/>
      <c r="AW1934" s="160"/>
      <c r="AX1934" s="160"/>
      <c r="AY1934" s="160"/>
      <c r="AZ1934" s="160"/>
      <c r="BA1934" s="160"/>
      <c r="BB1934" s="160"/>
      <c r="BC1934" s="160"/>
      <c r="BD1934" s="160"/>
      <c r="BE1934" s="160"/>
      <c r="BF1934" s="160"/>
      <c r="BG1934" s="160"/>
      <c r="BH1934" s="160"/>
      <c r="BI1934" s="160"/>
      <c r="BJ1934" s="160"/>
      <c r="BK1934" s="160"/>
      <c r="BL1934" s="160"/>
      <c r="BM1934" s="160"/>
      <c r="BN1934" s="160"/>
      <c r="BO1934" s="160"/>
      <c r="BP1934" s="160"/>
      <c r="BQ1934" s="160"/>
      <c r="BR1934" s="160"/>
      <c r="BS1934" s="160"/>
      <c r="BT1934" s="160"/>
      <c r="BU1934" s="160"/>
      <c r="BV1934" s="160"/>
      <c r="BW1934" s="160"/>
      <c r="BX1934" s="160"/>
      <c r="BY1934" s="160"/>
      <c r="BZ1934" s="160"/>
      <c r="CA1934" s="160"/>
      <c r="CB1934" s="160"/>
      <c r="CC1934" s="160"/>
      <c r="CD1934" s="160"/>
      <c r="CE1934" s="160"/>
      <c r="CF1934" s="160"/>
      <c r="CG1934" s="160"/>
      <c r="CH1934" s="160"/>
      <c r="CI1934" s="160"/>
      <c r="CJ1934" s="160"/>
      <c r="CK1934" s="160"/>
      <c r="CL1934" s="160"/>
      <c r="CM1934" s="160"/>
      <c r="CN1934" s="160"/>
      <c r="CO1934" s="160"/>
      <c r="CP1934" s="162"/>
      <c r="CQ1934" s="163"/>
      <c r="CR1934" s="162"/>
      <c r="CS1934" s="163"/>
      <c r="CT1934" s="162"/>
      <c r="CU1934" s="163"/>
      <c r="CV1934" s="164">
        <f t="shared" si="246"/>
        <v>0</v>
      </c>
      <c r="CW1934" s="165"/>
      <c r="CX1934" s="166"/>
      <c r="CY1934" s="167"/>
      <c r="CZ1934" s="168"/>
      <c r="DA1934" s="169"/>
      <c r="DB1934" s="168"/>
      <c r="DC1934" s="165"/>
      <c r="DD1934" s="166"/>
      <c r="DE1934" s="71"/>
      <c r="DF1934" s="170"/>
      <c r="EO1934" s="375" t="str">
        <f t="shared" si="247"/>
        <v>BOYACA_SOCOTA</v>
      </c>
      <c r="EP1934" s="376"/>
      <c r="EQ1934" s="376"/>
      <c r="ER1934" s="377"/>
      <c r="ES1934" s="376"/>
      <c r="ET1934" s="376"/>
      <c r="EU1934" s="376"/>
    </row>
    <row r="1935" spans="1:151" s="171" customFormat="1" ht="25.5" x14ac:dyDescent="0.2">
      <c r="A1935" s="242">
        <v>40512</v>
      </c>
      <c r="B1935" s="222" t="s">
        <v>828</v>
      </c>
      <c r="C1935" s="222" t="s">
        <v>621</v>
      </c>
      <c r="D1935" s="430" t="s">
        <v>2307</v>
      </c>
      <c r="E1935" s="107" t="str">
        <f>VLOOKUP(B1935&amp;C1935,Divipola!$C$2:$F$1138,4,FALSE)</f>
        <v>15001</v>
      </c>
      <c r="F1935" s="333"/>
      <c r="G1935" s="221"/>
      <c r="H1935" s="157"/>
      <c r="I1935" s="157"/>
      <c r="J1935" s="157">
        <v>10</v>
      </c>
      <c r="K1935" s="157">
        <v>2</v>
      </c>
      <c r="L1935" s="157"/>
      <c r="M1935" s="157">
        <v>2</v>
      </c>
      <c r="N1935" s="157"/>
      <c r="O1935" s="157"/>
      <c r="P1935" s="157"/>
      <c r="Q1935" s="157"/>
      <c r="R1935" s="157"/>
      <c r="S1935" s="157"/>
      <c r="T1935" s="157"/>
      <c r="U1935" s="157"/>
      <c r="V1935" s="158"/>
      <c r="W1935" s="182"/>
      <c r="X1935" s="1"/>
      <c r="Y1935" s="78">
        <f t="shared" si="243"/>
        <v>0</v>
      </c>
      <c r="Z1935" s="78">
        <f t="shared" si="244"/>
        <v>0</v>
      </c>
      <c r="AA1935" s="78">
        <f t="shared" si="242"/>
        <v>0</v>
      </c>
      <c r="AB1935" s="78">
        <f t="shared" si="245"/>
        <v>0</v>
      </c>
      <c r="AC1935" s="78"/>
      <c r="AD1935" s="78">
        <v>0</v>
      </c>
      <c r="AE1935" s="80">
        <f t="shared" si="248"/>
        <v>0</v>
      </c>
      <c r="AF1935" s="82">
        <v>0</v>
      </c>
      <c r="AG1935" s="242">
        <v>40513</v>
      </c>
      <c r="AH1935" s="84"/>
      <c r="AI1935" s="69" t="s">
        <v>1984</v>
      </c>
      <c r="AJ1935" s="25" t="s">
        <v>1985</v>
      </c>
      <c r="AK1935" s="65"/>
      <c r="AL1935" s="176" t="s">
        <v>1257</v>
      </c>
      <c r="AM1935" s="173" t="s">
        <v>41</v>
      </c>
      <c r="AN1935" s="159"/>
      <c r="AO1935" s="160"/>
      <c r="AP1935" s="161"/>
      <c r="AQ1935" s="160"/>
      <c r="AR1935" s="160"/>
      <c r="AS1935" s="160"/>
      <c r="AT1935" s="160"/>
      <c r="AU1935" s="160"/>
      <c r="AV1935" s="160"/>
      <c r="AW1935" s="160"/>
      <c r="AX1935" s="160"/>
      <c r="AY1935" s="160"/>
      <c r="AZ1935" s="160"/>
      <c r="BA1935" s="160"/>
      <c r="BB1935" s="160"/>
      <c r="BC1935" s="160"/>
      <c r="BD1935" s="160"/>
      <c r="BE1935" s="160"/>
      <c r="BF1935" s="160"/>
      <c r="BG1935" s="160"/>
      <c r="BH1935" s="160"/>
      <c r="BI1935" s="160"/>
      <c r="BJ1935" s="160"/>
      <c r="BK1935" s="160"/>
      <c r="BL1935" s="160"/>
      <c r="BM1935" s="160"/>
      <c r="BN1935" s="160"/>
      <c r="BO1935" s="160"/>
      <c r="BP1935" s="160"/>
      <c r="BQ1935" s="160"/>
      <c r="BR1935" s="160"/>
      <c r="BS1935" s="160"/>
      <c r="BT1935" s="160"/>
      <c r="BU1935" s="160"/>
      <c r="BV1935" s="160"/>
      <c r="BW1935" s="160"/>
      <c r="BX1935" s="160"/>
      <c r="BY1935" s="160"/>
      <c r="BZ1935" s="160"/>
      <c r="CA1935" s="160"/>
      <c r="CB1935" s="160"/>
      <c r="CC1935" s="160"/>
      <c r="CD1935" s="160"/>
      <c r="CE1935" s="160"/>
      <c r="CF1935" s="160"/>
      <c r="CG1935" s="160"/>
      <c r="CH1935" s="160"/>
      <c r="CI1935" s="160"/>
      <c r="CJ1935" s="160"/>
      <c r="CK1935" s="160"/>
      <c r="CL1935" s="160"/>
      <c r="CM1935" s="160"/>
      <c r="CN1935" s="160"/>
      <c r="CO1935" s="160"/>
      <c r="CP1935" s="162"/>
      <c r="CQ1935" s="163"/>
      <c r="CR1935" s="162"/>
      <c r="CS1935" s="163"/>
      <c r="CT1935" s="162"/>
      <c r="CU1935" s="163"/>
      <c r="CV1935" s="164">
        <f t="shared" si="246"/>
        <v>0</v>
      </c>
      <c r="CW1935" s="165"/>
      <c r="CX1935" s="166"/>
      <c r="CY1935" s="167"/>
      <c r="CZ1935" s="168"/>
      <c r="DA1935" s="169"/>
      <c r="DB1935" s="168"/>
      <c r="DC1935" s="165"/>
      <c r="DD1935" s="166"/>
      <c r="DE1935" s="71"/>
      <c r="DF1935" s="170"/>
      <c r="EO1935" s="375" t="str">
        <f t="shared" si="247"/>
        <v>BOYACA_TUNJA</v>
      </c>
      <c r="EP1935" s="376"/>
      <c r="EQ1935" s="376"/>
      <c r="ER1935" s="377"/>
      <c r="ES1935" s="376"/>
      <c r="ET1935" s="376"/>
      <c r="EU1935" s="376"/>
    </row>
    <row r="1936" spans="1:151" s="171" customFormat="1" ht="38.25" x14ac:dyDescent="0.2">
      <c r="A1936" s="242">
        <v>40512</v>
      </c>
      <c r="B1936" s="222" t="s">
        <v>828</v>
      </c>
      <c r="C1936" s="222" t="s">
        <v>1545</v>
      </c>
      <c r="D1936" s="430" t="s">
        <v>837</v>
      </c>
      <c r="E1936" s="107" t="str">
        <f>VLOOKUP(B1936&amp;C1936,Divipola!$C$2:$F$1138,4,FALSE)</f>
        <v>15407</v>
      </c>
      <c r="F1936" s="333"/>
      <c r="G1936" s="221"/>
      <c r="H1936" s="157"/>
      <c r="I1936" s="157"/>
      <c r="J1936" s="157">
        <v>40</v>
      </c>
      <c r="K1936" s="157">
        <v>8</v>
      </c>
      <c r="L1936" s="157"/>
      <c r="M1936" s="157">
        <v>4</v>
      </c>
      <c r="N1936" s="157"/>
      <c r="O1936" s="157"/>
      <c r="P1936" s="157"/>
      <c r="Q1936" s="157"/>
      <c r="R1936" s="157"/>
      <c r="S1936" s="157"/>
      <c r="T1936" s="157"/>
      <c r="U1936" s="157"/>
      <c r="V1936" s="158"/>
      <c r="W1936" s="182"/>
      <c r="X1936" s="1"/>
      <c r="Y1936" s="78">
        <f t="shared" si="243"/>
        <v>0</v>
      </c>
      <c r="Z1936" s="78">
        <f t="shared" si="244"/>
        <v>0</v>
      </c>
      <c r="AA1936" s="78">
        <f t="shared" si="242"/>
        <v>0</v>
      </c>
      <c r="AB1936" s="78">
        <f t="shared" si="245"/>
        <v>0</v>
      </c>
      <c r="AC1936" s="78"/>
      <c r="AD1936" s="78">
        <v>0</v>
      </c>
      <c r="AE1936" s="80">
        <f t="shared" si="248"/>
        <v>0</v>
      </c>
      <c r="AF1936" s="82">
        <v>0</v>
      </c>
      <c r="AG1936" s="242">
        <v>40512</v>
      </c>
      <c r="AH1936" s="84"/>
      <c r="AI1936" s="69" t="s">
        <v>1984</v>
      </c>
      <c r="AJ1936" s="25" t="s">
        <v>1985</v>
      </c>
      <c r="AK1936" s="65"/>
      <c r="AL1936" s="176" t="s">
        <v>1257</v>
      </c>
      <c r="AM1936" s="173" t="s">
        <v>2988</v>
      </c>
      <c r="AN1936" s="159"/>
      <c r="AO1936" s="160"/>
      <c r="AP1936" s="161"/>
      <c r="AQ1936" s="160"/>
      <c r="AR1936" s="160"/>
      <c r="AS1936" s="160"/>
      <c r="AT1936" s="160"/>
      <c r="AU1936" s="160"/>
      <c r="AV1936" s="160"/>
      <c r="AW1936" s="160"/>
      <c r="AX1936" s="160"/>
      <c r="AY1936" s="160"/>
      <c r="AZ1936" s="160"/>
      <c r="BA1936" s="160"/>
      <c r="BB1936" s="160"/>
      <c r="BC1936" s="160"/>
      <c r="BD1936" s="160"/>
      <c r="BE1936" s="160"/>
      <c r="BF1936" s="160"/>
      <c r="BG1936" s="160"/>
      <c r="BH1936" s="160"/>
      <c r="BI1936" s="160"/>
      <c r="BJ1936" s="160"/>
      <c r="BK1936" s="160"/>
      <c r="BL1936" s="160"/>
      <c r="BM1936" s="160"/>
      <c r="BN1936" s="160"/>
      <c r="BO1936" s="160"/>
      <c r="BP1936" s="160"/>
      <c r="BQ1936" s="160"/>
      <c r="BR1936" s="160"/>
      <c r="BS1936" s="160"/>
      <c r="BT1936" s="160"/>
      <c r="BU1936" s="160"/>
      <c r="BV1936" s="160"/>
      <c r="BW1936" s="160"/>
      <c r="BX1936" s="160"/>
      <c r="BY1936" s="160"/>
      <c r="BZ1936" s="160"/>
      <c r="CA1936" s="160"/>
      <c r="CB1936" s="160"/>
      <c r="CC1936" s="160"/>
      <c r="CD1936" s="160"/>
      <c r="CE1936" s="160"/>
      <c r="CF1936" s="160"/>
      <c r="CG1936" s="160"/>
      <c r="CH1936" s="160"/>
      <c r="CI1936" s="160"/>
      <c r="CJ1936" s="160"/>
      <c r="CK1936" s="160"/>
      <c r="CL1936" s="160"/>
      <c r="CM1936" s="160"/>
      <c r="CN1936" s="160"/>
      <c r="CO1936" s="160"/>
      <c r="CP1936" s="162"/>
      <c r="CQ1936" s="163"/>
      <c r="CR1936" s="162"/>
      <c r="CS1936" s="163"/>
      <c r="CT1936" s="162"/>
      <c r="CU1936" s="163"/>
      <c r="CV1936" s="164">
        <f t="shared" si="246"/>
        <v>0</v>
      </c>
      <c r="CW1936" s="165"/>
      <c r="CX1936" s="166"/>
      <c r="CY1936" s="167"/>
      <c r="CZ1936" s="168"/>
      <c r="DA1936" s="169"/>
      <c r="DB1936" s="168"/>
      <c r="DC1936" s="165"/>
      <c r="DD1936" s="166"/>
      <c r="DE1936" s="71"/>
      <c r="DF1936" s="170"/>
      <c r="EO1936" s="375" t="str">
        <f t="shared" si="247"/>
        <v>BOYACA_VILLA DE LEYVA</v>
      </c>
      <c r="EP1936" s="376"/>
      <c r="EQ1936" s="376"/>
      <c r="ER1936" s="377"/>
      <c r="ES1936" s="376"/>
      <c r="ET1936" s="376"/>
      <c r="EU1936" s="376"/>
    </row>
    <row r="1937" spans="1:151" s="171" customFormat="1" ht="25.5" x14ac:dyDescent="0.2">
      <c r="A1937" s="242">
        <v>40512</v>
      </c>
      <c r="B1937" s="222" t="s">
        <v>289</v>
      </c>
      <c r="C1937" s="222" t="s">
        <v>1134</v>
      </c>
      <c r="D1937" s="430" t="s">
        <v>837</v>
      </c>
      <c r="E1937" s="107" t="str">
        <f>VLOOKUP(B1937&amp;C1937,Divipola!$C$2:$F$1138,4,FALSE)</f>
        <v>17513</v>
      </c>
      <c r="F1937" s="333"/>
      <c r="G1937" s="221">
        <v>1</v>
      </c>
      <c r="H1937" s="157"/>
      <c r="I1937" s="157"/>
      <c r="J1937" s="157">
        <f>19*5</f>
        <v>95</v>
      </c>
      <c r="K1937" s="157">
        <f>18+11</f>
        <v>29</v>
      </c>
      <c r="L1937" s="157">
        <v>1</v>
      </c>
      <c r="M1937" s="157">
        <v>17</v>
      </c>
      <c r="N1937" s="157"/>
      <c r="O1937" s="157"/>
      <c r="P1937" s="157"/>
      <c r="Q1937" s="157"/>
      <c r="R1937" s="157"/>
      <c r="S1937" s="157"/>
      <c r="T1937" s="157"/>
      <c r="U1937" s="157"/>
      <c r="V1937" s="158"/>
      <c r="W1937" s="182"/>
      <c r="X1937" s="1"/>
      <c r="Y1937" s="78">
        <f t="shared" si="243"/>
        <v>0</v>
      </c>
      <c r="Z1937" s="78">
        <f t="shared" si="244"/>
        <v>0</v>
      </c>
      <c r="AA1937" s="78">
        <f t="shared" si="242"/>
        <v>0</v>
      </c>
      <c r="AB1937" s="78">
        <f t="shared" si="245"/>
        <v>0</v>
      </c>
      <c r="AC1937" s="78"/>
      <c r="AD1937" s="78">
        <v>0</v>
      </c>
      <c r="AE1937" s="80">
        <f t="shared" si="248"/>
        <v>0</v>
      </c>
      <c r="AF1937" s="82">
        <v>0</v>
      </c>
      <c r="AG1937" s="242"/>
      <c r="AH1937" s="84"/>
      <c r="AI1937" s="69" t="s">
        <v>2009</v>
      </c>
      <c r="AJ1937" s="25" t="s">
        <v>2010</v>
      </c>
      <c r="AK1937" s="65"/>
      <c r="AL1937" s="184" t="s">
        <v>3833</v>
      </c>
      <c r="AM1937" s="173" t="s">
        <v>1135</v>
      </c>
      <c r="AN1937" s="159"/>
      <c r="AO1937" s="160"/>
      <c r="AP1937" s="161"/>
      <c r="AQ1937" s="160"/>
      <c r="AR1937" s="160"/>
      <c r="AS1937" s="160"/>
      <c r="AT1937" s="160"/>
      <c r="AU1937" s="160"/>
      <c r="AV1937" s="160"/>
      <c r="AW1937" s="160"/>
      <c r="AX1937" s="160"/>
      <c r="AY1937" s="160"/>
      <c r="AZ1937" s="160"/>
      <c r="BA1937" s="160"/>
      <c r="BB1937" s="160"/>
      <c r="BC1937" s="160"/>
      <c r="BD1937" s="160"/>
      <c r="BE1937" s="160"/>
      <c r="BF1937" s="160"/>
      <c r="BG1937" s="160"/>
      <c r="BH1937" s="160"/>
      <c r="BI1937" s="160"/>
      <c r="BJ1937" s="160"/>
      <c r="BK1937" s="160"/>
      <c r="BL1937" s="160"/>
      <c r="BM1937" s="160"/>
      <c r="BN1937" s="160"/>
      <c r="BO1937" s="160"/>
      <c r="BP1937" s="160"/>
      <c r="BQ1937" s="160"/>
      <c r="BR1937" s="160"/>
      <c r="BS1937" s="160"/>
      <c r="BT1937" s="160"/>
      <c r="BU1937" s="160"/>
      <c r="BV1937" s="160"/>
      <c r="BW1937" s="160"/>
      <c r="BX1937" s="160"/>
      <c r="BY1937" s="160"/>
      <c r="BZ1937" s="160"/>
      <c r="CA1937" s="160"/>
      <c r="CB1937" s="160"/>
      <c r="CC1937" s="160"/>
      <c r="CD1937" s="160"/>
      <c r="CE1937" s="160"/>
      <c r="CF1937" s="160"/>
      <c r="CG1937" s="160"/>
      <c r="CH1937" s="160"/>
      <c r="CI1937" s="160"/>
      <c r="CJ1937" s="160"/>
      <c r="CK1937" s="160"/>
      <c r="CL1937" s="160"/>
      <c r="CM1937" s="160"/>
      <c r="CN1937" s="160"/>
      <c r="CO1937" s="160"/>
      <c r="CP1937" s="162"/>
      <c r="CQ1937" s="163"/>
      <c r="CR1937" s="162"/>
      <c r="CS1937" s="163"/>
      <c r="CT1937" s="162"/>
      <c r="CU1937" s="163"/>
      <c r="CV1937" s="164">
        <f t="shared" si="246"/>
        <v>0</v>
      </c>
      <c r="CW1937" s="165"/>
      <c r="CX1937" s="166"/>
      <c r="CY1937" s="167"/>
      <c r="CZ1937" s="168"/>
      <c r="DA1937" s="169"/>
      <c r="DB1937" s="168"/>
      <c r="DC1937" s="165"/>
      <c r="DD1937" s="166"/>
      <c r="DE1937" s="71"/>
      <c r="DF1937" s="170"/>
      <c r="EO1937" s="375" t="str">
        <f t="shared" si="247"/>
        <v>CALDAS_PACORA</v>
      </c>
      <c r="EP1937" s="376"/>
      <c r="EQ1937" s="376"/>
      <c r="ER1937" s="377"/>
      <c r="ES1937" s="376"/>
      <c r="ET1937" s="376"/>
      <c r="EU1937" s="376"/>
    </row>
    <row r="1938" spans="1:151" s="171" customFormat="1" ht="25.5" x14ac:dyDescent="0.2">
      <c r="A1938" s="242">
        <v>40512</v>
      </c>
      <c r="B1938" s="222" t="s">
        <v>2242</v>
      </c>
      <c r="C1938" s="222" t="s">
        <v>191</v>
      </c>
      <c r="D1938" s="430" t="s">
        <v>2352</v>
      </c>
      <c r="E1938" s="107" t="str">
        <f>VLOOKUP(B1938&amp;C1938,Divipola!$C$2:$F$1138,4,FALSE)</f>
        <v>20614</v>
      </c>
      <c r="F1938" s="333"/>
      <c r="G1938" s="221">
        <v>1</v>
      </c>
      <c r="H1938" s="157"/>
      <c r="I1938" s="157"/>
      <c r="J1938" s="157">
        <v>5</v>
      </c>
      <c r="K1938" s="157">
        <v>1</v>
      </c>
      <c r="L1938" s="157">
        <v>1</v>
      </c>
      <c r="M1938" s="157"/>
      <c r="N1938" s="157"/>
      <c r="O1938" s="157"/>
      <c r="P1938" s="157"/>
      <c r="Q1938" s="157"/>
      <c r="R1938" s="157"/>
      <c r="S1938" s="157"/>
      <c r="T1938" s="157"/>
      <c r="U1938" s="157"/>
      <c r="V1938" s="158"/>
      <c r="W1938" s="182"/>
      <c r="X1938" s="1"/>
      <c r="Y1938" s="78">
        <f t="shared" si="243"/>
        <v>0</v>
      </c>
      <c r="Z1938" s="78">
        <f t="shared" si="244"/>
        <v>0</v>
      </c>
      <c r="AA1938" s="78">
        <f t="shared" si="242"/>
        <v>0</v>
      </c>
      <c r="AB1938" s="78">
        <f t="shared" si="245"/>
        <v>0</v>
      </c>
      <c r="AC1938" s="78"/>
      <c r="AD1938" s="78">
        <v>0</v>
      </c>
      <c r="AE1938" s="80">
        <f t="shared" si="248"/>
        <v>0</v>
      </c>
      <c r="AF1938" s="82">
        <v>0</v>
      </c>
      <c r="AG1938" s="242">
        <v>40513</v>
      </c>
      <c r="AH1938" s="84"/>
      <c r="AI1938" s="69" t="s">
        <v>1984</v>
      </c>
      <c r="AJ1938" s="25" t="s">
        <v>1985</v>
      </c>
      <c r="AK1938" s="65"/>
      <c r="AL1938" s="176" t="s">
        <v>1257</v>
      </c>
      <c r="AM1938" s="173" t="s">
        <v>1164</v>
      </c>
      <c r="AN1938" s="159"/>
      <c r="AO1938" s="160"/>
      <c r="AP1938" s="161"/>
      <c r="AQ1938" s="160"/>
      <c r="AR1938" s="160"/>
      <c r="AS1938" s="160"/>
      <c r="AT1938" s="160"/>
      <c r="AU1938" s="160"/>
      <c r="AV1938" s="160"/>
      <c r="AW1938" s="160"/>
      <c r="AX1938" s="160"/>
      <c r="AY1938" s="160"/>
      <c r="AZ1938" s="160"/>
      <c r="BA1938" s="160"/>
      <c r="BB1938" s="160"/>
      <c r="BC1938" s="160"/>
      <c r="BD1938" s="160"/>
      <c r="BE1938" s="160"/>
      <c r="BF1938" s="160"/>
      <c r="BG1938" s="160"/>
      <c r="BH1938" s="160"/>
      <c r="BI1938" s="160"/>
      <c r="BJ1938" s="160"/>
      <c r="BK1938" s="160"/>
      <c r="BL1938" s="160"/>
      <c r="BM1938" s="160"/>
      <c r="BN1938" s="160"/>
      <c r="BO1938" s="160"/>
      <c r="BP1938" s="160"/>
      <c r="BQ1938" s="160"/>
      <c r="BR1938" s="160"/>
      <c r="BS1938" s="160"/>
      <c r="BT1938" s="160"/>
      <c r="BU1938" s="160"/>
      <c r="BV1938" s="160"/>
      <c r="BW1938" s="160"/>
      <c r="BX1938" s="160"/>
      <c r="BY1938" s="160"/>
      <c r="BZ1938" s="160"/>
      <c r="CA1938" s="160"/>
      <c r="CB1938" s="160"/>
      <c r="CC1938" s="160"/>
      <c r="CD1938" s="160"/>
      <c r="CE1938" s="160"/>
      <c r="CF1938" s="160"/>
      <c r="CG1938" s="160"/>
      <c r="CH1938" s="160"/>
      <c r="CI1938" s="160"/>
      <c r="CJ1938" s="160"/>
      <c r="CK1938" s="160"/>
      <c r="CL1938" s="160"/>
      <c r="CM1938" s="160"/>
      <c r="CN1938" s="160"/>
      <c r="CO1938" s="160"/>
      <c r="CP1938" s="162"/>
      <c r="CQ1938" s="163"/>
      <c r="CR1938" s="162"/>
      <c r="CS1938" s="163"/>
      <c r="CT1938" s="162"/>
      <c r="CU1938" s="163"/>
      <c r="CV1938" s="164">
        <f t="shared" si="246"/>
        <v>0</v>
      </c>
      <c r="CW1938" s="165"/>
      <c r="CX1938" s="166"/>
      <c r="CY1938" s="167"/>
      <c r="CZ1938" s="168"/>
      <c r="DA1938" s="169"/>
      <c r="DB1938" s="168"/>
      <c r="DC1938" s="165"/>
      <c r="DD1938" s="166"/>
      <c r="DE1938" s="71"/>
      <c r="DF1938" s="170"/>
      <c r="EO1938" s="375" t="str">
        <f t="shared" si="247"/>
        <v>CESAR_RIO DE ORO</v>
      </c>
      <c r="EP1938" s="376"/>
      <c r="EQ1938" s="376"/>
      <c r="ER1938" s="377"/>
      <c r="ES1938" s="376"/>
      <c r="ET1938" s="376"/>
      <c r="EU1938" s="376"/>
    </row>
    <row r="1939" spans="1:151" s="171" customFormat="1" ht="25.5" x14ac:dyDescent="0.2">
      <c r="A1939" s="242">
        <v>40512</v>
      </c>
      <c r="B1939" s="222" t="s">
        <v>2007</v>
      </c>
      <c r="C1939" s="222" t="s">
        <v>1252</v>
      </c>
      <c r="D1939" s="430" t="s">
        <v>837</v>
      </c>
      <c r="E1939" s="107" t="str">
        <f>VLOOKUP(B1939&amp;C1939,Divipola!$C$2:$F$1138,4,FALSE)</f>
        <v>25175</v>
      </c>
      <c r="F1939" s="333"/>
      <c r="G1939" s="221"/>
      <c r="H1939" s="157"/>
      <c r="I1939" s="157"/>
      <c r="J1939" s="157">
        <v>263</v>
      </c>
      <c r="K1939" s="157">
        <v>53</v>
      </c>
      <c r="L1939" s="157"/>
      <c r="M1939" s="157">
        <v>53</v>
      </c>
      <c r="N1939" s="157"/>
      <c r="O1939" s="157"/>
      <c r="P1939" s="157"/>
      <c r="Q1939" s="157"/>
      <c r="R1939" s="157"/>
      <c r="S1939" s="157"/>
      <c r="T1939" s="157"/>
      <c r="U1939" s="157"/>
      <c r="V1939" s="158"/>
      <c r="W1939" s="182"/>
      <c r="X1939" s="1"/>
      <c r="Y1939" s="78">
        <f t="shared" si="243"/>
        <v>0</v>
      </c>
      <c r="Z1939" s="78">
        <f t="shared" si="244"/>
        <v>0</v>
      </c>
      <c r="AA1939" s="78">
        <f t="shared" si="242"/>
        <v>0</v>
      </c>
      <c r="AB1939" s="78">
        <f t="shared" si="245"/>
        <v>0</v>
      </c>
      <c r="AC1939" s="78"/>
      <c r="AD1939" s="78">
        <v>0</v>
      </c>
      <c r="AE1939" s="80">
        <f t="shared" si="248"/>
        <v>0</v>
      </c>
      <c r="AF1939" s="82">
        <v>0</v>
      </c>
      <c r="AG1939" s="69">
        <v>40512</v>
      </c>
      <c r="AH1939" s="84"/>
      <c r="AI1939" s="69" t="s">
        <v>1984</v>
      </c>
      <c r="AJ1939" s="25" t="s">
        <v>1985</v>
      </c>
      <c r="AK1939" s="65"/>
      <c r="AL1939" s="176" t="s">
        <v>1257</v>
      </c>
      <c r="AM1939" s="173" t="s">
        <v>517</v>
      </c>
      <c r="AN1939" s="159"/>
      <c r="AO1939" s="160"/>
      <c r="AP1939" s="161"/>
      <c r="AQ1939" s="160"/>
      <c r="AR1939" s="160"/>
      <c r="AS1939" s="160"/>
      <c r="AT1939" s="160"/>
      <c r="AU1939" s="160"/>
      <c r="AV1939" s="160"/>
      <c r="AW1939" s="160"/>
      <c r="AX1939" s="160"/>
      <c r="AY1939" s="160"/>
      <c r="AZ1939" s="160"/>
      <c r="BA1939" s="160"/>
      <c r="BB1939" s="160"/>
      <c r="BC1939" s="160"/>
      <c r="BD1939" s="160"/>
      <c r="BE1939" s="160"/>
      <c r="BF1939" s="160"/>
      <c r="BG1939" s="160"/>
      <c r="BH1939" s="160"/>
      <c r="BI1939" s="160"/>
      <c r="BJ1939" s="160"/>
      <c r="BK1939" s="160"/>
      <c r="BL1939" s="160"/>
      <c r="BM1939" s="160"/>
      <c r="BN1939" s="160"/>
      <c r="BO1939" s="160"/>
      <c r="BP1939" s="160"/>
      <c r="BQ1939" s="160"/>
      <c r="BR1939" s="160"/>
      <c r="BS1939" s="160"/>
      <c r="BT1939" s="160"/>
      <c r="BU1939" s="160"/>
      <c r="BV1939" s="160"/>
      <c r="BW1939" s="160"/>
      <c r="BX1939" s="160"/>
      <c r="BY1939" s="160"/>
      <c r="BZ1939" s="160"/>
      <c r="CA1939" s="160"/>
      <c r="CB1939" s="160"/>
      <c r="CC1939" s="160"/>
      <c r="CD1939" s="160"/>
      <c r="CE1939" s="160"/>
      <c r="CF1939" s="160"/>
      <c r="CG1939" s="160"/>
      <c r="CH1939" s="160"/>
      <c r="CI1939" s="160"/>
      <c r="CJ1939" s="160"/>
      <c r="CK1939" s="160"/>
      <c r="CL1939" s="160"/>
      <c r="CM1939" s="160"/>
      <c r="CN1939" s="160"/>
      <c r="CO1939" s="160"/>
      <c r="CP1939" s="162"/>
      <c r="CQ1939" s="163"/>
      <c r="CR1939" s="162"/>
      <c r="CS1939" s="163"/>
      <c r="CT1939" s="162"/>
      <c r="CU1939" s="163"/>
      <c r="CV1939" s="164">
        <f t="shared" si="246"/>
        <v>0</v>
      </c>
      <c r="CW1939" s="165"/>
      <c r="CX1939" s="166"/>
      <c r="CY1939" s="167"/>
      <c r="CZ1939" s="168"/>
      <c r="DA1939" s="169"/>
      <c r="DB1939" s="168"/>
      <c r="DC1939" s="165"/>
      <c r="DD1939" s="166"/>
      <c r="DE1939" s="71"/>
      <c r="DF1939" s="170"/>
      <c r="EO1939" s="375" t="str">
        <f t="shared" si="247"/>
        <v>CUNDINAMARCA_CHIA</v>
      </c>
      <c r="EP1939" s="376"/>
      <c r="EQ1939" s="376"/>
      <c r="ER1939" s="377"/>
      <c r="ES1939" s="376"/>
      <c r="ET1939" s="376"/>
      <c r="EU1939" s="376"/>
    </row>
    <row r="1940" spans="1:151" s="171" customFormat="1" ht="38.25" x14ac:dyDescent="0.2">
      <c r="A1940" s="242">
        <v>40512</v>
      </c>
      <c r="B1940" s="222" t="s">
        <v>2007</v>
      </c>
      <c r="C1940" s="222" t="s">
        <v>519</v>
      </c>
      <c r="D1940" s="430" t="s">
        <v>837</v>
      </c>
      <c r="E1940" s="107" t="str">
        <f>VLOOKUP(B1940&amp;C1940,Divipola!$C$2:$F$1138,4,FALSE)</f>
        <v>25769</v>
      </c>
      <c r="F1940" s="333"/>
      <c r="G1940" s="221"/>
      <c r="H1940" s="157"/>
      <c r="I1940" s="157"/>
      <c r="J1940" s="157">
        <v>15</v>
      </c>
      <c r="K1940" s="157">
        <v>3</v>
      </c>
      <c r="L1940" s="157"/>
      <c r="M1940" s="157">
        <v>3</v>
      </c>
      <c r="N1940" s="157"/>
      <c r="O1940" s="157"/>
      <c r="P1940" s="157"/>
      <c r="Q1940" s="157"/>
      <c r="R1940" s="157"/>
      <c r="S1940" s="157"/>
      <c r="T1940" s="157"/>
      <c r="U1940" s="157"/>
      <c r="V1940" s="158"/>
      <c r="W1940" s="182"/>
      <c r="X1940" s="1"/>
      <c r="Y1940" s="78">
        <f t="shared" si="243"/>
        <v>0</v>
      </c>
      <c r="Z1940" s="78">
        <f t="shared" si="244"/>
        <v>0</v>
      </c>
      <c r="AA1940" s="78">
        <f t="shared" si="242"/>
        <v>0</v>
      </c>
      <c r="AB1940" s="78">
        <f t="shared" si="245"/>
        <v>0</v>
      </c>
      <c r="AC1940" s="78"/>
      <c r="AD1940" s="78">
        <v>0</v>
      </c>
      <c r="AE1940" s="80">
        <f t="shared" si="248"/>
        <v>0</v>
      </c>
      <c r="AF1940" s="82">
        <v>0</v>
      </c>
      <c r="AG1940" s="69">
        <v>40512</v>
      </c>
      <c r="AH1940" s="84"/>
      <c r="AI1940" s="69" t="s">
        <v>1984</v>
      </c>
      <c r="AJ1940" s="25" t="s">
        <v>1985</v>
      </c>
      <c r="AK1940" s="65"/>
      <c r="AL1940" s="176" t="s">
        <v>1257</v>
      </c>
      <c r="AM1940" s="173" t="s">
        <v>520</v>
      </c>
      <c r="AN1940" s="159"/>
      <c r="AO1940" s="160"/>
      <c r="AP1940" s="161"/>
      <c r="AQ1940" s="160"/>
      <c r="AR1940" s="160"/>
      <c r="AS1940" s="160"/>
      <c r="AT1940" s="160"/>
      <c r="AU1940" s="160"/>
      <c r="AV1940" s="160"/>
      <c r="AW1940" s="160"/>
      <c r="AX1940" s="160"/>
      <c r="AY1940" s="160"/>
      <c r="AZ1940" s="160"/>
      <c r="BA1940" s="160"/>
      <c r="BB1940" s="160"/>
      <c r="BC1940" s="160"/>
      <c r="BD1940" s="160"/>
      <c r="BE1940" s="160"/>
      <c r="BF1940" s="160"/>
      <c r="BG1940" s="160"/>
      <c r="BH1940" s="160"/>
      <c r="BI1940" s="160"/>
      <c r="BJ1940" s="160"/>
      <c r="BK1940" s="160"/>
      <c r="BL1940" s="160"/>
      <c r="BM1940" s="160"/>
      <c r="BN1940" s="160"/>
      <c r="BO1940" s="160"/>
      <c r="BP1940" s="160"/>
      <c r="BQ1940" s="160"/>
      <c r="BR1940" s="160"/>
      <c r="BS1940" s="160"/>
      <c r="BT1940" s="160"/>
      <c r="BU1940" s="160"/>
      <c r="BV1940" s="160"/>
      <c r="BW1940" s="160"/>
      <c r="BX1940" s="160"/>
      <c r="BY1940" s="160"/>
      <c r="BZ1940" s="160"/>
      <c r="CA1940" s="160"/>
      <c r="CB1940" s="160"/>
      <c r="CC1940" s="160"/>
      <c r="CD1940" s="160"/>
      <c r="CE1940" s="160"/>
      <c r="CF1940" s="160"/>
      <c r="CG1940" s="160"/>
      <c r="CH1940" s="160"/>
      <c r="CI1940" s="160"/>
      <c r="CJ1940" s="160"/>
      <c r="CK1940" s="160"/>
      <c r="CL1940" s="160"/>
      <c r="CM1940" s="160"/>
      <c r="CN1940" s="160"/>
      <c r="CO1940" s="160"/>
      <c r="CP1940" s="162"/>
      <c r="CQ1940" s="163"/>
      <c r="CR1940" s="162"/>
      <c r="CS1940" s="163"/>
      <c r="CT1940" s="162"/>
      <c r="CU1940" s="163"/>
      <c r="CV1940" s="164">
        <f t="shared" si="246"/>
        <v>0</v>
      </c>
      <c r="CW1940" s="165"/>
      <c r="CX1940" s="166"/>
      <c r="CY1940" s="167"/>
      <c r="CZ1940" s="168"/>
      <c r="DA1940" s="169"/>
      <c r="DB1940" s="168"/>
      <c r="DC1940" s="165"/>
      <c r="DD1940" s="166"/>
      <c r="DE1940" s="71"/>
      <c r="DF1940" s="170"/>
      <c r="EO1940" s="375" t="str">
        <f t="shared" si="247"/>
        <v>CUNDINAMARCA_SUBACHOQUE</v>
      </c>
      <c r="EP1940" s="376"/>
      <c r="EQ1940" s="376"/>
      <c r="ER1940" s="377"/>
      <c r="ES1940" s="376"/>
      <c r="ET1940" s="376"/>
      <c r="EU1940" s="376"/>
    </row>
    <row r="1941" spans="1:151" s="171" customFormat="1" ht="38.25" x14ac:dyDescent="0.2">
      <c r="A1941" s="242">
        <v>40512</v>
      </c>
      <c r="B1941" s="222" t="s">
        <v>2007</v>
      </c>
      <c r="C1941" s="222" t="s">
        <v>2885</v>
      </c>
      <c r="D1941" s="430" t="s">
        <v>837</v>
      </c>
      <c r="E1941" s="107" t="str">
        <f>VLOOKUP(B1941&amp;C1941,Divipola!$C$2:$F$1138,4,FALSE)</f>
        <v>25843</v>
      </c>
      <c r="F1941" s="333"/>
      <c r="G1941" s="221"/>
      <c r="H1941" s="157"/>
      <c r="I1941" s="157"/>
      <c r="J1941" s="157">
        <v>201</v>
      </c>
      <c r="K1941" s="157">
        <v>107</v>
      </c>
      <c r="L1941" s="157"/>
      <c r="M1941" s="157">
        <v>13</v>
      </c>
      <c r="N1941" s="157"/>
      <c r="O1941" s="157"/>
      <c r="P1941" s="157"/>
      <c r="Q1941" s="157"/>
      <c r="R1941" s="157"/>
      <c r="S1941" s="157"/>
      <c r="T1941" s="157"/>
      <c r="U1941" s="157"/>
      <c r="V1941" s="158"/>
      <c r="W1941" s="182"/>
      <c r="X1941" s="1"/>
      <c r="Y1941" s="78">
        <f t="shared" si="243"/>
        <v>0</v>
      </c>
      <c r="Z1941" s="78">
        <f t="shared" si="244"/>
        <v>0</v>
      </c>
      <c r="AA1941" s="78">
        <f t="shared" si="242"/>
        <v>0</v>
      </c>
      <c r="AB1941" s="78">
        <f t="shared" si="245"/>
        <v>0</v>
      </c>
      <c r="AC1941" s="78"/>
      <c r="AD1941" s="78">
        <v>0</v>
      </c>
      <c r="AE1941" s="80">
        <f t="shared" si="248"/>
        <v>0</v>
      </c>
      <c r="AF1941" s="82">
        <v>0</v>
      </c>
      <c r="AG1941" s="69">
        <v>40512</v>
      </c>
      <c r="AH1941" s="84"/>
      <c r="AI1941" s="69" t="s">
        <v>1984</v>
      </c>
      <c r="AJ1941" s="25" t="s">
        <v>1985</v>
      </c>
      <c r="AK1941" s="65"/>
      <c r="AL1941" s="176" t="s">
        <v>1257</v>
      </c>
      <c r="AM1941" s="173" t="s">
        <v>516</v>
      </c>
      <c r="AN1941" s="159"/>
      <c r="AO1941" s="160"/>
      <c r="AP1941" s="161"/>
      <c r="AQ1941" s="160"/>
      <c r="AR1941" s="160"/>
      <c r="AS1941" s="160"/>
      <c r="AT1941" s="160"/>
      <c r="AU1941" s="160"/>
      <c r="AV1941" s="160"/>
      <c r="AW1941" s="160"/>
      <c r="AX1941" s="160"/>
      <c r="AY1941" s="160"/>
      <c r="AZ1941" s="160"/>
      <c r="BA1941" s="160"/>
      <c r="BB1941" s="160"/>
      <c r="BC1941" s="160"/>
      <c r="BD1941" s="160"/>
      <c r="BE1941" s="160"/>
      <c r="BF1941" s="160"/>
      <c r="BG1941" s="160"/>
      <c r="BH1941" s="160"/>
      <c r="BI1941" s="160"/>
      <c r="BJ1941" s="160"/>
      <c r="BK1941" s="160"/>
      <c r="BL1941" s="160"/>
      <c r="BM1941" s="160"/>
      <c r="BN1941" s="160"/>
      <c r="BO1941" s="160"/>
      <c r="BP1941" s="160"/>
      <c r="BQ1941" s="160"/>
      <c r="BR1941" s="160"/>
      <c r="BS1941" s="160"/>
      <c r="BT1941" s="160"/>
      <c r="BU1941" s="160"/>
      <c r="BV1941" s="160"/>
      <c r="BW1941" s="160"/>
      <c r="BX1941" s="160"/>
      <c r="BY1941" s="160"/>
      <c r="BZ1941" s="160"/>
      <c r="CA1941" s="160"/>
      <c r="CB1941" s="160"/>
      <c r="CC1941" s="160"/>
      <c r="CD1941" s="160"/>
      <c r="CE1941" s="160"/>
      <c r="CF1941" s="160"/>
      <c r="CG1941" s="160"/>
      <c r="CH1941" s="160"/>
      <c r="CI1941" s="160"/>
      <c r="CJ1941" s="160"/>
      <c r="CK1941" s="160"/>
      <c r="CL1941" s="160"/>
      <c r="CM1941" s="160"/>
      <c r="CN1941" s="160"/>
      <c r="CO1941" s="160"/>
      <c r="CP1941" s="162"/>
      <c r="CQ1941" s="163"/>
      <c r="CR1941" s="162"/>
      <c r="CS1941" s="163"/>
      <c r="CT1941" s="162"/>
      <c r="CU1941" s="163"/>
      <c r="CV1941" s="164">
        <f t="shared" si="246"/>
        <v>0</v>
      </c>
      <c r="CW1941" s="165"/>
      <c r="CX1941" s="166"/>
      <c r="CY1941" s="167"/>
      <c r="CZ1941" s="168"/>
      <c r="DA1941" s="169"/>
      <c r="DB1941" s="168"/>
      <c r="DC1941" s="165"/>
      <c r="DD1941" s="166"/>
      <c r="DE1941" s="71"/>
      <c r="DF1941" s="170"/>
      <c r="EO1941" s="375" t="str">
        <f t="shared" si="247"/>
        <v>CUNDINAMARCA_UBATE</v>
      </c>
      <c r="EP1941" s="376"/>
      <c r="EQ1941" s="376"/>
      <c r="ER1941" s="377"/>
      <c r="ES1941" s="376"/>
      <c r="ET1941" s="376"/>
      <c r="EU1941" s="376"/>
    </row>
    <row r="1942" spans="1:151" s="171" customFormat="1" ht="25.5" x14ac:dyDescent="0.2">
      <c r="A1942" s="242">
        <v>40512</v>
      </c>
      <c r="B1942" s="222" t="s">
        <v>1333</v>
      </c>
      <c r="C1942" s="222" t="s">
        <v>926</v>
      </c>
      <c r="D1942" s="430" t="s">
        <v>837</v>
      </c>
      <c r="E1942" s="107" t="str">
        <f>VLOOKUP(B1942&amp;C1942,Divipola!$C$2:$F$1138,4,FALSE)</f>
        <v>41799</v>
      </c>
      <c r="F1942" s="333"/>
      <c r="G1942" s="221"/>
      <c r="H1942" s="157"/>
      <c r="I1942" s="157"/>
      <c r="J1942" s="157">
        <v>130</v>
      </c>
      <c r="K1942" s="157">
        <v>26</v>
      </c>
      <c r="L1942" s="157">
        <v>2</v>
      </c>
      <c r="M1942" s="157">
        <v>24</v>
      </c>
      <c r="N1942" s="157">
        <v>9</v>
      </c>
      <c r="O1942" s="157"/>
      <c r="P1942" s="157"/>
      <c r="Q1942" s="157">
        <v>1</v>
      </c>
      <c r="R1942" s="157"/>
      <c r="S1942" s="157"/>
      <c r="T1942" s="157"/>
      <c r="U1942" s="157"/>
      <c r="V1942" s="158"/>
      <c r="W1942" s="182"/>
      <c r="X1942" s="1"/>
      <c r="Y1942" s="78">
        <f t="shared" si="243"/>
        <v>0</v>
      </c>
      <c r="Z1942" s="78">
        <f t="shared" si="244"/>
        <v>0</v>
      </c>
      <c r="AA1942" s="78">
        <f t="shared" si="242"/>
        <v>0</v>
      </c>
      <c r="AB1942" s="78">
        <f t="shared" si="245"/>
        <v>0</v>
      </c>
      <c r="AC1942" s="78"/>
      <c r="AD1942" s="78">
        <v>0</v>
      </c>
      <c r="AE1942" s="80">
        <f t="shared" si="248"/>
        <v>0</v>
      </c>
      <c r="AF1942" s="82">
        <v>0</v>
      </c>
      <c r="AG1942" s="69">
        <v>40581</v>
      </c>
      <c r="AH1942" s="84"/>
      <c r="AI1942" s="69" t="s">
        <v>1984</v>
      </c>
      <c r="AJ1942" s="25" t="s">
        <v>1985</v>
      </c>
      <c r="AK1942" s="65"/>
      <c r="AL1942" s="176" t="s">
        <v>1257</v>
      </c>
      <c r="AM1942" s="173" t="s">
        <v>349</v>
      </c>
      <c r="AN1942" s="159"/>
      <c r="AO1942" s="160"/>
      <c r="AP1942" s="161"/>
      <c r="AQ1942" s="160"/>
      <c r="AR1942" s="160"/>
      <c r="AS1942" s="160"/>
      <c r="AT1942" s="160"/>
      <c r="AU1942" s="160"/>
      <c r="AV1942" s="160"/>
      <c r="AW1942" s="160"/>
      <c r="AX1942" s="160"/>
      <c r="AY1942" s="160"/>
      <c r="AZ1942" s="160"/>
      <c r="BA1942" s="160"/>
      <c r="BB1942" s="160"/>
      <c r="BC1942" s="160"/>
      <c r="BD1942" s="160"/>
      <c r="BE1942" s="160"/>
      <c r="BF1942" s="160"/>
      <c r="BG1942" s="160"/>
      <c r="BH1942" s="160"/>
      <c r="BI1942" s="160"/>
      <c r="BJ1942" s="160"/>
      <c r="BK1942" s="160"/>
      <c r="BL1942" s="160"/>
      <c r="BM1942" s="160"/>
      <c r="BN1942" s="160"/>
      <c r="BO1942" s="160"/>
      <c r="BP1942" s="160"/>
      <c r="BQ1942" s="160"/>
      <c r="BR1942" s="160"/>
      <c r="BS1942" s="160"/>
      <c r="BT1942" s="160"/>
      <c r="BU1942" s="160"/>
      <c r="BV1942" s="160"/>
      <c r="BW1942" s="160"/>
      <c r="BX1942" s="160"/>
      <c r="BY1942" s="160"/>
      <c r="BZ1942" s="160"/>
      <c r="CA1942" s="160"/>
      <c r="CB1942" s="160"/>
      <c r="CC1942" s="160"/>
      <c r="CD1942" s="160"/>
      <c r="CE1942" s="160"/>
      <c r="CF1942" s="160"/>
      <c r="CG1942" s="160"/>
      <c r="CH1942" s="160"/>
      <c r="CI1942" s="160"/>
      <c r="CJ1942" s="160"/>
      <c r="CK1942" s="160"/>
      <c r="CL1942" s="160"/>
      <c r="CM1942" s="160"/>
      <c r="CN1942" s="160"/>
      <c r="CO1942" s="160"/>
      <c r="CP1942" s="162"/>
      <c r="CQ1942" s="163"/>
      <c r="CR1942" s="162"/>
      <c r="CS1942" s="163"/>
      <c r="CT1942" s="162"/>
      <c r="CU1942" s="163"/>
      <c r="CV1942" s="164">
        <f t="shared" si="246"/>
        <v>0</v>
      </c>
      <c r="CW1942" s="165"/>
      <c r="CX1942" s="166"/>
      <c r="CY1942" s="167"/>
      <c r="CZ1942" s="168"/>
      <c r="DA1942" s="169"/>
      <c r="DB1942" s="168"/>
      <c r="DC1942" s="165"/>
      <c r="DD1942" s="166"/>
      <c r="DE1942" s="71"/>
      <c r="DF1942" s="170"/>
      <c r="EO1942" s="375" t="str">
        <f t="shared" si="247"/>
        <v>HUILA_TELLO</v>
      </c>
      <c r="EP1942" s="376"/>
      <c r="EQ1942" s="376"/>
      <c r="ER1942" s="377"/>
      <c r="ES1942" s="376"/>
      <c r="ET1942" s="376"/>
      <c r="EU1942" s="376"/>
    </row>
    <row r="1943" spans="1:151" s="171" customFormat="1" ht="38.25" x14ac:dyDescent="0.2">
      <c r="A1943" s="242">
        <v>40512</v>
      </c>
      <c r="B1943" s="107" t="s">
        <v>5778</v>
      </c>
      <c r="C1943" s="222" t="s">
        <v>600</v>
      </c>
      <c r="D1943" s="430" t="s">
        <v>837</v>
      </c>
      <c r="E1943" s="107" t="str">
        <f>VLOOKUP(B1943&amp;C1943,Divipola!$C$2:$F$1138,4,FALSE)</f>
        <v>44035</v>
      </c>
      <c r="F1943" s="333"/>
      <c r="G1943" s="221"/>
      <c r="H1943" s="157"/>
      <c r="I1943" s="157"/>
      <c r="J1943" s="157">
        <f>27*5</f>
        <v>135</v>
      </c>
      <c r="K1943" s="157">
        <f>227-95-105</f>
        <v>27</v>
      </c>
      <c r="L1943" s="157"/>
      <c r="M1943" s="157"/>
      <c r="N1943" s="157"/>
      <c r="O1943" s="157"/>
      <c r="P1943" s="157"/>
      <c r="Q1943" s="157"/>
      <c r="R1943" s="157"/>
      <c r="S1943" s="157"/>
      <c r="T1943" s="157"/>
      <c r="U1943" s="157"/>
      <c r="V1943" s="158"/>
      <c r="W1943" s="182"/>
      <c r="X1943" s="1"/>
      <c r="Y1943" s="78">
        <f t="shared" si="243"/>
        <v>0</v>
      </c>
      <c r="Z1943" s="78">
        <f t="shared" si="244"/>
        <v>0</v>
      </c>
      <c r="AA1943" s="78">
        <f t="shared" si="242"/>
        <v>0</v>
      </c>
      <c r="AB1943" s="78">
        <f t="shared" si="245"/>
        <v>0</v>
      </c>
      <c r="AC1943" s="78"/>
      <c r="AD1943" s="78">
        <v>0</v>
      </c>
      <c r="AE1943" s="80">
        <f t="shared" si="248"/>
        <v>0</v>
      </c>
      <c r="AF1943" s="82">
        <v>0</v>
      </c>
      <c r="AG1943" s="69">
        <v>40562</v>
      </c>
      <c r="AH1943" s="84">
        <v>3905</v>
      </c>
      <c r="AI1943" s="69" t="s">
        <v>1984</v>
      </c>
      <c r="AJ1943" s="25" t="s">
        <v>1985</v>
      </c>
      <c r="AK1943" s="65"/>
      <c r="AL1943" s="176" t="s">
        <v>323</v>
      </c>
      <c r="AM1943" s="173" t="s">
        <v>1268</v>
      </c>
      <c r="AN1943" s="159"/>
      <c r="AO1943" s="160"/>
      <c r="AP1943" s="161"/>
      <c r="AQ1943" s="160"/>
      <c r="AR1943" s="160"/>
      <c r="AS1943" s="160"/>
      <c r="AT1943" s="160"/>
      <c r="AU1943" s="160"/>
      <c r="AV1943" s="160"/>
      <c r="AW1943" s="160"/>
      <c r="AX1943" s="160"/>
      <c r="AY1943" s="160"/>
      <c r="AZ1943" s="160"/>
      <c r="BA1943" s="160"/>
      <c r="BB1943" s="160"/>
      <c r="BC1943" s="160"/>
      <c r="BD1943" s="160"/>
      <c r="BE1943" s="160"/>
      <c r="BF1943" s="160"/>
      <c r="BG1943" s="160"/>
      <c r="BH1943" s="160"/>
      <c r="BI1943" s="160"/>
      <c r="BJ1943" s="160"/>
      <c r="BK1943" s="160"/>
      <c r="BL1943" s="160"/>
      <c r="BM1943" s="160"/>
      <c r="BN1943" s="160"/>
      <c r="BO1943" s="160"/>
      <c r="BP1943" s="160"/>
      <c r="BQ1943" s="160"/>
      <c r="BR1943" s="160"/>
      <c r="BS1943" s="160"/>
      <c r="BT1943" s="160"/>
      <c r="BU1943" s="160"/>
      <c r="BV1943" s="160"/>
      <c r="BW1943" s="160"/>
      <c r="BX1943" s="160"/>
      <c r="BY1943" s="160"/>
      <c r="BZ1943" s="160"/>
      <c r="CA1943" s="160"/>
      <c r="CB1943" s="160"/>
      <c r="CC1943" s="160"/>
      <c r="CD1943" s="160"/>
      <c r="CE1943" s="160"/>
      <c r="CF1943" s="160"/>
      <c r="CG1943" s="160"/>
      <c r="CH1943" s="160"/>
      <c r="CI1943" s="160"/>
      <c r="CJ1943" s="160"/>
      <c r="CK1943" s="160"/>
      <c r="CL1943" s="160"/>
      <c r="CM1943" s="160"/>
      <c r="CN1943" s="160"/>
      <c r="CO1943" s="160"/>
      <c r="CP1943" s="162"/>
      <c r="CQ1943" s="163"/>
      <c r="CR1943" s="162"/>
      <c r="CS1943" s="163"/>
      <c r="CT1943" s="162"/>
      <c r="CU1943" s="163"/>
      <c r="CV1943" s="164">
        <f t="shared" si="246"/>
        <v>0</v>
      </c>
      <c r="CW1943" s="165"/>
      <c r="CX1943" s="166"/>
      <c r="CY1943" s="167"/>
      <c r="CZ1943" s="168"/>
      <c r="DA1943" s="169"/>
      <c r="DB1943" s="168"/>
      <c r="DC1943" s="165"/>
      <c r="DD1943" s="166"/>
      <c r="DE1943" s="71"/>
      <c r="DF1943" s="170">
        <v>1543</v>
      </c>
      <c r="EO1943" s="375" t="str">
        <f t="shared" si="247"/>
        <v>LA GUAJIRA_ALBANIA</v>
      </c>
      <c r="EP1943" s="376"/>
      <c r="EQ1943" s="376"/>
      <c r="ER1943" s="377"/>
      <c r="ES1943" s="376"/>
      <c r="ET1943" s="376"/>
      <c r="EU1943" s="376"/>
    </row>
    <row r="1944" spans="1:151" s="171" customFormat="1" ht="25.5" x14ac:dyDescent="0.2">
      <c r="A1944" s="242">
        <v>40512</v>
      </c>
      <c r="B1944" s="222" t="s">
        <v>2245</v>
      </c>
      <c r="C1944" s="222" t="s">
        <v>559</v>
      </c>
      <c r="D1944" s="430" t="s">
        <v>2307</v>
      </c>
      <c r="E1944" s="107" t="str">
        <f>VLOOKUP(B1944&amp;C1944,Divipola!$C$2:$F$1138,4,FALSE)</f>
        <v>52240</v>
      </c>
      <c r="F1944" s="333"/>
      <c r="G1944" s="221"/>
      <c r="H1944" s="157"/>
      <c r="I1944" s="157"/>
      <c r="J1944" s="157">
        <v>765</v>
      </c>
      <c r="K1944" s="157">
        <v>195</v>
      </c>
      <c r="L1944" s="157">
        <v>6</v>
      </c>
      <c r="M1944" s="157">
        <v>189</v>
      </c>
      <c r="N1944" s="157"/>
      <c r="O1944" s="157"/>
      <c r="P1944" s="157"/>
      <c r="Q1944" s="157"/>
      <c r="R1944" s="157"/>
      <c r="S1944" s="157"/>
      <c r="T1944" s="157"/>
      <c r="U1944" s="157"/>
      <c r="V1944" s="158"/>
      <c r="W1944" s="182"/>
      <c r="X1944" s="1"/>
      <c r="Y1944" s="78">
        <f t="shared" si="243"/>
        <v>0</v>
      </c>
      <c r="Z1944" s="78">
        <f t="shared" si="244"/>
        <v>0</v>
      </c>
      <c r="AA1944" s="78">
        <f t="shared" si="242"/>
        <v>0</v>
      </c>
      <c r="AB1944" s="78">
        <f t="shared" si="245"/>
        <v>0</v>
      </c>
      <c r="AC1944" s="78"/>
      <c r="AD1944" s="78">
        <v>0</v>
      </c>
      <c r="AE1944" s="80">
        <f t="shared" si="248"/>
        <v>0</v>
      </c>
      <c r="AF1944" s="82">
        <v>0</v>
      </c>
      <c r="AG1944" s="69">
        <v>40512</v>
      </c>
      <c r="AH1944" s="84"/>
      <c r="AI1944" s="69" t="s">
        <v>1984</v>
      </c>
      <c r="AJ1944" s="25" t="s">
        <v>1985</v>
      </c>
      <c r="AK1944" s="65"/>
      <c r="AL1944" s="176" t="s">
        <v>1257</v>
      </c>
      <c r="AM1944" s="173" t="s">
        <v>560</v>
      </c>
      <c r="AN1944" s="159"/>
      <c r="AO1944" s="160"/>
      <c r="AP1944" s="161"/>
      <c r="AQ1944" s="160"/>
      <c r="AR1944" s="160"/>
      <c r="AS1944" s="160"/>
      <c r="AT1944" s="160"/>
      <c r="AU1944" s="160"/>
      <c r="AV1944" s="160"/>
      <c r="AW1944" s="160"/>
      <c r="AX1944" s="160"/>
      <c r="AY1944" s="160"/>
      <c r="AZ1944" s="160"/>
      <c r="BA1944" s="160"/>
      <c r="BB1944" s="160"/>
      <c r="BC1944" s="160"/>
      <c r="BD1944" s="160"/>
      <c r="BE1944" s="160"/>
      <c r="BF1944" s="160"/>
      <c r="BG1944" s="160"/>
      <c r="BH1944" s="160"/>
      <c r="BI1944" s="160"/>
      <c r="BJ1944" s="160"/>
      <c r="BK1944" s="160"/>
      <c r="BL1944" s="160"/>
      <c r="BM1944" s="160"/>
      <c r="BN1944" s="160"/>
      <c r="BO1944" s="160"/>
      <c r="BP1944" s="160"/>
      <c r="BQ1944" s="160"/>
      <c r="BR1944" s="160"/>
      <c r="BS1944" s="160"/>
      <c r="BT1944" s="160"/>
      <c r="BU1944" s="160"/>
      <c r="BV1944" s="160"/>
      <c r="BW1944" s="160"/>
      <c r="BX1944" s="160"/>
      <c r="BY1944" s="160"/>
      <c r="BZ1944" s="160"/>
      <c r="CA1944" s="160"/>
      <c r="CB1944" s="160"/>
      <c r="CC1944" s="160"/>
      <c r="CD1944" s="160"/>
      <c r="CE1944" s="160"/>
      <c r="CF1944" s="160"/>
      <c r="CG1944" s="160"/>
      <c r="CH1944" s="160"/>
      <c r="CI1944" s="160"/>
      <c r="CJ1944" s="160"/>
      <c r="CK1944" s="160"/>
      <c r="CL1944" s="160"/>
      <c r="CM1944" s="160"/>
      <c r="CN1944" s="160"/>
      <c r="CO1944" s="160"/>
      <c r="CP1944" s="162"/>
      <c r="CQ1944" s="163"/>
      <c r="CR1944" s="162"/>
      <c r="CS1944" s="163"/>
      <c r="CT1944" s="162"/>
      <c r="CU1944" s="163"/>
      <c r="CV1944" s="164">
        <f t="shared" si="246"/>
        <v>0</v>
      </c>
      <c r="CW1944" s="165"/>
      <c r="CX1944" s="166"/>
      <c r="CY1944" s="167"/>
      <c r="CZ1944" s="168"/>
      <c r="DA1944" s="169"/>
      <c r="DB1944" s="168"/>
      <c r="DC1944" s="165"/>
      <c r="DD1944" s="166"/>
      <c r="DE1944" s="71"/>
      <c r="DF1944" s="170"/>
      <c r="EO1944" s="375" t="str">
        <f t="shared" si="247"/>
        <v>NARIÑO_CHACHAGUI</v>
      </c>
      <c r="EP1944" s="376"/>
      <c r="EQ1944" s="376"/>
      <c r="ER1944" s="377"/>
      <c r="ES1944" s="376"/>
      <c r="ET1944" s="376"/>
      <c r="EU1944" s="376"/>
    </row>
    <row r="1945" spans="1:151" s="171" customFormat="1" ht="36" x14ac:dyDescent="0.2">
      <c r="A1945" s="242">
        <v>40512</v>
      </c>
      <c r="B1945" s="222" t="s">
        <v>2245</v>
      </c>
      <c r="C1945" s="222" t="s">
        <v>170</v>
      </c>
      <c r="D1945" s="430" t="s">
        <v>2307</v>
      </c>
      <c r="E1945" s="107" t="str">
        <f>VLOOKUP(B1945&amp;C1945,Divipola!$C$2:$F$1138,4,FALSE)</f>
        <v>52260</v>
      </c>
      <c r="F1945" s="333"/>
      <c r="G1945" s="221"/>
      <c r="H1945" s="157"/>
      <c r="I1945" s="157"/>
      <c r="J1945" s="157">
        <v>339</v>
      </c>
      <c r="K1945" s="157">
        <v>89</v>
      </c>
      <c r="L1945" s="157">
        <v>19</v>
      </c>
      <c r="M1945" s="157">
        <v>70</v>
      </c>
      <c r="N1945" s="157">
        <v>4</v>
      </c>
      <c r="O1945" s="157"/>
      <c r="P1945" s="157"/>
      <c r="Q1945" s="157">
        <v>3</v>
      </c>
      <c r="R1945" s="157"/>
      <c r="S1945" s="157"/>
      <c r="T1945" s="157">
        <v>1</v>
      </c>
      <c r="U1945" s="157"/>
      <c r="V1945" s="158"/>
      <c r="W1945" s="182"/>
      <c r="X1945" s="1"/>
      <c r="Y1945" s="78">
        <f t="shared" si="243"/>
        <v>0</v>
      </c>
      <c r="Z1945" s="78">
        <f t="shared" si="244"/>
        <v>0</v>
      </c>
      <c r="AA1945" s="78">
        <f t="shared" si="242"/>
        <v>0</v>
      </c>
      <c r="AB1945" s="78">
        <f t="shared" si="245"/>
        <v>0</v>
      </c>
      <c r="AC1945" s="78"/>
      <c r="AD1945" s="78">
        <v>0</v>
      </c>
      <c r="AE1945" s="80">
        <f t="shared" si="248"/>
        <v>0</v>
      </c>
      <c r="AF1945" s="82">
        <v>0</v>
      </c>
      <c r="AG1945" s="69">
        <v>40512</v>
      </c>
      <c r="AH1945" s="84"/>
      <c r="AI1945" s="69" t="s">
        <v>1984</v>
      </c>
      <c r="AJ1945" s="25" t="s">
        <v>1985</v>
      </c>
      <c r="AK1945" s="65"/>
      <c r="AL1945" s="176" t="s">
        <v>1257</v>
      </c>
      <c r="AM1945" s="173" t="s">
        <v>561</v>
      </c>
      <c r="AN1945" s="159"/>
      <c r="AO1945" s="160"/>
      <c r="AP1945" s="161"/>
      <c r="AQ1945" s="160"/>
      <c r="AR1945" s="160"/>
      <c r="AS1945" s="160"/>
      <c r="AT1945" s="160"/>
      <c r="AU1945" s="160"/>
      <c r="AV1945" s="160"/>
      <c r="AW1945" s="160"/>
      <c r="AX1945" s="160"/>
      <c r="AY1945" s="160"/>
      <c r="AZ1945" s="160"/>
      <c r="BA1945" s="160"/>
      <c r="BB1945" s="160"/>
      <c r="BC1945" s="160"/>
      <c r="BD1945" s="160"/>
      <c r="BE1945" s="160"/>
      <c r="BF1945" s="160"/>
      <c r="BG1945" s="160"/>
      <c r="BH1945" s="160"/>
      <c r="BI1945" s="160"/>
      <c r="BJ1945" s="160"/>
      <c r="BK1945" s="160"/>
      <c r="BL1945" s="160"/>
      <c r="BM1945" s="160"/>
      <c r="BN1945" s="160"/>
      <c r="BO1945" s="160"/>
      <c r="BP1945" s="160"/>
      <c r="BQ1945" s="160"/>
      <c r="BR1945" s="160"/>
      <c r="BS1945" s="160"/>
      <c r="BT1945" s="160"/>
      <c r="BU1945" s="160"/>
      <c r="BV1945" s="160"/>
      <c r="BW1945" s="160"/>
      <c r="BX1945" s="160"/>
      <c r="BY1945" s="160"/>
      <c r="BZ1945" s="160"/>
      <c r="CA1945" s="160"/>
      <c r="CB1945" s="160"/>
      <c r="CC1945" s="160"/>
      <c r="CD1945" s="160"/>
      <c r="CE1945" s="160"/>
      <c r="CF1945" s="160"/>
      <c r="CG1945" s="160"/>
      <c r="CH1945" s="160"/>
      <c r="CI1945" s="160"/>
      <c r="CJ1945" s="160"/>
      <c r="CK1945" s="160"/>
      <c r="CL1945" s="160"/>
      <c r="CM1945" s="160"/>
      <c r="CN1945" s="160"/>
      <c r="CO1945" s="160"/>
      <c r="CP1945" s="162"/>
      <c r="CQ1945" s="163"/>
      <c r="CR1945" s="162"/>
      <c r="CS1945" s="163"/>
      <c r="CT1945" s="162"/>
      <c r="CU1945" s="163"/>
      <c r="CV1945" s="164">
        <f t="shared" si="246"/>
        <v>0</v>
      </c>
      <c r="CW1945" s="165"/>
      <c r="CX1945" s="166"/>
      <c r="CY1945" s="167"/>
      <c r="CZ1945" s="168"/>
      <c r="DA1945" s="169"/>
      <c r="DB1945" s="168"/>
      <c r="DC1945" s="165"/>
      <c r="DD1945" s="166"/>
      <c r="DE1945" s="71"/>
      <c r="DF1945" s="170"/>
      <c r="EO1945" s="375" t="str">
        <f t="shared" si="247"/>
        <v>NARIÑO_EL TAMBO</v>
      </c>
      <c r="EP1945" s="376"/>
      <c r="EQ1945" s="376"/>
      <c r="ER1945" s="377"/>
      <c r="ES1945" s="376"/>
      <c r="ET1945" s="376"/>
      <c r="EU1945" s="376"/>
    </row>
    <row r="1946" spans="1:151" s="171" customFormat="1" ht="38.25" x14ac:dyDescent="0.2">
      <c r="A1946" s="242">
        <v>40512</v>
      </c>
      <c r="B1946" s="222" t="s">
        <v>1336</v>
      </c>
      <c r="C1946" s="222" t="s">
        <v>1732</v>
      </c>
      <c r="D1946" s="430" t="s">
        <v>837</v>
      </c>
      <c r="E1946" s="107" t="str">
        <f>VLOOKUP(B1946&amp;C1946,Divipola!$C$2:$F$1138,4,FALSE)</f>
        <v>54001</v>
      </c>
      <c r="F1946" s="333"/>
      <c r="G1946" s="221"/>
      <c r="H1946" s="157"/>
      <c r="I1946" s="157"/>
      <c r="J1946" s="157">
        <v>20</v>
      </c>
      <c r="K1946" s="157">
        <v>4</v>
      </c>
      <c r="L1946" s="157"/>
      <c r="M1946" s="157">
        <v>4</v>
      </c>
      <c r="N1946" s="157"/>
      <c r="O1946" s="157"/>
      <c r="P1946" s="157"/>
      <c r="Q1946" s="157"/>
      <c r="R1946" s="157"/>
      <c r="S1946" s="157"/>
      <c r="T1946" s="157"/>
      <c r="U1946" s="157"/>
      <c r="V1946" s="158"/>
      <c r="W1946" s="182"/>
      <c r="X1946" s="1"/>
      <c r="Y1946" s="78">
        <f t="shared" si="243"/>
        <v>0</v>
      </c>
      <c r="Z1946" s="78">
        <f t="shared" si="244"/>
        <v>0</v>
      </c>
      <c r="AA1946" s="78">
        <f t="shared" si="242"/>
        <v>0</v>
      </c>
      <c r="AB1946" s="78">
        <f t="shared" si="245"/>
        <v>0</v>
      </c>
      <c r="AC1946" s="78"/>
      <c r="AD1946" s="78">
        <v>0</v>
      </c>
      <c r="AE1946" s="80">
        <f t="shared" si="248"/>
        <v>0</v>
      </c>
      <c r="AF1946" s="82">
        <v>0</v>
      </c>
      <c r="AG1946" s="69">
        <v>40513</v>
      </c>
      <c r="AH1946" s="84"/>
      <c r="AI1946" s="69" t="s">
        <v>1984</v>
      </c>
      <c r="AJ1946" s="25" t="s">
        <v>1985</v>
      </c>
      <c r="AK1946" s="65"/>
      <c r="AL1946" s="176" t="s">
        <v>1257</v>
      </c>
      <c r="AM1946" s="173" t="s">
        <v>512</v>
      </c>
      <c r="AN1946" s="159"/>
      <c r="AO1946" s="160"/>
      <c r="AP1946" s="161"/>
      <c r="AQ1946" s="160"/>
      <c r="AR1946" s="160"/>
      <c r="AS1946" s="160"/>
      <c r="AT1946" s="160"/>
      <c r="AU1946" s="160"/>
      <c r="AV1946" s="160"/>
      <c r="AW1946" s="160"/>
      <c r="AX1946" s="160"/>
      <c r="AY1946" s="160"/>
      <c r="AZ1946" s="160"/>
      <c r="BA1946" s="160"/>
      <c r="BB1946" s="160"/>
      <c r="BC1946" s="160"/>
      <c r="BD1946" s="160"/>
      <c r="BE1946" s="160"/>
      <c r="BF1946" s="160"/>
      <c r="BG1946" s="160"/>
      <c r="BH1946" s="160"/>
      <c r="BI1946" s="160"/>
      <c r="BJ1946" s="160"/>
      <c r="BK1946" s="160"/>
      <c r="BL1946" s="160"/>
      <c r="BM1946" s="160"/>
      <c r="BN1946" s="160"/>
      <c r="BO1946" s="160"/>
      <c r="BP1946" s="160"/>
      <c r="BQ1946" s="160"/>
      <c r="BR1946" s="160"/>
      <c r="BS1946" s="160"/>
      <c r="BT1946" s="160"/>
      <c r="BU1946" s="160"/>
      <c r="BV1946" s="160"/>
      <c r="BW1946" s="160"/>
      <c r="BX1946" s="160"/>
      <c r="BY1946" s="160"/>
      <c r="BZ1946" s="160"/>
      <c r="CA1946" s="160"/>
      <c r="CB1946" s="160"/>
      <c r="CC1946" s="160"/>
      <c r="CD1946" s="160"/>
      <c r="CE1946" s="160"/>
      <c r="CF1946" s="160"/>
      <c r="CG1946" s="160"/>
      <c r="CH1946" s="160"/>
      <c r="CI1946" s="160"/>
      <c r="CJ1946" s="160"/>
      <c r="CK1946" s="160"/>
      <c r="CL1946" s="160"/>
      <c r="CM1946" s="160"/>
      <c r="CN1946" s="160"/>
      <c r="CO1946" s="160"/>
      <c r="CP1946" s="162"/>
      <c r="CQ1946" s="163"/>
      <c r="CR1946" s="162"/>
      <c r="CS1946" s="163"/>
      <c r="CT1946" s="162"/>
      <c r="CU1946" s="163"/>
      <c r="CV1946" s="164">
        <f t="shared" si="246"/>
        <v>0</v>
      </c>
      <c r="CW1946" s="165"/>
      <c r="CX1946" s="166"/>
      <c r="CY1946" s="167"/>
      <c r="CZ1946" s="168"/>
      <c r="DA1946" s="169"/>
      <c r="DB1946" s="168"/>
      <c r="DC1946" s="165"/>
      <c r="DD1946" s="166"/>
      <c r="DE1946" s="71"/>
      <c r="DF1946" s="170"/>
      <c r="EO1946" s="375" t="str">
        <f t="shared" si="247"/>
        <v>NORTE DE SANTANDER_CUCUTA</v>
      </c>
      <c r="EP1946" s="376"/>
      <c r="EQ1946" s="376"/>
      <c r="ER1946" s="377"/>
      <c r="ES1946" s="376"/>
      <c r="ET1946" s="376"/>
      <c r="EU1946" s="376"/>
    </row>
    <row r="1947" spans="1:151" s="171" customFormat="1" ht="63.75" x14ac:dyDescent="0.2">
      <c r="A1947" s="242">
        <v>40512</v>
      </c>
      <c r="B1947" s="222" t="s">
        <v>1336</v>
      </c>
      <c r="C1947" s="222" t="s">
        <v>483</v>
      </c>
      <c r="D1947" s="430" t="s">
        <v>837</v>
      </c>
      <c r="E1947" s="107" t="str">
        <f>VLOOKUP(B1947&amp;C1947,Divipola!$C$2:$F$1138,4,FALSE)</f>
        <v>54553</v>
      </c>
      <c r="F1947" s="333"/>
      <c r="G1947" s="221"/>
      <c r="H1947" s="157"/>
      <c r="I1947" s="157"/>
      <c r="J1947" s="157">
        <f>6411-75-200</f>
        <v>6136</v>
      </c>
      <c r="K1947" s="157">
        <f>1500-55</f>
        <v>1445</v>
      </c>
      <c r="L1947" s="157"/>
      <c r="M1947" s="157"/>
      <c r="N1947" s="157"/>
      <c r="O1947" s="157"/>
      <c r="P1947" s="157"/>
      <c r="Q1947" s="157"/>
      <c r="R1947" s="157"/>
      <c r="S1947" s="157"/>
      <c r="T1947" s="157"/>
      <c r="U1947" s="157"/>
      <c r="V1947" s="158"/>
      <c r="W1947" s="182"/>
      <c r="X1947" s="1"/>
      <c r="Y1947" s="78">
        <f t="shared" si="243"/>
        <v>0</v>
      </c>
      <c r="Z1947" s="78">
        <f t="shared" si="244"/>
        <v>0</v>
      </c>
      <c r="AA1947" s="78">
        <f t="shared" si="242"/>
        <v>0</v>
      </c>
      <c r="AB1947" s="78">
        <f t="shared" si="245"/>
        <v>0</v>
      </c>
      <c r="AC1947" s="78"/>
      <c r="AD1947" s="78">
        <v>0</v>
      </c>
      <c r="AE1947" s="80">
        <f t="shared" si="248"/>
        <v>0</v>
      </c>
      <c r="AF1947" s="82">
        <v>0</v>
      </c>
      <c r="AG1947" s="69">
        <v>40513</v>
      </c>
      <c r="AH1947" s="84"/>
      <c r="AI1947" s="69" t="s">
        <v>1984</v>
      </c>
      <c r="AJ1947" s="25" t="s">
        <v>1985</v>
      </c>
      <c r="AK1947" s="65"/>
      <c r="AL1947" s="176" t="s">
        <v>1257</v>
      </c>
      <c r="AM1947" s="173" t="s">
        <v>589</v>
      </c>
      <c r="AN1947" s="159"/>
      <c r="AO1947" s="160"/>
      <c r="AP1947" s="161"/>
      <c r="AQ1947" s="160"/>
      <c r="AR1947" s="160"/>
      <c r="AS1947" s="160"/>
      <c r="AT1947" s="160"/>
      <c r="AU1947" s="160"/>
      <c r="AV1947" s="160"/>
      <c r="AW1947" s="160"/>
      <c r="AX1947" s="160"/>
      <c r="AY1947" s="160"/>
      <c r="AZ1947" s="160"/>
      <c r="BA1947" s="160"/>
      <c r="BB1947" s="160"/>
      <c r="BC1947" s="160"/>
      <c r="BD1947" s="160"/>
      <c r="BE1947" s="160"/>
      <c r="BF1947" s="160"/>
      <c r="BG1947" s="160"/>
      <c r="BH1947" s="160"/>
      <c r="BI1947" s="160"/>
      <c r="BJ1947" s="160"/>
      <c r="BK1947" s="160"/>
      <c r="BL1947" s="160"/>
      <c r="BM1947" s="160"/>
      <c r="BN1947" s="160"/>
      <c r="BO1947" s="160"/>
      <c r="BP1947" s="160"/>
      <c r="BQ1947" s="160"/>
      <c r="BR1947" s="160"/>
      <c r="BS1947" s="160"/>
      <c r="BT1947" s="160"/>
      <c r="BU1947" s="160"/>
      <c r="BV1947" s="160"/>
      <c r="BW1947" s="160"/>
      <c r="BX1947" s="160"/>
      <c r="BY1947" s="160"/>
      <c r="BZ1947" s="160"/>
      <c r="CA1947" s="160"/>
      <c r="CB1947" s="160"/>
      <c r="CC1947" s="160"/>
      <c r="CD1947" s="160"/>
      <c r="CE1947" s="160"/>
      <c r="CF1947" s="160"/>
      <c r="CG1947" s="160"/>
      <c r="CH1947" s="160"/>
      <c r="CI1947" s="160"/>
      <c r="CJ1947" s="160"/>
      <c r="CK1947" s="160"/>
      <c r="CL1947" s="160"/>
      <c r="CM1947" s="160"/>
      <c r="CN1947" s="160"/>
      <c r="CO1947" s="160"/>
      <c r="CP1947" s="162"/>
      <c r="CQ1947" s="163"/>
      <c r="CR1947" s="162"/>
      <c r="CS1947" s="163"/>
      <c r="CT1947" s="162"/>
      <c r="CU1947" s="163"/>
      <c r="CV1947" s="164">
        <f t="shared" si="246"/>
        <v>0</v>
      </c>
      <c r="CW1947" s="165"/>
      <c r="CX1947" s="166"/>
      <c r="CY1947" s="167"/>
      <c r="CZ1947" s="168"/>
      <c r="DA1947" s="169"/>
      <c r="DB1947" s="168"/>
      <c r="DC1947" s="165"/>
      <c r="DD1947" s="166"/>
      <c r="DE1947" s="71"/>
      <c r="DF1947" s="170"/>
      <c r="EO1947" s="375" t="str">
        <f t="shared" si="247"/>
        <v>NORTE DE SANTANDER_PUERTO SANTANDER</v>
      </c>
      <c r="EP1947" s="376"/>
      <c r="EQ1947" s="376"/>
      <c r="ER1947" s="377"/>
      <c r="ES1947" s="376"/>
      <c r="ET1947" s="376"/>
      <c r="EU1947" s="376"/>
    </row>
    <row r="1948" spans="1:151" s="171" customFormat="1" ht="84" x14ac:dyDescent="0.2">
      <c r="A1948" s="242">
        <v>40512</v>
      </c>
      <c r="B1948" s="222" t="s">
        <v>1336</v>
      </c>
      <c r="C1948" s="222" t="s">
        <v>1618</v>
      </c>
      <c r="D1948" s="430" t="s">
        <v>837</v>
      </c>
      <c r="E1948" s="107" t="str">
        <f>VLOOKUP(B1948&amp;C1948,Divipola!$C$2:$F$1138,4,FALSE)</f>
        <v>54810</v>
      </c>
      <c r="F1948" s="333"/>
      <c r="G1948" s="221"/>
      <c r="H1948" s="157"/>
      <c r="I1948" s="157"/>
      <c r="J1948" s="157">
        <f>11283-1250</f>
        <v>10033</v>
      </c>
      <c r="K1948" s="157">
        <f>2361-250</f>
        <v>2111</v>
      </c>
      <c r="L1948" s="157">
        <v>2</v>
      </c>
      <c r="M1948" s="157">
        <v>11</v>
      </c>
      <c r="N1948" s="157"/>
      <c r="O1948" s="157"/>
      <c r="P1948" s="157"/>
      <c r="Q1948" s="157"/>
      <c r="R1948" s="157"/>
      <c r="S1948" s="157"/>
      <c r="T1948" s="157"/>
      <c r="U1948" s="157"/>
      <c r="V1948" s="158"/>
      <c r="W1948" s="182"/>
      <c r="X1948" s="1"/>
      <c r="Y1948" s="78">
        <f t="shared" si="243"/>
        <v>0</v>
      </c>
      <c r="Z1948" s="78">
        <f t="shared" si="244"/>
        <v>0</v>
      </c>
      <c r="AA1948" s="78">
        <f t="shared" si="242"/>
        <v>0</v>
      </c>
      <c r="AB1948" s="78">
        <f t="shared" si="245"/>
        <v>0</v>
      </c>
      <c r="AC1948" s="78"/>
      <c r="AD1948" s="78">
        <v>0</v>
      </c>
      <c r="AE1948" s="80">
        <f t="shared" si="248"/>
        <v>0</v>
      </c>
      <c r="AF1948" s="82">
        <v>0</v>
      </c>
      <c r="AG1948" s="242">
        <v>40513</v>
      </c>
      <c r="AH1948" s="84"/>
      <c r="AI1948" s="69" t="s">
        <v>1984</v>
      </c>
      <c r="AJ1948" s="25" t="s">
        <v>1985</v>
      </c>
      <c r="AK1948" s="65"/>
      <c r="AL1948" s="176" t="s">
        <v>1257</v>
      </c>
      <c r="AM1948" s="173" t="s">
        <v>1163</v>
      </c>
      <c r="AN1948" s="159"/>
      <c r="AO1948" s="160"/>
      <c r="AP1948" s="161"/>
      <c r="AQ1948" s="160"/>
      <c r="AR1948" s="160"/>
      <c r="AS1948" s="160"/>
      <c r="AT1948" s="160"/>
      <c r="AU1948" s="160"/>
      <c r="AV1948" s="160"/>
      <c r="AW1948" s="160"/>
      <c r="AX1948" s="160"/>
      <c r="AY1948" s="160"/>
      <c r="AZ1948" s="160"/>
      <c r="BA1948" s="160"/>
      <c r="BB1948" s="160"/>
      <c r="BC1948" s="160"/>
      <c r="BD1948" s="160"/>
      <c r="BE1948" s="160"/>
      <c r="BF1948" s="160"/>
      <c r="BG1948" s="160"/>
      <c r="BH1948" s="160"/>
      <c r="BI1948" s="160"/>
      <c r="BJ1948" s="160"/>
      <c r="BK1948" s="160"/>
      <c r="BL1948" s="160"/>
      <c r="BM1948" s="160"/>
      <c r="BN1948" s="160"/>
      <c r="BO1948" s="160"/>
      <c r="BP1948" s="160"/>
      <c r="BQ1948" s="160"/>
      <c r="BR1948" s="160"/>
      <c r="BS1948" s="160"/>
      <c r="BT1948" s="160"/>
      <c r="BU1948" s="160"/>
      <c r="BV1948" s="160"/>
      <c r="BW1948" s="160"/>
      <c r="BX1948" s="160"/>
      <c r="BY1948" s="160"/>
      <c r="BZ1948" s="160"/>
      <c r="CA1948" s="160"/>
      <c r="CB1948" s="160"/>
      <c r="CC1948" s="160"/>
      <c r="CD1948" s="160"/>
      <c r="CE1948" s="160"/>
      <c r="CF1948" s="160"/>
      <c r="CG1948" s="160"/>
      <c r="CH1948" s="160"/>
      <c r="CI1948" s="160"/>
      <c r="CJ1948" s="160"/>
      <c r="CK1948" s="160"/>
      <c r="CL1948" s="160"/>
      <c r="CM1948" s="160"/>
      <c r="CN1948" s="160"/>
      <c r="CO1948" s="160"/>
      <c r="CP1948" s="162"/>
      <c r="CQ1948" s="163"/>
      <c r="CR1948" s="162"/>
      <c r="CS1948" s="163"/>
      <c r="CT1948" s="162"/>
      <c r="CU1948" s="163"/>
      <c r="CV1948" s="164">
        <f t="shared" si="246"/>
        <v>0</v>
      </c>
      <c r="CW1948" s="165"/>
      <c r="CX1948" s="166"/>
      <c r="CY1948" s="167"/>
      <c r="CZ1948" s="168"/>
      <c r="DA1948" s="169"/>
      <c r="DB1948" s="168"/>
      <c r="DC1948" s="165"/>
      <c r="DD1948" s="166"/>
      <c r="DE1948" s="71"/>
      <c r="DF1948" s="170"/>
      <c r="EO1948" s="375" t="str">
        <f t="shared" si="247"/>
        <v>NORTE DE SANTANDER_TIBU</v>
      </c>
      <c r="EP1948" s="376"/>
      <c r="EQ1948" s="376"/>
      <c r="ER1948" s="377"/>
      <c r="ES1948" s="376"/>
      <c r="ET1948" s="376"/>
      <c r="EU1948" s="376"/>
    </row>
    <row r="1949" spans="1:151" s="171" customFormat="1" ht="25.5" x14ac:dyDescent="0.2">
      <c r="A1949" s="242">
        <v>40512</v>
      </c>
      <c r="B1949" s="222" t="s">
        <v>2791</v>
      </c>
      <c r="C1949" s="222" t="s">
        <v>1945</v>
      </c>
      <c r="D1949" s="430" t="s">
        <v>837</v>
      </c>
      <c r="E1949" s="107" t="str">
        <f>VLOOKUP(B1949&amp;C1949,Divipola!$C$2:$F$1138,4,FALSE)</f>
        <v>73001</v>
      </c>
      <c r="F1949" s="333"/>
      <c r="G1949" s="221"/>
      <c r="H1949" s="157"/>
      <c r="I1949" s="157"/>
      <c r="J1949" s="157">
        <v>15</v>
      </c>
      <c r="K1949" s="157">
        <v>3</v>
      </c>
      <c r="L1949" s="157"/>
      <c r="M1949" s="157">
        <v>3</v>
      </c>
      <c r="N1949" s="157"/>
      <c r="O1949" s="157"/>
      <c r="P1949" s="157"/>
      <c r="Q1949" s="157"/>
      <c r="R1949" s="157"/>
      <c r="S1949" s="157"/>
      <c r="T1949" s="157"/>
      <c r="U1949" s="157"/>
      <c r="V1949" s="158"/>
      <c r="W1949" s="182"/>
      <c r="X1949" s="1"/>
      <c r="Y1949" s="78">
        <f t="shared" si="243"/>
        <v>0</v>
      </c>
      <c r="Z1949" s="78">
        <f t="shared" si="244"/>
        <v>0</v>
      </c>
      <c r="AA1949" s="78">
        <f t="shared" si="242"/>
        <v>0</v>
      </c>
      <c r="AB1949" s="78">
        <f t="shared" si="245"/>
        <v>0</v>
      </c>
      <c r="AC1949" s="78"/>
      <c r="AD1949" s="78">
        <v>0</v>
      </c>
      <c r="AE1949" s="80">
        <f t="shared" si="248"/>
        <v>0</v>
      </c>
      <c r="AF1949" s="82">
        <v>0</v>
      </c>
      <c r="AG1949" s="69">
        <v>40513</v>
      </c>
      <c r="AH1949" s="84"/>
      <c r="AI1949" s="69" t="s">
        <v>1984</v>
      </c>
      <c r="AJ1949" s="25" t="s">
        <v>1985</v>
      </c>
      <c r="AK1949" s="65"/>
      <c r="AL1949" s="176" t="s">
        <v>1257</v>
      </c>
      <c r="AM1949" s="173" t="s">
        <v>513</v>
      </c>
      <c r="AN1949" s="159"/>
      <c r="AO1949" s="160"/>
      <c r="AP1949" s="161"/>
      <c r="AQ1949" s="160"/>
      <c r="AR1949" s="160"/>
      <c r="AS1949" s="160"/>
      <c r="AT1949" s="160"/>
      <c r="AU1949" s="160"/>
      <c r="AV1949" s="160"/>
      <c r="AW1949" s="160"/>
      <c r="AX1949" s="160"/>
      <c r="AY1949" s="160"/>
      <c r="AZ1949" s="160"/>
      <c r="BA1949" s="160"/>
      <c r="BB1949" s="160"/>
      <c r="BC1949" s="160"/>
      <c r="BD1949" s="160"/>
      <c r="BE1949" s="160"/>
      <c r="BF1949" s="160"/>
      <c r="BG1949" s="160"/>
      <c r="BH1949" s="160"/>
      <c r="BI1949" s="160"/>
      <c r="BJ1949" s="160"/>
      <c r="BK1949" s="160"/>
      <c r="BL1949" s="160"/>
      <c r="BM1949" s="160"/>
      <c r="BN1949" s="160"/>
      <c r="BO1949" s="160"/>
      <c r="BP1949" s="160"/>
      <c r="BQ1949" s="160"/>
      <c r="BR1949" s="160"/>
      <c r="BS1949" s="160"/>
      <c r="BT1949" s="160"/>
      <c r="BU1949" s="160"/>
      <c r="BV1949" s="160"/>
      <c r="BW1949" s="160"/>
      <c r="BX1949" s="160"/>
      <c r="BY1949" s="160"/>
      <c r="BZ1949" s="160"/>
      <c r="CA1949" s="160"/>
      <c r="CB1949" s="160"/>
      <c r="CC1949" s="160"/>
      <c r="CD1949" s="160"/>
      <c r="CE1949" s="160"/>
      <c r="CF1949" s="160"/>
      <c r="CG1949" s="160"/>
      <c r="CH1949" s="160"/>
      <c r="CI1949" s="160"/>
      <c r="CJ1949" s="160"/>
      <c r="CK1949" s="160"/>
      <c r="CL1949" s="160"/>
      <c r="CM1949" s="160"/>
      <c r="CN1949" s="160"/>
      <c r="CO1949" s="160"/>
      <c r="CP1949" s="162"/>
      <c r="CQ1949" s="163"/>
      <c r="CR1949" s="162"/>
      <c r="CS1949" s="163"/>
      <c r="CT1949" s="162"/>
      <c r="CU1949" s="163"/>
      <c r="CV1949" s="164">
        <f t="shared" si="246"/>
        <v>0</v>
      </c>
      <c r="CW1949" s="165"/>
      <c r="CX1949" s="166"/>
      <c r="CY1949" s="167"/>
      <c r="CZ1949" s="168"/>
      <c r="DA1949" s="169"/>
      <c r="DB1949" s="168"/>
      <c r="DC1949" s="165"/>
      <c r="DD1949" s="166"/>
      <c r="DE1949" s="71"/>
      <c r="DF1949" s="170"/>
      <c r="EO1949" s="375" t="str">
        <f t="shared" si="247"/>
        <v>TOLIMA_IBAGUE</v>
      </c>
      <c r="EP1949" s="376"/>
      <c r="EQ1949" s="376"/>
      <c r="ER1949" s="377"/>
      <c r="ES1949" s="376"/>
      <c r="ET1949" s="376"/>
      <c r="EU1949" s="376"/>
    </row>
    <row r="1950" spans="1:151" s="171" customFormat="1" ht="72" x14ac:dyDescent="0.2">
      <c r="A1950" s="242">
        <v>40512</v>
      </c>
      <c r="B1950" s="222" t="s">
        <v>1462</v>
      </c>
      <c r="C1950" s="222" t="s">
        <v>1463</v>
      </c>
      <c r="D1950" s="430" t="s">
        <v>2307</v>
      </c>
      <c r="E1950" s="107" t="str">
        <f>VLOOKUP(B1950&amp;C1950,Divipola!$C$2:$F$1138,4,FALSE)</f>
        <v>76497</v>
      </c>
      <c r="F1950" s="333"/>
      <c r="G1950" s="221"/>
      <c r="H1950" s="157"/>
      <c r="I1950" s="157"/>
      <c r="J1950" s="157">
        <f>717*5</f>
        <v>3585</v>
      </c>
      <c r="K1950" s="157">
        <v>717</v>
      </c>
      <c r="L1950" s="157"/>
      <c r="M1950" s="157">
        <v>717</v>
      </c>
      <c r="N1950" s="157"/>
      <c r="O1950" s="157"/>
      <c r="P1950" s="157"/>
      <c r="Q1950" s="157"/>
      <c r="R1950" s="157"/>
      <c r="S1950" s="157"/>
      <c r="T1950" s="157"/>
      <c r="U1950" s="157"/>
      <c r="V1950" s="158"/>
      <c r="W1950" s="182"/>
      <c r="X1950" s="1">
        <v>40536</v>
      </c>
      <c r="Y1950" s="78">
        <f t="shared" si="243"/>
        <v>0</v>
      </c>
      <c r="Z1950" s="78">
        <f t="shared" si="244"/>
        <v>0</v>
      </c>
      <c r="AA1950" s="78">
        <f t="shared" si="242"/>
        <v>0</v>
      </c>
      <c r="AB1950" s="78">
        <f t="shared" si="245"/>
        <v>0</v>
      </c>
      <c r="AC1950" s="78"/>
      <c r="AD1950" s="78">
        <v>100000000</v>
      </c>
      <c r="AE1950" s="80">
        <f t="shared" si="248"/>
        <v>100000000</v>
      </c>
      <c r="AF1950" s="82">
        <v>0</v>
      </c>
      <c r="AG1950" s="69"/>
      <c r="AH1950" s="84"/>
      <c r="AI1950" s="69" t="s">
        <v>2009</v>
      </c>
      <c r="AJ1950" s="25" t="s">
        <v>2010</v>
      </c>
      <c r="AK1950" s="65">
        <v>525</v>
      </c>
      <c r="AL1950" s="176"/>
      <c r="AM1950" s="173" t="s">
        <v>3858</v>
      </c>
      <c r="AN1950" s="159"/>
      <c r="AO1950" s="160"/>
      <c r="AP1950" s="161"/>
      <c r="AQ1950" s="160"/>
      <c r="AR1950" s="160"/>
      <c r="AS1950" s="160"/>
      <c r="AT1950" s="160"/>
      <c r="AU1950" s="160"/>
      <c r="AV1950" s="160"/>
      <c r="AW1950" s="160"/>
      <c r="AX1950" s="160"/>
      <c r="AY1950" s="160"/>
      <c r="AZ1950" s="160"/>
      <c r="BA1950" s="160"/>
      <c r="BB1950" s="160"/>
      <c r="BC1950" s="160"/>
      <c r="BD1950" s="160"/>
      <c r="BE1950" s="160"/>
      <c r="BF1950" s="160"/>
      <c r="BG1950" s="160"/>
      <c r="BH1950" s="160"/>
      <c r="BI1950" s="160"/>
      <c r="BJ1950" s="160"/>
      <c r="BK1950" s="160"/>
      <c r="BL1950" s="160"/>
      <c r="BM1950" s="160"/>
      <c r="BN1950" s="160"/>
      <c r="BO1950" s="160"/>
      <c r="BP1950" s="160"/>
      <c r="BQ1950" s="160"/>
      <c r="BR1950" s="160"/>
      <c r="BS1950" s="160"/>
      <c r="BT1950" s="160"/>
      <c r="BU1950" s="160"/>
      <c r="BV1950" s="160"/>
      <c r="BW1950" s="160"/>
      <c r="BX1950" s="160"/>
      <c r="BY1950" s="160"/>
      <c r="BZ1950" s="160"/>
      <c r="CA1950" s="160"/>
      <c r="CB1950" s="160"/>
      <c r="CC1950" s="160"/>
      <c r="CD1950" s="160"/>
      <c r="CE1950" s="160"/>
      <c r="CF1950" s="160"/>
      <c r="CG1950" s="160"/>
      <c r="CH1950" s="160"/>
      <c r="CI1950" s="160"/>
      <c r="CJ1950" s="160"/>
      <c r="CK1950" s="160"/>
      <c r="CL1950" s="160"/>
      <c r="CM1950" s="160"/>
      <c r="CN1950" s="160"/>
      <c r="CO1950" s="160"/>
      <c r="CP1950" s="162"/>
      <c r="CQ1950" s="163"/>
      <c r="CR1950" s="162"/>
      <c r="CS1950" s="163"/>
      <c r="CT1950" s="162"/>
      <c r="CU1950" s="163"/>
      <c r="CV1950" s="164">
        <f t="shared" si="246"/>
        <v>0</v>
      </c>
      <c r="CW1950" s="165"/>
      <c r="CX1950" s="166"/>
      <c r="CY1950" s="167"/>
      <c r="CZ1950" s="168"/>
      <c r="DA1950" s="169"/>
      <c r="DB1950" s="168"/>
      <c r="DC1950" s="165"/>
      <c r="DD1950" s="166"/>
      <c r="DE1950" s="71"/>
      <c r="DF1950" s="170"/>
      <c r="EO1950" s="375" t="str">
        <f t="shared" si="247"/>
        <v>VALLE DEL CAUCA_OBANDO</v>
      </c>
      <c r="EP1950" s="376"/>
      <c r="EQ1950" s="376"/>
      <c r="ER1950" s="377"/>
      <c r="ES1950" s="376"/>
      <c r="ET1950" s="376"/>
      <c r="EU1950" s="376"/>
    </row>
    <row r="1951" spans="1:151" s="171" customFormat="1" ht="38.25" x14ac:dyDescent="0.2">
      <c r="A1951" s="242">
        <v>40512.925694444442</v>
      </c>
      <c r="B1951" s="107" t="s">
        <v>6305</v>
      </c>
      <c r="C1951" s="107" t="s">
        <v>6305</v>
      </c>
      <c r="D1951" s="430" t="s">
        <v>2307</v>
      </c>
      <c r="E1951" s="107" t="str">
        <f>VLOOKUP(B1951&amp;C1951,Divipola!$C$2:$F$1138,4,FALSE)</f>
        <v>11001</v>
      </c>
      <c r="F1951" s="333"/>
      <c r="G1951" s="221"/>
      <c r="H1951" s="157"/>
      <c r="I1951" s="157"/>
      <c r="J1951" s="157"/>
      <c r="K1951" s="414"/>
      <c r="L1951" s="157"/>
      <c r="M1951" s="157"/>
      <c r="N1951" s="157"/>
      <c r="O1951" s="157"/>
      <c r="P1951" s="157"/>
      <c r="Q1951" s="157"/>
      <c r="R1951" s="157"/>
      <c r="S1951" s="157"/>
      <c r="T1951" s="157"/>
      <c r="U1951" s="157"/>
      <c r="V1951" s="158"/>
      <c r="W1951" s="182"/>
      <c r="X1951" s="1"/>
      <c r="Y1951" s="78">
        <f t="shared" si="243"/>
        <v>0</v>
      </c>
      <c r="Z1951" s="78">
        <f t="shared" si="244"/>
        <v>0</v>
      </c>
      <c r="AA1951" s="78">
        <f t="shared" si="242"/>
        <v>0</v>
      </c>
      <c r="AB1951" s="78">
        <f t="shared" si="245"/>
        <v>0</v>
      </c>
      <c r="AC1951" s="78"/>
      <c r="AD1951" s="78">
        <v>0</v>
      </c>
      <c r="AE1951" s="80">
        <f t="shared" si="248"/>
        <v>0</v>
      </c>
      <c r="AF1951" s="82">
        <v>0</v>
      </c>
      <c r="AG1951" s="306">
        <v>40624</v>
      </c>
      <c r="AH1951" s="307"/>
      <c r="AI1951" s="306" t="s">
        <v>1984</v>
      </c>
      <c r="AJ1951" s="308" t="s">
        <v>1985</v>
      </c>
      <c r="AK1951" s="309"/>
      <c r="AL1951" s="310" t="s">
        <v>1257</v>
      </c>
      <c r="AM1951" s="419" t="s">
        <v>3777</v>
      </c>
      <c r="AN1951" s="159"/>
      <c r="AO1951" s="160"/>
      <c r="AP1951" s="161"/>
      <c r="AQ1951" s="160"/>
      <c r="AR1951" s="160"/>
      <c r="AS1951" s="160"/>
      <c r="AT1951" s="160"/>
      <c r="AU1951" s="160"/>
      <c r="AV1951" s="160"/>
      <c r="AW1951" s="160"/>
      <c r="AX1951" s="160"/>
      <c r="AY1951" s="160"/>
      <c r="AZ1951" s="160"/>
      <c r="BA1951" s="160"/>
      <c r="BB1951" s="160"/>
      <c r="BC1951" s="160"/>
      <c r="BD1951" s="160"/>
      <c r="BE1951" s="160"/>
      <c r="BF1951" s="160"/>
      <c r="BG1951" s="160"/>
      <c r="BH1951" s="160"/>
      <c r="BI1951" s="160"/>
      <c r="BJ1951" s="160"/>
      <c r="BK1951" s="160"/>
      <c r="BL1951" s="160"/>
      <c r="BM1951" s="160"/>
      <c r="BN1951" s="160"/>
      <c r="BO1951" s="160"/>
      <c r="BP1951" s="160"/>
      <c r="BQ1951" s="160"/>
      <c r="BR1951" s="160"/>
      <c r="BS1951" s="160"/>
      <c r="BT1951" s="160"/>
      <c r="BU1951" s="160"/>
      <c r="BV1951" s="160"/>
      <c r="BW1951" s="160"/>
      <c r="BX1951" s="160"/>
      <c r="BY1951" s="160"/>
      <c r="BZ1951" s="160"/>
      <c r="CA1951" s="160"/>
      <c r="CB1951" s="160"/>
      <c r="CC1951" s="160"/>
      <c r="CD1951" s="160"/>
      <c r="CE1951" s="160"/>
      <c r="CF1951" s="160"/>
      <c r="CG1951" s="160"/>
      <c r="CH1951" s="160"/>
      <c r="CI1951" s="160"/>
      <c r="CJ1951" s="160"/>
      <c r="CK1951" s="160"/>
      <c r="CL1951" s="160"/>
      <c r="CM1951" s="160"/>
      <c r="CN1951" s="160"/>
      <c r="CO1951" s="160"/>
      <c r="CP1951" s="162"/>
      <c r="CQ1951" s="163"/>
      <c r="CR1951" s="162"/>
      <c r="CS1951" s="163"/>
      <c r="CT1951" s="162"/>
      <c r="CU1951" s="163"/>
      <c r="CV1951" s="164">
        <f t="shared" si="246"/>
        <v>0</v>
      </c>
      <c r="CW1951" s="165"/>
      <c r="CX1951" s="166"/>
      <c r="CY1951" s="167"/>
      <c r="CZ1951" s="168"/>
      <c r="DA1951" s="169"/>
      <c r="DB1951" s="168"/>
      <c r="DC1951" s="165"/>
      <c r="DD1951" s="166"/>
      <c r="DE1951" s="71"/>
      <c r="DF1951" s="170"/>
      <c r="EO1951" s="375" t="str">
        <f t="shared" si="247"/>
        <v>BOGOTA, D.C._BOGOTA, D.C.</v>
      </c>
      <c r="EP1951" s="376"/>
      <c r="EQ1951" s="376"/>
      <c r="ER1951" s="377"/>
      <c r="ES1951" s="376"/>
      <c r="ET1951" s="376"/>
      <c r="EU1951" s="376"/>
    </row>
    <row r="1952" spans="1:151" s="171" customFormat="1" ht="25.5" x14ac:dyDescent="0.2">
      <c r="A1952" s="242">
        <v>40513</v>
      </c>
      <c r="B1952" s="222" t="s">
        <v>1951</v>
      </c>
      <c r="C1952" s="222" t="s">
        <v>3146</v>
      </c>
      <c r="D1952" s="430" t="s">
        <v>837</v>
      </c>
      <c r="E1952" s="107" t="str">
        <f>VLOOKUP(B1952&amp;C1952,Divipola!$C$2:$F$1138,4,FALSE)</f>
        <v>08078</v>
      </c>
      <c r="F1952" s="333"/>
      <c r="G1952" s="221"/>
      <c r="H1952" s="157"/>
      <c r="I1952" s="157"/>
      <c r="J1952" s="157">
        <v>1273</v>
      </c>
      <c r="K1952" s="157">
        <v>319</v>
      </c>
      <c r="L1952" s="157"/>
      <c r="M1952" s="157"/>
      <c r="N1952" s="157"/>
      <c r="O1952" s="157"/>
      <c r="P1952" s="157"/>
      <c r="Q1952" s="157"/>
      <c r="R1952" s="157"/>
      <c r="S1952" s="157"/>
      <c r="T1952" s="157"/>
      <c r="U1952" s="157"/>
      <c r="V1952" s="158"/>
      <c r="W1952" s="182"/>
      <c r="X1952" s="1"/>
      <c r="Y1952" s="78">
        <f t="shared" si="243"/>
        <v>0</v>
      </c>
      <c r="Z1952" s="78">
        <f t="shared" si="244"/>
        <v>0</v>
      </c>
      <c r="AA1952" s="78">
        <f t="shared" si="242"/>
        <v>0</v>
      </c>
      <c r="AB1952" s="78">
        <f t="shared" si="245"/>
        <v>0</v>
      </c>
      <c r="AC1952" s="78"/>
      <c r="AD1952" s="78">
        <v>0</v>
      </c>
      <c r="AE1952" s="80">
        <f t="shared" si="248"/>
        <v>0</v>
      </c>
      <c r="AF1952" s="82">
        <v>0</v>
      </c>
      <c r="AG1952" s="69">
        <v>40513</v>
      </c>
      <c r="AH1952" s="84"/>
      <c r="AI1952" s="69" t="s">
        <v>2009</v>
      </c>
      <c r="AJ1952" s="25" t="s">
        <v>2010</v>
      </c>
      <c r="AK1952" s="65"/>
      <c r="AL1952" s="184" t="s">
        <v>805</v>
      </c>
      <c r="AM1952" s="173"/>
      <c r="AN1952" s="159"/>
      <c r="AO1952" s="160"/>
      <c r="AP1952" s="161"/>
      <c r="AQ1952" s="160"/>
      <c r="AR1952" s="160"/>
      <c r="AS1952" s="160"/>
      <c r="AT1952" s="160"/>
      <c r="AU1952" s="160"/>
      <c r="AV1952" s="160"/>
      <c r="AW1952" s="160"/>
      <c r="AX1952" s="160"/>
      <c r="AY1952" s="160"/>
      <c r="AZ1952" s="160"/>
      <c r="BA1952" s="160"/>
      <c r="BB1952" s="160"/>
      <c r="BC1952" s="160"/>
      <c r="BD1952" s="160"/>
      <c r="BE1952" s="160"/>
      <c r="BF1952" s="160"/>
      <c r="BG1952" s="160"/>
      <c r="BH1952" s="160"/>
      <c r="BI1952" s="160"/>
      <c r="BJ1952" s="160"/>
      <c r="BK1952" s="160"/>
      <c r="BL1952" s="160"/>
      <c r="BM1952" s="160"/>
      <c r="BN1952" s="160"/>
      <c r="BO1952" s="160"/>
      <c r="BP1952" s="160"/>
      <c r="BQ1952" s="160"/>
      <c r="BR1952" s="160"/>
      <c r="BS1952" s="160"/>
      <c r="BT1952" s="160"/>
      <c r="BU1952" s="160"/>
      <c r="BV1952" s="160"/>
      <c r="BW1952" s="160"/>
      <c r="BX1952" s="160"/>
      <c r="BY1952" s="160"/>
      <c r="BZ1952" s="160"/>
      <c r="CA1952" s="160"/>
      <c r="CB1952" s="160"/>
      <c r="CC1952" s="160"/>
      <c r="CD1952" s="160"/>
      <c r="CE1952" s="160"/>
      <c r="CF1952" s="160"/>
      <c r="CG1952" s="160"/>
      <c r="CH1952" s="160"/>
      <c r="CI1952" s="160"/>
      <c r="CJ1952" s="160"/>
      <c r="CK1952" s="160"/>
      <c r="CL1952" s="160"/>
      <c r="CM1952" s="160"/>
      <c r="CN1952" s="160"/>
      <c r="CO1952" s="160"/>
      <c r="CP1952" s="162"/>
      <c r="CQ1952" s="163"/>
      <c r="CR1952" s="162"/>
      <c r="CS1952" s="163"/>
      <c r="CT1952" s="162"/>
      <c r="CU1952" s="163"/>
      <c r="CV1952" s="164">
        <f t="shared" si="246"/>
        <v>0</v>
      </c>
      <c r="CW1952" s="165"/>
      <c r="CX1952" s="166"/>
      <c r="CY1952" s="167"/>
      <c r="CZ1952" s="168"/>
      <c r="DA1952" s="169"/>
      <c r="DB1952" s="168"/>
      <c r="DC1952" s="165"/>
      <c r="DD1952" s="166"/>
      <c r="DE1952" s="71"/>
      <c r="DF1952" s="170"/>
      <c r="EO1952" s="375" t="str">
        <f t="shared" si="247"/>
        <v>ATLANTICO_BARANOA</v>
      </c>
      <c r="EP1952" s="376"/>
      <c r="EQ1952" s="376"/>
      <c r="ER1952" s="377"/>
      <c r="ES1952" s="376"/>
      <c r="ET1952" s="376"/>
      <c r="EU1952" s="376"/>
    </row>
    <row r="1953" spans="1:151" s="171" customFormat="1" ht="38.25" x14ac:dyDescent="0.2">
      <c r="A1953" s="242">
        <v>40513</v>
      </c>
      <c r="B1953" s="222" t="s">
        <v>1951</v>
      </c>
      <c r="C1953" s="222" t="s">
        <v>1989</v>
      </c>
      <c r="D1953" s="430" t="s">
        <v>2307</v>
      </c>
      <c r="E1953" s="107" t="str">
        <f>VLOOKUP(B1953&amp;C1953,Divipola!$C$2:$F$1138,4,FALSE)</f>
        <v>08001</v>
      </c>
      <c r="F1953" s="333"/>
      <c r="G1953" s="221"/>
      <c r="H1953" s="157"/>
      <c r="I1953" s="157"/>
      <c r="J1953" s="157">
        <v>10</v>
      </c>
      <c r="K1953" s="157">
        <v>20</v>
      </c>
      <c r="L1953" s="157">
        <v>20</v>
      </c>
      <c r="M1953" s="157"/>
      <c r="N1953" s="157"/>
      <c r="O1953" s="157"/>
      <c r="P1953" s="157"/>
      <c r="Q1953" s="157"/>
      <c r="R1953" s="157"/>
      <c r="S1953" s="157"/>
      <c r="T1953" s="157"/>
      <c r="U1953" s="157"/>
      <c r="V1953" s="158"/>
      <c r="W1953" s="182"/>
      <c r="X1953" s="1"/>
      <c r="Y1953" s="78">
        <f t="shared" si="243"/>
        <v>0</v>
      </c>
      <c r="Z1953" s="78">
        <f t="shared" si="244"/>
        <v>0</v>
      </c>
      <c r="AA1953" s="78">
        <f t="shared" si="242"/>
        <v>0</v>
      </c>
      <c r="AB1953" s="78">
        <f t="shared" si="245"/>
        <v>0</v>
      </c>
      <c r="AC1953" s="78"/>
      <c r="AD1953" s="78">
        <v>0</v>
      </c>
      <c r="AE1953" s="80">
        <f t="shared" si="248"/>
        <v>0</v>
      </c>
      <c r="AF1953" s="82">
        <v>0</v>
      </c>
      <c r="AG1953" s="69">
        <v>40513</v>
      </c>
      <c r="AH1953" s="84"/>
      <c r="AI1953" s="69" t="s">
        <v>1984</v>
      </c>
      <c r="AJ1953" s="25" t="s">
        <v>1985</v>
      </c>
      <c r="AK1953" s="65"/>
      <c r="AL1953" s="176" t="s">
        <v>1257</v>
      </c>
      <c r="AM1953" s="173" t="s">
        <v>584</v>
      </c>
      <c r="AN1953" s="159"/>
      <c r="AO1953" s="160"/>
      <c r="AP1953" s="161"/>
      <c r="AQ1953" s="160"/>
      <c r="AR1953" s="160"/>
      <c r="AS1953" s="160"/>
      <c r="AT1953" s="160"/>
      <c r="AU1953" s="160"/>
      <c r="AV1953" s="160"/>
      <c r="AW1953" s="160"/>
      <c r="AX1953" s="160"/>
      <c r="AY1953" s="160"/>
      <c r="AZ1953" s="160"/>
      <c r="BA1953" s="160"/>
      <c r="BB1953" s="160"/>
      <c r="BC1953" s="160"/>
      <c r="BD1953" s="160"/>
      <c r="BE1953" s="160"/>
      <c r="BF1953" s="160"/>
      <c r="BG1953" s="160"/>
      <c r="BH1953" s="160"/>
      <c r="BI1953" s="160"/>
      <c r="BJ1953" s="160"/>
      <c r="BK1953" s="160"/>
      <c r="BL1953" s="160"/>
      <c r="BM1953" s="160"/>
      <c r="BN1953" s="160"/>
      <c r="BO1953" s="160"/>
      <c r="BP1953" s="160"/>
      <c r="BQ1953" s="160"/>
      <c r="BR1953" s="160"/>
      <c r="BS1953" s="160"/>
      <c r="BT1953" s="160"/>
      <c r="BU1953" s="160"/>
      <c r="BV1953" s="160"/>
      <c r="BW1953" s="160"/>
      <c r="BX1953" s="160"/>
      <c r="BY1953" s="160"/>
      <c r="BZ1953" s="160"/>
      <c r="CA1953" s="160"/>
      <c r="CB1953" s="160"/>
      <c r="CC1953" s="160"/>
      <c r="CD1953" s="160"/>
      <c r="CE1953" s="160"/>
      <c r="CF1953" s="160"/>
      <c r="CG1953" s="160"/>
      <c r="CH1953" s="160"/>
      <c r="CI1953" s="160"/>
      <c r="CJ1953" s="160"/>
      <c r="CK1953" s="160"/>
      <c r="CL1953" s="160"/>
      <c r="CM1953" s="160"/>
      <c r="CN1953" s="160"/>
      <c r="CO1953" s="160"/>
      <c r="CP1953" s="162"/>
      <c r="CQ1953" s="163"/>
      <c r="CR1953" s="162"/>
      <c r="CS1953" s="163"/>
      <c r="CT1953" s="162"/>
      <c r="CU1953" s="163"/>
      <c r="CV1953" s="164">
        <f t="shared" si="246"/>
        <v>0</v>
      </c>
      <c r="CW1953" s="165"/>
      <c r="CX1953" s="166"/>
      <c r="CY1953" s="167"/>
      <c r="CZ1953" s="168"/>
      <c r="DA1953" s="169"/>
      <c r="DB1953" s="168"/>
      <c r="DC1953" s="165"/>
      <c r="DD1953" s="166"/>
      <c r="DE1953" s="71"/>
      <c r="DF1953" s="170"/>
      <c r="EO1953" s="375" t="str">
        <f t="shared" si="247"/>
        <v>ATLANTICO_BARRANQUILLA</v>
      </c>
      <c r="EP1953" s="376"/>
      <c r="EQ1953" s="376"/>
      <c r="ER1953" s="377"/>
      <c r="ES1953" s="376"/>
      <c r="ET1953" s="376"/>
      <c r="EU1953" s="376"/>
    </row>
    <row r="1954" spans="1:151" s="171" customFormat="1" ht="38.25" x14ac:dyDescent="0.2">
      <c r="A1954" s="242">
        <v>40513</v>
      </c>
      <c r="B1954" s="222" t="s">
        <v>1951</v>
      </c>
      <c r="C1954" s="222" t="s">
        <v>1948</v>
      </c>
      <c r="D1954" s="430" t="s">
        <v>837</v>
      </c>
      <c r="E1954" s="107" t="str">
        <f>VLOOKUP(B1954&amp;C1954,Divipola!$C$2:$F$1138,4,FALSE)</f>
        <v>08141</v>
      </c>
      <c r="F1954" s="333"/>
      <c r="G1954" s="221"/>
      <c r="H1954" s="157"/>
      <c r="I1954" s="157"/>
      <c r="J1954" s="421">
        <f>3461*3.6</f>
        <v>12459.6</v>
      </c>
      <c r="K1954" s="157">
        <v>3461</v>
      </c>
      <c r="L1954" s="157"/>
      <c r="M1954" s="157"/>
      <c r="N1954" s="157"/>
      <c r="O1954" s="157"/>
      <c r="P1954" s="157"/>
      <c r="Q1954" s="157"/>
      <c r="R1954" s="157"/>
      <c r="S1954" s="157"/>
      <c r="T1954" s="157"/>
      <c r="U1954" s="157"/>
      <c r="V1954" s="158"/>
      <c r="W1954" s="182"/>
      <c r="X1954" s="1"/>
      <c r="Y1954" s="78">
        <f t="shared" si="243"/>
        <v>0</v>
      </c>
      <c r="Z1954" s="78">
        <f t="shared" si="244"/>
        <v>0</v>
      </c>
      <c r="AA1954" s="78">
        <f t="shared" si="242"/>
        <v>0</v>
      </c>
      <c r="AB1954" s="78">
        <f t="shared" si="245"/>
        <v>0</v>
      </c>
      <c r="AC1954" s="78"/>
      <c r="AD1954" s="78">
        <v>0</v>
      </c>
      <c r="AE1954" s="80">
        <f t="shared" si="248"/>
        <v>0</v>
      </c>
      <c r="AF1954" s="82">
        <v>0</v>
      </c>
      <c r="AG1954" s="242">
        <v>40513</v>
      </c>
      <c r="AH1954" s="84"/>
      <c r="AI1954" s="69" t="s">
        <v>2009</v>
      </c>
      <c r="AJ1954" s="25" t="s">
        <v>2010</v>
      </c>
      <c r="AK1954" s="65"/>
      <c r="AL1954" s="184" t="s">
        <v>805</v>
      </c>
      <c r="AM1954" s="173"/>
      <c r="AN1954" s="159"/>
      <c r="AO1954" s="160"/>
      <c r="AP1954" s="161"/>
      <c r="AQ1954" s="160"/>
      <c r="AR1954" s="160"/>
      <c r="AS1954" s="160"/>
      <c r="AT1954" s="160"/>
      <c r="AU1954" s="160"/>
      <c r="AV1954" s="160"/>
      <c r="AW1954" s="160"/>
      <c r="AX1954" s="160"/>
      <c r="AY1954" s="160"/>
      <c r="AZ1954" s="160"/>
      <c r="BA1954" s="160"/>
      <c r="BB1954" s="160"/>
      <c r="BC1954" s="160"/>
      <c r="BD1954" s="160"/>
      <c r="BE1954" s="160"/>
      <c r="BF1954" s="160"/>
      <c r="BG1954" s="160"/>
      <c r="BH1954" s="160"/>
      <c r="BI1954" s="160"/>
      <c r="BJ1954" s="160"/>
      <c r="BK1954" s="160"/>
      <c r="BL1954" s="160"/>
      <c r="BM1954" s="160"/>
      <c r="BN1954" s="160"/>
      <c r="BO1954" s="160"/>
      <c r="BP1954" s="160"/>
      <c r="BQ1954" s="160"/>
      <c r="BR1954" s="160"/>
      <c r="BS1954" s="160"/>
      <c r="BT1954" s="160"/>
      <c r="BU1954" s="160"/>
      <c r="BV1954" s="160"/>
      <c r="BW1954" s="160"/>
      <c r="BX1954" s="160"/>
      <c r="BY1954" s="160"/>
      <c r="BZ1954" s="160"/>
      <c r="CA1954" s="160"/>
      <c r="CB1954" s="160"/>
      <c r="CC1954" s="160"/>
      <c r="CD1954" s="160"/>
      <c r="CE1954" s="160"/>
      <c r="CF1954" s="160"/>
      <c r="CG1954" s="160"/>
      <c r="CH1954" s="160"/>
      <c r="CI1954" s="160"/>
      <c r="CJ1954" s="160"/>
      <c r="CK1954" s="160"/>
      <c r="CL1954" s="160"/>
      <c r="CM1954" s="160"/>
      <c r="CN1954" s="160"/>
      <c r="CO1954" s="160"/>
      <c r="CP1954" s="162"/>
      <c r="CQ1954" s="163"/>
      <c r="CR1954" s="162"/>
      <c r="CS1954" s="163"/>
      <c r="CT1954" s="162"/>
      <c r="CU1954" s="163"/>
      <c r="CV1954" s="164">
        <f t="shared" si="246"/>
        <v>0</v>
      </c>
      <c r="CW1954" s="165"/>
      <c r="CX1954" s="166"/>
      <c r="CY1954" s="167"/>
      <c r="CZ1954" s="168"/>
      <c r="DA1954" s="169"/>
      <c r="DB1954" s="168"/>
      <c r="DC1954" s="165"/>
      <c r="DD1954" s="166"/>
      <c r="DE1954" s="71"/>
      <c r="DF1954" s="170"/>
      <c r="EO1954" s="375" t="str">
        <f t="shared" si="247"/>
        <v>ATLANTICO_CANDELARIA</v>
      </c>
      <c r="EP1954" s="376"/>
      <c r="EQ1954" s="376"/>
      <c r="ER1954" s="377"/>
      <c r="ES1954" s="376"/>
      <c r="ET1954" s="376"/>
      <c r="EU1954" s="376"/>
    </row>
    <row r="1955" spans="1:151" s="171" customFormat="1" ht="36" x14ac:dyDescent="0.2">
      <c r="A1955" s="242">
        <v>40513</v>
      </c>
      <c r="B1955" s="222" t="s">
        <v>1951</v>
      </c>
      <c r="C1955" s="222" t="s">
        <v>1949</v>
      </c>
      <c r="D1955" s="430" t="s">
        <v>837</v>
      </c>
      <c r="E1955" s="107" t="str">
        <f>VLOOKUP(B1955&amp;C1955,Divipola!$C$2:$F$1138,4,FALSE)</f>
        <v>08436</v>
      </c>
      <c r="F1955" s="333"/>
      <c r="G1955" s="221">
        <v>1</v>
      </c>
      <c r="H1955" s="157"/>
      <c r="I1955" s="157"/>
      <c r="J1955" s="421">
        <f>3403*3.7</f>
        <v>12591.1</v>
      </c>
      <c r="K1955" s="157">
        <f>3761-150-150-58</f>
        <v>3403</v>
      </c>
      <c r="L1955" s="157"/>
      <c r="M1955" s="157">
        <v>3240</v>
      </c>
      <c r="N1955" s="157"/>
      <c r="O1955" s="157"/>
      <c r="P1955" s="157"/>
      <c r="Q1955" s="157"/>
      <c r="R1955" s="157"/>
      <c r="S1955" s="157"/>
      <c r="T1955" s="157"/>
      <c r="U1955" s="157"/>
      <c r="V1955" s="158"/>
      <c r="W1955" s="182"/>
      <c r="X1955" s="1"/>
      <c r="Y1955" s="78">
        <f t="shared" si="243"/>
        <v>0</v>
      </c>
      <c r="Z1955" s="78">
        <f t="shared" si="244"/>
        <v>0</v>
      </c>
      <c r="AA1955" s="78">
        <f t="shared" si="242"/>
        <v>0</v>
      </c>
      <c r="AB1955" s="78">
        <f t="shared" si="245"/>
        <v>0</v>
      </c>
      <c r="AC1955" s="78"/>
      <c r="AD1955" s="78">
        <v>0</v>
      </c>
      <c r="AE1955" s="80">
        <f t="shared" si="248"/>
        <v>0</v>
      </c>
      <c r="AF1955" s="82">
        <v>0</v>
      </c>
      <c r="AG1955" s="242">
        <v>40513</v>
      </c>
      <c r="AH1955" s="84"/>
      <c r="AI1955" s="69" t="s">
        <v>2009</v>
      </c>
      <c r="AJ1955" s="25" t="s">
        <v>2010</v>
      </c>
      <c r="AK1955" s="65"/>
      <c r="AL1955" s="184" t="s">
        <v>805</v>
      </c>
      <c r="AM1955" s="173" t="s">
        <v>547</v>
      </c>
      <c r="AN1955" s="159"/>
      <c r="AO1955" s="160"/>
      <c r="AP1955" s="161"/>
      <c r="AQ1955" s="160"/>
      <c r="AR1955" s="160"/>
      <c r="AS1955" s="160"/>
      <c r="AT1955" s="160"/>
      <c r="AU1955" s="160"/>
      <c r="AV1955" s="160"/>
      <c r="AW1955" s="160"/>
      <c r="AX1955" s="160"/>
      <c r="AY1955" s="160"/>
      <c r="AZ1955" s="160"/>
      <c r="BA1955" s="160"/>
      <c r="BB1955" s="160"/>
      <c r="BC1955" s="160"/>
      <c r="BD1955" s="160"/>
      <c r="BE1955" s="160"/>
      <c r="BF1955" s="160"/>
      <c r="BG1955" s="160"/>
      <c r="BH1955" s="160"/>
      <c r="BI1955" s="160"/>
      <c r="BJ1955" s="160"/>
      <c r="BK1955" s="160"/>
      <c r="BL1955" s="160"/>
      <c r="BM1955" s="160"/>
      <c r="BN1955" s="160"/>
      <c r="BO1955" s="160"/>
      <c r="BP1955" s="160"/>
      <c r="BQ1955" s="160"/>
      <c r="BR1955" s="160"/>
      <c r="BS1955" s="160"/>
      <c r="BT1955" s="160"/>
      <c r="BU1955" s="160"/>
      <c r="BV1955" s="160"/>
      <c r="BW1955" s="160"/>
      <c r="BX1955" s="160"/>
      <c r="BY1955" s="160"/>
      <c r="BZ1955" s="160"/>
      <c r="CA1955" s="160"/>
      <c r="CB1955" s="160"/>
      <c r="CC1955" s="160"/>
      <c r="CD1955" s="160"/>
      <c r="CE1955" s="160"/>
      <c r="CF1955" s="160"/>
      <c r="CG1955" s="160"/>
      <c r="CH1955" s="160"/>
      <c r="CI1955" s="160"/>
      <c r="CJ1955" s="160"/>
      <c r="CK1955" s="160"/>
      <c r="CL1955" s="160"/>
      <c r="CM1955" s="160"/>
      <c r="CN1955" s="160"/>
      <c r="CO1955" s="160"/>
      <c r="CP1955" s="162"/>
      <c r="CQ1955" s="163"/>
      <c r="CR1955" s="162"/>
      <c r="CS1955" s="163"/>
      <c r="CT1955" s="162"/>
      <c r="CU1955" s="163"/>
      <c r="CV1955" s="164">
        <f t="shared" si="246"/>
        <v>0</v>
      </c>
      <c r="CW1955" s="165"/>
      <c r="CX1955" s="166"/>
      <c r="CY1955" s="167"/>
      <c r="CZ1955" s="168"/>
      <c r="DA1955" s="169"/>
      <c r="DB1955" s="168"/>
      <c r="DC1955" s="165"/>
      <c r="DD1955" s="166"/>
      <c r="DE1955" s="71"/>
      <c r="DF1955" s="170"/>
      <c r="EO1955" s="375" t="str">
        <f t="shared" si="247"/>
        <v>ATLANTICO_MANATI</v>
      </c>
      <c r="EP1955" s="376"/>
      <c r="EQ1955" s="376"/>
      <c r="ER1955" s="377"/>
      <c r="ES1955" s="376"/>
      <c r="ET1955" s="376"/>
      <c r="EU1955" s="376"/>
    </row>
    <row r="1956" spans="1:151" s="171" customFormat="1" ht="38.25" x14ac:dyDescent="0.2">
      <c r="A1956" s="242">
        <v>40513</v>
      </c>
      <c r="B1956" s="222" t="s">
        <v>1951</v>
      </c>
      <c r="C1956" s="222" t="s">
        <v>4038</v>
      </c>
      <c r="D1956" s="430" t="s">
        <v>837</v>
      </c>
      <c r="E1956" s="107" t="str">
        <f>VLOOKUP(B1956&amp;C1956,Divipola!$C$2:$F$1138,4,FALSE)</f>
        <v>08558</v>
      </c>
      <c r="F1956" s="333"/>
      <c r="G1956" s="221"/>
      <c r="H1956" s="157"/>
      <c r="I1956" s="157"/>
      <c r="J1956" s="157">
        <f>150*5</f>
        <v>750</v>
      </c>
      <c r="K1956" s="157">
        <v>150</v>
      </c>
      <c r="L1956" s="157"/>
      <c r="M1956" s="157"/>
      <c r="N1956" s="157"/>
      <c r="O1956" s="157"/>
      <c r="P1956" s="157"/>
      <c r="Q1956" s="157"/>
      <c r="R1956" s="157"/>
      <c r="S1956" s="157"/>
      <c r="T1956" s="157"/>
      <c r="U1956" s="157"/>
      <c r="V1956" s="158"/>
      <c r="W1956" s="182"/>
      <c r="X1956" s="1"/>
      <c r="Y1956" s="78">
        <f t="shared" si="243"/>
        <v>0</v>
      </c>
      <c r="Z1956" s="78">
        <f t="shared" si="244"/>
        <v>0</v>
      </c>
      <c r="AA1956" s="78">
        <f t="shared" si="242"/>
        <v>0</v>
      </c>
      <c r="AB1956" s="78">
        <f t="shared" si="245"/>
        <v>0</v>
      </c>
      <c r="AC1956" s="78"/>
      <c r="AD1956" s="78">
        <v>0</v>
      </c>
      <c r="AE1956" s="80">
        <f t="shared" si="248"/>
        <v>0</v>
      </c>
      <c r="AF1956" s="82">
        <v>0</v>
      </c>
      <c r="AG1956" s="242">
        <v>40513</v>
      </c>
      <c r="AH1956" s="84"/>
      <c r="AI1956" s="69" t="s">
        <v>2009</v>
      </c>
      <c r="AJ1956" s="25" t="s">
        <v>2010</v>
      </c>
      <c r="AK1956" s="65"/>
      <c r="AL1956" s="184" t="s">
        <v>805</v>
      </c>
      <c r="AM1956" s="173"/>
      <c r="AN1956" s="159"/>
      <c r="AO1956" s="160"/>
      <c r="AP1956" s="161"/>
      <c r="AQ1956" s="160"/>
      <c r="AR1956" s="160"/>
      <c r="AS1956" s="160"/>
      <c r="AT1956" s="160"/>
      <c r="AU1956" s="160"/>
      <c r="AV1956" s="160"/>
      <c r="AW1956" s="160"/>
      <c r="AX1956" s="160"/>
      <c r="AY1956" s="160"/>
      <c r="AZ1956" s="160"/>
      <c r="BA1956" s="160"/>
      <c r="BB1956" s="160"/>
      <c r="BC1956" s="160"/>
      <c r="BD1956" s="160"/>
      <c r="BE1956" s="160"/>
      <c r="BF1956" s="160"/>
      <c r="BG1956" s="160"/>
      <c r="BH1956" s="160"/>
      <c r="BI1956" s="160"/>
      <c r="BJ1956" s="160"/>
      <c r="BK1956" s="160"/>
      <c r="BL1956" s="160"/>
      <c r="BM1956" s="160"/>
      <c r="BN1956" s="160"/>
      <c r="BO1956" s="160"/>
      <c r="BP1956" s="160"/>
      <c r="BQ1956" s="160"/>
      <c r="BR1956" s="160"/>
      <c r="BS1956" s="160"/>
      <c r="BT1956" s="160"/>
      <c r="BU1956" s="160"/>
      <c r="BV1956" s="160"/>
      <c r="BW1956" s="160"/>
      <c r="BX1956" s="160"/>
      <c r="BY1956" s="160"/>
      <c r="BZ1956" s="160"/>
      <c r="CA1956" s="160"/>
      <c r="CB1956" s="160"/>
      <c r="CC1956" s="160"/>
      <c r="CD1956" s="160"/>
      <c r="CE1956" s="160"/>
      <c r="CF1956" s="160"/>
      <c r="CG1956" s="160"/>
      <c r="CH1956" s="160"/>
      <c r="CI1956" s="160"/>
      <c r="CJ1956" s="160"/>
      <c r="CK1956" s="160"/>
      <c r="CL1956" s="160"/>
      <c r="CM1956" s="160"/>
      <c r="CN1956" s="160"/>
      <c r="CO1956" s="160"/>
      <c r="CP1956" s="162"/>
      <c r="CQ1956" s="163"/>
      <c r="CR1956" s="162"/>
      <c r="CS1956" s="163"/>
      <c r="CT1956" s="162"/>
      <c r="CU1956" s="163"/>
      <c r="CV1956" s="164">
        <f t="shared" si="246"/>
        <v>0</v>
      </c>
      <c r="CW1956" s="165"/>
      <c r="CX1956" s="166"/>
      <c r="CY1956" s="167"/>
      <c r="CZ1956" s="168"/>
      <c r="DA1956" s="169"/>
      <c r="DB1956" s="168"/>
      <c r="DC1956" s="165"/>
      <c r="DD1956" s="166"/>
      <c r="DE1956" s="71"/>
      <c r="DF1956" s="170"/>
      <c r="EO1956" s="375" t="str">
        <f t="shared" si="247"/>
        <v>ATLANTICO_POLONUEVO</v>
      </c>
      <c r="EP1956" s="376"/>
      <c r="EQ1956" s="376"/>
      <c r="ER1956" s="377"/>
      <c r="ES1956" s="376"/>
      <c r="ET1956" s="376"/>
      <c r="EU1956" s="376"/>
    </row>
    <row r="1957" spans="1:151" s="171" customFormat="1" ht="36" x14ac:dyDescent="0.2">
      <c r="A1957" s="242">
        <v>40513</v>
      </c>
      <c r="B1957" s="222" t="s">
        <v>2017</v>
      </c>
      <c r="C1957" s="222" t="s">
        <v>1215</v>
      </c>
      <c r="D1957" s="430" t="s">
        <v>837</v>
      </c>
      <c r="E1957" s="107" t="str">
        <f>VLOOKUP(B1957&amp;C1957,Divipola!$C$2:$F$1138,4,FALSE)</f>
        <v>13001</v>
      </c>
      <c r="F1957" s="333"/>
      <c r="G1957" s="221"/>
      <c r="H1957" s="157"/>
      <c r="I1957" s="157"/>
      <c r="J1957" s="157">
        <v>2500</v>
      </c>
      <c r="K1957" s="157">
        <v>500</v>
      </c>
      <c r="L1957" s="157">
        <v>4</v>
      </c>
      <c r="M1957" s="157">
        <v>496</v>
      </c>
      <c r="N1957" s="157"/>
      <c r="O1957" s="157"/>
      <c r="P1957" s="157"/>
      <c r="Q1957" s="157"/>
      <c r="R1957" s="157"/>
      <c r="S1957" s="157"/>
      <c r="T1957" s="157"/>
      <c r="U1957" s="157"/>
      <c r="V1957" s="158"/>
      <c r="W1957" s="182"/>
      <c r="X1957" s="1"/>
      <c r="Y1957" s="78">
        <f t="shared" si="243"/>
        <v>0</v>
      </c>
      <c r="Z1957" s="78">
        <f t="shared" si="244"/>
        <v>0</v>
      </c>
      <c r="AA1957" s="78">
        <f t="shared" si="242"/>
        <v>0</v>
      </c>
      <c r="AB1957" s="78">
        <f t="shared" si="245"/>
        <v>0</v>
      </c>
      <c r="AC1957" s="78"/>
      <c r="AD1957" s="78">
        <v>0</v>
      </c>
      <c r="AE1957" s="80">
        <f t="shared" si="248"/>
        <v>0</v>
      </c>
      <c r="AF1957" s="82">
        <v>0</v>
      </c>
      <c r="AG1957" s="69">
        <v>40514</v>
      </c>
      <c r="AH1957" s="84"/>
      <c r="AI1957" s="69" t="s">
        <v>1984</v>
      </c>
      <c r="AJ1957" s="25" t="s">
        <v>1985</v>
      </c>
      <c r="AK1957" s="65"/>
      <c r="AL1957" s="176" t="s">
        <v>1257</v>
      </c>
      <c r="AM1957" s="173" t="s">
        <v>2628</v>
      </c>
      <c r="AN1957" s="159"/>
      <c r="AO1957" s="160"/>
      <c r="AP1957" s="161"/>
      <c r="AQ1957" s="160"/>
      <c r="AR1957" s="160"/>
      <c r="AS1957" s="160"/>
      <c r="AT1957" s="160"/>
      <c r="AU1957" s="160"/>
      <c r="AV1957" s="160"/>
      <c r="AW1957" s="160"/>
      <c r="AX1957" s="160"/>
      <c r="AY1957" s="160"/>
      <c r="AZ1957" s="160"/>
      <c r="BA1957" s="160"/>
      <c r="BB1957" s="160"/>
      <c r="BC1957" s="160"/>
      <c r="BD1957" s="160"/>
      <c r="BE1957" s="160"/>
      <c r="BF1957" s="160"/>
      <c r="BG1957" s="160"/>
      <c r="BH1957" s="160"/>
      <c r="BI1957" s="160"/>
      <c r="BJ1957" s="160"/>
      <c r="BK1957" s="160"/>
      <c r="BL1957" s="160"/>
      <c r="BM1957" s="160"/>
      <c r="BN1957" s="160"/>
      <c r="BO1957" s="160"/>
      <c r="BP1957" s="160"/>
      <c r="BQ1957" s="160"/>
      <c r="BR1957" s="160"/>
      <c r="BS1957" s="160"/>
      <c r="BT1957" s="160"/>
      <c r="BU1957" s="160"/>
      <c r="BV1957" s="160"/>
      <c r="BW1957" s="160"/>
      <c r="BX1957" s="160"/>
      <c r="BY1957" s="160"/>
      <c r="BZ1957" s="160"/>
      <c r="CA1957" s="160"/>
      <c r="CB1957" s="160"/>
      <c r="CC1957" s="160"/>
      <c r="CD1957" s="160"/>
      <c r="CE1957" s="160"/>
      <c r="CF1957" s="160"/>
      <c r="CG1957" s="160"/>
      <c r="CH1957" s="160"/>
      <c r="CI1957" s="160"/>
      <c r="CJ1957" s="160"/>
      <c r="CK1957" s="160"/>
      <c r="CL1957" s="160"/>
      <c r="CM1957" s="160"/>
      <c r="CN1957" s="160"/>
      <c r="CO1957" s="160"/>
      <c r="CP1957" s="162"/>
      <c r="CQ1957" s="163"/>
      <c r="CR1957" s="162"/>
      <c r="CS1957" s="163"/>
      <c r="CT1957" s="162"/>
      <c r="CU1957" s="163"/>
      <c r="CV1957" s="164">
        <f t="shared" si="246"/>
        <v>0</v>
      </c>
      <c r="CW1957" s="165"/>
      <c r="CX1957" s="166"/>
      <c r="CY1957" s="167"/>
      <c r="CZ1957" s="168"/>
      <c r="DA1957" s="169"/>
      <c r="DB1957" s="168"/>
      <c r="DC1957" s="165"/>
      <c r="DD1957" s="166"/>
      <c r="DE1957" s="71"/>
      <c r="DF1957" s="170"/>
      <c r="EO1957" s="375" t="str">
        <f t="shared" si="247"/>
        <v>BOLIVAR_CARTAGENA</v>
      </c>
      <c r="EP1957" s="376"/>
      <c r="EQ1957" s="376"/>
      <c r="ER1957" s="377"/>
      <c r="ES1957" s="376"/>
      <c r="ET1957" s="376"/>
      <c r="EU1957" s="376"/>
    </row>
    <row r="1958" spans="1:151" s="171" customFormat="1" ht="25.5" x14ac:dyDescent="0.2">
      <c r="A1958" s="242">
        <v>40513</v>
      </c>
      <c r="B1958" s="222" t="s">
        <v>828</v>
      </c>
      <c r="C1958" s="222" t="s">
        <v>2002</v>
      </c>
      <c r="D1958" s="430" t="s">
        <v>2307</v>
      </c>
      <c r="E1958" s="107" t="str">
        <f>VLOOKUP(B1958&amp;C1958,Divipola!$C$2:$F$1138,4,FALSE)</f>
        <v>15514</v>
      </c>
      <c r="F1958" s="333"/>
      <c r="G1958" s="221"/>
      <c r="H1958" s="157"/>
      <c r="I1958" s="157"/>
      <c r="J1958" s="157">
        <f>103*5</f>
        <v>515</v>
      </c>
      <c r="K1958" s="157">
        <v>103</v>
      </c>
      <c r="L1958" s="157">
        <v>2</v>
      </c>
      <c r="M1958" s="157">
        <v>101</v>
      </c>
      <c r="N1958" s="157"/>
      <c r="O1958" s="157"/>
      <c r="P1958" s="157"/>
      <c r="Q1958" s="157"/>
      <c r="R1958" s="157"/>
      <c r="S1958" s="157"/>
      <c r="T1958" s="157"/>
      <c r="U1958" s="157"/>
      <c r="V1958" s="158"/>
      <c r="W1958" s="182"/>
      <c r="X1958" s="1"/>
      <c r="Y1958" s="78">
        <f t="shared" si="243"/>
        <v>0</v>
      </c>
      <c r="Z1958" s="78">
        <f t="shared" si="244"/>
        <v>0</v>
      </c>
      <c r="AA1958" s="78">
        <f t="shared" si="242"/>
        <v>0</v>
      </c>
      <c r="AB1958" s="78">
        <f t="shared" si="245"/>
        <v>0</v>
      </c>
      <c r="AC1958" s="78"/>
      <c r="AD1958" s="78">
        <v>0</v>
      </c>
      <c r="AE1958" s="80">
        <f t="shared" si="248"/>
        <v>0</v>
      </c>
      <c r="AF1958" s="82">
        <v>0</v>
      </c>
      <c r="AG1958" s="69">
        <v>40584</v>
      </c>
      <c r="AH1958" s="84"/>
      <c r="AI1958" s="69" t="s">
        <v>1984</v>
      </c>
      <c r="AJ1958" s="25" t="s">
        <v>1985</v>
      </c>
      <c r="AK1958" s="65"/>
      <c r="AL1958" s="176" t="s">
        <v>1257</v>
      </c>
      <c r="AM1958" s="173" t="s">
        <v>349</v>
      </c>
      <c r="AN1958" s="159"/>
      <c r="AO1958" s="160"/>
      <c r="AP1958" s="161"/>
      <c r="AQ1958" s="160"/>
      <c r="AR1958" s="160"/>
      <c r="AS1958" s="160"/>
      <c r="AT1958" s="160"/>
      <c r="AU1958" s="160"/>
      <c r="AV1958" s="160"/>
      <c r="AW1958" s="160"/>
      <c r="AX1958" s="160"/>
      <c r="AY1958" s="160"/>
      <c r="AZ1958" s="160"/>
      <c r="BA1958" s="160"/>
      <c r="BB1958" s="160"/>
      <c r="BC1958" s="160"/>
      <c r="BD1958" s="160"/>
      <c r="BE1958" s="160"/>
      <c r="BF1958" s="160"/>
      <c r="BG1958" s="160"/>
      <c r="BH1958" s="160"/>
      <c r="BI1958" s="160"/>
      <c r="BJ1958" s="160"/>
      <c r="BK1958" s="160"/>
      <c r="BL1958" s="160"/>
      <c r="BM1958" s="160"/>
      <c r="BN1958" s="160"/>
      <c r="BO1958" s="160"/>
      <c r="BP1958" s="160"/>
      <c r="BQ1958" s="160"/>
      <c r="BR1958" s="160"/>
      <c r="BS1958" s="160"/>
      <c r="BT1958" s="160"/>
      <c r="BU1958" s="160"/>
      <c r="BV1958" s="160"/>
      <c r="BW1958" s="160"/>
      <c r="BX1958" s="160"/>
      <c r="BY1958" s="160"/>
      <c r="BZ1958" s="160"/>
      <c r="CA1958" s="160"/>
      <c r="CB1958" s="160"/>
      <c r="CC1958" s="160"/>
      <c r="CD1958" s="160"/>
      <c r="CE1958" s="160"/>
      <c r="CF1958" s="160"/>
      <c r="CG1958" s="160"/>
      <c r="CH1958" s="160"/>
      <c r="CI1958" s="160"/>
      <c r="CJ1958" s="160"/>
      <c r="CK1958" s="160"/>
      <c r="CL1958" s="160"/>
      <c r="CM1958" s="160"/>
      <c r="CN1958" s="160"/>
      <c r="CO1958" s="160"/>
      <c r="CP1958" s="162"/>
      <c r="CQ1958" s="163"/>
      <c r="CR1958" s="162"/>
      <c r="CS1958" s="163"/>
      <c r="CT1958" s="162"/>
      <c r="CU1958" s="163"/>
      <c r="CV1958" s="164">
        <f t="shared" si="246"/>
        <v>0</v>
      </c>
      <c r="CW1958" s="165"/>
      <c r="CX1958" s="166"/>
      <c r="CY1958" s="167"/>
      <c r="CZ1958" s="168"/>
      <c r="DA1958" s="169"/>
      <c r="DB1958" s="168"/>
      <c r="DC1958" s="165"/>
      <c r="DD1958" s="166"/>
      <c r="DE1958" s="71"/>
      <c r="DF1958" s="170"/>
      <c r="EO1958" s="375" t="str">
        <f t="shared" si="247"/>
        <v>BOYACA_PAEZ</v>
      </c>
      <c r="EP1958" s="376"/>
      <c r="EQ1958" s="376"/>
      <c r="ER1958" s="377"/>
      <c r="ES1958" s="376"/>
      <c r="ET1958" s="376"/>
      <c r="EU1958" s="376"/>
    </row>
    <row r="1959" spans="1:151" s="171" customFormat="1" ht="25.5" x14ac:dyDescent="0.2">
      <c r="A1959" s="242">
        <v>40513</v>
      </c>
      <c r="B1959" s="222" t="s">
        <v>2425</v>
      </c>
      <c r="C1959" s="222" t="s">
        <v>1126</v>
      </c>
      <c r="D1959" s="430" t="s">
        <v>837</v>
      </c>
      <c r="E1959" s="107" t="str">
        <f>VLOOKUP(B1959&amp;C1959,Divipola!$C$2:$F$1138,4,FALSE)</f>
        <v>27077</v>
      </c>
      <c r="F1959" s="333"/>
      <c r="G1959" s="221"/>
      <c r="H1959" s="157"/>
      <c r="I1959" s="157"/>
      <c r="J1959" s="157">
        <f>1071*5</f>
        <v>5355</v>
      </c>
      <c r="K1959" s="157">
        <v>1071</v>
      </c>
      <c r="L1959" s="157"/>
      <c r="M1959" s="157"/>
      <c r="N1959" s="157"/>
      <c r="O1959" s="157"/>
      <c r="P1959" s="157"/>
      <c r="Q1959" s="157"/>
      <c r="R1959" s="157"/>
      <c r="S1959" s="157"/>
      <c r="T1959" s="157"/>
      <c r="U1959" s="157"/>
      <c r="V1959" s="158"/>
      <c r="W1959" s="182"/>
      <c r="X1959" s="1"/>
      <c r="Y1959" s="78">
        <f t="shared" si="243"/>
        <v>9272000</v>
      </c>
      <c r="Z1959" s="78">
        <f t="shared" si="244"/>
        <v>17340000</v>
      </c>
      <c r="AA1959" s="78">
        <f t="shared" si="242"/>
        <v>0</v>
      </c>
      <c r="AB1959" s="78">
        <f t="shared" si="245"/>
        <v>0</v>
      </c>
      <c r="AC1959" s="78"/>
      <c r="AD1959" s="78">
        <v>0</v>
      </c>
      <c r="AE1959" s="80">
        <f t="shared" si="248"/>
        <v>26612000</v>
      </c>
      <c r="AF1959" s="82">
        <v>0</v>
      </c>
      <c r="AG1959" s="69">
        <v>40515</v>
      </c>
      <c r="AH1959" s="84"/>
      <c r="AI1959" s="69" t="s">
        <v>2009</v>
      </c>
      <c r="AJ1959" s="25" t="s">
        <v>2010</v>
      </c>
      <c r="AK1959" s="65"/>
      <c r="AL1959" s="176"/>
      <c r="AM1959" s="173" t="s">
        <v>1128</v>
      </c>
      <c r="AN1959" s="159"/>
      <c r="AO1959" s="160"/>
      <c r="AP1959" s="161"/>
      <c r="AQ1959" s="160"/>
      <c r="AR1959" s="160"/>
      <c r="AS1959" s="160"/>
      <c r="AT1959" s="160"/>
      <c r="AU1959" s="160"/>
      <c r="AV1959" s="160"/>
      <c r="AW1959" s="160"/>
      <c r="AX1959" s="160"/>
      <c r="AY1959" s="160"/>
      <c r="AZ1959" s="160"/>
      <c r="BA1959" s="160"/>
      <c r="BB1959" s="160">
        <v>100</v>
      </c>
      <c r="BC1959" s="160">
        <f>100*56000</f>
        <v>5600000</v>
      </c>
      <c r="BD1959" s="160"/>
      <c r="BE1959" s="160"/>
      <c r="BF1959" s="160"/>
      <c r="BG1959" s="160"/>
      <c r="BH1959" s="160"/>
      <c r="BI1959" s="160"/>
      <c r="BJ1959" s="160"/>
      <c r="BK1959" s="160"/>
      <c r="BL1959" s="160"/>
      <c r="BM1959" s="160"/>
      <c r="BN1959" s="160"/>
      <c r="BO1959" s="160"/>
      <c r="BP1959" s="160"/>
      <c r="BQ1959" s="160"/>
      <c r="BR1959" s="160"/>
      <c r="BS1959" s="160"/>
      <c r="BT1959" s="160"/>
      <c r="BU1959" s="160"/>
      <c r="BV1959" s="160"/>
      <c r="BW1959" s="160"/>
      <c r="BX1959" s="160"/>
      <c r="BY1959" s="160"/>
      <c r="BZ1959" s="160"/>
      <c r="CA1959" s="160"/>
      <c r="CB1959" s="160"/>
      <c r="CC1959" s="160"/>
      <c r="CD1959" s="160"/>
      <c r="CE1959" s="160"/>
      <c r="CF1959" s="160"/>
      <c r="CG1959" s="160"/>
      <c r="CH1959" s="160"/>
      <c r="CI1959" s="160"/>
      <c r="CJ1959" s="160"/>
      <c r="CK1959" s="160"/>
      <c r="CL1959" s="160"/>
      <c r="CM1959" s="160"/>
      <c r="CN1959" s="160">
        <v>204</v>
      </c>
      <c r="CO1959" s="160">
        <f>204*18000</f>
        <v>3672000</v>
      </c>
      <c r="CP1959" s="162"/>
      <c r="CQ1959" s="163"/>
      <c r="CR1959" s="162"/>
      <c r="CS1959" s="163"/>
      <c r="CT1959" s="162"/>
      <c r="CU1959" s="163"/>
      <c r="CV1959" s="164">
        <f t="shared" si="246"/>
        <v>9272000</v>
      </c>
      <c r="CW1959" s="165"/>
      <c r="CX1959" s="166"/>
      <c r="CY1959" s="167">
        <v>204</v>
      </c>
      <c r="CZ1959" s="168">
        <f>204*85000</f>
        <v>17340000</v>
      </c>
      <c r="DA1959" s="169"/>
      <c r="DB1959" s="168"/>
      <c r="DC1959" s="165"/>
      <c r="DD1959" s="166"/>
      <c r="DE1959" s="71"/>
      <c r="DF1959" s="170"/>
      <c r="EO1959" s="375" t="str">
        <f t="shared" si="247"/>
        <v>CHOCO_BAJO BAUDO</v>
      </c>
      <c r="EP1959" s="376"/>
      <c r="EQ1959" s="376"/>
      <c r="ER1959" s="377"/>
      <c r="ES1959" s="376"/>
      <c r="ET1959" s="376"/>
      <c r="EU1959" s="376"/>
    </row>
    <row r="1960" spans="1:151" s="171" customFormat="1" ht="51" x14ac:dyDescent="0.2">
      <c r="A1960" s="242">
        <v>40513</v>
      </c>
      <c r="B1960" s="107" t="s">
        <v>1700</v>
      </c>
      <c r="C1960" s="222" t="s">
        <v>543</v>
      </c>
      <c r="D1960" s="430" t="s">
        <v>837</v>
      </c>
      <c r="E1960" s="107" t="str">
        <f>VLOOKUP(B1960&amp;C1960,Divipola!$C$2:$F$1138,4,FALSE)</f>
        <v>23419</v>
      </c>
      <c r="F1960" s="333"/>
      <c r="G1960" s="221"/>
      <c r="H1960" s="157"/>
      <c r="I1960" s="157"/>
      <c r="J1960" s="157">
        <v>270</v>
      </c>
      <c r="K1960" s="157">
        <v>60</v>
      </c>
      <c r="L1960" s="157"/>
      <c r="M1960" s="157">
        <v>60</v>
      </c>
      <c r="N1960" s="157"/>
      <c r="O1960" s="157"/>
      <c r="P1960" s="157"/>
      <c r="Q1960" s="157"/>
      <c r="R1960" s="157"/>
      <c r="S1960" s="157"/>
      <c r="T1960" s="157"/>
      <c r="U1960" s="157"/>
      <c r="V1960" s="158"/>
      <c r="W1960" s="182"/>
      <c r="X1960" s="1"/>
      <c r="Y1960" s="78">
        <f t="shared" si="243"/>
        <v>0</v>
      </c>
      <c r="Z1960" s="78">
        <f t="shared" si="244"/>
        <v>0</v>
      </c>
      <c r="AA1960" s="78">
        <f t="shared" si="242"/>
        <v>0</v>
      </c>
      <c r="AB1960" s="78">
        <f t="shared" si="245"/>
        <v>0</v>
      </c>
      <c r="AC1960" s="78"/>
      <c r="AD1960" s="78">
        <v>0</v>
      </c>
      <c r="AE1960" s="80">
        <f t="shared" si="248"/>
        <v>0</v>
      </c>
      <c r="AF1960" s="82">
        <v>0</v>
      </c>
      <c r="AG1960" s="69">
        <v>40515</v>
      </c>
      <c r="AH1960" s="84"/>
      <c r="AI1960" s="69" t="s">
        <v>2009</v>
      </c>
      <c r="AJ1960" s="276" t="s">
        <v>2010</v>
      </c>
      <c r="AK1960" s="65"/>
      <c r="AL1960" s="272" t="s">
        <v>311</v>
      </c>
      <c r="AM1960" s="173" t="s">
        <v>544</v>
      </c>
      <c r="AN1960" s="159"/>
      <c r="AO1960" s="160"/>
      <c r="AP1960" s="161"/>
      <c r="AQ1960" s="160"/>
      <c r="AR1960" s="160"/>
      <c r="AS1960" s="160"/>
      <c r="AT1960" s="160"/>
      <c r="AU1960" s="160"/>
      <c r="AV1960" s="160"/>
      <c r="AW1960" s="160"/>
      <c r="AX1960" s="160"/>
      <c r="AY1960" s="160"/>
      <c r="AZ1960" s="160"/>
      <c r="BA1960" s="160"/>
      <c r="BB1960" s="160"/>
      <c r="BC1960" s="160"/>
      <c r="BD1960" s="160"/>
      <c r="BE1960" s="160"/>
      <c r="BF1960" s="160"/>
      <c r="BG1960" s="160"/>
      <c r="BH1960" s="160"/>
      <c r="BI1960" s="160"/>
      <c r="BJ1960" s="160"/>
      <c r="BK1960" s="160"/>
      <c r="BL1960" s="160"/>
      <c r="BM1960" s="160"/>
      <c r="BN1960" s="160"/>
      <c r="BO1960" s="160"/>
      <c r="BP1960" s="160"/>
      <c r="BQ1960" s="160"/>
      <c r="BR1960" s="160"/>
      <c r="BS1960" s="160"/>
      <c r="BT1960" s="160"/>
      <c r="BU1960" s="160"/>
      <c r="BV1960" s="160"/>
      <c r="BW1960" s="160"/>
      <c r="BX1960" s="160"/>
      <c r="BY1960" s="160"/>
      <c r="BZ1960" s="160"/>
      <c r="CA1960" s="160"/>
      <c r="CB1960" s="160"/>
      <c r="CC1960" s="160"/>
      <c r="CD1960" s="160"/>
      <c r="CE1960" s="160"/>
      <c r="CF1960" s="160"/>
      <c r="CG1960" s="160"/>
      <c r="CH1960" s="160"/>
      <c r="CI1960" s="160"/>
      <c r="CJ1960" s="160"/>
      <c r="CK1960" s="160"/>
      <c r="CL1960" s="160"/>
      <c r="CM1960" s="160"/>
      <c r="CN1960" s="160"/>
      <c r="CO1960" s="160"/>
      <c r="CP1960" s="162"/>
      <c r="CQ1960" s="163"/>
      <c r="CR1960" s="162"/>
      <c r="CS1960" s="163"/>
      <c r="CT1960" s="162"/>
      <c r="CU1960" s="163"/>
      <c r="CV1960" s="164">
        <f t="shared" si="246"/>
        <v>0</v>
      </c>
      <c r="CW1960" s="165"/>
      <c r="CX1960" s="166"/>
      <c r="CY1960" s="167"/>
      <c r="CZ1960" s="168"/>
      <c r="DA1960" s="169"/>
      <c r="DB1960" s="168"/>
      <c r="DC1960" s="165"/>
      <c r="DD1960" s="166"/>
      <c r="DE1960" s="71"/>
      <c r="DF1960" s="170"/>
      <c r="EO1960" s="375" t="str">
        <f t="shared" si="247"/>
        <v>CORDOBA_LOS CORDOBAS</v>
      </c>
      <c r="EP1960" s="376"/>
      <c r="EQ1960" s="376"/>
      <c r="ER1960" s="377"/>
      <c r="ES1960" s="376"/>
      <c r="ET1960" s="376"/>
      <c r="EU1960" s="376"/>
    </row>
    <row r="1961" spans="1:151" s="171" customFormat="1" ht="51" x14ac:dyDescent="0.2">
      <c r="A1961" s="242">
        <v>40513</v>
      </c>
      <c r="B1961" s="222" t="s">
        <v>2007</v>
      </c>
      <c r="C1961" s="222" t="s">
        <v>4374</v>
      </c>
      <c r="D1961" s="430" t="s">
        <v>2307</v>
      </c>
      <c r="E1961" s="107" t="str">
        <f>VLOOKUP(B1961&amp;C1961,Divipola!$C$2:$F$1138,4,FALSE)</f>
        <v>25662</v>
      </c>
      <c r="F1961" s="333"/>
      <c r="G1961" s="221">
        <v>1</v>
      </c>
      <c r="H1961" s="157"/>
      <c r="I1961" s="157"/>
      <c r="J1961" s="157">
        <v>380</v>
      </c>
      <c r="K1961" s="157">
        <v>117</v>
      </c>
      <c r="L1961" s="157">
        <v>1</v>
      </c>
      <c r="M1961" s="157">
        <v>3</v>
      </c>
      <c r="N1961" s="157"/>
      <c r="O1961" s="157"/>
      <c r="P1961" s="157"/>
      <c r="Q1961" s="157"/>
      <c r="R1961" s="157"/>
      <c r="S1961" s="157"/>
      <c r="T1961" s="157"/>
      <c r="U1961" s="157"/>
      <c r="V1961" s="158"/>
      <c r="W1961" s="182"/>
      <c r="X1961" s="1"/>
      <c r="Y1961" s="78">
        <f t="shared" si="243"/>
        <v>0</v>
      </c>
      <c r="Z1961" s="78">
        <f t="shared" si="244"/>
        <v>0</v>
      </c>
      <c r="AA1961" s="78">
        <f t="shared" si="242"/>
        <v>0</v>
      </c>
      <c r="AB1961" s="78">
        <f t="shared" si="245"/>
        <v>0</v>
      </c>
      <c r="AC1961" s="78"/>
      <c r="AD1961" s="78">
        <v>0</v>
      </c>
      <c r="AE1961" s="80">
        <f t="shared" si="248"/>
        <v>0</v>
      </c>
      <c r="AF1961" s="82">
        <v>0</v>
      </c>
      <c r="AG1961" s="69">
        <v>40513</v>
      </c>
      <c r="AH1961" s="84"/>
      <c r="AI1961" s="69" t="s">
        <v>1984</v>
      </c>
      <c r="AJ1961" s="25" t="s">
        <v>1985</v>
      </c>
      <c r="AK1961" s="65"/>
      <c r="AL1961" s="176" t="s">
        <v>1257</v>
      </c>
      <c r="AM1961" s="173" t="s">
        <v>515</v>
      </c>
      <c r="AN1961" s="159"/>
      <c r="AO1961" s="160"/>
      <c r="AP1961" s="161"/>
      <c r="AQ1961" s="160"/>
      <c r="AR1961" s="160"/>
      <c r="AS1961" s="160"/>
      <c r="AT1961" s="160"/>
      <c r="AU1961" s="160"/>
      <c r="AV1961" s="160"/>
      <c r="AW1961" s="160"/>
      <c r="AX1961" s="160"/>
      <c r="AY1961" s="160"/>
      <c r="AZ1961" s="160"/>
      <c r="BA1961" s="160"/>
      <c r="BB1961" s="160"/>
      <c r="BC1961" s="160"/>
      <c r="BD1961" s="160"/>
      <c r="BE1961" s="160"/>
      <c r="BF1961" s="160"/>
      <c r="BG1961" s="160"/>
      <c r="BH1961" s="160"/>
      <c r="BI1961" s="160"/>
      <c r="BJ1961" s="160"/>
      <c r="BK1961" s="160"/>
      <c r="BL1961" s="160"/>
      <c r="BM1961" s="160"/>
      <c r="BN1961" s="160"/>
      <c r="BO1961" s="160"/>
      <c r="BP1961" s="160"/>
      <c r="BQ1961" s="160"/>
      <c r="BR1961" s="160"/>
      <c r="BS1961" s="160"/>
      <c r="BT1961" s="160"/>
      <c r="BU1961" s="160"/>
      <c r="BV1961" s="160"/>
      <c r="BW1961" s="160"/>
      <c r="BX1961" s="160"/>
      <c r="BY1961" s="160"/>
      <c r="BZ1961" s="160"/>
      <c r="CA1961" s="160"/>
      <c r="CB1961" s="160"/>
      <c r="CC1961" s="160"/>
      <c r="CD1961" s="160"/>
      <c r="CE1961" s="160"/>
      <c r="CF1961" s="160"/>
      <c r="CG1961" s="160"/>
      <c r="CH1961" s="160"/>
      <c r="CI1961" s="160"/>
      <c r="CJ1961" s="160"/>
      <c r="CK1961" s="160"/>
      <c r="CL1961" s="160"/>
      <c r="CM1961" s="160"/>
      <c r="CN1961" s="160"/>
      <c r="CO1961" s="160"/>
      <c r="CP1961" s="162"/>
      <c r="CQ1961" s="163"/>
      <c r="CR1961" s="162"/>
      <c r="CS1961" s="163"/>
      <c r="CT1961" s="162"/>
      <c r="CU1961" s="163"/>
      <c r="CV1961" s="164">
        <f t="shared" si="246"/>
        <v>0</v>
      </c>
      <c r="CW1961" s="165"/>
      <c r="CX1961" s="166"/>
      <c r="CY1961" s="167"/>
      <c r="CZ1961" s="168"/>
      <c r="DA1961" s="169"/>
      <c r="DB1961" s="168"/>
      <c r="DC1961" s="165"/>
      <c r="DD1961" s="166"/>
      <c r="DE1961" s="71"/>
      <c r="DF1961" s="170"/>
      <c r="EO1961" s="375" t="str">
        <f t="shared" si="247"/>
        <v>CUNDINAMARCA_SAN JUAN DE RIO SECO</v>
      </c>
      <c r="EP1961" s="376"/>
      <c r="EQ1961" s="376"/>
      <c r="ER1961" s="377"/>
      <c r="ES1961" s="376"/>
      <c r="ET1961" s="376"/>
      <c r="EU1961" s="376"/>
    </row>
    <row r="1962" spans="1:151" s="171" customFormat="1" ht="132" x14ac:dyDescent="0.2">
      <c r="A1962" s="242">
        <v>40513</v>
      </c>
      <c r="B1962" s="222" t="s">
        <v>2245</v>
      </c>
      <c r="C1962" s="222" t="s">
        <v>562</v>
      </c>
      <c r="D1962" s="430" t="s">
        <v>2307</v>
      </c>
      <c r="E1962" s="107" t="str">
        <f>VLOOKUP(B1962&amp;C1962,Divipola!$C$2:$F$1138,4,FALSE)</f>
        <v>52506</v>
      </c>
      <c r="F1962" s="333"/>
      <c r="G1962" s="221"/>
      <c r="H1962" s="157"/>
      <c r="I1962" s="157"/>
      <c r="J1962" s="157">
        <v>914</v>
      </c>
      <c r="K1962" s="157">
        <v>198</v>
      </c>
      <c r="L1962" s="157"/>
      <c r="M1962" s="157">
        <v>198</v>
      </c>
      <c r="N1962" s="157">
        <v>18</v>
      </c>
      <c r="O1962" s="157"/>
      <c r="P1962" s="157"/>
      <c r="Q1962" s="157"/>
      <c r="R1962" s="157"/>
      <c r="S1962" s="157"/>
      <c r="T1962" s="157"/>
      <c r="U1962" s="157"/>
      <c r="V1962" s="158"/>
      <c r="W1962" s="182"/>
      <c r="X1962" s="1"/>
      <c r="Y1962" s="78">
        <f t="shared" si="243"/>
        <v>0</v>
      </c>
      <c r="Z1962" s="78">
        <f t="shared" si="244"/>
        <v>0</v>
      </c>
      <c r="AA1962" s="78">
        <f t="shared" si="242"/>
        <v>0</v>
      </c>
      <c r="AB1962" s="78">
        <f t="shared" si="245"/>
        <v>0</v>
      </c>
      <c r="AC1962" s="78"/>
      <c r="AD1962" s="78">
        <v>0</v>
      </c>
      <c r="AE1962" s="80">
        <f t="shared" si="248"/>
        <v>0</v>
      </c>
      <c r="AF1962" s="82">
        <v>0</v>
      </c>
      <c r="AG1962" s="69">
        <v>40539</v>
      </c>
      <c r="AH1962" s="84"/>
      <c r="AI1962" s="69" t="s">
        <v>1984</v>
      </c>
      <c r="AJ1962" s="25" t="s">
        <v>1985</v>
      </c>
      <c r="AK1962" s="65"/>
      <c r="AL1962" s="176" t="s">
        <v>1257</v>
      </c>
      <c r="AM1962" s="173" t="s">
        <v>3001</v>
      </c>
      <c r="AN1962" s="159"/>
      <c r="AO1962" s="160"/>
      <c r="AP1962" s="161"/>
      <c r="AQ1962" s="160"/>
      <c r="AR1962" s="160"/>
      <c r="AS1962" s="160"/>
      <c r="AT1962" s="160"/>
      <c r="AU1962" s="160"/>
      <c r="AV1962" s="160"/>
      <c r="AW1962" s="160"/>
      <c r="AX1962" s="160"/>
      <c r="AY1962" s="160"/>
      <c r="AZ1962" s="160"/>
      <c r="BA1962" s="160"/>
      <c r="BB1962" s="160"/>
      <c r="BC1962" s="160"/>
      <c r="BD1962" s="160"/>
      <c r="BE1962" s="160"/>
      <c r="BF1962" s="160"/>
      <c r="BG1962" s="160"/>
      <c r="BH1962" s="160"/>
      <c r="BI1962" s="160"/>
      <c r="BJ1962" s="160"/>
      <c r="BK1962" s="160"/>
      <c r="BL1962" s="160"/>
      <c r="BM1962" s="160"/>
      <c r="BN1962" s="160"/>
      <c r="BO1962" s="160"/>
      <c r="BP1962" s="160"/>
      <c r="BQ1962" s="160"/>
      <c r="BR1962" s="160"/>
      <c r="BS1962" s="160"/>
      <c r="BT1962" s="160"/>
      <c r="BU1962" s="160"/>
      <c r="BV1962" s="160"/>
      <c r="BW1962" s="160"/>
      <c r="BX1962" s="160"/>
      <c r="BY1962" s="160"/>
      <c r="BZ1962" s="160"/>
      <c r="CA1962" s="160"/>
      <c r="CB1962" s="160"/>
      <c r="CC1962" s="160"/>
      <c r="CD1962" s="160"/>
      <c r="CE1962" s="160"/>
      <c r="CF1962" s="160"/>
      <c r="CG1962" s="160"/>
      <c r="CH1962" s="160"/>
      <c r="CI1962" s="160"/>
      <c r="CJ1962" s="160"/>
      <c r="CK1962" s="160"/>
      <c r="CL1962" s="160"/>
      <c r="CM1962" s="160"/>
      <c r="CN1962" s="160"/>
      <c r="CO1962" s="160"/>
      <c r="CP1962" s="162"/>
      <c r="CQ1962" s="163"/>
      <c r="CR1962" s="162"/>
      <c r="CS1962" s="163"/>
      <c r="CT1962" s="162"/>
      <c r="CU1962" s="163"/>
      <c r="CV1962" s="164">
        <f t="shared" si="246"/>
        <v>0</v>
      </c>
      <c r="CW1962" s="165"/>
      <c r="CX1962" s="166"/>
      <c r="CY1962" s="167"/>
      <c r="CZ1962" s="168"/>
      <c r="DA1962" s="169"/>
      <c r="DB1962" s="168"/>
      <c r="DC1962" s="165"/>
      <c r="DD1962" s="166"/>
      <c r="DE1962" s="71"/>
      <c r="DF1962" s="170"/>
      <c r="EO1962" s="375" t="str">
        <f t="shared" si="247"/>
        <v>NARIÑO_OSPINA</v>
      </c>
      <c r="EP1962" s="376"/>
      <c r="EQ1962" s="376"/>
      <c r="ER1962" s="377"/>
      <c r="ES1962" s="376"/>
      <c r="ET1962" s="376"/>
      <c r="EU1962" s="376"/>
    </row>
    <row r="1963" spans="1:151" s="171" customFormat="1" ht="25.5" x14ac:dyDescent="0.2">
      <c r="A1963" s="242">
        <v>40513</v>
      </c>
      <c r="B1963" s="222" t="s">
        <v>2245</v>
      </c>
      <c r="C1963" s="222" t="s">
        <v>3002</v>
      </c>
      <c r="D1963" s="430" t="s">
        <v>2307</v>
      </c>
      <c r="E1963" s="107" t="str">
        <f>VLOOKUP(B1963&amp;C1963,Divipola!$C$2:$F$1138,4,FALSE)</f>
        <v>52560</v>
      </c>
      <c r="F1963" s="333"/>
      <c r="G1963" s="221"/>
      <c r="H1963" s="157"/>
      <c r="I1963" s="157"/>
      <c r="J1963" s="157">
        <v>1063</v>
      </c>
      <c r="K1963" s="157">
        <v>266</v>
      </c>
      <c r="L1963" s="157">
        <v>1</v>
      </c>
      <c r="M1963" s="157">
        <v>180</v>
      </c>
      <c r="N1963" s="157">
        <v>1</v>
      </c>
      <c r="O1963" s="157"/>
      <c r="P1963" s="157"/>
      <c r="Q1963" s="157"/>
      <c r="R1963" s="157"/>
      <c r="S1963" s="157"/>
      <c r="T1963" s="157"/>
      <c r="U1963" s="157"/>
      <c r="V1963" s="158"/>
      <c r="W1963" s="182"/>
      <c r="X1963" s="1"/>
      <c r="Y1963" s="78">
        <f t="shared" si="243"/>
        <v>0</v>
      </c>
      <c r="Z1963" s="78">
        <f t="shared" si="244"/>
        <v>0</v>
      </c>
      <c r="AA1963" s="78">
        <f t="shared" si="242"/>
        <v>0</v>
      </c>
      <c r="AB1963" s="78">
        <f t="shared" si="245"/>
        <v>0</v>
      </c>
      <c r="AC1963" s="78"/>
      <c r="AD1963" s="78">
        <v>0</v>
      </c>
      <c r="AE1963" s="80">
        <f t="shared" si="248"/>
        <v>0</v>
      </c>
      <c r="AF1963" s="82">
        <v>0</v>
      </c>
      <c r="AG1963" s="69">
        <v>40546</v>
      </c>
      <c r="AH1963" s="84"/>
      <c r="AI1963" s="69" t="s">
        <v>1984</v>
      </c>
      <c r="AJ1963" s="25" t="s">
        <v>1985</v>
      </c>
      <c r="AK1963" s="65"/>
      <c r="AL1963" s="176" t="s">
        <v>1257</v>
      </c>
      <c r="AM1963" s="173" t="s">
        <v>3003</v>
      </c>
      <c r="AN1963" s="159"/>
      <c r="AO1963" s="160"/>
      <c r="AP1963" s="161"/>
      <c r="AQ1963" s="160"/>
      <c r="AR1963" s="160"/>
      <c r="AS1963" s="160"/>
      <c r="AT1963" s="160"/>
      <c r="AU1963" s="160"/>
      <c r="AV1963" s="160"/>
      <c r="AW1963" s="160"/>
      <c r="AX1963" s="160"/>
      <c r="AY1963" s="160"/>
      <c r="AZ1963" s="160"/>
      <c r="BA1963" s="160"/>
      <c r="BB1963" s="160"/>
      <c r="BC1963" s="160"/>
      <c r="BD1963" s="160"/>
      <c r="BE1963" s="160"/>
      <c r="BF1963" s="160"/>
      <c r="BG1963" s="160"/>
      <c r="BH1963" s="160"/>
      <c r="BI1963" s="160"/>
      <c r="BJ1963" s="160"/>
      <c r="BK1963" s="160"/>
      <c r="BL1963" s="160"/>
      <c r="BM1963" s="160"/>
      <c r="BN1963" s="160"/>
      <c r="BO1963" s="160"/>
      <c r="BP1963" s="160"/>
      <c r="BQ1963" s="160"/>
      <c r="BR1963" s="160"/>
      <c r="BS1963" s="160"/>
      <c r="BT1963" s="160"/>
      <c r="BU1963" s="160"/>
      <c r="BV1963" s="160"/>
      <c r="BW1963" s="160"/>
      <c r="BX1963" s="160"/>
      <c r="BY1963" s="160"/>
      <c r="BZ1963" s="160"/>
      <c r="CA1963" s="160"/>
      <c r="CB1963" s="160"/>
      <c r="CC1963" s="160"/>
      <c r="CD1963" s="160"/>
      <c r="CE1963" s="160"/>
      <c r="CF1963" s="160"/>
      <c r="CG1963" s="160"/>
      <c r="CH1963" s="160"/>
      <c r="CI1963" s="160"/>
      <c r="CJ1963" s="160"/>
      <c r="CK1963" s="160"/>
      <c r="CL1963" s="160"/>
      <c r="CM1963" s="160"/>
      <c r="CN1963" s="160"/>
      <c r="CO1963" s="160"/>
      <c r="CP1963" s="162"/>
      <c r="CQ1963" s="163"/>
      <c r="CR1963" s="162"/>
      <c r="CS1963" s="163"/>
      <c r="CT1963" s="162"/>
      <c r="CU1963" s="163"/>
      <c r="CV1963" s="164">
        <f t="shared" si="246"/>
        <v>0</v>
      </c>
      <c r="CW1963" s="165"/>
      <c r="CX1963" s="166"/>
      <c r="CY1963" s="167"/>
      <c r="CZ1963" s="168"/>
      <c r="DA1963" s="169"/>
      <c r="DB1963" s="168"/>
      <c r="DC1963" s="165"/>
      <c r="DD1963" s="166"/>
      <c r="DE1963" s="71"/>
      <c r="DF1963" s="170"/>
      <c r="EO1963" s="375" t="str">
        <f t="shared" si="247"/>
        <v>NARIÑO_POTOSI</v>
      </c>
      <c r="EP1963" s="376"/>
      <c r="EQ1963" s="376"/>
      <c r="ER1963" s="377"/>
      <c r="ES1963" s="376"/>
      <c r="ET1963" s="376"/>
      <c r="EU1963" s="376"/>
    </row>
    <row r="1964" spans="1:151" s="171" customFormat="1" ht="51" x14ac:dyDescent="0.2">
      <c r="A1964" s="242">
        <v>40513</v>
      </c>
      <c r="B1964" s="222" t="s">
        <v>1336</v>
      </c>
      <c r="C1964" s="222" t="s">
        <v>645</v>
      </c>
      <c r="D1964" s="430" t="s">
        <v>2307</v>
      </c>
      <c r="E1964" s="107" t="str">
        <f>VLOOKUP(B1964&amp;C1964,Divipola!$C$2:$F$1138,4,FALSE)</f>
        <v>54109</v>
      </c>
      <c r="F1964" s="333"/>
      <c r="G1964" s="221"/>
      <c r="H1964" s="157"/>
      <c r="I1964" s="157"/>
      <c r="J1964" s="157">
        <f>1238-355-10</f>
        <v>873</v>
      </c>
      <c r="K1964" s="157">
        <v>187</v>
      </c>
      <c r="L1964" s="157">
        <v>22</v>
      </c>
      <c r="M1964" s="157">
        <v>117</v>
      </c>
      <c r="N1964" s="157"/>
      <c r="O1964" s="157"/>
      <c r="P1964" s="157"/>
      <c r="Q1964" s="157"/>
      <c r="R1964" s="157"/>
      <c r="S1964" s="157"/>
      <c r="T1964" s="157">
        <v>1</v>
      </c>
      <c r="U1964" s="157"/>
      <c r="V1964" s="158"/>
      <c r="W1964" s="182"/>
      <c r="X1964" s="1"/>
      <c r="Y1964" s="78">
        <f t="shared" si="243"/>
        <v>0</v>
      </c>
      <c r="Z1964" s="78">
        <f t="shared" si="244"/>
        <v>0</v>
      </c>
      <c r="AA1964" s="78">
        <f t="shared" si="242"/>
        <v>0</v>
      </c>
      <c r="AB1964" s="78">
        <f t="shared" si="245"/>
        <v>0</v>
      </c>
      <c r="AC1964" s="78"/>
      <c r="AD1964" s="78">
        <v>0</v>
      </c>
      <c r="AE1964" s="80">
        <f t="shared" si="248"/>
        <v>0</v>
      </c>
      <c r="AF1964" s="82">
        <v>0</v>
      </c>
      <c r="AG1964" s="69">
        <v>40529</v>
      </c>
      <c r="AH1964" s="84"/>
      <c r="AI1964" s="69" t="s">
        <v>2009</v>
      </c>
      <c r="AJ1964" s="276" t="s">
        <v>2010</v>
      </c>
      <c r="AK1964" s="65"/>
      <c r="AL1964" s="272" t="s">
        <v>311</v>
      </c>
      <c r="AM1964" s="173" t="s">
        <v>592</v>
      </c>
      <c r="AN1964" s="159"/>
      <c r="AO1964" s="160"/>
      <c r="AP1964" s="161"/>
      <c r="AQ1964" s="160"/>
      <c r="AR1964" s="160"/>
      <c r="AS1964" s="160"/>
      <c r="AT1964" s="160"/>
      <c r="AU1964" s="160"/>
      <c r="AV1964" s="160"/>
      <c r="AW1964" s="160"/>
      <c r="AX1964" s="160"/>
      <c r="AY1964" s="160"/>
      <c r="AZ1964" s="160"/>
      <c r="BA1964" s="160"/>
      <c r="BB1964" s="160"/>
      <c r="BC1964" s="160"/>
      <c r="BD1964" s="160"/>
      <c r="BE1964" s="160"/>
      <c r="BF1964" s="160"/>
      <c r="BG1964" s="160"/>
      <c r="BH1964" s="160"/>
      <c r="BI1964" s="160"/>
      <c r="BJ1964" s="160"/>
      <c r="BK1964" s="160"/>
      <c r="BL1964" s="160"/>
      <c r="BM1964" s="160"/>
      <c r="BN1964" s="160"/>
      <c r="BO1964" s="160"/>
      <c r="BP1964" s="160"/>
      <c r="BQ1964" s="160"/>
      <c r="BR1964" s="160"/>
      <c r="BS1964" s="160"/>
      <c r="BT1964" s="160"/>
      <c r="BU1964" s="160"/>
      <c r="BV1964" s="160"/>
      <c r="BW1964" s="160"/>
      <c r="BX1964" s="160"/>
      <c r="BY1964" s="160"/>
      <c r="BZ1964" s="160"/>
      <c r="CA1964" s="160"/>
      <c r="CB1964" s="160"/>
      <c r="CC1964" s="160"/>
      <c r="CD1964" s="160"/>
      <c r="CE1964" s="160"/>
      <c r="CF1964" s="160"/>
      <c r="CG1964" s="160"/>
      <c r="CH1964" s="160"/>
      <c r="CI1964" s="160"/>
      <c r="CJ1964" s="160"/>
      <c r="CK1964" s="160"/>
      <c r="CL1964" s="160"/>
      <c r="CM1964" s="160"/>
      <c r="CN1964" s="160"/>
      <c r="CO1964" s="160"/>
      <c r="CP1964" s="162"/>
      <c r="CQ1964" s="163"/>
      <c r="CR1964" s="162"/>
      <c r="CS1964" s="163"/>
      <c r="CT1964" s="162"/>
      <c r="CU1964" s="163"/>
      <c r="CV1964" s="164">
        <f t="shared" si="246"/>
        <v>0</v>
      </c>
      <c r="CW1964" s="165"/>
      <c r="CX1964" s="166"/>
      <c r="CY1964" s="167"/>
      <c r="CZ1964" s="168"/>
      <c r="DA1964" s="169"/>
      <c r="DB1964" s="168"/>
      <c r="DC1964" s="165"/>
      <c r="DD1964" s="166"/>
      <c r="DE1964" s="71"/>
      <c r="DF1964" s="170"/>
      <c r="EO1964" s="375" t="str">
        <f t="shared" si="247"/>
        <v>NORTE DE SANTANDER_BUCARASICA</v>
      </c>
      <c r="EP1964" s="376"/>
      <c r="EQ1964" s="376"/>
      <c r="ER1964" s="377"/>
      <c r="ES1964" s="376"/>
      <c r="ET1964" s="376"/>
      <c r="EU1964" s="376"/>
    </row>
    <row r="1965" spans="1:151" s="171" customFormat="1" ht="51" x14ac:dyDescent="0.2">
      <c r="A1965" s="242">
        <v>40513</v>
      </c>
      <c r="B1965" s="222" t="s">
        <v>1336</v>
      </c>
      <c r="C1965" s="222" t="s">
        <v>1350</v>
      </c>
      <c r="D1965" s="430" t="s">
        <v>2307</v>
      </c>
      <c r="E1965" s="107" t="str">
        <f>VLOOKUP(B1965&amp;C1965,Divipola!$C$2:$F$1138,4,FALSE)</f>
        <v>54223</v>
      </c>
      <c r="F1965" s="333"/>
      <c r="G1965" s="221"/>
      <c r="H1965" s="157"/>
      <c r="I1965" s="157"/>
      <c r="J1965" s="157">
        <v>100</v>
      </c>
      <c r="K1965" s="157">
        <v>20</v>
      </c>
      <c r="L1965" s="157">
        <v>6</v>
      </c>
      <c r="M1965" s="157"/>
      <c r="N1965" s="157"/>
      <c r="O1965" s="157"/>
      <c r="P1965" s="157"/>
      <c r="Q1965" s="157"/>
      <c r="R1965" s="157"/>
      <c r="S1965" s="157"/>
      <c r="T1965" s="157"/>
      <c r="U1965" s="157"/>
      <c r="V1965" s="158"/>
      <c r="W1965" s="182"/>
      <c r="X1965" s="1"/>
      <c r="Y1965" s="78">
        <f t="shared" si="243"/>
        <v>0</v>
      </c>
      <c r="Z1965" s="78">
        <f t="shared" si="244"/>
        <v>0</v>
      </c>
      <c r="AA1965" s="78">
        <f t="shared" si="242"/>
        <v>0</v>
      </c>
      <c r="AB1965" s="78">
        <f t="shared" si="245"/>
        <v>0</v>
      </c>
      <c r="AC1965" s="78"/>
      <c r="AD1965" s="78">
        <v>0</v>
      </c>
      <c r="AE1965" s="80">
        <f t="shared" si="248"/>
        <v>0</v>
      </c>
      <c r="AF1965" s="82">
        <v>0</v>
      </c>
      <c r="AG1965" s="69">
        <v>40529</v>
      </c>
      <c r="AH1965" s="84"/>
      <c r="AI1965" s="69" t="s">
        <v>2009</v>
      </c>
      <c r="AJ1965" s="276" t="s">
        <v>2010</v>
      </c>
      <c r="AK1965" s="65"/>
      <c r="AL1965" s="272" t="s">
        <v>311</v>
      </c>
      <c r="AM1965" s="173" t="s">
        <v>2635</v>
      </c>
      <c r="AN1965" s="159"/>
      <c r="AO1965" s="160"/>
      <c r="AP1965" s="161"/>
      <c r="AQ1965" s="160"/>
      <c r="AR1965" s="160"/>
      <c r="AS1965" s="160"/>
      <c r="AT1965" s="160"/>
      <c r="AU1965" s="160"/>
      <c r="AV1965" s="160"/>
      <c r="AW1965" s="160"/>
      <c r="AX1965" s="160"/>
      <c r="AY1965" s="160"/>
      <c r="AZ1965" s="160"/>
      <c r="BA1965" s="160"/>
      <c r="BB1965" s="160"/>
      <c r="BC1965" s="160"/>
      <c r="BD1965" s="160"/>
      <c r="BE1965" s="160"/>
      <c r="BF1965" s="160"/>
      <c r="BG1965" s="160"/>
      <c r="BH1965" s="160"/>
      <c r="BI1965" s="160"/>
      <c r="BJ1965" s="160"/>
      <c r="BK1965" s="160"/>
      <c r="BL1965" s="160"/>
      <c r="BM1965" s="160"/>
      <c r="BN1965" s="160"/>
      <c r="BO1965" s="160"/>
      <c r="BP1965" s="160"/>
      <c r="BQ1965" s="160"/>
      <c r="BR1965" s="160"/>
      <c r="BS1965" s="160"/>
      <c r="BT1965" s="160"/>
      <c r="BU1965" s="160"/>
      <c r="BV1965" s="160"/>
      <c r="BW1965" s="160"/>
      <c r="BX1965" s="160"/>
      <c r="BY1965" s="160"/>
      <c r="BZ1965" s="160"/>
      <c r="CA1965" s="160"/>
      <c r="CB1965" s="160"/>
      <c r="CC1965" s="160"/>
      <c r="CD1965" s="160"/>
      <c r="CE1965" s="160"/>
      <c r="CF1965" s="160"/>
      <c r="CG1965" s="160"/>
      <c r="CH1965" s="160"/>
      <c r="CI1965" s="160"/>
      <c r="CJ1965" s="160"/>
      <c r="CK1965" s="160"/>
      <c r="CL1965" s="160"/>
      <c r="CM1965" s="160"/>
      <c r="CN1965" s="160"/>
      <c r="CO1965" s="160"/>
      <c r="CP1965" s="162"/>
      <c r="CQ1965" s="163"/>
      <c r="CR1965" s="162"/>
      <c r="CS1965" s="163"/>
      <c r="CT1965" s="162"/>
      <c r="CU1965" s="163"/>
      <c r="CV1965" s="164">
        <f t="shared" si="246"/>
        <v>0</v>
      </c>
      <c r="CW1965" s="165"/>
      <c r="CX1965" s="166"/>
      <c r="CY1965" s="167"/>
      <c r="CZ1965" s="168"/>
      <c r="DA1965" s="169"/>
      <c r="DB1965" s="168"/>
      <c r="DC1965" s="165"/>
      <c r="DD1965" s="166"/>
      <c r="DE1965" s="71"/>
      <c r="DF1965" s="170"/>
      <c r="EO1965" s="375" t="str">
        <f t="shared" si="247"/>
        <v>NORTE DE SANTANDER_CUCUTILLA</v>
      </c>
      <c r="EP1965" s="376"/>
      <c r="EQ1965" s="376"/>
      <c r="ER1965" s="377"/>
      <c r="ES1965" s="376"/>
      <c r="ET1965" s="376"/>
      <c r="EU1965" s="376"/>
    </row>
    <row r="1966" spans="1:151" s="171" customFormat="1" ht="51" x14ac:dyDescent="0.2">
      <c r="A1966" s="242">
        <v>40513</v>
      </c>
      <c r="B1966" s="222" t="s">
        <v>1336</v>
      </c>
      <c r="C1966" s="222" t="s">
        <v>1123</v>
      </c>
      <c r="D1966" s="430" t="s">
        <v>837</v>
      </c>
      <c r="E1966" s="107" t="str">
        <f>VLOOKUP(B1966&amp;C1966,Divipola!$C$2:$F$1138,4,FALSE)</f>
        <v>54520</v>
      </c>
      <c r="F1966" s="333"/>
      <c r="G1966" s="221"/>
      <c r="H1966" s="157"/>
      <c r="I1966" s="157"/>
      <c r="J1966" s="157">
        <v>360</v>
      </c>
      <c r="K1966" s="157">
        <v>80</v>
      </c>
      <c r="L1966" s="157"/>
      <c r="M1966" s="157">
        <v>1</v>
      </c>
      <c r="N1966" s="157"/>
      <c r="O1966" s="157"/>
      <c r="P1966" s="157"/>
      <c r="Q1966" s="157"/>
      <c r="R1966" s="157"/>
      <c r="S1966" s="157"/>
      <c r="T1966" s="157"/>
      <c r="U1966" s="157"/>
      <c r="V1966" s="158"/>
      <c r="W1966" s="182"/>
      <c r="X1966" s="1"/>
      <c r="Y1966" s="78">
        <f t="shared" si="243"/>
        <v>0</v>
      </c>
      <c r="Z1966" s="78">
        <f t="shared" si="244"/>
        <v>0</v>
      </c>
      <c r="AA1966" s="78">
        <f t="shared" si="242"/>
        <v>0</v>
      </c>
      <c r="AB1966" s="78">
        <f t="shared" si="245"/>
        <v>0</v>
      </c>
      <c r="AC1966" s="78"/>
      <c r="AD1966" s="78">
        <v>0</v>
      </c>
      <c r="AE1966" s="80">
        <f t="shared" si="248"/>
        <v>0</v>
      </c>
      <c r="AF1966" s="82">
        <v>0</v>
      </c>
      <c r="AG1966" s="69">
        <v>40529</v>
      </c>
      <c r="AH1966" s="84"/>
      <c r="AI1966" s="69" t="s">
        <v>2009</v>
      </c>
      <c r="AJ1966" s="276" t="s">
        <v>2010</v>
      </c>
      <c r="AK1966" s="65"/>
      <c r="AL1966" s="272" t="s">
        <v>311</v>
      </c>
      <c r="AM1966" s="173" t="s">
        <v>1128</v>
      </c>
      <c r="AN1966" s="159"/>
      <c r="AO1966" s="160"/>
      <c r="AP1966" s="161"/>
      <c r="AQ1966" s="160"/>
      <c r="AR1966" s="160"/>
      <c r="AS1966" s="160"/>
      <c r="AT1966" s="160"/>
      <c r="AU1966" s="160"/>
      <c r="AV1966" s="160"/>
      <c r="AW1966" s="160"/>
      <c r="AX1966" s="160"/>
      <c r="AY1966" s="160"/>
      <c r="AZ1966" s="160"/>
      <c r="BA1966" s="160"/>
      <c r="BB1966" s="160"/>
      <c r="BC1966" s="160"/>
      <c r="BD1966" s="160"/>
      <c r="BE1966" s="160"/>
      <c r="BF1966" s="160"/>
      <c r="BG1966" s="160"/>
      <c r="BH1966" s="160"/>
      <c r="BI1966" s="160"/>
      <c r="BJ1966" s="160"/>
      <c r="BK1966" s="160"/>
      <c r="BL1966" s="160"/>
      <c r="BM1966" s="160"/>
      <c r="BN1966" s="160"/>
      <c r="BO1966" s="160"/>
      <c r="BP1966" s="160"/>
      <c r="BQ1966" s="160"/>
      <c r="BR1966" s="160"/>
      <c r="BS1966" s="160"/>
      <c r="BT1966" s="160"/>
      <c r="BU1966" s="160"/>
      <c r="BV1966" s="160"/>
      <c r="BW1966" s="160"/>
      <c r="BX1966" s="160"/>
      <c r="BY1966" s="160"/>
      <c r="BZ1966" s="160"/>
      <c r="CA1966" s="160"/>
      <c r="CB1966" s="160"/>
      <c r="CC1966" s="160"/>
      <c r="CD1966" s="160"/>
      <c r="CE1966" s="160"/>
      <c r="CF1966" s="160"/>
      <c r="CG1966" s="160"/>
      <c r="CH1966" s="160"/>
      <c r="CI1966" s="160"/>
      <c r="CJ1966" s="160"/>
      <c r="CK1966" s="160"/>
      <c r="CL1966" s="160"/>
      <c r="CM1966" s="160"/>
      <c r="CN1966" s="160"/>
      <c r="CO1966" s="160"/>
      <c r="CP1966" s="162"/>
      <c r="CQ1966" s="163"/>
      <c r="CR1966" s="162"/>
      <c r="CS1966" s="163"/>
      <c r="CT1966" s="162"/>
      <c r="CU1966" s="163"/>
      <c r="CV1966" s="164">
        <f t="shared" si="246"/>
        <v>0</v>
      </c>
      <c r="CW1966" s="165"/>
      <c r="CX1966" s="166"/>
      <c r="CY1966" s="167"/>
      <c r="CZ1966" s="168"/>
      <c r="DA1966" s="169"/>
      <c r="DB1966" s="168"/>
      <c r="DC1966" s="165"/>
      <c r="DD1966" s="166"/>
      <c r="DE1966" s="71"/>
      <c r="DF1966" s="170"/>
      <c r="EO1966" s="375" t="str">
        <f t="shared" si="247"/>
        <v>NORTE DE SANTANDER_PAMPLONITA</v>
      </c>
      <c r="EP1966" s="376"/>
      <c r="EQ1966" s="376"/>
      <c r="ER1966" s="377"/>
      <c r="ES1966" s="376"/>
      <c r="ET1966" s="376"/>
      <c r="EU1966" s="376"/>
    </row>
    <row r="1967" spans="1:151" s="171" customFormat="1" ht="51" x14ac:dyDescent="0.2">
      <c r="A1967" s="242">
        <v>40513</v>
      </c>
      <c r="B1967" s="222" t="s">
        <v>1336</v>
      </c>
      <c r="C1967" s="222" t="s">
        <v>1124</v>
      </c>
      <c r="D1967" s="430" t="s">
        <v>837</v>
      </c>
      <c r="E1967" s="107" t="str">
        <f>VLOOKUP(B1967&amp;C1967,Divipola!$C$2:$F$1138,4,FALSE)</f>
        <v>54680</v>
      </c>
      <c r="F1967" s="333"/>
      <c r="G1967" s="221"/>
      <c r="H1967" s="157"/>
      <c r="I1967" s="157"/>
      <c r="J1967" s="157">
        <v>316</v>
      </c>
      <c r="K1967" s="157">
        <v>127</v>
      </c>
      <c r="L1967" s="157"/>
      <c r="M1967" s="157">
        <v>80</v>
      </c>
      <c r="N1967" s="157"/>
      <c r="O1967" s="157"/>
      <c r="P1967" s="157"/>
      <c r="Q1967" s="157"/>
      <c r="R1967" s="157"/>
      <c r="S1967" s="157"/>
      <c r="T1967" s="157"/>
      <c r="U1967" s="157"/>
      <c r="V1967" s="158"/>
      <c r="W1967" s="182"/>
      <c r="X1967" s="1"/>
      <c r="Y1967" s="78">
        <f t="shared" si="243"/>
        <v>0</v>
      </c>
      <c r="Z1967" s="78">
        <f t="shared" si="244"/>
        <v>0</v>
      </c>
      <c r="AA1967" s="78">
        <f t="shared" si="242"/>
        <v>0</v>
      </c>
      <c r="AB1967" s="78">
        <f t="shared" si="245"/>
        <v>0</v>
      </c>
      <c r="AC1967" s="78"/>
      <c r="AD1967" s="78">
        <v>0</v>
      </c>
      <c r="AE1967" s="80">
        <f t="shared" si="248"/>
        <v>0</v>
      </c>
      <c r="AF1967" s="82">
        <v>0</v>
      </c>
      <c r="AG1967" s="69">
        <v>40529</v>
      </c>
      <c r="AH1967" s="84"/>
      <c r="AI1967" s="69" t="s">
        <v>2009</v>
      </c>
      <c r="AJ1967" s="276" t="s">
        <v>2010</v>
      </c>
      <c r="AK1967" s="65"/>
      <c r="AL1967" s="272" t="s">
        <v>311</v>
      </c>
      <c r="AM1967" s="173" t="s">
        <v>1128</v>
      </c>
      <c r="AN1967" s="159"/>
      <c r="AO1967" s="160"/>
      <c r="AP1967" s="161"/>
      <c r="AQ1967" s="160"/>
      <c r="AR1967" s="160"/>
      <c r="AS1967" s="160"/>
      <c r="AT1967" s="160"/>
      <c r="AU1967" s="160"/>
      <c r="AV1967" s="160"/>
      <c r="AW1967" s="160"/>
      <c r="AX1967" s="160"/>
      <c r="AY1967" s="160"/>
      <c r="AZ1967" s="160"/>
      <c r="BA1967" s="160"/>
      <c r="BB1967" s="160"/>
      <c r="BC1967" s="160"/>
      <c r="BD1967" s="160"/>
      <c r="BE1967" s="160"/>
      <c r="BF1967" s="160"/>
      <c r="BG1967" s="160"/>
      <c r="BH1967" s="160"/>
      <c r="BI1967" s="160"/>
      <c r="BJ1967" s="160"/>
      <c r="BK1967" s="160"/>
      <c r="BL1967" s="160"/>
      <c r="BM1967" s="160"/>
      <c r="BN1967" s="160"/>
      <c r="BO1967" s="160"/>
      <c r="BP1967" s="160"/>
      <c r="BQ1967" s="160"/>
      <c r="BR1967" s="160"/>
      <c r="BS1967" s="160"/>
      <c r="BT1967" s="160"/>
      <c r="BU1967" s="160"/>
      <c r="BV1967" s="160"/>
      <c r="BW1967" s="160"/>
      <c r="BX1967" s="160"/>
      <c r="BY1967" s="160"/>
      <c r="BZ1967" s="160"/>
      <c r="CA1967" s="160"/>
      <c r="CB1967" s="160"/>
      <c r="CC1967" s="160"/>
      <c r="CD1967" s="160"/>
      <c r="CE1967" s="160"/>
      <c r="CF1967" s="160"/>
      <c r="CG1967" s="160"/>
      <c r="CH1967" s="160"/>
      <c r="CI1967" s="160"/>
      <c r="CJ1967" s="160"/>
      <c r="CK1967" s="160"/>
      <c r="CL1967" s="160"/>
      <c r="CM1967" s="160"/>
      <c r="CN1967" s="160"/>
      <c r="CO1967" s="160"/>
      <c r="CP1967" s="162"/>
      <c r="CQ1967" s="163"/>
      <c r="CR1967" s="162"/>
      <c r="CS1967" s="163"/>
      <c r="CT1967" s="162"/>
      <c r="CU1967" s="163"/>
      <c r="CV1967" s="164">
        <f t="shared" si="246"/>
        <v>0</v>
      </c>
      <c r="CW1967" s="165"/>
      <c r="CX1967" s="166"/>
      <c r="CY1967" s="167"/>
      <c r="CZ1967" s="168"/>
      <c r="DA1967" s="169"/>
      <c r="DB1967" s="168"/>
      <c r="DC1967" s="165"/>
      <c r="DD1967" s="166"/>
      <c r="DE1967" s="71"/>
      <c r="DF1967" s="170"/>
      <c r="EO1967" s="375" t="str">
        <f t="shared" si="247"/>
        <v>NORTE DE SANTANDER_SANTIAGO</v>
      </c>
      <c r="EP1967" s="376"/>
      <c r="EQ1967" s="376"/>
      <c r="ER1967" s="377"/>
      <c r="ES1967" s="376"/>
      <c r="ET1967" s="376"/>
      <c r="EU1967" s="376"/>
    </row>
    <row r="1968" spans="1:151" s="171" customFormat="1" ht="45" x14ac:dyDescent="0.2">
      <c r="A1968" s="242">
        <v>40513</v>
      </c>
      <c r="B1968" s="222" t="s">
        <v>1336</v>
      </c>
      <c r="C1968" s="222" t="s">
        <v>1125</v>
      </c>
      <c r="D1968" s="430" t="s">
        <v>837</v>
      </c>
      <c r="E1968" s="107" t="str">
        <f>VLOOKUP(B1968&amp;C1968,Divipola!$C$2:$F$1138,4,FALSE)</f>
        <v>54743</v>
      </c>
      <c r="F1968" s="333"/>
      <c r="G1968" s="221"/>
      <c r="H1968" s="157"/>
      <c r="I1968" s="157"/>
      <c r="J1968" s="157">
        <f>60*5</f>
        <v>300</v>
      </c>
      <c r="K1968" s="157">
        <v>60</v>
      </c>
      <c r="L1968" s="157"/>
      <c r="M1968" s="157">
        <v>1</v>
      </c>
      <c r="N1968" s="157"/>
      <c r="O1968" s="157"/>
      <c r="P1968" s="157"/>
      <c r="Q1968" s="157"/>
      <c r="R1968" s="157"/>
      <c r="S1968" s="157"/>
      <c r="T1968" s="157"/>
      <c r="U1968" s="157"/>
      <c r="V1968" s="158"/>
      <c r="W1968" s="182"/>
      <c r="X1968" s="1"/>
      <c r="Y1968" s="78">
        <f t="shared" si="243"/>
        <v>0</v>
      </c>
      <c r="Z1968" s="78">
        <f t="shared" si="244"/>
        <v>0</v>
      </c>
      <c r="AA1968" s="78">
        <f t="shared" si="242"/>
        <v>0</v>
      </c>
      <c r="AB1968" s="78">
        <f t="shared" si="245"/>
        <v>0</v>
      </c>
      <c r="AC1968" s="78"/>
      <c r="AD1968" s="78">
        <v>0</v>
      </c>
      <c r="AE1968" s="80">
        <f t="shared" si="248"/>
        <v>0</v>
      </c>
      <c r="AF1968" s="82">
        <v>0</v>
      </c>
      <c r="AG1968" s="242">
        <v>40529</v>
      </c>
      <c r="AH1968" s="84"/>
      <c r="AI1968" s="69" t="s">
        <v>2009</v>
      </c>
      <c r="AJ1968" s="276" t="s">
        <v>2010</v>
      </c>
      <c r="AK1968" s="65"/>
      <c r="AL1968" s="272" t="s">
        <v>311</v>
      </c>
      <c r="AM1968" s="173" t="s">
        <v>1128</v>
      </c>
      <c r="AN1968" s="159"/>
      <c r="AO1968" s="160"/>
      <c r="AP1968" s="161"/>
      <c r="AQ1968" s="160"/>
      <c r="AR1968" s="160"/>
      <c r="AS1968" s="160"/>
      <c r="AT1968" s="160"/>
      <c r="AU1968" s="160"/>
      <c r="AV1968" s="160"/>
      <c r="AW1968" s="160"/>
      <c r="AX1968" s="160"/>
      <c r="AY1968" s="160"/>
      <c r="AZ1968" s="160"/>
      <c r="BA1968" s="160"/>
      <c r="BB1968" s="160"/>
      <c r="BC1968" s="160"/>
      <c r="BD1968" s="160"/>
      <c r="BE1968" s="160"/>
      <c r="BF1968" s="160"/>
      <c r="BG1968" s="160"/>
      <c r="BH1968" s="160"/>
      <c r="BI1968" s="160"/>
      <c r="BJ1968" s="160"/>
      <c r="BK1968" s="160"/>
      <c r="BL1968" s="160"/>
      <c r="BM1968" s="160"/>
      <c r="BN1968" s="160"/>
      <c r="BO1968" s="160"/>
      <c r="BP1968" s="160"/>
      <c r="BQ1968" s="160"/>
      <c r="BR1968" s="160"/>
      <c r="BS1968" s="160"/>
      <c r="BT1968" s="160"/>
      <c r="BU1968" s="160"/>
      <c r="BV1968" s="160"/>
      <c r="BW1968" s="160"/>
      <c r="BX1968" s="160"/>
      <c r="BY1968" s="160"/>
      <c r="BZ1968" s="160"/>
      <c r="CA1968" s="160"/>
      <c r="CB1968" s="160"/>
      <c r="CC1968" s="160"/>
      <c r="CD1968" s="160"/>
      <c r="CE1968" s="160"/>
      <c r="CF1968" s="160"/>
      <c r="CG1968" s="160"/>
      <c r="CH1968" s="160"/>
      <c r="CI1968" s="160"/>
      <c r="CJ1968" s="160"/>
      <c r="CK1968" s="160"/>
      <c r="CL1968" s="160"/>
      <c r="CM1968" s="160"/>
      <c r="CN1968" s="160"/>
      <c r="CO1968" s="160"/>
      <c r="CP1968" s="162"/>
      <c r="CQ1968" s="163"/>
      <c r="CR1968" s="162"/>
      <c r="CS1968" s="163"/>
      <c r="CT1968" s="162"/>
      <c r="CU1968" s="163"/>
      <c r="CV1968" s="164">
        <f t="shared" si="246"/>
        <v>0</v>
      </c>
      <c r="CW1968" s="165"/>
      <c r="CX1968" s="166"/>
      <c r="CY1968" s="167"/>
      <c r="CZ1968" s="168"/>
      <c r="DA1968" s="169"/>
      <c r="DB1968" s="168"/>
      <c r="DC1968" s="165"/>
      <c r="DD1968" s="166"/>
      <c r="DE1968" s="71"/>
      <c r="DF1968" s="170"/>
      <c r="EO1968" s="375" t="str">
        <f t="shared" si="247"/>
        <v>NORTE DE SANTANDER_SILOS</v>
      </c>
      <c r="EP1968" s="376"/>
      <c r="EQ1968" s="376"/>
      <c r="ER1968" s="377"/>
      <c r="ES1968" s="376"/>
      <c r="ET1968" s="376"/>
      <c r="EU1968" s="376"/>
    </row>
    <row r="1969" spans="1:151" s="171" customFormat="1" ht="25.5" x14ac:dyDescent="0.2">
      <c r="A1969" s="242">
        <v>40513</v>
      </c>
      <c r="B1969" s="222" t="s">
        <v>2014</v>
      </c>
      <c r="C1969" s="222" t="s">
        <v>1526</v>
      </c>
      <c r="D1969" s="430" t="s">
        <v>2307</v>
      </c>
      <c r="E1969" s="107" t="str">
        <f>VLOOKUP(B1969&amp;C1969,Divipola!$C$2:$F$1138,4,FALSE)</f>
        <v>63690</v>
      </c>
      <c r="F1969" s="333"/>
      <c r="G1969" s="221"/>
      <c r="H1969" s="157"/>
      <c r="I1969" s="157"/>
      <c r="J1969" s="157">
        <f>20*5</f>
        <v>100</v>
      </c>
      <c r="K1969" s="157">
        <v>20</v>
      </c>
      <c r="L1969" s="157">
        <v>1</v>
      </c>
      <c r="M1969" s="157"/>
      <c r="N1969" s="157"/>
      <c r="O1969" s="157"/>
      <c r="P1969" s="157"/>
      <c r="Q1969" s="157"/>
      <c r="R1969" s="157"/>
      <c r="S1969" s="157"/>
      <c r="T1969" s="157"/>
      <c r="U1969" s="157"/>
      <c r="V1969" s="158"/>
      <c r="W1969" s="182"/>
      <c r="X1969" s="1"/>
      <c r="Y1969" s="78">
        <f t="shared" si="243"/>
        <v>0</v>
      </c>
      <c r="Z1969" s="78">
        <f t="shared" si="244"/>
        <v>0</v>
      </c>
      <c r="AA1969" s="78">
        <f t="shared" si="242"/>
        <v>0</v>
      </c>
      <c r="AB1969" s="78">
        <f t="shared" si="245"/>
        <v>0</v>
      </c>
      <c r="AC1969" s="78"/>
      <c r="AD1969" s="78">
        <v>0</v>
      </c>
      <c r="AE1969" s="80">
        <f t="shared" si="248"/>
        <v>0</v>
      </c>
      <c r="AF1969" s="82">
        <v>0</v>
      </c>
      <c r="AG1969" s="242">
        <v>40514</v>
      </c>
      <c r="AH1969" s="84"/>
      <c r="AI1969" s="69" t="s">
        <v>1984</v>
      </c>
      <c r="AJ1969" s="25" t="s">
        <v>1985</v>
      </c>
      <c r="AK1969" s="65"/>
      <c r="AL1969" s="176" t="s">
        <v>1257</v>
      </c>
      <c r="AM1969" s="173" t="s">
        <v>523</v>
      </c>
      <c r="AN1969" s="159"/>
      <c r="AO1969" s="160"/>
      <c r="AP1969" s="161"/>
      <c r="AQ1969" s="160"/>
      <c r="AR1969" s="160"/>
      <c r="AS1969" s="160"/>
      <c r="AT1969" s="160"/>
      <c r="AU1969" s="160"/>
      <c r="AV1969" s="160"/>
      <c r="AW1969" s="160"/>
      <c r="AX1969" s="160"/>
      <c r="AY1969" s="160"/>
      <c r="AZ1969" s="160"/>
      <c r="BA1969" s="160"/>
      <c r="BB1969" s="160"/>
      <c r="BC1969" s="160"/>
      <c r="BD1969" s="160"/>
      <c r="BE1969" s="160"/>
      <c r="BF1969" s="160"/>
      <c r="BG1969" s="160"/>
      <c r="BH1969" s="160"/>
      <c r="BI1969" s="160"/>
      <c r="BJ1969" s="160"/>
      <c r="BK1969" s="160"/>
      <c r="BL1969" s="160"/>
      <c r="BM1969" s="160"/>
      <c r="BN1969" s="160"/>
      <c r="BO1969" s="160"/>
      <c r="BP1969" s="160"/>
      <c r="BQ1969" s="160"/>
      <c r="BR1969" s="160"/>
      <c r="BS1969" s="160"/>
      <c r="BT1969" s="160"/>
      <c r="BU1969" s="160"/>
      <c r="BV1969" s="160"/>
      <c r="BW1969" s="160"/>
      <c r="BX1969" s="160"/>
      <c r="BY1969" s="160"/>
      <c r="BZ1969" s="160"/>
      <c r="CA1969" s="160"/>
      <c r="CB1969" s="160"/>
      <c r="CC1969" s="160"/>
      <c r="CD1969" s="160"/>
      <c r="CE1969" s="160"/>
      <c r="CF1969" s="160"/>
      <c r="CG1969" s="160"/>
      <c r="CH1969" s="160"/>
      <c r="CI1969" s="160"/>
      <c r="CJ1969" s="160"/>
      <c r="CK1969" s="160"/>
      <c r="CL1969" s="160"/>
      <c r="CM1969" s="160"/>
      <c r="CN1969" s="160"/>
      <c r="CO1969" s="160"/>
      <c r="CP1969" s="162"/>
      <c r="CQ1969" s="163"/>
      <c r="CR1969" s="162"/>
      <c r="CS1969" s="163"/>
      <c r="CT1969" s="162"/>
      <c r="CU1969" s="163"/>
      <c r="CV1969" s="164">
        <f t="shared" si="246"/>
        <v>0</v>
      </c>
      <c r="CW1969" s="165"/>
      <c r="CX1969" s="166"/>
      <c r="CY1969" s="167"/>
      <c r="CZ1969" s="168"/>
      <c r="DA1969" s="169"/>
      <c r="DB1969" s="168"/>
      <c r="DC1969" s="165"/>
      <c r="DD1969" s="166"/>
      <c r="DE1969" s="71"/>
      <c r="DF1969" s="170"/>
      <c r="EO1969" s="375" t="str">
        <f t="shared" si="247"/>
        <v>QUINDIO_SALENTO</v>
      </c>
      <c r="EP1969" s="376"/>
      <c r="EQ1969" s="376"/>
      <c r="ER1969" s="377"/>
      <c r="ES1969" s="376"/>
      <c r="ET1969" s="376"/>
      <c r="EU1969" s="376"/>
    </row>
    <row r="1970" spans="1:151" s="171" customFormat="1" ht="36" x14ac:dyDescent="0.2">
      <c r="A1970" s="242">
        <v>40513</v>
      </c>
      <c r="B1970" s="222" t="s">
        <v>2012</v>
      </c>
      <c r="C1970" s="222" t="s">
        <v>2433</v>
      </c>
      <c r="D1970" s="430" t="s">
        <v>2307</v>
      </c>
      <c r="E1970" s="107" t="str">
        <f>VLOOKUP(B1970&amp;C1970,Divipola!$C$2:$F$1138,4,FALSE)</f>
        <v>66001</v>
      </c>
      <c r="F1970" s="333"/>
      <c r="G1970" s="221"/>
      <c r="H1970" s="157"/>
      <c r="I1970" s="157"/>
      <c r="J1970" s="157">
        <v>25</v>
      </c>
      <c r="K1970" s="157">
        <v>5</v>
      </c>
      <c r="L1970" s="157"/>
      <c r="M1970" s="157">
        <v>5</v>
      </c>
      <c r="N1970" s="157"/>
      <c r="O1970" s="157"/>
      <c r="P1970" s="157"/>
      <c r="Q1970" s="157"/>
      <c r="R1970" s="157"/>
      <c r="S1970" s="157"/>
      <c r="T1970" s="157"/>
      <c r="U1970" s="157"/>
      <c r="V1970" s="158"/>
      <c r="W1970" s="182"/>
      <c r="X1970" s="1"/>
      <c r="Y1970" s="78">
        <f t="shared" si="243"/>
        <v>0</v>
      </c>
      <c r="Z1970" s="78">
        <f t="shared" si="244"/>
        <v>0</v>
      </c>
      <c r="AA1970" s="78">
        <f t="shared" si="242"/>
        <v>0</v>
      </c>
      <c r="AB1970" s="78">
        <f t="shared" si="245"/>
        <v>0</v>
      </c>
      <c r="AC1970" s="78"/>
      <c r="AD1970" s="78">
        <v>0</v>
      </c>
      <c r="AE1970" s="80">
        <f t="shared" si="248"/>
        <v>0</v>
      </c>
      <c r="AF1970" s="82">
        <v>0</v>
      </c>
      <c r="AG1970" s="242">
        <v>40514</v>
      </c>
      <c r="AH1970" s="84"/>
      <c r="AI1970" s="69" t="s">
        <v>1984</v>
      </c>
      <c r="AJ1970" s="25" t="s">
        <v>1985</v>
      </c>
      <c r="AK1970" s="65"/>
      <c r="AL1970" s="176" t="s">
        <v>1257</v>
      </c>
      <c r="AM1970" s="173" t="s">
        <v>521</v>
      </c>
      <c r="AN1970" s="159"/>
      <c r="AO1970" s="160"/>
      <c r="AP1970" s="161"/>
      <c r="AQ1970" s="160"/>
      <c r="AR1970" s="160"/>
      <c r="AS1970" s="160"/>
      <c r="AT1970" s="160"/>
      <c r="AU1970" s="160"/>
      <c r="AV1970" s="160"/>
      <c r="AW1970" s="160"/>
      <c r="AX1970" s="160"/>
      <c r="AY1970" s="160"/>
      <c r="AZ1970" s="160"/>
      <c r="BA1970" s="160"/>
      <c r="BB1970" s="160"/>
      <c r="BC1970" s="160"/>
      <c r="BD1970" s="160"/>
      <c r="BE1970" s="160"/>
      <c r="BF1970" s="160"/>
      <c r="BG1970" s="160"/>
      <c r="BH1970" s="160"/>
      <c r="BI1970" s="160"/>
      <c r="BJ1970" s="160"/>
      <c r="BK1970" s="160"/>
      <c r="BL1970" s="160"/>
      <c r="BM1970" s="160"/>
      <c r="BN1970" s="160"/>
      <c r="BO1970" s="160"/>
      <c r="BP1970" s="160"/>
      <c r="BQ1970" s="160"/>
      <c r="BR1970" s="160"/>
      <c r="BS1970" s="160"/>
      <c r="BT1970" s="160"/>
      <c r="BU1970" s="160"/>
      <c r="BV1970" s="160"/>
      <c r="BW1970" s="160"/>
      <c r="BX1970" s="160"/>
      <c r="BY1970" s="160"/>
      <c r="BZ1970" s="160"/>
      <c r="CA1970" s="160"/>
      <c r="CB1970" s="160"/>
      <c r="CC1970" s="160"/>
      <c r="CD1970" s="160"/>
      <c r="CE1970" s="160"/>
      <c r="CF1970" s="160"/>
      <c r="CG1970" s="160"/>
      <c r="CH1970" s="160"/>
      <c r="CI1970" s="160"/>
      <c r="CJ1970" s="160"/>
      <c r="CK1970" s="160"/>
      <c r="CL1970" s="160"/>
      <c r="CM1970" s="160"/>
      <c r="CN1970" s="160"/>
      <c r="CO1970" s="160"/>
      <c r="CP1970" s="162"/>
      <c r="CQ1970" s="163"/>
      <c r="CR1970" s="162"/>
      <c r="CS1970" s="163"/>
      <c r="CT1970" s="162"/>
      <c r="CU1970" s="163"/>
      <c r="CV1970" s="164">
        <f t="shared" si="246"/>
        <v>0</v>
      </c>
      <c r="CW1970" s="165"/>
      <c r="CX1970" s="166"/>
      <c r="CY1970" s="167"/>
      <c r="CZ1970" s="168"/>
      <c r="DA1970" s="169"/>
      <c r="DB1970" s="168"/>
      <c r="DC1970" s="165"/>
      <c r="DD1970" s="166"/>
      <c r="DE1970" s="71"/>
      <c r="DF1970" s="170"/>
      <c r="EO1970" s="375" t="str">
        <f t="shared" si="247"/>
        <v>RISARALDA_PEREIRA</v>
      </c>
      <c r="EP1970" s="376"/>
      <c r="EQ1970" s="376"/>
      <c r="ER1970" s="377"/>
      <c r="ES1970" s="376"/>
      <c r="ET1970" s="376"/>
      <c r="EU1970" s="376"/>
    </row>
    <row r="1971" spans="1:151" s="171" customFormat="1" ht="48" x14ac:dyDescent="0.2">
      <c r="A1971" s="242">
        <v>40513</v>
      </c>
      <c r="B1971" s="222" t="s">
        <v>2427</v>
      </c>
      <c r="C1971" s="222" t="s">
        <v>2655</v>
      </c>
      <c r="D1971" s="430" t="s">
        <v>837</v>
      </c>
      <c r="E1971" s="107" t="str">
        <f>VLOOKUP(B1971&amp;C1971,Divipola!$C$2:$F$1138,4,FALSE)</f>
        <v>68615</v>
      </c>
      <c r="F1971" s="333"/>
      <c r="G1971" s="275"/>
      <c r="H1971" s="157"/>
      <c r="I1971" s="157"/>
      <c r="J1971" s="157">
        <f>3446*5</f>
        <v>17230</v>
      </c>
      <c r="K1971" s="183">
        <f>3579-80-3-50</f>
        <v>3446</v>
      </c>
      <c r="L1971" s="157">
        <v>148</v>
      </c>
      <c r="M1971" s="157">
        <v>402</v>
      </c>
      <c r="N1971" s="157">
        <v>5</v>
      </c>
      <c r="O1971" s="157">
        <v>1</v>
      </c>
      <c r="P1971" s="157"/>
      <c r="Q1971" s="157"/>
      <c r="R1971" s="157"/>
      <c r="S1971" s="157"/>
      <c r="T1971" s="157">
        <v>3</v>
      </c>
      <c r="U1971" s="157"/>
      <c r="V1971" s="158"/>
      <c r="W1971" s="182"/>
      <c r="X1971" s="1"/>
      <c r="Y1971" s="78">
        <f t="shared" si="243"/>
        <v>61360000</v>
      </c>
      <c r="Z1971" s="78">
        <f t="shared" si="244"/>
        <v>68000000</v>
      </c>
      <c r="AA1971" s="78">
        <f t="shared" si="242"/>
        <v>0</v>
      </c>
      <c r="AB1971" s="78">
        <f t="shared" si="245"/>
        <v>0</v>
      </c>
      <c r="AC1971" s="78"/>
      <c r="AD1971" s="78">
        <v>0</v>
      </c>
      <c r="AE1971" s="80">
        <f t="shared" si="248"/>
        <v>129360000</v>
      </c>
      <c r="AF1971" s="82">
        <v>0</v>
      </c>
      <c r="AG1971" s="242"/>
      <c r="AH1971" s="84"/>
      <c r="AI1971" s="69" t="s">
        <v>2009</v>
      </c>
      <c r="AJ1971" s="25" t="s">
        <v>2010</v>
      </c>
      <c r="AK1971" s="65"/>
      <c r="AL1971" s="176"/>
      <c r="AM1971" s="173" t="s">
        <v>3798</v>
      </c>
      <c r="AN1971" s="159"/>
      <c r="AO1971" s="160"/>
      <c r="AP1971" s="161"/>
      <c r="AQ1971" s="160"/>
      <c r="AR1971" s="160"/>
      <c r="AS1971" s="160"/>
      <c r="AT1971" s="160"/>
      <c r="AU1971" s="160"/>
      <c r="AV1971" s="160"/>
      <c r="AW1971" s="160"/>
      <c r="AX1971" s="160"/>
      <c r="AY1971" s="160"/>
      <c r="AZ1971" s="160"/>
      <c r="BA1971" s="160"/>
      <c r="BB1971" s="160"/>
      <c r="BC1971" s="160"/>
      <c r="BD1971" s="160"/>
      <c r="BE1971" s="160"/>
      <c r="BF1971" s="160"/>
      <c r="BG1971" s="160"/>
      <c r="BH1971" s="160"/>
      <c r="BI1971" s="160"/>
      <c r="BJ1971" s="160"/>
      <c r="BK1971" s="160"/>
      <c r="BL1971" s="160"/>
      <c r="BM1971" s="160"/>
      <c r="BN1971" s="160"/>
      <c r="BO1971" s="160"/>
      <c r="BP1971" s="160"/>
      <c r="BQ1971" s="160"/>
      <c r="BR1971" s="160"/>
      <c r="BS1971" s="160"/>
      <c r="BT1971" s="160"/>
      <c r="BU1971" s="160"/>
      <c r="BV1971" s="160"/>
      <c r="BW1971" s="160"/>
      <c r="BX1971" s="160"/>
      <c r="BY1971" s="160"/>
      <c r="BZ1971" s="160"/>
      <c r="CA1971" s="160"/>
      <c r="CB1971" s="160"/>
      <c r="CC1971" s="160"/>
      <c r="CD1971" s="160"/>
      <c r="CE1971" s="160"/>
      <c r="CF1971" s="160"/>
      <c r="CG1971" s="160"/>
      <c r="CH1971" s="160"/>
      <c r="CI1971" s="160"/>
      <c r="CJ1971" s="160"/>
      <c r="CK1971" s="160"/>
      <c r="CL1971" s="160"/>
      <c r="CM1971" s="160"/>
      <c r="CN1971" s="160"/>
      <c r="CO1971" s="160"/>
      <c r="CP1971" s="162">
        <v>800</v>
      </c>
      <c r="CQ1971" s="163">
        <f>800*37000</f>
        <v>29600000</v>
      </c>
      <c r="CR1971" s="162">
        <v>800</v>
      </c>
      <c r="CS1971" s="163">
        <f>800*39700</f>
        <v>31760000</v>
      </c>
      <c r="CT1971" s="162"/>
      <c r="CU1971" s="163"/>
      <c r="CV1971" s="164">
        <f t="shared" si="246"/>
        <v>61360000</v>
      </c>
      <c r="CW1971" s="165"/>
      <c r="CX1971" s="166"/>
      <c r="CY1971" s="167">
        <v>800</v>
      </c>
      <c r="CZ1971" s="168">
        <f>800*85000</f>
        <v>68000000</v>
      </c>
      <c r="DA1971" s="169"/>
      <c r="DB1971" s="168"/>
      <c r="DC1971" s="165"/>
      <c r="DD1971" s="166"/>
      <c r="DE1971" s="71"/>
      <c r="DF1971" s="170">
        <v>1447</v>
      </c>
      <c r="EO1971" s="375" t="str">
        <f t="shared" si="247"/>
        <v>SANTANDER_RIONEGRO</v>
      </c>
      <c r="EP1971" s="376"/>
      <c r="EQ1971" s="376"/>
      <c r="ER1971" s="377"/>
      <c r="ES1971" s="376"/>
      <c r="ET1971" s="376"/>
      <c r="EU1971" s="376"/>
    </row>
    <row r="1972" spans="1:151" s="171" customFormat="1" ht="51" x14ac:dyDescent="0.2">
      <c r="A1972" s="242">
        <v>40513</v>
      </c>
      <c r="B1972" s="222" t="s">
        <v>1462</v>
      </c>
      <c r="C1972" s="222" t="s">
        <v>1121</v>
      </c>
      <c r="D1972" s="430" t="s">
        <v>837</v>
      </c>
      <c r="E1972" s="107" t="str">
        <f>VLOOKUP(B1972&amp;C1972,Divipola!$C$2:$F$1138,4,FALSE)</f>
        <v>76246</v>
      </c>
      <c r="F1972" s="333"/>
      <c r="G1972" s="221"/>
      <c r="H1972" s="157"/>
      <c r="I1972" s="157"/>
      <c r="J1972" s="157">
        <f>322*5</f>
        <v>1610</v>
      </c>
      <c r="K1972" s="157">
        <v>322</v>
      </c>
      <c r="L1972" s="157"/>
      <c r="M1972" s="157">
        <v>75</v>
      </c>
      <c r="N1972" s="157"/>
      <c r="O1972" s="157"/>
      <c r="P1972" s="157"/>
      <c r="Q1972" s="157"/>
      <c r="R1972" s="157"/>
      <c r="S1972" s="157"/>
      <c r="T1972" s="157"/>
      <c r="U1972" s="157"/>
      <c r="V1972" s="158"/>
      <c r="W1972" s="182"/>
      <c r="X1972" s="1"/>
      <c r="Y1972" s="78">
        <f t="shared" si="243"/>
        <v>925000</v>
      </c>
      <c r="Z1972" s="78">
        <f t="shared" si="244"/>
        <v>2125000</v>
      </c>
      <c r="AA1972" s="78">
        <f t="shared" si="242"/>
        <v>0</v>
      </c>
      <c r="AB1972" s="78">
        <f t="shared" si="245"/>
        <v>0</v>
      </c>
      <c r="AC1972" s="78"/>
      <c r="AD1972" s="78">
        <v>0</v>
      </c>
      <c r="AE1972" s="80">
        <f t="shared" si="248"/>
        <v>3050000</v>
      </c>
      <c r="AF1972" s="82">
        <v>0</v>
      </c>
      <c r="AG1972" s="242"/>
      <c r="AH1972" s="84"/>
      <c r="AI1972" s="69" t="s">
        <v>2009</v>
      </c>
      <c r="AJ1972" s="25" t="s">
        <v>2010</v>
      </c>
      <c r="AK1972" s="65"/>
      <c r="AL1972" s="176"/>
      <c r="AM1972" s="173" t="s">
        <v>1128</v>
      </c>
      <c r="AN1972" s="159"/>
      <c r="AO1972" s="160"/>
      <c r="AP1972" s="161"/>
      <c r="AQ1972" s="160"/>
      <c r="AR1972" s="160"/>
      <c r="AS1972" s="160"/>
      <c r="AT1972" s="160"/>
      <c r="AU1972" s="160"/>
      <c r="AV1972" s="160"/>
      <c r="AW1972" s="160"/>
      <c r="AX1972" s="160"/>
      <c r="AY1972" s="160"/>
      <c r="AZ1972" s="160"/>
      <c r="BA1972" s="160"/>
      <c r="BB1972" s="160"/>
      <c r="BC1972" s="160"/>
      <c r="BD1972" s="160"/>
      <c r="BE1972" s="160"/>
      <c r="BF1972" s="160"/>
      <c r="BG1972" s="160"/>
      <c r="BH1972" s="160"/>
      <c r="BI1972" s="160"/>
      <c r="BJ1972" s="160"/>
      <c r="BK1972" s="160"/>
      <c r="BL1972" s="160"/>
      <c r="BM1972" s="160"/>
      <c r="BN1972" s="160"/>
      <c r="BO1972" s="160"/>
      <c r="BP1972" s="160"/>
      <c r="BQ1972" s="160"/>
      <c r="BR1972" s="160"/>
      <c r="BS1972" s="160"/>
      <c r="BT1972" s="160"/>
      <c r="BU1972" s="160"/>
      <c r="BV1972" s="160"/>
      <c r="BW1972" s="160"/>
      <c r="BX1972" s="160"/>
      <c r="BY1972" s="160"/>
      <c r="BZ1972" s="160"/>
      <c r="CA1972" s="160"/>
      <c r="CB1972" s="160"/>
      <c r="CC1972" s="160"/>
      <c r="CD1972" s="160"/>
      <c r="CE1972" s="160"/>
      <c r="CF1972" s="160"/>
      <c r="CG1972" s="160"/>
      <c r="CH1972" s="160"/>
      <c r="CI1972" s="160"/>
      <c r="CJ1972" s="160"/>
      <c r="CK1972" s="160"/>
      <c r="CL1972" s="160"/>
      <c r="CM1972" s="160"/>
      <c r="CN1972" s="160"/>
      <c r="CO1972" s="160"/>
      <c r="CP1972" s="162">
        <v>25</v>
      </c>
      <c r="CQ1972" s="163">
        <f>25*37000</f>
        <v>925000</v>
      </c>
      <c r="CR1972" s="162"/>
      <c r="CS1972" s="163"/>
      <c r="CT1972" s="162"/>
      <c r="CU1972" s="163"/>
      <c r="CV1972" s="164">
        <f t="shared" si="246"/>
        <v>925000</v>
      </c>
      <c r="CW1972" s="165"/>
      <c r="CX1972" s="166"/>
      <c r="CY1972" s="167">
        <v>25</v>
      </c>
      <c r="CZ1972" s="168">
        <f>25*85000</f>
        <v>2125000</v>
      </c>
      <c r="DA1972" s="169"/>
      <c r="DB1972" s="168"/>
      <c r="DC1972" s="165"/>
      <c r="DD1972" s="166"/>
      <c r="DE1972" s="71"/>
      <c r="DF1972" s="170"/>
      <c r="EO1972" s="375" t="str">
        <f t="shared" si="247"/>
        <v>VALLE DEL CAUCA_EL CAIRO</v>
      </c>
      <c r="EP1972" s="376"/>
      <c r="EQ1972" s="376"/>
      <c r="ER1972" s="377"/>
      <c r="ES1972" s="376"/>
      <c r="ET1972" s="376"/>
      <c r="EU1972" s="376"/>
    </row>
    <row r="1973" spans="1:151" s="171" customFormat="1" ht="51" x14ac:dyDescent="0.2">
      <c r="A1973" s="242">
        <v>40513</v>
      </c>
      <c r="B1973" s="222" t="s">
        <v>1462</v>
      </c>
      <c r="C1973" s="222" t="s">
        <v>1122</v>
      </c>
      <c r="D1973" s="430" t="s">
        <v>837</v>
      </c>
      <c r="E1973" s="107" t="str">
        <f>VLOOKUP(B1973&amp;C1973,Divipola!$C$2:$F$1138,4,FALSE)</f>
        <v>76869</v>
      </c>
      <c r="F1973" s="333"/>
      <c r="G1973" s="221"/>
      <c r="H1973" s="157"/>
      <c r="I1973" s="157"/>
      <c r="J1973" s="157">
        <f>342*5</f>
        <v>1710</v>
      </c>
      <c r="K1973" s="157">
        <v>342</v>
      </c>
      <c r="L1973" s="157"/>
      <c r="M1973" s="157">
        <v>172</v>
      </c>
      <c r="N1973" s="157"/>
      <c r="O1973" s="157"/>
      <c r="P1973" s="157"/>
      <c r="Q1973" s="157"/>
      <c r="R1973" s="157"/>
      <c r="S1973" s="157"/>
      <c r="T1973" s="157"/>
      <c r="U1973" s="157"/>
      <c r="V1973" s="158"/>
      <c r="W1973" s="182"/>
      <c r="X1973" s="1"/>
      <c r="Y1973" s="78">
        <f t="shared" si="243"/>
        <v>0</v>
      </c>
      <c r="Z1973" s="78">
        <f t="shared" si="244"/>
        <v>0</v>
      </c>
      <c r="AA1973" s="78">
        <f t="shared" ref="AA1973:AA2036" si="249">DB1973+DD1973</f>
        <v>0</v>
      </c>
      <c r="AB1973" s="78">
        <f t="shared" si="245"/>
        <v>0</v>
      </c>
      <c r="AC1973" s="78"/>
      <c r="AD1973" s="78">
        <v>0</v>
      </c>
      <c r="AE1973" s="80">
        <f t="shared" si="248"/>
        <v>0</v>
      </c>
      <c r="AF1973" s="82">
        <v>0</v>
      </c>
      <c r="AG1973" s="242">
        <v>40514</v>
      </c>
      <c r="AH1973" s="84"/>
      <c r="AI1973" s="69" t="s">
        <v>1984</v>
      </c>
      <c r="AJ1973" s="25" t="s">
        <v>1985</v>
      </c>
      <c r="AK1973" s="65"/>
      <c r="AL1973" s="176" t="s">
        <v>1257</v>
      </c>
      <c r="AM1973" s="173" t="s">
        <v>1128</v>
      </c>
      <c r="AN1973" s="159"/>
      <c r="AO1973" s="160"/>
      <c r="AP1973" s="161"/>
      <c r="AQ1973" s="160"/>
      <c r="AR1973" s="160"/>
      <c r="AS1973" s="160"/>
      <c r="AT1973" s="160"/>
      <c r="AU1973" s="160"/>
      <c r="AV1973" s="160"/>
      <c r="AW1973" s="160"/>
      <c r="AX1973" s="160"/>
      <c r="AY1973" s="160"/>
      <c r="AZ1973" s="160"/>
      <c r="BA1973" s="160"/>
      <c r="BB1973" s="160"/>
      <c r="BC1973" s="160"/>
      <c r="BD1973" s="160"/>
      <c r="BE1973" s="160"/>
      <c r="BF1973" s="160"/>
      <c r="BG1973" s="160"/>
      <c r="BH1973" s="160"/>
      <c r="BI1973" s="160"/>
      <c r="BJ1973" s="160"/>
      <c r="BK1973" s="160"/>
      <c r="BL1973" s="160"/>
      <c r="BM1973" s="160"/>
      <c r="BN1973" s="160"/>
      <c r="BO1973" s="160"/>
      <c r="BP1973" s="160"/>
      <c r="BQ1973" s="160"/>
      <c r="BR1973" s="160"/>
      <c r="BS1973" s="160"/>
      <c r="BT1973" s="160"/>
      <c r="BU1973" s="160"/>
      <c r="BV1973" s="160"/>
      <c r="BW1973" s="160"/>
      <c r="BX1973" s="160"/>
      <c r="BY1973" s="160"/>
      <c r="BZ1973" s="160"/>
      <c r="CA1973" s="160"/>
      <c r="CB1973" s="160"/>
      <c r="CC1973" s="160"/>
      <c r="CD1973" s="160"/>
      <c r="CE1973" s="160"/>
      <c r="CF1973" s="160"/>
      <c r="CG1973" s="160"/>
      <c r="CH1973" s="160"/>
      <c r="CI1973" s="160"/>
      <c r="CJ1973" s="160"/>
      <c r="CK1973" s="160"/>
      <c r="CL1973" s="160"/>
      <c r="CM1973" s="160"/>
      <c r="CN1973" s="160"/>
      <c r="CO1973" s="160"/>
      <c r="CP1973" s="162"/>
      <c r="CQ1973" s="163"/>
      <c r="CR1973" s="162"/>
      <c r="CS1973" s="163"/>
      <c r="CT1973" s="162"/>
      <c r="CU1973" s="163"/>
      <c r="CV1973" s="164">
        <f t="shared" si="246"/>
        <v>0</v>
      </c>
      <c r="CW1973" s="165"/>
      <c r="CX1973" s="166"/>
      <c r="CY1973" s="167"/>
      <c r="CZ1973" s="168"/>
      <c r="DA1973" s="169"/>
      <c r="DB1973" s="168"/>
      <c r="DC1973" s="165"/>
      <c r="DD1973" s="166"/>
      <c r="DE1973" s="71"/>
      <c r="DF1973" s="170"/>
      <c r="EO1973" s="375" t="str">
        <f t="shared" si="247"/>
        <v>VALLE DEL CAUCA_VIJES</v>
      </c>
      <c r="EP1973" s="376"/>
      <c r="EQ1973" s="376"/>
      <c r="ER1973" s="377"/>
      <c r="ES1973" s="376"/>
      <c r="ET1973" s="376"/>
      <c r="EU1973" s="376"/>
    </row>
    <row r="1974" spans="1:151" s="171" customFormat="1" ht="48" x14ac:dyDescent="0.2">
      <c r="A1974" s="242">
        <v>40514</v>
      </c>
      <c r="B1974" s="222" t="s">
        <v>828</v>
      </c>
      <c r="C1974" s="222" t="s">
        <v>358</v>
      </c>
      <c r="D1974" s="430" t="s">
        <v>837</v>
      </c>
      <c r="E1974" s="107" t="str">
        <f>VLOOKUP(B1974&amp;C1974,Divipola!$C$2:$F$1138,4,FALSE)</f>
        <v>15248</v>
      </c>
      <c r="F1974" s="333"/>
      <c r="G1974" s="221"/>
      <c r="H1974" s="157"/>
      <c r="I1974" s="157"/>
      <c r="J1974" s="157">
        <f>155*5</f>
        <v>775</v>
      </c>
      <c r="K1974" s="157">
        <v>155</v>
      </c>
      <c r="L1974" s="157">
        <v>5</v>
      </c>
      <c r="M1974" s="157">
        <v>150</v>
      </c>
      <c r="N1974" s="157"/>
      <c r="O1974" s="157"/>
      <c r="P1974" s="157"/>
      <c r="Q1974" s="157"/>
      <c r="R1974" s="157"/>
      <c r="S1974" s="157"/>
      <c r="T1974" s="157"/>
      <c r="U1974" s="157"/>
      <c r="V1974" s="158"/>
      <c r="W1974" s="182"/>
      <c r="X1974" s="1"/>
      <c r="Y1974" s="78">
        <f t="shared" si="243"/>
        <v>0</v>
      </c>
      <c r="Z1974" s="78">
        <f t="shared" si="244"/>
        <v>0</v>
      </c>
      <c r="AA1974" s="78">
        <f t="shared" si="249"/>
        <v>0</v>
      </c>
      <c r="AB1974" s="78">
        <f t="shared" si="245"/>
        <v>0</v>
      </c>
      <c r="AC1974" s="78"/>
      <c r="AD1974" s="78">
        <v>0</v>
      </c>
      <c r="AE1974" s="80">
        <f t="shared" si="248"/>
        <v>0</v>
      </c>
      <c r="AF1974" s="82">
        <v>0</v>
      </c>
      <c r="AG1974" s="69">
        <v>40578</v>
      </c>
      <c r="AH1974" s="84"/>
      <c r="AI1974" s="69" t="s">
        <v>1984</v>
      </c>
      <c r="AJ1974" s="25" t="s">
        <v>1985</v>
      </c>
      <c r="AK1974" s="65"/>
      <c r="AL1974" s="176" t="s">
        <v>1257</v>
      </c>
      <c r="AM1974" s="173" t="s">
        <v>359</v>
      </c>
      <c r="AN1974" s="159"/>
      <c r="AO1974" s="160"/>
      <c r="AP1974" s="161"/>
      <c r="AQ1974" s="160"/>
      <c r="AR1974" s="160"/>
      <c r="AS1974" s="160"/>
      <c r="AT1974" s="160"/>
      <c r="AU1974" s="160"/>
      <c r="AV1974" s="160"/>
      <c r="AW1974" s="160"/>
      <c r="AX1974" s="160"/>
      <c r="AY1974" s="160"/>
      <c r="AZ1974" s="160"/>
      <c r="BA1974" s="160"/>
      <c r="BB1974" s="160"/>
      <c r="BC1974" s="160"/>
      <c r="BD1974" s="160"/>
      <c r="BE1974" s="160"/>
      <c r="BF1974" s="160"/>
      <c r="BG1974" s="160"/>
      <c r="BH1974" s="160"/>
      <c r="BI1974" s="160"/>
      <c r="BJ1974" s="160"/>
      <c r="BK1974" s="160"/>
      <c r="BL1974" s="160"/>
      <c r="BM1974" s="160"/>
      <c r="BN1974" s="160"/>
      <c r="BO1974" s="160"/>
      <c r="BP1974" s="160"/>
      <c r="BQ1974" s="160"/>
      <c r="BR1974" s="160"/>
      <c r="BS1974" s="160"/>
      <c r="BT1974" s="160"/>
      <c r="BU1974" s="160"/>
      <c r="BV1974" s="160"/>
      <c r="BW1974" s="160"/>
      <c r="BX1974" s="160"/>
      <c r="BY1974" s="160"/>
      <c r="BZ1974" s="160"/>
      <c r="CA1974" s="160"/>
      <c r="CB1974" s="160"/>
      <c r="CC1974" s="160"/>
      <c r="CD1974" s="160"/>
      <c r="CE1974" s="160"/>
      <c r="CF1974" s="160"/>
      <c r="CG1974" s="160"/>
      <c r="CH1974" s="160"/>
      <c r="CI1974" s="160"/>
      <c r="CJ1974" s="160"/>
      <c r="CK1974" s="160"/>
      <c r="CL1974" s="160"/>
      <c r="CM1974" s="160"/>
      <c r="CN1974" s="160"/>
      <c r="CO1974" s="160"/>
      <c r="CP1974" s="162"/>
      <c r="CQ1974" s="163"/>
      <c r="CR1974" s="162"/>
      <c r="CS1974" s="163"/>
      <c r="CT1974" s="162"/>
      <c r="CU1974" s="163"/>
      <c r="CV1974" s="164">
        <f t="shared" si="246"/>
        <v>0</v>
      </c>
      <c r="CW1974" s="165"/>
      <c r="CX1974" s="166"/>
      <c r="CY1974" s="167"/>
      <c r="CZ1974" s="168"/>
      <c r="DA1974" s="169"/>
      <c r="DB1974" s="168"/>
      <c r="DC1974" s="165"/>
      <c r="DD1974" s="166"/>
      <c r="DE1974" s="71"/>
      <c r="DF1974" s="170"/>
      <c r="EO1974" s="375" t="str">
        <f t="shared" si="247"/>
        <v>BOYACA_EL ESPINO</v>
      </c>
      <c r="EP1974" s="376"/>
      <c r="EQ1974" s="376"/>
      <c r="ER1974" s="377"/>
      <c r="ES1974" s="376"/>
      <c r="ET1974" s="376"/>
      <c r="EU1974" s="376"/>
    </row>
    <row r="1975" spans="1:151" s="171" customFormat="1" ht="25.5" x14ac:dyDescent="0.2">
      <c r="A1975" s="242">
        <v>40514</v>
      </c>
      <c r="B1975" s="222" t="s">
        <v>828</v>
      </c>
      <c r="C1975" s="222" t="s">
        <v>1584</v>
      </c>
      <c r="D1975" s="430" t="s">
        <v>2307</v>
      </c>
      <c r="E1975" s="107" t="str">
        <f>VLOOKUP(B1975&amp;C1975,Divipola!$C$2:$F$1138,4,FALSE)</f>
        <v>15507</v>
      </c>
      <c r="F1975" s="333"/>
      <c r="G1975" s="221"/>
      <c r="H1975" s="157"/>
      <c r="I1975" s="157"/>
      <c r="J1975" s="157">
        <f>112*5</f>
        <v>560</v>
      </c>
      <c r="K1975" s="157">
        <f>217-105</f>
        <v>112</v>
      </c>
      <c r="L1975" s="157"/>
      <c r="M1975" s="157">
        <v>112</v>
      </c>
      <c r="N1975" s="157"/>
      <c r="O1975" s="157"/>
      <c r="P1975" s="157"/>
      <c r="Q1975" s="157"/>
      <c r="R1975" s="157"/>
      <c r="S1975" s="157"/>
      <c r="T1975" s="157"/>
      <c r="U1975" s="157"/>
      <c r="V1975" s="158"/>
      <c r="W1975" s="182"/>
      <c r="X1975" s="1"/>
      <c r="Y1975" s="78">
        <f t="shared" si="243"/>
        <v>0</v>
      </c>
      <c r="Z1975" s="78">
        <f t="shared" si="244"/>
        <v>0</v>
      </c>
      <c r="AA1975" s="78">
        <f t="shared" si="249"/>
        <v>0</v>
      </c>
      <c r="AB1975" s="78">
        <f t="shared" si="245"/>
        <v>0</v>
      </c>
      <c r="AC1975" s="78"/>
      <c r="AD1975" s="78">
        <v>0</v>
      </c>
      <c r="AE1975" s="80">
        <f t="shared" si="248"/>
        <v>0</v>
      </c>
      <c r="AF1975" s="82">
        <v>0</v>
      </c>
      <c r="AG1975" s="69">
        <v>40514</v>
      </c>
      <c r="AH1975" s="84"/>
      <c r="AI1975" s="69" t="s">
        <v>1984</v>
      </c>
      <c r="AJ1975" s="25" t="s">
        <v>1985</v>
      </c>
      <c r="AK1975" s="65"/>
      <c r="AL1975" s="176" t="s">
        <v>1257</v>
      </c>
      <c r="AM1975" s="173" t="s">
        <v>2987</v>
      </c>
      <c r="AN1975" s="159"/>
      <c r="AO1975" s="160"/>
      <c r="AP1975" s="161"/>
      <c r="AQ1975" s="160"/>
      <c r="AR1975" s="160"/>
      <c r="AS1975" s="160"/>
      <c r="AT1975" s="160"/>
      <c r="AU1975" s="160"/>
      <c r="AV1975" s="160"/>
      <c r="AW1975" s="160"/>
      <c r="AX1975" s="160"/>
      <c r="AY1975" s="160"/>
      <c r="AZ1975" s="160"/>
      <c r="BA1975" s="160"/>
      <c r="BB1975" s="160"/>
      <c r="BC1975" s="160"/>
      <c r="BD1975" s="160"/>
      <c r="BE1975" s="160"/>
      <c r="BF1975" s="160"/>
      <c r="BG1975" s="160"/>
      <c r="BH1975" s="160"/>
      <c r="BI1975" s="160"/>
      <c r="BJ1975" s="160"/>
      <c r="BK1975" s="160"/>
      <c r="BL1975" s="160"/>
      <c r="BM1975" s="160"/>
      <c r="BN1975" s="160"/>
      <c r="BO1975" s="160"/>
      <c r="BP1975" s="160"/>
      <c r="BQ1975" s="160"/>
      <c r="BR1975" s="160"/>
      <c r="BS1975" s="160"/>
      <c r="BT1975" s="160"/>
      <c r="BU1975" s="160"/>
      <c r="BV1975" s="160"/>
      <c r="BW1975" s="160"/>
      <c r="BX1975" s="160"/>
      <c r="BY1975" s="160"/>
      <c r="BZ1975" s="160"/>
      <c r="CA1975" s="160"/>
      <c r="CB1975" s="160"/>
      <c r="CC1975" s="160"/>
      <c r="CD1975" s="160"/>
      <c r="CE1975" s="160"/>
      <c r="CF1975" s="160"/>
      <c r="CG1975" s="160"/>
      <c r="CH1975" s="160"/>
      <c r="CI1975" s="160"/>
      <c r="CJ1975" s="160"/>
      <c r="CK1975" s="160"/>
      <c r="CL1975" s="160"/>
      <c r="CM1975" s="160"/>
      <c r="CN1975" s="160"/>
      <c r="CO1975" s="160"/>
      <c r="CP1975" s="162"/>
      <c r="CQ1975" s="163"/>
      <c r="CR1975" s="162"/>
      <c r="CS1975" s="163"/>
      <c r="CT1975" s="162"/>
      <c r="CU1975" s="163"/>
      <c r="CV1975" s="164">
        <f t="shared" si="246"/>
        <v>0</v>
      </c>
      <c r="CW1975" s="165"/>
      <c r="CX1975" s="166"/>
      <c r="CY1975" s="167"/>
      <c r="CZ1975" s="168"/>
      <c r="DA1975" s="169"/>
      <c r="DB1975" s="168"/>
      <c r="DC1975" s="165"/>
      <c r="DD1975" s="166"/>
      <c r="DE1975" s="71"/>
      <c r="DF1975" s="170"/>
      <c r="EO1975" s="375" t="str">
        <f t="shared" si="247"/>
        <v>BOYACA_OTANCHE</v>
      </c>
      <c r="EP1975" s="376"/>
      <c r="EQ1975" s="376"/>
      <c r="ER1975" s="377"/>
      <c r="ES1975" s="376"/>
      <c r="ET1975" s="376"/>
      <c r="EU1975" s="376"/>
    </row>
    <row r="1976" spans="1:151" s="171" customFormat="1" ht="51" x14ac:dyDescent="0.2">
      <c r="A1976" s="242">
        <v>40514</v>
      </c>
      <c r="B1976" s="222" t="s">
        <v>828</v>
      </c>
      <c r="C1976" s="222" t="s">
        <v>1248</v>
      </c>
      <c r="D1976" s="430" t="s">
        <v>2307</v>
      </c>
      <c r="E1976" s="107" t="str">
        <f>VLOOKUP(B1976&amp;C1976,Divipola!$C$2:$F$1138,4,FALSE)</f>
        <v>15681</v>
      </c>
      <c r="F1976" s="333"/>
      <c r="G1976" s="221"/>
      <c r="H1976" s="157"/>
      <c r="I1976" s="157"/>
      <c r="J1976" s="157">
        <v>100</v>
      </c>
      <c r="K1976" s="157">
        <v>20</v>
      </c>
      <c r="L1976" s="157">
        <v>10</v>
      </c>
      <c r="M1976" s="157">
        <v>10</v>
      </c>
      <c r="N1976" s="157"/>
      <c r="O1976" s="157"/>
      <c r="P1976" s="157"/>
      <c r="Q1976" s="157"/>
      <c r="R1976" s="157"/>
      <c r="S1976" s="157"/>
      <c r="T1976" s="157"/>
      <c r="U1976" s="157"/>
      <c r="V1976" s="158"/>
      <c r="W1976" s="182"/>
      <c r="X1976" s="1"/>
      <c r="Y1976" s="78">
        <f t="shared" si="243"/>
        <v>0</v>
      </c>
      <c r="Z1976" s="78">
        <f t="shared" si="244"/>
        <v>0</v>
      </c>
      <c r="AA1976" s="78">
        <f t="shared" si="249"/>
        <v>0</v>
      </c>
      <c r="AB1976" s="78">
        <f t="shared" si="245"/>
        <v>0</v>
      </c>
      <c r="AC1976" s="78"/>
      <c r="AD1976" s="78">
        <v>0</v>
      </c>
      <c r="AE1976" s="80">
        <f t="shared" si="248"/>
        <v>0</v>
      </c>
      <c r="AF1976" s="82">
        <v>0</v>
      </c>
      <c r="AG1976" s="69">
        <v>40514</v>
      </c>
      <c r="AH1976" s="84"/>
      <c r="AI1976" s="69" t="s">
        <v>1984</v>
      </c>
      <c r="AJ1976" s="25" t="s">
        <v>1985</v>
      </c>
      <c r="AK1976" s="65"/>
      <c r="AL1976" s="176" t="s">
        <v>1257</v>
      </c>
      <c r="AM1976" s="173" t="s">
        <v>2986</v>
      </c>
      <c r="AN1976" s="159"/>
      <c r="AO1976" s="160"/>
      <c r="AP1976" s="161"/>
      <c r="AQ1976" s="160"/>
      <c r="AR1976" s="160"/>
      <c r="AS1976" s="160"/>
      <c r="AT1976" s="160"/>
      <c r="AU1976" s="160"/>
      <c r="AV1976" s="160"/>
      <c r="AW1976" s="160"/>
      <c r="AX1976" s="160"/>
      <c r="AY1976" s="160"/>
      <c r="AZ1976" s="160"/>
      <c r="BA1976" s="160"/>
      <c r="BB1976" s="160"/>
      <c r="BC1976" s="160"/>
      <c r="BD1976" s="160"/>
      <c r="BE1976" s="160"/>
      <c r="BF1976" s="160"/>
      <c r="BG1976" s="160"/>
      <c r="BH1976" s="160"/>
      <c r="BI1976" s="160"/>
      <c r="BJ1976" s="160"/>
      <c r="BK1976" s="160"/>
      <c r="BL1976" s="160"/>
      <c r="BM1976" s="160"/>
      <c r="BN1976" s="160"/>
      <c r="BO1976" s="160"/>
      <c r="BP1976" s="160"/>
      <c r="BQ1976" s="160"/>
      <c r="BR1976" s="160"/>
      <c r="BS1976" s="160"/>
      <c r="BT1976" s="160"/>
      <c r="BU1976" s="160"/>
      <c r="BV1976" s="160"/>
      <c r="BW1976" s="160"/>
      <c r="BX1976" s="160"/>
      <c r="BY1976" s="160"/>
      <c r="BZ1976" s="160"/>
      <c r="CA1976" s="160"/>
      <c r="CB1976" s="160"/>
      <c r="CC1976" s="160"/>
      <c r="CD1976" s="160"/>
      <c r="CE1976" s="160"/>
      <c r="CF1976" s="160"/>
      <c r="CG1976" s="160"/>
      <c r="CH1976" s="160"/>
      <c r="CI1976" s="160"/>
      <c r="CJ1976" s="160"/>
      <c r="CK1976" s="160"/>
      <c r="CL1976" s="160"/>
      <c r="CM1976" s="160"/>
      <c r="CN1976" s="160"/>
      <c r="CO1976" s="160"/>
      <c r="CP1976" s="162"/>
      <c r="CQ1976" s="163"/>
      <c r="CR1976" s="162"/>
      <c r="CS1976" s="163"/>
      <c r="CT1976" s="162"/>
      <c r="CU1976" s="163"/>
      <c r="CV1976" s="164">
        <f t="shared" si="246"/>
        <v>0</v>
      </c>
      <c r="CW1976" s="165"/>
      <c r="CX1976" s="166"/>
      <c r="CY1976" s="167"/>
      <c r="CZ1976" s="168"/>
      <c r="DA1976" s="169"/>
      <c r="DB1976" s="168"/>
      <c r="DC1976" s="165"/>
      <c r="DD1976" s="166"/>
      <c r="DE1976" s="71"/>
      <c r="DF1976" s="170"/>
      <c r="EO1976" s="375" t="str">
        <f t="shared" si="247"/>
        <v>BOYACA_SAN PABLO DE BORBUR</v>
      </c>
      <c r="EP1976" s="376"/>
      <c r="EQ1976" s="376"/>
      <c r="ER1976" s="377"/>
      <c r="ES1976" s="376"/>
      <c r="ET1976" s="376"/>
      <c r="EU1976" s="376"/>
    </row>
    <row r="1977" spans="1:151" s="171" customFormat="1" ht="45" x14ac:dyDescent="0.2">
      <c r="A1977" s="242">
        <v>40514</v>
      </c>
      <c r="B1977" s="222" t="s">
        <v>1719</v>
      </c>
      <c r="C1977" s="222" t="s">
        <v>2646</v>
      </c>
      <c r="D1977" s="430" t="s">
        <v>837</v>
      </c>
      <c r="E1977" s="107" t="str">
        <f>VLOOKUP(B1977&amp;C1977,Divipola!$C$2:$F$1138,4,FALSE)</f>
        <v>19022</v>
      </c>
      <c r="F1977" s="333"/>
      <c r="G1977" s="221"/>
      <c r="H1977" s="157"/>
      <c r="I1977" s="157"/>
      <c r="J1977" s="157">
        <v>1231</v>
      </c>
      <c r="K1977" s="157">
        <v>1231</v>
      </c>
      <c r="L1977" s="157"/>
      <c r="M1977" s="157">
        <v>1231</v>
      </c>
      <c r="N1977" s="157"/>
      <c r="O1977" s="157"/>
      <c r="P1977" s="157"/>
      <c r="Q1977" s="157">
        <v>1</v>
      </c>
      <c r="R1977" s="157"/>
      <c r="S1977" s="157"/>
      <c r="T1977" s="157"/>
      <c r="U1977" s="157"/>
      <c r="V1977" s="158"/>
      <c r="W1977" s="182"/>
      <c r="X1977" s="1"/>
      <c r="Y1977" s="78">
        <f t="shared" si="243"/>
        <v>0</v>
      </c>
      <c r="Z1977" s="78">
        <f t="shared" si="244"/>
        <v>0</v>
      </c>
      <c r="AA1977" s="78">
        <f t="shared" si="249"/>
        <v>0</v>
      </c>
      <c r="AB1977" s="78">
        <f t="shared" si="245"/>
        <v>0</v>
      </c>
      <c r="AC1977" s="78"/>
      <c r="AD1977" s="78">
        <v>0</v>
      </c>
      <c r="AE1977" s="80">
        <f t="shared" si="248"/>
        <v>0</v>
      </c>
      <c r="AF1977" s="82">
        <v>0</v>
      </c>
      <c r="AG1977" s="69"/>
      <c r="AH1977" s="84"/>
      <c r="AI1977" s="69" t="s">
        <v>2009</v>
      </c>
      <c r="AJ1977" s="276" t="s">
        <v>2010</v>
      </c>
      <c r="AK1977" s="65"/>
      <c r="AL1977" s="272" t="s">
        <v>311</v>
      </c>
      <c r="AM1977" s="173" t="s">
        <v>1268</v>
      </c>
      <c r="AN1977" s="159"/>
      <c r="AO1977" s="160"/>
      <c r="AP1977" s="161"/>
      <c r="AQ1977" s="160"/>
      <c r="AR1977" s="160"/>
      <c r="AS1977" s="160"/>
      <c r="AT1977" s="160"/>
      <c r="AU1977" s="160"/>
      <c r="AV1977" s="160"/>
      <c r="AW1977" s="160"/>
      <c r="AX1977" s="160"/>
      <c r="AY1977" s="160"/>
      <c r="AZ1977" s="160"/>
      <c r="BA1977" s="160"/>
      <c r="BB1977" s="160"/>
      <c r="BC1977" s="160"/>
      <c r="BD1977" s="160"/>
      <c r="BE1977" s="160"/>
      <c r="BF1977" s="160"/>
      <c r="BG1977" s="160"/>
      <c r="BH1977" s="160"/>
      <c r="BI1977" s="160"/>
      <c r="BJ1977" s="160"/>
      <c r="BK1977" s="160"/>
      <c r="BL1977" s="160"/>
      <c r="BM1977" s="160"/>
      <c r="BN1977" s="160"/>
      <c r="BO1977" s="160"/>
      <c r="BP1977" s="160"/>
      <c r="BQ1977" s="160"/>
      <c r="BR1977" s="160"/>
      <c r="BS1977" s="160"/>
      <c r="BT1977" s="160"/>
      <c r="BU1977" s="160"/>
      <c r="BV1977" s="160"/>
      <c r="BW1977" s="160"/>
      <c r="BX1977" s="160"/>
      <c r="BY1977" s="160"/>
      <c r="BZ1977" s="160"/>
      <c r="CA1977" s="160"/>
      <c r="CB1977" s="160"/>
      <c r="CC1977" s="160"/>
      <c r="CD1977" s="160"/>
      <c r="CE1977" s="160"/>
      <c r="CF1977" s="160"/>
      <c r="CG1977" s="160"/>
      <c r="CH1977" s="160"/>
      <c r="CI1977" s="160"/>
      <c r="CJ1977" s="160"/>
      <c r="CK1977" s="160"/>
      <c r="CL1977" s="160"/>
      <c r="CM1977" s="160"/>
      <c r="CN1977" s="160"/>
      <c r="CO1977" s="160"/>
      <c r="CP1977" s="162"/>
      <c r="CQ1977" s="163"/>
      <c r="CR1977" s="162"/>
      <c r="CS1977" s="163"/>
      <c r="CT1977" s="162"/>
      <c r="CU1977" s="163"/>
      <c r="CV1977" s="164">
        <f t="shared" si="246"/>
        <v>0</v>
      </c>
      <c r="CW1977" s="165"/>
      <c r="CX1977" s="166"/>
      <c r="CY1977" s="167"/>
      <c r="CZ1977" s="168"/>
      <c r="DA1977" s="169"/>
      <c r="DB1977" s="168"/>
      <c r="DC1977" s="165"/>
      <c r="DD1977" s="166"/>
      <c r="DE1977" s="71"/>
      <c r="DF1977" s="170"/>
      <c r="EO1977" s="375" t="str">
        <f t="shared" si="247"/>
        <v>CAUCA_ALMAGUER</v>
      </c>
      <c r="EP1977" s="376"/>
      <c r="EQ1977" s="376"/>
      <c r="ER1977" s="377"/>
      <c r="ES1977" s="376"/>
      <c r="ET1977" s="376"/>
      <c r="EU1977" s="376"/>
    </row>
    <row r="1978" spans="1:151" s="171" customFormat="1" ht="48" x14ac:dyDescent="0.2">
      <c r="A1978" s="242">
        <v>40514</v>
      </c>
      <c r="B1978" s="222" t="s">
        <v>2007</v>
      </c>
      <c r="C1978" s="222" t="s">
        <v>2740</v>
      </c>
      <c r="D1978" s="430" t="s">
        <v>837</v>
      </c>
      <c r="E1978" s="107" t="str">
        <f>VLOOKUP(B1978&amp;C1978,Divipola!$C$2:$F$1138,4,FALSE)</f>
        <v>25754</v>
      </c>
      <c r="F1978" s="333"/>
      <c r="G1978" s="221"/>
      <c r="H1978" s="157"/>
      <c r="I1978" s="157"/>
      <c r="J1978" s="157">
        <v>35</v>
      </c>
      <c r="K1978" s="157">
        <v>8</v>
      </c>
      <c r="L1978" s="157"/>
      <c r="M1978" s="157">
        <v>8</v>
      </c>
      <c r="N1978" s="157"/>
      <c r="O1978" s="157"/>
      <c r="P1978" s="157"/>
      <c r="Q1978" s="157"/>
      <c r="R1978" s="157"/>
      <c r="S1978" s="157"/>
      <c r="T1978" s="157"/>
      <c r="U1978" s="157"/>
      <c r="V1978" s="158"/>
      <c r="W1978" s="182"/>
      <c r="X1978" s="1"/>
      <c r="Y1978" s="78">
        <f t="shared" si="243"/>
        <v>0</v>
      </c>
      <c r="Z1978" s="78">
        <f t="shared" si="244"/>
        <v>0</v>
      </c>
      <c r="AA1978" s="78">
        <f t="shared" si="249"/>
        <v>0</v>
      </c>
      <c r="AB1978" s="78">
        <f t="shared" si="245"/>
        <v>0</v>
      </c>
      <c r="AC1978" s="78"/>
      <c r="AD1978" s="78">
        <v>0</v>
      </c>
      <c r="AE1978" s="80">
        <f t="shared" si="248"/>
        <v>0</v>
      </c>
      <c r="AF1978" s="82">
        <v>0</v>
      </c>
      <c r="AG1978" s="69">
        <v>40514</v>
      </c>
      <c r="AH1978" s="84"/>
      <c r="AI1978" s="69" t="s">
        <v>1984</v>
      </c>
      <c r="AJ1978" s="25" t="s">
        <v>1985</v>
      </c>
      <c r="AK1978" s="65"/>
      <c r="AL1978" s="176" t="s">
        <v>1257</v>
      </c>
      <c r="AM1978" s="173" t="s">
        <v>824</v>
      </c>
      <c r="AN1978" s="159"/>
      <c r="AO1978" s="160"/>
      <c r="AP1978" s="161"/>
      <c r="AQ1978" s="160"/>
      <c r="AR1978" s="160"/>
      <c r="AS1978" s="160"/>
      <c r="AT1978" s="160"/>
      <c r="AU1978" s="160"/>
      <c r="AV1978" s="160"/>
      <c r="AW1978" s="160"/>
      <c r="AX1978" s="160"/>
      <c r="AY1978" s="160"/>
      <c r="AZ1978" s="160"/>
      <c r="BA1978" s="160"/>
      <c r="BB1978" s="160"/>
      <c r="BC1978" s="160"/>
      <c r="BD1978" s="160"/>
      <c r="BE1978" s="160"/>
      <c r="BF1978" s="160"/>
      <c r="BG1978" s="160"/>
      <c r="BH1978" s="160"/>
      <c r="BI1978" s="160"/>
      <c r="BJ1978" s="160"/>
      <c r="BK1978" s="160"/>
      <c r="BL1978" s="160"/>
      <c r="BM1978" s="160"/>
      <c r="BN1978" s="160"/>
      <c r="BO1978" s="160"/>
      <c r="BP1978" s="160"/>
      <c r="BQ1978" s="160"/>
      <c r="BR1978" s="160"/>
      <c r="BS1978" s="160"/>
      <c r="BT1978" s="160"/>
      <c r="BU1978" s="160"/>
      <c r="BV1978" s="160"/>
      <c r="BW1978" s="160"/>
      <c r="BX1978" s="160"/>
      <c r="BY1978" s="160"/>
      <c r="BZ1978" s="160"/>
      <c r="CA1978" s="160"/>
      <c r="CB1978" s="160"/>
      <c r="CC1978" s="160"/>
      <c r="CD1978" s="160"/>
      <c r="CE1978" s="160"/>
      <c r="CF1978" s="160"/>
      <c r="CG1978" s="160"/>
      <c r="CH1978" s="160"/>
      <c r="CI1978" s="160"/>
      <c r="CJ1978" s="160"/>
      <c r="CK1978" s="160"/>
      <c r="CL1978" s="160"/>
      <c r="CM1978" s="160"/>
      <c r="CN1978" s="160"/>
      <c r="CO1978" s="160"/>
      <c r="CP1978" s="162"/>
      <c r="CQ1978" s="163"/>
      <c r="CR1978" s="162"/>
      <c r="CS1978" s="163"/>
      <c r="CT1978" s="162"/>
      <c r="CU1978" s="163"/>
      <c r="CV1978" s="164">
        <f t="shared" si="246"/>
        <v>0</v>
      </c>
      <c r="CW1978" s="165"/>
      <c r="CX1978" s="166"/>
      <c r="CY1978" s="167"/>
      <c r="CZ1978" s="168"/>
      <c r="DA1978" s="169"/>
      <c r="DB1978" s="168"/>
      <c r="DC1978" s="165"/>
      <c r="DD1978" s="166"/>
      <c r="DE1978" s="71"/>
      <c r="DF1978" s="170"/>
      <c r="EO1978" s="375" t="str">
        <f t="shared" si="247"/>
        <v>CUNDINAMARCA_SOACHA</v>
      </c>
      <c r="EP1978" s="376"/>
      <c r="EQ1978" s="376"/>
      <c r="ER1978" s="377"/>
      <c r="ES1978" s="376"/>
      <c r="ET1978" s="376"/>
      <c r="EU1978" s="376"/>
    </row>
    <row r="1979" spans="1:151" s="171" customFormat="1" ht="45" x14ac:dyDescent="0.2">
      <c r="A1979" s="242">
        <v>40514</v>
      </c>
      <c r="B1979" s="222" t="s">
        <v>1333</v>
      </c>
      <c r="C1979" s="222" t="s">
        <v>1538</v>
      </c>
      <c r="D1979" s="430" t="s">
        <v>837</v>
      </c>
      <c r="E1979" s="107" t="str">
        <f>VLOOKUP(B1979&amp;C1979,Divipola!$C$2:$F$1138,4,FALSE)</f>
        <v>41396</v>
      </c>
      <c r="F1979" s="333"/>
      <c r="G1979" s="221"/>
      <c r="H1979" s="157"/>
      <c r="I1979" s="157"/>
      <c r="J1979" s="157">
        <f>120*5</f>
        <v>600</v>
      </c>
      <c r="K1979" s="157">
        <f>124-1-3</f>
        <v>120</v>
      </c>
      <c r="L1979" s="157"/>
      <c r="M1979" s="157"/>
      <c r="N1979" s="157"/>
      <c r="O1979" s="157"/>
      <c r="P1979" s="157"/>
      <c r="Q1979" s="157"/>
      <c r="R1979" s="157"/>
      <c r="S1979" s="157"/>
      <c r="T1979" s="157"/>
      <c r="U1979" s="157"/>
      <c r="V1979" s="158"/>
      <c r="W1979" s="182"/>
      <c r="X1979" s="1"/>
      <c r="Y1979" s="78">
        <f t="shared" si="243"/>
        <v>0</v>
      </c>
      <c r="Z1979" s="78">
        <f t="shared" si="244"/>
        <v>0</v>
      </c>
      <c r="AA1979" s="78">
        <f t="shared" si="249"/>
        <v>0</v>
      </c>
      <c r="AB1979" s="78">
        <f t="shared" si="245"/>
        <v>0</v>
      </c>
      <c r="AC1979" s="78"/>
      <c r="AD1979" s="78">
        <v>0</v>
      </c>
      <c r="AE1979" s="80">
        <f t="shared" si="248"/>
        <v>0</v>
      </c>
      <c r="AF1979" s="82">
        <v>0</v>
      </c>
      <c r="AG1979" s="69">
        <v>40514</v>
      </c>
      <c r="AH1979" s="84"/>
      <c r="AI1979" s="69" t="s">
        <v>2009</v>
      </c>
      <c r="AJ1979" s="276" t="s">
        <v>2010</v>
      </c>
      <c r="AK1979" s="65"/>
      <c r="AL1979" s="272" t="s">
        <v>311</v>
      </c>
      <c r="AM1979" s="173" t="s">
        <v>2975</v>
      </c>
      <c r="AN1979" s="159"/>
      <c r="AO1979" s="160"/>
      <c r="AP1979" s="161"/>
      <c r="AQ1979" s="160"/>
      <c r="AR1979" s="160"/>
      <c r="AS1979" s="160"/>
      <c r="AT1979" s="160"/>
      <c r="AU1979" s="160"/>
      <c r="AV1979" s="160"/>
      <c r="AW1979" s="160"/>
      <c r="AX1979" s="160"/>
      <c r="AY1979" s="160"/>
      <c r="AZ1979" s="160"/>
      <c r="BA1979" s="160"/>
      <c r="BB1979" s="160"/>
      <c r="BC1979" s="160"/>
      <c r="BD1979" s="160"/>
      <c r="BE1979" s="160"/>
      <c r="BF1979" s="160"/>
      <c r="BG1979" s="160"/>
      <c r="BH1979" s="160"/>
      <c r="BI1979" s="160"/>
      <c r="BJ1979" s="160"/>
      <c r="BK1979" s="160"/>
      <c r="BL1979" s="160"/>
      <c r="BM1979" s="160"/>
      <c r="BN1979" s="160"/>
      <c r="BO1979" s="160"/>
      <c r="BP1979" s="160"/>
      <c r="BQ1979" s="160"/>
      <c r="BR1979" s="160"/>
      <c r="BS1979" s="160"/>
      <c r="BT1979" s="160"/>
      <c r="BU1979" s="160"/>
      <c r="BV1979" s="160"/>
      <c r="BW1979" s="160"/>
      <c r="BX1979" s="160"/>
      <c r="BY1979" s="160"/>
      <c r="BZ1979" s="160"/>
      <c r="CA1979" s="160"/>
      <c r="CB1979" s="160"/>
      <c r="CC1979" s="160"/>
      <c r="CD1979" s="160"/>
      <c r="CE1979" s="160"/>
      <c r="CF1979" s="160"/>
      <c r="CG1979" s="160"/>
      <c r="CH1979" s="160"/>
      <c r="CI1979" s="160"/>
      <c r="CJ1979" s="160"/>
      <c r="CK1979" s="160"/>
      <c r="CL1979" s="160"/>
      <c r="CM1979" s="160"/>
      <c r="CN1979" s="160"/>
      <c r="CO1979" s="160"/>
      <c r="CP1979" s="162"/>
      <c r="CQ1979" s="163"/>
      <c r="CR1979" s="162"/>
      <c r="CS1979" s="163"/>
      <c r="CT1979" s="162"/>
      <c r="CU1979" s="163"/>
      <c r="CV1979" s="164">
        <f t="shared" si="246"/>
        <v>0</v>
      </c>
      <c r="CW1979" s="165"/>
      <c r="CX1979" s="166"/>
      <c r="CY1979" s="167"/>
      <c r="CZ1979" s="168"/>
      <c r="DA1979" s="169"/>
      <c r="DB1979" s="168"/>
      <c r="DC1979" s="165"/>
      <c r="DD1979" s="166"/>
      <c r="DE1979" s="71"/>
      <c r="DF1979" s="170"/>
      <c r="EO1979" s="375" t="str">
        <f t="shared" si="247"/>
        <v>HUILA_LA PLATA</v>
      </c>
      <c r="EP1979" s="376"/>
      <c r="EQ1979" s="376"/>
      <c r="ER1979" s="377"/>
      <c r="ES1979" s="376"/>
      <c r="ET1979" s="376"/>
      <c r="EU1979" s="376"/>
    </row>
    <row r="1980" spans="1:151" s="171" customFormat="1" ht="45" x14ac:dyDescent="0.2">
      <c r="A1980" s="242">
        <v>40514</v>
      </c>
      <c r="B1980" s="222" t="s">
        <v>1333</v>
      </c>
      <c r="C1980" s="222" t="s">
        <v>1432</v>
      </c>
      <c r="D1980" s="430" t="s">
        <v>837</v>
      </c>
      <c r="E1980" s="107" t="str">
        <f>VLOOKUP(B1980&amp;C1980,Divipola!$C$2:$F$1138,4,FALSE)</f>
        <v>41807</v>
      </c>
      <c r="F1980" s="333"/>
      <c r="G1980" s="221"/>
      <c r="H1980" s="157"/>
      <c r="I1980" s="157"/>
      <c r="J1980" s="157">
        <v>42</v>
      </c>
      <c r="K1980" s="157">
        <v>14</v>
      </c>
      <c r="L1980" s="157"/>
      <c r="M1980" s="157">
        <v>14</v>
      </c>
      <c r="N1980" s="157">
        <v>1</v>
      </c>
      <c r="O1980" s="157"/>
      <c r="P1980" s="157"/>
      <c r="Q1980" s="157"/>
      <c r="R1980" s="157"/>
      <c r="S1980" s="157"/>
      <c r="T1980" s="157"/>
      <c r="U1980" s="157"/>
      <c r="V1980" s="158"/>
      <c r="W1980" s="182"/>
      <c r="X1980" s="1"/>
      <c r="Y1980" s="78">
        <f t="shared" si="243"/>
        <v>0</v>
      </c>
      <c r="Z1980" s="78">
        <f t="shared" si="244"/>
        <v>0</v>
      </c>
      <c r="AA1980" s="78">
        <f t="shared" si="249"/>
        <v>0</v>
      </c>
      <c r="AB1980" s="78">
        <f t="shared" si="245"/>
        <v>0</v>
      </c>
      <c r="AC1980" s="78"/>
      <c r="AD1980" s="78">
        <v>0</v>
      </c>
      <c r="AE1980" s="80">
        <f t="shared" si="248"/>
        <v>0</v>
      </c>
      <c r="AF1980" s="82">
        <v>0</v>
      </c>
      <c r="AG1980" s="69">
        <v>40514</v>
      </c>
      <c r="AH1980" s="84"/>
      <c r="AI1980" s="69" t="s">
        <v>2009</v>
      </c>
      <c r="AJ1980" s="276" t="s">
        <v>2010</v>
      </c>
      <c r="AK1980" s="65"/>
      <c r="AL1980" s="272" t="s">
        <v>311</v>
      </c>
      <c r="AM1980" s="173" t="s">
        <v>908</v>
      </c>
      <c r="AN1980" s="159"/>
      <c r="AO1980" s="160"/>
      <c r="AP1980" s="161"/>
      <c r="AQ1980" s="160"/>
      <c r="AR1980" s="160"/>
      <c r="AS1980" s="160"/>
      <c r="AT1980" s="160"/>
      <c r="AU1980" s="160"/>
      <c r="AV1980" s="160"/>
      <c r="AW1980" s="160"/>
      <c r="AX1980" s="160"/>
      <c r="AY1980" s="160"/>
      <c r="AZ1980" s="160"/>
      <c r="BA1980" s="160"/>
      <c r="BB1980" s="160"/>
      <c r="BC1980" s="160"/>
      <c r="BD1980" s="160"/>
      <c r="BE1980" s="160"/>
      <c r="BF1980" s="160"/>
      <c r="BG1980" s="160"/>
      <c r="BH1980" s="160"/>
      <c r="BI1980" s="160"/>
      <c r="BJ1980" s="160"/>
      <c r="BK1980" s="160"/>
      <c r="BL1980" s="160"/>
      <c r="BM1980" s="160"/>
      <c r="BN1980" s="160"/>
      <c r="BO1980" s="160"/>
      <c r="BP1980" s="160"/>
      <c r="BQ1980" s="160"/>
      <c r="BR1980" s="160"/>
      <c r="BS1980" s="160"/>
      <c r="BT1980" s="160"/>
      <c r="BU1980" s="160"/>
      <c r="BV1980" s="160"/>
      <c r="BW1980" s="160"/>
      <c r="BX1980" s="160"/>
      <c r="BY1980" s="160"/>
      <c r="BZ1980" s="160"/>
      <c r="CA1980" s="160"/>
      <c r="CB1980" s="160"/>
      <c r="CC1980" s="160"/>
      <c r="CD1980" s="160"/>
      <c r="CE1980" s="160"/>
      <c r="CF1980" s="160"/>
      <c r="CG1980" s="160"/>
      <c r="CH1980" s="160"/>
      <c r="CI1980" s="160"/>
      <c r="CJ1980" s="160"/>
      <c r="CK1980" s="160"/>
      <c r="CL1980" s="160"/>
      <c r="CM1980" s="160"/>
      <c r="CN1980" s="160"/>
      <c r="CO1980" s="160"/>
      <c r="CP1980" s="162"/>
      <c r="CQ1980" s="163"/>
      <c r="CR1980" s="162"/>
      <c r="CS1980" s="163"/>
      <c r="CT1980" s="162"/>
      <c r="CU1980" s="163"/>
      <c r="CV1980" s="164">
        <f t="shared" si="246"/>
        <v>0</v>
      </c>
      <c r="CW1980" s="165"/>
      <c r="CX1980" s="166"/>
      <c r="CY1980" s="167"/>
      <c r="CZ1980" s="168"/>
      <c r="DA1980" s="169"/>
      <c r="DB1980" s="168"/>
      <c r="DC1980" s="165"/>
      <c r="DD1980" s="166"/>
      <c r="DE1980" s="71"/>
      <c r="DF1980" s="170"/>
      <c r="EO1980" s="375" t="str">
        <f t="shared" si="247"/>
        <v>HUILA_TIMANA</v>
      </c>
      <c r="EP1980" s="376"/>
      <c r="EQ1980" s="376"/>
      <c r="ER1980" s="377"/>
      <c r="ES1980" s="376"/>
      <c r="ET1980" s="376"/>
      <c r="EU1980" s="376"/>
    </row>
    <row r="1981" spans="1:151" s="171" customFormat="1" ht="45" x14ac:dyDescent="0.2">
      <c r="A1981" s="242">
        <v>40514</v>
      </c>
      <c r="B1981" s="222" t="s">
        <v>1336</v>
      </c>
      <c r="C1981" s="222" t="s">
        <v>565</v>
      </c>
      <c r="D1981" s="430" t="s">
        <v>2209</v>
      </c>
      <c r="E1981" s="107" t="str">
        <f>VLOOKUP(B1981&amp;C1981,Divipola!$C$2:$F$1138,4,FALSE)</f>
        <v>54128</v>
      </c>
      <c r="F1981" s="333"/>
      <c r="G1981" s="221">
        <v>1</v>
      </c>
      <c r="H1981" s="157"/>
      <c r="I1981" s="157"/>
      <c r="J1981" s="157">
        <v>5</v>
      </c>
      <c r="K1981" s="157">
        <v>1</v>
      </c>
      <c r="L1981" s="157"/>
      <c r="M1981" s="157"/>
      <c r="N1981" s="157"/>
      <c r="O1981" s="157"/>
      <c r="P1981" s="157"/>
      <c r="Q1981" s="157"/>
      <c r="R1981" s="157"/>
      <c r="S1981" s="157"/>
      <c r="T1981" s="157"/>
      <c r="U1981" s="157"/>
      <c r="V1981" s="158"/>
      <c r="W1981" s="182"/>
      <c r="X1981" s="1"/>
      <c r="Y1981" s="78">
        <f t="shared" si="243"/>
        <v>0</v>
      </c>
      <c r="Z1981" s="78">
        <f t="shared" si="244"/>
        <v>0</v>
      </c>
      <c r="AA1981" s="78">
        <f t="shared" si="249"/>
        <v>0</v>
      </c>
      <c r="AB1981" s="78">
        <f t="shared" si="245"/>
        <v>0</v>
      </c>
      <c r="AC1981" s="78"/>
      <c r="AD1981" s="78">
        <v>0</v>
      </c>
      <c r="AE1981" s="80">
        <f t="shared" si="248"/>
        <v>0</v>
      </c>
      <c r="AF1981" s="82">
        <v>0</v>
      </c>
      <c r="AG1981" s="242">
        <v>40529</v>
      </c>
      <c r="AH1981" s="84"/>
      <c r="AI1981" s="69" t="s">
        <v>2009</v>
      </c>
      <c r="AJ1981" s="276" t="s">
        <v>2010</v>
      </c>
      <c r="AK1981" s="65"/>
      <c r="AL1981" s="272" t="s">
        <v>311</v>
      </c>
      <c r="AM1981" s="173" t="s">
        <v>566</v>
      </c>
      <c r="AN1981" s="159"/>
      <c r="AO1981" s="160"/>
      <c r="AP1981" s="161"/>
      <c r="AQ1981" s="160"/>
      <c r="AR1981" s="160"/>
      <c r="AS1981" s="160"/>
      <c r="AT1981" s="160"/>
      <c r="AU1981" s="160"/>
      <c r="AV1981" s="160"/>
      <c r="AW1981" s="160"/>
      <c r="AX1981" s="160"/>
      <c r="AY1981" s="160"/>
      <c r="AZ1981" s="160"/>
      <c r="BA1981" s="160"/>
      <c r="BB1981" s="160"/>
      <c r="BC1981" s="160"/>
      <c r="BD1981" s="160"/>
      <c r="BE1981" s="160"/>
      <c r="BF1981" s="160"/>
      <c r="BG1981" s="160"/>
      <c r="BH1981" s="160"/>
      <c r="BI1981" s="160"/>
      <c r="BJ1981" s="160"/>
      <c r="BK1981" s="160"/>
      <c r="BL1981" s="160"/>
      <c r="BM1981" s="160"/>
      <c r="BN1981" s="160"/>
      <c r="BO1981" s="160"/>
      <c r="BP1981" s="160"/>
      <c r="BQ1981" s="160"/>
      <c r="BR1981" s="160"/>
      <c r="BS1981" s="160"/>
      <c r="BT1981" s="160"/>
      <c r="BU1981" s="160"/>
      <c r="BV1981" s="160"/>
      <c r="BW1981" s="160"/>
      <c r="BX1981" s="160"/>
      <c r="BY1981" s="160"/>
      <c r="BZ1981" s="160"/>
      <c r="CA1981" s="160"/>
      <c r="CB1981" s="160"/>
      <c r="CC1981" s="160"/>
      <c r="CD1981" s="160"/>
      <c r="CE1981" s="160"/>
      <c r="CF1981" s="160"/>
      <c r="CG1981" s="160"/>
      <c r="CH1981" s="160"/>
      <c r="CI1981" s="160"/>
      <c r="CJ1981" s="160"/>
      <c r="CK1981" s="160"/>
      <c r="CL1981" s="160"/>
      <c r="CM1981" s="160"/>
      <c r="CN1981" s="160"/>
      <c r="CO1981" s="160"/>
      <c r="CP1981" s="162"/>
      <c r="CQ1981" s="163"/>
      <c r="CR1981" s="162"/>
      <c r="CS1981" s="163"/>
      <c r="CT1981" s="162"/>
      <c r="CU1981" s="163"/>
      <c r="CV1981" s="164">
        <f t="shared" si="246"/>
        <v>0</v>
      </c>
      <c r="CW1981" s="165"/>
      <c r="CX1981" s="166"/>
      <c r="CY1981" s="167"/>
      <c r="CZ1981" s="168"/>
      <c r="DA1981" s="169"/>
      <c r="DB1981" s="168"/>
      <c r="DC1981" s="165"/>
      <c r="DD1981" s="166"/>
      <c r="DE1981" s="71"/>
      <c r="DF1981" s="170"/>
      <c r="EO1981" s="375" t="str">
        <f t="shared" si="247"/>
        <v>NORTE DE SANTANDER_CACHIRA</v>
      </c>
      <c r="EP1981" s="376"/>
      <c r="EQ1981" s="376"/>
      <c r="ER1981" s="377"/>
      <c r="ES1981" s="376"/>
      <c r="ET1981" s="376"/>
      <c r="EU1981" s="376"/>
    </row>
    <row r="1982" spans="1:151" s="171" customFormat="1" ht="45" x14ac:dyDescent="0.2">
      <c r="A1982" s="242">
        <v>40514</v>
      </c>
      <c r="B1982" s="222" t="s">
        <v>1336</v>
      </c>
      <c r="C1982" s="222" t="s">
        <v>565</v>
      </c>
      <c r="D1982" s="430" t="s">
        <v>2307</v>
      </c>
      <c r="E1982" s="107" t="str">
        <f>VLOOKUP(B1982&amp;C1982,Divipola!$C$2:$F$1138,4,FALSE)</f>
        <v>54128</v>
      </c>
      <c r="F1982" s="333"/>
      <c r="G1982" s="221">
        <v>1</v>
      </c>
      <c r="H1982" s="157"/>
      <c r="I1982" s="157"/>
      <c r="J1982" s="157">
        <f>2992-5</f>
        <v>2987</v>
      </c>
      <c r="K1982" s="157">
        <v>741</v>
      </c>
      <c r="L1982" s="157">
        <v>4</v>
      </c>
      <c r="M1982" s="157"/>
      <c r="N1982" s="157"/>
      <c r="O1982" s="157"/>
      <c r="P1982" s="157"/>
      <c r="Q1982" s="157"/>
      <c r="R1982" s="157"/>
      <c r="S1982" s="157"/>
      <c r="T1982" s="157"/>
      <c r="U1982" s="157"/>
      <c r="V1982" s="158"/>
      <c r="W1982" s="182"/>
      <c r="X1982" s="1"/>
      <c r="Y1982" s="78">
        <f t="shared" si="243"/>
        <v>0</v>
      </c>
      <c r="Z1982" s="78">
        <f t="shared" si="244"/>
        <v>0</v>
      </c>
      <c r="AA1982" s="78">
        <f t="shared" si="249"/>
        <v>0</v>
      </c>
      <c r="AB1982" s="78">
        <f t="shared" si="245"/>
        <v>0</v>
      </c>
      <c r="AC1982" s="78"/>
      <c r="AD1982" s="78">
        <v>0</v>
      </c>
      <c r="AE1982" s="80">
        <f t="shared" si="248"/>
        <v>0</v>
      </c>
      <c r="AF1982" s="82">
        <v>0</v>
      </c>
      <c r="AG1982" s="242">
        <v>40529</v>
      </c>
      <c r="AH1982" s="84"/>
      <c r="AI1982" s="69" t="s">
        <v>2009</v>
      </c>
      <c r="AJ1982" s="276" t="s">
        <v>2010</v>
      </c>
      <c r="AK1982" s="65"/>
      <c r="AL1982" s="272" t="s">
        <v>311</v>
      </c>
      <c r="AM1982" s="173" t="s">
        <v>567</v>
      </c>
      <c r="AN1982" s="159"/>
      <c r="AO1982" s="160"/>
      <c r="AP1982" s="161"/>
      <c r="AQ1982" s="160"/>
      <c r="AR1982" s="160"/>
      <c r="AS1982" s="160"/>
      <c r="AT1982" s="160"/>
      <c r="AU1982" s="160"/>
      <c r="AV1982" s="160"/>
      <c r="AW1982" s="160"/>
      <c r="AX1982" s="160"/>
      <c r="AY1982" s="160"/>
      <c r="AZ1982" s="160"/>
      <c r="BA1982" s="160"/>
      <c r="BB1982" s="160"/>
      <c r="BC1982" s="160"/>
      <c r="BD1982" s="160"/>
      <c r="BE1982" s="160"/>
      <c r="BF1982" s="160"/>
      <c r="BG1982" s="160"/>
      <c r="BH1982" s="160"/>
      <c r="BI1982" s="160"/>
      <c r="BJ1982" s="160"/>
      <c r="BK1982" s="160"/>
      <c r="BL1982" s="160"/>
      <c r="BM1982" s="160"/>
      <c r="BN1982" s="160"/>
      <c r="BO1982" s="160"/>
      <c r="BP1982" s="160"/>
      <c r="BQ1982" s="160"/>
      <c r="BR1982" s="160"/>
      <c r="BS1982" s="160"/>
      <c r="BT1982" s="160"/>
      <c r="BU1982" s="160"/>
      <c r="BV1982" s="160"/>
      <c r="BW1982" s="160"/>
      <c r="BX1982" s="160"/>
      <c r="BY1982" s="160"/>
      <c r="BZ1982" s="160"/>
      <c r="CA1982" s="160"/>
      <c r="CB1982" s="160"/>
      <c r="CC1982" s="160"/>
      <c r="CD1982" s="160"/>
      <c r="CE1982" s="160"/>
      <c r="CF1982" s="160"/>
      <c r="CG1982" s="160"/>
      <c r="CH1982" s="160"/>
      <c r="CI1982" s="160"/>
      <c r="CJ1982" s="160"/>
      <c r="CK1982" s="160"/>
      <c r="CL1982" s="160"/>
      <c r="CM1982" s="160"/>
      <c r="CN1982" s="160"/>
      <c r="CO1982" s="160"/>
      <c r="CP1982" s="162"/>
      <c r="CQ1982" s="163"/>
      <c r="CR1982" s="162"/>
      <c r="CS1982" s="163"/>
      <c r="CT1982" s="162"/>
      <c r="CU1982" s="163"/>
      <c r="CV1982" s="164">
        <f t="shared" si="246"/>
        <v>0</v>
      </c>
      <c r="CW1982" s="165"/>
      <c r="CX1982" s="166"/>
      <c r="CY1982" s="167"/>
      <c r="CZ1982" s="168"/>
      <c r="DA1982" s="169"/>
      <c r="DB1982" s="168"/>
      <c r="DC1982" s="165"/>
      <c r="DD1982" s="166"/>
      <c r="DE1982" s="71"/>
      <c r="DF1982" s="170"/>
      <c r="EO1982" s="375" t="str">
        <f t="shared" si="247"/>
        <v>NORTE DE SANTANDER_CACHIRA</v>
      </c>
      <c r="EP1982" s="376"/>
      <c r="EQ1982" s="376"/>
      <c r="ER1982" s="377"/>
      <c r="ES1982" s="376"/>
      <c r="ET1982" s="376"/>
      <c r="EU1982" s="376"/>
    </row>
    <row r="1983" spans="1:151" s="171" customFormat="1" ht="51" x14ac:dyDescent="0.2">
      <c r="A1983" s="242">
        <v>40514</v>
      </c>
      <c r="B1983" s="222" t="s">
        <v>1336</v>
      </c>
      <c r="C1983" s="222" t="s">
        <v>1845</v>
      </c>
      <c r="D1983" s="430" t="s">
        <v>2307</v>
      </c>
      <c r="E1983" s="107" t="str">
        <f>VLOOKUP(B1983&amp;C1983,Divipola!$C$2:$F$1138,4,FALSE)</f>
        <v>54206</v>
      </c>
      <c r="F1983" s="333"/>
      <c r="G1983" s="221">
        <v>1</v>
      </c>
      <c r="H1983" s="157">
        <v>4</v>
      </c>
      <c r="I1983" s="157"/>
      <c r="J1983" s="157"/>
      <c r="K1983" s="157"/>
      <c r="L1983" s="157"/>
      <c r="M1983" s="157"/>
      <c r="N1983" s="157">
        <v>1</v>
      </c>
      <c r="O1983" s="157"/>
      <c r="P1983" s="157"/>
      <c r="Q1983" s="157"/>
      <c r="R1983" s="157"/>
      <c r="S1983" s="157"/>
      <c r="T1983" s="157"/>
      <c r="U1983" s="157"/>
      <c r="V1983" s="158"/>
      <c r="W1983" s="182" t="s">
        <v>564</v>
      </c>
      <c r="X1983" s="1"/>
      <c r="Y1983" s="78">
        <f t="shared" si="243"/>
        <v>0</v>
      </c>
      <c r="Z1983" s="78">
        <f t="shared" si="244"/>
        <v>0</v>
      </c>
      <c r="AA1983" s="78">
        <f t="shared" si="249"/>
        <v>0</v>
      </c>
      <c r="AB1983" s="78">
        <f t="shared" si="245"/>
        <v>0</v>
      </c>
      <c r="AC1983" s="78"/>
      <c r="AD1983" s="78">
        <v>0</v>
      </c>
      <c r="AE1983" s="80">
        <f t="shared" si="248"/>
        <v>0</v>
      </c>
      <c r="AF1983" s="82">
        <v>0</v>
      </c>
      <c r="AG1983" s="242">
        <v>40529</v>
      </c>
      <c r="AH1983" s="84"/>
      <c r="AI1983" s="69" t="s">
        <v>2009</v>
      </c>
      <c r="AJ1983" s="276" t="s">
        <v>2010</v>
      </c>
      <c r="AK1983" s="65"/>
      <c r="AL1983" s="272" t="s">
        <v>311</v>
      </c>
      <c r="AM1983" s="173" t="s">
        <v>563</v>
      </c>
      <c r="AN1983" s="159"/>
      <c r="AO1983" s="160"/>
      <c r="AP1983" s="161"/>
      <c r="AQ1983" s="160"/>
      <c r="AR1983" s="160"/>
      <c r="AS1983" s="160"/>
      <c r="AT1983" s="160"/>
      <c r="AU1983" s="160"/>
      <c r="AV1983" s="160"/>
      <c r="AW1983" s="160"/>
      <c r="AX1983" s="160"/>
      <c r="AY1983" s="160"/>
      <c r="AZ1983" s="160"/>
      <c r="BA1983" s="160"/>
      <c r="BB1983" s="160"/>
      <c r="BC1983" s="160"/>
      <c r="BD1983" s="160"/>
      <c r="BE1983" s="160"/>
      <c r="BF1983" s="160"/>
      <c r="BG1983" s="160"/>
      <c r="BH1983" s="160"/>
      <c r="BI1983" s="160"/>
      <c r="BJ1983" s="160"/>
      <c r="BK1983" s="160"/>
      <c r="BL1983" s="160"/>
      <c r="BM1983" s="160"/>
      <c r="BN1983" s="160"/>
      <c r="BO1983" s="160"/>
      <c r="BP1983" s="160"/>
      <c r="BQ1983" s="160"/>
      <c r="BR1983" s="160"/>
      <c r="BS1983" s="160"/>
      <c r="BT1983" s="160"/>
      <c r="BU1983" s="160"/>
      <c r="BV1983" s="160"/>
      <c r="BW1983" s="160"/>
      <c r="BX1983" s="160"/>
      <c r="BY1983" s="160"/>
      <c r="BZ1983" s="160"/>
      <c r="CA1983" s="160"/>
      <c r="CB1983" s="160"/>
      <c r="CC1983" s="160"/>
      <c r="CD1983" s="160"/>
      <c r="CE1983" s="160"/>
      <c r="CF1983" s="160"/>
      <c r="CG1983" s="160"/>
      <c r="CH1983" s="160"/>
      <c r="CI1983" s="160"/>
      <c r="CJ1983" s="160"/>
      <c r="CK1983" s="160"/>
      <c r="CL1983" s="160"/>
      <c r="CM1983" s="160"/>
      <c r="CN1983" s="160"/>
      <c r="CO1983" s="160"/>
      <c r="CP1983" s="162"/>
      <c r="CQ1983" s="163"/>
      <c r="CR1983" s="162"/>
      <c r="CS1983" s="163"/>
      <c r="CT1983" s="162"/>
      <c r="CU1983" s="163"/>
      <c r="CV1983" s="164">
        <f t="shared" si="246"/>
        <v>0</v>
      </c>
      <c r="CW1983" s="165"/>
      <c r="CX1983" s="166"/>
      <c r="CY1983" s="167"/>
      <c r="CZ1983" s="168"/>
      <c r="DA1983" s="169"/>
      <c r="DB1983" s="168"/>
      <c r="DC1983" s="165"/>
      <c r="DD1983" s="166"/>
      <c r="DE1983" s="71"/>
      <c r="DF1983" s="170"/>
      <c r="EO1983" s="375" t="str">
        <f t="shared" si="247"/>
        <v>NORTE DE SANTANDER_CONVENCION</v>
      </c>
      <c r="EP1983" s="376"/>
      <c r="EQ1983" s="376"/>
      <c r="ER1983" s="377"/>
      <c r="ES1983" s="376"/>
      <c r="ET1983" s="376"/>
      <c r="EU1983" s="376"/>
    </row>
    <row r="1984" spans="1:151" s="171" customFormat="1" ht="48" x14ac:dyDescent="0.2">
      <c r="A1984" s="242">
        <v>40514</v>
      </c>
      <c r="B1984" s="222" t="s">
        <v>1336</v>
      </c>
      <c r="C1984" s="222" t="s">
        <v>1732</v>
      </c>
      <c r="D1984" s="430" t="s">
        <v>2307</v>
      </c>
      <c r="E1984" s="107" t="str">
        <f>VLOOKUP(B1984&amp;C1984,Divipola!$C$2:$F$1138,4,FALSE)</f>
        <v>54001</v>
      </c>
      <c r="F1984" s="333"/>
      <c r="G1984" s="221"/>
      <c r="H1984" s="157"/>
      <c r="I1984" s="157"/>
      <c r="J1984" s="157">
        <v>740</v>
      </c>
      <c r="K1984" s="157">
        <v>148</v>
      </c>
      <c r="L1984" s="157">
        <v>4</v>
      </c>
      <c r="M1984" s="157">
        <v>144</v>
      </c>
      <c r="N1984" s="157"/>
      <c r="O1984" s="157"/>
      <c r="P1984" s="157"/>
      <c r="Q1984" s="157"/>
      <c r="R1984" s="157"/>
      <c r="S1984" s="157"/>
      <c r="T1984" s="157"/>
      <c r="U1984" s="157"/>
      <c r="V1984" s="158"/>
      <c r="W1984" s="182"/>
      <c r="X1984" s="1"/>
      <c r="Y1984" s="78">
        <f t="shared" si="243"/>
        <v>0</v>
      </c>
      <c r="Z1984" s="78">
        <f t="shared" si="244"/>
        <v>0</v>
      </c>
      <c r="AA1984" s="78">
        <f t="shared" si="249"/>
        <v>0</v>
      </c>
      <c r="AB1984" s="78">
        <f t="shared" si="245"/>
        <v>0</v>
      </c>
      <c r="AC1984" s="78"/>
      <c r="AD1984" s="78">
        <v>0</v>
      </c>
      <c r="AE1984" s="80">
        <f t="shared" si="248"/>
        <v>0</v>
      </c>
      <c r="AF1984" s="82">
        <v>0</v>
      </c>
      <c r="AG1984" s="69">
        <v>40529</v>
      </c>
      <c r="AH1984" s="84"/>
      <c r="AI1984" s="69" t="s">
        <v>2009</v>
      </c>
      <c r="AJ1984" s="276" t="s">
        <v>2010</v>
      </c>
      <c r="AK1984" s="65"/>
      <c r="AL1984" s="272" t="s">
        <v>311</v>
      </c>
      <c r="AM1984" s="173" t="s">
        <v>588</v>
      </c>
      <c r="AN1984" s="159"/>
      <c r="AO1984" s="160"/>
      <c r="AP1984" s="161"/>
      <c r="AQ1984" s="160"/>
      <c r="AR1984" s="160"/>
      <c r="AS1984" s="160"/>
      <c r="AT1984" s="160"/>
      <c r="AU1984" s="160"/>
      <c r="AV1984" s="160"/>
      <c r="AW1984" s="160"/>
      <c r="AX1984" s="160"/>
      <c r="AY1984" s="160"/>
      <c r="AZ1984" s="160"/>
      <c r="BA1984" s="160"/>
      <c r="BB1984" s="160"/>
      <c r="BC1984" s="160"/>
      <c r="BD1984" s="160"/>
      <c r="BE1984" s="160"/>
      <c r="BF1984" s="160"/>
      <c r="BG1984" s="160"/>
      <c r="BH1984" s="160"/>
      <c r="BI1984" s="160"/>
      <c r="BJ1984" s="160"/>
      <c r="BK1984" s="160"/>
      <c r="BL1984" s="160"/>
      <c r="BM1984" s="160"/>
      <c r="BN1984" s="160"/>
      <c r="BO1984" s="160"/>
      <c r="BP1984" s="160"/>
      <c r="BQ1984" s="160"/>
      <c r="BR1984" s="160"/>
      <c r="BS1984" s="160"/>
      <c r="BT1984" s="160"/>
      <c r="BU1984" s="160"/>
      <c r="BV1984" s="160"/>
      <c r="BW1984" s="160"/>
      <c r="BX1984" s="160"/>
      <c r="BY1984" s="160"/>
      <c r="BZ1984" s="160"/>
      <c r="CA1984" s="160"/>
      <c r="CB1984" s="160"/>
      <c r="CC1984" s="160"/>
      <c r="CD1984" s="160"/>
      <c r="CE1984" s="160"/>
      <c r="CF1984" s="160"/>
      <c r="CG1984" s="160"/>
      <c r="CH1984" s="160"/>
      <c r="CI1984" s="160"/>
      <c r="CJ1984" s="160"/>
      <c r="CK1984" s="160"/>
      <c r="CL1984" s="160"/>
      <c r="CM1984" s="160"/>
      <c r="CN1984" s="160"/>
      <c r="CO1984" s="160"/>
      <c r="CP1984" s="162"/>
      <c r="CQ1984" s="163"/>
      <c r="CR1984" s="162"/>
      <c r="CS1984" s="163"/>
      <c r="CT1984" s="162"/>
      <c r="CU1984" s="163"/>
      <c r="CV1984" s="164">
        <f t="shared" si="246"/>
        <v>0</v>
      </c>
      <c r="CW1984" s="165"/>
      <c r="CX1984" s="166"/>
      <c r="CY1984" s="167"/>
      <c r="CZ1984" s="168"/>
      <c r="DA1984" s="169"/>
      <c r="DB1984" s="168"/>
      <c r="DC1984" s="165"/>
      <c r="DD1984" s="166"/>
      <c r="DE1984" s="71"/>
      <c r="DF1984" s="170"/>
      <c r="EO1984" s="375" t="str">
        <f t="shared" si="247"/>
        <v>NORTE DE SANTANDER_CUCUTA</v>
      </c>
      <c r="EP1984" s="376"/>
      <c r="EQ1984" s="376"/>
      <c r="ER1984" s="377"/>
      <c r="ES1984" s="376"/>
      <c r="ET1984" s="376"/>
      <c r="EU1984" s="376"/>
    </row>
    <row r="1985" spans="1:151" s="171" customFormat="1" ht="51" x14ac:dyDescent="0.2">
      <c r="A1985" s="242">
        <v>40514</v>
      </c>
      <c r="B1985" s="222" t="s">
        <v>1336</v>
      </c>
      <c r="C1985" s="222" t="s">
        <v>1734</v>
      </c>
      <c r="D1985" s="430" t="s">
        <v>2307</v>
      </c>
      <c r="E1985" s="107" t="str">
        <f>VLOOKUP(B1985&amp;C1985,Divipola!$C$2:$F$1138,4,FALSE)</f>
        <v>54405</v>
      </c>
      <c r="F1985" s="333"/>
      <c r="G1985" s="221"/>
      <c r="H1985" s="157"/>
      <c r="I1985" s="157"/>
      <c r="J1985" s="157">
        <v>75</v>
      </c>
      <c r="K1985" s="157">
        <v>15</v>
      </c>
      <c r="L1985" s="157"/>
      <c r="M1985" s="157"/>
      <c r="N1985" s="157"/>
      <c r="O1985" s="157"/>
      <c r="P1985" s="157"/>
      <c r="Q1985" s="157"/>
      <c r="R1985" s="157"/>
      <c r="S1985" s="157"/>
      <c r="T1985" s="157"/>
      <c r="U1985" s="157"/>
      <c r="V1985" s="158"/>
      <c r="W1985" s="182"/>
      <c r="X1985" s="1"/>
      <c r="Y1985" s="78">
        <f t="shared" si="243"/>
        <v>0</v>
      </c>
      <c r="Z1985" s="78">
        <f t="shared" si="244"/>
        <v>0</v>
      </c>
      <c r="AA1985" s="78">
        <f t="shared" si="249"/>
        <v>0</v>
      </c>
      <c r="AB1985" s="78">
        <f t="shared" si="245"/>
        <v>0</v>
      </c>
      <c r="AC1985" s="78"/>
      <c r="AD1985" s="78">
        <v>0</v>
      </c>
      <c r="AE1985" s="80">
        <f t="shared" si="248"/>
        <v>0</v>
      </c>
      <c r="AF1985" s="82">
        <v>0</v>
      </c>
      <c r="AG1985" s="69">
        <v>40529</v>
      </c>
      <c r="AH1985" s="84"/>
      <c r="AI1985" s="69" t="s">
        <v>2009</v>
      </c>
      <c r="AJ1985" s="276" t="s">
        <v>2010</v>
      </c>
      <c r="AK1985" s="65"/>
      <c r="AL1985" s="272" t="s">
        <v>311</v>
      </c>
      <c r="AM1985" s="173" t="s">
        <v>568</v>
      </c>
      <c r="AN1985" s="159"/>
      <c r="AO1985" s="160"/>
      <c r="AP1985" s="161"/>
      <c r="AQ1985" s="160"/>
      <c r="AR1985" s="160"/>
      <c r="AS1985" s="160"/>
      <c r="AT1985" s="160"/>
      <c r="AU1985" s="160"/>
      <c r="AV1985" s="160"/>
      <c r="AW1985" s="160"/>
      <c r="AX1985" s="160"/>
      <c r="AY1985" s="160"/>
      <c r="AZ1985" s="160"/>
      <c r="BA1985" s="160"/>
      <c r="BB1985" s="160"/>
      <c r="BC1985" s="160"/>
      <c r="BD1985" s="160"/>
      <c r="BE1985" s="160"/>
      <c r="BF1985" s="160"/>
      <c r="BG1985" s="160"/>
      <c r="BH1985" s="160"/>
      <c r="BI1985" s="160"/>
      <c r="BJ1985" s="160"/>
      <c r="BK1985" s="160"/>
      <c r="BL1985" s="160"/>
      <c r="BM1985" s="160"/>
      <c r="BN1985" s="160"/>
      <c r="BO1985" s="160"/>
      <c r="BP1985" s="160"/>
      <c r="BQ1985" s="160"/>
      <c r="BR1985" s="160"/>
      <c r="BS1985" s="160"/>
      <c r="BT1985" s="160"/>
      <c r="BU1985" s="160"/>
      <c r="BV1985" s="160"/>
      <c r="BW1985" s="160"/>
      <c r="BX1985" s="160"/>
      <c r="BY1985" s="160"/>
      <c r="BZ1985" s="160"/>
      <c r="CA1985" s="160"/>
      <c r="CB1985" s="160"/>
      <c r="CC1985" s="160"/>
      <c r="CD1985" s="160"/>
      <c r="CE1985" s="160"/>
      <c r="CF1985" s="160"/>
      <c r="CG1985" s="160"/>
      <c r="CH1985" s="160"/>
      <c r="CI1985" s="160"/>
      <c r="CJ1985" s="160"/>
      <c r="CK1985" s="160"/>
      <c r="CL1985" s="160"/>
      <c r="CM1985" s="160"/>
      <c r="CN1985" s="160"/>
      <c r="CO1985" s="160"/>
      <c r="CP1985" s="162"/>
      <c r="CQ1985" s="163"/>
      <c r="CR1985" s="162"/>
      <c r="CS1985" s="163"/>
      <c r="CT1985" s="162"/>
      <c r="CU1985" s="163"/>
      <c r="CV1985" s="164">
        <f t="shared" si="246"/>
        <v>0</v>
      </c>
      <c r="CW1985" s="165"/>
      <c r="CX1985" s="166"/>
      <c r="CY1985" s="167"/>
      <c r="CZ1985" s="168"/>
      <c r="DA1985" s="169"/>
      <c r="DB1985" s="168"/>
      <c r="DC1985" s="165"/>
      <c r="DD1985" s="166"/>
      <c r="DE1985" s="71"/>
      <c r="DF1985" s="170"/>
      <c r="EO1985" s="375" t="str">
        <f t="shared" si="247"/>
        <v>NORTE DE SANTANDER_LOS PATIOS</v>
      </c>
      <c r="EP1985" s="376"/>
      <c r="EQ1985" s="376"/>
      <c r="ER1985" s="377"/>
      <c r="ES1985" s="376"/>
      <c r="ET1985" s="376"/>
      <c r="EU1985" s="376"/>
    </row>
    <row r="1986" spans="1:151" s="171" customFormat="1" ht="63.75" x14ac:dyDescent="0.2">
      <c r="A1986" s="242">
        <v>40514</v>
      </c>
      <c r="B1986" s="222" t="s">
        <v>1336</v>
      </c>
      <c r="C1986" s="222" t="s">
        <v>1733</v>
      </c>
      <c r="D1986" s="430" t="s">
        <v>837</v>
      </c>
      <c r="E1986" s="107" t="str">
        <f>VLOOKUP(B1986&amp;C1986,Divipola!$C$2:$F$1138,4,FALSE)</f>
        <v>54874</v>
      </c>
      <c r="F1986" s="333"/>
      <c r="G1986" s="221"/>
      <c r="H1986" s="157">
        <v>1</v>
      </c>
      <c r="I1986" s="157"/>
      <c r="J1986" s="157">
        <f>2293-40</f>
        <v>2253</v>
      </c>
      <c r="K1986" s="157">
        <f>562-8</f>
        <v>554</v>
      </c>
      <c r="L1986" s="157">
        <v>29</v>
      </c>
      <c r="M1986" s="157">
        <v>63</v>
      </c>
      <c r="N1986" s="157"/>
      <c r="O1986" s="157"/>
      <c r="P1986" s="157"/>
      <c r="Q1986" s="157"/>
      <c r="R1986" s="157"/>
      <c r="S1986" s="157"/>
      <c r="T1986" s="157"/>
      <c r="U1986" s="157"/>
      <c r="V1986" s="158"/>
      <c r="W1986" s="182"/>
      <c r="X1986" s="1"/>
      <c r="Y1986" s="78">
        <f t="shared" si="243"/>
        <v>0</v>
      </c>
      <c r="Z1986" s="78">
        <f t="shared" si="244"/>
        <v>0</v>
      </c>
      <c r="AA1986" s="78">
        <f t="shared" si="249"/>
        <v>0</v>
      </c>
      <c r="AB1986" s="78">
        <f t="shared" si="245"/>
        <v>0</v>
      </c>
      <c r="AC1986" s="78"/>
      <c r="AD1986" s="78">
        <v>0</v>
      </c>
      <c r="AE1986" s="80">
        <f t="shared" si="248"/>
        <v>0</v>
      </c>
      <c r="AF1986" s="82">
        <v>0</v>
      </c>
      <c r="AG1986" s="69">
        <v>40529</v>
      </c>
      <c r="AH1986" s="84"/>
      <c r="AI1986" s="69" t="s">
        <v>2009</v>
      </c>
      <c r="AJ1986" s="276" t="s">
        <v>2010</v>
      </c>
      <c r="AK1986" s="65"/>
      <c r="AL1986" s="272" t="s">
        <v>311</v>
      </c>
      <c r="AM1986" s="173" t="s">
        <v>590</v>
      </c>
      <c r="AN1986" s="159"/>
      <c r="AO1986" s="160"/>
      <c r="AP1986" s="161"/>
      <c r="AQ1986" s="160"/>
      <c r="AR1986" s="160"/>
      <c r="AS1986" s="160"/>
      <c r="AT1986" s="160"/>
      <c r="AU1986" s="160"/>
      <c r="AV1986" s="160"/>
      <c r="AW1986" s="160"/>
      <c r="AX1986" s="160"/>
      <c r="AY1986" s="160"/>
      <c r="AZ1986" s="160"/>
      <c r="BA1986" s="160"/>
      <c r="BB1986" s="160"/>
      <c r="BC1986" s="160"/>
      <c r="BD1986" s="160"/>
      <c r="BE1986" s="160"/>
      <c r="BF1986" s="160"/>
      <c r="BG1986" s="160"/>
      <c r="BH1986" s="160"/>
      <c r="BI1986" s="160"/>
      <c r="BJ1986" s="160"/>
      <c r="BK1986" s="160"/>
      <c r="BL1986" s="160"/>
      <c r="BM1986" s="160"/>
      <c r="BN1986" s="160"/>
      <c r="BO1986" s="160"/>
      <c r="BP1986" s="160"/>
      <c r="BQ1986" s="160"/>
      <c r="BR1986" s="160"/>
      <c r="BS1986" s="160"/>
      <c r="BT1986" s="160"/>
      <c r="BU1986" s="160"/>
      <c r="BV1986" s="160"/>
      <c r="BW1986" s="160"/>
      <c r="BX1986" s="160"/>
      <c r="BY1986" s="160"/>
      <c r="BZ1986" s="160"/>
      <c r="CA1986" s="160"/>
      <c r="CB1986" s="160"/>
      <c r="CC1986" s="160"/>
      <c r="CD1986" s="160"/>
      <c r="CE1986" s="160"/>
      <c r="CF1986" s="160"/>
      <c r="CG1986" s="160"/>
      <c r="CH1986" s="160"/>
      <c r="CI1986" s="160"/>
      <c r="CJ1986" s="160"/>
      <c r="CK1986" s="160"/>
      <c r="CL1986" s="160"/>
      <c r="CM1986" s="160"/>
      <c r="CN1986" s="160"/>
      <c r="CO1986" s="160"/>
      <c r="CP1986" s="162"/>
      <c r="CQ1986" s="163"/>
      <c r="CR1986" s="162"/>
      <c r="CS1986" s="163"/>
      <c r="CT1986" s="162"/>
      <c r="CU1986" s="163"/>
      <c r="CV1986" s="164">
        <f t="shared" si="246"/>
        <v>0</v>
      </c>
      <c r="CW1986" s="165"/>
      <c r="CX1986" s="166"/>
      <c r="CY1986" s="167"/>
      <c r="CZ1986" s="168"/>
      <c r="DA1986" s="169"/>
      <c r="DB1986" s="168"/>
      <c r="DC1986" s="165"/>
      <c r="DD1986" s="166"/>
      <c r="DE1986" s="71"/>
      <c r="DF1986" s="170"/>
      <c r="EO1986" s="375" t="str">
        <f t="shared" si="247"/>
        <v>NORTE DE SANTANDER_VILLA DEL ROSARIO</v>
      </c>
      <c r="EP1986" s="376"/>
      <c r="EQ1986" s="376"/>
      <c r="ER1986" s="377"/>
      <c r="ES1986" s="376"/>
      <c r="ET1986" s="376"/>
      <c r="EU1986" s="376"/>
    </row>
    <row r="1987" spans="1:151" s="171" customFormat="1" ht="25.5" x14ac:dyDescent="0.2">
      <c r="A1987" s="242">
        <v>40514</v>
      </c>
      <c r="B1987" s="222" t="s">
        <v>2014</v>
      </c>
      <c r="C1987" s="222" t="s">
        <v>2015</v>
      </c>
      <c r="D1987" s="430" t="s">
        <v>2307</v>
      </c>
      <c r="E1987" s="107" t="str">
        <f>VLOOKUP(B1987&amp;C1987,Divipola!$C$2:$F$1138,4,FALSE)</f>
        <v>63001</v>
      </c>
      <c r="F1987" s="333"/>
      <c r="G1987" s="221"/>
      <c r="H1987" s="157"/>
      <c r="I1987" s="157"/>
      <c r="J1987" s="157"/>
      <c r="K1987" s="157"/>
      <c r="L1987" s="157"/>
      <c r="M1987" s="157"/>
      <c r="N1987" s="157">
        <v>1</v>
      </c>
      <c r="O1987" s="157"/>
      <c r="P1987" s="157"/>
      <c r="Q1987" s="157"/>
      <c r="R1987" s="157"/>
      <c r="S1987" s="157"/>
      <c r="T1987" s="157"/>
      <c r="U1987" s="157"/>
      <c r="V1987" s="158"/>
      <c r="W1987" s="182"/>
      <c r="X1987" s="1"/>
      <c r="Y1987" s="78">
        <f t="shared" ref="Y1987:Y2050" si="250">CV1987</f>
        <v>0</v>
      </c>
      <c r="Z1987" s="78">
        <f t="shared" ref="Z1987:Z2050" si="251">CZ1987</f>
        <v>0</v>
      </c>
      <c r="AA1987" s="78">
        <f t="shared" si="249"/>
        <v>0</v>
      </c>
      <c r="AB1987" s="78">
        <f t="shared" ref="AB1987:AB2050" si="252">CX1987</f>
        <v>0</v>
      </c>
      <c r="AC1987" s="78"/>
      <c r="AD1987" s="78">
        <v>0</v>
      </c>
      <c r="AE1987" s="80">
        <f t="shared" si="248"/>
        <v>0</v>
      </c>
      <c r="AF1987" s="82">
        <v>0</v>
      </c>
      <c r="AG1987" s="69">
        <v>40514</v>
      </c>
      <c r="AH1987" s="84"/>
      <c r="AI1987" s="69" t="s">
        <v>1984</v>
      </c>
      <c r="AJ1987" s="25" t="s">
        <v>1985</v>
      </c>
      <c r="AK1987" s="65"/>
      <c r="AL1987" s="176" t="s">
        <v>1257</v>
      </c>
      <c r="AM1987" s="173" t="s">
        <v>545</v>
      </c>
      <c r="AN1987" s="159"/>
      <c r="AO1987" s="160"/>
      <c r="AP1987" s="161"/>
      <c r="AQ1987" s="160"/>
      <c r="AR1987" s="160"/>
      <c r="AS1987" s="160"/>
      <c r="AT1987" s="160"/>
      <c r="AU1987" s="160"/>
      <c r="AV1987" s="160"/>
      <c r="AW1987" s="160"/>
      <c r="AX1987" s="160"/>
      <c r="AY1987" s="160"/>
      <c r="AZ1987" s="160"/>
      <c r="BA1987" s="160"/>
      <c r="BB1987" s="160"/>
      <c r="BC1987" s="160"/>
      <c r="BD1987" s="160"/>
      <c r="BE1987" s="160"/>
      <c r="BF1987" s="160"/>
      <c r="BG1987" s="160"/>
      <c r="BH1987" s="160"/>
      <c r="BI1987" s="160"/>
      <c r="BJ1987" s="160"/>
      <c r="BK1987" s="160"/>
      <c r="BL1987" s="160"/>
      <c r="BM1987" s="160"/>
      <c r="BN1987" s="160"/>
      <c r="BO1987" s="160"/>
      <c r="BP1987" s="160"/>
      <c r="BQ1987" s="160"/>
      <c r="BR1987" s="160"/>
      <c r="BS1987" s="160"/>
      <c r="BT1987" s="160"/>
      <c r="BU1987" s="160"/>
      <c r="BV1987" s="160"/>
      <c r="BW1987" s="160"/>
      <c r="BX1987" s="160"/>
      <c r="BY1987" s="160"/>
      <c r="BZ1987" s="160"/>
      <c r="CA1987" s="160"/>
      <c r="CB1987" s="160"/>
      <c r="CC1987" s="160"/>
      <c r="CD1987" s="160"/>
      <c r="CE1987" s="160"/>
      <c r="CF1987" s="160"/>
      <c r="CG1987" s="160"/>
      <c r="CH1987" s="160"/>
      <c r="CI1987" s="160"/>
      <c r="CJ1987" s="160"/>
      <c r="CK1987" s="160"/>
      <c r="CL1987" s="160"/>
      <c r="CM1987" s="160"/>
      <c r="CN1987" s="160"/>
      <c r="CO1987" s="160"/>
      <c r="CP1987" s="162"/>
      <c r="CQ1987" s="163"/>
      <c r="CR1987" s="162"/>
      <c r="CS1987" s="163"/>
      <c r="CT1987" s="162"/>
      <c r="CU1987" s="163"/>
      <c r="CV1987" s="164">
        <f t="shared" ref="CV1987:CV2050" si="253">AO1987+AQ1987+AS1987+AU1987+AW1987+AY1987+BA1987+BC1987+BE1987+BG1987+BI1987+BK1987+BM1987+BO1987+BQ1987+BS1987+BU1987+BW1987+BY1987+CA1987+CC1987+CE1987+CG1987+CI1987+CK1987+CM1987+CO1987+CQ1987+CS1987+CU1987</f>
        <v>0</v>
      </c>
      <c r="CW1987" s="165"/>
      <c r="CX1987" s="166"/>
      <c r="CY1987" s="167"/>
      <c r="CZ1987" s="168"/>
      <c r="DA1987" s="169"/>
      <c r="DB1987" s="168"/>
      <c r="DC1987" s="165"/>
      <c r="DD1987" s="166"/>
      <c r="DE1987" s="71"/>
      <c r="DF1987" s="170"/>
      <c r="EO1987" s="375" t="str">
        <f t="shared" si="247"/>
        <v>QUINDIO_ARMENIA</v>
      </c>
      <c r="EP1987" s="376"/>
      <c r="EQ1987" s="376"/>
      <c r="ER1987" s="377"/>
      <c r="ES1987" s="376"/>
      <c r="ET1987" s="376"/>
      <c r="EU1987" s="376"/>
    </row>
    <row r="1988" spans="1:151" s="171" customFormat="1" ht="25.5" x14ac:dyDescent="0.2">
      <c r="A1988" s="242">
        <v>40514</v>
      </c>
      <c r="B1988" s="222" t="s">
        <v>2012</v>
      </c>
      <c r="C1988" s="222" t="s">
        <v>2433</v>
      </c>
      <c r="D1988" s="430" t="s">
        <v>2307</v>
      </c>
      <c r="E1988" s="107" t="str">
        <f>VLOOKUP(B1988&amp;C1988,Divipola!$C$2:$F$1138,4,FALSE)</f>
        <v>66001</v>
      </c>
      <c r="F1988" s="333"/>
      <c r="G1988" s="221"/>
      <c r="H1988" s="157"/>
      <c r="I1988" s="157"/>
      <c r="J1988" s="157">
        <v>10</v>
      </c>
      <c r="K1988" s="157">
        <v>2</v>
      </c>
      <c r="L1988" s="157"/>
      <c r="M1988" s="157">
        <v>2</v>
      </c>
      <c r="N1988" s="157"/>
      <c r="O1988" s="157"/>
      <c r="P1988" s="157"/>
      <c r="Q1988" s="157"/>
      <c r="R1988" s="157"/>
      <c r="S1988" s="157"/>
      <c r="T1988" s="157"/>
      <c r="U1988" s="157"/>
      <c r="V1988" s="158"/>
      <c r="W1988" s="182"/>
      <c r="X1988" s="1"/>
      <c r="Y1988" s="78">
        <f t="shared" si="250"/>
        <v>0</v>
      </c>
      <c r="Z1988" s="78">
        <f t="shared" si="251"/>
        <v>0</v>
      </c>
      <c r="AA1988" s="78">
        <f t="shared" si="249"/>
        <v>0</v>
      </c>
      <c r="AB1988" s="78">
        <f t="shared" si="252"/>
        <v>0</v>
      </c>
      <c r="AC1988" s="78"/>
      <c r="AD1988" s="78">
        <v>0</v>
      </c>
      <c r="AE1988" s="80">
        <f t="shared" si="248"/>
        <v>0</v>
      </c>
      <c r="AF1988" s="82">
        <v>0</v>
      </c>
      <c r="AG1988" s="69">
        <v>40514</v>
      </c>
      <c r="AH1988" s="84"/>
      <c r="AI1988" s="69" t="s">
        <v>1984</v>
      </c>
      <c r="AJ1988" s="25" t="s">
        <v>1985</v>
      </c>
      <c r="AK1988" s="65"/>
      <c r="AL1988" s="176" t="s">
        <v>1257</v>
      </c>
      <c r="AM1988" s="173" t="s">
        <v>546</v>
      </c>
      <c r="AN1988" s="159"/>
      <c r="AO1988" s="160"/>
      <c r="AP1988" s="161"/>
      <c r="AQ1988" s="160"/>
      <c r="AR1988" s="160"/>
      <c r="AS1988" s="160"/>
      <c r="AT1988" s="160"/>
      <c r="AU1988" s="160"/>
      <c r="AV1988" s="160"/>
      <c r="AW1988" s="160"/>
      <c r="AX1988" s="160"/>
      <c r="AY1988" s="160"/>
      <c r="AZ1988" s="160"/>
      <c r="BA1988" s="160"/>
      <c r="BB1988" s="160"/>
      <c r="BC1988" s="160"/>
      <c r="BD1988" s="160"/>
      <c r="BE1988" s="160"/>
      <c r="BF1988" s="160"/>
      <c r="BG1988" s="160"/>
      <c r="BH1988" s="160"/>
      <c r="BI1988" s="160"/>
      <c r="BJ1988" s="160"/>
      <c r="BK1988" s="160"/>
      <c r="BL1988" s="160"/>
      <c r="BM1988" s="160"/>
      <c r="BN1988" s="160"/>
      <c r="BO1988" s="160"/>
      <c r="BP1988" s="160"/>
      <c r="BQ1988" s="160"/>
      <c r="BR1988" s="160"/>
      <c r="BS1988" s="160"/>
      <c r="BT1988" s="160"/>
      <c r="BU1988" s="160"/>
      <c r="BV1988" s="160"/>
      <c r="BW1988" s="160"/>
      <c r="BX1988" s="160"/>
      <c r="BY1988" s="160"/>
      <c r="BZ1988" s="160"/>
      <c r="CA1988" s="160"/>
      <c r="CB1988" s="160"/>
      <c r="CC1988" s="160"/>
      <c r="CD1988" s="160"/>
      <c r="CE1988" s="160"/>
      <c r="CF1988" s="160"/>
      <c r="CG1988" s="160"/>
      <c r="CH1988" s="160"/>
      <c r="CI1988" s="160"/>
      <c r="CJ1988" s="160"/>
      <c r="CK1988" s="160"/>
      <c r="CL1988" s="160"/>
      <c r="CM1988" s="160"/>
      <c r="CN1988" s="160"/>
      <c r="CO1988" s="160"/>
      <c r="CP1988" s="162"/>
      <c r="CQ1988" s="163"/>
      <c r="CR1988" s="162"/>
      <c r="CS1988" s="163"/>
      <c r="CT1988" s="162"/>
      <c r="CU1988" s="163"/>
      <c r="CV1988" s="164">
        <f t="shared" si="253"/>
        <v>0</v>
      </c>
      <c r="CW1988" s="165"/>
      <c r="CX1988" s="166"/>
      <c r="CY1988" s="167"/>
      <c r="CZ1988" s="168"/>
      <c r="DA1988" s="169"/>
      <c r="DB1988" s="168"/>
      <c r="DC1988" s="165"/>
      <c r="DD1988" s="166"/>
      <c r="DE1988" s="71"/>
      <c r="DF1988" s="170"/>
      <c r="EO1988" s="375" t="str">
        <f t="shared" ref="EO1988:EO2050" si="254">B1988&amp;"_"&amp;C1988</f>
        <v>RISARALDA_PEREIRA</v>
      </c>
      <c r="EP1988" s="376"/>
      <c r="EQ1988" s="376"/>
      <c r="ER1988" s="377"/>
      <c r="ES1988" s="376"/>
      <c r="ET1988" s="376"/>
      <c r="EU1988" s="376"/>
    </row>
    <row r="1989" spans="1:151" s="171" customFormat="1" ht="25.5" x14ac:dyDescent="0.2">
      <c r="A1989" s="242">
        <v>40514</v>
      </c>
      <c r="B1989" s="222" t="s">
        <v>2012</v>
      </c>
      <c r="C1989" s="222" t="s">
        <v>2593</v>
      </c>
      <c r="D1989" s="430" t="s">
        <v>2307</v>
      </c>
      <c r="E1989" s="107" t="str">
        <f>VLOOKUP(B1989&amp;C1989,Divipola!$C$2:$F$1138,4,FALSE)</f>
        <v>66594</v>
      </c>
      <c r="F1989" s="333"/>
      <c r="G1989" s="221">
        <v>1</v>
      </c>
      <c r="H1989" s="157">
        <v>1</v>
      </c>
      <c r="I1989" s="157"/>
      <c r="J1989" s="157"/>
      <c r="K1989" s="157"/>
      <c r="L1989" s="157"/>
      <c r="M1989" s="157"/>
      <c r="N1989" s="157"/>
      <c r="O1989" s="157"/>
      <c r="P1989" s="157"/>
      <c r="Q1989" s="157"/>
      <c r="R1989" s="157"/>
      <c r="S1989" s="157"/>
      <c r="T1989" s="157"/>
      <c r="U1989" s="157"/>
      <c r="V1989" s="158"/>
      <c r="W1989" s="182"/>
      <c r="X1989" s="1"/>
      <c r="Y1989" s="78">
        <f t="shared" si="250"/>
        <v>0</v>
      </c>
      <c r="Z1989" s="78">
        <f t="shared" si="251"/>
        <v>0</v>
      </c>
      <c r="AA1989" s="78">
        <f t="shared" si="249"/>
        <v>0</v>
      </c>
      <c r="AB1989" s="78">
        <f t="shared" si="252"/>
        <v>0</v>
      </c>
      <c r="AC1989" s="78"/>
      <c r="AD1989" s="78">
        <v>0</v>
      </c>
      <c r="AE1989" s="80">
        <f t="shared" si="248"/>
        <v>0</v>
      </c>
      <c r="AF1989" s="82">
        <v>0</v>
      </c>
      <c r="AG1989" s="69">
        <v>40514</v>
      </c>
      <c r="AH1989" s="84"/>
      <c r="AI1989" s="69" t="s">
        <v>1984</v>
      </c>
      <c r="AJ1989" s="25" t="s">
        <v>1985</v>
      </c>
      <c r="AK1989" s="65"/>
      <c r="AL1989" s="176" t="s">
        <v>1257</v>
      </c>
      <c r="AM1989" s="173" t="s">
        <v>550</v>
      </c>
      <c r="AN1989" s="159"/>
      <c r="AO1989" s="160"/>
      <c r="AP1989" s="161"/>
      <c r="AQ1989" s="160"/>
      <c r="AR1989" s="160"/>
      <c r="AS1989" s="160"/>
      <c r="AT1989" s="160"/>
      <c r="AU1989" s="160"/>
      <c r="AV1989" s="160"/>
      <c r="AW1989" s="160"/>
      <c r="AX1989" s="160"/>
      <c r="AY1989" s="160"/>
      <c r="AZ1989" s="160"/>
      <c r="BA1989" s="160"/>
      <c r="BB1989" s="160"/>
      <c r="BC1989" s="160"/>
      <c r="BD1989" s="160"/>
      <c r="BE1989" s="160"/>
      <c r="BF1989" s="160"/>
      <c r="BG1989" s="160"/>
      <c r="BH1989" s="160"/>
      <c r="BI1989" s="160"/>
      <c r="BJ1989" s="160"/>
      <c r="BK1989" s="160"/>
      <c r="BL1989" s="160"/>
      <c r="BM1989" s="160"/>
      <c r="BN1989" s="160"/>
      <c r="BO1989" s="160"/>
      <c r="BP1989" s="160"/>
      <c r="BQ1989" s="160"/>
      <c r="BR1989" s="160"/>
      <c r="BS1989" s="160"/>
      <c r="BT1989" s="160"/>
      <c r="BU1989" s="160"/>
      <c r="BV1989" s="160"/>
      <c r="BW1989" s="160"/>
      <c r="BX1989" s="160"/>
      <c r="BY1989" s="160"/>
      <c r="BZ1989" s="160"/>
      <c r="CA1989" s="160"/>
      <c r="CB1989" s="160"/>
      <c r="CC1989" s="160"/>
      <c r="CD1989" s="160"/>
      <c r="CE1989" s="160"/>
      <c r="CF1989" s="160"/>
      <c r="CG1989" s="160"/>
      <c r="CH1989" s="160"/>
      <c r="CI1989" s="160"/>
      <c r="CJ1989" s="160"/>
      <c r="CK1989" s="160"/>
      <c r="CL1989" s="160"/>
      <c r="CM1989" s="160"/>
      <c r="CN1989" s="160"/>
      <c r="CO1989" s="160"/>
      <c r="CP1989" s="162"/>
      <c r="CQ1989" s="163"/>
      <c r="CR1989" s="162"/>
      <c r="CS1989" s="163"/>
      <c r="CT1989" s="162"/>
      <c r="CU1989" s="163"/>
      <c r="CV1989" s="164">
        <f t="shared" si="253"/>
        <v>0</v>
      </c>
      <c r="CW1989" s="165"/>
      <c r="CX1989" s="166"/>
      <c r="CY1989" s="167"/>
      <c r="CZ1989" s="168"/>
      <c r="DA1989" s="169"/>
      <c r="DB1989" s="168"/>
      <c r="DC1989" s="165"/>
      <c r="DD1989" s="166"/>
      <c r="DE1989" s="71"/>
      <c r="DF1989" s="170"/>
      <c r="EO1989" s="375" t="str">
        <f t="shared" si="254"/>
        <v>RISARALDA_QUINCHIA</v>
      </c>
      <c r="EP1989" s="376"/>
      <c r="EQ1989" s="376"/>
      <c r="ER1989" s="377"/>
      <c r="ES1989" s="376"/>
      <c r="ET1989" s="376"/>
      <c r="EU1989" s="376"/>
    </row>
    <row r="1990" spans="1:151" s="171" customFormat="1" ht="45" x14ac:dyDescent="0.2">
      <c r="A1990" s="242">
        <v>40514</v>
      </c>
      <c r="B1990" s="222" t="s">
        <v>2791</v>
      </c>
      <c r="C1990" s="222" t="s">
        <v>1097</v>
      </c>
      <c r="D1990" s="430" t="s">
        <v>2307</v>
      </c>
      <c r="E1990" s="107" t="str">
        <f>VLOOKUP(B1990&amp;C1990,Divipola!$C$2:$F$1138,4,FALSE)</f>
        <v>73152</v>
      </c>
      <c r="F1990" s="333"/>
      <c r="G1990" s="221">
        <v>2</v>
      </c>
      <c r="H1990" s="157">
        <v>1</v>
      </c>
      <c r="I1990" s="157"/>
      <c r="J1990" s="157">
        <f>689-180</f>
        <v>509</v>
      </c>
      <c r="K1990" s="157">
        <f>153-35</f>
        <v>118</v>
      </c>
      <c r="L1990" s="157">
        <v>2</v>
      </c>
      <c r="M1990" s="157">
        <v>116</v>
      </c>
      <c r="N1990" s="157"/>
      <c r="O1990" s="157"/>
      <c r="P1990" s="157">
        <v>2</v>
      </c>
      <c r="Q1990" s="157"/>
      <c r="R1990" s="157"/>
      <c r="S1990" s="157"/>
      <c r="T1990" s="157"/>
      <c r="U1990" s="157"/>
      <c r="V1990" s="158">
        <v>74.73</v>
      </c>
      <c r="W1990" s="182"/>
      <c r="X1990" s="1"/>
      <c r="Y1990" s="78">
        <f t="shared" si="250"/>
        <v>0</v>
      </c>
      <c r="Z1990" s="78">
        <f t="shared" si="251"/>
        <v>0</v>
      </c>
      <c r="AA1990" s="78">
        <f t="shared" si="249"/>
        <v>0</v>
      </c>
      <c r="AB1990" s="78">
        <f t="shared" si="252"/>
        <v>0</v>
      </c>
      <c r="AC1990" s="78"/>
      <c r="AD1990" s="78">
        <v>0</v>
      </c>
      <c r="AE1990" s="80">
        <f t="shared" si="248"/>
        <v>0</v>
      </c>
      <c r="AF1990" s="82">
        <v>0</v>
      </c>
      <c r="AG1990" s="69"/>
      <c r="AH1990" s="84"/>
      <c r="AI1990" s="69" t="s">
        <v>2009</v>
      </c>
      <c r="AJ1990" s="276" t="s">
        <v>2010</v>
      </c>
      <c r="AK1990" s="65"/>
      <c r="AL1990" s="272" t="s">
        <v>311</v>
      </c>
      <c r="AM1990" s="173" t="s">
        <v>529</v>
      </c>
      <c r="AN1990" s="159"/>
      <c r="AO1990" s="160"/>
      <c r="AP1990" s="161"/>
      <c r="AQ1990" s="160"/>
      <c r="AR1990" s="160"/>
      <c r="AS1990" s="160"/>
      <c r="AT1990" s="160"/>
      <c r="AU1990" s="160"/>
      <c r="AV1990" s="160"/>
      <c r="AW1990" s="160"/>
      <c r="AX1990" s="160"/>
      <c r="AY1990" s="160"/>
      <c r="AZ1990" s="160"/>
      <c r="BA1990" s="160"/>
      <c r="BB1990" s="160"/>
      <c r="BC1990" s="160"/>
      <c r="BD1990" s="160"/>
      <c r="BE1990" s="160"/>
      <c r="BF1990" s="160"/>
      <c r="BG1990" s="160"/>
      <c r="BH1990" s="160"/>
      <c r="BI1990" s="160"/>
      <c r="BJ1990" s="160"/>
      <c r="BK1990" s="160"/>
      <c r="BL1990" s="160"/>
      <c r="BM1990" s="160"/>
      <c r="BN1990" s="160"/>
      <c r="BO1990" s="160"/>
      <c r="BP1990" s="160"/>
      <c r="BQ1990" s="160"/>
      <c r="BR1990" s="160"/>
      <c r="BS1990" s="160"/>
      <c r="BT1990" s="160"/>
      <c r="BU1990" s="160"/>
      <c r="BV1990" s="160"/>
      <c r="BW1990" s="160"/>
      <c r="BX1990" s="160"/>
      <c r="BY1990" s="160"/>
      <c r="BZ1990" s="160"/>
      <c r="CA1990" s="160"/>
      <c r="CB1990" s="160"/>
      <c r="CC1990" s="160"/>
      <c r="CD1990" s="160"/>
      <c r="CE1990" s="160"/>
      <c r="CF1990" s="160"/>
      <c r="CG1990" s="160"/>
      <c r="CH1990" s="160"/>
      <c r="CI1990" s="160"/>
      <c r="CJ1990" s="160"/>
      <c r="CK1990" s="160"/>
      <c r="CL1990" s="160"/>
      <c r="CM1990" s="160"/>
      <c r="CN1990" s="160"/>
      <c r="CO1990" s="160"/>
      <c r="CP1990" s="162"/>
      <c r="CQ1990" s="163"/>
      <c r="CR1990" s="162"/>
      <c r="CS1990" s="163"/>
      <c r="CT1990" s="162"/>
      <c r="CU1990" s="163"/>
      <c r="CV1990" s="164">
        <f t="shared" si="253"/>
        <v>0</v>
      </c>
      <c r="CW1990" s="165"/>
      <c r="CX1990" s="166"/>
      <c r="CY1990" s="167"/>
      <c r="CZ1990" s="168"/>
      <c r="DA1990" s="169"/>
      <c r="DB1990" s="168"/>
      <c r="DC1990" s="165"/>
      <c r="DD1990" s="166"/>
      <c r="DE1990" s="71"/>
      <c r="DF1990" s="170"/>
      <c r="EO1990" s="375" t="str">
        <f t="shared" si="254"/>
        <v>TOLIMA_CASABIANCA</v>
      </c>
      <c r="EP1990" s="376"/>
      <c r="EQ1990" s="376"/>
      <c r="ER1990" s="377"/>
      <c r="ES1990" s="376"/>
      <c r="ET1990" s="376"/>
      <c r="EU1990" s="376"/>
    </row>
    <row r="1991" spans="1:151" s="171" customFormat="1" ht="63.75" x14ac:dyDescent="0.2">
      <c r="A1991" s="242">
        <v>40514</v>
      </c>
      <c r="B1991" s="222" t="s">
        <v>1462</v>
      </c>
      <c r="C1991" s="222" t="s">
        <v>1944</v>
      </c>
      <c r="D1991" s="430" t="s">
        <v>837</v>
      </c>
      <c r="E1991" s="107" t="str">
        <f>VLOOKUP(B1991&amp;C1991,Divipola!$C$2:$F$1138,4,FALSE)</f>
        <v>76109</v>
      </c>
      <c r="F1991" s="333"/>
      <c r="G1991" s="221"/>
      <c r="H1991" s="157"/>
      <c r="I1991" s="157"/>
      <c r="J1991" s="157">
        <v>392</v>
      </c>
      <c r="K1991" s="157">
        <v>110</v>
      </c>
      <c r="L1991" s="157"/>
      <c r="M1991" s="157">
        <v>110</v>
      </c>
      <c r="N1991" s="157"/>
      <c r="O1991" s="157"/>
      <c r="P1991" s="157"/>
      <c r="Q1991" s="157"/>
      <c r="R1991" s="157"/>
      <c r="S1991" s="157"/>
      <c r="T1991" s="157"/>
      <c r="U1991" s="157"/>
      <c r="V1991" s="158"/>
      <c r="W1991" s="182"/>
      <c r="X1991" s="1"/>
      <c r="Y1991" s="78">
        <f t="shared" si="250"/>
        <v>0</v>
      </c>
      <c r="Z1991" s="78">
        <f t="shared" si="251"/>
        <v>0</v>
      </c>
      <c r="AA1991" s="78">
        <f t="shared" si="249"/>
        <v>0</v>
      </c>
      <c r="AB1991" s="78">
        <f t="shared" si="252"/>
        <v>0</v>
      </c>
      <c r="AC1991" s="78"/>
      <c r="AD1991" s="78">
        <v>0</v>
      </c>
      <c r="AE1991" s="80">
        <f t="shared" si="248"/>
        <v>0</v>
      </c>
      <c r="AF1991" s="82">
        <v>0</v>
      </c>
      <c r="AG1991" s="69">
        <v>40514</v>
      </c>
      <c r="AH1991" s="84"/>
      <c r="AI1991" s="69" t="s">
        <v>1984</v>
      </c>
      <c r="AJ1991" s="25" t="s">
        <v>1985</v>
      </c>
      <c r="AK1991" s="65"/>
      <c r="AL1991" s="176" t="s">
        <v>1257</v>
      </c>
      <c r="AM1991" s="173" t="s">
        <v>569</v>
      </c>
      <c r="AN1991" s="159"/>
      <c r="AO1991" s="160"/>
      <c r="AP1991" s="161"/>
      <c r="AQ1991" s="160"/>
      <c r="AR1991" s="160"/>
      <c r="AS1991" s="160"/>
      <c r="AT1991" s="160"/>
      <c r="AU1991" s="160"/>
      <c r="AV1991" s="160"/>
      <c r="AW1991" s="160"/>
      <c r="AX1991" s="160"/>
      <c r="AY1991" s="160"/>
      <c r="AZ1991" s="160"/>
      <c r="BA1991" s="160"/>
      <c r="BB1991" s="160"/>
      <c r="BC1991" s="160"/>
      <c r="BD1991" s="160"/>
      <c r="BE1991" s="160"/>
      <c r="BF1991" s="160"/>
      <c r="BG1991" s="160"/>
      <c r="BH1991" s="160"/>
      <c r="BI1991" s="160"/>
      <c r="BJ1991" s="160"/>
      <c r="BK1991" s="160"/>
      <c r="BL1991" s="160"/>
      <c r="BM1991" s="160"/>
      <c r="BN1991" s="160"/>
      <c r="BO1991" s="160"/>
      <c r="BP1991" s="160"/>
      <c r="BQ1991" s="160"/>
      <c r="BR1991" s="160"/>
      <c r="BS1991" s="160"/>
      <c r="BT1991" s="160"/>
      <c r="BU1991" s="160"/>
      <c r="BV1991" s="160"/>
      <c r="BW1991" s="160"/>
      <c r="BX1991" s="160"/>
      <c r="BY1991" s="160"/>
      <c r="BZ1991" s="160"/>
      <c r="CA1991" s="160"/>
      <c r="CB1991" s="160"/>
      <c r="CC1991" s="160"/>
      <c r="CD1991" s="160"/>
      <c r="CE1991" s="160"/>
      <c r="CF1991" s="160"/>
      <c r="CG1991" s="160"/>
      <c r="CH1991" s="160"/>
      <c r="CI1991" s="160"/>
      <c r="CJ1991" s="160"/>
      <c r="CK1991" s="160"/>
      <c r="CL1991" s="160"/>
      <c r="CM1991" s="160"/>
      <c r="CN1991" s="160"/>
      <c r="CO1991" s="160"/>
      <c r="CP1991" s="162"/>
      <c r="CQ1991" s="163"/>
      <c r="CR1991" s="162"/>
      <c r="CS1991" s="163"/>
      <c r="CT1991" s="162"/>
      <c r="CU1991" s="163"/>
      <c r="CV1991" s="164">
        <f t="shared" si="253"/>
        <v>0</v>
      </c>
      <c r="CW1991" s="165"/>
      <c r="CX1991" s="166"/>
      <c r="CY1991" s="167"/>
      <c r="CZ1991" s="168"/>
      <c r="DA1991" s="169"/>
      <c r="DB1991" s="168"/>
      <c r="DC1991" s="165"/>
      <c r="DD1991" s="166"/>
      <c r="DE1991" s="71"/>
      <c r="DF1991" s="170"/>
      <c r="EO1991" s="375" t="str">
        <f t="shared" si="254"/>
        <v>VALLE DEL CAUCA_BUENAVENTURA</v>
      </c>
      <c r="EP1991" s="376"/>
      <c r="EQ1991" s="376"/>
      <c r="ER1991" s="377"/>
      <c r="ES1991" s="376"/>
      <c r="ET1991" s="376"/>
      <c r="EU1991" s="376"/>
    </row>
    <row r="1992" spans="1:151" s="171" customFormat="1" ht="38.25" x14ac:dyDescent="0.2">
      <c r="A1992" s="242">
        <v>40514.947916666664</v>
      </c>
      <c r="B1992" s="107" t="s">
        <v>6305</v>
      </c>
      <c r="C1992" s="107" t="s">
        <v>6305</v>
      </c>
      <c r="D1992" s="430" t="s">
        <v>2307</v>
      </c>
      <c r="E1992" s="107" t="str">
        <f>VLOOKUP(B1992&amp;C1992,Divipola!$C$2:$F$1138,4,FALSE)</f>
        <v>11001</v>
      </c>
      <c r="F1992" s="333"/>
      <c r="G1992" s="221"/>
      <c r="H1992" s="157"/>
      <c r="I1992" s="157"/>
      <c r="J1992" s="157">
        <v>93</v>
      </c>
      <c r="K1992" s="414">
        <v>18</v>
      </c>
      <c r="L1992" s="157"/>
      <c r="M1992" s="157"/>
      <c r="N1992" s="157"/>
      <c r="O1992" s="157"/>
      <c r="P1992" s="157"/>
      <c r="Q1992" s="157"/>
      <c r="R1992" s="157"/>
      <c r="S1992" s="157"/>
      <c r="T1992" s="157"/>
      <c r="U1992" s="157"/>
      <c r="V1992" s="158"/>
      <c r="W1992" s="182"/>
      <c r="X1992" s="1"/>
      <c r="Y1992" s="78">
        <f t="shared" si="250"/>
        <v>0</v>
      </c>
      <c r="Z1992" s="78">
        <f t="shared" si="251"/>
        <v>0</v>
      </c>
      <c r="AA1992" s="78">
        <f t="shared" si="249"/>
        <v>0</v>
      </c>
      <c r="AB1992" s="78">
        <f t="shared" si="252"/>
        <v>0</v>
      </c>
      <c r="AC1992" s="78"/>
      <c r="AD1992" s="78">
        <v>0</v>
      </c>
      <c r="AE1992" s="80">
        <f t="shared" si="248"/>
        <v>0</v>
      </c>
      <c r="AF1992" s="82">
        <v>0</v>
      </c>
      <c r="AG1992" s="306">
        <v>40624</v>
      </c>
      <c r="AH1992" s="307"/>
      <c r="AI1992" s="306" t="s">
        <v>1984</v>
      </c>
      <c r="AJ1992" s="308" t="s">
        <v>1985</v>
      </c>
      <c r="AK1992" s="309"/>
      <c r="AL1992" s="310" t="s">
        <v>1257</v>
      </c>
      <c r="AM1992" s="419" t="s">
        <v>3778</v>
      </c>
      <c r="AN1992" s="159"/>
      <c r="AO1992" s="160"/>
      <c r="AP1992" s="161"/>
      <c r="AQ1992" s="160"/>
      <c r="AR1992" s="160"/>
      <c r="AS1992" s="160"/>
      <c r="AT1992" s="160"/>
      <c r="AU1992" s="160"/>
      <c r="AV1992" s="160"/>
      <c r="AW1992" s="160"/>
      <c r="AX1992" s="160"/>
      <c r="AY1992" s="160"/>
      <c r="AZ1992" s="160"/>
      <c r="BA1992" s="160"/>
      <c r="BB1992" s="160"/>
      <c r="BC1992" s="160"/>
      <c r="BD1992" s="160"/>
      <c r="BE1992" s="160"/>
      <c r="BF1992" s="160"/>
      <c r="BG1992" s="160"/>
      <c r="BH1992" s="160"/>
      <c r="BI1992" s="160"/>
      <c r="BJ1992" s="160"/>
      <c r="BK1992" s="160"/>
      <c r="BL1992" s="160"/>
      <c r="BM1992" s="160"/>
      <c r="BN1992" s="160"/>
      <c r="BO1992" s="160"/>
      <c r="BP1992" s="160"/>
      <c r="BQ1992" s="160"/>
      <c r="BR1992" s="160"/>
      <c r="BS1992" s="160"/>
      <c r="BT1992" s="160"/>
      <c r="BU1992" s="160"/>
      <c r="BV1992" s="160"/>
      <c r="BW1992" s="160"/>
      <c r="BX1992" s="160"/>
      <c r="BY1992" s="160"/>
      <c r="BZ1992" s="160"/>
      <c r="CA1992" s="160"/>
      <c r="CB1992" s="160"/>
      <c r="CC1992" s="160"/>
      <c r="CD1992" s="160"/>
      <c r="CE1992" s="160"/>
      <c r="CF1992" s="160"/>
      <c r="CG1992" s="160"/>
      <c r="CH1992" s="160"/>
      <c r="CI1992" s="160"/>
      <c r="CJ1992" s="160"/>
      <c r="CK1992" s="160"/>
      <c r="CL1992" s="160"/>
      <c r="CM1992" s="160"/>
      <c r="CN1992" s="160"/>
      <c r="CO1992" s="160"/>
      <c r="CP1992" s="162"/>
      <c r="CQ1992" s="163"/>
      <c r="CR1992" s="162"/>
      <c r="CS1992" s="163"/>
      <c r="CT1992" s="162"/>
      <c r="CU1992" s="163"/>
      <c r="CV1992" s="164">
        <f t="shared" si="253"/>
        <v>0</v>
      </c>
      <c r="CW1992" s="165"/>
      <c r="CX1992" s="166"/>
      <c r="CY1992" s="167"/>
      <c r="CZ1992" s="168"/>
      <c r="DA1992" s="169"/>
      <c r="DB1992" s="168"/>
      <c r="DC1992" s="165"/>
      <c r="DD1992" s="166"/>
      <c r="DE1992" s="71"/>
      <c r="DF1992" s="170"/>
      <c r="EO1992" s="375" t="str">
        <f t="shared" si="254"/>
        <v>BOGOTA, D.C._BOGOTA, D.C.</v>
      </c>
      <c r="EP1992" s="376"/>
      <c r="EQ1992" s="376"/>
      <c r="ER1992" s="377"/>
      <c r="ES1992" s="376"/>
      <c r="ET1992" s="376"/>
      <c r="EU1992" s="376"/>
    </row>
    <row r="1993" spans="1:151" s="171" customFormat="1" ht="36" x14ac:dyDescent="0.2">
      <c r="A1993" s="242">
        <v>40515</v>
      </c>
      <c r="B1993" s="222" t="s">
        <v>2017</v>
      </c>
      <c r="C1993" s="222" t="s">
        <v>232</v>
      </c>
      <c r="D1993" s="430" t="s">
        <v>837</v>
      </c>
      <c r="E1993" s="107" t="str">
        <f>VLOOKUP(B1993&amp;C1993,Divipola!$C$2:$F$1138,4,FALSE)</f>
        <v>13052</v>
      </c>
      <c r="F1993" s="333"/>
      <c r="G1993" s="221"/>
      <c r="H1993" s="157"/>
      <c r="I1993" s="157"/>
      <c r="J1993" s="157">
        <v>1000</v>
      </c>
      <c r="K1993" s="157">
        <v>200</v>
      </c>
      <c r="L1993" s="157">
        <v>10</v>
      </c>
      <c r="M1993" s="157">
        <v>190</v>
      </c>
      <c r="N1993" s="157"/>
      <c r="O1993" s="157"/>
      <c r="P1993" s="157"/>
      <c r="Q1993" s="157"/>
      <c r="R1993" s="157"/>
      <c r="S1993" s="157"/>
      <c r="T1993" s="157"/>
      <c r="U1993" s="157"/>
      <c r="V1993" s="158"/>
      <c r="W1993" s="182"/>
      <c r="X1993" s="1"/>
      <c r="Y1993" s="78">
        <f t="shared" si="250"/>
        <v>0</v>
      </c>
      <c r="Z1993" s="78">
        <f t="shared" si="251"/>
        <v>0</v>
      </c>
      <c r="AA1993" s="78">
        <f t="shared" si="249"/>
        <v>0</v>
      </c>
      <c r="AB1993" s="78">
        <f t="shared" si="252"/>
        <v>0</v>
      </c>
      <c r="AC1993" s="78"/>
      <c r="AD1993" s="78">
        <v>0</v>
      </c>
      <c r="AE1993" s="80">
        <f t="shared" ref="AE1993:AE2056" si="255">Y1993+Z1993+AA1993+AB1993+AC1993+AD1993</f>
        <v>0</v>
      </c>
      <c r="AF1993" s="82">
        <v>0</v>
      </c>
      <c r="AG1993" s="69">
        <v>40515</v>
      </c>
      <c r="AH1993" s="84"/>
      <c r="AI1993" s="69" t="s">
        <v>1984</v>
      </c>
      <c r="AJ1993" s="25" t="s">
        <v>1985</v>
      </c>
      <c r="AK1993" s="65"/>
      <c r="AL1993" s="176" t="s">
        <v>1257</v>
      </c>
      <c r="AM1993" s="173" t="s">
        <v>2629</v>
      </c>
      <c r="AN1993" s="159"/>
      <c r="AO1993" s="160"/>
      <c r="AP1993" s="161"/>
      <c r="AQ1993" s="160"/>
      <c r="AR1993" s="160"/>
      <c r="AS1993" s="160"/>
      <c r="AT1993" s="160"/>
      <c r="AU1993" s="160"/>
      <c r="AV1993" s="160"/>
      <c r="AW1993" s="160"/>
      <c r="AX1993" s="160"/>
      <c r="AY1993" s="160"/>
      <c r="AZ1993" s="160"/>
      <c r="BA1993" s="160"/>
      <c r="BB1993" s="160"/>
      <c r="BC1993" s="160"/>
      <c r="BD1993" s="160"/>
      <c r="BE1993" s="160"/>
      <c r="BF1993" s="160"/>
      <c r="BG1993" s="160"/>
      <c r="BH1993" s="160"/>
      <c r="BI1993" s="160"/>
      <c r="BJ1993" s="160"/>
      <c r="BK1993" s="160"/>
      <c r="BL1993" s="160"/>
      <c r="BM1993" s="160"/>
      <c r="BN1993" s="160"/>
      <c r="BO1993" s="160"/>
      <c r="BP1993" s="160"/>
      <c r="BQ1993" s="160"/>
      <c r="BR1993" s="160"/>
      <c r="BS1993" s="160"/>
      <c r="BT1993" s="160"/>
      <c r="BU1993" s="160"/>
      <c r="BV1993" s="160"/>
      <c r="BW1993" s="160"/>
      <c r="BX1993" s="160"/>
      <c r="BY1993" s="160"/>
      <c r="BZ1993" s="160"/>
      <c r="CA1993" s="160"/>
      <c r="CB1993" s="160"/>
      <c r="CC1993" s="160"/>
      <c r="CD1993" s="160"/>
      <c r="CE1993" s="160"/>
      <c r="CF1993" s="160"/>
      <c r="CG1993" s="160"/>
      <c r="CH1993" s="160"/>
      <c r="CI1993" s="160"/>
      <c r="CJ1993" s="160"/>
      <c r="CK1993" s="160"/>
      <c r="CL1993" s="160"/>
      <c r="CM1993" s="160"/>
      <c r="CN1993" s="160"/>
      <c r="CO1993" s="160"/>
      <c r="CP1993" s="162"/>
      <c r="CQ1993" s="163"/>
      <c r="CR1993" s="162"/>
      <c r="CS1993" s="163"/>
      <c r="CT1993" s="162"/>
      <c r="CU1993" s="163"/>
      <c r="CV1993" s="164">
        <f t="shared" si="253"/>
        <v>0</v>
      </c>
      <c r="CW1993" s="165"/>
      <c r="CX1993" s="166"/>
      <c r="CY1993" s="167"/>
      <c r="CZ1993" s="168"/>
      <c r="DA1993" s="169"/>
      <c r="DB1993" s="168"/>
      <c r="DC1993" s="165"/>
      <c r="DD1993" s="166"/>
      <c r="DE1993" s="71"/>
      <c r="DF1993" s="170"/>
      <c r="EO1993" s="375" t="str">
        <f t="shared" si="254"/>
        <v>BOLIVAR_ARJONA</v>
      </c>
      <c r="EP1993" s="376"/>
      <c r="EQ1993" s="376"/>
      <c r="ER1993" s="377"/>
      <c r="ES1993" s="376"/>
      <c r="ET1993" s="376"/>
      <c r="EU1993" s="376"/>
    </row>
    <row r="1994" spans="1:151" s="171" customFormat="1" ht="108" x14ac:dyDescent="0.2">
      <c r="A1994" s="242">
        <v>40515</v>
      </c>
      <c r="B1994" s="222" t="s">
        <v>2017</v>
      </c>
      <c r="C1994" s="222" t="s">
        <v>1700</v>
      </c>
      <c r="D1994" s="430" t="s">
        <v>837</v>
      </c>
      <c r="E1994" s="107" t="str">
        <f>VLOOKUP(B1994&amp;C1994,Divipola!$C$2:$F$1138,4,FALSE)</f>
        <v>13212</v>
      </c>
      <c r="F1994" s="333"/>
      <c r="G1994" s="221"/>
      <c r="H1994" s="157"/>
      <c r="I1994" s="157"/>
      <c r="J1994" s="157">
        <f>532*5</f>
        <v>2660</v>
      </c>
      <c r="K1994" s="157">
        <f>1375-843</f>
        <v>532</v>
      </c>
      <c r="L1994" s="157">
        <v>3</v>
      </c>
      <c r="M1994" s="157">
        <v>467</v>
      </c>
      <c r="N1994" s="157"/>
      <c r="O1994" s="157"/>
      <c r="P1994" s="157"/>
      <c r="Q1994" s="157"/>
      <c r="R1994" s="157"/>
      <c r="S1994" s="157"/>
      <c r="T1994" s="157"/>
      <c r="U1994" s="157"/>
      <c r="V1994" s="158"/>
      <c r="W1994" s="182"/>
      <c r="X1994" s="1">
        <v>40523</v>
      </c>
      <c r="Y1994" s="78">
        <f t="shared" si="250"/>
        <v>0</v>
      </c>
      <c r="Z1994" s="78">
        <f t="shared" si="251"/>
        <v>0</v>
      </c>
      <c r="AA1994" s="78">
        <f t="shared" si="249"/>
        <v>0</v>
      </c>
      <c r="AB1994" s="78">
        <f t="shared" si="252"/>
        <v>0</v>
      </c>
      <c r="AC1994" s="78"/>
      <c r="AD1994" s="78">
        <v>60000000</v>
      </c>
      <c r="AE1994" s="80">
        <f t="shared" si="255"/>
        <v>60000000</v>
      </c>
      <c r="AF1994" s="82">
        <v>0</v>
      </c>
      <c r="AG1994" s="242">
        <v>40512</v>
      </c>
      <c r="AH1994" s="84">
        <v>68263</v>
      </c>
      <c r="AI1994" s="69" t="s">
        <v>2009</v>
      </c>
      <c r="AJ1994" s="25" t="s">
        <v>2010</v>
      </c>
      <c r="AK1994" s="65">
        <v>46893</v>
      </c>
      <c r="AL1994" s="176" t="s">
        <v>862</v>
      </c>
      <c r="AM1994" s="173" t="s">
        <v>324</v>
      </c>
      <c r="AN1994" s="159"/>
      <c r="AO1994" s="160"/>
      <c r="AP1994" s="161"/>
      <c r="AQ1994" s="160"/>
      <c r="AR1994" s="160"/>
      <c r="AS1994" s="160"/>
      <c r="AT1994" s="160"/>
      <c r="AU1994" s="160"/>
      <c r="AV1994" s="160"/>
      <c r="AW1994" s="160"/>
      <c r="AX1994" s="160"/>
      <c r="AY1994" s="160"/>
      <c r="AZ1994" s="160"/>
      <c r="BA1994" s="160"/>
      <c r="BB1994" s="160"/>
      <c r="BC1994" s="160"/>
      <c r="BD1994" s="160"/>
      <c r="BE1994" s="160"/>
      <c r="BF1994" s="160"/>
      <c r="BG1994" s="160"/>
      <c r="BH1994" s="160"/>
      <c r="BI1994" s="160"/>
      <c r="BJ1994" s="160"/>
      <c r="BK1994" s="160"/>
      <c r="BL1994" s="160"/>
      <c r="BM1994" s="160"/>
      <c r="BN1994" s="160"/>
      <c r="BO1994" s="160"/>
      <c r="BP1994" s="160"/>
      <c r="BQ1994" s="160"/>
      <c r="BR1994" s="160"/>
      <c r="BS1994" s="160"/>
      <c r="BT1994" s="160"/>
      <c r="BU1994" s="160"/>
      <c r="BV1994" s="160"/>
      <c r="BW1994" s="160"/>
      <c r="BX1994" s="160"/>
      <c r="BY1994" s="160"/>
      <c r="BZ1994" s="160"/>
      <c r="CA1994" s="160"/>
      <c r="CB1994" s="160"/>
      <c r="CC1994" s="160"/>
      <c r="CD1994" s="160"/>
      <c r="CE1994" s="160"/>
      <c r="CF1994" s="160"/>
      <c r="CG1994" s="160"/>
      <c r="CH1994" s="160"/>
      <c r="CI1994" s="160"/>
      <c r="CJ1994" s="160"/>
      <c r="CK1994" s="160"/>
      <c r="CL1994" s="160"/>
      <c r="CM1994" s="160"/>
      <c r="CN1994" s="160"/>
      <c r="CO1994" s="160"/>
      <c r="CP1994" s="162"/>
      <c r="CQ1994" s="163"/>
      <c r="CR1994" s="162"/>
      <c r="CS1994" s="163"/>
      <c r="CT1994" s="162"/>
      <c r="CU1994" s="163"/>
      <c r="CV1994" s="164">
        <f t="shared" si="253"/>
        <v>0</v>
      </c>
      <c r="CW1994" s="165"/>
      <c r="CX1994" s="166"/>
      <c r="CY1994" s="167"/>
      <c r="CZ1994" s="168"/>
      <c r="DA1994" s="169"/>
      <c r="DB1994" s="168"/>
      <c r="DC1994" s="165"/>
      <c r="DD1994" s="166"/>
      <c r="DE1994" s="71">
        <v>2</v>
      </c>
      <c r="DF1994" s="170"/>
      <c r="EO1994" s="375" t="str">
        <f t="shared" si="254"/>
        <v>BOLIVAR_CORDOBA</v>
      </c>
      <c r="EP1994" s="376"/>
      <c r="EQ1994" s="376"/>
      <c r="ER1994" s="377"/>
      <c r="ES1994" s="376"/>
      <c r="ET1994" s="376"/>
      <c r="EU1994" s="376"/>
    </row>
    <row r="1995" spans="1:151" s="171" customFormat="1" ht="36" x14ac:dyDescent="0.2">
      <c r="A1995" s="242">
        <v>40515</v>
      </c>
      <c r="B1995" s="222" t="s">
        <v>2017</v>
      </c>
      <c r="C1995" s="222" t="s">
        <v>1959</v>
      </c>
      <c r="D1995" s="430" t="s">
        <v>837</v>
      </c>
      <c r="E1995" s="107" t="str">
        <f>VLOOKUP(B1995&amp;C1995,Divipola!$C$2:$F$1138,4,FALSE)</f>
        <v>13248</v>
      </c>
      <c r="F1995" s="333"/>
      <c r="G1995" s="221"/>
      <c r="H1995" s="157"/>
      <c r="I1995" s="157"/>
      <c r="J1995" s="157">
        <f>94*5</f>
        <v>470</v>
      </c>
      <c r="K1995" s="157">
        <f>767-673</f>
        <v>94</v>
      </c>
      <c r="L1995" s="157"/>
      <c r="M1995" s="157">
        <v>50</v>
      </c>
      <c r="N1995" s="157"/>
      <c r="O1995" s="157"/>
      <c r="P1995" s="157"/>
      <c r="Q1995" s="157"/>
      <c r="R1995" s="157"/>
      <c r="S1995" s="157"/>
      <c r="T1995" s="157"/>
      <c r="U1995" s="157"/>
      <c r="V1995" s="158"/>
      <c r="W1995" s="182"/>
      <c r="X1995" s="1"/>
      <c r="Y1995" s="78">
        <f t="shared" si="250"/>
        <v>0</v>
      </c>
      <c r="Z1995" s="78">
        <f t="shared" si="251"/>
        <v>0</v>
      </c>
      <c r="AA1995" s="78">
        <f t="shared" si="249"/>
        <v>0</v>
      </c>
      <c r="AB1995" s="78">
        <f t="shared" si="252"/>
        <v>0</v>
      </c>
      <c r="AC1995" s="78"/>
      <c r="AD1995" s="78">
        <v>0</v>
      </c>
      <c r="AE1995" s="80">
        <f t="shared" si="255"/>
        <v>0</v>
      </c>
      <c r="AF1995" s="82">
        <v>0</v>
      </c>
      <c r="AG1995" s="242">
        <v>40515</v>
      </c>
      <c r="AH1995" s="84"/>
      <c r="AI1995" s="69" t="s">
        <v>1984</v>
      </c>
      <c r="AJ1995" s="25" t="s">
        <v>1985</v>
      </c>
      <c r="AK1995" s="65"/>
      <c r="AL1995" s="176" t="s">
        <v>1257</v>
      </c>
      <c r="AM1995" s="173" t="s">
        <v>2624</v>
      </c>
      <c r="AN1995" s="159"/>
      <c r="AO1995" s="160"/>
      <c r="AP1995" s="161"/>
      <c r="AQ1995" s="160"/>
      <c r="AR1995" s="160"/>
      <c r="AS1995" s="160"/>
      <c r="AT1995" s="160"/>
      <c r="AU1995" s="160"/>
      <c r="AV1995" s="160"/>
      <c r="AW1995" s="160"/>
      <c r="AX1995" s="160"/>
      <c r="AY1995" s="160"/>
      <c r="AZ1995" s="160"/>
      <c r="BA1995" s="160"/>
      <c r="BB1995" s="160"/>
      <c r="BC1995" s="160"/>
      <c r="BD1995" s="160"/>
      <c r="BE1995" s="160"/>
      <c r="BF1995" s="160"/>
      <c r="BG1995" s="160"/>
      <c r="BH1995" s="160"/>
      <c r="BI1995" s="160"/>
      <c r="BJ1995" s="160"/>
      <c r="BK1995" s="160"/>
      <c r="BL1995" s="160"/>
      <c r="BM1995" s="160"/>
      <c r="BN1995" s="160"/>
      <c r="BO1995" s="160"/>
      <c r="BP1995" s="160"/>
      <c r="BQ1995" s="160"/>
      <c r="BR1995" s="160"/>
      <c r="BS1995" s="160"/>
      <c r="BT1995" s="160"/>
      <c r="BU1995" s="160"/>
      <c r="BV1995" s="160"/>
      <c r="BW1995" s="160"/>
      <c r="BX1995" s="160"/>
      <c r="BY1995" s="160"/>
      <c r="BZ1995" s="160"/>
      <c r="CA1995" s="160"/>
      <c r="CB1995" s="160"/>
      <c r="CC1995" s="160"/>
      <c r="CD1995" s="160"/>
      <c r="CE1995" s="160"/>
      <c r="CF1995" s="160"/>
      <c r="CG1995" s="160"/>
      <c r="CH1995" s="160"/>
      <c r="CI1995" s="160"/>
      <c r="CJ1995" s="160"/>
      <c r="CK1995" s="160"/>
      <c r="CL1995" s="160"/>
      <c r="CM1995" s="160"/>
      <c r="CN1995" s="160"/>
      <c r="CO1995" s="160"/>
      <c r="CP1995" s="162"/>
      <c r="CQ1995" s="163"/>
      <c r="CR1995" s="162"/>
      <c r="CS1995" s="163"/>
      <c r="CT1995" s="162"/>
      <c r="CU1995" s="163"/>
      <c r="CV1995" s="164">
        <f t="shared" si="253"/>
        <v>0</v>
      </c>
      <c r="CW1995" s="165"/>
      <c r="CX1995" s="166"/>
      <c r="CY1995" s="167"/>
      <c r="CZ1995" s="168"/>
      <c r="DA1995" s="169"/>
      <c r="DB1995" s="168"/>
      <c r="DC1995" s="165"/>
      <c r="DD1995" s="166"/>
      <c r="DE1995" s="71"/>
      <c r="DF1995" s="170"/>
      <c r="EO1995" s="375" t="str">
        <f t="shared" si="254"/>
        <v>BOLIVAR_EL GUAMO</v>
      </c>
      <c r="EP1995" s="376"/>
      <c r="EQ1995" s="376"/>
      <c r="ER1995" s="377"/>
      <c r="ES1995" s="376"/>
      <c r="ET1995" s="376"/>
      <c r="EU1995" s="376"/>
    </row>
    <row r="1996" spans="1:151" s="171" customFormat="1" ht="51" x14ac:dyDescent="0.2">
      <c r="A1996" s="242">
        <v>40515</v>
      </c>
      <c r="B1996" s="222" t="s">
        <v>2017</v>
      </c>
      <c r="C1996" s="222" t="s">
        <v>1960</v>
      </c>
      <c r="D1996" s="430" t="s">
        <v>837</v>
      </c>
      <c r="E1996" s="107" t="str">
        <f>VLOOKUP(B1996&amp;C1996,Divipola!$C$2:$F$1138,4,FALSE)</f>
        <v>13647</v>
      </c>
      <c r="F1996" s="333"/>
      <c r="G1996" s="221"/>
      <c r="H1996" s="157"/>
      <c r="I1996" s="157"/>
      <c r="J1996" s="157">
        <f>1256*5</f>
        <v>6280</v>
      </c>
      <c r="K1996" s="157">
        <f>1260-4</f>
        <v>1256</v>
      </c>
      <c r="L1996" s="157"/>
      <c r="M1996" s="157">
        <v>706</v>
      </c>
      <c r="N1996" s="157"/>
      <c r="O1996" s="157"/>
      <c r="P1996" s="157"/>
      <c r="Q1996" s="157"/>
      <c r="R1996" s="157"/>
      <c r="S1996" s="157"/>
      <c r="T1996" s="157"/>
      <c r="U1996" s="157"/>
      <c r="V1996" s="158"/>
      <c r="W1996" s="182"/>
      <c r="X1996" s="1"/>
      <c r="Y1996" s="78">
        <f t="shared" si="250"/>
        <v>0</v>
      </c>
      <c r="Z1996" s="78">
        <f t="shared" si="251"/>
        <v>0</v>
      </c>
      <c r="AA1996" s="78">
        <f t="shared" si="249"/>
        <v>0</v>
      </c>
      <c r="AB1996" s="78">
        <f t="shared" si="252"/>
        <v>0</v>
      </c>
      <c r="AC1996" s="78"/>
      <c r="AD1996" s="78">
        <v>0</v>
      </c>
      <c r="AE1996" s="80">
        <f t="shared" si="255"/>
        <v>0</v>
      </c>
      <c r="AF1996" s="82">
        <v>0</v>
      </c>
      <c r="AG1996" s="69">
        <v>40515</v>
      </c>
      <c r="AH1996" s="84"/>
      <c r="AI1996" s="69" t="s">
        <v>1984</v>
      </c>
      <c r="AJ1996" s="25" t="s">
        <v>1985</v>
      </c>
      <c r="AK1996" s="65"/>
      <c r="AL1996" s="176" t="s">
        <v>1257</v>
      </c>
      <c r="AM1996" s="173" t="s">
        <v>2627</v>
      </c>
      <c r="AN1996" s="159"/>
      <c r="AO1996" s="160"/>
      <c r="AP1996" s="161"/>
      <c r="AQ1996" s="160"/>
      <c r="AR1996" s="160"/>
      <c r="AS1996" s="160"/>
      <c r="AT1996" s="160"/>
      <c r="AU1996" s="160"/>
      <c r="AV1996" s="160"/>
      <c r="AW1996" s="160"/>
      <c r="AX1996" s="160"/>
      <c r="AY1996" s="160"/>
      <c r="AZ1996" s="160"/>
      <c r="BA1996" s="160"/>
      <c r="BB1996" s="160"/>
      <c r="BC1996" s="160"/>
      <c r="BD1996" s="160"/>
      <c r="BE1996" s="160"/>
      <c r="BF1996" s="160"/>
      <c r="BG1996" s="160"/>
      <c r="BH1996" s="160"/>
      <c r="BI1996" s="160"/>
      <c r="BJ1996" s="160"/>
      <c r="BK1996" s="160"/>
      <c r="BL1996" s="160"/>
      <c r="BM1996" s="160"/>
      <c r="BN1996" s="160"/>
      <c r="BO1996" s="160"/>
      <c r="BP1996" s="160"/>
      <c r="BQ1996" s="160"/>
      <c r="BR1996" s="160"/>
      <c r="BS1996" s="160"/>
      <c r="BT1996" s="160"/>
      <c r="BU1996" s="160"/>
      <c r="BV1996" s="160"/>
      <c r="BW1996" s="160"/>
      <c r="BX1996" s="160"/>
      <c r="BY1996" s="160"/>
      <c r="BZ1996" s="160"/>
      <c r="CA1996" s="160"/>
      <c r="CB1996" s="160"/>
      <c r="CC1996" s="160"/>
      <c r="CD1996" s="160"/>
      <c r="CE1996" s="160"/>
      <c r="CF1996" s="160"/>
      <c r="CG1996" s="160"/>
      <c r="CH1996" s="160"/>
      <c r="CI1996" s="160"/>
      <c r="CJ1996" s="160"/>
      <c r="CK1996" s="160"/>
      <c r="CL1996" s="160"/>
      <c r="CM1996" s="160"/>
      <c r="CN1996" s="160"/>
      <c r="CO1996" s="160"/>
      <c r="CP1996" s="162"/>
      <c r="CQ1996" s="163"/>
      <c r="CR1996" s="162"/>
      <c r="CS1996" s="163"/>
      <c r="CT1996" s="162"/>
      <c r="CU1996" s="163"/>
      <c r="CV1996" s="164">
        <f t="shared" si="253"/>
        <v>0</v>
      </c>
      <c r="CW1996" s="165"/>
      <c r="CX1996" s="166"/>
      <c r="CY1996" s="167"/>
      <c r="CZ1996" s="168"/>
      <c r="DA1996" s="169"/>
      <c r="DB1996" s="168"/>
      <c r="DC1996" s="165"/>
      <c r="DD1996" s="166"/>
      <c r="DE1996" s="71"/>
      <c r="DF1996" s="170"/>
      <c r="EO1996" s="375" t="str">
        <f t="shared" si="254"/>
        <v>BOLIVAR_SAN ESTANISLAO</v>
      </c>
      <c r="EP1996" s="376"/>
      <c r="EQ1996" s="376"/>
      <c r="ER1996" s="377"/>
      <c r="ES1996" s="376"/>
      <c r="ET1996" s="376"/>
      <c r="EU1996" s="376"/>
    </row>
    <row r="1997" spans="1:151" s="171" customFormat="1" ht="51" x14ac:dyDescent="0.2">
      <c r="A1997" s="242">
        <v>40515</v>
      </c>
      <c r="B1997" s="222" t="s">
        <v>2017</v>
      </c>
      <c r="C1997" s="222" t="s">
        <v>1622</v>
      </c>
      <c r="D1997" s="430" t="s">
        <v>837</v>
      </c>
      <c r="E1997" s="107" t="str">
        <f>VLOOKUP(B1997&amp;C1997,Divipola!$C$2:$F$1138,4,FALSE)</f>
        <v>13657</v>
      </c>
      <c r="F1997" s="333"/>
      <c r="G1997" s="221"/>
      <c r="H1997" s="157"/>
      <c r="I1997" s="157"/>
      <c r="J1997" s="157">
        <f>696*5</f>
        <v>3480</v>
      </c>
      <c r="K1997" s="157">
        <f>978-120-100-62</f>
        <v>696</v>
      </c>
      <c r="L1997" s="157"/>
      <c r="M1997" s="157">
        <v>696</v>
      </c>
      <c r="N1997" s="157"/>
      <c r="O1997" s="157"/>
      <c r="P1997" s="157"/>
      <c r="Q1997" s="157"/>
      <c r="R1997" s="157"/>
      <c r="S1997" s="157"/>
      <c r="T1997" s="157"/>
      <c r="U1997" s="157"/>
      <c r="V1997" s="158"/>
      <c r="W1997" s="182"/>
      <c r="X1997" s="1"/>
      <c r="Y1997" s="78">
        <f t="shared" si="250"/>
        <v>0</v>
      </c>
      <c r="Z1997" s="78">
        <f t="shared" si="251"/>
        <v>0</v>
      </c>
      <c r="AA1997" s="78">
        <f t="shared" si="249"/>
        <v>0</v>
      </c>
      <c r="AB1997" s="78">
        <f t="shared" si="252"/>
        <v>0</v>
      </c>
      <c r="AC1997" s="78"/>
      <c r="AD1997" s="78">
        <v>0</v>
      </c>
      <c r="AE1997" s="80">
        <f t="shared" si="255"/>
        <v>0</v>
      </c>
      <c r="AF1997" s="82">
        <v>0</v>
      </c>
      <c r="AG1997" s="69">
        <v>40515</v>
      </c>
      <c r="AH1997" s="84"/>
      <c r="AI1997" s="69" t="s">
        <v>1984</v>
      </c>
      <c r="AJ1997" s="25" t="s">
        <v>1985</v>
      </c>
      <c r="AK1997" s="65"/>
      <c r="AL1997" s="176" t="s">
        <v>1257</v>
      </c>
      <c r="AM1997" s="173" t="s">
        <v>2625</v>
      </c>
      <c r="AN1997" s="159"/>
      <c r="AO1997" s="160"/>
      <c r="AP1997" s="161"/>
      <c r="AQ1997" s="160"/>
      <c r="AR1997" s="160"/>
      <c r="AS1997" s="160"/>
      <c r="AT1997" s="160"/>
      <c r="AU1997" s="160"/>
      <c r="AV1997" s="160"/>
      <c r="AW1997" s="160"/>
      <c r="AX1997" s="160"/>
      <c r="AY1997" s="160"/>
      <c r="AZ1997" s="160"/>
      <c r="BA1997" s="160"/>
      <c r="BB1997" s="160"/>
      <c r="BC1997" s="160"/>
      <c r="BD1997" s="160"/>
      <c r="BE1997" s="160"/>
      <c r="BF1997" s="160"/>
      <c r="BG1997" s="160"/>
      <c r="BH1997" s="160"/>
      <c r="BI1997" s="160"/>
      <c r="BJ1997" s="160"/>
      <c r="BK1997" s="160"/>
      <c r="BL1997" s="160"/>
      <c r="BM1997" s="160"/>
      <c r="BN1997" s="160"/>
      <c r="BO1997" s="160"/>
      <c r="BP1997" s="160"/>
      <c r="BQ1997" s="160"/>
      <c r="BR1997" s="160"/>
      <c r="BS1997" s="160"/>
      <c r="BT1997" s="160"/>
      <c r="BU1997" s="160"/>
      <c r="BV1997" s="160"/>
      <c r="BW1997" s="160"/>
      <c r="BX1997" s="160"/>
      <c r="BY1997" s="160"/>
      <c r="BZ1997" s="160"/>
      <c r="CA1997" s="160"/>
      <c r="CB1997" s="160"/>
      <c r="CC1997" s="160"/>
      <c r="CD1997" s="160"/>
      <c r="CE1997" s="160"/>
      <c r="CF1997" s="160"/>
      <c r="CG1997" s="160"/>
      <c r="CH1997" s="160"/>
      <c r="CI1997" s="160"/>
      <c r="CJ1997" s="160"/>
      <c r="CK1997" s="160"/>
      <c r="CL1997" s="160"/>
      <c r="CM1997" s="160"/>
      <c r="CN1997" s="160"/>
      <c r="CO1997" s="160"/>
      <c r="CP1997" s="162"/>
      <c r="CQ1997" s="163"/>
      <c r="CR1997" s="162"/>
      <c r="CS1997" s="163"/>
      <c r="CT1997" s="162"/>
      <c r="CU1997" s="163"/>
      <c r="CV1997" s="164">
        <f t="shared" si="253"/>
        <v>0</v>
      </c>
      <c r="CW1997" s="165"/>
      <c r="CX1997" s="166"/>
      <c r="CY1997" s="167"/>
      <c r="CZ1997" s="168"/>
      <c r="DA1997" s="169"/>
      <c r="DB1997" s="168"/>
      <c r="DC1997" s="165"/>
      <c r="DD1997" s="166"/>
      <c r="DE1997" s="71"/>
      <c r="DF1997" s="170"/>
      <c r="EO1997" s="375" t="str">
        <f t="shared" si="254"/>
        <v>BOLIVAR_SAN JUAN NEPOMUCENO</v>
      </c>
      <c r="EP1997" s="376"/>
      <c r="EQ1997" s="376"/>
      <c r="ER1997" s="377"/>
      <c r="ES1997" s="376"/>
      <c r="ET1997" s="376"/>
      <c r="EU1997" s="376"/>
    </row>
    <row r="1998" spans="1:151" s="171" customFormat="1" ht="25.5" x14ac:dyDescent="0.2">
      <c r="A1998" s="242">
        <v>40515</v>
      </c>
      <c r="B1998" s="222" t="s">
        <v>828</v>
      </c>
      <c r="C1998" s="222" t="s">
        <v>1662</v>
      </c>
      <c r="D1998" s="430" t="s">
        <v>2307</v>
      </c>
      <c r="E1998" s="107" t="str">
        <f>VLOOKUP(B1998&amp;C1998,Divipola!$C$2:$F$1138,4,FALSE)</f>
        <v>15403</v>
      </c>
      <c r="F1998" s="333"/>
      <c r="G1998" s="221"/>
      <c r="H1998" s="157"/>
      <c r="I1998" s="157"/>
      <c r="J1998" s="157">
        <f>62*5</f>
        <v>310</v>
      </c>
      <c r="K1998" s="157">
        <v>62</v>
      </c>
      <c r="L1998" s="157"/>
      <c r="M1998" s="157">
        <v>62</v>
      </c>
      <c r="N1998" s="157"/>
      <c r="O1998" s="157"/>
      <c r="P1998" s="157"/>
      <c r="Q1998" s="157"/>
      <c r="R1998" s="157"/>
      <c r="S1998" s="157"/>
      <c r="T1998" s="157"/>
      <c r="U1998" s="157"/>
      <c r="V1998" s="158"/>
      <c r="W1998" s="182"/>
      <c r="X1998" s="1"/>
      <c r="Y1998" s="78">
        <f t="shared" si="250"/>
        <v>0</v>
      </c>
      <c r="Z1998" s="78">
        <f t="shared" si="251"/>
        <v>0</v>
      </c>
      <c r="AA1998" s="78">
        <f t="shared" si="249"/>
        <v>0</v>
      </c>
      <c r="AB1998" s="78">
        <f t="shared" si="252"/>
        <v>0</v>
      </c>
      <c r="AC1998" s="78"/>
      <c r="AD1998" s="78">
        <v>0</v>
      </c>
      <c r="AE1998" s="80">
        <f t="shared" si="255"/>
        <v>0</v>
      </c>
      <c r="AF1998" s="82">
        <v>0</v>
      </c>
      <c r="AG1998" s="69">
        <v>40515</v>
      </c>
      <c r="AH1998" s="84"/>
      <c r="AI1998" s="69" t="s">
        <v>1984</v>
      </c>
      <c r="AJ1998" s="25" t="s">
        <v>1985</v>
      </c>
      <c r="AK1998" s="65"/>
      <c r="AL1998" s="176" t="s">
        <v>1257</v>
      </c>
      <c r="AM1998" s="173" t="s">
        <v>581</v>
      </c>
      <c r="AN1998" s="159"/>
      <c r="AO1998" s="160"/>
      <c r="AP1998" s="161"/>
      <c r="AQ1998" s="160"/>
      <c r="AR1998" s="160"/>
      <c r="AS1998" s="160"/>
      <c r="AT1998" s="160"/>
      <c r="AU1998" s="160"/>
      <c r="AV1998" s="160"/>
      <c r="AW1998" s="160"/>
      <c r="AX1998" s="160"/>
      <c r="AY1998" s="160"/>
      <c r="AZ1998" s="160"/>
      <c r="BA1998" s="160"/>
      <c r="BB1998" s="160"/>
      <c r="BC1998" s="160"/>
      <c r="BD1998" s="160"/>
      <c r="BE1998" s="160"/>
      <c r="BF1998" s="160"/>
      <c r="BG1998" s="160"/>
      <c r="BH1998" s="160"/>
      <c r="BI1998" s="160"/>
      <c r="BJ1998" s="160"/>
      <c r="BK1998" s="160"/>
      <c r="BL1998" s="160"/>
      <c r="BM1998" s="160"/>
      <c r="BN1998" s="160"/>
      <c r="BO1998" s="160"/>
      <c r="BP1998" s="160"/>
      <c r="BQ1998" s="160"/>
      <c r="BR1998" s="160"/>
      <c r="BS1998" s="160"/>
      <c r="BT1998" s="160"/>
      <c r="BU1998" s="160"/>
      <c r="BV1998" s="160"/>
      <c r="BW1998" s="160"/>
      <c r="BX1998" s="160"/>
      <c r="BY1998" s="160"/>
      <c r="BZ1998" s="160"/>
      <c r="CA1998" s="160"/>
      <c r="CB1998" s="160"/>
      <c r="CC1998" s="160"/>
      <c r="CD1998" s="160"/>
      <c r="CE1998" s="160"/>
      <c r="CF1998" s="160"/>
      <c r="CG1998" s="160"/>
      <c r="CH1998" s="160"/>
      <c r="CI1998" s="160"/>
      <c r="CJ1998" s="160"/>
      <c r="CK1998" s="160"/>
      <c r="CL1998" s="160"/>
      <c r="CM1998" s="160"/>
      <c r="CN1998" s="160"/>
      <c r="CO1998" s="160"/>
      <c r="CP1998" s="162"/>
      <c r="CQ1998" s="163"/>
      <c r="CR1998" s="162"/>
      <c r="CS1998" s="163"/>
      <c r="CT1998" s="162"/>
      <c r="CU1998" s="163"/>
      <c r="CV1998" s="164">
        <f t="shared" si="253"/>
        <v>0</v>
      </c>
      <c r="CW1998" s="165"/>
      <c r="CX1998" s="166"/>
      <c r="CY1998" s="167"/>
      <c r="CZ1998" s="168"/>
      <c r="DA1998" s="169"/>
      <c r="DB1998" s="168"/>
      <c r="DC1998" s="165"/>
      <c r="DD1998" s="166"/>
      <c r="DE1998" s="71"/>
      <c r="DF1998" s="170"/>
      <c r="EO1998" s="375" t="str">
        <f t="shared" si="254"/>
        <v>BOYACA_LA UVITA</v>
      </c>
      <c r="EP1998" s="376"/>
      <c r="EQ1998" s="376"/>
      <c r="ER1998" s="377"/>
      <c r="ES1998" s="376"/>
      <c r="ET1998" s="376"/>
      <c r="EU1998" s="376"/>
    </row>
    <row r="1999" spans="1:151" s="171" customFormat="1" ht="25.5" x14ac:dyDescent="0.2">
      <c r="A1999" s="242">
        <v>40515</v>
      </c>
      <c r="B1999" s="222" t="s">
        <v>828</v>
      </c>
      <c r="C1999" s="222" t="s">
        <v>364</v>
      </c>
      <c r="D1999" s="430" t="s">
        <v>837</v>
      </c>
      <c r="E1999" s="107" t="str">
        <f>VLOOKUP(B1999&amp;C1999,Divipola!$C$2:$F$1138,4,FALSE)</f>
        <v>15550</v>
      </c>
      <c r="F1999" s="333"/>
      <c r="G1999" s="221"/>
      <c r="H1999" s="157"/>
      <c r="I1999" s="157"/>
      <c r="J1999" s="157">
        <f>125*5</f>
        <v>625</v>
      </c>
      <c r="K1999" s="157">
        <v>125</v>
      </c>
      <c r="L1999" s="157"/>
      <c r="M1999" s="157">
        <v>125</v>
      </c>
      <c r="N1999" s="157"/>
      <c r="O1999" s="157"/>
      <c r="P1999" s="157"/>
      <c r="Q1999" s="157"/>
      <c r="R1999" s="157"/>
      <c r="S1999" s="157"/>
      <c r="T1999" s="157"/>
      <c r="U1999" s="157"/>
      <c r="V1999" s="158"/>
      <c r="W1999" s="182"/>
      <c r="X1999" s="1"/>
      <c r="Y1999" s="78">
        <f t="shared" si="250"/>
        <v>0</v>
      </c>
      <c r="Z1999" s="78">
        <f t="shared" si="251"/>
        <v>0</v>
      </c>
      <c r="AA1999" s="78">
        <f t="shared" si="249"/>
        <v>0</v>
      </c>
      <c r="AB1999" s="78">
        <f t="shared" si="252"/>
        <v>0</v>
      </c>
      <c r="AC1999" s="78"/>
      <c r="AD1999" s="78">
        <v>0</v>
      </c>
      <c r="AE1999" s="80">
        <f t="shared" si="255"/>
        <v>0</v>
      </c>
      <c r="AF1999" s="82">
        <v>0</v>
      </c>
      <c r="AG1999" s="69">
        <v>40578</v>
      </c>
      <c r="AH1999" s="84"/>
      <c r="AI1999" s="69" t="s">
        <v>1984</v>
      </c>
      <c r="AJ1999" s="25" t="s">
        <v>1985</v>
      </c>
      <c r="AK1999" s="65"/>
      <c r="AL1999" s="176" t="s">
        <v>1257</v>
      </c>
      <c r="AM1999" s="173" t="s">
        <v>349</v>
      </c>
      <c r="AN1999" s="159"/>
      <c r="AO1999" s="160"/>
      <c r="AP1999" s="161"/>
      <c r="AQ1999" s="160"/>
      <c r="AR1999" s="160"/>
      <c r="AS1999" s="160"/>
      <c r="AT1999" s="160"/>
      <c r="AU1999" s="160"/>
      <c r="AV1999" s="160"/>
      <c r="AW1999" s="160"/>
      <c r="AX1999" s="160"/>
      <c r="AY1999" s="160"/>
      <c r="AZ1999" s="160"/>
      <c r="BA1999" s="160"/>
      <c r="BB1999" s="160"/>
      <c r="BC1999" s="160"/>
      <c r="BD1999" s="160"/>
      <c r="BE1999" s="160"/>
      <c r="BF1999" s="160"/>
      <c r="BG1999" s="160"/>
      <c r="BH1999" s="160"/>
      <c r="BI1999" s="160"/>
      <c r="BJ1999" s="160"/>
      <c r="BK1999" s="160"/>
      <c r="BL1999" s="160"/>
      <c r="BM1999" s="160"/>
      <c r="BN1999" s="160"/>
      <c r="BO1999" s="160"/>
      <c r="BP1999" s="160"/>
      <c r="BQ1999" s="160"/>
      <c r="BR1999" s="160"/>
      <c r="BS1999" s="160"/>
      <c r="BT1999" s="160"/>
      <c r="BU1999" s="160"/>
      <c r="BV1999" s="160"/>
      <c r="BW1999" s="160"/>
      <c r="BX1999" s="160"/>
      <c r="BY1999" s="160"/>
      <c r="BZ1999" s="160"/>
      <c r="CA1999" s="160"/>
      <c r="CB1999" s="160"/>
      <c r="CC1999" s="160"/>
      <c r="CD1999" s="160"/>
      <c r="CE1999" s="160"/>
      <c r="CF1999" s="160"/>
      <c r="CG1999" s="160"/>
      <c r="CH1999" s="160"/>
      <c r="CI1999" s="160"/>
      <c r="CJ1999" s="160"/>
      <c r="CK1999" s="160"/>
      <c r="CL1999" s="160"/>
      <c r="CM1999" s="160"/>
      <c r="CN1999" s="160"/>
      <c r="CO1999" s="160"/>
      <c r="CP1999" s="162"/>
      <c r="CQ1999" s="163"/>
      <c r="CR1999" s="162"/>
      <c r="CS1999" s="163"/>
      <c r="CT1999" s="162"/>
      <c r="CU1999" s="163"/>
      <c r="CV1999" s="164">
        <f t="shared" si="253"/>
        <v>0</v>
      </c>
      <c r="CW1999" s="165"/>
      <c r="CX1999" s="166"/>
      <c r="CY1999" s="167"/>
      <c r="CZ1999" s="168"/>
      <c r="DA1999" s="169"/>
      <c r="DB1999" s="168"/>
      <c r="DC1999" s="165"/>
      <c r="DD1999" s="166"/>
      <c r="DE1999" s="71"/>
      <c r="DF1999" s="170"/>
      <c r="EO1999" s="375" t="str">
        <f t="shared" si="254"/>
        <v>BOYACA_PISBA</v>
      </c>
      <c r="EP1999" s="376"/>
      <c r="EQ1999" s="376"/>
      <c r="ER1999" s="377"/>
      <c r="ES1999" s="376"/>
      <c r="ET1999" s="376"/>
      <c r="EU1999" s="376"/>
    </row>
    <row r="2000" spans="1:151" s="171" customFormat="1" ht="45" x14ac:dyDescent="0.2">
      <c r="A2000" s="242">
        <v>40515</v>
      </c>
      <c r="B2000" s="222" t="s">
        <v>1719</v>
      </c>
      <c r="C2000" s="222" t="s">
        <v>2432</v>
      </c>
      <c r="D2000" s="430" t="s">
        <v>837</v>
      </c>
      <c r="E2000" s="107" t="str">
        <f>VLOOKUP(B2000&amp;C2000,Divipola!$C$2:$F$1138,4,FALSE)</f>
        <v>19050</v>
      </c>
      <c r="F2000" s="333"/>
      <c r="G2000" s="221"/>
      <c r="H2000" s="157"/>
      <c r="I2000" s="157"/>
      <c r="J2000" s="157">
        <f>1964*5</f>
        <v>9820</v>
      </c>
      <c r="K2000" s="157">
        <f>2264-300</f>
        <v>1964</v>
      </c>
      <c r="L2000" s="157"/>
      <c r="M2000" s="157">
        <v>1964</v>
      </c>
      <c r="N2000" s="157"/>
      <c r="O2000" s="157"/>
      <c r="P2000" s="157"/>
      <c r="Q2000" s="157">
        <v>3</v>
      </c>
      <c r="R2000" s="157"/>
      <c r="S2000" s="157"/>
      <c r="T2000" s="157"/>
      <c r="U2000" s="157"/>
      <c r="V2000" s="158">
        <v>227</v>
      </c>
      <c r="W2000" s="182"/>
      <c r="X2000" s="1"/>
      <c r="Y2000" s="78">
        <f t="shared" si="250"/>
        <v>0</v>
      </c>
      <c r="Z2000" s="78">
        <f t="shared" si="251"/>
        <v>0</v>
      </c>
      <c r="AA2000" s="78">
        <f t="shared" si="249"/>
        <v>0</v>
      </c>
      <c r="AB2000" s="78">
        <f t="shared" si="252"/>
        <v>0</v>
      </c>
      <c r="AC2000" s="78"/>
      <c r="AD2000" s="78">
        <v>0</v>
      </c>
      <c r="AE2000" s="80">
        <f t="shared" si="255"/>
        <v>0</v>
      </c>
      <c r="AF2000" s="82">
        <v>0</v>
      </c>
      <c r="AG2000" s="69"/>
      <c r="AH2000" s="84"/>
      <c r="AI2000" s="69" t="s">
        <v>2009</v>
      </c>
      <c r="AJ2000" s="276" t="s">
        <v>2010</v>
      </c>
      <c r="AK2000" s="65"/>
      <c r="AL2000" s="272" t="s">
        <v>311</v>
      </c>
      <c r="AM2000" s="173"/>
      <c r="AN2000" s="159"/>
      <c r="AO2000" s="160"/>
      <c r="AP2000" s="161"/>
      <c r="AQ2000" s="160"/>
      <c r="AR2000" s="160"/>
      <c r="AS2000" s="160"/>
      <c r="AT2000" s="160"/>
      <c r="AU2000" s="160"/>
      <c r="AV2000" s="160"/>
      <c r="AW2000" s="160"/>
      <c r="AX2000" s="160"/>
      <c r="AY2000" s="160"/>
      <c r="AZ2000" s="160"/>
      <c r="BA2000" s="160"/>
      <c r="BB2000" s="160"/>
      <c r="BC2000" s="160"/>
      <c r="BD2000" s="160"/>
      <c r="BE2000" s="160"/>
      <c r="BF2000" s="160"/>
      <c r="BG2000" s="160"/>
      <c r="BH2000" s="160"/>
      <c r="BI2000" s="160"/>
      <c r="BJ2000" s="160"/>
      <c r="BK2000" s="160"/>
      <c r="BL2000" s="160"/>
      <c r="BM2000" s="160"/>
      <c r="BN2000" s="160"/>
      <c r="BO2000" s="160"/>
      <c r="BP2000" s="160"/>
      <c r="BQ2000" s="160"/>
      <c r="BR2000" s="160"/>
      <c r="BS2000" s="160"/>
      <c r="BT2000" s="160"/>
      <c r="BU2000" s="160"/>
      <c r="BV2000" s="160"/>
      <c r="BW2000" s="160"/>
      <c r="BX2000" s="160"/>
      <c r="BY2000" s="160"/>
      <c r="BZ2000" s="160"/>
      <c r="CA2000" s="160"/>
      <c r="CB2000" s="160"/>
      <c r="CC2000" s="160"/>
      <c r="CD2000" s="160"/>
      <c r="CE2000" s="160"/>
      <c r="CF2000" s="160"/>
      <c r="CG2000" s="160"/>
      <c r="CH2000" s="160"/>
      <c r="CI2000" s="160"/>
      <c r="CJ2000" s="160"/>
      <c r="CK2000" s="160"/>
      <c r="CL2000" s="160"/>
      <c r="CM2000" s="160"/>
      <c r="CN2000" s="160"/>
      <c r="CO2000" s="160"/>
      <c r="CP2000" s="162"/>
      <c r="CQ2000" s="163"/>
      <c r="CR2000" s="162"/>
      <c r="CS2000" s="163"/>
      <c r="CT2000" s="162"/>
      <c r="CU2000" s="163"/>
      <c r="CV2000" s="164">
        <f t="shared" si="253"/>
        <v>0</v>
      </c>
      <c r="CW2000" s="165"/>
      <c r="CX2000" s="166"/>
      <c r="CY2000" s="167"/>
      <c r="CZ2000" s="168"/>
      <c r="DA2000" s="169"/>
      <c r="DB2000" s="168"/>
      <c r="DC2000" s="165"/>
      <c r="DD2000" s="166"/>
      <c r="DE2000" s="71"/>
      <c r="DF2000" s="170">
        <v>1498</v>
      </c>
      <c r="EO2000" s="375" t="str">
        <f t="shared" si="254"/>
        <v>CAUCA_ARGELIA</v>
      </c>
      <c r="EP2000" s="376"/>
      <c r="EQ2000" s="376"/>
      <c r="ER2000" s="377"/>
      <c r="ES2000" s="376"/>
      <c r="ET2000" s="376"/>
      <c r="EU2000" s="376"/>
    </row>
    <row r="2001" spans="1:151" s="171" customFormat="1" ht="45" x14ac:dyDescent="0.2">
      <c r="A2001" s="242">
        <v>40515</v>
      </c>
      <c r="B2001" s="222" t="s">
        <v>1719</v>
      </c>
      <c r="C2001" s="222" t="s">
        <v>1103</v>
      </c>
      <c r="D2001" s="430" t="s">
        <v>2307</v>
      </c>
      <c r="E2001" s="107" t="str">
        <f>VLOOKUP(B2001&amp;C2001,Divipola!$C$2:$F$1138,4,FALSE)</f>
        <v>19075</v>
      </c>
      <c r="F2001" s="333"/>
      <c r="G2001" s="221"/>
      <c r="H2001" s="157"/>
      <c r="I2001" s="157"/>
      <c r="J2001" s="157">
        <f>2861*5</f>
        <v>14305</v>
      </c>
      <c r="K2001" s="157">
        <f>2969-108</f>
        <v>2861</v>
      </c>
      <c r="L2001" s="157"/>
      <c r="M2001" s="157">
        <v>2861</v>
      </c>
      <c r="N2001" s="157"/>
      <c r="O2001" s="157"/>
      <c r="P2001" s="157"/>
      <c r="Q2001" s="157"/>
      <c r="R2001" s="157"/>
      <c r="S2001" s="157"/>
      <c r="T2001" s="157"/>
      <c r="U2001" s="157"/>
      <c r="V2001" s="158">
        <f>2628+75</f>
        <v>2703</v>
      </c>
      <c r="W2001" s="182"/>
      <c r="X2001" s="1"/>
      <c r="Y2001" s="78">
        <f t="shared" si="250"/>
        <v>0</v>
      </c>
      <c r="Z2001" s="78">
        <f t="shared" si="251"/>
        <v>0</v>
      </c>
      <c r="AA2001" s="78">
        <f t="shared" si="249"/>
        <v>0</v>
      </c>
      <c r="AB2001" s="78">
        <f t="shared" si="252"/>
        <v>0</v>
      </c>
      <c r="AC2001" s="78"/>
      <c r="AD2001" s="78">
        <v>0</v>
      </c>
      <c r="AE2001" s="80">
        <f t="shared" si="255"/>
        <v>0</v>
      </c>
      <c r="AF2001" s="82">
        <v>0</v>
      </c>
      <c r="AG2001" s="69"/>
      <c r="AH2001" s="84"/>
      <c r="AI2001" s="69" t="s">
        <v>2009</v>
      </c>
      <c r="AJ2001" s="276" t="s">
        <v>2010</v>
      </c>
      <c r="AK2001" s="65"/>
      <c r="AL2001" s="272" t="s">
        <v>311</v>
      </c>
      <c r="AM2001" s="173"/>
      <c r="AN2001" s="159"/>
      <c r="AO2001" s="160"/>
      <c r="AP2001" s="161"/>
      <c r="AQ2001" s="160"/>
      <c r="AR2001" s="160"/>
      <c r="AS2001" s="160"/>
      <c r="AT2001" s="160"/>
      <c r="AU2001" s="160"/>
      <c r="AV2001" s="160"/>
      <c r="AW2001" s="160"/>
      <c r="AX2001" s="160"/>
      <c r="AY2001" s="160"/>
      <c r="AZ2001" s="160"/>
      <c r="BA2001" s="160"/>
      <c r="BB2001" s="160"/>
      <c r="BC2001" s="160"/>
      <c r="BD2001" s="160"/>
      <c r="BE2001" s="160"/>
      <c r="BF2001" s="160"/>
      <c r="BG2001" s="160"/>
      <c r="BH2001" s="160"/>
      <c r="BI2001" s="160"/>
      <c r="BJ2001" s="160"/>
      <c r="BK2001" s="160"/>
      <c r="BL2001" s="160"/>
      <c r="BM2001" s="160"/>
      <c r="BN2001" s="160"/>
      <c r="BO2001" s="160"/>
      <c r="BP2001" s="160"/>
      <c r="BQ2001" s="160"/>
      <c r="BR2001" s="160"/>
      <c r="BS2001" s="160"/>
      <c r="BT2001" s="160"/>
      <c r="BU2001" s="160"/>
      <c r="BV2001" s="160"/>
      <c r="BW2001" s="160"/>
      <c r="BX2001" s="160"/>
      <c r="BY2001" s="160"/>
      <c r="BZ2001" s="160"/>
      <c r="CA2001" s="160"/>
      <c r="CB2001" s="160"/>
      <c r="CC2001" s="160"/>
      <c r="CD2001" s="160"/>
      <c r="CE2001" s="160"/>
      <c r="CF2001" s="160"/>
      <c r="CG2001" s="160"/>
      <c r="CH2001" s="160"/>
      <c r="CI2001" s="160"/>
      <c r="CJ2001" s="160"/>
      <c r="CK2001" s="160"/>
      <c r="CL2001" s="160"/>
      <c r="CM2001" s="160"/>
      <c r="CN2001" s="160"/>
      <c r="CO2001" s="160"/>
      <c r="CP2001" s="162"/>
      <c r="CQ2001" s="163"/>
      <c r="CR2001" s="162"/>
      <c r="CS2001" s="163"/>
      <c r="CT2001" s="162"/>
      <c r="CU2001" s="163"/>
      <c r="CV2001" s="164">
        <f t="shared" si="253"/>
        <v>0</v>
      </c>
      <c r="CW2001" s="165"/>
      <c r="CX2001" s="166"/>
      <c r="CY2001" s="167"/>
      <c r="CZ2001" s="168"/>
      <c r="DA2001" s="169"/>
      <c r="DB2001" s="168"/>
      <c r="DC2001" s="165"/>
      <c r="DD2001" s="166"/>
      <c r="DE2001" s="71"/>
      <c r="DF2001" s="170"/>
      <c r="EO2001" s="375" t="str">
        <f t="shared" si="254"/>
        <v>CAUCA_BALBOA</v>
      </c>
      <c r="EP2001" s="376"/>
      <c r="EQ2001" s="376"/>
      <c r="ER2001" s="377"/>
      <c r="ES2001" s="376"/>
      <c r="ET2001" s="376"/>
      <c r="EU2001" s="376"/>
    </row>
    <row r="2002" spans="1:151" s="171" customFormat="1" ht="45" x14ac:dyDescent="0.2">
      <c r="A2002" s="242">
        <v>40515</v>
      </c>
      <c r="B2002" s="222" t="s">
        <v>1719</v>
      </c>
      <c r="C2002" s="222" t="s">
        <v>735</v>
      </c>
      <c r="D2002" s="430" t="s">
        <v>2307</v>
      </c>
      <c r="E2002" s="107" t="str">
        <f>VLOOKUP(B2002&amp;C2002,Divipola!$C$2:$F$1138,4,FALSE)</f>
        <v>19142</v>
      </c>
      <c r="F2002" s="333"/>
      <c r="G2002" s="221"/>
      <c r="H2002" s="157"/>
      <c r="I2002" s="157"/>
      <c r="J2002" s="157">
        <f>932*5</f>
        <v>4660</v>
      </c>
      <c r="K2002" s="157">
        <f>946-14</f>
        <v>932</v>
      </c>
      <c r="L2002" s="157"/>
      <c r="M2002" s="157">
        <f>732-14</f>
        <v>718</v>
      </c>
      <c r="N2002" s="157"/>
      <c r="O2002" s="157"/>
      <c r="P2002" s="157"/>
      <c r="Q2002" s="157">
        <v>6</v>
      </c>
      <c r="R2002" s="157"/>
      <c r="S2002" s="157"/>
      <c r="T2002" s="157"/>
      <c r="U2002" s="157"/>
      <c r="V2002" s="158">
        <v>257</v>
      </c>
      <c r="W2002" s="182" t="s">
        <v>748</v>
      </c>
      <c r="X2002" s="1"/>
      <c r="Y2002" s="78">
        <f t="shared" si="250"/>
        <v>0</v>
      </c>
      <c r="Z2002" s="78">
        <f t="shared" si="251"/>
        <v>0</v>
      </c>
      <c r="AA2002" s="78">
        <f t="shared" si="249"/>
        <v>0</v>
      </c>
      <c r="AB2002" s="78">
        <f t="shared" si="252"/>
        <v>0</v>
      </c>
      <c r="AC2002" s="78"/>
      <c r="AD2002" s="78">
        <v>0</v>
      </c>
      <c r="AE2002" s="80">
        <f t="shared" si="255"/>
        <v>0</v>
      </c>
      <c r="AF2002" s="82">
        <v>0</v>
      </c>
      <c r="AG2002" s="69"/>
      <c r="AH2002" s="84"/>
      <c r="AI2002" s="69" t="s">
        <v>2009</v>
      </c>
      <c r="AJ2002" s="276" t="s">
        <v>2010</v>
      </c>
      <c r="AK2002" s="65"/>
      <c r="AL2002" s="272" t="s">
        <v>311</v>
      </c>
      <c r="AM2002" s="173"/>
      <c r="AN2002" s="159"/>
      <c r="AO2002" s="160"/>
      <c r="AP2002" s="161"/>
      <c r="AQ2002" s="160"/>
      <c r="AR2002" s="160"/>
      <c r="AS2002" s="160"/>
      <c r="AT2002" s="160"/>
      <c r="AU2002" s="160"/>
      <c r="AV2002" s="160"/>
      <c r="AW2002" s="160"/>
      <c r="AX2002" s="160"/>
      <c r="AY2002" s="160"/>
      <c r="AZ2002" s="160"/>
      <c r="BA2002" s="160"/>
      <c r="BB2002" s="160"/>
      <c r="BC2002" s="160"/>
      <c r="BD2002" s="160"/>
      <c r="BE2002" s="160"/>
      <c r="BF2002" s="160"/>
      <c r="BG2002" s="160"/>
      <c r="BH2002" s="160"/>
      <c r="BI2002" s="160"/>
      <c r="BJ2002" s="160"/>
      <c r="BK2002" s="160"/>
      <c r="BL2002" s="160"/>
      <c r="BM2002" s="160"/>
      <c r="BN2002" s="160"/>
      <c r="BO2002" s="160"/>
      <c r="BP2002" s="160"/>
      <c r="BQ2002" s="160"/>
      <c r="BR2002" s="160"/>
      <c r="BS2002" s="160"/>
      <c r="BT2002" s="160"/>
      <c r="BU2002" s="160"/>
      <c r="BV2002" s="160"/>
      <c r="BW2002" s="160"/>
      <c r="BX2002" s="160"/>
      <c r="BY2002" s="160"/>
      <c r="BZ2002" s="160"/>
      <c r="CA2002" s="160"/>
      <c r="CB2002" s="160"/>
      <c r="CC2002" s="160"/>
      <c r="CD2002" s="160"/>
      <c r="CE2002" s="160"/>
      <c r="CF2002" s="160"/>
      <c r="CG2002" s="160"/>
      <c r="CH2002" s="160"/>
      <c r="CI2002" s="160"/>
      <c r="CJ2002" s="160"/>
      <c r="CK2002" s="160"/>
      <c r="CL2002" s="160"/>
      <c r="CM2002" s="160"/>
      <c r="CN2002" s="160"/>
      <c r="CO2002" s="160"/>
      <c r="CP2002" s="162"/>
      <c r="CQ2002" s="163"/>
      <c r="CR2002" s="162"/>
      <c r="CS2002" s="163"/>
      <c r="CT2002" s="162"/>
      <c r="CU2002" s="163"/>
      <c r="CV2002" s="164">
        <f t="shared" si="253"/>
        <v>0</v>
      </c>
      <c r="CW2002" s="165"/>
      <c r="CX2002" s="166"/>
      <c r="CY2002" s="167"/>
      <c r="CZ2002" s="168"/>
      <c r="DA2002" s="169"/>
      <c r="DB2002" s="168"/>
      <c r="DC2002" s="165"/>
      <c r="DD2002" s="166"/>
      <c r="DE2002" s="71"/>
      <c r="DF2002" s="170"/>
      <c r="EO2002" s="375" t="str">
        <f t="shared" si="254"/>
        <v>CAUCA_CALOTO</v>
      </c>
      <c r="EP2002" s="376"/>
      <c r="EQ2002" s="376"/>
      <c r="ER2002" s="377"/>
      <c r="ES2002" s="376"/>
      <c r="ET2002" s="376"/>
      <c r="EU2002" s="376"/>
    </row>
    <row r="2003" spans="1:151" s="171" customFormat="1" ht="45" x14ac:dyDescent="0.2">
      <c r="A2003" s="242">
        <v>40515</v>
      </c>
      <c r="B2003" s="222" t="s">
        <v>1719</v>
      </c>
      <c r="C2003" s="222" t="s">
        <v>1475</v>
      </c>
      <c r="D2003" s="430" t="s">
        <v>837</v>
      </c>
      <c r="E2003" s="107" t="str">
        <f>VLOOKUP(B2003&amp;C2003,Divipola!$C$2:$F$1138,4,FALSE)</f>
        <v>19212</v>
      </c>
      <c r="F2003" s="333"/>
      <c r="G2003" s="221"/>
      <c r="H2003" s="157"/>
      <c r="I2003" s="157"/>
      <c r="J2003" s="157">
        <f>35*5</f>
        <v>175</v>
      </c>
      <c r="K2003" s="157">
        <f>265-183-47</f>
        <v>35</v>
      </c>
      <c r="L2003" s="157"/>
      <c r="M2003" s="157">
        <v>35</v>
      </c>
      <c r="N2003" s="157"/>
      <c r="O2003" s="157"/>
      <c r="P2003" s="157"/>
      <c r="Q2003" s="157">
        <v>2</v>
      </c>
      <c r="R2003" s="157"/>
      <c r="S2003" s="157"/>
      <c r="T2003" s="157"/>
      <c r="U2003" s="157"/>
      <c r="V2003" s="158">
        <v>728</v>
      </c>
      <c r="W2003" s="182" t="s">
        <v>749</v>
      </c>
      <c r="X2003" s="1"/>
      <c r="Y2003" s="78">
        <f t="shared" si="250"/>
        <v>0</v>
      </c>
      <c r="Z2003" s="78">
        <f t="shared" si="251"/>
        <v>0</v>
      </c>
      <c r="AA2003" s="78">
        <f t="shared" si="249"/>
        <v>0</v>
      </c>
      <c r="AB2003" s="78">
        <f t="shared" si="252"/>
        <v>0</v>
      </c>
      <c r="AC2003" s="78"/>
      <c r="AD2003" s="78">
        <v>0</v>
      </c>
      <c r="AE2003" s="80">
        <f t="shared" si="255"/>
        <v>0</v>
      </c>
      <c r="AF2003" s="82">
        <v>0</v>
      </c>
      <c r="AG2003" s="69"/>
      <c r="AH2003" s="84"/>
      <c r="AI2003" s="69" t="s">
        <v>2009</v>
      </c>
      <c r="AJ2003" s="276" t="s">
        <v>2010</v>
      </c>
      <c r="AK2003" s="65"/>
      <c r="AL2003" s="272" t="s">
        <v>311</v>
      </c>
      <c r="AM2003" s="173"/>
      <c r="AN2003" s="159"/>
      <c r="AO2003" s="160"/>
      <c r="AP2003" s="161"/>
      <c r="AQ2003" s="160"/>
      <c r="AR2003" s="160"/>
      <c r="AS2003" s="160"/>
      <c r="AT2003" s="160"/>
      <c r="AU2003" s="160"/>
      <c r="AV2003" s="160"/>
      <c r="AW2003" s="160"/>
      <c r="AX2003" s="160"/>
      <c r="AY2003" s="160"/>
      <c r="AZ2003" s="160"/>
      <c r="BA2003" s="160"/>
      <c r="BB2003" s="160"/>
      <c r="BC2003" s="160"/>
      <c r="BD2003" s="160"/>
      <c r="BE2003" s="160"/>
      <c r="BF2003" s="160"/>
      <c r="BG2003" s="160"/>
      <c r="BH2003" s="160"/>
      <c r="BI2003" s="160"/>
      <c r="BJ2003" s="160"/>
      <c r="BK2003" s="160"/>
      <c r="BL2003" s="160"/>
      <c r="BM2003" s="160"/>
      <c r="BN2003" s="160"/>
      <c r="BO2003" s="160"/>
      <c r="BP2003" s="160"/>
      <c r="BQ2003" s="160"/>
      <c r="BR2003" s="160"/>
      <c r="BS2003" s="160"/>
      <c r="BT2003" s="160"/>
      <c r="BU2003" s="160"/>
      <c r="BV2003" s="160"/>
      <c r="BW2003" s="160"/>
      <c r="BX2003" s="160"/>
      <c r="BY2003" s="160"/>
      <c r="BZ2003" s="160"/>
      <c r="CA2003" s="160"/>
      <c r="CB2003" s="160"/>
      <c r="CC2003" s="160"/>
      <c r="CD2003" s="160"/>
      <c r="CE2003" s="160"/>
      <c r="CF2003" s="160"/>
      <c r="CG2003" s="160"/>
      <c r="CH2003" s="160"/>
      <c r="CI2003" s="160"/>
      <c r="CJ2003" s="160"/>
      <c r="CK2003" s="160"/>
      <c r="CL2003" s="160"/>
      <c r="CM2003" s="160"/>
      <c r="CN2003" s="160"/>
      <c r="CO2003" s="160"/>
      <c r="CP2003" s="162"/>
      <c r="CQ2003" s="163"/>
      <c r="CR2003" s="162"/>
      <c r="CS2003" s="163"/>
      <c r="CT2003" s="162"/>
      <c r="CU2003" s="163"/>
      <c r="CV2003" s="164">
        <f t="shared" si="253"/>
        <v>0</v>
      </c>
      <c r="CW2003" s="165"/>
      <c r="CX2003" s="166"/>
      <c r="CY2003" s="167"/>
      <c r="CZ2003" s="168"/>
      <c r="DA2003" s="169"/>
      <c r="DB2003" s="168"/>
      <c r="DC2003" s="165"/>
      <c r="DD2003" s="166"/>
      <c r="DE2003" s="71"/>
      <c r="DF2003" s="170"/>
      <c r="EO2003" s="375" t="str">
        <f t="shared" si="254"/>
        <v>CAUCA_CORINTO</v>
      </c>
      <c r="EP2003" s="376"/>
      <c r="EQ2003" s="376"/>
      <c r="ER2003" s="377"/>
      <c r="ES2003" s="376"/>
      <c r="ET2003" s="376"/>
      <c r="EU2003" s="376"/>
    </row>
    <row r="2004" spans="1:151" s="171" customFormat="1" ht="45" x14ac:dyDescent="0.2">
      <c r="A2004" s="242">
        <v>40515</v>
      </c>
      <c r="B2004" s="222" t="s">
        <v>1719</v>
      </c>
      <c r="C2004" s="222" t="s">
        <v>752</v>
      </c>
      <c r="D2004" s="430" t="s">
        <v>837</v>
      </c>
      <c r="E2004" s="107" t="str">
        <f>VLOOKUP(B2004&amp;C2004,Divipola!$C$2:$F$1138,4,FALSE)</f>
        <v>19300</v>
      </c>
      <c r="F2004" s="333"/>
      <c r="G2004" s="221"/>
      <c r="H2004" s="157"/>
      <c r="I2004" s="157"/>
      <c r="J2004" s="157">
        <f>1100*5</f>
        <v>5500</v>
      </c>
      <c r="K2004" s="157">
        <v>1100</v>
      </c>
      <c r="L2004" s="157"/>
      <c r="M2004" s="157">
        <v>171</v>
      </c>
      <c r="N2004" s="157"/>
      <c r="O2004" s="157"/>
      <c r="P2004" s="157"/>
      <c r="Q2004" s="157"/>
      <c r="R2004" s="157"/>
      <c r="S2004" s="157"/>
      <c r="T2004" s="157"/>
      <c r="U2004" s="157"/>
      <c r="V2004" s="158">
        <v>226</v>
      </c>
      <c r="W2004" s="182" t="s">
        <v>753</v>
      </c>
      <c r="X2004" s="1"/>
      <c r="Y2004" s="78">
        <f t="shared" si="250"/>
        <v>0</v>
      </c>
      <c r="Z2004" s="78">
        <f t="shared" si="251"/>
        <v>0</v>
      </c>
      <c r="AA2004" s="78">
        <f t="shared" si="249"/>
        <v>0</v>
      </c>
      <c r="AB2004" s="78">
        <f t="shared" si="252"/>
        <v>0</v>
      </c>
      <c r="AC2004" s="78"/>
      <c r="AD2004" s="78">
        <v>0</v>
      </c>
      <c r="AE2004" s="80">
        <f t="shared" si="255"/>
        <v>0</v>
      </c>
      <c r="AF2004" s="82">
        <v>0</v>
      </c>
      <c r="AG2004" s="69"/>
      <c r="AH2004" s="84"/>
      <c r="AI2004" s="69" t="s">
        <v>2009</v>
      </c>
      <c r="AJ2004" s="276" t="s">
        <v>2010</v>
      </c>
      <c r="AK2004" s="65"/>
      <c r="AL2004" s="272" t="s">
        <v>311</v>
      </c>
      <c r="AM2004" s="173"/>
      <c r="AN2004" s="159"/>
      <c r="AO2004" s="160"/>
      <c r="AP2004" s="161"/>
      <c r="AQ2004" s="160"/>
      <c r="AR2004" s="160"/>
      <c r="AS2004" s="160"/>
      <c r="AT2004" s="160"/>
      <c r="AU2004" s="160"/>
      <c r="AV2004" s="160"/>
      <c r="AW2004" s="160"/>
      <c r="AX2004" s="160"/>
      <c r="AY2004" s="160"/>
      <c r="AZ2004" s="160"/>
      <c r="BA2004" s="160"/>
      <c r="BB2004" s="160"/>
      <c r="BC2004" s="160"/>
      <c r="BD2004" s="160"/>
      <c r="BE2004" s="160"/>
      <c r="BF2004" s="160"/>
      <c r="BG2004" s="160"/>
      <c r="BH2004" s="160"/>
      <c r="BI2004" s="160"/>
      <c r="BJ2004" s="160"/>
      <c r="BK2004" s="160"/>
      <c r="BL2004" s="160"/>
      <c r="BM2004" s="160"/>
      <c r="BN2004" s="160"/>
      <c r="BO2004" s="160"/>
      <c r="BP2004" s="160"/>
      <c r="BQ2004" s="160"/>
      <c r="BR2004" s="160"/>
      <c r="BS2004" s="160"/>
      <c r="BT2004" s="160"/>
      <c r="BU2004" s="160"/>
      <c r="BV2004" s="160"/>
      <c r="BW2004" s="160"/>
      <c r="BX2004" s="160"/>
      <c r="BY2004" s="160"/>
      <c r="BZ2004" s="160"/>
      <c r="CA2004" s="160"/>
      <c r="CB2004" s="160"/>
      <c r="CC2004" s="160"/>
      <c r="CD2004" s="160"/>
      <c r="CE2004" s="160"/>
      <c r="CF2004" s="160"/>
      <c r="CG2004" s="160"/>
      <c r="CH2004" s="160"/>
      <c r="CI2004" s="160"/>
      <c r="CJ2004" s="160"/>
      <c r="CK2004" s="160"/>
      <c r="CL2004" s="160"/>
      <c r="CM2004" s="160"/>
      <c r="CN2004" s="160"/>
      <c r="CO2004" s="160"/>
      <c r="CP2004" s="162"/>
      <c r="CQ2004" s="163"/>
      <c r="CR2004" s="162"/>
      <c r="CS2004" s="163"/>
      <c r="CT2004" s="162"/>
      <c r="CU2004" s="163"/>
      <c r="CV2004" s="164">
        <f t="shared" si="253"/>
        <v>0</v>
      </c>
      <c r="CW2004" s="165"/>
      <c r="CX2004" s="166"/>
      <c r="CY2004" s="167"/>
      <c r="CZ2004" s="168"/>
      <c r="DA2004" s="169"/>
      <c r="DB2004" s="168"/>
      <c r="DC2004" s="165"/>
      <c r="DD2004" s="166"/>
      <c r="DE2004" s="71"/>
      <c r="DF2004" s="170"/>
      <c r="EO2004" s="375" t="str">
        <f t="shared" si="254"/>
        <v>CAUCA_GUACHENE</v>
      </c>
      <c r="EP2004" s="376"/>
      <c r="EQ2004" s="376"/>
      <c r="ER2004" s="377"/>
      <c r="ES2004" s="376"/>
      <c r="ET2004" s="376"/>
      <c r="EU2004" s="376"/>
    </row>
    <row r="2005" spans="1:151" s="171" customFormat="1" ht="45" x14ac:dyDescent="0.2">
      <c r="A2005" s="242">
        <v>40515</v>
      </c>
      <c r="B2005" s="222" t="s">
        <v>1719</v>
      </c>
      <c r="C2005" s="222" t="s">
        <v>1785</v>
      </c>
      <c r="D2005" s="430" t="s">
        <v>2307</v>
      </c>
      <c r="E2005" s="107" t="str">
        <f>VLOOKUP(B2005&amp;C2005,Divipola!$C$2:$F$1138,4,FALSE)</f>
        <v>19318</v>
      </c>
      <c r="F2005" s="333"/>
      <c r="G2005" s="221"/>
      <c r="H2005" s="157"/>
      <c r="I2005" s="157"/>
      <c r="J2005" s="157">
        <f>1028*5</f>
        <v>5140</v>
      </c>
      <c r="K2005" s="157">
        <f>1044-16</f>
        <v>1028</v>
      </c>
      <c r="L2005" s="157"/>
      <c r="M2005" s="157">
        <f>934-16</f>
        <v>918</v>
      </c>
      <c r="N2005" s="157"/>
      <c r="O2005" s="157"/>
      <c r="P2005" s="157"/>
      <c r="Q2005" s="157">
        <v>5</v>
      </c>
      <c r="R2005" s="157"/>
      <c r="S2005" s="157"/>
      <c r="T2005" s="157"/>
      <c r="U2005" s="157"/>
      <c r="V2005" s="158">
        <v>305</v>
      </c>
      <c r="W2005" s="182" t="s">
        <v>754</v>
      </c>
      <c r="X2005" s="1"/>
      <c r="Y2005" s="78">
        <f t="shared" si="250"/>
        <v>0</v>
      </c>
      <c r="Z2005" s="78">
        <f t="shared" si="251"/>
        <v>0</v>
      </c>
      <c r="AA2005" s="78">
        <f t="shared" si="249"/>
        <v>0</v>
      </c>
      <c r="AB2005" s="78">
        <f t="shared" si="252"/>
        <v>0</v>
      </c>
      <c r="AC2005" s="78"/>
      <c r="AD2005" s="78">
        <v>0</v>
      </c>
      <c r="AE2005" s="80">
        <f t="shared" si="255"/>
        <v>0</v>
      </c>
      <c r="AF2005" s="82">
        <v>0</v>
      </c>
      <c r="AG2005" s="69"/>
      <c r="AH2005" s="84"/>
      <c r="AI2005" s="69" t="s">
        <v>2009</v>
      </c>
      <c r="AJ2005" s="276" t="s">
        <v>2010</v>
      </c>
      <c r="AK2005" s="65"/>
      <c r="AL2005" s="272" t="s">
        <v>311</v>
      </c>
      <c r="AM2005" s="173"/>
      <c r="AN2005" s="159"/>
      <c r="AO2005" s="160"/>
      <c r="AP2005" s="161"/>
      <c r="AQ2005" s="160"/>
      <c r="AR2005" s="160"/>
      <c r="AS2005" s="160"/>
      <c r="AT2005" s="160"/>
      <c r="AU2005" s="160"/>
      <c r="AV2005" s="160"/>
      <c r="AW2005" s="160"/>
      <c r="AX2005" s="160"/>
      <c r="AY2005" s="160"/>
      <c r="AZ2005" s="160"/>
      <c r="BA2005" s="160"/>
      <c r="BB2005" s="160"/>
      <c r="BC2005" s="160"/>
      <c r="BD2005" s="160"/>
      <c r="BE2005" s="160"/>
      <c r="BF2005" s="160"/>
      <c r="BG2005" s="160"/>
      <c r="BH2005" s="160"/>
      <c r="BI2005" s="160"/>
      <c r="BJ2005" s="160"/>
      <c r="BK2005" s="160"/>
      <c r="BL2005" s="160"/>
      <c r="BM2005" s="160"/>
      <c r="BN2005" s="160"/>
      <c r="BO2005" s="160"/>
      <c r="BP2005" s="160"/>
      <c r="BQ2005" s="160"/>
      <c r="BR2005" s="160"/>
      <c r="BS2005" s="160"/>
      <c r="BT2005" s="160"/>
      <c r="BU2005" s="160"/>
      <c r="BV2005" s="160"/>
      <c r="BW2005" s="160"/>
      <c r="BX2005" s="160"/>
      <c r="BY2005" s="160"/>
      <c r="BZ2005" s="160"/>
      <c r="CA2005" s="160"/>
      <c r="CB2005" s="160"/>
      <c r="CC2005" s="160"/>
      <c r="CD2005" s="160"/>
      <c r="CE2005" s="160"/>
      <c r="CF2005" s="160"/>
      <c r="CG2005" s="160"/>
      <c r="CH2005" s="160"/>
      <c r="CI2005" s="160"/>
      <c r="CJ2005" s="160"/>
      <c r="CK2005" s="160"/>
      <c r="CL2005" s="160"/>
      <c r="CM2005" s="160"/>
      <c r="CN2005" s="160"/>
      <c r="CO2005" s="160"/>
      <c r="CP2005" s="162"/>
      <c r="CQ2005" s="163"/>
      <c r="CR2005" s="162"/>
      <c r="CS2005" s="163"/>
      <c r="CT2005" s="162"/>
      <c r="CU2005" s="163"/>
      <c r="CV2005" s="164">
        <f t="shared" si="253"/>
        <v>0</v>
      </c>
      <c r="CW2005" s="165"/>
      <c r="CX2005" s="166"/>
      <c r="CY2005" s="167"/>
      <c r="CZ2005" s="168"/>
      <c r="DA2005" s="169"/>
      <c r="DB2005" s="168"/>
      <c r="DC2005" s="165"/>
      <c r="DD2005" s="166"/>
      <c r="DE2005" s="71"/>
      <c r="DF2005" s="170"/>
      <c r="EO2005" s="375" t="str">
        <f t="shared" si="254"/>
        <v>CAUCA_GUAPI</v>
      </c>
      <c r="EP2005" s="376"/>
      <c r="EQ2005" s="376"/>
      <c r="ER2005" s="377"/>
      <c r="ES2005" s="376"/>
      <c r="ET2005" s="376"/>
      <c r="EU2005" s="376"/>
    </row>
    <row r="2006" spans="1:151" s="171" customFormat="1" ht="45" x14ac:dyDescent="0.2">
      <c r="A2006" s="242">
        <v>40515</v>
      </c>
      <c r="B2006" s="222" t="s">
        <v>1719</v>
      </c>
      <c r="C2006" s="222" t="s">
        <v>2231</v>
      </c>
      <c r="D2006" s="430" t="s">
        <v>2307</v>
      </c>
      <c r="E2006" s="107" t="str">
        <f>VLOOKUP(B2006&amp;C2006,Divipola!$C$2:$F$1138,4,FALSE)</f>
        <v>19355</v>
      </c>
      <c r="F2006" s="333"/>
      <c r="G2006" s="221"/>
      <c r="H2006" s="157"/>
      <c r="I2006" s="157"/>
      <c r="J2006" s="157">
        <f>28*4</f>
        <v>112</v>
      </c>
      <c r="K2006" s="157">
        <v>28</v>
      </c>
      <c r="L2006" s="157"/>
      <c r="M2006" s="157">
        <v>28</v>
      </c>
      <c r="N2006" s="157"/>
      <c r="O2006" s="157"/>
      <c r="P2006" s="157"/>
      <c r="Q2006" s="157">
        <v>4</v>
      </c>
      <c r="R2006" s="157"/>
      <c r="S2006" s="157"/>
      <c r="T2006" s="157"/>
      <c r="U2006" s="157"/>
      <c r="V2006" s="158">
        <v>180</v>
      </c>
      <c r="W2006" s="182" t="s">
        <v>755</v>
      </c>
      <c r="X2006" s="1"/>
      <c r="Y2006" s="78">
        <f t="shared" si="250"/>
        <v>0</v>
      </c>
      <c r="Z2006" s="78">
        <f t="shared" si="251"/>
        <v>0</v>
      </c>
      <c r="AA2006" s="78">
        <f t="shared" si="249"/>
        <v>0</v>
      </c>
      <c r="AB2006" s="78">
        <f t="shared" si="252"/>
        <v>0</v>
      </c>
      <c r="AC2006" s="78"/>
      <c r="AD2006" s="78">
        <v>0</v>
      </c>
      <c r="AE2006" s="80">
        <f t="shared" si="255"/>
        <v>0</v>
      </c>
      <c r="AF2006" s="82">
        <v>0</v>
      </c>
      <c r="AG2006" s="69"/>
      <c r="AH2006" s="84"/>
      <c r="AI2006" s="69" t="s">
        <v>2009</v>
      </c>
      <c r="AJ2006" s="276" t="s">
        <v>2010</v>
      </c>
      <c r="AK2006" s="65"/>
      <c r="AL2006" s="272" t="s">
        <v>311</v>
      </c>
      <c r="AM2006" s="173"/>
      <c r="AN2006" s="159"/>
      <c r="AO2006" s="160"/>
      <c r="AP2006" s="161"/>
      <c r="AQ2006" s="160"/>
      <c r="AR2006" s="160"/>
      <c r="AS2006" s="160"/>
      <c r="AT2006" s="160"/>
      <c r="AU2006" s="160"/>
      <c r="AV2006" s="160"/>
      <c r="AW2006" s="160"/>
      <c r="AX2006" s="160"/>
      <c r="AY2006" s="160"/>
      <c r="AZ2006" s="160"/>
      <c r="BA2006" s="160"/>
      <c r="BB2006" s="160"/>
      <c r="BC2006" s="160"/>
      <c r="BD2006" s="160"/>
      <c r="BE2006" s="160"/>
      <c r="BF2006" s="160"/>
      <c r="BG2006" s="160"/>
      <c r="BH2006" s="160"/>
      <c r="BI2006" s="160"/>
      <c r="BJ2006" s="160"/>
      <c r="BK2006" s="160"/>
      <c r="BL2006" s="160"/>
      <c r="BM2006" s="160"/>
      <c r="BN2006" s="160"/>
      <c r="BO2006" s="160"/>
      <c r="BP2006" s="160"/>
      <c r="BQ2006" s="160"/>
      <c r="BR2006" s="160"/>
      <c r="BS2006" s="160"/>
      <c r="BT2006" s="160"/>
      <c r="BU2006" s="160"/>
      <c r="BV2006" s="160"/>
      <c r="BW2006" s="160"/>
      <c r="BX2006" s="160"/>
      <c r="BY2006" s="160"/>
      <c r="BZ2006" s="160"/>
      <c r="CA2006" s="160"/>
      <c r="CB2006" s="160"/>
      <c r="CC2006" s="160"/>
      <c r="CD2006" s="160"/>
      <c r="CE2006" s="160"/>
      <c r="CF2006" s="160"/>
      <c r="CG2006" s="160"/>
      <c r="CH2006" s="160"/>
      <c r="CI2006" s="160"/>
      <c r="CJ2006" s="160"/>
      <c r="CK2006" s="160"/>
      <c r="CL2006" s="160"/>
      <c r="CM2006" s="160"/>
      <c r="CN2006" s="160"/>
      <c r="CO2006" s="160"/>
      <c r="CP2006" s="162"/>
      <c r="CQ2006" s="163"/>
      <c r="CR2006" s="162"/>
      <c r="CS2006" s="163"/>
      <c r="CT2006" s="162"/>
      <c r="CU2006" s="163"/>
      <c r="CV2006" s="164">
        <f t="shared" si="253"/>
        <v>0</v>
      </c>
      <c r="CW2006" s="165"/>
      <c r="CX2006" s="166"/>
      <c r="CY2006" s="167"/>
      <c r="CZ2006" s="168"/>
      <c r="DA2006" s="169"/>
      <c r="DB2006" s="168"/>
      <c r="DC2006" s="165"/>
      <c r="DD2006" s="166"/>
      <c r="DE2006" s="71"/>
      <c r="DF2006" s="170"/>
      <c r="EO2006" s="375" t="str">
        <f t="shared" si="254"/>
        <v>CAUCA_INZA</v>
      </c>
      <c r="EP2006" s="376"/>
      <c r="EQ2006" s="376"/>
      <c r="ER2006" s="377"/>
      <c r="ES2006" s="376"/>
      <c r="ET2006" s="376"/>
      <c r="EU2006" s="376"/>
    </row>
    <row r="2007" spans="1:151" s="171" customFormat="1" ht="45" x14ac:dyDescent="0.2">
      <c r="A2007" s="242">
        <v>40515</v>
      </c>
      <c r="B2007" s="222" t="s">
        <v>1719</v>
      </c>
      <c r="C2007" s="222" t="s">
        <v>1648</v>
      </c>
      <c r="D2007" s="430" t="s">
        <v>2307</v>
      </c>
      <c r="E2007" s="107" t="str">
        <f>VLOOKUP(B2007&amp;C2007,Divipola!$C$2:$F$1138,4,FALSE)</f>
        <v>19364</v>
      </c>
      <c r="F2007" s="333"/>
      <c r="G2007" s="221"/>
      <c r="H2007" s="157"/>
      <c r="I2007" s="157"/>
      <c r="J2007" s="157">
        <f>1267*5</f>
        <v>6335</v>
      </c>
      <c r="K2007" s="157">
        <v>1267</v>
      </c>
      <c r="L2007" s="157"/>
      <c r="M2007" s="157">
        <v>1267</v>
      </c>
      <c r="N2007" s="157"/>
      <c r="O2007" s="157"/>
      <c r="P2007" s="157"/>
      <c r="Q2007" s="157">
        <v>4</v>
      </c>
      <c r="R2007" s="157"/>
      <c r="S2007" s="157"/>
      <c r="T2007" s="157"/>
      <c r="U2007" s="157"/>
      <c r="V2007" s="158">
        <v>107</v>
      </c>
      <c r="W2007" s="182" t="s">
        <v>756</v>
      </c>
      <c r="X2007" s="1"/>
      <c r="Y2007" s="78">
        <f t="shared" si="250"/>
        <v>0</v>
      </c>
      <c r="Z2007" s="78">
        <f t="shared" si="251"/>
        <v>0</v>
      </c>
      <c r="AA2007" s="78">
        <f t="shared" si="249"/>
        <v>0</v>
      </c>
      <c r="AB2007" s="78">
        <f t="shared" si="252"/>
        <v>0</v>
      </c>
      <c r="AC2007" s="78"/>
      <c r="AD2007" s="78">
        <v>0</v>
      </c>
      <c r="AE2007" s="80">
        <f t="shared" si="255"/>
        <v>0</v>
      </c>
      <c r="AF2007" s="82">
        <v>0</v>
      </c>
      <c r="AG2007" s="69"/>
      <c r="AH2007" s="84"/>
      <c r="AI2007" s="69" t="s">
        <v>2009</v>
      </c>
      <c r="AJ2007" s="276" t="s">
        <v>2010</v>
      </c>
      <c r="AK2007" s="65"/>
      <c r="AL2007" s="272" t="s">
        <v>311</v>
      </c>
      <c r="AM2007" s="173"/>
      <c r="AN2007" s="159"/>
      <c r="AO2007" s="160"/>
      <c r="AP2007" s="161"/>
      <c r="AQ2007" s="160"/>
      <c r="AR2007" s="160"/>
      <c r="AS2007" s="160"/>
      <c r="AT2007" s="160"/>
      <c r="AU2007" s="160"/>
      <c r="AV2007" s="160"/>
      <c r="AW2007" s="160"/>
      <c r="AX2007" s="160"/>
      <c r="AY2007" s="160"/>
      <c r="AZ2007" s="160"/>
      <c r="BA2007" s="160"/>
      <c r="BB2007" s="160"/>
      <c r="BC2007" s="160"/>
      <c r="BD2007" s="160"/>
      <c r="BE2007" s="160"/>
      <c r="BF2007" s="160"/>
      <c r="BG2007" s="160"/>
      <c r="BH2007" s="160"/>
      <c r="BI2007" s="160"/>
      <c r="BJ2007" s="160"/>
      <c r="BK2007" s="160"/>
      <c r="BL2007" s="160"/>
      <c r="BM2007" s="160"/>
      <c r="BN2007" s="160"/>
      <c r="BO2007" s="160"/>
      <c r="BP2007" s="160"/>
      <c r="BQ2007" s="160"/>
      <c r="BR2007" s="160"/>
      <c r="BS2007" s="160"/>
      <c r="BT2007" s="160"/>
      <c r="BU2007" s="160"/>
      <c r="BV2007" s="160"/>
      <c r="BW2007" s="160"/>
      <c r="BX2007" s="160"/>
      <c r="BY2007" s="160"/>
      <c r="BZ2007" s="160"/>
      <c r="CA2007" s="160"/>
      <c r="CB2007" s="160"/>
      <c r="CC2007" s="160"/>
      <c r="CD2007" s="160"/>
      <c r="CE2007" s="160"/>
      <c r="CF2007" s="160"/>
      <c r="CG2007" s="160"/>
      <c r="CH2007" s="160"/>
      <c r="CI2007" s="160"/>
      <c r="CJ2007" s="160"/>
      <c r="CK2007" s="160"/>
      <c r="CL2007" s="160"/>
      <c r="CM2007" s="160"/>
      <c r="CN2007" s="160"/>
      <c r="CO2007" s="160"/>
      <c r="CP2007" s="162"/>
      <c r="CQ2007" s="163"/>
      <c r="CR2007" s="162"/>
      <c r="CS2007" s="163"/>
      <c r="CT2007" s="162"/>
      <c r="CU2007" s="163"/>
      <c r="CV2007" s="164">
        <f t="shared" si="253"/>
        <v>0</v>
      </c>
      <c r="CW2007" s="165"/>
      <c r="CX2007" s="166"/>
      <c r="CY2007" s="167"/>
      <c r="CZ2007" s="168"/>
      <c r="DA2007" s="169"/>
      <c r="DB2007" s="168"/>
      <c r="DC2007" s="165"/>
      <c r="DD2007" s="166"/>
      <c r="DE2007" s="71"/>
      <c r="DF2007" s="170"/>
      <c r="EO2007" s="375" t="str">
        <f t="shared" si="254"/>
        <v>CAUCA_JAMBALO</v>
      </c>
      <c r="EP2007" s="376"/>
      <c r="EQ2007" s="376"/>
      <c r="ER2007" s="377"/>
      <c r="ES2007" s="376"/>
      <c r="ET2007" s="376"/>
      <c r="EU2007" s="376"/>
    </row>
    <row r="2008" spans="1:151" s="171" customFormat="1" ht="45" x14ac:dyDescent="0.2">
      <c r="A2008" s="242">
        <v>40515</v>
      </c>
      <c r="B2008" s="222" t="s">
        <v>1719</v>
      </c>
      <c r="C2008" s="222" t="s">
        <v>1260</v>
      </c>
      <c r="D2008" s="430" t="s">
        <v>837</v>
      </c>
      <c r="E2008" s="107" t="str">
        <f>VLOOKUP(B2008&amp;C2008,Divipola!$C$2:$F$1138,4,FALSE)</f>
        <v>19450</v>
      </c>
      <c r="F2008" s="333"/>
      <c r="G2008" s="221"/>
      <c r="H2008" s="157"/>
      <c r="I2008" s="157"/>
      <c r="J2008" s="157">
        <f>2547*5</f>
        <v>12735</v>
      </c>
      <c r="K2008" s="157">
        <f>2549-2</f>
        <v>2547</v>
      </c>
      <c r="L2008" s="157"/>
      <c r="M2008" s="157">
        <v>2547</v>
      </c>
      <c r="N2008" s="157"/>
      <c r="O2008" s="157"/>
      <c r="P2008" s="157"/>
      <c r="Q2008" s="157">
        <v>5</v>
      </c>
      <c r="R2008" s="157"/>
      <c r="S2008" s="157"/>
      <c r="T2008" s="157"/>
      <c r="U2008" s="157"/>
      <c r="V2008" s="158">
        <v>363</v>
      </c>
      <c r="W2008" s="182" t="s">
        <v>760</v>
      </c>
      <c r="X2008" s="1"/>
      <c r="Y2008" s="78">
        <f t="shared" si="250"/>
        <v>0</v>
      </c>
      <c r="Z2008" s="78">
        <f t="shared" si="251"/>
        <v>0</v>
      </c>
      <c r="AA2008" s="78">
        <f t="shared" si="249"/>
        <v>0</v>
      </c>
      <c r="AB2008" s="78">
        <f t="shared" si="252"/>
        <v>0</v>
      </c>
      <c r="AC2008" s="78"/>
      <c r="AD2008" s="78">
        <v>0</v>
      </c>
      <c r="AE2008" s="80">
        <f t="shared" si="255"/>
        <v>0</v>
      </c>
      <c r="AF2008" s="82">
        <v>0</v>
      </c>
      <c r="AG2008" s="69"/>
      <c r="AH2008" s="84"/>
      <c r="AI2008" s="69" t="s">
        <v>2009</v>
      </c>
      <c r="AJ2008" s="276" t="s">
        <v>2010</v>
      </c>
      <c r="AK2008" s="65"/>
      <c r="AL2008" s="272" t="s">
        <v>311</v>
      </c>
      <c r="AM2008" s="173"/>
      <c r="AN2008" s="159"/>
      <c r="AO2008" s="160"/>
      <c r="AP2008" s="161"/>
      <c r="AQ2008" s="160"/>
      <c r="AR2008" s="160"/>
      <c r="AS2008" s="160"/>
      <c r="AT2008" s="160"/>
      <c r="AU2008" s="160"/>
      <c r="AV2008" s="160"/>
      <c r="AW2008" s="160"/>
      <c r="AX2008" s="160"/>
      <c r="AY2008" s="160"/>
      <c r="AZ2008" s="160"/>
      <c r="BA2008" s="160"/>
      <c r="BB2008" s="160"/>
      <c r="BC2008" s="160"/>
      <c r="BD2008" s="160"/>
      <c r="BE2008" s="160"/>
      <c r="BF2008" s="160"/>
      <c r="BG2008" s="160"/>
      <c r="BH2008" s="160"/>
      <c r="BI2008" s="160"/>
      <c r="BJ2008" s="160"/>
      <c r="BK2008" s="160"/>
      <c r="BL2008" s="160"/>
      <c r="BM2008" s="160"/>
      <c r="BN2008" s="160"/>
      <c r="BO2008" s="160"/>
      <c r="BP2008" s="160"/>
      <c r="BQ2008" s="160"/>
      <c r="BR2008" s="160"/>
      <c r="BS2008" s="160"/>
      <c r="BT2008" s="160"/>
      <c r="BU2008" s="160"/>
      <c r="BV2008" s="160"/>
      <c r="BW2008" s="160"/>
      <c r="BX2008" s="160"/>
      <c r="BY2008" s="160"/>
      <c r="BZ2008" s="160"/>
      <c r="CA2008" s="160"/>
      <c r="CB2008" s="160"/>
      <c r="CC2008" s="160"/>
      <c r="CD2008" s="160"/>
      <c r="CE2008" s="160"/>
      <c r="CF2008" s="160"/>
      <c r="CG2008" s="160"/>
      <c r="CH2008" s="160"/>
      <c r="CI2008" s="160"/>
      <c r="CJ2008" s="160"/>
      <c r="CK2008" s="160"/>
      <c r="CL2008" s="160"/>
      <c r="CM2008" s="160"/>
      <c r="CN2008" s="160"/>
      <c r="CO2008" s="160"/>
      <c r="CP2008" s="162"/>
      <c r="CQ2008" s="163"/>
      <c r="CR2008" s="162"/>
      <c r="CS2008" s="163"/>
      <c r="CT2008" s="162"/>
      <c r="CU2008" s="163"/>
      <c r="CV2008" s="164">
        <f t="shared" si="253"/>
        <v>0</v>
      </c>
      <c r="CW2008" s="165"/>
      <c r="CX2008" s="166"/>
      <c r="CY2008" s="167"/>
      <c r="CZ2008" s="168"/>
      <c r="DA2008" s="169"/>
      <c r="DB2008" s="168"/>
      <c r="DC2008" s="165"/>
      <c r="DD2008" s="166"/>
      <c r="DE2008" s="71"/>
      <c r="DF2008" s="170"/>
      <c r="EO2008" s="375" t="str">
        <f t="shared" si="254"/>
        <v>CAUCA_MERCADERES</v>
      </c>
      <c r="EP2008" s="376"/>
      <c r="EQ2008" s="376"/>
      <c r="ER2008" s="377"/>
      <c r="ES2008" s="376"/>
      <c r="ET2008" s="376"/>
      <c r="EU2008" s="376"/>
    </row>
    <row r="2009" spans="1:151" s="171" customFormat="1" ht="45" x14ac:dyDescent="0.2">
      <c r="A2009" s="242">
        <v>40515</v>
      </c>
      <c r="B2009" s="222" t="s">
        <v>1719</v>
      </c>
      <c r="C2009" s="222" t="s">
        <v>985</v>
      </c>
      <c r="D2009" s="430" t="s">
        <v>2307</v>
      </c>
      <c r="E2009" s="107" t="str">
        <f>VLOOKUP(B2009&amp;C2009,Divipola!$C$2:$F$1138,4,FALSE)</f>
        <v>19473</v>
      </c>
      <c r="F2009" s="333"/>
      <c r="G2009" s="221"/>
      <c r="H2009" s="157"/>
      <c r="I2009" s="157"/>
      <c r="J2009" s="157">
        <f>828*5</f>
        <v>4140</v>
      </c>
      <c r="K2009" s="157">
        <f>1200-372</f>
        <v>828</v>
      </c>
      <c r="L2009" s="157"/>
      <c r="M2009" s="157">
        <v>583</v>
      </c>
      <c r="N2009" s="157"/>
      <c r="O2009" s="157"/>
      <c r="P2009" s="157"/>
      <c r="Q2009" s="157">
        <v>2</v>
      </c>
      <c r="R2009" s="157"/>
      <c r="S2009" s="157"/>
      <c r="T2009" s="157"/>
      <c r="U2009" s="157"/>
      <c r="V2009" s="158">
        <v>2160</v>
      </c>
      <c r="W2009" s="182" t="s">
        <v>762</v>
      </c>
      <c r="X2009" s="1"/>
      <c r="Y2009" s="78">
        <f t="shared" si="250"/>
        <v>0</v>
      </c>
      <c r="Z2009" s="78">
        <f t="shared" si="251"/>
        <v>0</v>
      </c>
      <c r="AA2009" s="78">
        <f t="shared" si="249"/>
        <v>0</v>
      </c>
      <c r="AB2009" s="78">
        <f t="shared" si="252"/>
        <v>0</v>
      </c>
      <c r="AC2009" s="78"/>
      <c r="AD2009" s="78">
        <v>0</v>
      </c>
      <c r="AE2009" s="80">
        <f t="shared" si="255"/>
        <v>0</v>
      </c>
      <c r="AF2009" s="82">
        <v>0</v>
      </c>
      <c r="AG2009" s="69"/>
      <c r="AH2009" s="84"/>
      <c r="AI2009" s="69" t="s">
        <v>2009</v>
      </c>
      <c r="AJ2009" s="276" t="s">
        <v>2010</v>
      </c>
      <c r="AK2009" s="65"/>
      <c r="AL2009" s="272" t="s">
        <v>311</v>
      </c>
      <c r="AM2009" s="173"/>
      <c r="AN2009" s="159"/>
      <c r="AO2009" s="160"/>
      <c r="AP2009" s="161"/>
      <c r="AQ2009" s="160"/>
      <c r="AR2009" s="160"/>
      <c r="AS2009" s="160"/>
      <c r="AT2009" s="160"/>
      <c r="AU2009" s="160"/>
      <c r="AV2009" s="160"/>
      <c r="AW2009" s="160"/>
      <c r="AX2009" s="160"/>
      <c r="AY2009" s="160"/>
      <c r="AZ2009" s="160"/>
      <c r="BA2009" s="160"/>
      <c r="BB2009" s="160"/>
      <c r="BC2009" s="160"/>
      <c r="BD2009" s="160"/>
      <c r="BE2009" s="160"/>
      <c r="BF2009" s="160"/>
      <c r="BG2009" s="160"/>
      <c r="BH2009" s="160"/>
      <c r="BI2009" s="160"/>
      <c r="BJ2009" s="160"/>
      <c r="BK2009" s="160"/>
      <c r="BL2009" s="160"/>
      <c r="BM2009" s="160"/>
      <c r="BN2009" s="160"/>
      <c r="BO2009" s="160"/>
      <c r="BP2009" s="160"/>
      <c r="BQ2009" s="160"/>
      <c r="BR2009" s="160"/>
      <c r="BS2009" s="160"/>
      <c r="BT2009" s="160"/>
      <c r="BU2009" s="160"/>
      <c r="BV2009" s="160"/>
      <c r="BW2009" s="160"/>
      <c r="BX2009" s="160"/>
      <c r="BY2009" s="160"/>
      <c r="BZ2009" s="160"/>
      <c r="CA2009" s="160"/>
      <c r="CB2009" s="160"/>
      <c r="CC2009" s="160"/>
      <c r="CD2009" s="160"/>
      <c r="CE2009" s="160"/>
      <c r="CF2009" s="160"/>
      <c r="CG2009" s="160"/>
      <c r="CH2009" s="160"/>
      <c r="CI2009" s="160"/>
      <c r="CJ2009" s="160"/>
      <c r="CK2009" s="160"/>
      <c r="CL2009" s="160"/>
      <c r="CM2009" s="160"/>
      <c r="CN2009" s="160"/>
      <c r="CO2009" s="160"/>
      <c r="CP2009" s="162"/>
      <c r="CQ2009" s="163"/>
      <c r="CR2009" s="162"/>
      <c r="CS2009" s="163"/>
      <c r="CT2009" s="162"/>
      <c r="CU2009" s="163"/>
      <c r="CV2009" s="164">
        <f t="shared" si="253"/>
        <v>0</v>
      </c>
      <c r="CW2009" s="165"/>
      <c r="CX2009" s="166"/>
      <c r="CY2009" s="167"/>
      <c r="CZ2009" s="168"/>
      <c r="DA2009" s="169"/>
      <c r="DB2009" s="168"/>
      <c r="DC2009" s="165"/>
      <c r="DD2009" s="166"/>
      <c r="DE2009" s="71"/>
      <c r="DF2009" s="170"/>
      <c r="EO2009" s="375" t="str">
        <f t="shared" si="254"/>
        <v>CAUCA_MORALES</v>
      </c>
      <c r="EP2009" s="376"/>
      <c r="EQ2009" s="376"/>
      <c r="ER2009" s="377"/>
      <c r="ES2009" s="376"/>
      <c r="ET2009" s="376"/>
      <c r="EU2009" s="376"/>
    </row>
    <row r="2010" spans="1:151" s="171" customFormat="1" ht="45" x14ac:dyDescent="0.2">
      <c r="A2010" s="242">
        <v>40515</v>
      </c>
      <c r="B2010" s="222" t="s">
        <v>1719</v>
      </c>
      <c r="C2010" s="222" t="s">
        <v>1409</v>
      </c>
      <c r="D2010" s="430" t="s">
        <v>2307</v>
      </c>
      <c r="E2010" s="107" t="str">
        <f>VLOOKUP(B2010&amp;C2010,Divipola!$C$2:$F$1138,4,FALSE)</f>
        <v>19533</v>
      </c>
      <c r="F2010" s="333"/>
      <c r="G2010" s="221"/>
      <c r="H2010" s="157"/>
      <c r="I2010" s="157"/>
      <c r="J2010" s="157">
        <v>740</v>
      </c>
      <c r="K2010" s="157">
        <v>148</v>
      </c>
      <c r="L2010" s="157"/>
      <c r="M2010" s="157">
        <v>148</v>
      </c>
      <c r="N2010" s="157"/>
      <c r="O2010" s="157"/>
      <c r="P2010" s="157"/>
      <c r="Q2010" s="157"/>
      <c r="R2010" s="157"/>
      <c r="S2010" s="157"/>
      <c r="T2010" s="157"/>
      <c r="U2010" s="157"/>
      <c r="V2010" s="158">
        <v>311</v>
      </c>
      <c r="W2010" s="182" t="s">
        <v>764</v>
      </c>
      <c r="X2010" s="1"/>
      <c r="Y2010" s="78">
        <f t="shared" si="250"/>
        <v>0</v>
      </c>
      <c r="Z2010" s="78">
        <f t="shared" si="251"/>
        <v>0</v>
      </c>
      <c r="AA2010" s="78">
        <f t="shared" si="249"/>
        <v>0</v>
      </c>
      <c r="AB2010" s="78">
        <f t="shared" si="252"/>
        <v>0</v>
      </c>
      <c r="AC2010" s="78"/>
      <c r="AD2010" s="78">
        <v>0</v>
      </c>
      <c r="AE2010" s="80">
        <f t="shared" si="255"/>
        <v>0</v>
      </c>
      <c r="AF2010" s="82">
        <v>0</v>
      </c>
      <c r="AG2010" s="69"/>
      <c r="AH2010" s="84"/>
      <c r="AI2010" s="69" t="s">
        <v>2009</v>
      </c>
      <c r="AJ2010" s="276" t="s">
        <v>2010</v>
      </c>
      <c r="AK2010" s="65"/>
      <c r="AL2010" s="272" t="s">
        <v>311</v>
      </c>
      <c r="AM2010" s="173"/>
      <c r="AN2010" s="159"/>
      <c r="AO2010" s="160"/>
      <c r="AP2010" s="161"/>
      <c r="AQ2010" s="160"/>
      <c r="AR2010" s="160"/>
      <c r="AS2010" s="160"/>
      <c r="AT2010" s="160"/>
      <c r="AU2010" s="160"/>
      <c r="AV2010" s="160"/>
      <c r="AW2010" s="160"/>
      <c r="AX2010" s="160"/>
      <c r="AY2010" s="160"/>
      <c r="AZ2010" s="160"/>
      <c r="BA2010" s="160"/>
      <c r="BB2010" s="160"/>
      <c r="BC2010" s="160"/>
      <c r="BD2010" s="160"/>
      <c r="BE2010" s="160"/>
      <c r="BF2010" s="160"/>
      <c r="BG2010" s="160"/>
      <c r="BH2010" s="160"/>
      <c r="BI2010" s="160"/>
      <c r="BJ2010" s="160"/>
      <c r="BK2010" s="160"/>
      <c r="BL2010" s="160"/>
      <c r="BM2010" s="160"/>
      <c r="BN2010" s="160"/>
      <c r="BO2010" s="160"/>
      <c r="BP2010" s="160"/>
      <c r="BQ2010" s="160"/>
      <c r="BR2010" s="160"/>
      <c r="BS2010" s="160"/>
      <c r="BT2010" s="160"/>
      <c r="BU2010" s="160"/>
      <c r="BV2010" s="160"/>
      <c r="BW2010" s="160"/>
      <c r="BX2010" s="160"/>
      <c r="BY2010" s="160"/>
      <c r="BZ2010" s="160"/>
      <c r="CA2010" s="160"/>
      <c r="CB2010" s="160"/>
      <c r="CC2010" s="160"/>
      <c r="CD2010" s="160"/>
      <c r="CE2010" s="160"/>
      <c r="CF2010" s="160"/>
      <c r="CG2010" s="160"/>
      <c r="CH2010" s="160"/>
      <c r="CI2010" s="160"/>
      <c r="CJ2010" s="160"/>
      <c r="CK2010" s="160"/>
      <c r="CL2010" s="160"/>
      <c r="CM2010" s="160"/>
      <c r="CN2010" s="160"/>
      <c r="CO2010" s="160"/>
      <c r="CP2010" s="162"/>
      <c r="CQ2010" s="163"/>
      <c r="CR2010" s="162"/>
      <c r="CS2010" s="163"/>
      <c r="CT2010" s="162"/>
      <c r="CU2010" s="163"/>
      <c r="CV2010" s="164">
        <f t="shared" si="253"/>
        <v>0</v>
      </c>
      <c r="CW2010" s="165"/>
      <c r="CX2010" s="166"/>
      <c r="CY2010" s="167"/>
      <c r="CZ2010" s="168"/>
      <c r="DA2010" s="169"/>
      <c r="DB2010" s="168"/>
      <c r="DC2010" s="165"/>
      <c r="DD2010" s="166"/>
      <c r="DE2010" s="71"/>
      <c r="DF2010" s="170"/>
      <c r="EO2010" s="375" t="str">
        <f t="shared" si="254"/>
        <v>CAUCA_PIAMONTE</v>
      </c>
      <c r="EP2010" s="376"/>
      <c r="EQ2010" s="376"/>
      <c r="ER2010" s="377"/>
      <c r="ES2010" s="376"/>
      <c r="ET2010" s="376"/>
      <c r="EU2010" s="376"/>
    </row>
    <row r="2011" spans="1:151" s="171" customFormat="1" ht="45" x14ac:dyDescent="0.2">
      <c r="A2011" s="242">
        <v>40515</v>
      </c>
      <c r="B2011" s="222" t="s">
        <v>1719</v>
      </c>
      <c r="C2011" s="222" t="s">
        <v>767</v>
      </c>
      <c r="D2011" s="430" t="s">
        <v>837</v>
      </c>
      <c r="E2011" s="107" t="str">
        <f>VLOOKUP(B2011&amp;C2011,Divipola!$C$2:$F$1138,4,FALSE)</f>
        <v>19573</v>
      </c>
      <c r="F2011" s="333"/>
      <c r="G2011" s="221"/>
      <c r="H2011" s="157"/>
      <c r="I2011" s="157"/>
      <c r="J2011" s="157">
        <f>336*5</f>
        <v>1680</v>
      </c>
      <c r="K2011" s="157">
        <v>336</v>
      </c>
      <c r="L2011" s="157"/>
      <c r="M2011" s="157">
        <v>336</v>
      </c>
      <c r="N2011" s="157"/>
      <c r="O2011" s="157"/>
      <c r="P2011" s="157"/>
      <c r="Q2011" s="157">
        <v>1</v>
      </c>
      <c r="R2011" s="157"/>
      <c r="S2011" s="157"/>
      <c r="T2011" s="157"/>
      <c r="U2011" s="157"/>
      <c r="V2011" s="158">
        <v>24</v>
      </c>
      <c r="W2011" s="182" t="s">
        <v>768</v>
      </c>
      <c r="X2011" s="1"/>
      <c r="Y2011" s="78">
        <f t="shared" si="250"/>
        <v>0</v>
      </c>
      <c r="Z2011" s="78">
        <f t="shared" si="251"/>
        <v>0</v>
      </c>
      <c r="AA2011" s="78">
        <f t="shared" si="249"/>
        <v>0</v>
      </c>
      <c r="AB2011" s="78">
        <f t="shared" si="252"/>
        <v>0</v>
      </c>
      <c r="AC2011" s="78"/>
      <c r="AD2011" s="78">
        <v>0</v>
      </c>
      <c r="AE2011" s="80">
        <f t="shared" si="255"/>
        <v>0</v>
      </c>
      <c r="AF2011" s="82">
        <v>0</v>
      </c>
      <c r="AG2011" s="69"/>
      <c r="AH2011" s="84"/>
      <c r="AI2011" s="69" t="s">
        <v>2009</v>
      </c>
      <c r="AJ2011" s="276" t="s">
        <v>2010</v>
      </c>
      <c r="AK2011" s="65"/>
      <c r="AL2011" s="272" t="s">
        <v>311</v>
      </c>
      <c r="AM2011" s="173"/>
      <c r="AN2011" s="159"/>
      <c r="AO2011" s="160"/>
      <c r="AP2011" s="161"/>
      <c r="AQ2011" s="160"/>
      <c r="AR2011" s="160"/>
      <c r="AS2011" s="160"/>
      <c r="AT2011" s="160"/>
      <c r="AU2011" s="160"/>
      <c r="AV2011" s="160"/>
      <c r="AW2011" s="160"/>
      <c r="AX2011" s="160"/>
      <c r="AY2011" s="160"/>
      <c r="AZ2011" s="160"/>
      <c r="BA2011" s="160"/>
      <c r="BB2011" s="160"/>
      <c r="BC2011" s="160"/>
      <c r="BD2011" s="160"/>
      <c r="BE2011" s="160"/>
      <c r="BF2011" s="160"/>
      <c r="BG2011" s="160"/>
      <c r="BH2011" s="160"/>
      <c r="BI2011" s="160"/>
      <c r="BJ2011" s="160"/>
      <c r="BK2011" s="160"/>
      <c r="BL2011" s="160"/>
      <c r="BM2011" s="160"/>
      <c r="BN2011" s="160"/>
      <c r="BO2011" s="160"/>
      <c r="BP2011" s="160"/>
      <c r="BQ2011" s="160"/>
      <c r="BR2011" s="160"/>
      <c r="BS2011" s="160"/>
      <c r="BT2011" s="160"/>
      <c r="BU2011" s="160"/>
      <c r="BV2011" s="160"/>
      <c r="BW2011" s="160"/>
      <c r="BX2011" s="160"/>
      <c r="BY2011" s="160"/>
      <c r="BZ2011" s="160"/>
      <c r="CA2011" s="160"/>
      <c r="CB2011" s="160"/>
      <c r="CC2011" s="160"/>
      <c r="CD2011" s="160"/>
      <c r="CE2011" s="160"/>
      <c r="CF2011" s="160"/>
      <c r="CG2011" s="160"/>
      <c r="CH2011" s="160"/>
      <c r="CI2011" s="160"/>
      <c r="CJ2011" s="160"/>
      <c r="CK2011" s="160"/>
      <c r="CL2011" s="160"/>
      <c r="CM2011" s="160"/>
      <c r="CN2011" s="160"/>
      <c r="CO2011" s="160"/>
      <c r="CP2011" s="162"/>
      <c r="CQ2011" s="163"/>
      <c r="CR2011" s="162"/>
      <c r="CS2011" s="163"/>
      <c r="CT2011" s="162"/>
      <c r="CU2011" s="163"/>
      <c r="CV2011" s="164">
        <f t="shared" si="253"/>
        <v>0</v>
      </c>
      <c r="CW2011" s="165"/>
      <c r="CX2011" s="166"/>
      <c r="CY2011" s="167"/>
      <c r="CZ2011" s="168"/>
      <c r="DA2011" s="169"/>
      <c r="DB2011" s="168"/>
      <c r="DC2011" s="165"/>
      <c r="DD2011" s="166"/>
      <c r="DE2011" s="71"/>
      <c r="DF2011" s="170"/>
      <c r="EO2011" s="375" t="str">
        <f t="shared" si="254"/>
        <v>CAUCA_PUERTO TEJADA</v>
      </c>
      <c r="EP2011" s="376"/>
      <c r="EQ2011" s="376"/>
      <c r="ER2011" s="377"/>
      <c r="ES2011" s="376"/>
      <c r="ET2011" s="376"/>
      <c r="EU2011" s="376"/>
    </row>
    <row r="2012" spans="1:151" s="171" customFormat="1" ht="45" x14ac:dyDescent="0.2">
      <c r="A2012" s="242">
        <v>40515</v>
      </c>
      <c r="B2012" s="222" t="s">
        <v>1719</v>
      </c>
      <c r="C2012" s="222" t="s">
        <v>1987</v>
      </c>
      <c r="D2012" s="430" t="s">
        <v>2307</v>
      </c>
      <c r="E2012" s="107" t="str">
        <f>VLOOKUP(B2012&amp;C2012,Divipola!$C$2:$F$1138,4,FALSE)</f>
        <v>19693</v>
      </c>
      <c r="F2012" s="333"/>
      <c r="G2012" s="221"/>
      <c r="H2012" s="157"/>
      <c r="I2012" s="157"/>
      <c r="J2012" s="157">
        <f>1769*5</f>
        <v>8845</v>
      </c>
      <c r="K2012" s="157">
        <v>1769</v>
      </c>
      <c r="L2012" s="157"/>
      <c r="M2012" s="157">
        <v>1285</v>
      </c>
      <c r="N2012" s="157"/>
      <c r="O2012" s="157"/>
      <c r="P2012" s="157"/>
      <c r="Q2012" s="157">
        <v>3</v>
      </c>
      <c r="R2012" s="157"/>
      <c r="S2012" s="157"/>
      <c r="T2012" s="157"/>
      <c r="U2012" s="157"/>
      <c r="V2012" s="158">
        <v>2730</v>
      </c>
      <c r="W2012" s="182" t="s">
        <v>770</v>
      </c>
      <c r="X2012" s="1"/>
      <c r="Y2012" s="78">
        <f t="shared" si="250"/>
        <v>0</v>
      </c>
      <c r="Z2012" s="78">
        <f t="shared" si="251"/>
        <v>0</v>
      </c>
      <c r="AA2012" s="78">
        <f t="shared" si="249"/>
        <v>0</v>
      </c>
      <c r="AB2012" s="78">
        <f t="shared" si="252"/>
        <v>0</v>
      </c>
      <c r="AC2012" s="78"/>
      <c r="AD2012" s="78">
        <v>0</v>
      </c>
      <c r="AE2012" s="80">
        <f t="shared" si="255"/>
        <v>0</v>
      </c>
      <c r="AF2012" s="82">
        <v>0</v>
      </c>
      <c r="AG2012" s="69"/>
      <c r="AH2012" s="84"/>
      <c r="AI2012" s="69" t="s">
        <v>2009</v>
      </c>
      <c r="AJ2012" s="276" t="s">
        <v>2010</v>
      </c>
      <c r="AK2012" s="65"/>
      <c r="AL2012" s="272" t="s">
        <v>311</v>
      </c>
      <c r="AM2012" s="173"/>
      <c r="AN2012" s="159"/>
      <c r="AO2012" s="160"/>
      <c r="AP2012" s="161"/>
      <c r="AQ2012" s="160"/>
      <c r="AR2012" s="160"/>
      <c r="AS2012" s="160"/>
      <c r="AT2012" s="160"/>
      <c r="AU2012" s="160"/>
      <c r="AV2012" s="160"/>
      <c r="AW2012" s="160"/>
      <c r="AX2012" s="160"/>
      <c r="AY2012" s="160"/>
      <c r="AZ2012" s="160"/>
      <c r="BA2012" s="160"/>
      <c r="BB2012" s="160"/>
      <c r="BC2012" s="160"/>
      <c r="BD2012" s="160"/>
      <c r="BE2012" s="160"/>
      <c r="BF2012" s="160"/>
      <c r="BG2012" s="160"/>
      <c r="BH2012" s="160"/>
      <c r="BI2012" s="160"/>
      <c r="BJ2012" s="160"/>
      <c r="BK2012" s="160"/>
      <c r="BL2012" s="160"/>
      <c r="BM2012" s="160"/>
      <c r="BN2012" s="160"/>
      <c r="BO2012" s="160"/>
      <c r="BP2012" s="160"/>
      <c r="BQ2012" s="160"/>
      <c r="BR2012" s="160"/>
      <c r="BS2012" s="160"/>
      <c r="BT2012" s="160"/>
      <c r="BU2012" s="160"/>
      <c r="BV2012" s="160"/>
      <c r="BW2012" s="160"/>
      <c r="BX2012" s="160"/>
      <c r="BY2012" s="160"/>
      <c r="BZ2012" s="160"/>
      <c r="CA2012" s="160"/>
      <c r="CB2012" s="160"/>
      <c r="CC2012" s="160"/>
      <c r="CD2012" s="160"/>
      <c r="CE2012" s="160"/>
      <c r="CF2012" s="160"/>
      <c r="CG2012" s="160"/>
      <c r="CH2012" s="160"/>
      <c r="CI2012" s="160"/>
      <c r="CJ2012" s="160"/>
      <c r="CK2012" s="160"/>
      <c r="CL2012" s="160"/>
      <c r="CM2012" s="160"/>
      <c r="CN2012" s="160"/>
      <c r="CO2012" s="160"/>
      <c r="CP2012" s="162"/>
      <c r="CQ2012" s="163"/>
      <c r="CR2012" s="162"/>
      <c r="CS2012" s="163"/>
      <c r="CT2012" s="162"/>
      <c r="CU2012" s="163"/>
      <c r="CV2012" s="164">
        <f t="shared" si="253"/>
        <v>0</v>
      </c>
      <c r="CW2012" s="165"/>
      <c r="CX2012" s="166"/>
      <c r="CY2012" s="167"/>
      <c r="CZ2012" s="168"/>
      <c r="DA2012" s="169"/>
      <c r="DB2012" s="168"/>
      <c r="DC2012" s="165"/>
      <c r="DD2012" s="166"/>
      <c r="DE2012" s="71"/>
      <c r="DF2012" s="170"/>
      <c r="EO2012" s="375" t="str">
        <f t="shared" si="254"/>
        <v>CAUCA_SAN SEBASTIAN</v>
      </c>
      <c r="EP2012" s="376"/>
      <c r="EQ2012" s="376"/>
      <c r="ER2012" s="377"/>
      <c r="ES2012" s="376"/>
      <c r="ET2012" s="376"/>
      <c r="EU2012" s="376"/>
    </row>
    <row r="2013" spans="1:151" s="171" customFormat="1" ht="45" x14ac:dyDescent="0.2">
      <c r="A2013" s="242">
        <v>40515</v>
      </c>
      <c r="B2013" s="222" t="s">
        <v>1719</v>
      </c>
      <c r="C2013" s="222" t="s">
        <v>654</v>
      </c>
      <c r="D2013" s="430" t="s">
        <v>837</v>
      </c>
      <c r="E2013" s="107" t="str">
        <f>VLOOKUP(B2013&amp;C2013,Divipola!$C$2:$F$1138,4,FALSE)</f>
        <v>19701</v>
      </c>
      <c r="F2013" s="333"/>
      <c r="G2013" s="221"/>
      <c r="H2013" s="157"/>
      <c r="I2013" s="157"/>
      <c r="J2013" s="157">
        <f>150*5</f>
        <v>750</v>
      </c>
      <c r="K2013" s="157">
        <v>151</v>
      </c>
      <c r="L2013" s="157"/>
      <c r="M2013" s="157">
        <v>151</v>
      </c>
      <c r="N2013" s="157"/>
      <c r="O2013" s="157"/>
      <c r="P2013" s="157"/>
      <c r="Q2013" s="157">
        <v>1</v>
      </c>
      <c r="R2013" s="157"/>
      <c r="S2013" s="157"/>
      <c r="T2013" s="157"/>
      <c r="U2013" s="157"/>
      <c r="V2013" s="158">
        <v>50</v>
      </c>
      <c r="W2013" s="182" t="s">
        <v>771</v>
      </c>
      <c r="X2013" s="1"/>
      <c r="Y2013" s="78">
        <f t="shared" si="250"/>
        <v>0</v>
      </c>
      <c r="Z2013" s="78">
        <f t="shared" si="251"/>
        <v>0</v>
      </c>
      <c r="AA2013" s="78">
        <f t="shared" si="249"/>
        <v>0</v>
      </c>
      <c r="AB2013" s="78">
        <f t="shared" si="252"/>
        <v>0</v>
      </c>
      <c r="AC2013" s="78"/>
      <c r="AD2013" s="78">
        <v>0</v>
      </c>
      <c r="AE2013" s="80">
        <f t="shared" si="255"/>
        <v>0</v>
      </c>
      <c r="AF2013" s="82">
        <v>0</v>
      </c>
      <c r="AG2013" s="69"/>
      <c r="AH2013" s="84"/>
      <c r="AI2013" s="69" t="s">
        <v>2009</v>
      </c>
      <c r="AJ2013" s="276" t="s">
        <v>2010</v>
      </c>
      <c r="AK2013" s="65"/>
      <c r="AL2013" s="272" t="s">
        <v>311</v>
      </c>
      <c r="AM2013" s="173"/>
      <c r="AN2013" s="159"/>
      <c r="AO2013" s="160"/>
      <c r="AP2013" s="161"/>
      <c r="AQ2013" s="160"/>
      <c r="AR2013" s="160"/>
      <c r="AS2013" s="160"/>
      <c r="AT2013" s="160"/>
      <c r="AU2013" s="160"/>
      <c r="AV2013" s="160"/>
      <c r="AW2013" s="160"/>
      <c r="AX2013" s="160"/>
      <c r="AY2013" s="160"/>
      <c r="AZ2013" s="160"/>
      <c r="BA2013" s="160"/>
      <c r="BB2013" s="160"/>
      <c r="BC2013" s="160"/>
      <c r="BD2013" s="160"/>
      <c r="BE2013" s="160"/>
      <c r="BF2013" s="160"/>
      <c r="BG2013" s="160"/>
      <c r="BH2013" s="160"/>
      <c r="BI2013" s="160"/>
      <c r="BJ2013" s="160"/>
      <c r="BK2013" s="160"/>
      <c r="BL2013" s="160"/>
      <c r="BM2013" s="160"/>
      <c r="BN2013" s="160"/>
      <c r="BO2013" s="160"/>
      <c r="BP2013" s="160"/>
      <c r="BQ2013" s="160"/>
      <c r="BR2013" s="160"/>
      <c r="BS2013" s="160"/>
      <c r="BT2013" s="160"/>
      <c r="BU2013" s="160"/>
      <c r="BV2013" s="160"/>
      <c r="BW2013" s="160"/>
      <c r="BX2013" s="160"/>
      <c r="BY2013" s="160"/>
      <c r="BZ2013" s="160"/>
      <c r="CA2013" s="160"/>
      <c r="CB2013" s="160"/>
      <c r="CC2013" s="160"/>
      <c r="CD2013" s="160"/>
      <c r="CE2013" s="160"/>
      <c r="CF2013" s="160"/>
      <c r="CG2013" s="160"/>
      <c r="CH2013" s="160"/>
      <c r="CI2013" s="160"/>
      <c r="CJ2013" s="160"/>
      <c r="CK2013" s="160"/>
      <c r="CL2013" s="160"/>
      <c r="CM2013" s="160"/>
      <c r="CN2013" s="160"/>
      <c r="CO2013" s="160"/>
      <c r="CP2013" s="162"/>
      <c r="CQ2013" s="163"/>
      <c r="CR2013" s="162"/>
      <c r="CS2013" s="163"/>
      <c r="CT2013" s="162"/>
      <c r="CU2013" s="163"/>
      <c r="CV2013" s="164">
        <f t="shared" si="253"/>
        <v>0</v>
      </c>
      <c r="CW2013" s="165"/>
      <c r="CX2013" s="166"/>
      <c r="CY2013" s="167"/>
      <c r="CZ2013" s="168"/>
      <c r="DA2013" s="169"/>
      <c r="DB2013" s="168"/>
      <c r="DC2013" s="165"/>
      <c r="DD2013" s="166"/>
      <c r="DE2013" s="71"/>
      <c r="DF2013" s="170"/>
      <c r="EO2013" s="375" t="str">
        <f t="shared" si="254"/>
        <v>CAUCA_SANTA ROSA</v>
      </c>
      <c r="EP2013" s="376"/>
      <c r="EQ2013" s="376"/>
      <c r="ER2013" s="377"/>
      <c r="ES2013" s="376"/>
      <c r="ET2013" s="376"/>
      <c r="EU2013" s="376"/>
    </row>
    <row r="2014" spans="1:151" s="171" customFormat="1" ht="51" x14ac:dyDescent="0.2">
      <c r="A2014" s="242">
        <v>40515</v>
      </c>
      <c r="B2014" s="222" t="s">
        <v>1719</v>
      </c>
      <c r="C2014" s="222" t="s">
        <v>772</v>
      </c>
      <c r="D2014" s="430" t="s">
        <v>837</v>
      </c>
      <c r="E2014" s="107" t="str">
        <f>VLOOKUP(B2014&amp;C2014,Divipola!$C$2:$F$1138,4,FALSE)</f>
        <v>19698</v>
      </c>
      <c r="F2014" s="333"/>
      <c r="G2014" s="221"/>
      <c r="H2014" s="157"/>
      <c r="I2014" s="157"/>
      <c r="J2014" s="157">
        <f>669*5</f>
        <v>3345</v>
      </c>
      <c r="K2014" s="157">
        <v>669</v>
      </c>
      <c r="L2014" s="157"/>
      <c r="M2014" s="157">
        <v>547</v>
      </c>
      <c r="N2014" s="157"/>
      <c r="O2014" s="157"/>
      <c r="P2014" s="157"/>
      <c r="Q2014" s="157">
        <v>1</v>
      </c>
      <c r="R2014" s="157"/>
      <c r="S2014" s="157"/>
      <c r="T2014" s="157"/>
      <c r="U2014" s="157"/>
      <c r="V2014" s="158">
        <v>151.25</v>
      </c>
      <c r="W2014" s="182" t="s">
        <v>773</v>
      </c>
      <c r="X2014" s="1"/>
      <c r="Y2014" s="78">
        <f t="shared" si="250"/>
        <v>0</v>
      </c>
      <c r="Z2014" s="78">
        <f t="shared" si="251"/>
        <v>0</v>
      </c>
      <c r="AA2014" s="78">
        <f t="shared" si="249"/>
        <v>0</v>
      </c>
      <c r="AB2014" s="78">
        <f t="shared" si="252"/>
        <v>0</v>
      </c>
      <c r="AC2014" s="78"/>
      <c r="AD2014" s="78">
        <v>0</v>
      </c>
      <c r="AE2014" s="80">
        <f t="shared" si="255"/>
        <v>0</v>
      </c>
      <c r="AF2014" s="82">
        <v>0</v>
      </c>
      <c r="AG2014" s="69"/>
      <c r="AH2014" s="84"/>
      <c r="AI2014" s="69" t="s">
        <v>2009</v>
      </c>
      <c r="AJ2014" s="276" t="s">
        <v>2010</v>
      </c>
      <c r="AK2014" s="65"/>
      <c r="AL2014" s="272" t="s">
        <v>311</v>
      </c>
      <c r="AM2014" s="173"/>
      <c r="AN2014" s="159"/>
      <c r="AO2014" s="160"/>
      <c r="AP2014" s="161"/>
      <c r="AQ2014" s="160"/>
      <c r="AR2014" s="160"/>
      <c r="AS2014" s="160"/>
      <c r="AT2014" s="160"/>
      <c r="AU2014" s="160"/>
      <c r="AV2014" s="160"/>
      <c r="AW2014" s="160"/>
      <c r="AX2014" s="160"/>
      <c r="AY2014" s="160"/>
      <c r="AZ2014" s="160"/>
      <c r="BA2014" s="160"/>
      <c r="BB2014" s="160"/>
      <c r="BC2014" s="160"/>
      <c r="BD2014" s="160"/>
      <c r="BE2014" s="160"/>
      <c r="BF2014" s="160"/>
      <c r="BG2014" s="160"/>
      <c r="BH2014" s="160"/>
      <c r="BI2014" s="160"/>
      <c r="BJ2014" s="160"/>
      <c r="BK2014" s="160"/>
      <c r="BL2014" s="160"/>
      <c r="BM2014" s="160"/>
      <c r="BN2014" s="160"/>
      <c r="BO2014" s="160"/>
      <c r="BP2014" s="160"/>
      <c r="BQ2014" s="160"/>
      <c r="BR2014" s="160"/>
      <c r="BS2014" s="160"/>
      <c r="BT2014" s="160"/>
      <c r="BU2014" s="160"/>
      <c r="BV2014" s="160"/>
      <c r="BW2014" s="160"/>
      <c r="BX2014" s="160"/>
      <c r="BY2014" s="160"/>
      <c r="BZ2014" s="160"/>
      <c r="CA2014" s="160"/>
      <c r="CB2014" s="160"/>
      <c r="CC2014" s="160"/>
      <c r="CD2014" s="160"/>
      <c r="CE2014" s="160"/>
      <c r="CF2014" s="160"/>
      <c r="CG2014" s="160"/>
      <c r="CH2014" s="160"/>
      <c r="CI2014" s="160"/>
      <c r="CJ2014" s="160"/>
      <c r="CK2014" s="160"/>
      <c r="CL2014" s="160"/>
      <c r="CM2014" s="160"/>
      <c r="CN2014" s="160"/>
      <c r="CO2014" s="160"/>
      <c r="CP2014" s="162"/>
      <c r="CQ2014" s="163"/>
      <c r="CR2014" s="162"/>
      <c r="CS2014" s="163"/>
      <c r="CT2014" s="162"/>
      <c r="CU2014" s="163"/>
      <c r="CV2014" s="164">
        <f t="shared" si="253"/>
        <v>0</v>
      </c>
      <c r="CW2014" s="165"/>
      <c r="CX2014" s="166"/>
      <c r="CY2014" s="167"/>
      <c r="CZ2014" s="168"/>
      <c r="DA2014" s="169"/>
      <c r="DB2014" s="168"/>
      <c r="DC2014" s="165"/>
      <c r="DD2014" s="166"/>
      <c r="DE2014" s="71"/>
      <c r="DF2014" s="170"/>
      <c r="EO2014" s="375" t="str">
        <f t="shared" si="254"/>
        <v>CAUCA_SANTANDER DE QUILICHAO</v>
      </c>
      <c r="EP2014" s="376"/>
      <c r="EQ2014" s="376"/>
      <c r="ER2014" s="377"/>
      <c r="ES2014" s="376"/>
      <c r="ET2014" s="376"/>
      <c r="EU2014" s="376"/>
    </row>
    <row r="2015" spans="1:151" s="171" customFormat="1" ht="45" x14ac:dyDescent="0.2">
      <c r="A2015" s="242">
        <v>40515</v>
      </c>
      <c r="B2015" s="222" t="s">
        <v>1719</v>
      </c>
      <c r="C2015" s="222" t="s">
        <v>861</v>
      </c>
      <c r="D2015" s="430" t="s">
        <v>2307</v>
      </c>
      <c r="E2015" s="107" t="str">
        <f>VLOOKUP(B2015&amp;C2015,Divipola!$C$2:$F$1138,4,FALSE)</f>
        <v>19743</v>
      </c>
      <c r="F2015" s="333"/>
      <c r="G2015" s="221"/>
      <c r="H2015" s="157"/>
      <c r="I2015" s="157"/>
      <c r="J2015" s="157">
        <f>500*4</f>
        <v>2000</v>
      </c>
      <c r="K2015" s="157">
        <v>500</v>
      </c>
      <c r="L2015" s="157"/>
      <c r="M2015" s="157">
        <v>500</v>
      </c>
      <c r="N2015" s="157"/>
      <c r="O2015" s="157"/>
      <c r="P2015" s="157"/>
      <c r="Q2015" s="157">
        <v>1</v>
      </c>
      <c r="R2015" s="157"/>
      <c r="S2015" s="157"/>
      <c r="T2015" s="157"/>
      <c r="U2015" s="157"/>
      <c r="V2015" s="158">
        <v>94.5</v>
      </c>
      <c r="W2015" s="182" t="s">
        <v>774</v>
      </c>
      <c r="X2015" s="1"/>
      <c r="Y2015" s="78">
        <f t="shared" si="250"/>
        <v>0</v>
      </c>
      <c r="Z2015" s="78">
        <f t="shared" si="251"/>
        <v>0</v>
      </c>
      <c r="AA2015" s="78">
        <f t="shared" si="249"/>
        <v>0</v>
      </c>
      <c r="AB2015" s="78">
        <f t="shared" si="252"/>
        <v>0</v>
      </c>
      <c r="AC2015" s="78"/>
      <c r="AD2015" s="78">
        <v>0</v>
      </c>
      <c r="AE2015" s="80">
        <f t="shared" si="255"/>
        <v>0</v>
      </c>
      <c r="AF2015" s="82">
        <v>0</v>
      </c>
      <c r="AG2015" s="69"/>
      <c r="AH2015" s="84"/>
      <c r="AI2015" s="69" t="s">
        <v>2009</v>
      </c>
      <c r="AJ2015" s="276" t="s">
        <v>2010</v>
      </c>
      <c r="AK2015" s="65"/>
      <c r="AL2015" s="272" t="s">
        <v>311</v>
      </c>
      <c r="AM2015" s="173"/>
      <c r="AN2015" s="159"/>
      <c r="AO2015" s="160"/>
      <c r="AP2015" s="161"/>
      <c r="AQ2015" s="160"/>
      <c r="AR2015" s="160"/>
      <c r="AS2015" s="160"/>
      <c r="AT2015" s="160"/>
      <c r="AU2015" s="160"/>
      <c r="AV2015" s="160"/>
      <c r="AW2015" s="160"/>
      <c r="AX2015" s="160"/>
      <c r="AY2015" s="160"/>
      <c r="AZ2015" s="160"/>
      <c r="BA2015" s="160"/>
      <c r="BB2015" s="160"/>
      <c r="BC2015" s="160"/>
      <c r="BD2015" s="160"/>
      <c r="BE2015" s="160"/>
      <c r="BF2015" s="160"/>
      <c r="BG2015" s="160"/>
      <c r="BH2015" s="160"/>
      <c r="BI2015" s="160"/>
      <c r="BJ2015" s="160"/>
      <c r="BK2015" s="160"/>
      <c r="BL2015" s="160"/>
      <c r="BM2015" s="160"/>
      <c r="BN2015" s="160"/>
      <c r="BO2015" s="160"/>
      <c r="BP2015" s="160"/>
      <c r="BQ2015" s="160"/>
      <c r="BR2015" s="160"/>
      <c r="BS2015" s="160"/>
      <c r="BT2015" s="160"/>
      <c r="BU2015" s="160"/>
      <c r="BV2015" s="160"/>
      <c r="BW2015" s="160"/>
      <c r="BX2015" s="160"/>
      <c r="BY2015" s="160"/>
      <c r="BZ2015" s="160"/>
      <c r="CA2015" s="160"/>
      <c r="CB2015" s="160"/>
      <c r="CC2015" s="160"/>
      <c r="CD2015" s="160"/>
      <c r="CE2015" s="160"/>
      <c r="CF2015" s="160"/>
      <c r="CG2015" s="160"/>
      <c r="CH2015" s="160"/>
      <c r="CI2015" s="160"/>
      <c r="CJ2015" s="160"/>
      <c r="CK2015" s="160"/>
      <c r="CL2015" s="160"/>
      <c r="CM2015" s="160"/>
      <c r="CN2015" s="160"/>
      <c r="CO2015" s="160"/>
      <c r="CP2015" s="162"/>
      <c r="CQ2015" s="163"/>
      <c r="CR2015" s="162"/>
      <c r="CS2015" s="163"/>
      <c r="CT2015" s="162"/>
      <c r="CU2015" s="163"/>
      <c r="CV2015" s="164">
        <f t="shared" si="253"/>
        <v>0</v>
      </c>
      <c r="CW2015" s="165"/>
      <c r="CX2015" s="166"/>
      <c r="CY2015" s="167"/>
      <c r="CZ2015" s="168"/>
      <c r="DA2015" s="169"/>
      <c r="DB2015" s="168"/>
      <c r="DC2015" s="165"/>
      <c r="DD2015" s="166"/>
      <c r="DE2015" s="71"/>
      <c r="DF2015" s="170"/>
      <c r="EO2015" s="375" t="str">
        <f t="shared" si="254"/>
        <v>CAUCA_SILVIA</v>
      </c>
      <c r="EP2015" s="376"/>
      <c r="EQ2015" s="376"/>
      <c r="ER2015" s="377"/>
      <c r="ES2015" s="376"/>
      <c r="ET2015" s="376"/>
      <c r="EU2015" s="376"/>
    </row>
    <row r="2016" spans="1:151" s="171" customFormat="1" ht="45" x14ac:dyDescent="0.2">
      <c r="A2016" s="242">
        <v>40515</v>
      </c>
      <c r="B2016" s="222" t="s">
        <v>1719</v>
      </c>
      <c r="C2016" s="222" t="s">
        <v>2372</v>
      </c>
      <c r="D2016" s="430" t="s">
        <v>2307</v>
      </c>
      <c r="E2016" s="107" t="str">
        <f>VLOOKUP(B2016&amp;C2016,Divipola!$C$2:$F$1138,4,FALSE)</f>
        <v>19785</v>
      </c>
      <c r="F2016" s="333"/>
      <c r="G2016" s="221"/>
      <c r="H2016" s="157"/>
      <c r="I2016" s="157"/>
      <c r="J2016" s="157">
        <f>1276*5</f>
        <v>6380</v>
      </c>
      <c r="K2016" s="157">
        <v>1276</v>
      </c>
      <c r="L2016" s="157"/>
      <c r="M2016" s="157">
        <v>1276</v>
      </c>
      <c r="N2016" s="157"/>
      <c r="O2016" s="157"/>
      <c r="P2016" s="157"/>
      <c r="Q2016" s="157"/>
      <c r="R2016" s="157"/>
      <c r="S2016" s="157"/>
      <c r="T2016" s="157"/>
      <c r="U2016" s="157"/>
      <c r="V2016" s="158">
        <v>9115</v>
      </c>
      <c r="W2016" s="182" t="s">
        <v>776</v>
      </c>
      <c r="X2016" s="1"/>
      <c r="Y2016" s="78">
        <f t="shared" si="250"/>
        <v>0</v>
      </c>
      <c r="Z2016" s="78">
        <f t="shared" si="251"/>
        <v>0</v>
      </c>
      <c r="AA2016" s="78">
        <f t="shared" si="249"/>
        <v>0</v>
      </c>
      <c r="AB2016" s="78">
        <f t="shared" si="252"/>
        <v>0</v>
      </c>
      <c r="AC2016" s="78"/>
      <c r="AD2016" s="78">
        <v>0</v>
      </c>
      <c r="AE2016" s="80">
        <f t="shared" si="255"/>
        <v>0</v>
      </c>
      <c r="AF2016" s="82">
        <v>0</v>
      </c>
      <c r="AG2016" s="69"/>
      <c r="AH2016" s="84"/>
      <c r="AI2016" s="69" t="s">
        <v>2009</v>
      </c>
      <c r="AJ2016" s="276" t="s">
        <v>2010</v>
      </c>
      <c r="AK2016" s="65"/>
      <c r="AL2016" s="272" t="s">
        <v>311</v>
      </c>
      <c r="AM2016" s="173"/>
      <c r="AN2016" s="159"/>
      <c r="AO2016" s="160"/>
      <c r="AP2016" s="161"/>
      <c r="AQ2016" s="160"/>
      <c r="AR2016" s="160"/>
      <c r="AS2016" s="160"/>
      <c r="AT2016" s="160"/>
      <c r="AU2016" s="160"/>
      <c r="AV2016" s="160"/>
      <c r="AW2016" s="160"/>
      <c r="AX2016" s="160"/>
      <c r="AY2016" s="160"/>
      <c r="AZ2016" s="160"/>
      <c r="BA2016" s="160"/>
      <c r="BB2016" s="160"/>
      <c r="BC2016" s="160"/>
      <c r="BD2016" s="160"/>
      <c r="BE2016" s="160"/>
      <c r="BF2016" s="160"/>
      <c r="BG2016" s="160"/>
      <c r="BH2016" s="160"/>
      <c r="BI2016" s="160"/>
      <c r="BJ2016" s="160"/>
      <c r="BK2016" s="160"/>
      <c r="BL2016" s="160"/>
      <c r="BM2016" s="160"/>
      <c r="BN2016" s="160"/>
      <c r="BO2016" s="160"/>
      <c r="BP2016" s="160"/>
      <c r="BQ2016" s="160"/>
      <c r="BR2016" s="160"/>
      <c r="BS2016" s="160"/>
      <c r="BT2016" s="160"/>
      <c r="BU2016" s="160"/>
      <c r="BV2016" s="160"/>
      <c r="BW2016" s="160"/>
      <c r="BX2016" s="160"/>
      <c r="BY2016" s="160"/>
      <c r="BZ2016" s="160"/>
      <c r="CA2016" s="160"/>
      <c r="CB2016" s="160"/>
      <c r="CC2016" s="160"/>
      <c r="CD2016" s="160"/>
      <c r="CE2016" s="160"/>
      <c r="CF2016" s="160"/>
      <c r="CG2016" s="160"/>
      <c r="CH2016" s="160"/>
      <c r="CI2016" s="160"/>
      <c r="CJ2016" s="160"/>
      <c r="CK2016" s="160"/>
      <c r="CL2016" s="160"/>
      <c r="CM2016" s="160"/>
      <c r="CN2016" s="160"/>
      <c r="CO2016" s="160"/>
      <c r="CP2016" s="162"/>
      <c r="CQ2016" s="163"/>
      <c r="CR2016" s="162"/>
      <c r="CS2016" s="163"/>
      <c r="CT2016" s="162"/>
      <c r="CU2016" s="163"/>
      <c r="CV2016" s="164">
        <f t="shared" si="253"/>
        <v>0</v>
      </c>
      <c r="CW2016" s="165"/>
      <c r="CX2016" s="166"/>
      <c r="CY2016" s="167"/>
      <c r="CZ2016" s="168"/>
      <c r="DA2016" s="169"/>
      <c r="DB2016" s="168"/>
      <c r="DC2016" s="165"/>
      <c r="DD2016" s="166"/>
      <c r="DE2016" s="71"/>
      <c r="DF2016" s="170"/>
      <c r="EO2016" s="375" t="str">
        <f t="shared" si="254"/>
        <v>CAUCA_SUCRE</v>
      </c>
      <c r="EP2016" s="376"/>
      <c r="EQ2016" s="376"/>
      <c r="ER2016" s="377"/>
      <c r="ES2016" s="376"/>
      <c r="ET2016" s="376"/>
      <c r="EU2016" s="376"/>
    </row>
    <row r="2017" spans="1:151" s="171" customFormat="1" ht="45" x14ac:dyDescent="0.2">
      <c r="A2017" s="242">
        <v>40515</v>
      </c>
      <c r="B2017" s="222" t="s">
        <v>1719</v>
      </c>
      <c r="C2017" s="222" t="s">
        <v>92</v>
      </c>
      <c r="D2017" s="430" t="s">
        <v>2307</v>
      </c>
      <c r="E2017" s="107" t="str">
        <f>VLOOKUP(B2017&amp;C2017,Divipola!$C$2:$F$1138,4,FALSE)</f>
        <v>19809</v>
      </c>
      <c r="F2017" s="333"/>
      <c r="G2017" s="221"/>
      <c r="H2017" s="157"/>
      <c r="I2017" s="157"/>
      <c r="J2017" s="157">
        <f>1306*5</f>
        <v>6530</v>
      </c>
      <c r="K2017" s="157">
        <v>1306</v>
      </c>
      <c r="L2017" s="157"/>
      <c r="M2017" s="157">
        <v>145</v>
      </c>
      <c r="N2017" s="157"/>
      <c r="O2017" s="157"/>
      <c r="P2017" s="157"/>
      <c r="Q2017" s="157">
        <v>8</v>
      </c>
      <c r="R2017" s="157"/>
      <c r="S2017" s="157"/>
      <c r="T2017" s="157"/>
      <c r="U2017" s="157"/>
      <c r="V2017" s="158">
        <v>2514.6999999999998</v>
      </c>
      <c r="W2017" s="182" t="s">
        <v>778</v>
      </c>
      <c r="X2017" s="1"/>
      <c r="Y2017" s="78">
        <f t="shared" si="250"/>
        <v>0</v>
      </c>
      <c r="Z2017" s="78">
        <f t="shared" si="251"/>
        <v>0</v>
      </c>
      <c r="AA2017" s="78">
        <f t="shared" si="249"/>
        <v>0</v>
      </c>
      <c r="AB2017" s="78">
        <f t="shared" si="252"/>
        <v>0</v>
      </c>
      <c r="AC2017" s="78"/>
      <c r="AD2017" s="78">
        <v>0</v>
      </c>
      <c r="AE2017" s="80">
        <f t="shared" si="255"/>
        <v>0</v>
      </c>
      <c r="AF2017" s="82">
        <v>0</v>
      </c>
      <c r="AG2017" s="69"/>
      <c r="AH2017" s="84"/>
      <c r="AI2017" s="69" t="s">
        <v>2009</v>
      </c>
      <c r="AJ2017" s="276" t="s">
        <v>2010</v>
      </c>
      <c r="AK2017" s="65"/>
      <c r="AL2017" s="272" t="s">
        <v>311</v>
      </c>
      <c r="AM2017" s="173"/>
      <c r="AN2017" s="159"/>
      <c r="AO2017" s="160"/>
      <c r="AP2017" s="161"/>
      <c r="AQ2017" s="160"/>
      <c r="AR2017" s="160"/>
      <c r="AS2017" s="160"/>
      <c r="AT2017" s="160"/>
      <c r="AU2017" s="160"/>
      <c r="AV2017" s="160"/>
      <c r="AW2017" s="160"/>
      <c r="AX2017" s="160"/>
      <c r="AY2017" s="160"/>
      <c r="AZ2017" s="160"/>
      <c r="BA2017" s="160"/>
      <c r="BB2017" s="160"/>
      <c r="BC2017" s="160"/>
      <c r="BD2017" s="160"/>
      <c r="BE2017" s="160"/>
      <c r="BF2017" s="160"/>
      <c r="BG2017" s="160"/>
      <c r="BH2017" s="160"/>
      <c r="BI2017" s="160"/>
      <c r="BJ2017" s="160"/>
      <c r="BK2017" s="160"/>
      <c r="BL2017" s="160"/>
      <c r="BM2017" s="160"/>
      <c r="BN2017" s="160"/>
      <c r="BO2017" s="160"/>
      <c r="BP2017" s="160"/>
      <c r="BQ2017" s="160"/>
      <c r="BR2017" s="160"/>
      <c r="BS2017" s="160"/>
      <c r="BT2017" s="160"/>
      <c r="BU2017" s="160"/>
      <c r="BV2017" s="160"/>
      <c r="BW2017" s="160"/>
      <c r="BX2017" s="160"/>
      <c r="BY2017" s="160"/>
      <c r="BZ2017" s="160"/>
      <c r="CA2017" s="160"/>
      <c r="CB2017" s="160"/>
      <c r="CC2017" s="160"/>
      <c r="CD2017" s="160"/>
      <c r="CE2017" s="160"/>
      <c r="CF2017" s="160"/>
      <c r="CG2017" s="160"/>
      <c r="CH2017" s="160"/>
      <c r="CI2017" s="160"/>
      <c r="CJ2017" s="160"/>
      <c r="CK2017" s="160"/>
      <c r="CL2017" s="160"/>
      <c r="CM2017" s="160"/>
      <c r="CN2017" s="160"/>
      <c r="CO2017" s="160"/>
      <c r="CP2017" s="162"/>
      <c r="CQ2017" s="163"/>
      <c r="CR2017" s="162"/>
      <c r="CS2017" s="163"/>
      <c r="CT2017" s="162"/>
      <c r="CU2017" s="163"/>
      <c r="CV2017" s="164">
        <f t="shared" si="253"/>
        <v>0</v>
      </c>
      <c r="CW2017" s="165"/>
      <c r="CX2017" s="166"/>
      <c r="CY2017" s="167"/>
      <c r="CZ2017" s="168"/>
      <c r="DA2017" s="169"/>
      <c r="DB2017" s="168"/>
      <c r="DC2017" s="165"/>
      <c r="DD2017" s="166"/>
      <c r="DE2017" s="71"/>
      <c r="DF2017" s="170"/>
      <c r="EO2017" s="375" t="str">
        <f t="shared" si="254"/>
        <v>CAUCA_TIMBIQUI</v>
      </c>
      <c r="EP2017" s="376"/>
      <c r="EQ2017" s="376"/>
      <c r="ER2017" s="377"/>
      <c r="ES2017" s="376"/>
      <c r="ET2017" s="376"/>
      <c r="EU2017" s="376"/>
    </row>
    <row r="2018" spans="1:151" s="171" customFormat="1" ht="45" x14ac:dyDescent="0.2">
      <c r="A2018" s="242">
        <v>40515</v>
      </c>
      <c r="B2018" s="222" t="s">
        <v>1719</v>
      </c>
      <c r="C2018" s="222" t="s">
        <v>779</v>
      </c>
      <c r="D2018" s="430" t="s">
        <v>2307</v>
      </c>
      <c r="E2018" s="107" t="str">
        <f>VLOOKUP(B2018&amp;C2018,Divipola!$C$2:$F$1138,4,FALSE)</f>
        <v>19821</v>
      </c>
      <c r="F2018" s="333"/>
      <c r="G2018" s="221"/>
      <c r="H2018" s="157"/>
      <c r="I2018" s="157"/>
      <c r="J2018" s="157">
        <f>459*5</f>
        <v>2295</v>
      </c>
      <c r="K2018" s="157">
        <v>459</v>
      </c>
      <c r="L2018" s="157"/>
      <c r="M2018" s="157">
        <v>420</v>
      </c>
      <c r="N2018" s="157"/>
      <c r="O2018" s="157"/>
      <c r="P2018" s="157"/>
      <c r="Q2018" s="157"/>
      <c r="R2018" s="157"/>
      <c r="S2018" s="157"/>
      <c r="T2018" s="157"/>
      <c r="U2018" s="157"/>
      <c r="V2018" s="158">
        <v>6.41</v>
      </c>
      <c r="W2018" s="182" t="s">
        <v>780</v>
      </c>
      <c r="X2018" s="1"/>
      <c r="Y2018" s="78">
        <f t="shared" si="250"/>
        <v>0</v>
      </c>
      <c r="Z2018" s="78">
        <f t="shared" si="251"/>
        <v>0</v>
      </c>
      <c r="AA2018" s="78">
        <f t="shared" si="249"/>
        <v>0</v>
      </c>
      <c r="AB2018" s="78">
        <f t="shared" si="252"/>
        <v>0</v>
      </c>
      <c r="AC2018" s="78"/>
      <c r="AD2018" s="78">
        <v>0</v>
      </c>
      <c r="AE2018" s="80">
        <f t="shared" si="255"/>
        <v>0</v>
      </c>
      <c r="AF2018" s="82">
        <v>0</v>
      </c>
      <c r="AG2018" s="69"/>
      <c r="AH2018" s="84"/>
      <c r="AI2018" s="69" t="s">
        <v>2009</v>
      </c>
      <c r="AJ2018" s="276" t="s">
        <v>2010</v>
      </c>
      <c r="AK2018" s="65"/>
      <c r="AL2018" s="272" t="s">
        <v>311</v>
      </c>
      <c r="AM2018" s="173"/>
      <c r="AN2018" s="159"/>
      <c r="AO2018" s="160"/>
      <c r="AP2018" s="161"/>
      <c r="AQ2018" s="160"/>
      <c r="AR2018" s="160"/>
      <c r="AS2018" s="160"/>
      <c r="AT2018" s="160"/>
      <c r="AU2018" s="160"/>
      <c r="AV2018" s="160"/>
      <c r="AW2018" s="160"/>
      <c r="AX2018" s="160"/>
      <c r="AY2018" s="160"/>
      <c r="AZ2018" s="160"/>
      <c r="BA2018" s="160"/>
      <c r="BB2018" s="160"/>
      <c r="BC2018" s="160"/>
      <c r="BD2018" s="160"/>
      <c r="BE2018" s="160"/>
      <c r="BF2018" s="160"/>
      <c r="BG2018" s="160"/>
      <c r="BH2018" s="160"/>
      <c r="BI2018" s="160"/>
      <c r="BJ2018" s="160"/>
      <c r="BK2018" s="160"/>
      <c r="BL2018" s="160"/>
      <c r="BM2018" s="160"/>
      <c r="BN2018" s="160"/>
      <c r="BO2018" s="160"/>
      <c r="BP2018" s="160"/>
      <c r="BQ2018" s="160"/>
      <c r="BR2018" s="160"/>
      <c r="BS2018" s="160"/>
      <c r="BT2018" s="160"/>
      <c r="BU2018" s="160"/>
      <c r="BV2018" s="160"/>
      <c r="BW2018" s="160"/>
      <c r="BX2018" s="160"/>
      <c r="BY2018" s="160"/>
      <c r="BZ2018" s="160"/>
      <c r="CA2018" s="160"/>
      <c r="CB2018" s="160"/>
      <c r="CC2018" s="160"/>
      <c r="CD2018" s="160"/>
      <c r="CE2018" s="160"/>
      <c r="CF2018" s="160"/>
      <c r="CG2018" s="160"/>
      <c r="CH2018" s="160"/>
      <c r="CI2018" s="160"/>
      <c r="CJ2018" s="160"/>
      <c r="CK2018" s="160"/>
      <c r="CL2018" s="160"/>
      <c r="CM2018" s="160"/>
      <c r="CN2018" s="160"/>
      <c r="CO2018" s="160"/>
      <c r="CP2018" s="162"/>
      <c r="CQ2018" s="163"/>
      <c r="CR2018" s="162"/>
      <c r="CS2018" s="163"/>
      <c r="CT2018" s="162"/>
      <c r="CU2018" s="163"/>
      <c r="CV2018" s="164">
        <f t="shared" si="253"/>
        <v>0</v>
      </c>
      <c r="CW2018" s="165"/>
      <c r="CX2018" s="166"/>
      <c r="CY2018" s="167"/>
      <c r="CZ2018" s="168"/>
      <c r="DA2018" s="169"/>
      <c r="DB2018" s="168"/>
      <c r="DC2018" s="165"/>
      <c r="DD2018" s="166"/>
      <c r="DE2018" s="71"/>
      <c r="DF2018" s="170"/>
      <c r="EO2018" s="375" t="str">
        <f t="shared" si="254"/>
        <v>CAUCA_TORIBIO</v>
      </c>
      <c r="EP2018" s="376"/>
      <c r="EQ2018" s="376"/>
      <c r="ER2018" s="377"/>
      <c r="ES2018" s="376"/>
      <c r="ET2018" s="376"/>
      <c r="EU2018" s="376"/>
    </row>
    <row r="2019" spans="1:151" s="171" customFormat="1" ht="45" x14ac:dyDescent="0.2">
      <c r="A2019" s="242">
        <v>40515</v>
      </c>
      <c r="B2019" s="222" t="s">
        <v>1719</v>
      </c>
      <c r="C2019" s="222" t="s">
        <v>3159</v>
      </c>
      <c r="D2019" s="430" t="s">
        <v>2307</v>
      </c>
      <c r="E2019" s="107" t="str">
        <f>VLOOKUP(B2019&amp;C2019,Divipola!$C$2:$F$1138,4,FALSE)</f>
        <v>19845</v>
      </c>
      <c r="F2019" s="333"/>
      <c r="G2019" s="221"/>
      <c r="H2019" s="157"/>
      <c r="I2019" s="157"/>
      <c r="J2019" s="157">
        <f>83*5</f>
        <v>415</v>
      </c>
      <c r="K2019" s="157">
        <f>453-215-155</f>
        <v>83</v>
      </c>
      <c r="L2019" s="157"/>
      <c r="M2019" s="157">
        <v>83</v>
      </c>
      <c r="N2019" s="157"/>
      <c r="O2019" s="157"/>
      <c r="P2019" s="157"/>
      <c r="Q2019" s="157">
        <v>2</v>
      </c>
      <c r="R2019" s="157"/>
      <c r="S2019" s="157"/>
      <c r="T2019" s="157"/>
      <c r="U2019" s="157"/>
      <c r="V2019" s="158">
        <v>37</v>
      </c>
      <c r="W2019" s="182" t="s">
        <v>781</v>
      </c>
      <c r="X2019" s="1"/>
      <c r="Y2019" s="78">
        <f t="shared" si="250"/>
        <v>0</v>
      </c>
      <c r="Z2019" s="78">
        <f t="shared" si="251"/>
        <v>0</v>
      </c>
      <c r="AA2019" s="78">
        <f t="shared" si="249"/>
        <v>0</v>
      </c>
      <c r="AB2019" s="78">
        <f t="shared" si="252"/>
        <v>0</v>
      </c>
      <c r="AC2019" s="78"/>
      <c r="AD2019" s="78">
        <v>0</v>
      </c>
      <c r="AE2019" s="80">
        <f t="shared" si="255"/>
        <v>0</v>
      </c>
      <c r="AF2019" s="82">
        <v>0</v>
      </c>
      <c r="AG2019" s="69"/>
      <c r="AH2019" s="84"/>
      <c r="AI2019" s="69" t="s">
        <v>2009</v>
      </c>
      <c r="AJ2019" s="276" t="s">
        <v>2010</v>
      </c>
      <c r="AK2019" s="65"/>
      <c r="AL2019" s="272" t="s">
        <v>311</v>
      </c>
      <c r="AM2019" s="173"/>
      <c r="AN2019" s="159"/>
      <c r="AO2019" s="160"/>
      <c r="AP2019" s="161"/>
      <c r="AQ2019" s="160"/>
      <c r="AR2019" s="160"/>
      <c r="AS2019" s="160"/>
      <c r="AT2019" s="160"/>
      <c r="AU2019" s="160"/>
      <c r="AV2019" s="160"/>
      <c r="AW2019" s="160"/>
      <c r="AX2019" s="160"/>
      <c r="AY2019" s="160"/>
      <c r="AZ2019" s="160"/>
      <c r="BA2019" s="160"/>
      <c r="BB2019" s="160"/>
      <c r="BC2019" s="160"/>
      <c r="BD2019" s="160"/>
      <c r="BE2019" s="160"/>
      <c r="BF2019" s="160"/>
      <c r="BG2019" s="160"/>
      <c r="BH2019" s="160"/>
      <c r="BI2019" s="160"/>
      <c r="BJ2019" s="160"/>
      <c r="BK2019" s="160"/>
      <c r="BL2019" s="160"/>
      <c r="BM2019" s="160"/>
      <c r="BN2019" s="160"/>
      <c r="BO2019" s="160"/>
      <c r="BP2019" s="160"/>
      <c r="BQ2019" s="160"/>
      <c r="BR2019" s="160"/>
      <c r="BS2019" s="160"/>
      <c r="BT2019" s="160"/>
      <c r="BU2019" s="160"/>
      <c r="BV2019" s="160"/>
      <c r="BW2019" s="160"/>
      <c r="BX2019" s="160"/>
      <c r="BY2019" s="160"/>
      <c r="BZ2019" s="160"/>
      <c r="CA2019" s="160"/>
      <c r="CB2019" s="160"/>
      <c r="CC2019" s="160"/>
      <c r="CD2019" s="160"/>
      <c r="CE2019" s="160"/>
      <c r="CF2019" s="160"/>
      <c r="CG2019" s="160"/>
      <c r="CH2019" s="160"/>
      <c r="CI2019" s="160"/>
      <c r="CJ2019" s="160"/>
      <c r="CK2019" s="160"/>
      <c r="CL2019" s="160"/>
      <c r="CM2019" s="160"/>
      <c r="CN2019" s="160"/>
      <c r="CO2019" s="160"/>
      <c r="CP2019" s="162"/>
      <c r="CQ2019" s="163"/>
      <c r="CR2019" s="162"/>
      <c r="CS2019" s="163"/>
      <c r="CT2019" s="162"/>
      <c r="CU2019" s="163"/>
      <c r="CV2019" s="164">
        <f t="shared" si="253"/>
        <v>0</v>
      </c>
      <c r="CW2019" s="165"/>
      <c r="CX2019" s="166"/>
      <c r="CY2019" s="167"/>
      <c r="CZ2019" s="168"/>
      <c r="DA2019" s="169"/>
      <c r="DB2019" s="168"/>
      <c r="DC2019" s="165"/>
      <c r="DD2019" s="166"/>
      <c r="DE2019" s="71"/>
      <c r="DF2019" s="170"/>
      <c r="EO2019" s="375" t="str">
        <f t="shared" si="254"/>
        <v>CAUCA_VILLA RICA</v>
      </c>
      <c r="EP2019" s="376"/>
      <c r="EQ2019" s="376"/>
      <c r="ER2019" s="377"/>
      <c r="ES2019" s="376"/>
      <c r="ET2019" s="376"/>
      <c r="EU2019" s="376"/>
    </row>
    <row r="2020" spans="1:151" s="171" customFormat="1" ht="25.5" x14ac:dyDescent="0.2">
      <c r="A2020" s="242">
        <v>40515</v>
      </c>
      <c r="B2020" s="222" t="s">
        <v>2242</v>
      </c>
      <c r="C2020" s="222" t="s">
        <v>1790</v>
      </c>
      <c r="D2020" s="430" t="s">
        <v>837</v>
      </c>
      <c r="E2020" s="107" t="str">
        <f>VLOOKUP(B2020&amp;C2020,Divipola!$C$2:$F$1138,4,FALSE)</f>
        <v>20228</v>
      </c>
      <c r="F2020" s="333"/>
      <c r="G2020" s="221"/>
      <c r="H2020" s="157"/>
      <c r="I2020" s="157"/>
      <c r="J2020" s="157">
        <f>920*5</f>
        <v>4600</v>
      </c>
      <c r="K2020" s="157">
        <f>1258-27-46-84-181</f>
        <v>920</v>
      </c>
      <c r="L2020" s="157"/>
      <c r="M2020" s="157">
        <v>22</v>
      </c>
      <c r="N2020" s="157"/>
      <c r="O2020" s="157"/>
      <c r="P2020" s="157"/>
      <c r="Q2020" s="157"/>
      <c r="R2020" s="157"/>
      <c r="S2020" s="157"/>
      <c r="T2020" s="157"/>
      <c r="U2020" s="157"/>
      <c r="V2020" s="158"/>
      <c r="W2020" s="182"/>
      <c r="X2020" s="1"/>
      <c r="Y2020" s="78">
        <f t="shared" si="250"/>
        <v>0</v>
      </c>
      <c r="Z2020" s="78">
        <f t="shared" si="251"/>
        <v>0</v>
      </c>
      <c r="AA2020" s="78">
        <f t="shared" si="249"/>
        <v>0</v>
      </c>
      <c r="AB2020" s="78">
        <f t="shared" si="252"/>
        <v>0</v>
      </c>
      <c r="AC2020" s="78"/>
      <c r="AD2020" s="78">
        <v>0</v>
      </c>
      <c r="AE2020" s="80">
        <f t="shared" si="255"/>
        <v>0</v>
      </c>
      <c r="AF2020" s="82">
        <v>0</v>
      </c>
      <c r="AG2020" s="69">
        <v>40515</v>
      </c>
      <c r="AH2020" s="84"/>
      <c r="AI2020" s="69" t="s">
        <v>1984</v>
      </c>
      <c r="AJ2020" s="25" t="s">
        <v>1985</v>
      </c>
      <c r="AK2020" s="65"/>
      <c r="AL2020" s="176" t="s">
        <v>1257</v>
      </c>
      <c r="AM2020" s="173" t="s">
        <v>586</v>
      </c>
      <c r="AN2020" s="159"/>
      <c r="AO2020" s="160"/>
      <c r="AP2020" s="161"/>
      <c r="AQ2020" s="160"/>
      <c r="AR2020" s="160"/>
      <c r="AS2020" s="160"/>
      <c r="AT2020" s="160"/>
      <c r="AU2020" s="160"/>
      <c r="AV2020" s="160"/>
      <c r="AW2020" s="160"/>
      <c r="AX2020" s="160"/>
      <c r="AY2020" s="160"/>
      <c r="AZ2020" s="160"/>
      <c r="BA2020" s="160"/>
      <c r="BB2020" s="160"/>
      <c r="BC2020" s="160"/>
      <c r="BD2020" s="160"/>
      <c r="BE2020" s="160"/>
      <c r="BF2020" s="160"/>
      <c r="BG2020" s="160"/>
      <c r="BH2020" s="160"/>
      <c r="BI2020" s="160"/>
      <c r="BJ2020" s="160"/>
      <c r="BK2020" s="160"/>
      <c r="BL2020" s="160"/>
      <c r="BM2020" s="160"/>
      <c r="BN2020" s="160"/>
      <c r="BO2020" s="160"/>
      <c r="BP2020" s="160"/>
      <c r="BQ2020" s="160"/>
      <c r="BR2020" s="160"/>
      <c r="BS2020" s="160"/>
      <c r="BT2020" s="160"/>
      <c r="BU2020" s="160"/>
      <c r="BV2020" s="160"/>
      <c r="BW2020" s="160"/>
      <c r="BX2020" s="160"/>
      <c r="BY2020" s="160"/>
      <c r="BZ2020" s="160"/>
      <c r="CA2020" s="160"/>
      <c r="CB2020" s="160"/>
      <c r="CC2020" s="160"/>
      <c r="CD2020" s="160"/>
      <c r="CE2020" s="160"/>
      <c r="CF2020" s="160"/>
      <c r="CG2020" s="160"/>
      <c r="CH2020" s="160"/>
      <c r="CI2020" s="160"/>
      <c r="CJ2020" s="160"/>
      <c r="CK2020" s="160"/>
      <c r="CL2020" s="160"/>
      <c r="CM2020" s="160"/>
      <c r="CN2020" s="160"/>
      <c r="CO2020" s="160"/>
      <c r="CP2020" s="162"/>
      <c r="CQ2020" s="163"/>
      <c r="CR2020" s="162"/>
      <c r="CS2020" s="163"/>
      <c r="CT2020" s="162"/>
      <c r="CU2020" s="163"/>
      <c r="CV2020" s="164">
        <f t="shared" si="253"/>
        <v>0</v>
      </c>
      <c r="CW2020" s="165"/>
      <c r="CX2020" s="166"/>
      <c r="CY2020" s="167"/>
      <c r="CZ2020" s="168"/>
      <c r="DA2020" s="169"/>
      <c r="DB2020" s="168"/>
      <c r="DC2020" s="165"/>
      <c r="DD2020" s="166"/>
      <c r="DE2020" s="71"/>
      <c r="DF2020" s="170"/>
      <c r="EO2020" s="375" t="str">
        <f t="shared" si="254"/>
        <v>CESAR_CURUMANI</v>
      </c>
      <c r="EP2020" s="376"/>
      <c r="EQ2020" s="376"/>
      <c r="ER2020" s="377"/>
      <c r="ES2020" s="376"/>
      <c r="ET2020" s="376"/>
      <c r="EU2020" s="376"/>
    </row>
    <row r="2021" spans="1:151" s="171" customFormat="1" ht="38.25" x14ac:dyDescent="0.2">
      <c r="A2021" s="242">
        <v>40515</v>
      </c>
      <c r="B2021" s="222" t="s">
        <v>2007</v>
      </c>
      <c r="C2021" s="222" t="s">
        <v>2910</v>
      </c>
      <c r="D2021" s="430" t="s">
        <v>837</v>
      </c>
      <c r="E2021" s="107" t="str">
        <f>VLOOKUP(B2021&amp;C2021,Divipola!$C$2:$F$1138,4,FALSE)</f>
        <v>25151</v>
      </c>
      <c r="F2021" s="333"/>
      <c r="G2021" s="221"/>
      <c r="H2021" s="157"/>
      <c r="I2021" s="157"/>
      <c r="J2021" s="157"/>
      <c r="K2021" s="157"/>
      <c r="L2021" s="157"/>
      <c r="M2021" s="157"/>
      <c r="N2021" s="157"/>
      <c r="O2021" s="157"/>
      <c r="P2021" s="157"/>
      <c r="Q2021" s="157"/>
      <c r="R2021" s="157"/>
      <c r="S2021" s="157"/>
      <c r="T2021" s="157"/>
      <c r="U2021" s="157"/>
      <c r="V2021" s="158"/>
      <c r="W2021" s="182" t="s">
        <v>571</v>
      </c>
      <c r="X2021" s="1"/>
      <c r="Y2021" s="78">
        <f t="shared" si="250"/>
        <v>0</v>
      </c>
      <c r="Z2021" s="78">
        <f t="shared" si="251"/>
        <v>0</v>
      </c>
      <c r="AA2021" s="78">
        <f t="shared" si="249"/>
        <v>0</v>
      </c>
      <c r="AB2021" s="78">
        <f t="shared" si="252"/>
        <v>0</v>
      </c>
      <c r="AC2021" s="78"/>
      <c r="AD2021" s="78">
        <v>0</v>
      </c>
      <c r="AE2021" s="80">
        <f t="shared" si="255"/>
        <v>0</v>
      </c>
      <c r="AF2021" s="82">
        <v>0</v>
      </c>
      <c r="AG2021" s="69">
        <v>40515</v>
      </c>
      <c r="AH2021" s="84"/>
      <c r="AI2021" s="69" t="s">
        <v>1984</v>
      </c>
      <c r="AJ2021" s="25" t="s">
        <v>1985</v>
      </c>
      <c r="AK2021" s="65"/>
      <c r="AL2021" s="176" t="s">
        <v>1257</v>
      </c>
      <c r="AM2021" s="173" t="s">
        <v>570</v>
      </c>
      <c r="AN2021" s="159"/>
      <c r="AO2021" s="160"/>
      <c r="AP2021" s="161"/>
      <c r="AQ2021" s="160"/>
      <c r="AR2021" s="160"/>
      <c r="AS2021" s="160"/>
      <c r="AT2021" s="160"/>
      <c r="AU2021" s="160"/>
      <c r="AV2021" s="160"/>
      <c r="AW2021" s="160"/>
      <c r="AX2021" s="160"/>
      <c r="AY2021" s="160"/>
      <c r="AZ2021" s="160"/>
      <c r="BA2021" s="160"/>
      <c r="BB2021" s="160"/>
      <c r="BC2021" s="160"/>
      <c r="BD2021" s="160"/>
      <c r="BE2021" s="160"/>
      <c r="BF2021" s="160"/>
      <c r="BG2021" s="160"/>
      <c r="BH2021" s="160"/>
      <c r="BI2021" s="160"/>
      <c r="BJ2021" s="160"/>
      <c r="BK2021" s="160"/>
      <c r="BL2021" s="160"/>
      <c r="BM2021" s="160"/>
      <c r="BN2021" s="160"/>
      <c r="BO2021" s="160"/>
      <c r="BP2021" s="160"/>
      <c r="BQ2021" s="160"/>
      <c r="BR2021" s="160"/>
      <c r="BS2021" s="160"/>
      <c r="BT2021" s="160"/>
      <c r="BU2021" s="160"/>
      <c r="BV2021" s="160"/>
      <c r="BW2021" s="160"/>
      <c r="BX2021" s="160"/>
      <c r="BY2021" s="160"/>
      <c r="BZ2021" s="160"/>
      <c r="CA2021" s="160"/>
      <c r="CB2021" s="160"/>
      <c r="CC2021" s="160"/>
      <c r="CD2021" s="160"/>
      <c r="CE2021" s="160"/>
      <c r="CF2021" s="160"/>
      <c r="CG2021" s="160"/>
      <c r="CH2021" s="160"/>
      <c r="CI2021" s="160"/>
      <c r="CJ2021" s="160"/>
      <c r="CK2021" s="160"/>
      <c r="CL2021" s="160"/>
      <c r="CM2021" s="160"/>
      <c r="CN2021" s="160"/>
      <c r="CO2021" s="160"/>
      <c r="CP2021" s="162"/>
      <c r="CQ2021" s="163"/>
      <c r="CR2021" s="162"/>
      <c r="CS2021" s="163"/>
      <c r="CT2021" s="162"/>
      <c r="CU2021" s="163"/>
      <c r="CV2021" s="164">
        <f t="shared" si="253"/>
        <v>0</v>
      </c>
      <c r="CW2021" s="165"/>
      <c r="CX2021" s="166"/>
      <c r="CY2021" s="167"/>
      <c r="CZ2021" s="168"/>
      <c r="DA2021" s="169"/>
      <c r="DB2021" s="168"/>
      <c r="DC2021" s="165"/>
      <c r="DD2021" s="166"/>
      <c r="DE2021" s="71"/>
      <c r="DF2021" s="170"/>
      <c r="EO2021" s="375" t="str">
        <f t="shared" si="254"/>
        <v>CUNDINAMARCA_CAQUEZA</v>
      </c>
      <c r="EP2021" s="376"/>
      <c r="EQ2021" s="376"/>
      <c r="ER2021" s="377"/>
      <c r="ES2021" s="376"/>
      <c r="ET2021" s="376"/>
      <c r="EU2021" s="376"/>
    </row>
    <row r="2022" spans="1:151" s="171" customFormat="1" ht="38.25" x14ac:dyDescent="0.2">
      <c r="A2022" s="242">
        <v>40515</v>
      </c>
      <c r="B2022" s="222" t="s">
        <v>2007</v>
      </c>
      <c r="C2022" s="222" t="s">
        <v>572</v>
      </c>
      <c r="D2022" s="430" t="s">
        <v>2307</v>
      </c>
      <c r="E2022" s="107" t="str">
        <f>VLOOKUP(B2022&amp;C2022,Divipola!$C$2:$F$1138,4,FALSE)</f>
        <v>25518</v>
      </c>
      <c r="F2022" s="333"/>
      <c r="G2022" s="221"/>
      <c r="H2022" s="157"/>
      <c r="I2022" s="157"/>
      <c r="J2022" s="157">
        <v>820</v>
      </c>
      <c r="K2022" s="157">
        <v>330</v>
      </c>
      <c r="L2022" s="157"/>
      <c r="M2022" s="157"/>
      <c r="N2022" s="157">
        <v>2</v>
      </c>
      <c r="O2022" s="157"/>
      <c r="P2022" s="157"/>
      <c r="Q2022" s="157">
        <v>1</v>
      </c>
      <c r="R2022" s="157"/>
      <c r="S2022" s="157"/>
      <c r="T2022" s="157"/>
      <c r="U2022" s="157"/>
      <c r="V2022" s="158"/>
      <c r="W2022" s="182" t="s">
        <v>574</v>
      </c>
      <c r="X2022" s="1"/>
      <c r="Y2022" s="78">
        <f t="shared" si="250"/>
        <v>0</v>
      </c>
      <c r="Z2022" s="78">
        <f t="shared" si="251"/>
        <v>0</v>
      </c>
      <c r="AA2022" s="78">
        <f t="shared" si="249"/>
        <v>0</v>
      </c>
      <c r="AB2022" s="78">
        <f t="shared" si="252"/>
        <v>0</v>
      </c>
      <c r="AC2022" s="78"/>
      <c r="AD2022" s="78">
        <v>0</v>
      </c>
      <c r="AE2022" s="80">
        <f t="shared" si="255"/>
        <v>0</v>
      </c>
      <c r="AF2022" s="82">
        <v>0</v>
      </c>
      <c r="AG2022" s="242">
        <v>40515</v>
      </c>
      <c r="AH2022" s="84"/>
      <c r="AI2022" s="69" t="s">
        <v>1984</v>
      </c>
      <c r="AJ2022" s="25" t="s">
        <v>1985</v>
      </c>
      <c r="AK2022" s="65"/>
      <c r="AL2022" s="176" t="s">
        <v>1257</v>
      </c>
      <c r="AM2022" s="173" t="s">
        <v>573</v>
      </c>
      <c r="AN2022" s="159"/>
      <c r="AO2022" s="160"/>
      <c r="AP2022" s="161"/>
      <c r="AQ2022" s="160"/>
      <c r="AR2022" s="160"/>
      <c r="AS2022" s="160"/>
      <c r="AT2022" s="160"/>
      <c r="AU2022" s="160"/>
      <c r="AV2022" s="160"/>
      <c r="AW2022" s="160"/>
      <c r="AX2022" s="160"/>
      <c r="AY2022" s="160"/>
      <c r="AZ2022" s="160"/>
      <c r="BA2022" s="160"/>
      <c r="BB2022" s="160"/>
      <c r="BC2022" s="160"/>
      <c r="BD2022" s="160"/>
      <c r="BE2022" s="160"/>
      <c r="BF2022" s="160"/>
      <c r="BG2022" s="160"/>
      <c r="BH2022" s="160"/>
      <c r="BI2022" s="160"/>
      <c r="BJ2022" s="160"/>
      <c r="BK2022" s="160"/>
      <c r="BL2022" s="160"/>
      <c r="BM2022" s="160"/>
      <c r="BN2022" s="160"/>
      <c r="BO2022" s="160"/>
      <c r="BP2022" s="160"/>
      <c r="BQ2022" s="160"/>
      <c r="BR2022" s="160"/>
      <c r="BS2022" s="160"/>
      <c r="BT2022" s="160"/>
      <c r="BU2022" s="160"/>
      <c r="BV2022" s="160"/>
      <c r="BW2022" s="160"/>
      <c r="BX2022" s="160"/>
      <c r="BY2022" s="160"/>
      <c r="BZ2022" s="160"/>
      <c r="CA2022" s="160"/>
      <c r="CB2022" s="160"/>
      <c r="CC2022" s="160"/>
      <c r="CD2022" s="160"/>
      <c r="CE2022" s="160"/>
      <c r="CF2022" s="160"/>
      <c r="CG2022" s="160"/>
      <c r="CH2022" s="160"/>
      <c r="CI2022" s="160"/>
      <c r="CJ2022" s="160"/>
      <c r="CK2022" s="160"/>
      <c r="CL2022" s="160"/>
      <c r="CM2022" s="160"/>
      <c r="CN2022" s="160"/>
      <c r="CO2022" s="160"/>
      <c r="CP2022" s="162"/>
      <c r="CQ2022" s="163"/>
      <c r="CR2022" s="162"/>
      <c r="CS2022" s="163"/>
      <c r="CT2022" s="162"/>
      <c r="CU2022" s="163"/>
      <c r="CV2022" s="164">
        <f t="shared" si="253"/>
        <v>0</v>
      </c>
      <c r="CW2022" s="165"/>
      <c r="CX2022" s="166"/>
      <c r="CY2022" s="167"/>
      <c r="CZ2022" s="168"/>
      <c r="DA2022" s="169"/>
      <c r="DB2022" s="168"/>
      <c r="DC2022" s="165"/>
      <c r="DD2022" s="166"/>
      <c r="DE2022" s="71"/>
      <c r="DF2022" s="170"/>
      <c r="EO2022" s="375" t="str">
        <f t="shared" si="254"/>
        <v>CUNDINAMARCA_PAIME</v>
      </c>
      <c r="EP2022" s="376"/>
      <c r="EQ2022" s="376"/>
      <c r="ER2022" s="377"/>
      <c r="ES2022" s="376"/>
      <c r="ET2022" s="376"/>
      <c r="EU2022" s="376"/>
    </row>
    <row r="2023" spans="1:151" s="171" customFormat="1" ht="45" x14ac:dyDescent="0.2">
      <c r="A2023" s="242">
        <v>40515</v>
      </c>
      <c r="B2023" s="222" t="s">
        <v>1333</v>
      </c>
      <c r="C2023" s="222" t="s">
        <v>1315</v>
      </c>
      <c r="D2023" s="430" t="s">
        <v>837</v>
      </c>
      <c r="E2023" s="107" t="str">
        <f>VLOOKUP(B2023&amp;C2023,Divipola!$C$2:$F$1138,4,FALSE)</f>
        <v>41016</v>
      </c>
      <c r="F2023" s="333"/>
      <c r="G2023" s="221"/>
      <c r="H2023" s="157"/>
      <c r="I2023" s="157"/>
      <c r="J2023" s="157">
        <v>15</v>
      </c>
      <c r="K2023" s="157">
        <v>3</v>
      </c>
      <c r="L2023" s="157"/>
      <c r="M2023" s="157">
        <v>3</v>
      </c>
      <c r="N2023" s="157"/>
      <c r="O2023" s="157"/>
      <c r="P2023" s="157"/>
      <c r="Q2023" s="157"/>
      <c r="R2023" s="157"/>
      <c r="S2023" s="157"/>
      <c r="T2023" s="157"/>
      <c r="U2023" s="157"/>
      <c r="V2023" s="158"/>
      <c r="W2023" s="182"/>
      <c r="X2023" s="1"/>
      <c r="Y2023" s="78">
        <f t="shared" si="250"/>
        <v>0</v>
      </c>
      <c r="Z2023" s="78">
        <f t="shared" si="251"/>
        <v>0</v>
      </c>
      <c r="AA2023" s="78">
        <f t="shared" si="249"/>
        <v>0</v>
      </c>
      <c r="AB2023" s="78">
        <f t="shared" si="252"/>
        <v>0</v>
      </c>
      <c r="AC2023" s="78"/>
      <c r="AD2023" s="78">
        <v>0</v>
      </c>
      <c r="AE2023" s="80">
        <f t="shared" si="255"/>
        <v>0</v>
      </c>
      <c r="AF2023" s="82">
        <v>0</v>
      </c>
      <c r="AG2023" s="242">
        <v>40515</v>
      </c>
      <c r="AH2023" s="84"/>
      <c r="AI2023" s="69" t="s">
        <v>2009</v>
      </c>
      <c r="AJ2023" s="276" t="s">
        <v>2010</v>
      </c>
      <c r="AK2023" s="65"/>
      <c r="AL2023" s="272" t="s">
        <v>311</v>
      </c>
      <c r="AM2023" s="173" t="s">
        <v>2974</v>
      </c>
      <c r="AN2023" s="159"/>
      <c r="AO2023" s="160"/>
      <c r="AP2023" s="161"/>
      <c r="AQ2023" s="160"/>
      <c r="AR2023" s="160"/>
      <c r="AS2023" s="160"/>
      <c r="AT2023" s="160"/>
      <c r="AU2023" s="160"/>
      <c r="AV2023" s="160"/>
      <c r="AW2023" s="160"/>
      <c r="AX2023" s="160"/>
      <c r="AY2023" s="160"/>
      <c r="AZ2023" s="160"/>
      <c r="BA2023" s="160"/>
      <c r="BB2023" s="160"/>
      <c r="BC2023" s="160"/>
      <c r="BD2023" s="160"/>
      <c r="BE2023" s="160"/>
      <c r="BF2023" s="160"/>
      <c r="BG2023" s="160"/>
      <c r="BH2023" s="160"/>
      <c r="BI2023" s="160"/>
      <c r="BJ2023" s="160"/>
      <c r="BK2023" s="160"/>
      <c r="BL2023" s="160"/>
      <c r="BM2023" s="160"/>
      <c r="BN2023" s="160"/>
      <c r="BO2023" s="160"/>
      <c r="BP2023" s="160"/>
      <c r="BQ2023" s="160"/>
      <c r="BR2023" s="160"/>
      <c r="BS2023" s="160"/>
      <c r="BT2023" s="160"/>
      <c r="BU2023" s="160"/>
      <c r="BV2023" s="160"/>
      <c r="BW2023" s="160"/>
      <c r="BX2023" s="160"/>
      <c r="BY2023" s="160"/>
      <c r="BZ2023" s="160"/>
      <c r="CA2023" s="160"/>
      <c r="CB2023" s="160"/>
      <c r="CC2023" s="160"/>
      <c r="CD2023" s="160"/>
      <c r="CE2023" s="160"/>
      <c r="CF2023" s="160"/>
      <c r="CG2023" s="160"/>
      <c r="CH2023" s="160"/>
      <c r="CI2023" s="160"/>
      <c r="CJ2023" s="160"/>
      <c r="CK2023" s="160"/>
      <c r="CL2023" s="160"/>
      <c r="CM2023" s="160"/>
      <c r="CN2023" s="160"/>
      <c r="CO2023" s="160"/>
      <c r="CP2023" s="162"/>
      <c r="CQ2023" s="163"/>
      <c r="CR2023" s="162"/>
      <c r="CS2023" s="163"/>
      <c r="CT2023" s="162"/>
      <c r="CU2023" s="163"/>
      <c r="CV2023" s="164">
        <f t="shared" si="253"/>
        <v>0</v>
      </c>
      <c r="CW2023" s="165"/>
      <c r="CX2023" s="166"/>
      <c r="CY2023" s="167"/>
      <c r="CZ2023" s="168"/>
      <c r="DA2023" s="169"/>
      <c r="DB2023" s="168"/>
      <c r="DC2023" s="165"/>
      <c r="DD2023" s="166"/>
      <c r="DE2023" s="71"/>
      <c r="DF2023" s="170"/>
      <c r="EO2023" s="375" t="str">
        <f t="shared" si="254"/>
        <v>HUILA_AIPE</v>
      </c>
      <c r="EP2023" s="376"/>
      <c r="EQ2023" s="376"/>
      <c r="ER2023" s="377"/>
      <c r="ES2023" s="376"/>
      <c r="ET2023" s="376"/>
      <c r="EU2023" s="376"/>
    </row>
    <row r="2024" spans="1:151" s="171" customFormat="1" ht="45" x14ac:dyDescent="0.2">
      <c r="A2024" s="242">
        <v>40515</v>
      </c>
      <c r="B2024" s="222" t="s">
        <v>1333</v>
      </c>
      <c r="C2024" s="222" t="s">
        <v>139</v>
      </c>
      <c r="D2024" s="430" t="s">
        <v>2307</v>
      </c>
      <c r="E2024" s="107" t="str">
        <f>VLOOKUP(B2024&amp;C2024,Divipola!$C$2:$F$1138,4,FALSE)</f>
        <v>41518</v>
      </c>
      <c r="F2024" s="333"/>
      <c r="G2024" s="221"/>
      <c r="H2024" s="157"/>
      <c r="I2024" s="157"/>
      <c r="J2024" s="157"/>
      <c r="K2024" s="157"/>
      <c r="L2024" s="157"/>
      <c r="M2024" s="157"/>
      <c r="N2024" s="157">
        <v>2</v>
      </c>
      <c r="O2024" s="157"/>
      <c r="P2024" s="157"/>
      <c r="Q2024" s="157"/>
      <c r="R2024" s="157"/>
      <c r="S2024" s="157"/>
      <c r="T2024" s="157"/>
      <c r="U2024" s="157"/>
      <c r="V2024" s="158"/>
      <c r="W2024" s="182"/>
      <c r="X2024" s="1"/>
      <c r="Y2024" s="78">
        <f t="shared" si="250"/>
        <v>0</v>
      </c>
      <c r="Z2024" s="78">
        <f t="shared" si="251"/>
        <v>0</v>
      </c>
      <c r="AA2024" s="78">
        <f t="shared" si="249"/>
        <v>0</v>
      </c>
      <c r="AB2024" s="78">
        <f t="shared" si="252"/>
        <v>0</v>
      </c>
      <c r="AC2024" s="78"/>
      <c r="AD2024" s="78">
        <v>0</v>
      </c>
      <c r="AE2024" s="80">
        <f t="shared" si="255"/>
        <v>0</v>
      </c>
      <c r="AF2024" s="82">
        <v>0</v>
      </c>
      <c r="AG2024" s="242">
        <v>40515</v>
      </c>
      <c r="AH2024" s="84"/>
      <c r="AI2024" s="69" t="s">
        <v>2009</v>
      </c>
      <c r="AJ2024" s="276" t="s">
        <v>2010</v>
      </c>
      <c r="AK2024" s="65"/>
      <c r="AL2024" s="272" t="s">
        <v>311</v>
      </c>
      <c r="AM2024" s="173" t="s">
        <v>907</v>
      </c>
      <c r="AN2024" s="159"/>
      <c r="AO2024" s="160"/>
      <c r="AP2024" s="161"/>
      <c r="AQ2024" s="160"/>
      <c r="AR2024" s="160"/>
      <c r="AS2024" s="160"/>
      <c r="AT2024" s="160"/>
      <c r="AU2024" s="160"/>
      <c r="AV2024" s="160"/>
      <c r="AW2024" s="160"/>
      <c r="AX2024" s="160"/>
      <c r="AY2024" s="160"/>
      <c r="AZ2024" s="160"/>
      <c r="BA2024" s="160"/>
      <c r="BB2024" s="160"/>
      <c r="BC2024" s="160"/>
      <c r="BD2024" s="160"/>
      <c r="BE2024" s="160"/>
      <c r="BF2024" s="160"/>
      <c r="BG2024" s="160"/>
      <c r="BH2024" s="160"/>
      <c r="BI2024" s="160"/>
      <c r="BJ2024" s="160"/>
      <c r="BK2024" s="160"/>
      <c r="BL2024" s="160"/>
      <c r="BM2024" s="160"/>
      <c r="BN2024" s="160"/>
      <c r="BO2024" s="160"/>
      <c r="BP2024" s="160"/>
      <c r="BQ2024" s="160"/>
      <c r="BR2024" s="160"/>
      <c r="BS2024" s="160"/>
      <c r="BT2024" s="160"/>
      <c r="BU2024" s="160"/>
      <c r="BV2024" s="160"/>
      <c r="BW2024" s="160"/>
      <c r="BX2024" s="160"/>
      <c r="BY2024" s="160"/>
      <c r="BZ2024" s="160"/>
      <c r="CA2024" s="160"/>
      <c r="CB2024" s="160"/>
      <c r="CC2024" s="160"/>
      <c r="CD2024" s="160"/>
      <c r="CE2024" s="160"/>
      <c r="CF2024" s="160"/>
      <c r="CG2024" s="160"/>
      <c r="CH2024" s="160"/>
      <c r="CI2024" s="160"/>
      <c r="CJ2024" s="160"/>
      <c r="CK2024" s="160"/>
      <c r="CL2024" s="160"/>
      <c r="CM2024" s="160"/>
      <c r="CN2024" s="160"/>
      <c r="CO2024" s="160"/>
      <c r="CP2024" s="162"/>
      <c r="CQ2024" s="163"/>
      <c r="CR2024" s="162"/>
      <c r="CS2024" s="163"/>
      <c r="CT2024" s="162"/>
      <c r="CU2024" s="163"/>
      <c r="CV2024" s="164">
        <f t="shared" si="253"/>
        <v>0</v>
      </c>
      <c r="CW2024" s="165"/>
      <c r="CX2024" s="166"/>
      <c r="CY2024" s="167"/>
      <c r="CZ2024" s="168"/>
      <c r="DA2024" s="169"/>
      <c r="DB2024" s="168"/>
      <c r="DC2024" s="165"/>
      <c r="DD2024" s="166"/>
      <c r="DE2024" s="71"/>
      <c r="DF2024" s="170"/>
      <c r="EO2024" s="375" t="str">
        <f t="shared" si="254"/>
        <v>HUILA_PAICOL</v>
      </c>
      <c r="EP2024" s="376"/>
      <c r="EQ2024" s="376"/>
      <c r="ER2024" s="377"/>
      <c r="ES2024" s="376"/>
      <c r="ET2024" s="376"/>
      <c r="EU2024" s="376"/>
    </row>
    <row r="2025" spans="1:151" s="171" customFormat="1" ht="51" x14ac:dyDescent="0.2">
      <c r="A2025" s="242">
        <v>40515</v>
      </c>
      <c r="B2025" s="222" t="s">
        <v>1336</v>
      </c>
      <c r="C2025" s="222" t="s">
        <v>657</v>
      </c>
      <c r="D2025" s="430" t="s">
        <v>2307</v>
      </c>
      <c r="E2025" s="107" t="str">
        <f>VLOOKUP(B2025&amp;C2025,Divipola!$C$2:$F$1138,4,FALSE)</f>
        <v>54245</v>
      </c>
      <c r="F2025" s="333"/>
      <c r="G2025" s="221"/>
      <c r="H2025" s="157"/>
      <c r="I2025" s="157"/>
      <c r="J2025" s="157">
        <v>20</v>
      </c>
      <c r="K2025" s="157">
        <v>4</v>
      </c>
      <c r="L2025" s="157">
        <v>2</v>
      </c>
      <c r="M2025" s="157">
        <v>2</v>
      </c>
      <c r="N2025" s="157"/>
      <c r="O2025" s="157"/>
      <c r="P2025" s="157"/>
      <c r="Q2025" s="157"/>
      <c r="R2025" s="157"/>
      <c r="S2025" s="157"/>
      <c r="T2025" s="157"/>
      <c r="U2025" s="157"/>
      <c r="V2025" s="158"/>
      <c r="W2025" s="182"/>
      <c r="X2025" s="1"/>
      <c r="Y2025" s="78">
        <f t="shared" si="250"/>
        <v>0</v>
      </c>
      <c r="Z2025" s="78">
        <f t="shared" si="251"/>
        <v>0</v>
      </c>
      <c r="AA2025" s="78">
        <f t="shared" si="249"/>
        <v>0</v>
      </c>
      <c r="AB2025" s="78">
        <f t="shared" si="252"/>
        <v>0</v>
      </c>
      <c r="AC2025" s="78"/>
      <c r="AD2025" s="78">
        <v>0</v>
      </c>
      <c r="AE2025" s="80">
        <f t="shared" si="255"/>
        <v>0</v>
      </c>
      <c r="AF2025" s="82">
        <v>0</v>
      </c>
      <c r="AG2025" s="69">
        <v>40529</v>
      </c>
      <c r="AH2025" s="84"/>
      <c r="AI2025" s="69" t="s">
        <v>2009</v>
      </c>
      <c r="AJ2025" s="276" t="s">
        <v>2010</v>
      </c>
      <c r="AK2025" s="65"/>
      <c r="AL2025" s="272" t="s">
        <v>311</v>
      </c>
      <c r="AM2025" s="173" t="s">
        <v>585</v>
      </c>
      <c r="AN2025" s="159"/>
      <c r="AO2025" s="160"/>
      <c r="AP2025" s="161"/>
      <c r="AQ2025" s="160"/>
      <c r="AR2025" s="160"/>
      <c r="AS2025" s="160"/>
      <c r="AT2025" s="160"/>
      <c r="AU2025" s="160"/>
      <c r="AV2025" s="160"/>
      <c r="AW2025" s="160"/>
      <c r="AX2025" s="160"/>
      <c r="AY2025" s="160"/>
      <c r="AZ2025" s="160"/>
      <c r="BA2025" s="160"/>
      <c r="BB2025" s="160"/>
      <c r="BC2025" s="160"/>
      <c r="BD2025" s="160"/>
      <c r="BE2025" s="160"/>
      <c r="BF2025" s="160"/>
      <c r="BG2025" s="160"/>
      <c r="BH2025" s="160"/>
      <c r="BI2025" s="160"/>
      <c r="BJ2025" s="160"/>
      <c r="BK2025" s="160"/>
      <c r="BL2025" s="160"/>
      <c r="BM2025" s="160"/>
      <c r="BN2025" s="160"/>
      <c r="BO2025" s="160"/>
      <c r="BP2025" s="160"/>
      <c r="BQ2025" s="160"/>
      <c r="BR2025" s="160"/>
      <c r="BS2025" s="160"/>
      <c r="BT2025" s="160"/>
      <c r="BU2025" s="160"/>
      <c r="BV2025" s="160"/>
      <c r="BW2025" s="160"/>
      <c r="BX2025" s="160"/>
      <c r="BY2025" s="160"/>
      <c r="BZ2025" s="160"/>
      <c r="CA2025" s="160"/>
      <c r="CB2025" s="160"/>
      <c r="CC2025" s="160"/>
      <c r="CD2025" s="160"/>
      <c r="CE2025" s="160"/>
      <c r="CF2025" s="160"/>
      <c r="CG2025" s="160"/>
      <c r="CH2025" s="160"/>
      <c r="CI2025" s="160"/>
      <c r="CJ2025" s="160"/>
      <c r="CK2025" s="160"/>
      <c r="CL2025" s="160"/>
      <c r="CM2025" s="160"/>
      <c r="CN2025" s="160"/>
      <c r="CO2025" s="160"/>
      <c r="CP2025" s="162"/>
      <c r="CQ2025" s="163"/>
      <c r="CR2025" s="162"/>
      <c r="CS2025" s="163"/>
      <c r="CT2025" s="162"/>
      <c r="CU2025" s="163"/>
      <c r="CV2025" s="164">
        <f t="shared" si="253"/>
        <v>0</v>
      </c>
      <c r="CW2025" s="165"/>
      <c r="CX2025" s="166"/>
      <c r="CY2025" s="167"/>
      <c r="CZ2025" s="168"/>
      <c r="DA2025" s="169"/>
      <c r="DB2025" s="168"/>
      <c r="DC2025" s="165"/>
      <c r="DD2025" s="166"/>
      <c r="DE2025" s="71"/>
      <c r="DF2025" s="170"/>
      <c r="EO2025" s="375" t="str">
        <f t="shared" si="254"/>
        <v>NORTE DE SANTANDER_EL CARMEN</v>
      </c>
      <c r="EP2025" s="376"/>
      <c r="EQ2025" s="376"/>
      <c r="ER2025" s="377"/>
      <c r="ES2025" s="376"/>
      <c r="ET2025" s="376"/>
      <c r="EU2025" s="376"/>
    </row>
    <row r="2026" spans="1:151" s="171" customFormat="1" ht="45" x14ac:dyDescent="0.2">
      <c r="A2026" s="242">
        <v>40515</v>
      </c>
      <c r="B2026" s="222" t="s">
        <v>1336</v>
      </c>
      <c r="C2026" s="222" t="s">
        <v>1423</v>
      </c>
      <c r="D2026" s="430" t="s">
        <v>2307</v>
      </c>
      <c r="E2026" s="107" t="str">
        <f>VLOOKUP(B2026&amp;C2026,Divipola!$C$2:$F$1138,4,FALSE)</f>
        <v>54347</v>
      </c>
      <c r="F2026" s="333"/>
      <c r="G2026" s="221"/>
      <c r="H2026" s="157"/>
      <c r="I2026" s="288"/>
      <c r="J2026" s="288">
        <v>20</v>
      </c>
      <c r="K2026" s="288">
        <v>4</v>
      </c>
      <c r="L2026" s="288">
        <v>1</v>
      </c>
      <c r="M2026" s="288">
        <v>3</v>
      </c>
      <c r="N2026" s="288"/>
      <c r="O2026" s="288"/>
      <c r="P2026" s="288"/>
      <c r="Q2026" s="288"/>
      <c r="R2026" s="288"/>
      <c r="S2026" s="288"/>
      <c r="T2026" s="288"/>
      <c r="U2026" s="288">
        <v>2</v>
      </c>
      <c r="V2026" s="288"/>
      <c r="W2026" s="289" t="s">
        <v>576</v>
      </c>
      <c r="X2026" s="291"/>
      <c r="Y2026" s="290">
        <f t="shared" si="250"/>
        <v>0</v>
      </c>
      <c r="Z2026" s="290">
        <f t="shared" si="251"/>
        <v>0</v>
      </c>
      <c r="AA2026" s="290">
        <f t="shared" si="249"/>
        <v>0</v>
      </c>
      <c r="AB2026" s="290">
        <f t="shared" si="252"/>
        <v>0</v>
      </c>
      <c r="AC2026" s="78"/>
      <c r="AD2026" s="78">
        <v>0</v>
      </c>
      <c r="AE2026" s="80">
        <f t="shared" si="255"/>
        <v>0</v>
      </c>
      <c r="AF2026" s="82">
        <v>0</v>
      </c>
      <c r="AG2026" s="69">
        <v>40529</v>
      </c>
      <c r="AH2026" s="84"/>
      <c r="AI2026" s="69" t="s">
        <v>2009</v>
      </c>
      <c r="AJ2026" s="276" t="s">
        <v>2010</v>
      </c>
      <c r="AK2026" s="65"/>
      <c r="AL2026" s="272" t="s">
        <v>311</v>
      </c>
      <c r="AM2026" s="173" t="s">
        <v>575</v>
      </c>
      <c r="AN2026" s="159"/>
      <c r="AO2026" s="160"/>
      <c r="AP2026" s="161"/>
      <c r="AQ2026" s="160"/>
      <c r="AR2026" s="160"/>
      <c r="AS2026" s="160"/>
      <c r="AT2026" s="160"/>
      <c r="AU2026" s="160"/>
      <c r="AV2026" s="160"/>
      <c r="AW2026" s="160"/>
      <c r="AX2026" s="160"/>
      <c r="AY2026" s="160"/>
      <c r="AZ2026" s="160"/>
      <c r="BA2026" s="160"/>
      <c r="BB2026" s="160"/>
      <c r="BC2026" s="160"/>
      <c r="BD2026" s="160"/>
      <c r="BE2026" s="160"/>
      <c r="BF2026" s="160"/>
      <c r="BG2026" s="160"/>
      <c r="BH2026" s="160"/>
      <c r="BI2026" s="160"/>
      <c r="BJ2026" s="160"/>
      <c r="BK2026" s="160"/>
      <c r="BL2026" s="160"/>
      <c r="BM2026" s="160"/>
      <c r="BN2026" s="160"/>
      <c r="BO2026" s="160"/>
      <c r="BP2026" s="160"/>
      <c r="BQ2026" s="160"/>
      <c r="BR2026" s="160"/>
      <c r="BS2026" s="160"/>
      <c r="BT2026" s="160"/>
      <c r="BU2026" s="160"/>
      <c r="BV2026" s="160"/>
      <c r="BW2026" s="160"/>
      <c r="BX2026" s="160"/>
      <c r="BY2026" s="160"/>
      <c r="BZ2026" s="160"/>
      <c r="CA2026" s="160"/>
      <c r="CB2026" s="160"/>
      <c r="CC2026" s="160"/>
      <c r="CD2026" s="160"/>
      <c r="CE2026" s="160"/>
      <c r="CF2026" s="160"/>
      <c r="CG2026" s="160"/>
      <c r="CH2026" s="160"/>
      <c r="CI2026" s="160"/>
      <c r="CJ2026" s="160"/>
      <c r="CK2026" s="160"/>
      <c r="CL2026" s="160"/>
      <c r="CM2026" s="160"/>
      <c r="CN2026" s="160"/>
      <c r="CO2026" s="160"/>
      <c r="CP2026" s="162"/>
      <c r="CQ2026" s="163"/>
      <c r="CR2026" s="162"/>
      <c r="CS2026" s="163"/>
      <c r="CT2026" s="162"/>
      <c r="CU2026" s="163"/>
      <c r="CV2026" s="164">
        <f t="shared" si="253"/>
        <v>0</v>
      </c>
      <c r="CW2026" s="165"/>
      <c r="CX2026" s="166"/>
      <c r="CY2026" s="167"/>
      <c r="CZ2026" s="168"/>
      <c r="DA2026" s="169"/>
      <c r="DB2026" s="168"/>
      <c r="DC2026" s="165"/>
      <c r="DD2026" s="166"/>
      <c r="DE2026" s="71"/>
      <c r="DF2026" s="170"/>
      <c r="EO2026" s="375" t="str">
        <f t="shared" si="254"/>
        <v>NORTE DE SANTANDER_HERRAN</v>
      </c>
      <c r="EP2026" s="376"/>
      <c r="EQ2026" s="376"/>
      <c r="ER2026" s="377"/>
      <c r="ES2026" s="376"/>
      <c r="ET2026" s="376"/>
      <c r="EU2026" s="376"/>
    </row>
    <row r="2027" spans="1:151" s="171" customFormat="1" ht="36" x14ac:dyDescent="0.2">
      <c r="A2027" s="242">
        <v>40515</v>
      </c>
      <c r="B2027" s="222" t="s">
        <v>2012</v>
      </c>
      <c r="C2027" s="222" t="s">
        <v>2433</v>
      </c>
      <c r="D2027" s="430" t="s">
        <v>2307</v>
      </c>
      <c r="E2027" s="107" t="str">
        <f>VLOOKUP(B2027&amp;C2027,Divipola!$C$2:$F$1138,4,FALSE)</f>
        <v>66001</v>
      </c>
      <c r="F2027" s="333"/>
      <c r="G2027" s="221"/>
      <c r="H2027" s="157"/>
      <c r="I2027" s="157"/>
      <c r="J2027" s="157">
        <v>20</v>
      </c>
      <c r="K2027" s="157">
        <v>4</v>
      </c>
      <c r="L2027" s="157">
        <v>2</v>
      </c>
      <c r="M2027" s="157">
        <v>2</v>
      </c>
      <c r="N2027" s="157"/>
      <c r="O2027" s="157"/>
      <c r="P2027" s="157"/>
      <c r="Q2027" s="157"/>
      <c r="R2027" s="157"/>
      <c r="S2027" s="157"/>
      <c r="T2027" s="157"/>
      <c r="U2027" s="157"/>
      <c r="V2027" s="158"/>
      <c r="W2027" s="182"/>
      <c r="X2027" s="1"/>
      <c r="Y2027" s="78">
        <f t="shared" si="250"/>
        <v>0</v>
      </c>
      <c r="Z2027" s="78">
        <f t="shared" si="251"/>
        <v>0</v>
      </c>
      <c r="AA2027" s="78">
        <f t="shared" si="249"/>
        <v>0</v>
      </c>
      <c r="AB2027" s="78">
        <f t="shared" si="252"/>
        <v>0</v>
      </c>
      <c r="AC2027" s="78"/>
      <c r="AD2027" s="78">
        <v>0</v>
      </c>
      <c r="AE2027" s="80">
        <f t="shared" si="255"/>
        <v>0</v>
      </c>
      <c r="AF2027" s="82">
        <v>0</v>
      </c>
      <c r="AG2027" s="69">
        <v>40516</v>
      </c>
      <c r="AH2027" s="84"/>
      <c r="AI2027" s="69" t="s">
        <v>1984</v>
      </c>
      <c r="AJ2027" s="25" t="s">
        <v>1985</v>
      </c>
      <c r="AK2027" s="65"/>
      <c r="AL2027" s="176" t="s">
        <v>1257</v>
      </c>
      <c r="AM2027" s="173" t="s">
        <v>577</v>
      </c>
      <c r="AN2027" s="159"/>
      <c r="AO2027" s="160"/>
      <c r="AP2027" s="161"/>
      <c r="AQ2027" s="160"/>
      <c r="AR2027" s="160"/>
      <c r="AS2027" s="160"/>
      <c r="AT2027" s="160"/>
      <c r="AU2027" s="160"/>
      <c r="AV2027" s="160"/>
      <c r="AW2027" s="160"/>
      <c r="AX2027" s="160"/>
      <c r="AY2027" s="160"/>
      <c r="AZ2027" s="160"/>
      <c r="BA2027" s="160"/>
      <c r="BB2027" s="160"/>
      <c r="BC2027" s="160"/>
      <c r="BD2027" s="160"/>
      <c r="BE2027" s="160"/>
      <c r="BF2027" s="160"/>
      <c r="BG2027" s="160"/>
      <c r="BH2027" s="160"/>
      <c r="BI2027" s="160"/>
      <c r="BJ2027" s="160"/>
      <c r="BK2027" s="160"/>
      <c r="BL2027" s="160"/>
      <c r="BM2027" s="160"/>
      <c r="BN2027" s="160"/>
      <c r="BO2027" s="160"/>
      <c r="BP2027" s="160"/>
      <c r="BQ2027" s="160"/>
      <c r="BR2027" s="160"/>
      <c r="BS2027" s="160"/>
      <c r="BT2027" s="160"/>
      <c r="BU2027" s="160"/>
      <c r="BV2027" s="160"/>
      <c r="BW2027" s="160"/>
      <c r="BX2027" s="160"/>
      <c r="BY2027" s="160"/>
      <c r="BZ2027" s="160"/>
      <c r="CA2027" s="160"/>
      <c r="CB2027" s="160"/>
      <c r="CC2027" s="160"/>
      <c r="CD2027" s="160"/>
      <c r="CE2027" s="160"/>
      <c r="CF2027" s="160"/>
      <c r="CG2027" s="160"/>
      <c r="CH2027" s="160"/>
      <c r="CI2027" s="160"/>
      <c r="CJ2027" s="160"/>
      <c r="CK2027" s="160"/>
      <c r="CL2027" s="160"/>
      <c r="CM2027" s="160"/>
      <c r="CN2027" s="160"/>
      <c r="CO2027" s="160"/>
      <c r="CP2027" s="162"/>
      <c r="CQ2027" s="163"/>
      <c r="CR2027" s="162"/>
      <c r="CS2027" s="163"/>
      <c r="CT2027" s="162"/>
      <c r="CU2027" s="163"/>
      <c r="CV2027" s="164">
        <f t="shared" si="253"/>
        <v>0</v>
      </c>
      <c r="CW2027" s="165"/>
      <c r="CX2027" s="166"/>
      <c r="CY2027" s="167"/>
      <c r="CZ2027" s="168"/>
      <c r="DA2027" s="169"/>
      <c r="DB2027" s="168"/>
      <c r="DC2027" s="165"/>
      <c r="DD2027" s="166"/>
      <c r="DE2027" s="71"/>
      <c r="DF2027" s="170"/>
      <c r="EO2027" s="375" t="str">
        <f t="shared" si="254"/>
        <v>RISARALDA_PEREIRA</v>
      </c>
      <c r="EP2027" s="376"/>
      <c r="EQ2027" s="376"/>
      <c r="ER2027" s="377"/>
      <c r="ES2027" s="376"/>
      <c r="ET2027" s="376"/>
      <c r="EU2027" s="376"/>
    </row>
    <row r="2028" spans="1:151" s="171" customFormat="1" ht="45" x14ac:dyDescent="0.2">
      <c r="A2028" s="242">
        <v>40515</v>
      </c>
      <c r="B2028" s="222" t="s">
        <v>2791</v>
      </c>
      <c r="C2028" s="222" t="s">
        <v>1945</v>
      </c>
      <c r="D2028" s="430" t="s">
        <v>837</v>
      </c>
      <c r="E2028" s="107" t="str">
        <f>VLOOKUP(B2028&amp;C2028,Divipola!$C$2:$F$1138,4,FALSE)</f>
        <v>73001</v>
      </c>
      <c r="F2028" s="333"/>
      <c r="G2028" s="221"/>
      <c r="H2028" s="157">
        <v>2</v>
      </c>
      <c r="I2028" s="157"/>
      <c r="J2028" s="157">
        <v>10</v>
      </c>
      <c r="K2028" s="157">
        <v>2</v>
      </c>
      <c r="L2028" s="157"/>
      <c r="M2028" s="157">
        <v>2</v>
      </c>
      <c r="N2028" s="157"/>
      <c r="O2028" s="157"/>
      <c r="P2028" s="157"/>
      <c r="Q2028" s="157"/>
      <c r="R2028" s="157"/>
      <c r="S2028" s="157"/>
      <c r="T2028" s="157"/>
      <c r="U2028" s="157"/>
      <c r="V2028" s="158"/>
      <c r="W2028" s="182"/>
      <c r="X2028" s="1"/>
      <c r="Y2028" s="78">
        <f t="shared" si="250"/>
        <v>0</v>
      </c>
      <c r="Z2028" s="78">
        <f t="shared" si="251"/>
        <v>0</v>
      </c>
      <c r="AA2028" s="78">
        <f t="shared" si="249"/>
        <v>0</v>
      </c>
      <c r="AB2028" s="78">
        <f t="shared" si="252"/>
        <v>0</v>
      </c>
      <c r="AC2028" s="78"/>
      <c r="AD2028" s="78">
        <v>0</v>
      </c>
      <c r="AE2028" s="80">
        <f t="shared" si="255"/>
        <v>0</v>
      </c>
      <c r="AF2028" s="82">
        <v>0</v>
      </c>
      <c r="AG2028" s="69"/>
      <c r="AH2028" s="84"/>
      <c r="AI2028" s="69" t="s">
        <v>2009</v>
      </c>
      <c r="AJ2028" s="276" t="s">
        <v>2010</v>
      </c>
      <c r="AK2028" s="65"/>
      <c r="AL2028" s="272" t="s">
        <v>311</v>
      </c>
      <c r="AM2028" s="173" t="s">
        <v>582</v>
      </c>
      <c r="AN2028" s="159"/>
      <c r="AO2028" s="160"/>
      <c r="AP2028" s="161"/>
      <c r="AQ2028" s="160"/>
      <c r="AR2028" s="160"/>
      <c r="AS2028" s="160"/>
      <c r="AT2028" s="160"/>
      <c r="AU2028" s="160"/>
      <c r="AV2028" s="160"/>
      <c r="AW2028" s="160"/>
      <c r="AX2028" s="160"/>
      <c r="AY2028" s="160"/>
      <c r="AZ2028" s="160"/>
      <c r="BA2028" s="160"/>
      <c r="BB2028" s="160"/>
      <c r="BC2028" s="160"/>
      <c r="BD2028" s="160"/>
      <c r="BE2028" s="160"/>
      <c r="BF2028" s="160"/>
      <c r="BG2028" s="160"/>
      <c r="BH2028" s="160"/>
      <c r="BI2028" s="160"/>
      <c r="BJ2028" s="160"/>
      <c r="BK2028" s="160"/>
      <c r="BL2028" s="160"/>
      <c r="BM2028" s="160"/>
      <c r="BN2028" s="160"/>
      <c r="BO2028" s="160"/>
      <c r="BP2028" s="160"/>
      <c r="BQ2028" s="160"/>
      <c r="BR2028" s="160"/>
      <c r="BS2028" s="160"/>
      <c r="BT2028" s="160"/>
      <c r="BU2028" s="160"/>
      <c r="BV2028" s="160"/>
      <c r="BW2028" s="160"/>
      <c r="BX2028" s="160"/>
      <c r="BY2028" s="160"/>
      <c r="BZ2028" s="160"/>
      <c r="CA2028" s="160"/>
      <c r="CB2028" s="160"/>
      <c r="CC2028" s="160"/>
      <c r="CD2028" s="160"/>
      <c r="CE2028" s="160"/>
      <c r="CF2028" s="160"/>
      <c r="CG2028" s="160"/>
      <c r="CH2028" s="160"/>
      <c r="CI2028" s="160"/>
      <c r="CJ2028" s="160"/>
      <c r="CK2028" s="160"/>
      <c r="CL2028" s="160"/>
      <c r="CM2028" s="160"/>
      <c r="CN2028" s="160"/>
      <c r="CO2028" s="160"/>
      <c r="CP2028" s="162"/>
      <c r="CQ2028" s="163"/>
      <c r="CR2028" s="162"/>
      <c r="CS2028" s="163"/>
      <c r="CT2028" s="162"/>
      <c r="CU2028" s="163"/>
      <c r="CV2028" s="164">
        <f t="shared" si="253"/>
        <v>0</v>
      </c>
      <c r="CW2028" s="165"/>
      <c r="CX2028" s="166"/>
      <c r="CY2028" s="167"/>
      <c r="CZ2028" s="168"/>
      <c r="DA2028" s="169"/>
      <c r="DB2028" s="168"/>
      <c r="DC2028" s="165"/>
      <c r="DD2028" s="166"/>
      <c r="DE2028" s="71"/>
      <c r="DF2028" s="170"/>
      <c r="EO2028" s="375" t="str">
        <f t="shared" si="254"/>
        <v>TOLIMA_IBAGUE</v>
      </c>
      <c r="EP2028" s="376"/>
      <c r="EQ2028" s="376"/>
      <c r="ER2028" s="377"/>
      <c r="ES2028" s="376"/>
      <c r="ET2028" s="376"/>
      <c r="EU2028" s="376"/>
    </row>
    <row r="2029" spans="1:151" s="171" customFormat="1" ht="45" x14ac:dyDescent="0.2">
      <c r="A2029" s="242">
        <v>40515</v>
      </c>
      <c r="B2029" s="222" t="s">
        <v>2791</v>
      </c>
      <c r="C2029" s="222" t="s">
        <v>1558</v>
      </c>
      <c r="D2029" s="430" t="s">
        <v>837</v>
      </c>
      <c r="E2029" s="107" t="str">
        <f>VLOOKUP(B2029&amp;C2029,Divipola!$C$2:$F$1138,4,FALSE)</f>
        <v>73770</v>
      </c>
      <c r="F2029" s="333"/>
      <c r="G2029" s="221"/>
      <c r="H2029" s="157"/>
      <c r="I2029" s="157"/>
      <c r="J2029" s="157">
        <v>1076</v>
      </c>
      <c r="K2029" s="157">
        <v>239</v>
      </c>
      <c r="L2029" s="157">
        <v>11</v>
      </c>
      <c r="M2029" s="157">
        <v>47</v>
      </c>
      <c r="N2029" s="157"/>
      <c r="O2029" s="157"/>
      <c r="P2029" s="157">
        <v>5</v>
      </c>
      <c r="Q2029" s="157"/>
      <c r="R2029" s="157"/>
      <c r="S2029" s="157"/>
      <c r="T2029" s="157"/>
      <c r="U2029" s="157"/>
      <c r="V2029" s="158">
        <v>65</v>
      </c>
      <c r="W2029" s="182"/>
      <c r="X2029" s="1"/>
      <c r="Y2029" s="78">
        <f t="shared" si="250"/>
        <v>0</v>
      </c>
      <c r="Z2029" s="78">
        <f t="shared" si="251"/>
        <v>0</v>
      </c>
      <c r="AA2029" s="78">
        <f t="shared" si="249"/>
        <v>0</v>
      </c>
      <c r="AB2029" s="78">
        <f t="shared" si="252"/>
        <v>0</v>
      </c>
      <c r="AC2029" s="78"/>
      <c r="AD2029" s="78">
        <v>0</v>
      </c>
      <c r="AE2029" s="80">
        <f t="shared" si="255"/>
        <v>0</v>
      </c>
      <c r="AF2029" s="82">
        <v>0</v>
      </c>
      <c r="AG2029" s="69"/>
      <c r="AH2029" s="84"/>
      <c r="AI2029" s="69" t="s">
        <v>2009</v>
      </c>
      <c r="AJ2029" s="276" t="s">
        <v>2010</v>
      </c>
      <c r="AK2029" s="65"/>
      <c r="AL2029" s="272" t="s">
        <v>311</v>
      </c>
      <c r="AM2029" s="173" t="s">
        <v>321</v>
      </c>
      <c r="AN2029" s="159"/>
      <c r="AO2029" s="160"/>
      <c r="AP2029" s="161"/>
      <c r="AQ2029" s="160"/>
      <c r="AR2029" s="160"/>
      <c r="AS2029" s="160"/>
      <c r="AT2029" s="160"/>
      <c r="AU2029" s="160"/>
      <c r="AV2029" s="160"/>
      <c r="AW2029" s="160"/>
      <c r="AX2029" s="160"/>
      <c r="AY2029" s="160"/>
      <c r="AZ2029" s="160"/>
      <c r="BA2029" s="160"/>
      <c r="BB2029" s="160"/>
      <c r="BC2029" s="160"/>
      <c r="BD2029" s="160"/>
      <c r="BE2029" s="160"/>
      <c r="BF2029" s="160"/>
      <c r="BG2029" s="160"/>
      <c r="BH2029" s="160"/>
      <c r="BI2029" s="160"/>
      <c r="BJ2029" s="160"/>
      <c r="BK2029" s="160"/>
      <c r="BL2029" s="160"/>
      <c r="BM2029" s="160"/>
      <c r="BN2029" s="160"/>
      <c r="BO2029" s="160"/>
      <c r="BP2029" s="160"/>
      <c r="BQ2029" s="160"/>
      <c r="BR2029" s="160"/>
      <c r="BS2029" s="160"/>
      <c r="BT2029" s="160"/>
      <c r="BU2029" s="160"/>
      <c r="BV2029" s="160"/>
      <c r="BW2029" s="160"/>
      <c r="BX2029" s="160"/>
      <c r="BY2029" s="160"/>
      <c r="BZ2029" s="160"/>
      <c r="CA2029" s="160"/>
      <c r="CB2029" s="160"/>
      <c r="CC2029" s="160"/>
      <c r="CD2029" s="160"/>
      <c r="CE2029" s="160"/>
      <c r="CF2029" s="160"/>
      <c r="CG2029" s="160"/>
      <c r="CH2029" s="160"/>
      <c r="CI2029" s="160"/>
      <c r="CJ2029" s="160"/>
      <c r="CK2029" s="160"/>
      <c r="CL2029" s="160"/>
      <c r="CM2029" s="160"/>
      <c r="CN2029" s="160"/>
      <c r="CO2029" s="160"/>
      <c r="CP2029" s="162"/>
      <c r="CQ2029" s="163"/>
      <c r="CR2029" s="162"/>
      <c r="CS2029" s="163"/>
      <c r="CT2029" s="162"/>
      <c r="CU2029" s="163"/>
      <c r="CV2029" s="164">
        <f t="shared" si="253"/>
        <v>0</v>
      </c>
      <c r="CW2029" s="165"/>
      <c r="CX2029" s="166"/>
      <c r="CY2029" s="167"/>
      <c r="CZ2029" s="168"/>
      <c r="DA2029" s="169"/>
      <c r="DB2029" s="168"/>
      <c r="DC2029" s="165"/>
      <c r="DD2029" s="166"/>
      <c r="DE2029" s="71"/>
      <c r="DF2029" s="170"/>
      <c r="EO2029" s="375" t="str">
        <f t="shared" si="254"/>
        <v>TOLIMA_SUAREZ</v>
      </c>
      <c r="EP2029" s="376"/>
      <c r="EQ2029" s="376"/>
      <c r="ER2029" s="377"/>
      <c r="ES2029" s="376"/>
      <c r="ET2029" s="376"/>
      <c r="EU2029" s="376"/>
    </row>
    <row r="2030" spans="1:151" s="171" customFormat="1" ht="72" x14ac:dyDescent="0.2">
      <c r="A2030" s="242">
        <v>40515</v>
      </c>
      <c r="B2030" s="222" t="s">
        <v>1462</v>
      </c>
      <c r="C2030" s="222" t="s">
        <v>3152</v>
      </c>
      <c r="D2030" s="430" t="s">
        <v>837</v>
      </c>
      <c r="E2030" s="107" t="str">
        <f>VLOOKUP(B2030&amp;C2030,Divipola!$C$2:$F$1138,4,FALSE)</f>
        <v>76036</v>
      </c>
      <c r="F2030" s="333"/>
      <c r="G2030" s="221"/>
      <c r="H2030" s="157"/>
      <c r="I2030" s="157"/>
      <c r="J2030" s="157">
        <f>280*5</f>
        <v>1400</v>
      </c>
      <c r="K2030" s="157">
        <v>280</v>
      </c>
      <c r="L2030" s="157"/>
      <c r="M2030" s="157">
        <v>270</v>
      </c>
      <c r="N2030" s="157"/>
      <c r="O2030" s="157"/>
      <c r="P2030" s="157"/>
      <c r="Q2030" s="157"/>
      <c r="R2030" s="157"/>
      <c r="S2030" s="157"/>
      <c r="T2030" s="157"/>
      <c r="U2030" s="157"/>
      <c r="V2030" s="158">
        <v>8</v>
      </c>
      <c r="W2030" s="182" t="s">
        <v>579</v>
      </c>
      <c r="X2030" s="1">
        <v>40535</v>
      </c>
      <c r="Y2030" s="78">
        <f t="shared" si="250"/>
        <v>0</v>
      </c>
      <c r="Z2030" s="78">
        <f t="shared" si="251"/>
        <v>0</v>
      </c>
      <c r="AA2030" s="78">
        <f t="shared" si="249"/>
        <v>0</v>
      </c>
      <c r="AB2030" s="78">
        <f t="shared" si="252"/>
        <v>0</v>
      </c>
      <c r="AC2030" s="78"/>
      <c r="AD2030" s="78">
        <v>38020786</v>
      </c>
      <c r="AE2030" s="80">
        <f t="shared" si="255"/>
        <v>38020786</v>
      </c>
      <c r="AF2030" s="82">
        <v>0</v>
      </c>
      <c r="AG2030" s="69">
        <v>40527</v>
      </c>
      <c r="AH2030" s="84">
        <v>71939</v>
      </c>
      <c r="AI2030" s="69" t="s">
        <v>2009</v>
      </c>
      <c r="AJ2030" s="25" t="s">
        <v>2010</v>
      </c>
      <c r="AK2030" s="65">
        <v>514</v>
      </c>
      <c r="AL2030" s="176"/>
      <c r="AM2030" s="173" t="s">
        <v>3843</v>
      </c>
      <c r="AN2030" s="159"/>
      <c r="AO2030" s="160"/>
      <c r="AP2030" s="161"/>
      <c r="AQ2030" s="160"/>
      <c r="AR2030" s="160"/>
      <c r="AS2030" s="160"/>
      <c r="AT2030" s="160"/>
      <c r="AU2030" s="160"/>
      <c r="AV2030" s="160"/>
      <c r="AW2030" s="160"/>
      <c r="AX2030" s="160"/>
      <c r="AY2030" s="160"/>
      <c r="AZ2030" s="160"/>
      <c r="BA2030" s="160"/>
      <c r="BB2030" s="160"/>
      <c r="BC2030" s="160"/>
      <c r="BD2030" s="160"/>
      <c r="BE2030" s="160"/>
      <c r="BF2030" s="160"/>
      <c r="BG2030" s="160"/>
      <c r="BH2030" s="160"/>
      <c r="BI2030" s="160"/>
      <c r="BJ2030" s="160"/>
      <c r="BK2030" s="160"/>
      <c r="BL2030" s="160"/>
      <c r="BM2030" s="160"/>
      <c r="BN2030" s="160"/>
      <c r="BO2030" s="160"/>
      <c r="BP2030" s="160"/>
      <c r="BQ2030" s="160"/>
      <c r="BR2030" s="160"/>
      <c r="BS2030" s="160"/>
      <c r="BT2030" s="160"/>
      <c r="BU2030" s="160"/>
      <c r="BV2030" s="160"/>
      <c r="BW2030" s="160"/>
      <c r="BX2030" s="160"/>
      <c r="BY2030" s="160"/>
      <c r="BZ2030" s="160"/>
      <c r="CA2030" s="160"/>
      <c r="CB2030" s="160"/>
      <c r="CC2030" s="160"/>
      <c r="CD2030" s="160"/>
      <c r="CE2030" s="160"/>
      <c r="CF2030" s="160"/>
      <c r="CG2030" s="160"/>
      <c r="CH2030" s="160"/>
      <c r="CI2030" s="160"/>
      <c r="CJ2030" s="160"/>
      <c r="CK2030" s="160"/>
      <c r="CL2030" s="160"/>
      <c r="CM2030" s="160"/>
      <c r="CN2030" s="160"/>
      <c r="CO2030" s="160"/>
      <c r="CP2030" s="162"/>
      <c r="CQ2030" s="163"/>
      <c r="CR2030" s="162"/>
      <c r="CS2030" s="163"/>
      <c r="CT2030" s="162"/>
      <c r="CU2030" s="163"/>
      <c r="CV2030" s="164">
        <f t="shared" si="253"/>
        <v>0</v>
      </c>
      <c r="CW2030" s="165"/>
      <c r="CX2030" s="166"/>
      <c r="CY2030" s="167"/>
      <c r="CZ2030" s="168"/>
      <c r="DA2030" s="169"/>
      <c r="DB2030" s="168"/>
      <c r="DC2030" s="165"/>
      <c r="DD2030" s="166"/>
      <c r="DE2030" s="71">
        <v>2</v>
      </c>
      <c r="DF2030" s="170"/>
      <c r="EO2030" s="375" t="str">
        <f t="shared" si="254"/>
        <v>VALLE DEL CAUCA_ANDALUCIA</v>
      </c>
      <c r="EP2030" s="376"/>
      <c r="EQ2030" s="376"/>
      <c r="ER2030" s="377"/>
      <c r="ES2030" s="376"/>
      <c r="ET2030" s="376"/>
      <c r="EU2030" s="376"/>
    </row>
    <row r="2031" spans="1:151" s="171" customFormat="1" ht="72" x14ac:dyDescent="0.2">
      <c r="A2031" s="242">
        <v>40515</v>
      </c>
      <c r="B2031" s="222" t="s">
        <v>1462</v>
      </c>
      <c r="C2031" s="222" t="s">
        <v>884</v>
      </c>
      <c r="D2031" s="430" t="s">
        <v>2307</v>
      </c>
      <c r="E2031" s="107" t="str">
        <f>VLOOKUP(B2031&amp;C2031,Divipola!$C$2:$F$1138,4,FALSE)</f>
        <v>76113</v>
      </c>
      <c r="F2031" s="333"/>
      <c r="G2031" s="221"/>
      <c r="H2031" s="157"/>
      <c r="I2031" s="157"/>
      <c r="J2031" s="157">
        <f>912*5</f>
        <v>4560</v>
      </c>
      <c r="K2031" s="157">
        <f>1447-120-415</f>
        <v>912</v>
      </c>
      <c r="L2031" s="157"/>
      <c r="M2031" s="157">
        <v>912</v>
      </c>
      <c r="N2031" s="157"/>
      <c r="O2031" s="157"/>
      <c r="P2031" s="157"/>
      <c r="Q2031" s="157"/>
      <c r="R2031" s="157"/>
      <c r="S2031" s="157"/>
      <c r="T2031" s="157"/>
      <c r="U2031" s="157"/>
      <c r="V2031" s="158"/>
      <c r="W2031" s="182"/>
      <c r="X2031" s="1">
        <v>40533</v>
      </c>
      <c r="Y2031" s="78">
        <f t="shared" si="250"/>
        <v>0</v>
      </c>
      <c r="Z2031" s="78">
        <f t="shared" si="251"/>
        <v>0</v>
      </c>
      <c r="AA2031" s="78">
        <f t="shared" si="249"/>
        <v>0</v>
      </c>
      <c r="AB2031" s="78">
        <f t="shared" si="252"/>
        <v>0</v>
      </c>
      <c r="AC2031" s="78"/>
      <c r="AD2031" s="78">
        <v>73750000</v>
      </c>
      <c r="AE2031" s="80">
        <f t="shared" si="255"/>
        <v>73750000</v>
      </c>
      <c r="AF2031" s="82">
        <v>0</v>
      </c>
      <c r="AG2031" s="69">
        <v>40523</v>
      </c>
      <c r="AH2031" s="84">
        <v>70982</v>
      </c>
      <c r="AI2031" s="69" t="s">
        <v>2009</v>
      </c>
      <c r="AJ2031" s="25" t="s">
        <v>2010</v>
      </c>
      <c r="AK2031" s="65">
        <v>515</v>
      </c>
      <c r="AL2031" s="185" t="s">
        <v>1831</v>
      </c>
      <c r="AM2031" s="177" t="s">
        <v>3812</v>
      </c>
      <c r="AN2031" s="159"/>
      <c r="AO2031" s="160"/>
      <c r="AP2031" s="161"/>
      <c r="AQ2031" s="160"/>
      <c r="AR2031" s="160"/>
      <c r="AS2031" s="160"/>
      <c r="AT2031" s="160"/>
      <c r="AU2031" s="160"/>
      <c r="AV2031" s="160"/>
      <c r="AW2031" s="160"/>
      <c r="AX2031" s="160"/>
      <c r="AY2031" s="160"/>
      <c r="AZ2031" s="160"/>
      <c r="BA2031" s="160"/>
      <c r="BB2031" s="160"/>
      <c r="BC2031" s="160"/>
      <c r="BD2031" s="160"/>
      <c r="BE2031" s="160"/>
      <c r="BF2031" s="160"/>
      <c r="BG2031" s="160"/>
      <c r="BH2031" s="160"/>
      <c r="BI2031" s="160"/>
      <c r="BJ2031" s="160"/>
      <c r="BK2031" s="160"/>
      <c r="BL2031" s="160"/>
      <c r="BM2031" s="160"/>
      <c r="BN2031" s="160"/>
      <c r="BO2031" s="160"/>
      <c r="BP2031" s="160"/>
      <c r="BQ2031" s="160"/>
      <c r="BR2031" s="160"/>
      <c r="BS2031" s="160"/>
      <c r="BT2031" s="160"/>
      <c r="BU2031" s="160"/>
      <c r="BV2031" s="160"/>
      <c r="BW2031" s="160"/>
      <c r="BX2031" s="160"/>
      <c r="BY2031" s="160"/>
      <c r="BZ2031" s="160"/>
      <c r="CA2031" s="160"/>
      <c r="CB2031" s="160"/>
      <c r="CC2031" s="160"/>
      <c r="CD2031" s="160"/>
      <c r="CE2031" s="160"/>
      <c r="CF2031" s="160"/>
      <c r="CG2031" s="160"/>
      <c r="CH2031" s="160"/>
      <c r="CI2031" s="160"/>
      <c r="CJ2031" s="160"/>
      <c r="CK2031" s="160"/>
      <c r="CL2031" s="160"/>
      <c r="CM2031" s="160"/>
      <c r="CN2031" s="160"/>
      <c r="CO2031" s="160"/>
      <c r="CP2031" s="162"/>
      <c r="CQ2031" s="163"/>
      <c r="CR2031" s="162"/>
      <c r="CS2031" s="163"/>
      <c r="CT2031" s="162"/>
      <c r="CU2031" s="163"/>
      <c r="CV2031" s="164">
        <f t="shared" si="253"/>
        <v>0</v>
      </c>
      <c r="CW2031" s="165"/>
      <c r="CX2031" s="166"/>
      <c r="CY2031" s="167"/>
      <c r="CZ2031" s="168"/>
      <c r="DA2031" s="169"/>
      <c r="DB2031" s="168"/>
      <c r="DC2031" s="165"/>
      <c r="DD2031" s="166"/>
      <c r="DE2031" s="71">
        <v>2</v>
      </c>
      <c r="DF2031" s="170"/>
      <c r="EO2031" s="375" t="str">
        <f t="shared" si="254"/>
        <v>VALLE DEL CAUCA_BUGALAGRANDE</v>
      </c>
      <c r="EP2031" s="376"/>
      <c r="EQ2031" s="376"/>
      <c r="ER2031" s="377"/>
      <c r="ES2031" s="376"/>
      <c r="ET2031" s="376"/>
      <c r="EU2031" s="376"/>
    </row>
    <row r="2032" spans="1:151" s="171" customFormat="1" ht="51" x14ac:dyDescent="0.2">
      <c r="A2032" s="242">
        <v>40515</v>
      </c>
      <c r="B2032" s="222" t="s">
        <v>1462</v>
      </c>
      <c r="C2032" s="222" t="s">
        <v>2942</v>
      </c>
      <c r="D2032" s="430" t="s">
        <v>837</v>
      </c>
      <c r="E2032" s="107" t="str">
        <f>VLOOKUP(B2032&amp;C2032,Divipola!$C$2:$F$1138,4,FALSE)</f>
        <v>76233</v>
      </c>
      <c r="F2032" s="333"/>
      <c r="G2032" s="221">
        <v>1</v>
      </c>
      <c r="H2032" s="157">
        <v>2</v>
      </c>
      <c r="I2032" s="157"/>
      <c r="J2032" s="157">
        <v>70</v>
      </c>
      <c r="K2032" s="157">
        <v>14</v>
      </c>
      <c r="L2032" s="157"/>
      <c r="M2032" s="157">
        <v>14</v>
      </c>
      <c r="N2032" s="157">
        <v>1</v>
      </c>
      <c r="O2032" s="157"/>
      <c r="P2032" s="157"/>
      <c r="Q2032" s="157"/>
      <c r="R2032" s="157"/>
      <c r="S2032" s="157"/>
      <c r="T2032" s="157">
        <v>1</v>
      </c>
      <c r="U2032" s="157"/>
      <c r="V2032" s="158"/>
      <c r="W2032" s="182"/>
      <c r="X2032" s="1"/>
      <c r="Y2032" s="78">
        <f t="shared" si="250"/>
        <v>0</v>
      </c>
      <c r="Z2032" s="78">
        <f t="shared" si="251"/>
        <v>0</v>
      </c>
      <c r="AA2032" s="78">
        <f t="shared" si="249"/>
        <v>0</v>
      </c>
      <c r="AB2032" s="78">
        <f t="shared" si="252"/>
        <v>0</v>
      </c>
      <c r="AC2032" s="78"/>
      <c r="AD2032" s="78">
        <v>0</v>
      </c>
      <c r="AE2032" s="80">
        <f t="shared" si="255"/>
        <v>0</v>
      </c>
      <c r="AF2032" s="82">
        <v>0</v>
      </c>
      <c r="AG2032" s="69"/>
      <c r="AH2032" s="84"/>
      <c r="AI2032" s="69" t="s">
        <v>2009</v>
      </c>
      <c r="AJ2032" s="276" t="s">
        <v>2010</v>
      </c>
      <c r="AK2032" s="65"/>
      <c r="AL2032" s="272" t="s">
        <v>311</v>
      </c>
      <c r="AM2032" s="173" t="s">
        <v>587</v>
      </c>
      <c r="AN2032" s="159"/>
      <c r="AO2032" s="160"/>
      <c r="AP2032" s="161"/>
      <c r="AQ2032" s="160"/>
      <c r="AR2032" s="160"/>
      <c r="AS2032" s="160"/>
      <c r="AT2032" s="160"/>
      <c r="AU2032" s="160"/>
      <c r="AV2032" s="160"/>
      <c r="AW2032" s="160"/>
      <c r="AX2032" s="160"/>
      <c r="AY2032" s="160"/>
      <c r="AZ2032" s="160"/>
      <c r="BA2032" s="160"/>
      <c r="BB2032" s="160"/>
      <c r="BC2032" s="160"/>
      <c r="BD2032" s="160"/>
      <c r="BE2032" s="160"/>
      <c r="BF2032" s="160"/>
      <c r="BG2032" s="160"/>
      <c r="BH2032" s="160"/>
      <c r="BI2032" s="160"/>
      <c r="BJ2032" s="160"/>
      <c r="BK2032" s="160"/>
      <c r="BL2032" s="160"/>
      <c r="BM2032" s="160"/>
      <c r="BN2032" s="160"/>
      <c r="BO2032" s="160"/>
      <c r="BP2032" s="160"/>
      <c r="BQ2032" s="160"/>
      <c r="BR2032" s="160"/>
      <c r="BS2032" s="160"/>
      <c r="BT2032" s="160"/>
      <c r="BU2032" s="160"/>
      <c r="BV2032" s="160"/>
      <c r="BW2032" s="160"/>
      <c r="BX2032" s="160"/>
      <c r="BY2032" s="160"/>
      <c r="BZ2032" s="160"/>
      <c r="CA2032" s="160"/>
      <c r="CB2032" s="160"/>
      <c r="CC2032" s="160"/>
      <c r="CD2032" s="160"/>
      <c r="CE2032" s="160"/>
      <c r="CF2032" s="160"/>
      <c r="CG2032" s="160"/>
      <c r="CH2032" s="160"/>
      <c r="CI2032" s="160"/>
      <c r="CJ2032" s="160"/>
      <c r="CK2032" s="160"/>
      <c r="CL2032" s="160"/>
      <c r="CM2032" s="160"/>
      <c r="CN2032" s="160"/>
      <c r="CO2032" s="160"/>
      <c r="CP2032" s="162"/>
      <c r="CQ2032" s="163"/>
      <c r="CR2032" s="162"/>
      <c r="CS2032" s="163"/>
      <c r="CT2032" s="162"/>
      <c r="CU2032" s="163"/>
      <c r="CV2032" s="164">
        <f t="shared" si="253"/>
        <v>0</v>
      </c>
      <c r="CW2032" s="165"/>
      <c r="CX2032" s="166"/>
      <c r="CY2032" s="167"/>
      <c r="CZ2032" s="168"/>
      <c r="DA2032" s="169"/>
      <c r="DB2032" s="168"/>
      <c r="DC2032" s="165"/>
      <c r="DD2032" s="166"/>
      <c r="DE2032" s="71"/>
      <c r="DF2032" s="170"/>
      <c r="EO2032" s="375" t="str">
        <f t="shared" si="254"/>
        <v>VALLE DEL CAUCA_DAGUA</v>
      </c>
      <c r="EP2032" s="376"/>
      <c r="EQ2032" s="376"/>
      <c r="ER2032" s="377"/>
      <c r="ES2032" s="376"/>
      <c r="ET2032" s="376"/>
      <c r="EU2032" s="376"/>
    </row>
    <row r="2033" spans="1:151" s="171" customFormat="1" ht="66" customHeight="1" x14ac:dyDescent="0.2">
      <c r="A2033" s="242">
        <v>40515</v>
      </c>
      <c r="B2033" s="222" t="s">
        <v>1462</v>
      </c>
      <c r="C2033" s="222" t="s">
        <v>2736</v>
      </c>
      <c r="D2033" s="430" t="s">
        <v>837</v>
      </c>
      <c r="E2033" s="107" t="str">
        <f>VLOOKUP(B2033&amp;C2033,Divipola!$C$2:$F$1138,4,FALSE)</f>
        <v>76606</v>
      </c>
      <c r="F2033" s="333"/>
      <c r="G2033" s="221"/>
      <c r="H2033" s="157"/>
      <c r="I2033" s="157"/>
      <c r="J2033" s="157"/>
      <c r="K2033" s="157"/>
      <c r="L2033" s="157"/>
      <c r="M2033" s="157"/>
      <c r="N2033" s="157"/>
      <c r="O2033" s="157"/>
      <c r="P2033" s="157"/>
      <c r="Q2033" s="157">
        <v>1</v>
      </c>
      <c r="R2033" s="157"/>
      <c r="S2033" s="157"/>
      <c r="T2033" s="157"/>
      <c r="U2033" s="157"/>
      <c r="V2033" s="158"/>
      <c r="W2033" s="182"/>
      <c r="X2033" s="1"/>
      <c r="Y2033" s="78">
        <f t="shared" si="250"/>
        <v>0</v>
      </c>
      <c r="Z2033" s="78">
        <f t="shared" si="251"/>
        <v>0</v>
      </c>
      <c r="AA2033" s="78">
        <f t="shared" si="249"/>
        <v>0</v>
      </c>
      <c r="AB2033" s="78">
        <f t="shared" si="252"/>
        <v>0</v>
      </c>
      <c r="AC2033" s="78"/>
      <c r="AD2033" s="78">
        <v>0</v>
      </c>
      <c r="AE2033" s="80">
        <f t="shared" si="255"/>
        <v>0</v>
      </c>
      <c r="AF2033" s="82">
        <v>0</v>
      </c>
      <c r="AG2033" s="69">
        <v>40516</v>
      </c>
      <c r="AH2033" s="84"/>
      <c r="AI2033" s="69" t="s">
        <v>1984</v>
      </c>
      <c r="AJ2033" s="25" t="s">
        <v>1985</v>
      </c>
      <c r="AK2033" s="65"/>
      <c r="AL2033" s="176" t="s">
        <v>1257</v>
      </c>
      <c r="AM2033" s="173" t="s">
        <v>580</v>
      </c>
      <c r="AN2033" s="159"/>
      <c r="AO2033" s="160"/>
      <c r="AP2033" s="161"/>
      <c r="AQ2033" s="160"/>
      <c r="AR2033" s="160"/>
      <c r="AS2033" s="160"/>
      <c r="AT2033" s="160"/>
      <c r="AU2033" s="160"/>
      <c r="AV2033" s="160"/>
      <c r="AW2033" s="160"/>
      <c r="AX2033" s="160"/>
      <c r="AY2033" s="160"/>
      <c r="AZ2033" s="160"/>
      <c r="BA2033" s="160"/>
      <c r="BB2033" s="160"/>
      <c r="BC2033" s="160"/>
      <c r="BD2033" s="160"/>
      <c r="BE2033" s="160"/>
      <c r="BF2033" s="160"/>
      <c r="BG2033" s="160"/>
      <c r="BH2033" s="160"/>
      <c r="BI2033" s="160"/>
      <c r="BJ2033" s="160"/>
      <c r="BK2033" s="160"/>
      <c r="BL2033" s="160"/>
      <c r="BM2033" s="160"/>
      <c r="BN2033" s="160"/>
      <c r="BO2033" s="160"/>
      <c r="BP2033" s="160"/>
      <c r="BQ2033" s="160"/>
      <c r="BR2033" s="160"/>
      <c r="BS2033" s="160"/>
      <c r="BT2033" s="160"/>
      <c r="BU2033" s="160"/>
      <c r="BV2033" s="160"/>
      <c r="BW2033" s="160"/>
      <c r="BX2033" s="160"/>
      <c r="BY2033" s="160"/>
      <c r="BZ2033" s="160"/>
      <c r="CA2033" s="160"/>
      <c r="CB2033" s="160"/>
      <c r="CC2033" s="160"/>
      <c r="CD2033" s="160"/>
      <c r="CE2033" s="160"/>
      <c r="CF2033" s="160"/>
      <c r="CG2033" s="160"/>
      <c r="CH2033" s="160"/>
      <c r="CI2033" s="160"/>
      <c r="CJ2033" s="160"/>
      <c r="CK2033" s="160"/>
      <c r="CL2033" s="160"/>
      <c r="CM2033" s="160"/>
      <c r="CN2033" s="160"/>
      <c r="CO2033" s="160"/>
      <c r="CP2033" s="162"/>
      <c r="CQ2033" s="163"/>
      <c r="CR2033" s="162"/>
      <c r="CS2033" s="163"/>
      <c r="CT2033" s="162"/>
      <c r="CU2033" s="163"/>
      <c r="CV2033" s="164">
        <f t="shared" si="253"/>
        <v>0</v>
      </c>
      <c r="CW2033" s="165"/>
      <c r="CX2033" s="166"/>
      <c r="CY2033" s="167"/>
      <c r="CZ2033" s="168"/>
      <c r="DA2033" s="169"/>
      <c r="DB2033" s="168"/>
      <c r="DC2033" s="165"/>
      <c r="DD2033" s="166"/>
      <c r="DE2033" s="71"/>
      <c r="DF2033" s="170"/>
      <c r="EO2033" s="375" t="str">
        <f t="shared" si="254"/>
        <v>VALLE DEL CAUCA_RESTREPO</v>
      </c>
      <c r="EP2033" s="376"/>
      <c r="EQ2033" s="376"/>
      <c r="ER2033" s="377"/>
      <c r="ES2033" s="376"/>
      <c r="ET2033" s="376"/>
      <c r="EU2033" s="376"/>
    </row>
    <row r="2034" spans="1:151" s="171" customFormat="1" ht="38.25" x14ac:dyDescent="0.2">
      <c r="A2034" s="242">
        <v>40515.176388888889</v>
      </c>
      <c r="B2034" s="107" t="s">
        <v>6305</v>
      </c>
      <c r="C2034" s="107" t="s">
        <v>6305</v>
      </c>
      <c r="D2034" s="430" t="s">
        <v>2307</v>
      </c>
      <c r="E2034" s="107" t="str">
        <f>VLOOKUP(B2034&amp;C2034,Divipola!$C$2:$F$1138,4,FALSE)</f>
        <v>11001</v>
      </c>
      <c r="F2034" s="333"/>
      <c r="G2034" s="221"/>
      <c r="H2034" s="157"/>
      <c r="I2034" s="157"/>
      <c r="J2034" s="157">
        <v>140</v>
      </c>
      <c r="K2034" s="414">
        <v>35</v>
      </c>
      <c r="L2034" s="157"/>
      <c r="M2034" s="157"/>
      <c r="N2034" s="157"/>
      <c r="O2034" s="157"/>
      <c r="P2034" s="157"/>
      <c r="Q2034" s="157"/>
      <c r="R2034" s="157"/>
      <c r="S2034" s="157"/>
      <c r="T2034" s="157"/>
      <c r="U2034" s="157"/>
      <c r="V2034" s="158"/>
      <c r="W2034" s="182"/>
      <c r="X2034" s="1"/>
      <c r="Y2034" s="78">
        <f t="shared" si="250"/>
        <v>0</v>
      </c>
      <c r="Z2034" s="78">
        <f t="shared" si="251"/>
        <v>0</v>
      </c>
      <c r="AA2034" s="78">
        <f t="shared" si="249"/>
        <v>0</v>
      </c>
      <c r="AB2034" s="78">
        <f t="shared" si="252"/>
        <v>0</v>
      </c>
      <c r="AC2034" s="78"/>
      <c r="AD2034" s="78">
        <v>0</v>
      </c>
      <c r="AE2034" s="80">
        <f t="shared" si="255"/>
        <v>0</v>
      </c>
      <c r="AF2034" s="82">
        <v>0</v>
      </c>
      <c r="AG2034" s="306">
        <v>40624</v>
      </c>
      <c r="AH2034" s="307"/>
      <c r="AI2034" s="306" t="s">
        <v>1984</v>
      </c>
      <c r="AJ2034" s="308" t="s">
        <v>1985</v>
      </c>
      <c r="AK2034" s="309"/>
      <c r="AL2034" s="310" t="s">
        <v>1257</v>
      </c>
      <c r="AM2034" s="419" t="s">
        <v>3779</v>
      </c>
      <c r="AN2034" s="159"/>
      <c r="AO2034" s="160"/>
      <c r="AP2034" s="161"/>
      <c r="AQ2034" s="160"/>
      <c r="AR2034" s="160"/>
      <c r="AS2034" s="160"/>
      <c r="AT2034" s="160"/>
      <c r="AU2034" s="160"/>
      <c r="AV2034" s="160"/>
      <c r="AW2034" s="160"/>
      <c r="AX2034" s="160"/>
      <c r="AY2034" s="160"/>
      <c r="AZ2034" s="160"/>
      <c r="BA2034" s="160"/>
      <c r="BB2034" s="160"/>
      <c r="BC2034" s="160"/>
      <c r="BD2034" s="160"/>
      <c r="BE2034" s="160"/>
      <c r="BF2034" s="160"/>
      <c r="BG2034" s="160"/>
      <c r="BH2034" s="160"/>
      <c r="BI2034" s="160"/>
      <c r="BJ2034" s="160"/>
      <c r="BK2034" s="160"/>
      <c r="BL2034" s="160"/>
      <c r="BM2034" s="160"/>
      <c r="BN2034" s="160"/>
      <c r="BO2034" s="160"/>
      <c r="BP2034" s="160"/>
      <c r="BQ2034" s="160"/>
      <c r="BR2034" s="160"/>
      <c r="BS2034" s="160"/>
      <c r="BT2034" s="160"/>
      <c r="BU2034" s="160"/>
      <c r="BV2034" s="160"/>
      <c r="BW2034" s="160"/>
      <c r="BX2034" s="160"/>
      <c r="BY2034" s="160"/>
      <c r="BZ2034" s="160"/>
      <c r="CA2034" s="160"/>
      <c r="CB2034" s="160"/>
      <c r="CC2034" s="160"/>
      <c r="CD2034" s="160"/>
      <c r="CE2034" s="160"/>
      <c r="CF2034" s="160"/>
      <c r="CG2034" s="160"/>
      <c r="CH2034" s="160"/>
      <c r="CI2034" s="160"/>
      <c r="CJ2034" s="160"/>
      <c r="CK2034" s="160"/>
      <c r="CL2034" s="160"/>
      <c r="CM2034" s="160"/>
      <c r="CN2034" s="160"/>
      <c r="CO2034" s="160"/>
      <c r="CP2034" s="162"/>
      <c r="CQ2034" s="163"/>
      <c r="CR2034" s="162"/>
      <c r="CS2034" s="163"/>
      <c r="CT2034" s="162"/>
      <c r="CU2034" s="163"/>
      <c r="CV2034" s="164">
        <f t="shared" si="253"/>
        <v>0</v>
      </c>
      <c r="CW2034" s="165"/>
      <c r="CX2034" s="166"/>
      <c r="CY2034" s="167"/>
      <c r="CZ2034" s="168"/>
      <c r="DA2034" s="169"/>
      <c r="DB2034" s="168"/>
      <c r="DC2034" s="165"/>
      <c r="DD2034" s="166"/>
      <c r="DE2034" s="71"/>
      <c r="DF2034" s="170"/>
      <c r="EO2034" s="375" t="str">
        <f t="shared" si="254"/>
        <v>BOGOTA, D.C._BOGOTA, D.C.</v>
      </c>
      <c r="EP2034" s="376"/>
      <c r="EQ2034" s="376"/>
      <c r="ER2034" s="377"/>
      <c r="ES2034" s="376"/>
      <c r="ET2034" s="376"/>
      <c r="EU2034" s="376"/>
    </row>
    <row r="2035" spans="1:151" s="171" customFormat="1" ht="84" x14ac:dyDescent="0.2">
      <c r="A2035" s="242">
        <v>40516</v>
      </c>
      <c r="B2035" s="222" t="s">
        <v>828</v>
      </c>
      <c r="C2035" s="222" t="s">
        <v>2359</v>
      </c>
      <c r="D2035" s="430" t="s">
        <v>837</v>
      </c>
      <c r="E2035" s="107" t="str">
        <f>VLOOKUP(B2035&amp;C2035,Divipola!$C$2:$F$1138,4,FALSE)</f>
        <v>15401</v>
      </c>
      <c r="F2035" s="333"/>
      <c r="G2035" s="221"/>
      <c r="H2035" s="157"/>
      <c r="I2035" s="157"/>
      <c r="J2035" s="157">
        <f>124*5</f>
        <v>620</v>
      </c>
      <c r="K2035" s="157">
        <f>131-7</f>
        <v>124</v>
      </c>
      <c r="L2035" s="157">
        <v>1</v>
      </c>
      <c r="M2035" s="157">
        <v>107</v>
      </c>
      <c r="N2035" s="157"/>
      <c r="O2035" s="157"/>
      <c r="P2035" s="157"/>
      <c r="Q2035" s="157"/>
      <c r="R2035" s="157"/>
      <c r="S2035" s="157"/>
      <c r="T2035" s="157"/>
      <c r="U2035" s="157"/>
      <c r="V2035" s="158"/>
      <c r="W2035" s="182"/>
      <c r="X2035" s="1"/>
      <c r="Y2035" s="78">
        <f t="shared" si="250"/>
        <v>0</v>
      </c>
      <c r="Z2035" s="78">
        <f t="shared" si="251"/>
        <v>0</v>
      </c>
      <c r="AA2035" s="78">
        <f t="shared" si="249"/>
        <v>0</v>
      </c>
      <c r="AB2035" s="78">
        <f t="shared" si="252"/>
        <v>0</v>
      </c>
      <c r="AC2035" s="78"/>
      <c r="AD2035" s="78">
        <v>0</v>
      </c>
      <c r="AE2035" s="80">
        <f t="shared" si="255"/>
        <v>0</v>
      </c>
      <c r="AF2035" s="82">
        <v>0</v>
      </c>
      <c r="AG2035" s="69">
        <v>40581</v>
      </c>
      <c r="AH2035" s="84"/>
      <c r="AI2035" s="69" t="s">
        <v>1984</v>
      </c>
      <c r="AJ2035" s="25" t="s">
        <v>1985</v>
      </c>
      <c r="AK2035" s="65"/>
      <c r="AL2035" s="176" t="s">
        <v>1257</v>
      </c>
      <c r="AM2035" s="173" t="s">
        <v>369</v>
      </c>
      <c r="AN2035" s="159"/>
      <c r="AO2035" s="160"/>
      <c r="AP2035" s="161"/>
      <c r="AQ2035" s="160"/>
      <c r="AR2035" s="160"/>
      <c r="AS2035" s="160"/>
      <c r="AT2035" s="160"/>
      <c r="AU2035" s="160"/>
      <c r="AV2035" s="160"/>
      <c r="AW2035" s="160"/>
      <c r="AX2035" s="160"/>
      <c r="AY2035" s="160"/>
      <c r="AZ2035" s="160"/>
      <c r="BA2035" s="160"/>
      <c r="BB2035" s="160"/>
      <c r="BC2035" s="160"/>
      <c r="BD2035" s="160"/>
      <c r="BE2035" s="160"/>
      <c r="BF2035" s="160"/>
      <c r="BG2035" s="160"/>
      <c r="BH2035" s="160"/>
      <c r="BI2035" s="160"/>
      <c r="BJ2035" s="160"/>
      <c r="BK2035" s="160"/>
      <c r="BL2035" s="160"/>
      <c r="BM2035" s="160"/>
      <c r="BN2035" s="160"/>
      <c r="BO2035" s="160"/>
      <c r="BP2035" s="160"/>
      <c r="BQ2035" s="160"/>
      <c r="BR2035" s="160"/>
      <c r="BS2035" s="160"/>
      <c r="BT2035" s="160"/>
      <c r="BU2035" s="160"/>
      <c r="BV2035" s="160"/>
      <c r="BW2035" s="160"/>
      <c r="BX2035" s="160"/>
      <c r="BY2035" s="160"/>
      <c r="BZ2035" s="160"/>
      <c r="CA2035" s="160"/>
      <c r="CB2035" s="160"/>
      <c r="CC2035" s="160"/>
      <c r="CD2035" s="160"/>
      <c r="CE2035" s="160"/>
      <c r="CF2035" s="160"/>
      <c r="CG2035" s="160"/>
      <c r="CH2035" s="160"/>
      <c r="CI2035" s="160"/>
      <c r="CJ2035" s="160"/>
      <c r="CK2035" s="160"/>
      <c r="CL2035" s="160"/>
      <c r="CM2035" s="160"/>
      <c r="CN2035" s="160"/>
      <c r="CO2035" s="160"/>
      <c r="CP2035" s="162"/>
      <c r="CQ2035" s="163"/>
      <c r="CR2035" s="162"/>
      <c r="CS2035" s="163"/>
      <c r="CT2035" s="162"/>
      <c r="CU2035" s="163"/>
      <c r="CV2035" s="164">
        <f t="shared" si="253"/>
        <v>0</v>
      </c>
      <c r="CW2035" s="165"/>
      <c r="CX2035" s="166"/>
      <c r="CY2035" s="167"/>
      <c r="CZ2035" s="168"/>
      <c r="DA2035" s="169"/>
      <c r="DB2035" s="168"/>
      <c r="DC2035" s="165"/>
      <c r="DD2035" s="166"/>
      <c r="DE2035" s="71"/>
      <c r="DF2035" s="170"/>
      <c r="EO2035" s="375" t="str">
        <f t="shared" si="254"/>
        <v>BOYACA_LA VICTORIA</v>
      </c>
      <c r="EP2035" s="376"/>
      <c r="EQ2035" s="376"/>
      <c r="ER2035" s="377"/>
      <c r="ES2035" s="376"/>
      <c r="ET2035" s="376"/>
      <c r="EU2035" s="376"/>
    </row>
    <row r="2036" spans="1:151" s="171" customFormat="1" ht="38.25" x14ac:dyDescent="0.2">
      <c r="A2036" s="242">
        <v>40516</v>
      </c>
      <c r="B2036" s="222" t="s">
        <v>2007</v>
      </c>
      <c r="C2036" s="222" t="s">
        <v>2375</v>
      </c>
      <c r="D2036" s="430" t="s">
        <v>2307</v>
      </c>
      <c r="E2036" s="107" t="str">
        <f>VLOOKUP(B2036&amp;C2036,Divipola!$C$2:$F$1138,4,FALSE)</f>
        <v>25035</v>
      </c>
      <c r="F2036" s="333"/>
      <c r="G2036" s="221"/>
      <c r="H2036" s="157"/>
      <c r="I2036" s="157"/>
      <c r="J2036" s="157">
        <v>64</v>
      </c>
      <c r="K2036" s="157">
        <v>18</v>
      </c>
      <c r="L2036" s="157">
        <v>13</v>
      </c>
      <c r="M2036" s="157"/>
      <c r="N2036" s="157"/>
      <c r="O2036" s="157"/>
      <c r="P2036" s="157"/>
      <c r="Q2036" s="157"/>
      <c r="R2036" s="157"/>
      <c r="S2036" s="157"/>
      <c r="T2036" s="157"/>
      <c r="U2036" s="157"/>
      <c r="V2036" s="158"/>
      <c r="W2036" s="182"/>
      <c r="X2036" s="1"/>
      <c r="Y2036" s="78">
        <f t="shared" si="250"/>
        <v>0</v>
      </c>
      <c r="Z2036" s="78">
        <f t="shared" si="251"/>
        <v>0</v>
      </c>
      <c r="AA2036" s="78">
        <f t="shared" si="249"/>
        <v>0</v>
      </c>
      <c r="AB2036" s="78">
        <f t="shared" si="252"/>
        <v>0</v>
      </c>
      <c r="AC2036" s="78"/>
      <c r="AD2036" s="78">
        <v>0</v>
      </c>
      <c r="AE2036" s="80">
        <f t="shared" si="255"/>
        <v>0</v>
      </c>
      <c r="AF2036" s="82">
        <v>0</v>
      </c>
      <c r="AG2036" s="69">
        <v>40516</v>
      </c>
      <c r="AH2036" s="84"/>
      <c r="AI2036" s="69" t="s">
        <v>1984</v>
      </c>
      <c r="AJ2036" s="25" t="s">
        <v>1985</v>
      </c>
      <c r="AK2036" s="65"/>
      <c r="AL2036" s="176" t="s">
        <v>1257</v>
      </c>
      <c r="AM2036" s="173" t="s">
        <v>70</v>
      </c>
      <c r="AN2036" s="159"/>
      <c r="AO2036" s="160"/>
      <c r="AP2036" s="161"/>
      <c r="AQ2036" s="160"/>
      <c r="AR2036" s="160"/>
      <c r="AS2036" s="160"/>
      <c r="AT2036" s="160"/>
      <c r="AU2036" s="160"/>
      <c r="AV2036" s="160"/>
      <c r="AW2036" s="160"/>
      <c r="AX2036" s="160"/>
      <c r="AY2036" s="160"/>
      <c r="AZ2036" s="160"/>
      <c r="BA2036" s="160"/>
      <c r="BB2036" s="160"/>
      <c r="BC2036" s="160"/>
      <c r="BD2036" s="160"/>
      <c r="BE2036" s="160"/>
      <c r="BF2036" s="160"/>
      <c r="BG2036" s="160"/>
      <c r="BH2036" s="160"/>
      <c r="BI2036" s="160"/>
      <c r="BJ2036" s="160"/>
      <c r="BK2036" s="160"/>
      <c r="BL2036" s="160"/>
      <c r="BM2036" s="160"/>
      <c r="BN2036" s="160"/>
      <c r="BO2036" s="160"/>
      <c r="BP2036" s="160"/>
      <c r="BQ2036" s="160"/>
      <c r="BR2036" s="160"/>
      <c r="BS2036" s="160"/>
      <c r="BT2036" s="160"/>
      <c r="BU2036" s="160"/>
      <c r="BV2036" s="160"/>
      <c r="BW2036" s="160"/>
      <c r="BX2036" s="160"/>
      <c r="BY2036" s="160"/>
      <c r="BZ2036" s="160"/>
      <c r="CA2036" s="160"/>
      <c r="CB2036" s="160"/>
      <c r="CC2036" s="160"/>
      <c r="CD2036" s="160"/>
      <c r="CE2036" s="160"/>
      <c r="CF2036" s="160"/>
      <c r="CG2036" s="160"/>
      <c r="CH2036" s="160"/>
      <c r="CI2036" s="160"/>
      <c r="CJ2036" s="160"/>
      <c r="CK2036" s="160"/>
      <c r="CL2036" s="160"/>
      <c r="CM2036" s="160"/>
      <c r="CN2036" s="160"/>
      <c r="CO2036" s="160"/>
      <c r="CP2036" s="162"/>
      <c r="CQ2036" s="163"/>
      <c r="CR2036" s="162"/>
      <c r="CS2036" s="163"/>
      <c r="CT2036" s="162"/>
      <c r="CU2036" s="163"/>
      <c r="CV2036" s="164">
        <f t="shared" si="253"/>
        <v>0</v>
      </c>
      <c r="CW2036" s="165"/>
      <c r="CX2036" s="166"/>
      <c r="CY2036" s="167"/>
      <c r="CZ2036" s="168"/>
      <c r="DA2036" s="169"/>
      <c r="DB2036" s="168"/>
      <c r="DC2036" s="165"/>
      <c r="DD2036" s="166"/>
      <c r="DE2036" s="71"/>
      <c r="DF2036" s="170"/>
      <c r="EO2036" s="375" t="str">
        <f t="shared" si="254"/>
        <v>CUNDINAMARCA_ANAPOIMA</v>
      </c>
      <c r="EP2036" s="376"/>
      <c r="EQ2036" s="376"/>
      <c r="ER2036" s="377"/>
      <c r="ES2036" s="376"/>
      <c r="ET2036" s="376"/>
      <c r="EU2036" s="376"/>
    </row>
    <row r="2037" spans="1:151" s="171" customFormat="1" ht="38.25" x14ac:dyDescent="0.2">
      <c r="A2037" s="242">
        <v>40516</v>
      </c>
      <c r="B2037" s="222" t="s">
        <v>2007</v>
      </c>
      <c r="C2037" s="222" t="s">
        <v>262</v>
      </c>
      <c r="D2037" s="430" t="s">
        <v>837</v>
      </c>
      <c r="E2037" s="107" t="str">
        <f>VLOOKUP(B2037&amp;C2037,Divipola!$C$2:$F$1138,4,FALSE)</f>
        <v>25148</v>
      </c>
      <c r="F2037" s="333"/>
      <c r="G2037" s="221"/>
      <c r="H2037" s="157"/>
      <c r="I2037" s="157"/>
      <c r="J2037" s="157">
        <f>1570-102</f>
        <v>1468</v>
      </c>
      <c r="K2037" s="157">
        <f>527-20</f>
        <v>507</v>
      </c>
      <c r="L2037" s="157">
        <v>110</v>
      </c>
      <c r="M2037" s="157">
        <v>334</v>
      </c>
      <c r="N2037" s="157"/>
      <c r="O2037" s="157"/>
      <c r="P2037" s="157"/>
      <c r="Q2037" s="157"/>
      <c r="R2037" s="157"/>
      <c r="S2037" s="157"/>
      <c r="T2037" s="157"/>
      <c r="U2037" s="157"/>
      <c r="V2037" s="158"/>
      <c r="W2037" s="182"/>
      <c r="X2037" s="1"/>
      <c r="Y2037" s="78">
        <f t="shared" si="250"/>
        <v>0</v>
      </c>
      <c r="Z2037" s="78">
        <f t="shared" si="251"/>
        <v>0</v>
      </c>
      <c r="AA2037" s="78">
        <f t="shared" ref="AA2037:AA2100" si="256">DB2037+DD2037</f>
        <v>0</v>
      </c>
      <c r="AB2037" s="78">
        <f t="shared" si="252"/>
        <v>0</v>
      </c>
      <c r="AC2037" s="78"/>
      <c r="AD2037" s="78">
        <v>0</v>
      </c>
      <c r="AE2037" s="80">
        <f t="shared" si="255"/>
        <v>0</v>
      </c>
      <c r="AF2037" s="82">
        <v>0</v>
      </c>
      <c r="AG2037" s="69">
        <v>40516</v>
      </c>
      <c r="AH2037" s="84"/>
      <c r="AI2037" s="69" t="s">
        <v>1984</v>
      </c>
      <c r="AJ2037" s="25" t="s">
        <v>1985</v>
      </c>
      <c r="AK2037" s="65"/>
      <c r="AL2037" s="176" t="s">
        <v>1257</v>
      </c>
      <c r="AM2037" s="173" t="s">
        <v>2978</v>
      </c>
      <c r="AN2037" s="159"/>
      <c r="AO2037" s="160"/>
      <c r="AP2037" s="161"/>
      <c r="AQ2037" s="160"/>
      <c r="AR2037" s="160"/>
      <c r="AS2037" s="160"/>
      <c r="AT2037" s="160"/>
      <c r="AU2037" s="160"/>
      <c r="AV2037" s="160"/>
      <c r="AW2037" s="160"/>
      <c r="AX2037" s="160"/>
      <c r="AY2037" s="160"/>
      <c r="AZ2037" s="160"/>
      <c r="BA2037" s="160"/>
      <c r="BB2037" s="160"/>
      <c r="BC2037" s="160"/>
      <c r="BD2037" s="160"/>
      <c r="BE2037" s="160"/>
      <c r="BF2037" s="160"/>
      <c r="BG2037" s="160"/>
      <c r="BH2037" s="160"/>
      <c r="BI2037" s="160"/>
      <c r="BJ2037" s="160"/>
      <c r="BK2037" s="160"/>
      <c r="BL2037" s="160"/>
      <c r="BM2037" s="160"/>
      <c r="BN2037" s="160"/>
      <c r="BO2037" s="160"/>
      <c r="BP2037" s="160"/>
      <c r="BQ2037" s="160"/>
      <c r="BR2037" s="160"/>
      <c r="BS2037" s="160"/>
      <c r="BT2037" s="160"/>
      <c r="BU2037" s="160"/>
      <c r="BV2037" s="160"/>
      <c r="BW2037" s="160"/>
      <c r="BX2037" s="160"/>
      <c r="BY2037" s="160"/>
      <c r="BZ2037" s="160"/>
      <c r="CA2037" s="160"/>
      <c r="CB2037" s="160"/>
      <c r="CC2037" s="160"/>
      <c r="CD2037" s="160"/>
      <c r="CE2037" s="160"/>
      <c r="CF2037" s="160"/>
      <c r="CG2037" s="160"/>
      <c r="CH2037" s="160"/>
      <c r="CI2037" s="160"/>
      <c r="CJ2037" s="160"/>
      <c r="CK2037" s="160"/>
      <c r="CL2037" s="160"/>
      <c r="CM2037" s="160"/>
      <c r="CN2037" s="160"/>
      <c r="CO2037" s="160"/>
      <c r="CP2037" s="162"/>
      <c r="CQ2037" s="163"/>
      <c r="CR2037" s="162"/>
      <c r="CS2037" s="163"/>
      <c r="CT2037" s="162"/>
      <c r="CU2037" s="163"/>
      <c r="CV2037" s="164">
        <f t="shared" si="253"/>
        <v>0</v>
      </c>
      <c r="CW2037" s="165"/>
      <c r="CX2037" s="166"/>
      <c r="CY2037" s="167"/>
      <c r="CZ2037" s="168"/>
      <c r="DA2037" s="169"/>
      <c r="DB2037" s="168"/>
      <c r="DC2037" s="165"/>
      <c r="DD2037" s="166"/>
      <c r="DE2037" s="71"/>
      <c r="DF2037" s="170"/>
      <c r="EO2037" s="375" t="str">
        <f t="shared" si="254"/>
        <v>CUNDINAMARCA_CAPARRAPI</v>
      </c>
      <c r="EP2037" s="376"/>
      <c r="EQ2037" s="376"/>
      <c r="ER2037" s="377"/>
      <c r="ES2037" s="376"/>
      <c r="ET2037" s="376"/>
      <c r="EU2037" s="376"/>
    </row>
    <row r="2038" spans="1:151" s="171" customFormat="1" ht="60" x14ac:dyDescent="0.2">
      <c r="A2038" s="242">
        <v>40516</v>
      </c>
      <c r="B2038" s="222" t="s">
        <v>2007</v>
      </c>
      <c r="C2038" s="222" t="s">
        <v>2246</v>
      </c>
      <c r="D2038" s="430" t="s">
        <v>837</v>
      </c>
      <c r="E2038" s="107" t="str">
        <f>VLOOKUP(B2038&amp;C2038,Divipola!$C$2:$F$1138,4,FALSE)</f>
        <v>25307</v>
      </c>
      <c r="F2038" s="333"/>
      <c r="G2038" s="221"/>
      <c r="H2038" s="157"/>
      <c r="I2038" s="157"/>
      <c r="J2038" s="157">
        <v>148</v>
      </c>
      <c r="K2038" s="157">
        <v>35</v>
      </c>
      <c r="L2038" s="157"/>
      <c r="M2038" s="157">
        <v>35</v>
      </c>
      <c r="N2038" s="157"/>
      <c r="O2038" s="157"/>
      <c r="P2038" s="157"/>
      <c r="Q2038" s="157"/>
      <c r="R2038" s="157"/>
      <c r="S2038" s="157"/>
      <c r="T2038" s="157"/>
      <c r="U2038" s="157"/>
      <c r="V2038" s="158"/>
      <c r="W2038" s="182"/>
      <c r="X2038" s="1"/>
      <c r="Y2038" s="78">
        <f t="shared" si="250"/>
        <v>0</v>
      </c>
      <c r="Z2038" s="78">
        <f t="shared" si="251"/>
        <v>0</v>
      </c>
      <c r="AA2038" s="78">
        <f t="shared" si="256"/>
        <v>0</v>
      </c>
      <c r="AB2038" s="78">
        <f t="shared" si="252"/>
        <v>0</v>
      </c>
      <c r="AC2038" s="78"/>
      <c r="AD2038" s="78">
        <v>0</v>
      </c>
      <c r="AE2038" s="80">
        <f t="shared" si="255"/>
        <v>0</v>
      </c>
      <c r="AF2038" s="82">
        <v>0</v>
      </c>
      <c r="AG2038" s="69">
        <v>40516</v>
      </c>
      <c r="AH2038" s="84"/>
      <c r="AI2038" s="69" t="s">
        <v>1984</v>
      </c>
      <c r="AJ2038" s="25" t="s">
        <v>1985</v>
      </c>
      <c r="AK2038" s="65"/>
      <c r="AL2038" s="176" t="s">
        <v>1257</v>
      </c>
      <c r="AM2038" s="173" t="s">
        <v>825</v>
      </c>
      <c r="AN2038" s="159"/>
      <c r="AO2038" s="160"/>
      <c r="AP2038" s="161"/>
      <c r="AQ2038" s="160"/>
      <c r="AR2038" s="160"/>
      <c r="AS2038" s="160"/>
      <c r="AT2038" s="160"/>
      <c r="AU2038" s="160"/>
      <c r="AV2038" s="160"/>
      <c r="AW2038" s="160"/>
      <c r="AX2038" s="160"/>
      <c r="AY2038" s="160"/>
      <c r="AZ2038" s="160"/>
      <c r="BA2038" s="160"/>
      <c r="BB2038" s="160"/>
      <c r="BC2038" s="160"/>
      <c r="BD2038" s="160"/>
      <c r="BE2038" s="160"/>
      <c r="BF2038" s="160"/>
      <c r="BG2038" s="160"/>
      <c r="BH2038" s="160"/>
      <c r="BI2038" s="160"/>
      <c r="BJ2038" s="160"/>
      <c r="BK2038" s="160"/>
      <c r="BL2038" s="160"/>
      <c r="BM2038" s="160"/>
      <c r="BN2038" s="160"/>
      <c r="BO2038" s="160"/>
      <c r="BP2038" s="160"/>
      <c r="BQ2038" s="160"/>
      <c r="BR2038" s="160"/>
      <c r="BS2038" s="160"/>
      <c r="BT2038" s="160"/>
      <c r="BU2038" s="160"/>
      <c r="BV2038" s="160"/>
      <c r="BW2038" s="160"/>
      <c r="BX2038" s="160"/>
      <c r="BY2038" s="160"/>
      <c r="BZ2038" s="160"/>
      <c r="CA2038" s="160"/>
      <c r="CB2038" s="160"/>
      <c r="CC2038" s="160"/>
      <c r="CD2038" s="160"/>
      <c r="CE2038" s="160"/>
      <c r="CF2038" s="160"/>
      <c r="CG2038" s="160"/>
      <c r="CH2038" s="160"/>
      <c r="CI2038" s="160"/>
      <c r="CJ2038" s="160"/>
      <c r="CK2038" s="160"/>
      <c r="CL2038" s="160"/>
      <c r="CM2038" s="160"/>
      <c r="CN2038" s="160"/>
      <c r="CO2038" s="160"/>
      <c r="CP2038" s="162"/>
      <c r="CQ2038" s="163"/>
      <c r="CR2038" s="162"/>
      <c r="CS2038" s="163"/>
      <c r="CT2038" s="162"/>
      <c r="CU2038" s="163"/>
      <c r="CV2038" s="164">
        <f t="shared" si="253"/>
        <v>0</v>
      </c>
      <c r="CW2038" s="165"/>
      <c r="CX2038" s="166"/>
      <c r="CY2038" s="167"/>
      <c r="CZ2038" s="168"/>
      <c r="DA2038" s="169"/>
      <c r="DB2038" s="168"/>
      <c r="DC2038" s="165"/>
      <c r="DD2038" s="166"/>
      <c r="DE2038" s="71"/>
      <c r="DF2038" s="170"/>
      <c r="EO2038" s="375" t="str">
        <f t="shared" si="254"/>
        <v>CUNDINAMARCA_GIRARDOT</v>
      </c>
      <c r="EP2038" s="376"/>
      <c r="EQ2038" s="376"/>
      <c r="ER2038" s="377"/>
      <c r="ES2038" s="376"/>
      <c r="ET2038" s="376"/>
      <c r="EU2038" s="376"/>
    </row>
    <row r="2039" spans="1:151" s="171" customFormat="1" ht="38.25" x14ac:dyDescent="0.2">
      <c r="A2039" s="242">
        <v>40516</v>
      </c>
      <c r="B2039" s="222" t="s">
        <v>2007</v>
      </c>
      <c r="C2039" s="222" t="s">
        <v>2979</v>
      </c>
      <c r="D2039" s="430" t="s">
        <v>2307</v>
      </c>
      <c r="E2039" s="107" t="str">
        <f>VLOOKUP(B2039&amp;C2039,Divipola!$C$2:$F$1138,4,FALSE)</f>
        <v>25805</v>
      </c>
      <c r="F2039" s="333"/>
      <c r="G2039" s="221"/>
      <c r="H2039" s="157"/>
      <c r="I2039" s="157"/>
      <c r="J2039" s="157">
        <f>75*5</f>
        <v>375</v>
      </c>
      <c r="K2039" s="157">
        <v>75</v>
      </c>
      <c r="L2039" s="157">
        <v>2</v>
      </c>
      <c r="M2039" s="157">
        <v>73</v>
      </c>
      <c r="N2039" s="157"/>
      <c r="O2039" s="157"/>
      <c r="P2039" s="157"/>
      <c r="Q2039" s="157"/>
      <c r="R2039" s="157"/>
      <c r="S2039" s="157"/>
      <c r="T2039" s="157"/>
      <c r="U2039" s="157"/>
      <c r="V2039" s="158"/>
      <c r="W2039" s="182"/>
      <c r="X2039" s="1"/>
      <c r="Y2039" s="78">
        <f t="shared" si="250"/>
        <v>0</v>
      </c>
      <c r="Z2039" s="78">
        <f t="shared" si="251"/>
        <v>0</v>
      </c>
      <c r="AA2039" s="78">
        <f t="shared" si="256"/>
        <v>0</v>
      </c>
      <c r="AB2039" s="78">
        <f t="shared" si="252"/>
        <v>0</v>
      </c>
      <c r="AC2039" s="78"/>
      <c r="AD2039" s="78">
        <v>0</v>
      </c>
      <c r="AE2039" s="80">
        <f t="shared" si="255"/>
        <v>0</v>
      </c>
      <c r="AF2039" s="82">
        <v>0</v>
      </c>
      <c r="AG2039" s="242">
        <v>40516</v>
      </c>
      <c r="AH2039" s="84"/>
      <c r="AI2039" s="69" t="s">
        <v>1984</v>
      </c>
      <c r="AJ2039" s="25" t="s">
        <v>1985</v>
      </c>
      <c r="AK2039" s="65"/>
      <c r="AL2039" s="176" t="s">
        <v>1257</v>
      </c>
      <c r="AM2039" s="173" t="s">
        <v>2980</v>
      </c>
      <c r="AN2039" s="159"/>
      <c r="AO2039" s="160"/>
      <c r="AP2039" s="161"/>
      <c r="AQ2039" s="160"/>
      <c r="AR2039" s="160"/>
      <c r="AS2039" s="160"/>
      <c r="AT2039" s="160"/>
      <c r="AU2039" s="160"/>
      <c r="AV2039" s="160"/>
      <c r="AW2039" s="160"/>
      <c r="AX2039" s="160"/>
      <c r="AY2039" s="160"/>
      <c r="AZ2039" s="160"/>
      <c r="BA2039" s="160"/>
      <c r="BB2039" s="160"/>
      <c r="BC2039" s="160"/>
      <c r="BD2039" s="160"/>
      <c r="BE2039" s="160"/>
      <c r="BF2039" s="160"/>
      <c r="BG2039" s="160"/>
      <c r="BH2039" s="160"/>
      <c r="BI2039" s="160"/>
      <c r="BJ2039" s="160"/>
      <c r="BK2039" s="160"/>
      <c r="BL2039" s="160"/>
      <c r="BM2039" s="160"/>
      <c r="BN2039" s="160"/>
      <c r="BO2039" s="160"/>
      <c r="BP2039" s="160"/>
      <c r="BQ2039" s="160"/>
      <c r="BR2039" s="160"/>
      <c r="BS2039" s="160"/>
      <c r="BT2039" s="160"/>
      <c r="BU2039" s="160"/>
      <c r="BV2039" s="160"/>
      <c r="BW2039" s="160"/>
      <c r="BX2039" s="160"/>
      <c r="BY2039" s="160"/>
      <c r="BZ2039" s="160"/>
      <c r="CA2039" s="160"/>
      <c r="CB2039" s="160"/>
      <c r="CC2039" s="160"/>
      <c r="CD2039" s="160"/>
      <c r="CE2039" s="160"/>
      <c r="CF2039" s="160"/>
      <c r="CG2039" s="160"/>
      <c r="CH2039" s="160"/>
      <c r="CI2039" s="160"/>
      <c r="CJ2039" s="160"/>
      <c r="CK2039" s="160"/>
      <c r="CL2039" s="160"/>
      <c r="CM2039" s="160"/>
      <c r="CN2039" s="160"/>
      <c r="CO2039" s="160"/>
      <c r="CP2039" s="162"/>
      <c r="CQ2039" s="163"/>
      <c r="CR2039" s="162"/>
      <c r="CS2039" s="163"/>
      <c r="CT2039" s="162"/>
      <c r="CU2039" s="163"/>
      <c r="CV2039" s="164">
        <f t="shared" si="253"/>
        <v>0</v>
      </c>
      <c r="CW2039" s="165"/>
      <c r="CX2039" s="166"/>
      <c r="CY2039" s="167"/>
      <c r="CZ2039" s="168"/>
      <c r="DA2039" s="169"/>
      <c r="DB2039" s="168"/>
      <c r="DC2039" s="165"/>
      <c r="DD2039" s="166"/>
      <c r="DE2039" s="71"/>
      <c r="DF2039" s="170"/>
      <c r="EO2039" s="375" t="str">
        <f t="shared" si="254"/>
        <v>CUNDINAMARCA_TIBACUY</v>
      </c>
      <c r="EP2039" s="376"/>
      <c r="EQ2039" s="376"/>
      <c r="ER2039" s="377"/>
      <c r="ES2039" s="376"/>
      <c r="ET2039" s="376"/>
      <c r="EU2039" s="376"/>
    </row>
    <row r="2040" spans="1:151" s="171" customFormat="1" ht="48" x14ac:dyDescent="0.2">
      <c r="A2040" s="242">
        <v>40516</v>
      </c>
      <c r="B2040" s="222" t="s">
        <v>2007</v>
      </c>
      <c r="C2040" s="222" t="s">
        <v>1328</v>
      </c>
      <c r="D2040" s="430" t="s">
        <v>2307</v>
      </c>
      <c r="E2040" s="107" t="str">
        <f>VLOOKUP(B2040&amp;C2040,Divipola!$C$2:$F$1138,4,FALSE)</f>
        <v>25878</v>
      </c>
      <c r="F2040" s="333"/>
      <c r="G2040" s="221"/>
      <c r="H2040" s="157"/>
      <c r="I2040" s="157"/>
      <c r="J2040" s="157">
        <v>796</v>
      </c>
      <c r="K2040" s="157">
        <v>230</v>
      </c>
      <c r="L2040" s="157"/>
      <c r="M2040" s="157">
        <f>5+17</f>
        <v>22</v>
      </c>
      <c r="N2040" s="157"/>
      <c r="O2040" s="157"/>
      <c r="P2040" s="157"/>
      <c r="Q2040" s="157"/>
      <c r="R2040" s="157"/>
      <c r="S2040" s="157"/>
      <c r="T2040" s="157"/>
      <c r="U2040" s="157"/>
      <c r="V2040" s="158"/>
      <c r="W2040" s="182"/>
      <c r="X2040" s="1"/>
      <c r="Y2040" s="78">
        <f t="shared" si="250"/>
        <v>0</v>
      </c>
      <c r="Z2040" s="78">
        <f t="shared" si="251"/>
        <v>0</v>
      </c>
      <c r="AA2040" s="78">
        <f t="shared" si="256"/>
        <v>0</v>
      </c>
      <c r="AB2040" s="78">
        <f t="shared" si="252"/>
        <v>0</v>
      </c>
      <c r="AC2040" s="78"/>
      <c r="AD2040" s="78">
        <v>0</v>
      </c>
      <c r="AE2040" s="80">
        <f t="shared" si="255"/>
        <v>0</v>
      </c>
      <c r="AF2040" s="82">
        <v>0</v>
      </c>
      <c r="AG2040" s="69">
        <v>40516</v>
      </c>
      <c r="AH2040" s="84"/>
      <c r="AI2040" s="69" t="s">
        <v>1984</v>
      </c>
      <c r="AJ2040" s="25" t="s">
        <v>1985</v>
      </c>
      <c r="AK2040" s="65"/>
      <c r="AL2040" s="176" t="s">
        <v>1257</v>
      </c>
      <c r="AM2040" s="173" t="s">
        <v>65</v>
      </c>
      <c r="AN2040" s="159"/>
      <c r="AO2040" s="160"/>
      <c r="AP2040" s="161"/>
      <c r="AQ2040" s="160"/>
      <c r="AR2040" s="160"/>
      <c r="AS2040" s="160"/>
      <c r="AT2040" s="160"/>
      <c r="AU2040" s="160"/>
      <c r="AV2040" s="160"/>
      <c r="AW2040" s="160"/>
      <c r="AX2040" s="160"/>
      <c r="AY2040" s="160"/>
      <c r="AZ2040" s="160"/>
      <c r="BA2040" s="160"/>
      <c r="BB2040" s="160"/>
      <c r="BC2040" s="160"/>
      <c r="BD2040" s="160"/>
      <c r="BE2040" s="160"/>
      <c r="BF2040" s="160"/>
      <c r="BG2040" s="160"/>
      <c r="BH2040" s="160"/>
      <c r="BI2040" s="160"/>
      <c r="BJ2040" s="160"/>
      <c r="BK2040" s="160"/>
      <c r="BL2040" s="160"/>
      <c r="BM2040" s="160"/>
      <c r="BN2040" s="160"/>
      <c r="BO2040" s="160"/>
      <c r="BP2040" s="160"/>
      <c r="BQ2040" s="160"/>
      <c r="BR2040" s="160"/>
      <c r="BS2040" s="160"/>
      <c r="BT2040" s="160"/>
      <c r="BU2040" s="160"/>
      <c r="BV2040" s="160"/>
      <c r="BW2040" s="160"/>
      <c r="BX2040" s="160"/>
      <c r="BY2040" s="160"/>
      <c r="BZ2040" s="160"/>
      <c r="CA2040" s="160"/>
      <c r="CB2040" s="160"/>
      <c r="CC2040" s="160"/>
      <c r="CD2040" s="160"/>
      <c r="CE2040" s="160"/>
      <c r="CF2040" s="160"/>
      <c r="CG2040" s="160"/>
      <c r="CH2040" s="160"/>
      <c r="CI2040" s="160"/>
      <c r="CJ2040" s="160"/>
      <c r="CK2040" s="160"/>
      <c r="CL2040" s="160"/>
      <c r="CM2040" s="160"/>
      <c r="CN2040" s="160"/>
      <c r="CO2040" s="160"/>
      <c r="CP2040" s="162"/>
      <c r="CQ2040" s="163"/>
      <c r="CR2040" s="162"/>
      <c r="CS2040" s="163"/>
      <c r="CT2040" s="162"/>
      <c r="CU2040" s="163"/>
      <c r="CV2040" s="164">
        <f t="shared" si="253"/>
        <v>0</v>
      </c>
      <c r="CW2040" s="165"/>
      <c r="CX2040" s="166"/>
      <c r="CY2040" s="167"/>
      <c r="CZ2040" s="168"/>
      <c r="DA2040" s="169"/>
      <c r="DB2040" s="168"/>
      <c r="DC2040" s="165"/>
      <c r="DD2040" s="166"/>
      <c r="DE2040" s="71"/>
      <c r="DF2040" s="170"/>
      <c r="EO2040" s="375" t="str">
        <f t="shared" si="254"/>
        <v>CUNDINAMARCA_VIOTA</v>
      </c>
      <c r="EP2040" s="376"/>
      <c r="EQ2040" s="376"/>
      <c r="ER2040" s="377"/>
      <c r="ES2040" s="376"/>
      <c r="ET2040" s="376"/>
      <c r="EU2040" s="376"/>
    </row>
    <row r="2041" spans="1:151" s="171" customFormat="1" ht="45" x14ac:dyDescent="0.2">
      <c r="A2041" s="242">
        <v>40516</v>
      </c>
      <c r="B2041" s="222" t="s">
        <v>1333</v>
      </c>
      <c r="C2041" s="222" t="s">
        <v>2770</v>
      </c>
      <c r="D2041" s="430" t="s">
        <v>2307</v>
      </c>
      <c r="E2041" s="107" t="str">
        <f>VLOOKUP(B2041&amp;C2041,Divipola!$C$2:$F$1138,4,FALSE)</f>
        <v>41206</v>
      </c>
      <c r="F2041" s="333"/>
      <c r="G2041" s="221"/>
      <c r="H2041" s="157"/>
      <c r="I2041" s="157"/>
      <c r="J2041" s="157">
        <v>8</v>
      </c>
      <c r="K2041" s="157">
        <v>1</v>
      </c>
      <c r="L2041" s="157">
        <v>1</v>
      </c>
      <c r="M2041" s="157"/>
      <c r="N2041" s="157">
        <v>1</v>
      </c>
      <c r="O2041" s="157"/>
      <c r="P2041" s="157"/>
      <c r="Q2041" s="157">
        <v>1</v>
      </c>
      <c r="R2041" s="157"/>
      <c r="S2041" s="157"/>
      <c r="T2041" s="157">
        <v>26</v>
      </c>
      <c r="U2041" s="157"/>
      <c r="V2041" s="158">
        <v>25</v>
      </c>
      <c r="W2041" s="182" t="s">
        <v>2959</v>
      </c>
      <c r="X2041" s="1"/>
      <c r="Y2041" s="78">
        <f t="shared" si="250"/>
        <v>0</v>
      </c>
      <c r="Z2041" s="78">
        <f t="shared" si="251"/>
        <v>0</v>
      </c>
      <c r="AA2041" s="78">
        <f t="shared" si="256"/>
        <v>0</v>
      </c>
      <c r="AB2041" s="78">
        <f t="shared" si="252"/>
        <v>0</v>
      </c>
      <c r="AC2041" s="78"/>
      <c r="AD2041" s="78">
        <v>0</v>
      </c>
      <c r="AE2041" s="80">
        <f t="shared" si="255"/>
        <v>0</v>
      </c>
      <c r="AF2041" s="82">
        <v>0</v>
      </c>
      <c r="AG2041" s="69">
        <v>40516</v>
      </c>
      <c r="AH2041" s="84"/>
      <c r="AI2041" s="69" t="s">
        <v>2009</v>
      </c>
      <c r="AJ2041" s="276" t="s">
        <v>2010</v>
      </c>
      <c r="AK2041" s="65"/>
      <c r="AL2041" s="272" t="s">
        <v>311</v>
      </c>
      <c r="AM2041" s="173" t="s">
        <v>138</v>
      </c>
      <c r="AN2041" s="159"/>
      <c r="AO2041" s="160"/>
      <c r="AP2041" s="161"/>
      <c r="AQ2041" s="160"/>
      <c r="AR2041" s="160"/>
      <c r="AS2041" s="160"/>
      <c r="AT2041" s="160"/>
      <c r="AU2041" s="160"/>
      <c r="AV2041" s="160"/>
      <c r="AW2041" s="160"/>
      <c r="AX2041" s="160"/>
      <c r="AY2041" s="160"/>
      <c r="AZ2041" s="160"/>
      <c r="BA2041" s="160"/>
      <c r="BB2041" s="160"/>
      <c r="BC2041" s="160"/>
      <c r="BD2041" s="160"/>
      <c r="BE2041" s="160"/>
      <c r="BF2041" s="160"/>
      <c r="BG2041" s="160"/>
      <c r="BH2041" s="160"/>
      <c r="BI2041" s="160"/>
      <c r="BJ2041" s="160"/>
      <c r="BK2041" s="160"/>
      <c r="BL2041" s="160"/>
      <c r="BM2041" s="160"/>
      <c r="BN2041" s="160"/>
      <c r="BO2041" s="160"/>
      <c r="BP2041" s="160"/>
      <c r="BQ2041" s="160"/>
      <c r="BR2041" s="160"/>
      <c r="BS2041" s="160"/>
      <c r="BT2041" s="160"/>
      <c r="BU2041" s="160"/>
      <c r="BV2041" s="160"/>
      <c r="BW2041" s="160"/>
      <c r="BX2041" s="160"/>
      <c r="BY2041" s="160"/>
      <c r="BZ2041" s="160"/>
      <c r="CA2041" s="160"/>
      <c r="CB2041" s="160"/>
      <c r="CC2041" s="160"/>
      <c r="CD2041" s="160"/>
      <c r="CE2041" s="160"/>
      <c r="CF2041" s="160"/>
      <c r="CG2041" s="160"/>
      <c r="CH2041" s="160"/>
      <c r="CI2041" s="160"/>
      <c r="CJ2041" s="160"/>
      <c r="CK2041" s="160"/>
      <c r="CL2041" s="160"/>
      <c r="CM2041" s="160"/>
      <c r="CN2041" s="160"/>
      <c r="CO2041" s="160"/>
      <c r="CP2041" s="162"/>
      <c r="CQ2041" s="163"/>
      <c r="CR2041" s="162"/>
      <c r="CS2041" s="163"/>
      <c r="CT2041" s="162"/>
      <c r="CU2041" s="163"/>
      <c r="CV2041" s="164">
        <f t="shared" si="253"/>
        <v>0</v>
      </c>
      <c r="CW2041" s="165"/>
      <c r="CX2041" s="166"/>
      <c r="CY2041" s="167"/>
      <c r="CZ2041" s="168"/>
      <c r="DA2041" s="169"/>
      <c r="DB2041" s="168"/>
      <c r="DC2041" s="165"/>
      <c r="DD2041" s="166"/>
      <c r="DE2041" s="71"/>
      <c r="DF2041" s="170"/>
      <c r="EO2041" s="375" t="str">
        <f t="shared" si="254"/>
        <v>HUILA_COLOMBIA</v>
      </c>
      <c r="EP2041" s="376"/>
      <c r="EQ2041" s="376"/>
      <c r="ER2041" s="377"/>
      <c r="ES2041" s="376"/>
      <c r="ET2041" s="376"/>
      <c r="EU2041" s="376"/>
    </row>
    <row r="2042" spans="1:151" s="171" customFormat="1" ht="38.25" x14ac:dyDescent="0.2">
      <c r="A2042" s="242">
        <v>40516</v>
      </c>
      <c r="B2042" s="222" t="s">
        <v>708</v>
      </c>
      <c r="C2042" s="222" t="s">
        <v>2833</v>
      </c>
      <c r="D2042" s="430" t="s">
        <v>837</v>
      </c>
      <c r="E2042" s="107" t="str">
        <f>VLOOKUP(B2042&amp;C2042,Divipola!$C$2:$F$1138,4,FALSE)</f>
        <v>50711</v>
      </c>
      <c r="F2042" s="333"/>
      <c r="G2042" s="221"/>
      <c r="H2042" s="157"/>
      <c r="I2042" s="157"/>
      <c r="J2042" s="157">
        <v>15</v>
      </c>
      <c r="K2042" s="157">
        <v>3</v>
      </c>
      <c r="L2042" s="157"/>
      <c r="M2042" s="157">
        <v>3</v>
      </c>
      <c r="N2042" s="157"/>
      <c r="O2042" s="157"/>
      <c r="P2042" s="157"/>
      <c r="Q2042" s="157"/>
      <c r="R2042" s="157"/>
      <c r="S2042" s="157"/>
      <c r="T2042" s="157"/>
      <c r="U2042" s="157"/>
      <c r="V2042" s="158">
        <v>158.5</v>
      </c>
      <c r="W2042" s="182" t="s">
        <v>2985</v>
      </c>
      <c r="X2042" s="1"/>
      <c r="Y2042" s="78">
        <f t="shared" si="250"/>
        <v>0</v>
      </c>
      <c r="Z2042" s="78">
        <f t="shared" si="251"/>
        <v>0</v>
      </c>
      <c r="AA2042" s="78">
        <f t="shared" si="256"/>
        <v>0</v>
      </c>
      <c r="AB2042" s="78">
        <f t="shared" si="252"/>
        <v>0</v>
      </c>
      <c r="AC2042" s="78"/>
      <c r="AD2042" s="78">
        <v>0</v>
      </c>
      <c r="AE2042" s="80">
        <f t="shared" si="255"/>
        <v>0</v>
      </c>
      <c r="AF2042" s="82">
        <v>0</v>
      </c>
      <c r="AG2042" s="69">
        <v>40516</v>
      </c>
      <c r="AH2042" s="84"/>
      <c r="AI2042" s="69" t="s">
        <v>1984</v>
      </c>
      <c r="AJ2042" s="25" t="s">
        <v>1985</v>
      </c>
      <c r="AK2042" s="65"/>
      <c r="AL2042" s="176" t="s">
        <v>1257</v>
      </c>
      <c r="AM2042" s="173" t="s">
        <v>2984</v>
      </c>
      <c r="AN2042" s="159"/>
      <c r="AO2042" s="160"/>
      <c r="AP2042" s="161"/>
      <c r="AQ2042" s="160"/>
      <c r="AR2042" s="160"/>
      <c r="AS2042" s="160"/>
      <c r="AT2042" s="160"/>
      <c r="AU2042" s="160"/>
      <c r="AV2042" s="160"/>
      <c r="AW2042" s="160"/>
      <c r="AX2042" s="160"/>
      <c r="AY2042" s="160"/>
      <c r="AZ2042" s="160"/>
      <c r="BA2042" s="160"/>
      <c r="BB2042" s="160"/>
      <c r="BC2042" s="160"/>
      <c r="BD2042" s="160"/>
      <c r="BE2042" s="160"/>
      <c r="BF2042" s="160"/>
      <c r="BG2042" s="160"/>
      <c r="BH2042" s="160"/>
      <c r="BI2042" s="160"/>
      <c r="BJ2042" s="160"/>
      <c r="BK2042" s="160"/>
      <c r="BL2042" s="160"/>
      <c r="BM2042" s="160"/>
      <c r="BN2042" s="160"/>
      <c r="BO2042" s="160"/>
      <c r="BP2042" s="160"/>
      <c r="BQ2042" s="160"/>
      <c r="BR2042" s="160"/>
      <c r="BS2042" s="160"/>
      <c r="BT2042" s="160"/>
      <c r="BU2042" s="160"/>
      <c r="BV2042" s="160"/>
      <c r="BW2042" s="160"/>
      <c r="BX2042" s="160"/>
      <c r="BY2042" s="160"/>
      <c r="BZ2042" s="160"/>
      <c r="CA2042" s="160"/>
      <c r="CB2042" s="160"/>
      <c r="CC2042" s="160"/>
      <c r="CD2042" s="160"/>
      <c r="CE2042" s="160"/>
      <c r="CF2042" s="160"/>
      <c r="CG2042" s="160"/>
      <c r="CH2042" s="160"/>
      <c r="CI2042" s="160"/>
      <c r="CJ2042" s="160"/>
      <c r="CK2042" s="160"/>
      <c r="CL2042" s="160"/>
      <c r="CM2042" s="160"/>
      <c r="CN2042" s="160"/>
      <c r="CO2042" s="160"/>
      <c r="CP2042" s="162"/>
      <c r="CQ2042" s="163"/>
      <c r="CR2042" s="162"/>
      <c r="CS2042" s="163"/>
      <c r="CT2042" s="162"/>
      <c r="CU2042" s="163"/>
      <c r="CV2042" s="164">
        <f t="shared" si="253"/>
        <v>0</v>
      </c>
      <c r="CW2042" s="165"/>
      <c r="CX2042" s="166"/>
      <c r="CY2042" s="167"/>
      <c r="CZ2042" s="168"/>
      <c r="DA2042" s="169"/>
      <c r="DB2042" s="168"/>
      <c r="DC2042" s="165"/>
      <c r="DD2042" s="166"/>
      <c r="DE2042" s="71"/>
      <c r="DF2042" s="170"/>
      <c r="EO2042" s="375" t="str">
        <f t="shared" si="254"/>
        <v>META_VISTAHERMOSA</v>
      </c>
      <c r="EP2042" s="376"/>
      <c r="EQ2042" s="376"/>
      <c r="ER2042" s="377"/>
      <c r="ES2042" s="376"/>
      <c r="ET2042" s="376"/>
      <c r="EU2042" s="376"/>
    </row>
    <row r="2043" spans="1:151" s="171" customFormat="1" ht="51" x14ac:dyDescent="0.2">
      <c r="A2043" s="242">
        <v>40516</v>
      </c>
      <c r="B2043" s="222" t="s">
        <v>1336</v>
      </c>
      <c r="C2043" s="222" t="s">
        <v>2448</v>
      </c>
      <c r="D2043" s="430" t="s">
        <v>2307</v>
      </c>
      <c r="E2043" s="107" t="str">
        <f>VLOOKUP(B2043&amp;C2043,Divipola!$C$2:$F$1138,4,FALSE)</f>
        <v>54313</v>
      </c>
      <c r="F2043" s="333"/>
      <c r="G2043" s="221"/>
      <c r="H2043" s="157"/>
      <c r="I2043" s="157"/>
      <c r="J2043" s="421">
        <f>856*3.3</f>
        <v>2824.7999999999997</v>
      </c>
      <c r="K2043" s="157">
        <v>856</v>
      </c>
      <c r="L2043" s="157">
        <v>20</v>
      </c>
      <c r="M2043" s="157">
        <v>84</v>
      </c>
      <c r="N2043" s="157"/>
      <c r="O2043" s="157"/>
      <c r="P2043" s="157"/>
      <c r="Q2043" s="157"/>
      <c r="R2043" s="157"/>
      <c r="S2043" s="157"/>
      <c r="T2043" s="157"/>
      <c r="U2043" s="157"/>
      <c r="V2043" s="158"/>
      <c r="W2043" s="182"/>
      <c r="X2043" s="1"/>
      <c r="Y2043" s="78">
        <f t="shared" si="250"/>
        <v>0</v>
      </c>
      <c r="Z2043" s="78">
        <f t="shared" si="251"/>
        <v>0</v>
      </c>
      <c r="AA2043" s="78">
        <f t="shared" si="256"/>
        <v>0</v>
      </c>
      <c r="AB2043" s="78">
        <f t="shared" si="252"/>
        <v>0</v>
      </c>
      <c r="AC2043" s="78"/>
      <c r="AD2043" s="78">
        <v>0</v>
      </c>
      <c r="AE2043" s="80">
        <f t="shared" si="255"/>
        <v>0</v>
      </c>
      <c r="AF2043" s="82">
        <v>0</v>
      </c>
      <c r="AG2043" s="69">
        <v>40529</v>
      </c>
      <c r="AH2043" s="84"/>
      <c r="AI2043" s="69" t="s">
        <v>2009</v>
      </c>
      <c r="AJ2043" s="276" t="s">
        <v>2010</v>
      </c>
      <c r="AK2043" s="65"/>
      <c r="AL2043" s="272" t="s">
        <v>311</v>
      </c>
      <c r="AM2043" s="173" t="s">
        <v>591</v>
      </c>
      <c r="AN2043" s="159"/>
      <c r="AO2043" s="160"/>
      <c r="AP2043" s="161"/>
      <c r="AQ2043" s="160"/>
      <c r="AR2043" s="160"/>
      <c r="AS2043" s="160"/>
      <c r="AT2043" s="160"/>
      <c r="AU2043" s="160"/>
      <c r="AV2043" s="160"/>
      <c r="AW2043" s="160"/>
      <c r="AX2043" s="160"/>
      <c r="AY2043" s="160"/>
      <c r="AZ2043" s="160"/>
      <c r="BA2043" s="160"/>
      <c r="BB2043" s="160"/>
      <c r="BC2043" s="160"/>
      <c r="BD2043" s="160"/>
      <c r="BE2043" s="160"/>
      <c r="BF2043" s="160"/>
      <c r="BG2043" s="160"/>
      <c r="BH2043" s="160"/>
      <c r="BI2043" s="160"/>
      <c r="BJ2043" s="160"/>
      <c r="BK2043" s="160"/>
      <c r="BL2043" s="160"/>
      <c r="BM2043" s="160"/>
      <c r="BN2043" s="160"/>
      <c r="BO2043" s="160"/>
      <c r="BP2043" s="160"/>
      <c r="BQ2043" s="160"/>
      <c r="BR2043" s="160"/>
      <c r="BS2043" s="160"/>
      <c r="BT2043" s="160"/>
      <c r="BU2043" s="160"/>
      <c r="BV2043" s="160"/>
      <c r="BW2043" s="160"/>
      <c r="BX2043" s="160"/>
      <c r="BY2043" s="160"/>
      <c r="BZ2043" s="160"/>
      <c r="CA2043" s="160"/>
      <c r="CB2043" s="160"/>
      <c r="CC2043" s="160"/>
      <c r="CD2043" s="160"/>
      <c r="CE2043" s="160"/>
      <c r="CF2043" s="160"/>
      <c r="CG2043" s="160"/>
      <c r="CH2043" s="160"/>
      <c r="CI2043" s="160"/>
      <c r="CJ2043" s="160"/>
      <c r="CK2043" s="160"/>
      <c r="CL2043" s="160"/>
      <c r="CM2043" s="160"/>
      <c r="CN2043" s="160"/>
      <c r="CO2043" s="160"/>
      <c r="CP2043" s="162"/>
      <c r="CQ2043" s="163"/>
      <c r="CR2043" s="162"/>
      <c r="CS2043" s="163"/>
      <c r="CT2043" s="162"/>
      <c r="CU2043" s="163"/>
      <c r="CV2043" s="164">
        <f t="shared" si="253"/>
        <v>0</v>
      </c>
      <c r="CW2043" s="165"/>
      <c r="CX2043" s="166"/>
      <c r="CY2043" s="167"/>
      <c r="CZ2043" s="168"/>
      <c r="DA2043" s="169"/>
      <c r="DB2043" s="168"/>
      <c r="DC2043" s="165"/>
      <c r="DD2043" s="166"/>
      <c r="DE2043" s="71"/>
      <c r="DF2043" s="170"/>
      <c r="EO2043" s="375" t="str">
        <f t="shared" si="254"/>
        <v>NORTE DE SANTANDER_GRAMALOTE</v>
      </c>
      <c r="EP2043" s="376"/>
      <c r="EQ2043" s="376"/>
      <c r="ER2043" s="377"/>
      <c r="ES2043" s="376"/>
      <c r="ET2043" s="376"/>
      <c r="EU2043" s="376"/>
    </row>
    <row r="2044" spans="1:151" s="171" customFormat="1" ht="38.25" x14ac:dyDescent="0.2">
      <c r="A2044" s="242">
        <v>40516</v>
      </c>
      <c r="B2044" s="222" t="s">
        <v>2012</v>
      </c>
      <c r="C2044" s="222" t="s">
        <v>1938</v>
      </c>
      <c r="D2044" s="430" t="s">
        <v>2307</v>
      </c>
      <c r="E2044" s="107" t="str">
        <f>VLOOKUP(B2044&amp;C2044,Divipola!$C$2:$F$1138,4,FALSE)</f>
        <v>66687</v>
      </c>
      <c r="F2044" s="333"/>
      <c r="G2044" s="221">
        <v>3</v>
      </c>
      <c r="H2044" s="157">
        <v>3</v>
      </c>
      <c r="I2044" s="157"/>
      <c r="J2044" s="157"/>
      <c r="K2044" s="157"/>
      <c r="L2044" s="157"/>
      <c r="M2044" s="157"/>
      <c r="N2044" s="157">
        <v>12</v>
      </c>
      <c r="O2044" s="157">
        <v>1</v>
      </c>
      <c r="P2044" s="157"/>
      <c r="Q2044" s="157"/>
      <c r="R2044" s="157"/>
      <c r="S2044" s="157"/>
      <c r="T2044" s="157"/>
      <c r="U2044" s="157"/>
      <c r="V2044" s="158"/>
      <c r="W2044" s="182"/>
      <c r="X2044" s="1"/>
      <c r="Y2044" s="78">
        <f t="shared" si="250"/>
        <v>0</v>
      </c>
      <c r="Z2044" s="78">
        <f t="shared" si="251"/>
        <v>0</v>
      </c>
      <c r="AA2044" s="78">
        <f t="shared" si="256"/>
        <v>0</v>
      </c>
      <c r="AB2044" s="78">
        <f t="shared" si="252"/>
        <v>0</v>
      </c>
      <c r="AC2044" s="78"/>
      <c r="AD2044" s="78">
        <v>0</v>
      </c>
      <c r="AE2044" s="80">
        <f t="shared" si="255"/>
        <v>0</v>
      </c>
      <c r="AF2044" s="82">
        <v>0</v>
      </c>
      <c r="AG2044" s="69">
        <v>40516</v>
      </c>
      <c r="AH2044" s="84"/>
      <c r="AI2044" s="69" t="s">
        <v>1984</v>
      </c>
      <c r="AJ2044" s="25" t="s">
        <v>1985</v>
      </c>
      <c r="AK2044" s="65"/>
      <c r="AL2044" s="176" t="s">
        <v>1257</v>
      </c>
      <c r="AM2044" s="173" t="s">
        <v>583</v>
      </c>
      <c r="AN2044" s="159"/>
      <c r="AO2044" s="160"/>
      <c r="AP2044" s="161"/>
      <c r="AQ2044" s="160"/>
      <c r="AR2044" s="160"/>
      <c r="AS2044" s="160"/>
      <c r="AT2044" s="160"/>
      <c r="AU2044" s="160"/>
      <c r="AV2044" s="160"/>
      <c r="AW2044" s="160"/>
      <c r="AX2044" s="160"/>
      <c r="AY2044" s="160"/>
      <c r="AZ2044" s="160"/>
      <c r="BA2044" s="160"/>
      <c r="BB2044" s="160"/>
      <c r="BC2044" s="160"/>
      <c r="BD2044" s="160"/>
      <c r="BE2044" s="160"/>
      <c r="BF2044" s="160"/>
      <c r="BG2044" s="160"/>
      <c r="BH2044" s="160"/>
      <c r="BI2044" s="160"/>
      <c r="BJ2044" s="160"/>
      <c r="BK2044" s="160"/>
      <c r="BL2044" s="160"/>
      <c r="BM2044" s="160"/>
      <c r="BN2044" s="160"/>
      <c r="BO2044" s="160"/>
      <c r="BP2044" s="160"/>
      <c r="BQ2044" s="160"/>
      <c r="BR2044" s="160"/>
      <c r="BS2044" s="160"/>
      <c r="BT2044" s="160"/>
      <c r="BU2044" s="160"/>
      <c r="BV2044" s="160"/>
      <c r="BW2044" s="160"/>
      <c r="BX2044" s="160"/>
      <c r="BY2044" s="160"/>
      <c r="BZ2044" s="160"/>
      <c r="CA2044" s="160"/>
      <c r="CB2044" s="160"/>
      <c r="CC2044" s="160"/>
      <c r="CD2044" s="160"/>
      <c r="CE2044" s="160"/>
      <c r="CF2044" s="160"/>
      <c r="CG2044" s="160"/>
      <c r="CH2044" s="160"/>
      <c r="CI2044" s="160"/>
      <c r="CJ2044" s="160"/>
      <c r="CK2044" s="160"/>
      <c r="CL2044" s="160"/>
      <c r="CM2044" s="160"/>
      <c r="CN2044" s="160"/>
      <c r="CO2044" s="160"/>
      <c r="CP2044" s="162"/>
      <c r="CQ2044" s="163"/>
      <c r="CR2044" s="162"/>
      <c r="CS2044" s="163"/>
      <c r="CT2044" s="162"/>
      <c r="CU2044" s="163"/>
      <c r="CV2044" s="164">
        <f t="shared" si="253"/>
        <v>0</v>
      </c>
      <c r="CW2044" s="165"/>
      <c r="CX2044" s="166"/>
      <c r="CY2044" s="167"/>
      <c r="CZ2044" s="168"/>
      <c r="DA2044" s="169"/>
      <c r="DB2044" s="168"/>
      <c r="DC2044" s="165"/>
      <c r="DD2044" s="166"/>
      <c r="DE2044" s="71"/>
      <c r="DF2044" s="170"/>
      <c r="EO2044" s="375" t="str">
        <f t="shared" si="254"/>
        <v>RISARALDA_SANTUARIO</v>
      </c>
      <c r="EP2044" s="376"/>
      <c r="EQ2044" s="376"/>
      <c r="ER2044" s="377"/>
      <c r="ES2044" s="376"/>
      <c r="ET2044" s="376"/>
      <c r="EU2044" s="376"/>
    </row>
    <row r="2045" spans="1:151" s="171" customFormat="1" ht="45" x14ac:dyDescent="0.2">
      <c r="A2045" s="242">
        <v>40516</v>
      </c>
      <c r="B2045" s="222" t="s">
        <v>2791</v>
      </c>
      <c r="C2045" s="222" t="s">
        <v>2630</v>
      </c>
      <c r="D2045" s="430" t="s">
        <v>2307</v>
      </c>
      <c r="E2045" s="107" t="str">
        <f>VLOOKUP(B2045&amp;C2045,Divipola!$C$2:$F$1138,4,FALSE)</f>
        <v>73675</v>
      </c>
      <c r="F2045" s="333"/>
      <c r="G2045" s="221"/>
      <c r="H2045" s="157"/>
      <c r="I2045" s="157"/>
      <c r="J2045" s="157">
        <v>612</v>
      </c>
      <c r="K2045" s="157">
        <v>136</v>
      </c>
      <c r="L2045" s="157">
        <v>11</v>
      </c>
      <c r="M2045" s="157">
        <f>51+46</f>
        <v>97</v>
      </c>
      <c r="N2045" s="157"/>
      <c r="O2045" s="157"/>
      <c r="P2045" s="157">
        <v>6</v>
      </c>
      <c r="Q2045" s="157"/>
      <c r="R2045" s="157"/>
      <c r="S2045" s="157"/>
      <c r="T2045" s="157"/>
      <c r="U2045" s="157"/>
      <c r="V2045" s="158">
        <v>55.5</v>
      </c>
      <c r="W2045" s="182"/>
      <c r="X2045" s="1"/>
      <c r="Y2045" s="78">
        <f t="shared" si="250"/>
        <v>0</v>
      </c>
      <c r="Z2045" s="78">
        <f t="shared" si="251"/>
        <v>0</v>
      </c>
      <c r="AA2045" s="78">
        <f t="shared" si="256"/>
        <v>0</v>
      </c>
      <c r="AB2045" s="78">
        <f t="shared" si="252"/>
        <v>0</v>
      </c>
      <c r="AC2045" s="78"/>
      <c r="AD2045" s="78">
        <v>0</v>
      </c>
      <c r="AE2045" s="80">
        <f t="shared" si="255"/>
        <v>0</v>
      </c>
      <c r="AF2045" s="82">
        <v>0</v>
      </c>
      <c r="AG2045" s="242"/>
      <c r="AH2045" s="84"/>
      <c r="AI2045" s="69" t="s">
        <v>2009</v>
      </c>
      <c r="AJ2045" s="276" t="s">
        <v>2010</v>
      </c>
      <c r="AK2045" s="65"/>
      <c r="AL2045" s="272" t="s">
        <v>311</v>
      </c>
      <c r="AM2045" s="173" t="s">
        <v>2631</v>
      </c>
      <c r="AN2045" s="159"/>
      <c r="AO2045" s="160"/>
      <c r="AP2045" s="161"/>
      <c r="AQ2045" s="160"/>
      <c r="AR2045" s="160"/>
      <c r="AS2045" s="160"/>
      <c r="AT2045" s="160"/>
      <c r="AU2045" s="160"/>
      <c r="AV2045" s="160"/>
      <c r="AW2045" s="160"/>
      <c r="AX2045" s="160"/>
      <c r="AY2045" s="160"/>
      <c r="AZ2045" s="160"/>
      <c r="BA2045" s="160"/>
      <c r="BB2045" s="160"/>
      <c r="BC2045" s="160"/>
      <c r="BD2045" s="160"/>
      <c r="BE2045" s="160"/>
      <c r="BF2045" s="160"/>
      <c r="BG2045" s="160"/>
      <c r="BH2045" s="160"/>
      <c r="BI2045" s="160"/>
      <c r="BJ2045" s="160"/>
      <c r="BK2045" s="160"/>
      <c r="BL2045" s="160"/>
      <c r="BM2045" s="160"/>
      <c r="BN2045" s="160"/>
      <c r="BO2045" s="160"/>
      <c r="BP2045" s="160"/>
      <c r="BQ2045" s="160"/>
      <c r="BR2045" s="160"/>
      <c r="BS2045" s="160"/>
      <c r="BT2045" s="160"/>
      <c r="BU2045" s="160"/>
      <c r="BV2045" s="160"/>
      <c r="BW2045" s="160"/>
      <c r="BX2045" s="160"/>
      <c r="BY2045" s="160"/>
      <c r="BZ2045" s="160"/>
      <c r="CA2045" s="160"/>
      <c r="CB2045" s="160"/>
      <c r="CC2045" s="160"/>
      <c r="CD2045" s="160"/>
      <c r="CE2045" s="160"/>
      <c r="CF2045" s="160"/>
      <c r="CG2045" s="160"/>
      <c r="CH2045" s="160"/>
      <c r="CI2045" s="160"/>
      <c r="CJ2045" s="160"/>
      <c r="CK2045" s="160"/>
      <c r="CL2045" s="160"/>
      <c r="CM2045" s="160"/>
      <c r="CN2045" s="160"/>
      <c r="CO2045" s="160"/>
      <c r="CP2045" s="162"/>
      <c r="CQ2045" s="163"/>
      <c r="CR2045" s="162"/>
      <c r="CS2045" s="163"/>
      <c r="CT2045" s="162"/>
      <c r="CU2045" s="163"/>
      <c r="CV2045" s="164">
        <f t="shared" si="253"/>
        <v>0</v>
      </c>
      <c r="CW2045" s="165"/>
      <c r="CX2045" s="166"/>
      <c r="CY2045" s="167"/>
      <c r="CZ2045" s="168"/>
      <c r="DA2045" s="169"/>
      <c r="DB2045" s="168"/>
      <c r="DC2045" s="165"/>
      <c r="DD2045" s="166"/>
      <c r="DE2045" s="71"/>
      <c r="DF2045" s="170"/>
      <c r="EO2045" s="375" t="str">
        <f t="shared" si="254"/>
        <v>TOLIMA_SAN ANTONIO</v>
      </c>
      <c r="EP2045" s="376"/>
      <c r="EQ2045" s="376"/>
      <c r="ER2045" s="377"/>
      <c r="ES2045" s="376"/>
      <c r="ET2045" s="376"/>
      <c r="EU2045" s="376"/>
    </row>
    <row r="2046" spans="1:151" s="171" customFormat="1" ht="60" x14ac:dyDescent="0.2">
      <c r="A2046" s="242">
        <v>40516</v>
      </c>
      <c r="B2046" s="222" t="s">
        <v>1462</v>
      </c>
      <c r="C2046" s="222" t="s">
        <v>2942</v>
      </c>
      <c r="D2046" s="430" t="s">
        <v>837</v>
      </c>
      <c r="E2046" s="107" t="str">
        <f>VLOOKUP(B2046&amp;C2046,Divipola!$C$2:$F$1138,4,FALSE)</f>
        <v>76233</v>
      </c>
      <c r="F2046" s="333"/>
      <c r="G2046" s="221"/>
      <c r="H2046" s="157"/>
      <c r="I2046" s="157"/>
      <c r="J2046" s="157">
        <f>647*5</f>
        <v>3235</v>
      </c>
      <c r="K2046" s="157">
        <f>695-5-14-13-13-3</f>
        <v>647</v>
      </c>
      <c r="L2046" s="157"/>
      <c r="M2046" s="157">
        <f>319-5-14-13-13-3</f>
        <v>271</v>
      </c>
      <c r="N2046" s="157">
        <v>2</v>
      </c>
      <c r="O2046" s="157"/>
      <c r="P2046" s="157"/>
      <c r="Q2046" s="157"/>
      <c r="R2046" s="157"/>
      <c r="S2046" s="157"/>
      <c r="T2046" s="157"/>
      <c r="U2046" s="157"/>
      <c r="V2046" s="158"/>
      <c r="W2046" s="182"/>
      <c r="X2046" s="1"/>
      <c r="Y2046" s="78">
        <f t="shared" si="250"/>
        <v>0</v>
      </c>
      <c r="Z2046" s="78">
        <f t="shared" si="251"/>
        <v>0</v>
      </c>
      <c r="AA2046" s="78">
        <f t="shared" si="256"/>
        <v>0</v>
      </c>
      <c r="AB2046" s="78">
        <f t="shared" si="252"/>
        <v>0</v>
      </c>
      <c r="AC2046" s="78"/>
      <c r="AD2046" s="78">
        <v>0</v>
      </c>
      <c r="AE2046" s="80">
        <f t="shared" si="255"/>
        <v>0</v>
      </c>
      <c r="AF2046" s="82">
        <v>0</v>
      </c>
      <c r="AG2046" s="69"/>
      <c r="AH2046" s="84"/>
      <c r="AI2046" s="69" t="s">
        <v>2009</v>
      </c>
      <c r="AJ2046" s="276" t="s">
        <v>2010</v>
      </c>
      <c r="AK2046" s="65"/>
      <c r="AL2046" s="272" t="s">
        <v>311</v>
      </c>
      <c r="AM2046" s="173" t="s">
        <v>598</v>
      </c>
      <c r="AN2046" s="159"/>
      <c r="AO2046" s="160"/>
      <c r="AP2046" s="161"/>
      <c r="AQ2046" s="160"/>
      <c r="AR2046" s="160"/>
      <c r="AS2046" s="160"/>
      <c r="AT2046" s="160"/>
      <c r="AU2046" s="160"/>
      <c r="AV2046" s="160"/>
      <c r="AW2046" s="160"/>
      <c r="AX2046" s="160"/>
      <c r="AY2046" s="160"/>
      <c r="AZ2046" s="160"/>
      <c r="BA2046" s="160"/>
      <c r="BB2046" s="160"/>
      <c r="BC2046" s="160"/>
      <c r="BD2046" s="160"/>
      <c r="BE2046" s="160"/>
      <c r="BF2046" s="160"/>
      <c r="BG2046" s="160"/>
      <c r="BH2046" s="160"/>
      <c r="BI2046" s="160"/>
      <c r="BJ2046" s="160"/>
      <c r="BK2046" s="160"/>
      <c r="BL2046" s="160"/>
      <c r="BM2046" s="160"/>
      <c r="BN2046" s="160"/>
      <c r="BO2046" s="160"/>
      <c r="BP2046" s="160"/>
      <c r="BQ2046" s="160"/>
      <c r="BR2046" s="160"/>
      <c r="BS2046" s="160"/>
      <c r="BT2046" s="160"/>
      <c r="BU2046" s="160"/>
      <c r="BV2046" s="160"/>
      <c r="BW2046" s="160"/>
      <c r="BX2046" s="160"/>
      <c r="BY2046" s="160"/>
      <c r="BZ2046" s="160"/>
      <c r="CA2046" s="160"/>
      <c r="CB2046" s="160"/>
      <c r="CC2046" s="160"/>
      <c r="CD2046" s="160"/>
      <c r="CE2046" s="160"/>
      <c r="CF2046" s="160"/>
      <c r="CG2046" s="160"/>
      <c r="CH2046" s="160"/>
      <c r="CI2046" s="160"/>
      <c r="CJ2046" s="160"/>
      <c r="CK2046" s="160"/>
      <c r="CL2046" s="160"/>
      <c r="CM2046" s="160"/>
      <c r="CN2046" s="160"/>
      <c r="CO2046" s="160"/>
      <c r="CP2046" s="162"/>
      <c r="CQ2046" s="163"/>
      <c r="CR2046" s="162"/>
      <c r="CS2046" s="163"/>
      <c r="CT2046" s="162"/>
      <c r="CU2046" s="163"/>
      <c r="CV2046" s="164">
        <f t="shared" si="253"/>
        <v>0</v>
      </c>
      <c r="CW2046" s="165"/>
      <c r="CX2046" s="166"/>
      <c r="CY2046" s="167"/>
      <c r="CZ2046" s="168"/>
      <c r="DA2046" s="169"/>
      <c r="DB2046" s="168"/>
      <c r="DC2046" s="165"/>
      <c r="DD2046" s="166"/>
      <c r="DE2046" s="71"/>
      <c r="DF2046" s="170"/>
      <c r="EO2046" s="375" t="str">
        <f t="shared" si="254"/>
        <v>VALLE DEL CAUCA_DAGUA</v>
      </c>
      <c r="EP2046" s="376"/>
      <c r="EQ2046" s="376"/>
      <c r="ER2046" s="377"/>
      <c r="ES2046" s="376"/>
      <c r="ET2046" s="376"/>
      <c r="EU2046" s="376"/>
    </row>
    <row r="2047" spans="1:151" s="171" customFormat="1" ht="51" x14ac:dyDescent="0.2">
      <c r="A2047" s="242">
        <v>40516</v>
      </c>
      <c r="B2047" s="222" t="s">
        <v>1462</v>
      </c>
      <c r="C2047" s="222" t="s">
        <v>865</v>
      </c>
      <c r="D2047" s="430" t="s">
        <v>837</v>
      </c>
      <c r="E2047" s="107" t="str">
        <f>VLOOKUP(B2047&amp;C2047,Divipola!$C$2:$F$1138,4,FALSE)</f>
        <v>76243</v>
      </c>
      <c r="F2047" s="333"/>
      <c r="G2047" s="221"/>
      <c r="H2047" s="157"/>
      <c r="I2047" s="157"/>
      <c r="J2047" s="157">
        <f>637*5</f>
        <v>3185</v>
      </c>
      <c r="K2047" s="157">
        <f>797-160</f>
        <v>637</v>
      </c>
      <c r="L2047" s="157"/>
      <c r="M2047" s="157">
        <f>237-160</f>
        <v>77</v>
      </c>
      <c r="N2047" s="157"/>
      <c r="O2047" s="157"/>
      <c r="P2047" s="157"/>
      <c r="Q2047" s="157"/>
      <c r="R2047" s="157"/>
      <c r="S2047" s="157"/>
      <c r="T2047" s="157"/>
      <c r="U2047" s="157"/>
      <c r="V2047" s="158"/>
      <c r="W2047" s="182"/>
      <c r="X2047" s="1"/>
      <c r="Y2047" s="78">
        <f t="shared" si="250"/>
        <v>0</v>
      </c>
      <c r="Z2047" s="78">
        <f t="shared" si="251"/>
        <v>0</v>
      </c>
      <c r="AA2047" s="78">
        <f t="shared" si="256"/>
        <v>0</v>
      </c>
      <c r="AB2047" s="78">
        <f t="shared" si="252"/>
        <v>0</v>
      </c>
      <c r="AC2047" s="78"/>
      <c r="AD2047" s="78">
        <v>0</v>
      </c>
      <c r="AE2047" s="80">
        <f t="shared" si="255"/>
        <v>0</v>
      </c>
      <c r="AF2047" s="82">
        <v>0</v>
      </c>
      <c r="AG2047" s="242"/>
      <c r="AH2047" s="84"/>
      <c r="AI2047" s="69" t="s">
        <v>2009</v>
      </c>
      <c r="AJ2047" s="276" t="s">
        <v>2010</v>
      </c>
      <c r="AK2047" s="65"/>
      <c r="AL2047" s="272" t="s">
        <v>311</v>
      </c>
      <c r="AM2047" s="173" t="s">
        <v>596</v>
      </c>
      <c r="AN2047" s="159"/>
      <c r="AO2047" s="160"/>
      <c r="AP2047" s="161"/>
      <c r="AQ2047" s="160"/>
      <c r="AR2047" s="160"/>
      <c r="AS2047" s="160"/>
      <c r="AT2047" s="160"/>
      <c r="AU2047" s="160"/>
      <c r="AV2047" s="160"/>
      <c r="AW2047" s="160"/>
      <c r="AX2047" s="160"/>
      <c r="AY2047" s="160"/>
      <c r="AZ2047" s="160"/>
      <c r="BA2047" s="160"/>
      <c r="BB2047" s="160"/>
      <c r="BC2047" s="160"/>
      <c r="BD2047" s="160"/>
      <c r="BE2047" s="160"/>
      <c r="BF2047" s="160"/>
      <c r="BG2047" s="160"/>
      <c r="BH2047" s="160"/>
      <c r="BI2047" s="160"/>
      <c r="BJ2047" s="160"/>
      <c r="BK2047" s="160"/>
      <c r="BL2047" s="160"/>
      <c r="BM2047" s="160"/>
      <c r="BN2047" s="160"/>
      <c r="BO2047" s="160"/>
      <c r="BP2047" s="160"/>
      <c r="BQ2047" s="160"/>
      <c r="BR2047" s="160"/>
      <c r="BS2047" s="160"/>
      <c r="BT2047" s="160"/>
      <c r="BU2047" s="160"/>
      <c r="BV2047" s="160"/>
      <c r="BW2047" s="160"/>
      <c r="BX2047" s="160"/>
      <c r="BY2047" s="160"/>
      <c r="BZ2047" s="160"/>
      <c r="CA2047" s="160"/>
      <c r="CB2047" s="160"/>
      <c r="CC2047" s="160"/>
      <c r="CD2047" s="160"/>
      <c r="CE2047" s="160"/>
      <c r="CF2047" s="160"/>
      <c r="CG2047" s="160"/>
      <c r="CH2047" s="160"/>
      <c r="CI2047" s="160"/>
      <c r="CJ2047" s="160"/>
      <c r="CK2047" s="160"/>
      <c r="CL2047" s="160"/>
      <c r="CM2047" s="160"/>
      <c r="CN2047" s="160"/>
      <c r="CO2047" s="160"/>
      <c r="CP2047" s="162"/>
      <c r="CQ2047" s="163"/>
      <c r="CR2047" s="162"/>
      <c r="CS2047" s="163"/>
      <c r="CT2047" s="162"/>
      <c r="CU2047" s="163"/>
      <c r="CV2047" s="164">
        <f t="shared" si="253"/>
        <v>0</v>
      </c>
      <c r="CW2047" s="165"/>
      <c r="CX2047" s="166"/>
      <c r="CY2047" s="167"/>
      <c r="CZ2047" s="168"/>
      <c r="DA2047" s="169"/>
      <c r="DB2047" s="168"/>
      <c r="DC2047" s="165"/>
      <c r="DD2047" s="166"/>
      <c r="DE2047" s="71"/>
      <c r="DF2047" s="170"/>
      <c r="EO2047" s="375" t="str">
        <f t="shared" si="254"/>
        <v>VALLE DEL CAUCA_EL AGUILA</v>
      </c>
      <c r="EP2047" s="376"/>
      <c r="EQ2047" s="376"/>
      <c r="ER2047" s="377"/>
      <c r="ES2047" s="376"/>
      <c r="ET2047" s="376"/>
      <c r="EU2047" s="376"/>
    </row>
    <row r="2048" spans="1:151" s="171" customFormat="1" ht="72" x14ac:dyDescent="0.2">
      <c r="A2048" s="242">
        <v>40516</v>
      </c>
      <c r="B2048" s="222" t="s">
        <v>1462</v>
      </c>
      <c r="C2048" s="222" t="s">
        <v>1975</v>
      </c>
      <c r="D2048" s="430" t="s">
        <v>2307</v>
      </c>
      <c r="E2048" s="107" t="str">
        <f>VLOOKUP(B2048&amp;C2048,Divipola!$C$2:$F$1138,4,FALSE)</f>
        <v>76306</v>
      </c>
      <c r="F2048" s="333"/>
      <c r="G2048" s="221"/>
      <c r="H2048" s="157"/>
      <c r="I2048" s="157"/>
      <c r="J2048" s="157">
        <f>290*5</f>
        <v>1450</v>
      </c>
      <c r="K2048" s="157">
        <f>818-500-24-4</f>
        <v>290</v>
      </c>
      <c r="L2048" s="157"/>
      <c r="M2048" s="157">
        <v>290</v>
      </c>
      <c r="N2048" s="157"/>
      <c r="O2048" s="157"/>
      <c r="P2048" s="157"/>
      <c r="Q2048" s="157">
        <v>1</v>
      </c>
      <c r="R2048" s="157"/>
      <c r="S2048" s="157"/>
      <c r="T2048" s="157"/>
      <c r="U2048" s="157"/>
      <c r="V2048" s="158"/>
      <c r="W2048" s="182"/>
      <c r="X2048" s="1"/>
      <c r="Y2048" s="78">
        <f t="shared" si="250"/>
        <v>0</v>
      </c>
      <c r="Z2048" s="78">
        <f t="shared" si="251"/>
        <v>0</v>
      </c>
      <c r="AA2048" s="78">
        <f t="shared" si="256"/>
        <v>0</v>
      </c>
      <c r="AB2048" s="78">
        <f t="shared" si="252"/>
        <v>0</v>
      </c>
      <c r="AC2048" s="78"/>
      <c r="AD2048" s="78">
        <v>0</v>
      </c>
      <c r="AE2048" s="80">
        <f t="shared" si="255"/>
        <v>0</v>
      </c>
      <c r="AF2048" s="82">
        <v>0</v>
      </c>
      <c r="AG2048" s="69"/>
      <c r="AH2048" s="84"/>
      <c r="AI2048" s="69" t="s">
        <v>2009</v>
      </c>
      <c r="AJ2048" s="276" t="s">
        <v>2010</v>
      </c>
      <c r="AK2048" s="65"/>
      <c r="AL2048" s="272" t="s">
        <v>311</v>
      </c>
      <c r="AM2048" s="173" t="s">
        <v>114</v>
      </c>
      <c r="AN2048" s="159"/>
      <c r="AO2048" s="160"/>
      <c r="AP2048" s="161"/>
      <c r="AQ2048" s="160"/>
      <c r="AR2048" s="160"/>
      <c r="AS2048" s="160"/>
      <c r="AT2048" s="160"/>
      <c r="AU2048" s="160"/>
      <c r="AV2048" s="160"/>
      <c r="AW2048" s="160"/>
      <c r="AX2048" s="160"/>
      <c r="AY2048" s="160"/>
      <c r="AZ2048" s="160"/>
      <c r="BA2048" s="160"/>
      <c r="BB2048" s="160"/>
      <c r="BC2048" s="160"/>
      <c r="BD2048" s="160"/>
      <c r="BE2048" s="160"/>
      <c r="BF2048" s="160"/>
      <c r="BG2048" s="160"/>
      <c r="BH2048" s="160"/>
      <c r="BI2048" s="160"/>
      <c r="BJ2048" s="160"/>
      <c r="BK2048" s="160"/>
      <c r="BL2048" s="160"/>
      <c r="BM2048" s="160"/>
      <c r="BN2048" s="160"/>
      <c r="BO2048" s="160"/>
      <c r="BP2048" s="160"/>
      <c r="BQ2048" s="160"/>
      <c r="BR2048" s="160"/>
      <c r="BS2048" s="160"/>
      <c r="BT2048" s="160"/>
      <c r="BU2048" s="160"/>
      <c r="BV2048" s="160"/>
      <c r="BW2048" s="160"/>
      <c r="BX2048" s="160"/>
      <c r="BY2048" s="160"/>
      <c r="BZ2048" s="160"/>
      <c r="CA2048" s="160"/>
      <c r="CB2048" s="160"/>
      <c r="CC2048" s="160"/>
      <c r="CD2048" s="160"/>
      <c r="CE2048" s="160"/>
      <c r="CF2048" s="160"/>
      <c r="CG2048" s="160"/>
      <c r="CH2048" s="160"/>
      <c r="CI2048" s="160"/>
      <c r="CJ2048" s="160"/>
      <c r="CK2048" s="160"/>
      <c r="CL2048" s="160"/>
      <c r="CM2048" s="160"/>
      <c r="CN2048" s="160"/>
      <c r="CO2048" s="160"/>
      <c r="CP2048" s="162"/>
      <c r="CQ2048" s="163"/>
      <c r="CR2048" s="162"/>
      <c r="CS2048" s="163"/>
      <c r="CT2048" s="162"/>
      <c r="CU2048" s="163"/>
      <c r="CV2048" s="164">
        <f t="shared" si="253"/>
        <v>0</v>
      </c>
      <c r="CW2048" s="165"/>
      <c r="CX2048" s="166"/>
      <c r="CY2048" s="167"/>
      <c r="CZ2048" s="168"/>
      <c r="DA2048" s="169"/>
      <c r="DB2048" s="168"/>
      <c r="DC2048" s="165"/>
      <c r="DD2048" s="166"/>
      <c r="DE2048" s="71"/>
      <c r="DF2048" s="170"/>
      <c r="EO2048" s="375" t="str">
        <f t="shared" si="254"/>
        <v>VALLE DEL CAUCA_GINEBRA</v>
      </c>
      <c r="EP2048" s="376"/>
      <c r="EQ2048" s="376"/>
      <c r="ER2048" s="377"/>
      <c r="ES2048" s="376"/>
      <c r="ET2048" s="376"/>
      <c r="EU2048" s="376"/>
    </row>
    <row r="2049" spans="1:151" s="171" customFormat="1" ht="51" x14ac:dyDescent="0.2">
      <c r="A2049" s="242">
        <v>40516</v>
      </c>
      <c r="B2049" s="222" t="s">
        <v>1462</v>
      </c>
      <c r="C2049" s="222" t="s">
        <v>103</v>
      </c>
      <c r="D2049" s="430" t="s">
        <v>837</v>
      </c>
      <c r="E2049" s="107" t="str">
        <f>VLOOKUP(B2049&amp;C2049,Divipola!$C$2:$F$1138,4,FALSE)</f>
        <v>76670</v>
      </c>
      <c r="F2049" s="333"/>
      <c r="G2049" s="221"/>
      <c r="H2049" s="157"/>
      <c r="I2049" s="157"/>
      <c r="J2049" s="157">
        <f>105*5</f>
        <v>525</v>
      </c>
      <c r="K2049" s="157">
        <v>105</v>
      </c>
      <c r="L2049" s="157"/>
      <c r="M2049" s="157">
        <v>105</v>
      </c>
      <c r="N2049" s="157"/>
      <c r="O2049" s="157"/>
      <c r="P2049" s="157"/>
      <c r="Q2049" s="157"/>
      <c r="R2049" s="157"/>
      <c r="S2049" s="157"/>
      <c r="T2049" s="157"/>
      <c r="U2049" s="157"/>
      <c r="V2049" s="158"/>
      <c r="W2049" s="182"/>
      <c r="X2049" s="1"/>
      <c r="Y2049" s="78">
        <f t="shared" si="250"/>
        <v>0</v>
      </c>
      <c r="Z2049" s="78">
        <f t="shared" si="251"/>
        <v>0</v>
      </c>
      <c r="AA2049" s="78">
        <f t="shared" si="256"/>
        <v>0</v>
      </c>
      <c r="AB2049" s="78">
        <f t="shared" si="252"/>
        <v>0</v>
      </c>
      <c r="AC2049" s="78"/>
      <c r="AD2049" s="78">
        <v>0</v>
      </c>
      <c r="AE2049" s="80">
        <f t="shared" si="255"/>
        <v>0</v>
      </c>
      <c r="AF2049" s="82">
        <v>0</v>
      </c>
      <c r="AG2049" s="69"/>
      <c r="AH2049" s="84"/>
      <c r="AI2049" s="69" t="s">
        <v>2009</v>
      </c>
      <c r="AJ2049" s="276" t="s">
        <v>2010</v>
      </c>
      <c r="AK2049" s="65"/>
      <c r="AL2049" s="272" t="s">
        <v>311</v>
      </c>
      <c r="AM2049" s="173" t="s">
        <v>597</v>
      </c>
      <c r="AN2049" s="159"/>
      <c r="AO2049" s="160"/>
      <c r="AP2049" s="161"/>
      <c r="AQ2049" s="160"/>
      <c r="AR2049" s="160"/>
      <c r="AS2049" s="160"/>
      <c r="AT2049" s="160"/>
      <c r="AU2049" s="160"/>
      <c r="AV2049" s="160"/>
      <c r="AW2049" s="160"/>
      <c r="AX2049" s="160"/>
      <c r="AY2049" s="160"/>
      <c r="AZ2049" s="160"/>
      <c r="BA2049" s="160"/>
      <c r="BB2049" s="160"/>
      <c r="BC2049" s="160"/>
      <c r="BD2049" s="160"/>
      <c r="BE2049" s="160"/>
      <c r="BF2049" s="160"/>
      <c r="BG2049" s="160"/>
      <c r="BH2049" s="160"/>
      <c r="BI2049" s="160"/>
      <c r="BJ2049" s="160"/>
      <c r="BK2049" s="160"/>
      <c r="BL2049" s="160"/>
      <c r="BM2049" s="160"/>
      <c r="BN2049" s="160"/>
      <c r="BO2049" s="160"/>
      <c r="BP2049" s="160"/>
      <c r="BQ2049" s="160"/>
      <c r="BR2049" s="160"/>
      <c r="BS2049" s="160"/>
      <c r="BT2049" s="160"/>
      <c r="BU2049" s="160"/>
      <c r="BV2049" s="160"/>
      <c r="BW2049" s="160"/>
      <c r="BX2049" s="160"/>
      <c r="BY2049" s="160"/>
      <c r="BZ2049" s="160"/>
      <c r="CA2049" s="160"/>
      <c r="CB2049" s="160"/>
      <c r="CC2049" s="160"/>
      <c r="CD2049" s="160"/>
      <c r="CE2049" s="160"/>
      <c r="CF2049" s="160"/>
      <c r="CG2049" s="160"/>
      <c r="CH2049" s="160"/>
      <c r="CI2049" s="160"/>
      <c r="CJ2049" s="160"/>
      <c r="CK2049" s="160"/>
      <c r="CL2049" s="160"/>
      <c r="CM2049" s="160"/>
      <c r="CN2049" s="160"/>
      <c r="CO2049" s="160"/>
      <c r="CP2049" s="162"/>
      <c r="CQ2049" s="163"/>
      <c r="CR2049" s="162"/>
      <c r="CS2049" s="163"/>
      <c r="CT2049" s="162"/>
      <c r="CU2049" s="163"/>
      <c r="CV2049" s="164">
        <f t="shared" si="253"/>
        <v>0</v>
      </c>
      <c r="CW2049" s="165"/>
      <c r="CX2049" s="166"/>
      <c r="CY2049" s="167"/>
      <c r="CZ2049" s="168"/>
      <c r="DA2049" s="169"/>
      <c r="DB2049" s="168"/>
      <c r="DC2049" s="165"/>
      <c r="DD2049" s="166"/>
      <c r="DE2049" s="71"/>
      <c r="DF2049" s="170"/>
      <c r="EO2049" s="375" t="str">
        <f t="shared" si="254"/>
        <v>VALLE DEL CAUCA_SAN PEDRO</v>
      </c>
      <c r="EP2049" s="376"/>
      <c r="EQ2049" s="376"/>
      <c r="ER2049" s="377"/>
      <c r="ES2049" s="376"/>
      <c r="ET2049" s="376"/>
      <c r="EU2049" s="376"/>
    </row>
    <row r="2050" spans="1:151" s="171" customFormat="1" ht="38.25" x14ac:dyDescent="0.2">
      <c r="A2050" s="242">
        <v>40516.533333333333</v>
      </c>
      <c r="B2050" s="107" t="s">
        <v>6305</v>
      </c>
      <c r="C2050" s="107" t="s">
        <v>6305</v>
      </c>
      <c r="D2050" s="430" t="s">
        <v>2307</v>
      </c>
      <c r="E2050" s="107" t="str">
        <f>VLOOKUP(B2050&amp;C2050,Divipola!$C$2:$F$1138,4,FALSE)</f>
        <v>11001</v>
      </c>
      <c r="F2050" s="333"/>
      <c r="G2050" s="221"/>
      <c r="H2050" s="157"/>
      <c r="I2050" s="157"/>
      <c r="J2050" s="157"/>
      <c r="K2050" s="414">
        <v>10</v>
      </c>
      <c r="L2050" s="157"/>
      <c r="M2050" s="157"/>
      <c r="N2050" s="157"/>
      <c r="O2050" s="157"/>
      <c r="P2050" s="157"/>
      <c r="Q2050" s="157"/>
      <c r="R2050" s="157"/>
      <c r="S2050" s="157"/>
      <c r="T2050" s="157"/>
      <c r="U2050" s="157"/>
      <c r="V2050" s="158"/>
      <c r="W2050" s="182"/>
      <c r="X2050" s="1"/>
      <c r="Y2050" s="78">
        <f t="shared" si="250"/>
        <v>0</v>
      </c>
      <c r="Z2050" s="78">
        <f t="shared" si="251"/>
        <v>0</v>
      </c>
      <c r="AA2050" s="78">
        <f t="shared" si="256"/>
        <v>0</v>
      </c>
      <c r="AB2050" s="78">
        <f t="shared" si="252"/>
        <v>0</v>
      </c>
      <c r="AC2050" s="78"/>
      <c r="AD2050" s="78">
        <v>0</v>
      </c>
      <c r="AE2050" s="80">
        <f t="shared" si="255"/>
        <v>0</v>
      </c>
      <c r="AF2050" s="82">
        <v>0</v>
      </c>
      <c r="AG2050" s="306">
        <v>40624</v>
      </c>
      <c r="AH2050" s="307"/>
      <c r="AI2050" s="306" t="s">
        <v>1984</v>
      </c>
      <c r="AJ2050" s="308" t="s">
        <v>1985</v>
      </c>
      <c r="AK2050" s="309"/>
      <c r="AL2050" s="310" t="s">
        <v>1257</v>
      </c>
      <c r="AM2050" s="419" t="s">
        <v>3780</v>
      </c>
      <c r="AN2050" s="159"/>
      <c r="AO2050" s="160"/>
      <c r="AP2050" s="161"/>
      <c r="AQ2050" s="160"/>
      <c r="AR2050" s="160"/>
      <c r="AS2050" s="160"/>
      <c r="AT2050" s="160"/>
      <c r="AU2050" s="160"/>
      <c r="AV2050" s="160"/>
      <c r="AW2050" s="160"/>
      <c r="AX2050" s="160"/>
      <c r="AY2050" s="160"/>
      <c r="AZ2050" s="160"/>
      <c r="BA2050" s="160"/>
      <c r="BB2050" s="160"/>
      <c r="BC2050" s="160"/>
      <c r="BD2050" s="160"/>
      <c r="BE2050" s="160"/>
      <c r="BF2050" s="160"/>
      <c r="BG2050" s="160"/>
      <c r="BH2050" s="160"/>
      <c r="BI2050" s="160"/>
      <c r="BJ2050" s="160"/>
      <c r="BK2050" s="160"/>
      <c r="BL2050" s="160"/>
      <c r="BM2050" s="160"/>
      <c r="BN2050" s="160"/>
      <c r="BO2050" s="160"/>
      <c r="BP2050" s="160"/>
      <c r="BQ2050" s="160"/>
      <c r="BR2050" s="160"/>
      <c r="BS2050" s="160"/>
      <c r="BT2050" s="160"/>
      <c r="BU2050" s="160"/>
      <c r="BV2050" s="160"/>
      <c r="BW2050" s="160"/>
      <c r="BX2050" s="160"/>
      <c r="BY2050" s="160"/>
      <c r="BZ2050" s="160"/>
      <c r="CA2050" s="160"/>
      <c r="CB2050" s="160"/>
      <c r="CC2050" s="160"/>
      <c r="CD2050" s="160"/>
      <c r="CE2050" s="160"/>
      <c r="CF2050" s="160"/>
      <c r="CG2050" s="160"/>
      <c r="CH2050" s="160"/>
      <c r="CI2050" s="160"/>
      <c r="CJ2050" s="160"/>
      <c r="CK2050" s="160"/>
      <c r="CL2050" s="160"/>
      <c r="CM2050" s="160"/>
      <c r="CN2050" s="160"/>
      <c r="CO2050" s="160"/>
      <c r="CP2050" s="162"/>
      <c r="CQ2050" s="163"/>
      <c r="CR2050" s="162"/>
      <c r="CS2050" s="163"/>
      <c r="CT2050" s="162"/>
      <c r="CU2050" s="163"/>
      <c r="CV2050" s="164">
        <f t="shared" si="253"/>
        <v>0</v>
      </c>
      <c r="CW2050" s="165"/>
      <c r="CX2050" s="166"/>
      <c r="CY2050" s="167"/>
      <c r="CZ2050" s="168"/>
      <c r="DA2050" s="169"/>
      <c r="DB2050" s="168"/>
      <c r="DC2050" s="165"/>
      <c r="DD2050" s="166"/>
      <c r="DE2050" s="71"/>
      <c r="DF2050" s="170"/>
      <c r="EO2050" s="375" t="str">
        <f t="shared" si="254"/>
        <v>BOGOTA, D.C._BOGOTA, D.C.</v>
      </c>
      <c r="EP2050" s="376"/>
      <c r="EQ2050" s="376"/>
      <c r="ER2050" s="377"/>
      <c r="ES2050" s="376"/>
      <c r="ET2050" s="376"/>
      <c r="EU2050" s="376"/>
    </row>
    <row r="2051" spans="1:151" s="171" customFormat="1" ht="36" x14ac:dyDescent="0.2">
      <c r="A2051" s="246">
        <v>40517</v>
      </c>
      <c r="B2051" s="280" t="s">
        <v>2401</v>
      </c>
      <c r="C2051" s="280" t="s">
        <v>856</v>
      </c>
      <c r="D2051" s="432" t="s">
        <v>2307</v>
      </c>
      <c r="E2051" s="107" t="str">
        <f>VLOOKUP(B2051&amp;C2051,Divipola!$C$2:$F$1138,4,FALSE)</f>
        <v>05088</v>
      </c>
      <c r="F2051" s="337"/>
      <c r="G2051" s="221">
        <v>82</v>
      </c>
      <c r="H2051" s="157">
        <v>10</v>
      </c>
      <c r="I2051" s="157"/>
      <c r="J2051" s="157">
        <f>147*5</f>
        <v>735</v>
      </c>
      <c r="K2051" s="157">
        <v>147</v>
      </c>
      <c r="L2051" s="157">
        <v>40</v>
      </c>
      <c r="M2051" s="157">
        <v>107</v>
      </c>
      <c r="N2051" s="157"/>
      <c r="O2051" s="157"/>
      <c r="P2051" s="157"/>
      <c r="Q2051" s="157"/>
      <c r="R2051" s="157"/>
      <c r="S2051" s="157"/>
      <c r="T2051" s="157"/>
      <c r="U2051" s="157"/>
      <c r="V2051" s="158"/>
      <c r="W2051" s="182"/>
      <c r="X2051" s="1"/>
      <c r="Y2051" s="78">
        <f t="shared" ref="Y2051:Y2114" si="257">CV2051</f>
        <v>0</v>
      </c>
      <c r="Z2051" s="78">
        <f t="shared" ref="Z2051:Z2114" si="258">CZ2051</f>
        <v>0</v>
      </c>
      <c r="AA2051" s="78">
        <f t="shared" si="256"/>
        <v>0</v>
      </c>
      <c r="AB2051" s="78">
        <f t="shared" ref="AB2051:AB2114" si="259">CX2051</f>
        <v>0</v>
      </c>
      <c r="AC2051" s="78"/>
      <c r="AD2051" s="78">
        <v>0</v>
      </c>
      <c r="AE2051" s="80">
        <f t="shared" si="255"/>
        <v>0</v>
      </c>
      <c r="AF2051" s="82">
        <v>0</v>
      </c>
      <c r="AG2051" s="242">
        <v>40517</v>
      </c>
      <c r="AH2051" s="84"/>
      <c r="AI2051" s="69" t="s">
        <v>2009</v>
      </c>
      <c r="AJ2051" s="25" t="s">
        <v>2010</v>
      </c>
      <c r="AK2051" s="65"/>
      <c r="AL2051" s="184" t="s">
        <v>805</v>
      </c>
      <c r="AM2051" s="173" t="s">
        <v>2637</v>
      </c>
      <c r="AN2051" s="159"/>
      <c r="AO2051" s="160"/>
      <c r="AP2051" s="161"/>
      <c r="AQ2051" s="160"/>
      <c r="AR2051" s="160"/>
      <c r="AS2051" s="160"/>
      <c r="AT2051" s="160"/>
      <c r="AU2051" s="160"/>
      <c r="AV2051" s="160"/>
      <c r="AW2051" s="160"/>
      <c r="AX2051" s="160"/>
      <c r="AY2051" s="160"/>
      <c r="AZ2051" s="160"/>
      <c r="BA2051" s="160"/>
      <c r="BB2051" s="160"/>
      <c r="BC2051" s="160"/>
      <c r="BD2051" s="160"/>
      <c r="BE2051" s="160"/>
      <c r="BF2051" s="160"/>
      <c r="BG2051" s="160"/>
      <c r="BH2051" s="160"/>
      <c r="BI2051" s="160"/>
      <c r="BJ2051" s="160"/>
      <c r="BK2051" s="160"/>
      <c r="BL2051" s="160"/>
      <c r="BM2051" s="160"/>
      <c r="BN2051" s="160"/>
      <c r="BO2051" s="160"/>
      <c r="BP2051" s="160"/>
      <c r="BQ2051" s="160"/>
      <c r="BR2051" s="160"/>
      <c r="BS2051" s="160"/>
      <c r="BT2051" s="160"/>
      <c r="BU2051" s="160"/>
      <c r="BV2051" s="160"/>
      <c r="BW2051" s="160"/>
      <c r="BX2051" s="160"/>
      <c r="BY2051" s="160"/>
      <c r="BZ2051" s="160"/>
      <c r="CA2051" s="160"/>
      <c r="CB2051" s="160"/>
      <c r="CC2051" s="160"/>
      <c r="CD2051" s="160"/>
      <c r="CE2051" s="160"/>
      <c r="CF2051" s="160"/>
      <c r="CG2051" s="160"/>
      <c r="CH2051" s="160"/>
      <c r="CI2051" s="160"/>
      <c r="CJ2051" s="160"/>
      <c r="CK2051" s="160"/>
      <c r="CL2051" s="160"/>
      <c r="CM2051" s="160"/>
      <c r="CN2051" s="160"/>
      <c r="CO2051" s="160"/>
      <c r="CP2051" s="162"/>
      <c r="CQ2051" s="163"/>
      <c r="CR2051" s="162"/>
      <c r="CS2051" s="163"/>
      <c r="CT2051" s="162"/>
      <c r="CU2051" s="163"/>
      <c r="CV2051" s="164">
        <f t="shared" ref="CV2051:CV2114" si="260">AO2051+AQ2051+AS2051+AU2051+AW2051+AY2051+BA2051+BC2051+BE2051+BG2051+BI2051+BK2051+BM2051+BO2051+BQ2051+BS2051+BU2051+BW2051+BY2051+CA2051+CC2051+CE2051+CG2051+CI2051+CK2051+CM2051+CO2051+CQ2051+CS2051+CU2051</f>
        <v>0</v>
      </c>
      <c r="CW2051" s="165"/>
      <c r="CX2051" s="166"/>
      <c r="CY2051" s="167"/>
      <c r="CZ2051" s="168"/>
      <c r="DA2051" s="169"/>
      <c r="DB2051" s="168"/>
      <c r="DC2051" s="165"/>
      <c r="DD2051" s="166"/>
      <c r="DE2051" s="71"/>
      <c r="DF2051" s="170"/>
      <c r="EO2051" s="375" t="str">
        <f t="shared" ref="EO2051:EO2114" si="261">B2051&amp;"_"&amp;C2051</f>
        <v>ANTIOQUIA_BELLO</v>
      </c>
      <c r="EP2051" s="376"/>
      <c r="EQ2051" s="376"/>
      <c r="ER2051" s="377"/>
      <c r="ES2051" s="376"/>
      <c r="ET2051" s="376"/>
      <c r="EU2051" s="376"/>
    </row>
    <row r="2052" spans="1:151" s="171" customFormat="1" ht="51" x14ac:dyDescent="0.2">
      <c r="A2052" s="242">
        <v>40517</v>
      </c>
      <c r="B2052" s="222" t="s">
        <v>2007</v>
      </c>
      <c r="C2052" s="222" t="s">
        <v>1322</v>
      </c>
      <c r="D2052" s="430" t="s">
        <v>837</v>
      </c>
      <c r="E2052" s="107" t="str">
        <f>VLOOKUP(B2052&amp;C2052,Divipola!$C$2:$F$1138,4,FALSE)</f>
        <v>25572</v>
      </c>
      <c r="F2052" s="333"/>
      <c r="G2052" s="221"/>
      <c r="H2052" s="157"/>
      <c r="I2052" s="157"/>
      <c r="J2052" s="157">
        <f>911-10-400</f>
        <v>501</v>
      </c>
      <c r="K2052" s="157">
        <v>250</v>
      </c>
      <c r="L2052" s="157"/>
      <c r="M2052" s="157">
        <v>150</v>
      </c>
      <c r="N2052" s="157"/>
      <c r="O2052" s="157"/>
      <c r="P2052" s="157"/>
      <c r="Q2052" s="157"/>
      <c r="R2052" s="157"/>
      <c r="S2052" s="157"/>
      <c r="T2052" s="157"/>
      <c r="U2052" s="157"/>
      <c r="V2052" s="158"/>
      <c r="W2052" s="182"/>
      <c r="X2052" s="1"/>
      <c r="Y2052" s="78">
        <f t="shared" si="257"/>
        <v>0</v>
      </c>
      <c r="Z2052" s="78">
        <f t="shared" si="258"/>
        <v>0</v>
      </c>
      <c r="AA2052" s="78">
        <f t="shared" si="256"/>
        <v>0</v>
      </c>
      <c r="AB2052" s="78">
        <f t="shared" si="259"/>
        <v>0</v>
      </c>
      <c r="AC2052" s="78"/>
      <c r="AD2052" s="78">
        <v>0</v>
      </c>
      <c r="AE2052" s="80">
        <f t="shared" si="255"/>
        <v>0</v>
      </c>
      <c r="AF2052" s="82">
        <v>0</v>
      </c>
      <c r="AG2052" s="69">
        <v>40517</v>
      </c>
      <c r="AH2052" s="84"/>
      <c r="AI2052" s="69" t="s">
        <v>1984</v>
      </c>
      <c r="AJ2052" s="25" t="s">
        <v>1985</v>
      </c>
      <c r="AK2052" s="65"/>
      <c r="AL2052" s="176" t="s">
        <v>1257</v>
      </c>
      <c r="AM2052" s="173" t="s">
        <v>2634</v>
      </c>
      <c r="AN2052" s="159"/>
      <c r="AO2052" s="160"/>
      <c r="AP2052" s="161"/>
      <c r="AQ2052" s="160"/>
      <c r="AR2052" s="160"/>
      <c r="AS2052" s="160"/>
      <c r="AT2052" s="160"/>
      <c r="AU2052" s="160"/>
      <c r="AV2052" s="160"/>
      <c r="AW2052" s="160"/>
      <c r="AX2052" s="160"/>
      <c r="AY2052" s="160"/>
      <c r="AZ2052" s="160"/>
      <c r="BA2052" s="160"/>
      <c r="BB2052" s="160"/>
      <c r="BC2052" s="160"/>
      <c r="BD2052" s="160"/>
      <c r="BE2052" s="160"/>
      <c r="BF2052" s="160"/>
      <c r="BG2052" s="160"/>
      <c r="BH2052" s="160"/>
      <c r="BI2052" s="160"/>
      <c r="BJ2052" s="160"/>
      <c r="BK2052" s="160"/>
      <c r="BL2052" s="160"/>
      <c r="BM2052" s="160"/>
      <c r="BN2052" s="160"/>
      <c r="BO2052" s="160"/>
      <c r="BP2052" s="160"/>
      <c r="BQ2052" s="160"/>
      <c r="BR2052" s="160"/>
      <c r="BS2052" s="160"/>
      <c r="BT2052" s="160"/>
      <c r="BU2052" s="160"/>
      <c r="BV2052" s="160"/>
      <c r="BW2052" s="160"/>
      <c r="BX2052" s="160"/>
      <c r="BY2052" s="160"/>
      <c r="BZ2052" s="160"/>
      <c r="CA2052" s="160"/>
      <c r="CB2052" s="160"/>
      <c r="CC2052" s="160"/>
      <c r="CD2052" s="160"/>
      <c r="CE2052" s="160"/>
      <c r="CF2052" s="160"/>
      <c r="CG2052" s="160"/>
      <c r="CH2052" s="160"/>
      <c r="CI2052" s="160"/>
      <c r="CJ2052" s="160"/>
      <c r="CK2052" s="160"/>
      <c r="CL2052" s="160"/>
      <c r="CM2052" s="160"/>
      <c r="CN2052" s="160"/>
      <c r="CO2052" s="160"/>
      <c r="CP2052" s="162"/>
      <c r="CQ2052" s="163"/>
      <c r="CR2052" s="162"/>
      <c r="CS2052" s="163"/>
      <c r="CT2052" s="162"/>
      <c r="CU2052" s="163"/>
      <c r="CV2052" s="164">
        <f t="shared" si="260"/>
        <v>0</v>
      </c>
      <c r="CW2052" s="165"/>
      <c r="CX2052" s="166"/>
      <c r="CY2052" s="167"/>
      <c r="CZ2052" s="168"/>
      <c r="DA2052" s="169"/>
      <c r="DB2052" s="168"/>
      <c r="DC2052" s="165"/>
      <c r="DD2052" s="166"/>
      <c r="DE2052" s="71"/>
      <c r="DF2052" s="170"/>
      <c r="EO2052" s="375" t="str">
        <f t="shared" si="261"/>
        <v>CUNDINAMARCA_PUERTO SALGAR</v>
      </c>
      <c r="EP2052" s="376"/>
      <c r="EQ2052" s="376"/>
      <c r="ER2052" s="377"/>
      <c r="ES2052" s="376"/>
      <c r="ET2052" s="376"/>
      <c r="EU2052" s="376"/>
    </row>
    <row r="2053" spans="1:151" s="171" customFormat="1" ht="84" x14ac:dyDescent="0.2">
      <c r="A2053" s="242">
        <v>40517</v>
      </c>
      <c r="B2053" s="222" t="s">
        <v>1333</v>
      </c>
      <c r="C2053" s="222" t="s">
        <v>2960</v>
      </c>
      <c r="D2053" s="430" t="s">
        <v>2307</v>
      </c>
      <c r="E2053" s="107" t="str">
        <f>VLOOKUP(B2053&amp;C2053,Divipola!$C$2:$F$1138,4,FALSE)</f>
        <v>41020</v>
      </c>
      <c r="F2053" s="333"/>
      <c r="G2053" s="221"/>
      <c r="H2053" s="157"/>
      <c r="I2053" s="157"/>
      <c r="J2053" s="157">
        <f>235*5</f>
        <v>1175</v>
      </c>
      <c r="K2053" s="157">
        <f>252-17</f>
        <v>235</v>
      </c>
      <c r="L2053" s="157">
        <v>94</v>
      </c>
      <c r="M2053" s="157">
        <f>158-17</f>
        <v>141</v>
      </c>
      <c r="N2053" s="157"/>
      <c r="O2053" s="157"/>
      <c r="P2053" s="157">
        <v>10</v>
      </c>
      <c r="Q2053" s="157">
        <v>1</v>
      </c>
      <c r="R2053" s="157"/>
      <c r="S2053" s="157"/>
      <c r="T2053" s="157">
        <v>10</v>
      </c>
      <c r="U2053" s="157"/>
      <c r="V2053" s="158"/>
      <c r="W2053" s="182"/>
      <c r="X2053" s="1"/>
      <c r="Y2053" s="78">
        <f t="shared" si="257"/>
        <v>0</v>
      </c>
      <c r="Z2053" s="78">
        <f t="shared" si="258"/>
        <v>0</v>
      </c>
      <c r="AA2053" s="78">
        <f t="shared" si="256"/>
        <v>0</v>
      </c>
      <c r="AB2053" s="78">
        <f t="shared" si="259"/>
        <v>0</v>
      </c>
      <c r="AC2053" s="78"/>
      <c r="AD2053" s="78">
        <v>0</v>
      </c>
      <c r="AE2053" s="80">
        <f t="shared" si="255"/>
        <v>0</v>
      </c>
      <c r="AF2053" s="82">
        <v>0</v>
      </c>
      <c r="AG2053" s="69">
        <v>40517</v>
      </c>
      <c r="AH2053" s="84"/>
      <c r="AI2053" s="69" t="s">
        <v>2009</v>
      </c>
      <c r="AJ2053" s="276" t="s">
        <v>2010</v>
      </c>
      <c r="AK2053" s="65"/>
      <c r="AL2053" s="272" t="s">
        <v>311</v>
      </c>
      <c r="AM2053" s="173" t="s">
        <v>2962</v>
      </c>
      <c r="AN2053" s="159"/>
      <c r="AO2053" s="160"/>
      <c r="AP2053" s="161"/>
      <c r="AQ2053" s="160"/>
      <c r="AR2053" s="160"/>
      <c r="AS2053" s="160"/>
      <c r="AT2053" s="160"/>
      <c r="AU2053" s="160"/>
      <c r="AV2053" s="160"/>
      <c r="AW2053" s="160"/>
      <c r="AX2053" s="160"/>
      <c r="AY2053" s="160"/>
      <c r="AZ2053" s="160"/>
      <c r="BA2053" s="160"/>
      <c r="BB2053" s="160"/>
      <c r="BC2053" s="160"/>
      <c r="BD2053" s="160"/>
      <c r="BE2053" s="160"/>
      <c r="BF2053" s="160"/>
      <c r="BG2053" s="160"/>
      <c r="BH2053" s="160"/>
      <c r="BI2053" s="160"/>
      <c r="BJ2053" s="160"/>
      <c r="BK2053" s="160"/>
      <c r="BL2053" s="160"/>
      <c r="BM2053" s="160"/>
      <c r="BN2053" s="160"/>
      <c r="BO2053" s="160"/>
      <c r="BP2053" s="160"/>
      <c r="BQ2053" s="160"/>
      <c r="BR2053" s="160"/>
      <c r="BS2053" s="160"/>
      <c r="BT2053" s="160"/>
      <c r="BU2053" s="160"/>
      <c r="BV2053" s="160"/>
      <c r="BW2053" s="160"/>
      <c r="BX2053" s="160"/>
      <c r="BY2053" s="160"/>
      <c r="BZ2053" s="160"/>
      <c r="CA2053" s="160"/>
      <c r="CB2053" s="160"/>
      <c r="CC2053" s="160"/>
      <c r="CD2053" s="160"/>
      <c r="CE2053" s="160"/>
      <c r="CF2053" s="160"/>
      <c r="CG2053" s="160"/>
      <c r="CH2053" s="160"/>
      <c r="CI2053" s="160"/>
      <c r="CJ2053" s="160"/>
      <c r="CK2053" s="160"/>
      <c r="CL2053" s="160"/>
      <c r="CM2053" s="160"/>
      <c r="CN2053" s="160"/>
      <c r="CO2053" s="160"/>
      <c r="CP2053" s="162"/>
      <c r="CQ2053" s="163"/>
      <c r="CR2053" s="162"/>
      <c r="CS2053" s="163"/>
      <c r="CT2053" s="162"/>
      <c r="CU2053" s="163"/>
      <c r="CV2053" s="164">
        <f t="shared" si="260"/>
        <v>0</v>
      </c>
      <c r="CW2053" s="165"/>
      <c r="CX2053" s="166"/>
      <c r="CY2053" s="167"/>
      <c r="CZ2053" s="168"/>
      <c r="DA2053" s="169"/>
      <c r="DB2053" s="168"/>
      <c r="DC2053" s="165"/>
      <c r="DD2053" s="166"/>
      <c r="DE2053" s="71"/>
      <c r="DF2053" s="170"/>
      <c r="EO2053" s="375" t="str">
        <f t="shared" si="261"/>
        <v>HUILA_ALGECIRAS</v>
      </c>
      <c r="EP2053" s="376"/>
      <c r="EQ2053" s="376"/>
      <c r="ER2053" s="377"/>
      <c r="ES2053" s="376"/>
      <c r="ET2053" s="376"/>
      <c r="EU2053" s="376"/>
    </row>
    <row r="2054" spans="1:151" s="171" customFormat="1" ht="45" x14ac:dyDescent="0.2">
      <c r="A2054" s="242">
        <v>40517</v>
      </c>
      <c r="B2054" s="222" t="s">
        <v>1333</v>
      </c>
      <c r="C2054" s="222" t="s">
        <v>1597</v>
      </c>
      <c r="D2054" s="430" t="s">
        <v>837</v>
      </c>
      <c r="E2054" s="107" t="str">
        <f>VLOOKUP(B2054&amp;C2054,Divipola!$C$2:$F$1138,4,FALSE)</f>
        <v>41551</v>
      </c>
      <c r="F2054" s="333"/>
      <c r="G2054" s="221"/>
      <c r="H2054" s="157"/>
      <c r="I2054" s="157"/>
      <c r="J2054" s="157">
        <f>690-75</f>
        <v>615</v>
      </c>
      <c r="K2054" s="157">
        <f>138-15</f>
        <v>123</v>
      </c>
      <c r="L2054" s="157"/>
      <c r="M2054" s="157">
        <v>5</v>
      </c>
      <c r="N2054" s="157"/>
      <c r="O2054" s="157"/>
      <c r="P2054" s="157"/>
      <c r="Q2054" s="157">
        <v>2</v>
      </c>
      <c r="R2054" s="157"/>
      <c r="S2054" s="157"/>
      <c r="T2054" s="157">
        <v>6</v>
      </c>
      <c r="U2054" s="157">
        <v>8</v>
      </c>
      <c r="V2054" s="158"/>
      <c r="W2054" s="182"/>
      <c r="X2054" s="1"/>
      <c r="Y2054" s="78">
        <f t="shared" si="257"/>
        <v>0</v>
      </c>
      <c r="Z2054" s="78">
        <f t="shared" si="258"/>
        <v>0</v>
      </c>
      <c r="AA2054" s="78">
        <f t="shared" si="256"/>
        <v>0</v>
      </c>
      <c r="AB2054" s="78">
        <f t="shared" si="259"/>
        <v>0</v>
      </c>
      <c r="AC2054" s="78"/>
      <c r="AD2054" s="78">
        <v>0</v>
      </c>
      <c r="AE2054" s="80">
        <f t="shared" si="255"/>
        <v>0</v>
      </c>
      <c r="AF2054" s="82">
        <v>0</v>
      </c>
      <c r="AG2054" s="69">
        <v>40517</v>
      </c>
      <c r="AH2054" s="84"/>
      <c r="AI2054" s="69" t="s">
        <v>2009</v>
      </c>
      <c r="AJ2054" s="276" t="s">
        <v>2010</v>
      </c>
      <c r="AK2054" s="65"/>
      <c r="AL2054" s="272" t="s">
        <v>311</v>
      </c>
      <c r="AM2054" s="173" t="s">
        <v>2973</v>
      </c>
      <c r="AN2054" s="159"/>
      <c r="AO2054" s="160"/>
      <c r="AP2054" s="161"/>
      <c r="AQ2054" s="160"/>
      <c r="AR2054" s="160"/>
      <c r="AS2054" s="160"/>
      <c r="AT2054" s="160"/>
      <c r="AU2054" s="160"/>
      <c r="AV2054" s="160"/>
      <c r="AW2054" s="160"/>
      <c r="AX2054" s="160"/>
      <c r="AY2054" s="160"/>
      <c r="AZ2054" s="160"/>
      <c r="BA2054" s="160"/>
      <c r="BB2054" s="160"/>
      <c r="BC2054" s="160"/>
      <c r="BD2054" s="160"/>
      <c r="BE2054" s="160"/>
      <c r="BF2054" s="160"/>
      <c r="BG2054" s="160"/>
      <c r="BH2054" s="160"/>
      <c r="BI2054" s="160"/>
      <c r="BJ2054" s="160"/>
      <c r="BK2054" s="160"/>
      <c r="BL2054" s="160"/>
      <c r="BM2054" s="160"/>
      <c r="BN2054" s="160"/>
      <c r="BO2054" s="160"/>
      <c r="BP2054" s="160"/>
      <c r="BQ2054" s="160"/>
      <c r="BR2054" s="160"/>
      <c r="BS2054" s="160"/>
      <c r="BT2054" s="160"/>
      <c r="BU2054" s="160"/>
      <c r="BV2054" s="160"/>
      <c r="BW2054" s="160"/>
      <c r="BX2054" s="160"/>
      <c r="BY2054" s="160"/>
      <c r="BZ2054" s="160"/>
      <c r="CA2054" s="160"/>
      <c r="CB2054" s="160"/>
      <c r="CC2054" s="160"/>
      <c r="CD2054" s="160"/>
      <c r="CE2054" s="160"/>
      <c r="CF2054" s="160"/>
      <c r="CG2054" s="160"/>
      <c r="CH2054" s="160"/>
      <c r="CI2054" s="160"/>
      <c r="CJ2054" s="160"/>
      <c r="CK2054" s="160"/>
      <c r="CL2054" s="160"/>
      <c r="CM2054" s="160"/>
      <c r="CN2054" s="160"/>
      <c r="CO2054" s="160"/>
      <c r="CP2054" s="162"/>
      <c r="CQ2054" s="163"/>
      <c r="CR2054" s="162"/>
      <c r="CS2054" s="163"/>
      <c r="CT2054" s="162"/>
      <c r="CU2054" s="163"/>
      <c r="CV2054" s="164">
        <f t="shared" si="260"/>
        <v>0</v>
      </c>
      <c r="CW2054" s="165"/>
      <c r="CX2054" s="166"/>
      <c r="CY2054" s="167"/>
      <c r="CZ2054" s="168"/>
      <c r="DA2054" s="169"/>
      <c r="DB2054" s="168"/>
      <c r="DC2054" s="165"/>
      <c r="DD2054" s="166"/>
      <c r="DE2054" s="71"/>
      <c r="DF2054" s="170"/>
      <c r="EO2054" s="375" t="str">
        <f t="shared" si="261"/>
        <v>HUILA_PITALITO</v>
      </c>
      <c r="EP2054" s="376"/>
      <c r="EQ2054" s="376"/>
      <c r="ER2054" s="377"/>
      <c r="ES2054" s="376"/>
      <c r="ET2054" s="376"/>
      <c r="EU2054" s="376"/>
    </row>
    <row r="2055" spans="1:151" s="171" customFormat="1" ht="25.5" x14ac:dyDescent="0.2">
      <c r="A2055" s="242">
        <v>40518</v>
      </c>
      <c r="B2055" s="222" t="s">
        <v>289</v>
      </c>
      <c r="C2055" s="222" t="s">
        <v>711</v>
      </c>
      <c r="D2055" s="430" t="s">
        <v>2307</v>
      </c>
      <c r="E2055" s="107" t="str">
        <f>VLOOKUP(B2055&amp;C2055,Divipola!$C$2:$F$1138,4,FALSE)</f>
        <v>17001</v>
      </c>
      <c r="F2055" s="333"/>
      <c r="G2055" s="221"/>
      <c r="H2055" s="157"/>
      <c r="I2055" s="157"/>
      <c r="J2055" s="157">
        <v>30</v>
      </c>
      <c r="K2055" s="157">
        <v>6</v>
      </c>
      <c r="L2055" s="157"/>
      <c r="M2055" s="157">
        <v>6</v>
      </c>
      <c r="N2055" s="157"/>
      <c r="O2055" s="157"/>
      <c r="P2055" s="157"/>
      <c r="Q2055" s="157"/>
      <c r="R2055" s="157"/>
      <c r="S2055" s="157"/>
      <c r="T2055" s="157"/>
      <c r="U2055" s="157"/>
      <c r="V2055" s="158"/>
      <c r="W2055" s="182"/>
      <c r="X2055" s="1"/>
      <c r="Y2055" s="78">
        <f t="shared" si="257"/>
        <v>0</v>
      </c>
      <c r="Z2055" s="78">
        <f t="shared" si="258"/>
        <v>0</v>
      </c>
      <c r="AA2055" s="78">
        <f t="shared" si="256"/>
        <v>0</v>
      </c>
      <c r="AB2055" s="78">
        <f t="shared" si="259"/>
        <v>0</v>
      </c>
      <c r="AC2055" s="78"/>
      <c r="AD2055" s="78">
        <v>0</v>
      </c>
      <c r="AE2055" s="80">
        <f t="shared" si="255"/>
        <v>0</v>
      </c>
      <c r="AF2055" s="82">
        <v>0</v>
      </c>
      <c r="AG2055" s="242"/>
      <c r="AH2055" s="84"/>
      <c r="AI2055" s="69" t="s">
        <v>2009</v>
      </c>
      <c r="AJ2055" s="25" t="s">
        <v>2010</v>
      </c>
      <c r="AK2055" s="65"/>
      <c r="AL2055" s="184" t="s">
        <v>3833</v>
      </c>
      <c r="AM2055" s="173" t="s">
        <v>2983</v>
      </c>
      <c r="AN2055" s="159"/>
      <c r="AO2055" s="160"/>
      <c r="AP2055" s="161"/>
      <c r="AQ2055" s="160"/>
      <c r="AR2055" s="160"/>
      <c r="AS2055" s="160"/>
      <c r="AT2055" s="160"/>
      <c r="AU2055" s="160"/>
      <c r="AV2055" s="160"/>
      <c r="AW2055" s="160"/>
      <c r="AX2055" s="160"/>
      <c r="AY2055" s="160"/>
      <c r="AZ2055" s="160"/>
      <c r="BA2055" s="160"/>
      <c r="BB2055" s="160"/>
      <c r="BC2055" s="160"/>
      <c r="BD2055" s="160"/>
      <c r="BE2055" s="160"/>
      <c r="BF2055" s="160"/>
      <c r="BG2055" s="160"/>
      <c r="BH2055" s="160"/>
      <c r="BI2055" s="160"/>
      <c r="BJ2055" s="160"/>
      <c r="BK2055" s="160"/>
      <c r="BL2055" s="160"/>
      <c r="BM2055" s="160"/>
      <c r="BN2055" s="160"/>
      <c r="BO2055" s="160"/>
      <c r="BP2055" s="160"/>
      <c r="BQ2055" s="160"/>
      <c r="BR2055" s="160"/>
      <c r="BS2055" s="160"/>
      <c r="BT2055" s="160"/>
      <c r="BU2055" s="160"/>
      <c r="BV2055" s="160"/>
      <c r="BW2055" s="160"/>
      <c r="BX2055" s="160"/>
      <c r="BY2055" s="160"/>
      <c r="BZ2055" s="160"/>
      <c r="CA2055" s="160"/>
      <c r="CB2055" s="160"/>
      <c r="CC2055" s="160"/>
      <c r="CD2055" s="160"/>
      <c r="CE2055" s="160"/>
      <c r="CF2055" s="160"/>
      <c r="CG2055" s="160"/>
      <c r="CH2055" s="160"/>
      <c r="CI2055" s="160"/>
      <c r="CJ2055" s="160"/>
      <c r="CK2055" s="160"/>
      <c r="CL2055" s="160"/>
      <c r="CM2055" s="160"/>
      <c r="CN2055" s="160"/>
      <c r="CO2055" s="160"/>
      <c r="CP2055" s="162"/>
      <c r="CQ2055" s="163"/>
      <c r="CR2055" s="162"/>
      <c r="CS2055" s="163"/>
      <c r="CT2055" s="162"/>
      <c r="CU2055" s="163"/>
      <c r="CV2055" s="164">
        <f t="shared" si="260"/>
        <v>0</v>
      </c>
      <c r="CW2055" s="165"/>
      <c r="CX2055" s="166"/>
      <c r="CY2055" s="167"/>
      <c r="CZ2055" s="168"/>
      <c r="DA2055" s="169"/>
      <c r="DB2055" s="168"/>
      <c r="DC2055" s="165"/>
      <c r="DD2055" s="166"/>
      <c r="DE2055" s="71"/>
      <c r="DF2055" s="170"/>
      <c r="EO2055" s="375" t="str">
        <f t="shared" si="261"/>
        <v>CALDAS_MANIZALES</v>
      </c>
      <c r="EP2055" s="376"/>
      <c r="EQ2055" s="376"/>
      <c r="ER2055" s="377"/>
      <c r="ES2055" s="376"/>
      <c r="ET2055" s="376"/>
      <c r="EU2055" s="376"/>
    </row>
    <row r="2056" spans="1:151" s="171" customFormat="1" ht="38.25" x14ac:dyDescent="0.2">
      <c r="A2056" s="242">
        <v>40518</v>
      </c>
      <c r="B2056" s="222" t="s">
        <v>1836</v>
      </c>
      <c r="C2056" s="222" t="s">
        <v>4463</v>
      </c>
      <c r="D2056" s="430" t="s">
        <v>837</v>
      </c>
      <c r="E2056" s="107" t="str">
        <f>VLOOKUP(B2056&amp;C2056,Divipola!$C$2:$F$1138,4,FALSE)</f>
        <v>47745</v>
      </c>
      <c r="F2056" s="333"/>
      <c r="G2056" s="221">
        <v>1</v>
      </c>
      <c r="H2056" s="157"/>
      <c r="I2056" s="157"/>
      <c r="J2056" s="157"/>
      <c r="K2056" s="157"/>
      <c r="L2056" s="157"/>
      <c r="M2056" s="157"/>
      <c r="N2056" s="157"/>
      <c r="O2056" s="157"/>
      <c r="P2056" s="157"/>
      <c r="Q2056" s="157"/>
      <c r="R2056" s="157"/>
      <c r="S2056" s="157"/>
      <c r="T2056" s="157"/>
      <c r="U2056" s="157"/>
      <c r="V2056" s="158"/>
      <c r="W2056" s="182"/>
      <c r="X2056" s="1"/>
      <c r="Y2056" s="78">
        <f t="shared" si="257"/>
        <v>0</v>
      </c>
      <c r="Z2056" s="78">
        <f t="shared" si="258"/>
        <v>0</v>
      </c>
      <c r="AA2056" s="78">
        <f t="shared" si="256"/>
        <v>0</v>
      </c>
      <c r="AB2056" s="78">
        <f t="shared" si="259"/>
        <v>0</v>
      </c>
      <c r="AC2056" s="78"/>
      <c r="AD2056" s="78">
        <v>0</v>
      </c>
      <c r="AE2056" s="80">
        <f t="shared" si="255"/>
        <v>0</v>
      </c>
      <c r="AF2056" s="82">
        <v>0</v>
      </c>
      <c r="AG2056" s="69">
        <v>40518</v>
      </c>
      <c r="AH2056" s="84"/>
      <c r="AI2056" s="69" t="s">
        <v>1984</v>
      </c>
      <c r="AJ2056" s="25" t="s">
        <v>1985</v>
      </c>
      <c r="AK2056" s="65"/>
      <c r="AL2056" s="176" t="s">
        <v>1257</v>
      </c>
      <c r="AM2056" s="173"/>
      <c r="AN2056" s="159"/>
      <c r="AO2056" s="160"/>
      <c r="AP2056" s="161"/>
      <c r="AQ2056" s="160"/>
      <c r="AR2056" s="160"/>
      <c r="AS2056" s="160"/>
      <c r="AT2056" s="160"/>
      <c r="AU2056" s="160"/>
      <c r="AV2056" s="160"/>
      <c r="AW2056" s="160"/>
      <c r="AX2056" s="160"/>
      <c r="AY2056" s="160"/>
      <c r="AZ2056" s="160"/>
      <c r="BA2056" s="160"/>
      <c r="BB2056" s="160"/>
      <c r="BC2056" s="160"/>
      <c r="BD2056" s="160"/>
      <c r="BE2056" s="160"/>
      <c r="BF2056" s="160"/>
      <c r="BG2056" s="160"/>
      <c r="BH2056" s="160"/>
      <c r="BI2056" s="160"/>
      <c r="BJ2056" s="160"/>
      <c r="BK2056" s="160"/>
      <c r="BL2056" s="160"/>
      <c r="BM2056" s="160"/>
      <c r="BN2056" s="160"/>
      <c r="BO2056" s="160"/>
      <c r="BP2056" s="160"/>
      <c r="BQ2056" s="160"/>
      <c r="BR2056" s="160"/>
      <c r="BS2056" s="160"/>
      <c r="BT2056" s="160"/>
      <c r="BU2056" s="160"/>
      <c r="BV2056" s="160"/>
      <c r="BW2056" s="160"/>
      <c r="BX2056" s="160"/>
      <c r="BY2056" s="160"/>
      <c r="BZ2056" s="160"/>
      <c r="CA2056" s="160"/>
      <c r="CB2056" s="160"/>
      <c r="CC2056" s="160"/>
      <c r="CD2056" s="160"/>
      <c r="CE2056" s="160"/>
      <c r="CF2056" s="160"/>
      <c r="CG2056" s="160"/>
      <c r="CH2056" s="160"/>
      <c r="CI2056" s="160"/>
      <c r="CJ2056" s="160"/>
      <c r="CK2056" s="160"/>
      <c r="CL2056" s="160"/>
      <c r="CM2056" s="160"/>
      <c r="CN2056" s="160"/>
      <c r="CO2056" s="160"/>
      <c r="CP2056" s="162"/>
      <c r="CQ2056" s="163"/>
      <c r="CR2056" s="162"/>
      <c r="CS2056" s="163"/>
      <c r="CT2056" s="162"/>
      <c r="CU2056" s="163"/>
      <c r="CV2056" s="164">
        <f t="shared" si="260"/>
        <v>0</v>
      </c>
      <c r="CW2056" s="165"/>
      <c r="CX2056" s="166"/>
      <c r="CY2056" s="167"/>
      <c r="CZ2056" s="168"/>
      <c r="DA2056" s="169"/>
      <c r="DB2056" s="168"/>
      <c r="DC2056" s="165"/>
      <c r="DD2056" s="166"/>
      <c r="DE2056" s="71"/>
      <c r="DF2056" s="170"/>
      <c r="EO2056" s="375" t="str">
        <f t="shared" si="261"/>
        <v>MAGDALENA_SITIONUEVO</v>
      </c>
      <c r="EP2056" s="376"/>
      <c r="EQ2056" s="376"/>
      <c r="ER2056" s="377"/>
      <c r="ES2056" s="376"/>
      <c r="ET2056" s="376"/>
      <c r="EU2056" s="376"/>
    </row>
    <row r="2057" spans="1:151" s="171" customFormat="1" ht="38.25" x14ac:dyDescent="0.2">
      <c r="A2057" s="242">
        <v>40518</v>
      </c>
      <c r="B2057" s="222" t="s">
        <v>1836</v>
      </c>
      <c r="C2057" s="222" t="s">
        <v>1874</v>
      </c>
      <c r="D2057" s="430" t="s">
        <v>2209</v>
      </c>
      <c r="E2057" s="107" t="str">
        <f>VLOOKUP(B2057&amp;C2057,Divipola!$C$2:$F$1138,4,FALSE)</f>
        <v>47960</v>
      </c>
      <c r="F2057" s="333"/>
      <c r="G2057" s="221"/>
      <c r="H2057" s="157"/>
      <c r="I2057" s="157"/>
      <c r="J2057" s="157">
        <v>1215</v>
      </c>
      <c r="K2057" s="157">
        <v>243</v>
      </c>
      <c r="L2057" s="157">
        <v>30</v>
      </c>
      <c r="M2057" s="157"/>
      <c r="N2057" s="157"/>
      <c r="O2057" s="157"/>
      <c r="P2057" s="157"/>
      <c r="Q2057" s="157"/>
      <c r="R2057" s="157"/>
      <c r="S2057" s="157"/>
      <c r="T2057" s="157"/>
      <c r="U2057" s="157"/>
      <c r="V2057" s="158"/>
      <c r="W2057" s="182"/>
      <c r="X2057" s="1"/>
      <c r="Y2057" s="78">
        <f t="shared" si="257"/>
        <v>0</v>
      </c>
      <c r="Z2057" s="78">
        <f t="shared" si="258"/>
        <v>0</v>
      </c>
      <c r="AA2057" s="78">
        <f t="shared" si="256"/>
        <v>0</v>
      </c>
      <c r="AB2057" s="78">
        <f t="shared" si="259"/>
        <v>0</v>
      </c>
      <c r="AC2057" s="78"/>
      <c r="AD2057" s="78">
        <v>0</v>
      </c>
      <c r="AE2057" s="80">
        <f t="shared" ref="AE2057:AE2120" si="262">Y2057+Z2057+AA2057+AB2057+AC2057+AD2057</f>
        <v>0</v>
      </c>
      <c r="AF2057" s="82">
        <v>0</v>
      </c>
      <c r="AG2057" s="242">
        <v>40518</v>
      </c>
      <c r="AH2057" s="84"/>
      <c r="AI2057" s="69" t="s">
        <v>1984</v>
      </c>
      <c r="AJ2057" s="25" t="s">
        <v>1985</v>
      </c>
      <c r="AK2057" s="65"/>
      <c r="AL2057" s="176" t="s">
        <v>1257</v>
      </c>
      <c r="AM2057" s="173" t="s">
        <v>2841</v>
      </c>
      <c r="AN2057" s="159"/>
      <c r="AO2057" s="160"/>
      <c r="AP2057" s="161"/>
      <c r="AQ2057" s="160"/>
      <c r="AR2057" s="160"/>
      <c r="AS2057" s="160"/>
      <c r="AT2057" s="160"/>
      <c r="AU2057" s="160"/>
      <c r="AV2057" s="160"/>
      <c r="AW2057" s="160"/>
      <c r="AX2057" s="160"/>
      <c r="AY2057" s="160"/>
      <c r="AZ2057" s="160"/>
      <c r="BA2057" s="160"/>
      <c r="BB2057" s="160"/>
      <c r="BC2057" s="160"/>
      <c r="BD2057" s="160"/>
      <c r="BE2057" s="160"/>
      <c r="BF2057" s="160"/>
      <c r="BG2057" s="160"/>
      <c r="BH2057" s="160"/>
      <c r="BI2057" s="160"/>
      <c r="BJ2057" s="160"/>
      <c r="BK2057" s="160"/>
      <c r="BL2057" s="160"/>
      <c r="BM2057" s="160"/>
      <c r="BN2057" s="160"/>
      <c r="BO2057" s="160"/>
      <c r="BP2057" s="160"/>
      <c r="BQ2057" s="160"/>
      <c r="BR2057" s="160"/>
      <c r="BS2057" s="160"/>
      <c r="BT2057" s="160"/>
      <c r="BU2057" s="160"/>
      <c r="BV2057" s="160"/>
      <c r="BW2057" s="160"/>
      <c r="BX2057" s="160"/>
      <c r="BY2057" s="160"/>
      <c r="BZ2057" s="160"/>
      <c r="CA2057" s="160"/>
      <c r="CB2057" s="160"/>
      <c r="CC2057" s="160"/>
      <c r="CD2057" s="160"/>
      <c r="CE2057" s="160"/>
      <c r="CF2057" s="160"/>
      <c r="CG2057" s="160"/>
      <c r="CH2057" s="160"/>
      <c r="CI2057" s="160"/>
      <c r="CJ2057" s="160"/>
      <c r="CK2057" s="160"/>
      <c r="CL2057" s="160"/>
      <c r="CM2057" s="160"/>
      <c r="CN2057" s="160"/>
      <c r="CO2057" s="160"/>
      <c r="CP2057" s="162"/>
      <c r="CQ2057" s="163"/>
      <c r="CR2057" s="162"/>
      <c r="CS2057" s="163"/>
      <c r="CT2057" s="162"/>
      <c r="CU2057" s="163"/>
      <c r="CV2057" s="164">
        <f t="shared" si="260"/>
        <v>0</v>
      </c>
      <c r="CW2057" s="165"/>
      <c r="CX2057" s="166"/>
      <c r="CY2057" s="167"/>
      <c r="CZ2057" s="168"/>
      <c r="DA2057" s="169"/>
      <c r="DB2057" s="168"/>
      <c r="DC2057" s="165"/>
      <c r="DD2057" s="166"/>
      <c r="DE2057" s="71"/>
      <c r="DF2057" s="170"/>
      <c r="EO2057" s="375" t="str">
        <f t="shared" si="261"/>
        <v>MAGDALENA_ZAPAYAN</v>
      </c>
      <c r="EP2057" s="376"/>
      <c r="EQ2057" s="376"/>
      <c r="ER2057" s="377"/>
      <c r="ES2057" s="376"/>
      <c r="ET2057" s="376"/>
      <c r="EU2057" s="376"/>
    </row>
    <row r="2058" spans="1:151" s="171" customFormat="1" ht="38.25" x14ac:dyDescent="0.2">
      <c r="A2058" s="242">
        <v>40518.0625</v>
      </c>
      <c r="B2058" s="107" t="s">
        <v>6305</v>
      </c>
      <c r="C2058" s="107" t="s">
        <v>6305</v>
      </c>
      <c r="D2058" s="430" t="s">
        <v>2307</v>
      </c>
      <c r="E2058" s="107" t="str">
        <f>VLOOKUP(B2058&amp;C2058,Divipola!$C$2:$F$1138,4,FALSE)</f>
        <v>11001</v>
      </c>
      <c r="F2058" s="333"/>
      <c r="G2058" s="221"/>
      <c r="H2058" s="157">
        <v>1</v>
      </c>
      <c r="I2058" s="157"/>
      <c r="J2058" s="157">
        <v>59</v>
      </c>
      <c r="K2058" s="414">
        <v>14</v>
      </c>
      <c r="L2058" s="157"/>
      <c r="M2058" s="157"/>
      <c r="N2058" s="157"/>
      <c r="O2058" s="157"/>
      <c r="P2058" s="157"/>
      <c r="Q2058" s="157"/>
      <c r="R2058" s="157"/>
      <c r="S2058" s="157"/>
      <c r="T2058" s="157"/>
      <c r="U2058" s="157"/>
      <c r="V2058" s="158"/>
      <c r="W2058" s="182"/>
      <c r="X2058" s="1"/>
      <c r="Y2058" s="78">
        <f t="shared" si="257"/>
        <v>0</v>
      </c>
      <c r="Z2058" s="78">
        <f t="shared" si="258"/>
        <v>0</v>
      </c>
      <c r="AA2058" s="78">
        <f t="shared" si="256"/>
        <v>0</v>
      </c>
      <c r="AB2058" s="78">
        <f t="shared" si="259"/>
        <v>0</v>
      </c>
      <c r="AC2058" s="78"/>
      <c r="AD2058" s="78">
        <v>0</v>
      </c>
      <c r="AE2058" s="80">
        <f t="shared" si="262"/>
        <v>0</v>
      </c>
      <c r="AF2058" s="82">
        <v>0</v>
      </c>
      <c r="AG2058" s="306">
        <v>40624</v>
      </c>
      <c r="AH2058" s="307"/>
      <c r="AI2058" s="306" t="s">
        <v>1984</v>
      </c>
      <c r="AJ2058" s="308" t="s">
        <v>1985</v>
      </c>
      <c r="AK2058" s="309"/>
      <c r="AL2058" s="310" t="s">
        <v>1257</v>
      </c>
      <c r="AM2058" s="419" t="s">
        <v>3746</v>
      </c>
      <c r="AN2058" s="159"/>
      <c r="AO2058" s="160"/>
      <c r="AP2058" s="161"/>
      <c r="AQ2058" s="160"/>
      <c r="AR2058" s="160"/>
      <c r="AS2058" s="160"/>
      <c r="AT2058" s="160"/>
      <c r="AU2058" s="160"/>
      <c r="AV2058" s="160"/>
      <c r="AW2058" s="160"/>
      <c r="AX2058" s="160"/>
      <c r="AY2058" s="160"/>
      <c r="AZ2058" s="160"/>
      <c r="BA2058" s="160"/>
      <c r="BB2058" s="160"/>
      <c r="BC2058" s="160"/>
      <c r="BD2058" s="160"/>
      <c r="BE2058" s="160"/>
      <c r="BF2058" s="160"/>
      <c r="BG2058" s="160"/>
      <c r="BH2058" s="160"/>
      <c r="BI2058" s="160"/>
      <c r="BJ2058" s="160"/>
      <c r="BK2058" s="160"/>
      <c r="BL2058" s="160"/>
      <c r="BM2058" s="160"/>
      <c r="BN2058" s="160"/>
      <c r="BO2058" s="160"/>
      <c r="BP2058" s="160"/>
      <c r="BQ2058" s="160"/>
      <c r="BR2058" s="160"/>
      <c r="BS2058" s="160"/>
      <c r="BT2058" s="160"/>
      <c r="BU2058" s="160"/>
      <c r="BV2058" s="160"/>
      <c r="BW2058" s="160"/>
      <c r="BX2058" s="160"/>
      <c r="BY2058" s="160"/>
      <c r="BZ2058" s="160"/>
      <c r="CA2058" s="160"/>
      <c r="CB2058" s="160"/>
      <c r="CC2058" s="160"/>
      <c r="CD2058" s="160"/>
      <c r="CE2058" s="160"/>
      <c r="CF2058" s="160"/>
      <c r="CG2058" s="160"/>
      <c r="CH2058" s="160"/>
      <c r="CI2058" s="160"/>
      <c r="CJ2058" s="160"/>
      <c r="CK2058" s="160"/>
      <c r="CL2058" s="160"/>
      <c r="CM2058" s="160"/>
      <c r="CN2058" s="160"/>
      <c r="CO2058" s="160"/>
      <c r="CP2058" s="162"/>
      <c r="CQ2058" s="163"/>
      <c r="CR2058" s="162"/>
      <c r="CS2058" s="163"/>
      <c r="CT2058" s="162"/>
      <c r="CU2058" s="163"/>
      <c r="CV2058" s="164">
        <f t="shared" si="260"/>
        <v>0</v>
      </c>
      <c r="CW2058" s="165"/>
      <c r="CX2058" s="166"/>
      <c r="CY2058" s="167"/>
      <c r="CZ2058" s="168"/>
      <c r="DA2058" s="169"/>
      <c r="DB2058" s="168"/>
      <c r="DC2058" s="165"/>
      <c r="DD2058" s="166"/>
      <c r="DE2058" s="71"/>
      <c r="DF2058" s="170"/>
      <c r="EO2058" s="375" t="str">
        <f t="shared" si="261"/>
        <v>BOGOTA, D.C._BOGOTA, D.C.</v>
      </c>
      <c r="EP2058" s="376"/>
      <c r="EQ2058" s="376"/>
      <c r="ER2058" s="377"/>
      <c r="ES2058" s="376"/>
      <c r="ET2058" s="376"/>
      <c r="EU2058" s="376"/>
    </row>
    <row r="2059" spans="1:151" s="171" customFormat="1" ht="36.75" customHeight="1" x14ac:dyDescent="0.2">
      <c r="A2059" s="242">
        <v>40518.102777777778</v>
      </c>
      <c r="B2059" s="107" t="s">
        <v>6305</v>
      </c>
      <c r="C2059" s="107" t="s">
        <v>6305</v>
      </c>
      <c r="D2059" s="430" t="s">
        <v>2307</v>
      </c>
      <c r="E2059" s="107" t="str">
        <f>VLOOKUP(B2059&amp;C2059,Divipola!$C$2:$F$1138,4,FALSE)</f>
        <v>11001</v>
      </c>
      <c r="F2059" s="333"/>
      <c r="G2059" s="221"/>
      <c r="H2059" s="157">
        <v>1</v>
      </c>
      <c r="I2059" s="157"/>
      <c r="J2059" s="157">
        <v>126</v>
      </c>
      <c r="K2059" s="414">
        <v>26</v>
      </c>
      <c r="L2059" s="157"/>
      <c r="M2059" s="157"/>
      <c r="N2059" s="157"/>
      <c r="O2059" s="157"/>
      <c r="P2059" s="157"/>
      <c r="Q2059" s="157"/>
      <c r="R2059" s="157"/>
      <c r="S2059" s="157"/>
      <c r="T2059" s="157"/>
      <c r="U2059" s="157"/>
      <c r="V2059" s="158"/>
      <c r="W2059" s="182"/>
      <c r="X2059" s="1"/>
      <c r="Y2059" s="78">
        <f t="shared" si="257"/>
        <v>0</v>
      </c>
      <c r="Z2059" s="78">
        <f t="shared" si="258"/>
        <v>0</v>
      </c>
      <c r="AA2059" s="78">
        <f t="shared" si="256"/>
        <v>0</v>
      </c>
      <c r="AB2059" s="78">
        <f t="shared" si="259"/>
        <v>0</v>
      </c>
      <c r="AC2059" s="78"/>
      <c r="AD2059" s="78">
        <v>0</v>
      </c>
      <c r="AE2059" s="80">
        <f t="shared" si="262"/>
        <v>0</v>
      </c>
      <c r="AF2059" s="82">
        <v>0</v>
      </c>
      <c r="AG2059" s="306">
        <v>40624</v>
      </c>
      <c r="AH2059" s="307"/>
      <c r="AI2059" s="306" t="s">
        <v>1984</v>
      </c>
      <c r="AJ2059" s="308" t="s">
        <v>1985</v>
      </c>
      <c r="AK2059" s="309"/>
      <c r="AL2059" s="310" t="s">
        <v>1257</v>
      </c>
      <c r="AM2059" s="419" t="s">
        <v>3780</v>
      </c>
      <c r="AN2059" s="159"/>
      <c r="AO2059" s="160"/>
      <c r="AP2059" s="161"/>
      <c r="AQ2059" s="160"/>
      <c r="AR2059" s="160"/>
      <c r="AS2059" s="160"/>
      <c r="AT2059" s="160"/>
      <c r="AU2059" s="160"/>
      <c r="AV2059" s="160"/>
      <c r="AW2059" s="160"/>
      <c r="AX2059" s="160"/>
      <c r="AY2059" s="160"/>
      <c r="AZ2059" s="160"/>
      <c r="BA2059" s="160"/>
      <c r="BB2059" s="160"/>
      <c r="BC2059" s="160"/>
      <c r="BD2059" s="160"/>
      <c r="BE2059" s="160"/>
      <c r="BF2059" s="160"/>
      <c r="BG2059" s="160"/>
      <c r="BH2059" s="160"/>
      <c r="BI2059" s="160"/>
      <c r="BJ2059" s="160"/>
      <c r="BK2059" s="160"/>
      <c r="BL2059" s="160"/>
      <c r="BM2059" s="160"/>
      <c r="BN2059" s="160"/>
      <c r="BO2059" s="160"/>
      <c r="BP2059" s="160"/>
      <c r="BQ2059" s="160"/>
      <c r="BR2059" s="160"/>
      <c r="BS2059" s="160"/>
      <c r="BT2059" s="160"/>
      <c r="BU2059" s="160"/>
      <c r="BV2059" s="160"/>
      <c r="BW2059" s="160"/>
      <c r="BX2059" s="160"/>
      <c r="BY2059" s="160"/>
      <c r="BZ2059" s="160"/>
      <c r="CA2059" s="160"/>
      <c r="CB2059" s="160"/>
      <c r="CC2059" s="160"/>
      <c r="CD2059" s="160"/>
      <c r="CE2059" s="160"/>
      <c r="CF2059" s="160"/>
      <c r="CG2059" s="160"/>
      <c r="CH2059" s="160"/>
      <c r="CI2059" s="160"/>
      <c r="CJ2059" s="160"/>
      <c r="CK2059" s="160"/>
      <c r="CL2059" s="160"/>
      <c r="CM2059" s="160"/>
      <c r="CN2059" s="160"/>
      <c r="CO2059" s="160"/>
      <c r="CP2059" s="162"/>
      <c r="CQ2059" s="163"/>
      <c r="CR2059" s="162"/>
      <c r="CS2059" s="163"/>
      <c r="CT2059" s="162"/>
      <c r="CU2059" s="163"/>
      <c r="CV2059" s="164">
        <f t="shared" si="260"/>
        <v>0</v>
      </c>
      <c r="CW2059" s="165"/>
      <c r="CX2059" s="166"/>
      <c r="CY2059" s="167"/>
      <c r="CZ2059" s="168"/>
      <c r="DA2059" s="169"/>
      <c r="DB2059" s="168"/>
      <c r="DC2059" s="165"/>
      <c r="DD2059" s="166"/>
      <c r="DE2059" s="71"/>
      <c r="DF2059" s="170"/>
      <c r="EO2059" s="375" t="str">
        <f t="shared" si="261"/>
        <v>BOGOTA, D.C._BOGOTA, D.C.</v>
      </c>
      <c r="EP2059" s="376"/>
      <c r="EQ2059" s="376"/>
      <c r="ER2059" s="377"/>
      <c r="ES2059" s="376"/>
      <c r="ET2059" s="376"/>
      <c r="EU2059" s="376"/>
    </row>
    <row r="2060" spans="1:151" s="171" customFormat="1" ht="38.25" x14ac:dyDescent="0.2">
      <c r="A2060" s="242">
        <v>40519</v>
      </c>
      <c r="B2060" s="222" t="s">
        <v>2007</v>
      </c>
      <c r="C2060" s="222" t="s">
        <v>1187</v>
      </c>
      <c r="D2060" s="430" t="s">
        <v>2307</v>
      </c>
      <c r="E2060" s="107" t="str">
        <f>VLOOKUP(B2060&amp;C2060,Divipola!$C$2:$F$1138,4,FALSE)</f>
        <v>25506</v>
      </c>
      <c r="F2060" s="333"/>
      <c r="G2060" s="221"/>
      <c r="H2060" s="157"/>
      <c r="I2060" s="157"/>
      <c r="J2060" s="157">
        <v>1375</v>
      </c>
      <c r="K2060" s="157">
        <v>437</v>
      </c>
      <c r="L2060" s="157"/>
      <c r="M2060" s="157">
        <v>35</v>
      </c>
      <c r="N2060" s="157"/>
      <c r="O2060" s="157"/>
      <c r="P2060" s="157"/>
      <c r="Q2060" s="157"/>
      <c r="R2060" s="157"/>
      <c r="S2060" s="157"/>
      <c r="T2060" s="157"/>
      <c r="U2060" s="157"/>
      <c r="V2060" s="158"/>
      <c r="W2060" s="182"/>
      <c r="X2060" s="1"/>
      <c r="Y2060" s="78">
        <f t="shared" si="257"/>
        <v>0</v>
      </c>
      <c r="Z2060" s="78">
        <f t="shared" si="258"/>
        <v>0</v>
      </c>
      <c r="AA2060" s="78">
        <f t="shared" si="256"/>
        <v>0</v>
      </c>
      <c r="AB2060" s="78">
        <f t="shared" si="259"/>
        <v>0</v>
      </c>
      <c r="AC2060" s="78"/>
      <c r="AD2060" s="78">
        <v>0</v>
      </c>
      <c r="AE2060" s="80">
        <f t="shared" si="262"/>
        <v>0</v>
      </c>
      <c r="AF2060" s="82">
        <v>0</v>
      </c>
      <c r="AG2060" s="69">
        <v>40519</v>
      </c>
      <c r="AH2060" s="84"/>
      <c r="AI2060" s="69" t="s">
        <v>1984</v>
      </c>
      <c r="AJ2060" s="25" t="s">
        <v>1985</v>
      </c>
      <c r="AK2060" s="65"/>
      <c r="AL2060" s="176" t="s">
        <v>1257</v>
      </c>
      <c r="AM2060" s="173" t="s">
        <v>299</v>
      </c>
      <c r="AN2060" s="159"/>
      <c r="AO2060" s="160"/>
      <c r="AP2060" s="161"/>
      <c r="AQ2060" s="160"/>
      <c r="AR2060" s="160"/>
      <c r="AS2060" s="160"/>
      <c r="AT2060" s="160"/>
      <c r="AU2060" s="160"/>
      <c r="AV2060" s="160"/>
      <c r="AW2060" s="160"/>
      <c r="AX2060" s="160"/>
      <c r="AY2060" s="160"/>
      <c r="AZ2060" s="160"/>
      <c r="BA2060" s="160"/>
      <c r="BB2060" s="160"/>
      <c r="BC2060" s="160"/>
      <c r="BD2060" s="160"/>
      <c r="BE2060" s="160"/>
      <c r="BF2060" s="160"/>
      <c r="BG2060" s="160"/>
      <c r="BH2060" s="160"/>
      <c r="BI2060" s="160"/>
      <c r="BJ2060" s="160"/>
      <c r="BK2060" s="160"/>
      <c r="BL2060" s="160"/>
      <c r="BM2060" s="160"/>
      <c r="BN2060" s="160"/>
      <c r="BO2060" s="160"/>
      <c r="BP2060" s="160"/>
      <c r="BQ2060" s="160"/>
      <c r="BR2060" s="160"/>
      <c r="BS2060" s="160"/>
      <c r="BT2060" s="160"/>
      <c r="BU2060" s="160"/>
      <c r="BV2060" s="160"/>
      <c r="BW2060" s="160"/>
      <c r="BX2060" s="160"/>
      <c r="BY2060" s="160"/>
      <c r="BZ2060" s="160"/>
      <c r="CA2060" s="160"/>
      <c r="CB2060" s="160"/>
      <c r="CC2060" s="160"/>
      <c r="CD2060" s="160"/>
      <c r="CE2060" s="160"/>
      <c r="CF2060" s="160"/>
      <c r="CG2060" s="160"/>
      <c r="CH2060" s="160"/>
      <c r="CI2060" s="160"/>
      <c r="CJ2060" s="160"/>
      <c r="CK2060" s="160"/>
      <c r="CL2060" s="160"/>
      <c r="CM2060" s="160"/>
      <c r="CN2060" s="160"/>
      <c r="CO2060" s="160"/>
      <c r="CP2060" s="162"/>
      <c r="CQ2060" s="163"/>
      <c r="CR2060" s="162"/>
      <c r="CS2060" s="163"/>
      <c r="CT2060" s="162"/>
      <c r="CU2060" s="163"/>
      <c r="CV2060" s="164">
        <f t="shared" si="260"/>
        <v>0</v>
      </c>
      <c r="CW2060" s="165"/>
      <c r="CX2060" s="166"/>
      <c r="CY2060" s="167"/>
      <c r="CZ2060" s="168"/>
      <c r="DA2060" s="169"/>
      <c r="DB2060" s="168"/>
      <c r="DC2060" s="165"/>
      <c r="DD2060" s="166"/>
      <c r="DE2060" s="71"/>
      <c r="DF2060" s="170"/>
      <c r="EO2060" s="375" t="str">
        <f t="shared" si="261"/>
        <v>CUNDINAMARCA_VENECIA</v>
      </c>
      <c r="EP2060" s="376"/>
      <c r="EQ2060" s="376"/>
      <c r="ER2060" s="377"/>
      <c r="ES2060" s="376"/>
      <c r="ET2060" s="376"/>
      <c r="EU2060" s="376"/>
    </row>
    <row r="2061" spans="1:151" s="171" customFormat="1" ht="45" x14ac:dyDescent="0.2">
      <c r="A2061" s="242">
        <v>40519</v>
      </c>
      <c r="B2061" s="222" t="s">
        <v>1333</v>
      </c>
      <c r="C2061" s="222" t="s">
        <v>135</v>
      </c>
      <c r="D2061" s="430" t="s">
        <v>2307</v>
      </c>
      <c r="E2061" s="107" t="str">
        <f>VLOOKUP(B2061&amp;C2061,Divipola!$C$2:$F$1138,4,FALSE)</f>
        <v>41078</v>
      </c>
      <c r="F2061" s="333"/>
      <c r="G2061" s="221"/>
      <c r="H2061" s="157"/>
      <c r="I2061" s="157"/>
      <c r="J2061" s="157"/>
      <c r="K2061" s="157"/>
      <c r="L2061" s="157"/>
      <c r="M2061" s="157"/>
      <c r="N2061" s="157">
        <v>1</v>
      </c>
      <c r="O2061" s="157"/>
      <c r="P2061" s="157"/>
      <c r="Q2061" s="157"/>
      <c r="R2061" s="157"/>
      <c r="S2061" s="157"/>
      <c r="T2061" s="157"/>
      <c r="U2061" s="157"/>
      <c r="V2061" s="158"/>
      <c r="W2061" s="182"/>
      <c r="X2061" s="1"/>
      <c r="Y2061" s="78">
        <f t="shared" si="257"/>
        <v>0</v>
      </c>
      <c r="Z2061" s="78">
        <f t="shared" si="258"/>
        <v>0</v>
      </c>
      <c r="AA2061" s="78">
        <f t="shared" si="256"/>
        <v>0</v>
      </c>
      <c r="AB2061" s="78">
        <f t="shared" si="259"/>
        <v>0</v>
      </c>
      <c r="AC2061" s="78"/>
      <c r="AD2061" s="78">
        <v>0</v>
      </c>
      <c r="AE2061" s="80">
        <f t="shared" si="262"/>
        <v>0</v>
      </c>
      <c r="AF2061" s="82">
        <v>0</v>
      </c>
      <c r="AG2061" s="69">
        <v>40519</v>
      </c>
      <c r="AH2061" s="84"/>
      <c r="AI2061" s="69" t="s">
        <v>2009</v>
      </c>
      <c r="AJ2061" s="276" t="s">
        <v>2010</v>
      </c>
      <c r="AK2061" s="65"/>
      <c r="AL2061" s="272" t="s">
        <v>311</v>
      </c>
      <c r="AM2061" s="173" t="s">
        <v>136</v>
      </c>
      <c r="AN2061" s="159"/>
      <c r="AO2061" s="160"/>
      <c r="AP2061" s="161"/>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2"/>
      <c r="CQ2061" s="163"/>
      <c r="CR2061" s="162"/>
      <c r="CS2061" s="163"/>
      <c r="CT2061" s="162"/>
      <c r="CU2061" s="163"/>
      <c r="CV2061" s="164">
        <f t="shared" si="260"/>
        <v>0</v>
      </c>
      <c r="CW2061" s="165"/>
      <c r="CX2061" s="166"/>
      <c r="CY2061" s="167"/>
      <c r="CZ2061" s="168"/>
      <c r="DA2061" s="169"/>
      <c r="DB2061" s="168"/>
      <c r="DC2061" s="165"/>
      <c r="DD2061" s="166"/>
      <c r="DE2061" s="71"/>
      <c r="DF2061" s="170"/>
      <c r="EO2061" s="375" t="str">
        <f t="shared" si="261"/>
        <v>HUILA_BARAYA</v>
      </c>
      <c r="EP2061" s="376"/>
      <c r="EQ2061" s="376"/>
      <c r="ER2061" s="377"/>
      <c r="ES2061" s="376"/>
      <c r="ET2061" s="376"/>
      <c r="EU2061" s="376"/>
    </row>
    <row r="2062" spans="1:151" s="171" customFormat="1" ht="38.25" x14ac:dyDescent="0.2">
      <c r="A2062" s="242">
        <v>40519</v>
      </c>
      <c r="B2062" s="222" t="s">
        <v>1333</v>
      </c>
      <c r="C2062" s="222" t="s">
        <v>2575</v>
      </c>
      <c r="D2062" s="430" t="s">
        <v>837</v>
      </c>
      <c r="E2062" s="107" t="str">
        <f>VLOOKUP(B2062&amp;C2062,Divipola!$C$2:$F$1138,4,FALSE)</f>
        <v>41378</v>
      </c>
      <c r="F2062" s="333"/>
      <c r="G2062" s="221"/>
      <c r="H2062" s="157"/>
      <c r="I2062" s="157"/>
      <c r="J2062" s="157">
        <v>25</v>
      </c>
      <c r="K2062" s="157">
        <v>5</v>
      </c>
      <c r="L2062" s="157"/>
      <c r="M2062" s="157">
        <v>5</v>
      </c>
      <c r="N2062" s="157"/>
      <c r="O2062" s="157"/>
      <c r="P2062" s="157">
        <v>3</v>
      </c>
      <c r="Q2062" s="157">
        <v>2</v>
      </c>
      <c r="R2062" s="157"/>
      <c r="S2062" s="157"/>
      <c r="T2062" s="157"/>
      <c r="U2062" s="157"/>
      <c r="V2062" s="158"/>
      <c r="W2062" s="182"/>
      <c r="X2062" s="1"/>
      <c r="Y2062" s="78">
        <f t="shared" si="257"/>
        <v>0</v>
      </c>
      <c r="Z2062" s="78">
        <f t="shared" si="258"/>
        <v>0</v>
      </c>
      <c r="AA2062" s="78">
        <f t="shared" si="256"/>
        <v>0</v>
      </c>
      <c r="AB2062" s="78">
        <f t="shared" si="259"/>
        <v>0</v>
      </c>
      <c r="AC2062" s="78"/>
      <c r="AD2062" s="78">
        <v>0</v>
      </c>
      <c r="AE2062" s="80">
        <f t="shared" si="262"/>
        <v>0</v>
      </c>
      <c r="AF2062" s="82">
        <v>0</v>
      </c>
      <c r="AG2062" s="242">
        <v>40581</v>
      </c>
      <c r="AH2062" s="84"/>
      <c r="AI2062" s="69" t="s">
        <v>1984</v>
      </c>
      <c r="AJ2062" s="25" t="s">
        <v>1985</v>
      </c>
      <c r="AK2062" s="65"/>
      <c r="AL2062" s="176" t="s">
        <v>1257</v>
      </c>
      <c r="AM2062" s="173" t="s">
        <v>349</v>
      </c>
      <c r="AN2062" s="159"/>
      <c r="AO2062" s="160"/>
      <c r="AP2062" s="161"/>
      <c r="AQ2062" s="160"/>
      <c r="AR2062" s="160"/>
      <c r="AS2062" s="160"/>
      <c r="AT2062" s="160"/>
      <c r="AU2062" s="160"/>
      <c r="AV2062" s="160"/>
      <c r="AW2062" s="160"/>
      <c r="AX2062" s="160"/>
      <c r="AY2062" s="160"/>
      <c r="AZ2062" s="160"/>
      <c r="BA2062" s="160"/>
      <c r="BB2062" s="160"/>
      <c r="BC2062" s="160"/>
      <c r="BD2062" s="160"/>
      <c r="BE2062" s="160"/>
      <c r="BF2062" s="160"/>
      <c r="BG2062" s="160"/>
      <c r="BH2062" s="160"/>
      <c r="BI2062" s="160"/>
      <c r="BJ2062" s="160"/>
      <c r="BK2062" s="160"/>
      <c r="BL2062" s="160"/>
      <c r="BM2062" s="160"/>
      <c r="BN2062" s="160"/>
      <c r="BO2062" s="160"/>
      <c r="BP2062" s="160"/>
      <c r="BQ2062" s="160"/>
      <c r="BR2062" s="160"/>
      <c r="BS2062" s="160"/>
      <c r="BT2062" s="160"/>
      <c r="BU2062" s="160"/>
      <c r="BV2062" s="160"/>
      <c r="BW2062" s="160"/>
      <c r="BX2062" s="160"/>
      <c r="BY2062" s="160"/>
      <c r="BZ2062" s="160"/>
      <c r="CA2062" s="160"/>
      <c r="CB2062" s="160"/>
      <c r="CC2062" s="160"/>
      <c r="CD2062" s="160"/>
      <c r="CE2062" s="160"/>
      <c r="CF2062" s="160"/>
      <c r="CG2062" s="160"/>
      <c r="CH2062" s="160"/>
      <c r="CI2062" s="160"/>
      <c r="CJ2062" s="160"/>
      <c r="CK2062" s="160"/>
      <c r="CL2062" s="160"/>
      <c r="CM2062" s="160"/>
      <c r="CN2062" s="160"/>
      <c r="CO2062" s="160"/>
      <c r="CP2062" s="162"/>
      <c r="CQ2062" s="163"/>
      <c r="CR2062" s="162"/>
      <c r="CS2062" s="163"/>
      <c r="CT2062" s="162"/>
      <c r="CU2062" s="163"/>
      <c r="CV2062" s="164">
        <f t="shared" si="260"/>
        <v>0</v>
      </c>
      <c r="CW2062" s="165"/>
      <c r="CX2062" s="166"/>
      <c r="CY2062" s="167"/>
      <c r="CZ2062" s="168"/>
      <c r="DA2062" s="169"/>
      <c r="DB2062" s="168"/>
      <c r="DC2062" s="165"/>
      <c r="DD2062" s="166"/>
      <c r="DE2062" s="71"/>
      <c r="DF2062" s="170"/>
      <c r="EO2062" s="375" t="str">
        <f t="shared" si="261"/>
        <v>HUILA_LA ARGENTINA</v>
      </c>
      <c r="EP2062" s="376"/>
      <c r="EQ2062" s="376"/>
      <c r="ER2062" s="377"/>
      <c r="ES2062" s="376"/>
      <c r="ET2062" s="376"/>
      <c r="EU2062" s="376"/>
    </row>
    <row r="2063" spans="1:151" s="171" customFormat="1" ht="45" x14ac:dyDescent="0.2">
      <c r="A2063" s="242">
        <v>40519</v>
      </c>
      <c r="B2063" s="222" t="s">
        <v>1333</v>
      </c>
      <c r="C2063" s="222" t="s">
        <v>2970</v>
      </c>
      <c r="D2063" s="430" t="s">
        <v>2307</v>
      </c>
      <c r="E2063" s="107" t="str">
        <f>VLOOKUP(B2063&amp;C2063,Divipola!$C$2:$F$1138,4,FALSE)</f>
        <v>41660</v>
      </c>
      <c r="F2063" s="333"/>
      <c r="G2063" s="221"/>
      <c r="H2063" s="157"/>
      <c r="I2063" s="157"/>
      <c r="J2063" s="157">
        <v>110</v>
      </c>
      <c r="K2063" s="157">
        <v>18</v>
      </c>
      <c r="L2063" s="157"/>
      <c r="M2063" s="157">
        <v>18</v>
      </c>
      <c r="N2063" s="157"/>
      <c r="O2063" s="157"/>
      <c r="P2063" s="157"/>
      <c r="Q2063" s="157"/>
      <c r="R2063" s="157">
        <v>1</v>
      </c>
      <c r="S2063" s="157"/>
      <c r="T2063" s="157">
        <v>2</v>
      </c>
      <c r="U2063" s="157"/>
      <c r="V2063" s="158"/>
      <c r="W2063" s="182"/>
      <c r="X2063" s="1"/>
      <c r="Y2063" s="78">
        <f t="shared" si="257"/>
        <v>0</v>
      </c>
      <c r="Z2063" s="78">
        <f t="shared" si="258"/>
        <v>0</v>
      </c>
      <c r="AA2063" s="78">
        <f t="shared" si="256"/>
        <v>0</v>
      </c>
      <c r="AB2063" s="78">
        <f t="shared" si="259"/>
        <v>0</v>
      </c>
      <c r="AC2063" s="78"/>
      <c r="AD2063" s="78">
        <v>0</v>
      </c>
      <c r="AE2063" s="80">
        <f t="shared" si="262"/>
        <v>0</v>
      </c>
      <c r="AF2063" s="82">
        <v>0</v>
      </c>
      <c r="AG2063" s="242">
        <v>40519</v>
      </c>
      <c r="AH2063" s="84"/>
      <c r="AI2063" s="69" t="s">
        <v>2009</v>
      </c>
      <c r="AJ2063" s="276" t="s">
        <v>2010</v>
      </c>
      <c r="AK2063" s="65"/>
      <c r="AL2063" s="272" t="s">
        <v>311</v>
      </c>
      <c r="AM2063" s="173" t="s">
        <v>137</v>
      </c>
      <c r="AN2063" s="159"/>
      <c r="AO2063" s="160"/>
      <c r="AP2063" s="161"/>
      <c r="AQ2063" s="160"/>
      <c r="AR2063" s="160"/>
      <c r="AS2063" s="160"/>
      <c r="AT2063" s="160"/>
      <c r="AU2063" s="160"/>
      <c r="AV2063" s="160"/>
      <c r="AW2063" s="160"/>
      <c r="AX2063" s="160"/>
      <c r="AY2063" s="160"/>
      <c r="AZ2063" s="160"/>
      <c r="BA2063" s="160"/>
      <c r="BB2063" s="160"/>
      <c r="BC2063" s="160"/>
      <c r="BD2063" s="160"/>
      <c r="BE2063" s="160"/>
      <c r="BF2063" s="160"/>
      <c r="BG2063" s="160"/>
      <c r="BH2063" s="160"/>
      <c r="BI2063" s="160"/>
      <c r="BJ2063" s="160"/>
      <c r="BK2063" s="160"/>
      <c r="BL2063" s="160"/>
      <c r="BM2063" s="160"/>
      <c r="BN2063" s="160"/>
      <c r="BO2063" s="160"/>
      <c r="BP2063" s="160"/>
      <c r="BQ2063" s="160"/>
      <c r="BR2063" s="160"/>
      <c r="BS2063" s="160"/>
      <c r="BT2063" s="160"/>
      <c r="BU2063" s="160"/>
      <c r="BV2063" s="160"/>
      <c r="BW2063" s="160"/>
      <c r="BX2063" s="160"/>
      <c r="BY2063" s="160"/>
      <c r="BZ2063" s="160"/>
      <c r="CA2063" s="160"/>
      <c r="CB2063" s="160"/>
      <c r="CC2063" s="160"/>
      <c r="CD2063" s="160"/>
      <c r="CE2063" s="160"/>
      <c r="CF2063" s="160"/>
      <c r="CG2063" s="160"/>
      <c r="CH2063" s="160"/>
      <c r="CI2063" s="160"/>
      <c r="CJ2063" s="160"/>
      <c r="CK2063" s="160"/>
      <c r="CL2063" s="160"/>
      <c r="CM2063" s="160"/>
      <c r="CN2063" s="160"/>
      <c r="CO2063" s="160"/>
      <c r="CP2063" s="162"/>
      <c r="CQ2063" s="163"/>
      <c r="CR2063" s="162"/>
      <c r="CS2063" s="163"/>
      <c r="CT2063" s="162"/>
      <c r="CU2063" s="163"/>
      <c r="CV2063" s="164">
        <f t="shared" si="260"/>
        <v>0</v>
      </c>
      <c r="CW2063" s="165"/>
      <c r="CX2063" s="166"/>
      <c r="CY2063" s="167"/>
      <c r="CZ2063" s="168"/>
      <c r="DA2063" s="169"/>
      <c r="DB2063" s="168"/>
      <c r="DC2063" s="165"/>
      <c r="DD2063" s="166"/>
      <c r="DE2063" s="71"/>
      <c r="DF2063" s="170"/>
      <c r="EO2063" s="375" t="str">
        <f t="shared" si="261"/>
        <v>HUILA_SALADOBLANCO</v>
      </c>
      <c r="EP2063" s="376"/>
      <c r="EQ2063" s="376"/>
      <c r="ER2063" s="377"/>
      <c r="ES2063" s="376"/>
      <c r="ET2063" s="376"/>
      <c r="EU2063" s="376"/>
    </row>
    <row r="2064" spans="1:151" s="171" customFormat="1" ht="25.5" x14ac:dyDescent="0.2">
      <c r="A2064" s="242">
        <v>40519</v>
      </c>
      <c r="B2064" s="222" t="s">
        <v>708</v>
      </c>
      <c r="C2064" s="222" t="s">
        <v>2328</v>
      </c>
      <c r="D2064" s="430" t="s">
        <v>1721</v>
      </c>
      <c r="E2064" s="107" t="str">
        <f>VLOOKUP(B2064&amp;C2064,Divipola!$C$2:$F$1138,4,FALSE)</f>
        <v>50001</v>
      </c>
      <c r="F2064" s="333"/>
      <c r="G2064" s="221"/>
      <c r="H2064" s="157"/>
      <c r="I2064" s="157"/>
      <c r="J2064" s="157">
        <v>7</v>
      </c>
      <c r="K2064" s="157">
        <v>1</v>
      </c>
      <c r="L2064" s="157"/>
      <c r="M2064" s="157">
        <v>1</v>
      </c>
      <c r="N2064" s="157"/>
      <c r="O2064" s="157"/>
      <c r="P2064" s="157"/>
      <c r="Q2064" s="157"/>
      <c r="R2064" s="157"/>
      <c r="S2064" s="157"/>
      <c r="T2064" s="157"/>
      <c r="U2064" s="157"/>
      <c r="V2064" s="158"/>
      <c r="W2064" s="182" t="s">
        <v>2990</v>
      </c>
      <c r="X2064" s="1"/>
      <c r="Y2064" s="78">
        <f t="shared" si="257"/>
        <v>0</v>
      </c>
      <c r="Z2064" s="78">
        <f t="shared" si="258"/>
        <v>0</v>
      </c>
      <c r="AA2064" s="78">
        <f t="shared" si="256"/>
        <v>0</v>
      </c>
      <c r="AB2064" s="78">
        <f t="shared" si="259"/>
        <v>0</v>
      </c>
      <c r="AC2064" s="78"/>
      <c r="AD2064" s="78">
        <v>0</v>
      </c>
      <c r="AE2064" s="80">
        <f t="shared" si="262"/>
        <v>0</v>
      </c>
      <c r="AF2064" s="82">
        <v>0</v>
      </c>
      <c r="AG2064" s="242">
        <v>40519</v>
      </c>
      <c r="AH2064" s="84"/>
      <c r="AI2064" s="69" t="s">
        <v>1984</v>
      </c>
      <c r="AJ2064" s="25" t="s">
        <v>1985</v>
      </c>
      <c r="AK2064" s="65"/>
      <c r="AL2064" s="176" t="s">
        <v>1257</v>
      </c>
      <c r="AM2064" s="173" t="s">
        <v>2989</v>
      </c>
      <c r="AN2064" s="159"/>
      <c r="AO2064" s="160"/>
      <c r="AP2064" s="161"/>
      <c r="AQ2064" s="160"/>
      <c r="AR2064" s="160"/>
      <c r="AS2064" s="160"/>
      <c r="AT2064" s="160"/>
      <c r="AU2064" s="160"/>
      <c r="AV2064" s="160"/>
      <c r="AW2064" s="160"/>
      <c r="AX2064" s="160"/>
      <c r="AY2064" s="160"/>
      <c r="AZ2064" s="160"/>
      <c r="BA2064" s="160"/>
      <c r="BB2064" s="160"/>
      <c r="BC2064" s="160"/>
      <c r="BD2064" s="160"/>
      <c r="BE2064" s="160"/>
      <c r="BF2064" s="160"/>
      <c r="BG2064" s="160"/>
      <c r="BH2064" s="160"/>
      <c r="BI2064" s="160"/>
      <c r="BJ2064" s="160"/>
      <c r="BK2064" s="160"/>
      <c r="BL2064" s="160"/>
      <c r="BM2064" s="160"/>
      <c r="BN2064" s="160"/>
      <c r="BO2064" s="160"/>
      <c r="BP2064" s="160"/>
      <c r="BQ2064" s="160"/>
      <c r="BR2064" s="160"/>
      <c r="BS2064" s="160"/>
      <c r="BT2064" s="160"/>
      <c r="BU2064" s="160"/>
      <c r="BV2064" s="160"/>
      <c r="BW2064" s="160"/>
      <c r="BX2064" s="160"/>
      <c r="BY2064" s="160"/>
      <c r="BZ2064" s="160"/>
      <c r="CA2064" s="160"/>
      <c r="CB2064" s="160"/>
      <c r="CC2064" s="160"/>
      <c r="CD2064" s="160"/>
      <c r="CE2064" s="160"/>
      <c r="CF2064" s="160"/>
      <c r="CG2064" s="160"/>
      <c r="CH2064" s="160"/>
      <c r="CI2064" s="160"/>
      <c r="CJ2064" s="160"/>
      <c r="CK2064" s="160"/>
      <c r="CL2064" s="160"/>
      <c r="CM2064" s="160"/>
      <c r="CN2064" s="160"/>
      <c r="CO2064" s="160"/>
      <c r="CP2064" s="162"/>
      <c r="CQ2064" s="163"/>
      <c r="CR2064" s="162"/>
      <c r="CS2064" s="163"/>
      <c r="CT2064" s="162"/>
      <c r="CU2064" s="163"/>
      <c r="CV2064" s="164">
        <f t="shared" si="260"/>
        <v>0</v>
      </c>
      <c r="CW2064" s="165"/>
      <c r="CX2064" s="166"/>
      <c r="CY2064" s="167"/>
      <c r="CZ2064" s="168"/>
      <c r="DA2064" s="169"/>
      <c r="DB2064" s="168"/>
      <c r="DC2064" s="165"/>
      <c r="DD2064" s="166"/>
      <c r="DE2064" s="71"/>
      <c r="DF2064" s="170"/>
      <c r="EO2064" s="375" t="str">
        <f t="shared" si="261"/>
        <v>META_VILLAVICENCIO</v>
      </c>
      <c r="EP2064" s="376"/>
      <c r="EQ2064" s="376"/>
      <c r="ER2064" s="377"/>
      <c r="ES2064" s="376"/>
      <c r="ET2064" s="376"/>
      <c r="EU2064" s="376"/>
    </row>
    <row r="2065" spans="1:151" s="171" customFormat="1" ht="60" x14ac:dyDescent="0.2">
      <c r="A2065" s="242">
        <v>40519</v>
      </c>
      <c r="B2065" s="222" t="s">
        <v>2245</v>
      </c>
      <c r="C2065" s="222" t="s">
        <v>551</v>
      </c>
      <c r="D2065" s="430" t="s">
        <v>2307</v>
      </c>
      <c r="E2065" s="107" t="str">
        <f>VLOOKUP(B2065&amp;C2065,Divipola!$C$2:$F$1138,4,FALSE)</f>
        <v>52110</v>
      </c>
      <c r="F2065" s="333"/>
      <c r="G2065" s="221"/>
      <c r="H2065" s="157"/>
      <c r="I2065" s="157"/>
      <c r="J2065" s="157">
        <v>428</v>
      </c>
      <c r="K2065" s="157">
        <v>106</v>
      </c>
      <c r="L2065" s="157">
        <v>1</v>
      </c>
      <c r="M2065" s="157">
        <v>105</v>
      </c>
      <c r="N2065" s="157">
        <v>5</v>
      </c>
      <c r="O2065" s="157"/>
      <c r="P2065" s="157"/>
      <c r="Q2065" s="157">
        <v>1</v>
      </c>
      <c r="R2065" s="157">
        <v>1</v>
      </c>
      <c r="S2065" s="157"/>
      <c r="T2065" s="157"/>
      <c r="U2065" s="157"/>
      <c r="V2065" s="158"/>
      <c r="W2065" s="182"/>
      <c r="X2065" s="1"/>
      <c r="Y2065" s="78">
        <f t="shared" si="257"/>
        <v>0</v>
      </c>
      <c r="Z2065" s="78">
        <f t="shared" si="258"/>
        <v>0</v>
      </c>
      <c r="AA2065" s="78">
        <f t="shared" si="256"/>
        <v>0</v>
      </c>
      <c r="AB2065" s="78">
        <f t="shared" si="259"/>
        <v>0</v>
      </c>
      <c r="AC2065" s="78"/>
      <c r="AD2065" s="78">
        <v>0</v>
      </c>
      <c r="AE2065" s="80">
        <f t="shared" si="262"/>
        <v>0</v>
      </c>
      <c r="AF2065" s="82">
        <v>0</v>
      </c>
      <c r="AG2065" s="69">
        <v>40519</v>
      </c>
      <c r="AH2065" s="84"/>
      <c r="AI2065" s="69" t="s">
        <v>1984</v>
      </c>
      <c r="AJ2065" s="25" t="s">
        <v>1985</v>
      </c>
      <c r="AK2065" s="65"/>
      <c r="AL2065" s="176" t="s">
        <v>1257</v>
      </c>
      <c r="AM2065" s="173" t="s">
        <v>552</v>
      </c>
      <c r="AN2065" s="159"/>
      <c r="AO2065" s="160"/>
      <c r="AP2065" s="161"/>
      <c r="AQ2065" s="160"/>
      <c r="AR2065" s="160"/>
      <c r="AS2065" s="160"/>
      <c r="AT2065" s="160"/>
      <c r="AU2065" s="160"/>
      <c r="AV2065" s="160"/>
      <c r="AW2065" s="160"/>
      <c r="AX2065" s="160"/>
      <c r="AY2065" s="160"/>
      <c r="AZ2065" s="160"/>
      <c r="BA2065" s="160"/>
      <c r="BB2065" s="160"/>
      <c r="BC2065" s="160"/>
      <c r="BD2065" s="160"/>
      <c r="BE2065" s="160"/>
      <c r="BF2065" s="160"/>
      <c r="BG2065" s="160"/>
      <c r="BH2065" s="160"/>
      <c r="BI2065" s="160"/>
      <c r="BJ2065" s="160"/>
      <c r="BK2065" s="160"/>
      <c r="BL2065" s="160"/>
      <c r="BM2065" s="160"/>
      <c r="BN2065" s="160"/>
      <c r="BO2065" s="160"/>
      <c r="BP2065" s="160"/>
      <c r="BQ2065" s="160"/>
      <c r="BR2065" s="160"/>
      <c r="BS2065" s="160"/>
      <c r="BT2065" s="160"/>
      <c r="BU2065" s="160"/>
      <c r="BV2065" s="160"/>
      <c r="BW2065" s="160"/>
      <c r="BX2065" s="160"/>
      <c r="BY2065" s="160"/>
      <c r="BZ2065" s="160"/>
      <c r="CA2065" s="160"/>
      <c r="CB2065" s="160"/>
      <c r="CC2065" s="160"/>
      <c r="CD2065" s="160"/>
      <c r="CE2065" s="160"/>
      <c r="CF2065" s="160"/>
      <c r="CG2065" s="160"/>
      <c r="CH2065" s="160"/>
      <c r="CI2065" s="160"/>
      <c r="CJ2065" s="160"/>
      <c r="CK2065" s="160"/>
      <c r="CL2065" s="160"/>
      <c r="CM2065" s="160"/>
      <c r="CN2065" s="160"/>
      <c r="CO2065" s="160"/>
      <c r="CP2065" s="162"/>
      <c r="CQ2065" s="163"/>
      <c r="CR2065" s="162"/>
      <c r="CS2065" s="163"/>
      <c r="CT2065" s="162"/>
      <c r="CU2065" s="163"/>
      <c r="CV2065" s="164">
        <f t="shared" si="260"/>
        <v>0</v>
      </c>
      <c r="CW2065" s="165"/>
      <c r="CX2065" s="166"/>
      <c r="CY2065" s="167"/>
      <c r="CZ2065" s="168"/>
      <c r="DA2065" s="169"/>
      <c r="DB2065" s="168"/>
      <c r="DC2065" s="165"/>
      <c r="DD2065" s="166"/>
      <c r="DE2065" s="71"/>
      <c r="DF2065" s="170"/>
      <c r="EO2065" s="375" t="str">
        <f t="shared" si="261"/>
        <v>NARIÑO_BUESACO</v>
      </c>
      <c r="EP2065" s="376"/>
      <c r="EQ2065" s="376"/>
      <c r="ER2065" s="377"/>
      <c r="ES2065" s="376"/>
      <c r="ET2065" s="376"/>
      <c r="EU2065" s="376"/>
    </row>
    <row r="2066" spans="1:151" s="171" customFormat="1" ht="38.25" x14ac:dyDescent="0.2">
      <c r="A2066" s="242">
        <v>40519</v>
      </c>
      <c r="B2066" s="222" t="s">
        <v>2245</v>
      </c>
      <c r="C2066" s="222" t="s">
        <v>696</v>
      </c>
      <c r="D2066" s="430" t="s">
        <v>2307</v>
      </c>
      <c r="E2066" s="107" t="str">
        <f>VLOOKUP(B2066&amp;C2066,Divipola!$C$2:$F$1138,4,FALSE)</f>
        <v>52687</v>
      </c>
      <c r="F2066" s="333"/>
      <c r="G2066" s="221"/>
      <c r="H2066" s="157"/>
      <c r="I2066" s="157"/>
      <c r="J2066" s="157">
        <f>528-379</f>
        <v>149</v>
      </c>
      <c r="K2066" s="157">
        <f>134-98</f>
        <v>36</v>
      </c>
      <c r="L2066" s="157">
        <v>7</v>
      </c>
      <c r="M2066" s="157">
        <f>109-92</f>
        <v>17</v>
      </c>
      <c r="N2066" s="157"/>
      <c r="O2066" s="157"/>
      <c r="P2066" s="157"/>
      <c r="Q2066" s="157"/>
      <c r="R2066" s="157"/>
      <c r="S2066" s="157"/>
      <c r="T2066" s="157"/>
      <c r="U2066" s="157"/>
      <c r="V2066" s="158"/>
      <c r="W2066" s="182"/>
      <c r="X2066" s="1"/>
      <c r="Y2066" s="78">
        <f t="shared" si="257"/>
        <v>0</v>
      </c>
      <c r="Z2066" s="78">
        <f t="shared" si="258"/>
        <v>0</v>
      </c>
      <c r="AA2066" s="78">
        <f t="shared" si="256"/>
        <v>0</v>
      </c>
      <c r="AB2066" s="78">
        <f t="shared" si="259"/>
        <v>0</v>
      </c>
      <c r="AC2066" s="78"/>
      <c r="AD2066" s="78">
        <v>0</v>
      </c>
      <c r="AE2066" s="80">
        <f t="shared" si="262"/>
        <v>0</v>
      </c>
      <c r="AF2066" s="82">
        <v>0</v>
      </c>
      <c r="AG2066" s="69">
        <v>40519</v>
      </c>
      <c r="AH2066" s="84"/>
      <c r="AI2066" s="69" t="s">
        <v>1984</v>
      </c>
      <c r="AJ2066" s="25" t="s">
        <v>1985</v>
      </c>
      <c r="AK2066" s="65"/>
      <c r="AL2066" s="176" t="s">
        <v>1257</v>
      </c>
      <c r="AM2066" s="173" t="s">
        <v>121</v>
      </c>
      <c r="AN2066" s="159"/>
      <c r="AO2066" s="160"/>
      <c r="AP2066" s="161"/>
      <c r="AQ2066" s="160"/>
      <c r="AR2066" s="160"/>
      <c r="AS2066" s="160"/>
      <c r="AT2066" s="160"/>
      <c r="AU2066" s="160"/>
      <c r="AV2066" s="160"/>
      <c r="AW2066" s="160"/>
      <c r="AX2066" s="160"/>
      <c r="AY2066" s="160"/>
      <c r="AZ2066" s="160"/>
      <c r="BA2066" s="160"/>
      <c r="BB2066" s="160"/>
      <c r="BC2066" s="160"/>
      <c r="BD2066" s="160"/>
      <c r="BE2066" s="160"/>
      <c r="BF2066" s="160"/>
      <c r="BG2066" s="160"/>
      <c r="BH2066" s="160"/>
      <c r="BI2066" s="160"/>
      <c r="BJ2066" s="160"/>
      <c r="BK2066" s="160"/>
      <c r="BL2066" s="160"/>
      <c r="BM2066" s="160"/>
      <c r="BN2066" s="160"/>
      <c r="BO2066" s="160"/>
      <c r="BP2066" s="160"/>
      <c r="BQ2066" s="160"/>
      <c r="BR2066" s="160"/>
      <c r="BS2066" s="160"/>
      <c r="BT2066" s="160"/>
      <c r="BU2066" s="160"/>
      <c r="BV2066" s="160"/>
      <c r="BW2066" s="160"/>
      <c r="BX2066" s="160"/>
      <c r="BY2066" s="160"/>
      <c r="BZ2066" s="160"/>
      <c r="CA2066" s="160"/>
      <c r="CB2066" s="160"/>
      <c r="CC2066" s="160"/>
      <c r="CD2066" s="160"/>
      <c r="CE2066" s="160"/>
      <c r="CF2066" s="160"/>
      <c r="CG2066" s="160"/>
      <c r="CH2066" s="160"/>
      <c r="CI2066" s="160"/>
      <c r="CJ2066" s="160"/>
      <c r="CK2066" s="160"/>
      <c r="CL2066" s="160"/>
      <c r="CM2066" s="160"/>
      <c r="CN2066" s="160"/>
      <c r="CO2066" s="160"/>
      <c r="CP2066" s="162"/>
      <c r="CQ2066" s="163"/>
      <c r="CR2066" s="162"/>
      <c r="CS2066" s="163"/>
      <c r="CT2066" s="162"/>
      <c r="CU2066" s="163"/>
      <c r="CV2066" s="164">
        <f t="shared" si="260"/>
        <v>0</v>
      </c>
      <c r="CW2066" s="165"/>
      <c r="CX2066" s="166"/>
      <c r="CY2066" s="167"/>
      <c r="CZ2066" s="168"/>
      <c r="DA2066" s="169"/>
      <c r="DB2066" s="168"/>
      <c r="DC2066" s="165"/>
      <c r="DD2066" s="166"/>
      <c r="DE2066" s="71"/>
      <c r="DF2066" s="170"/>
      <c r="EO2066" s="375" t="str">
        <f t="shared" si="261"/>
        <v>NARIÑO_SAN LORENZO</v>
      </c>
      <c r="EP2066" s="376"/>
      <c r="EQ2066" s="376"/>
      <c r="ER2066" s="377"/>
      <c r="ES2066" s="376"/>
      <c r="ET2066" s="376"/>
      <c r="EU2066" s="376"/>
    </row>
    <row r="2067" spans="1:151" s="171" customFormat="1" ht="25.5" x14ac:dyDescent="0.2">
      <c r="A2067" s="242">
        <v>40519</v>
      </c>
      <c r="B2067" s="222" t="s">
        <v>2014</v>
      </c>
      <c r="C2067" s="222" t="s">
        <v>2991</v>
      </c>
      <c r="D2067" s="430" t="s">
        <v>837</v>
      </c>
      <c r="E2067" s="107" t="str">
        <f>VLOOKUP(B2067&amp;C2067,Divipola!$C$2:$F$1138,4,FALSE)</f>
        <v>63272</v>
      </c>
      <c r="F2067" s="333"/>
      <c r="G2067" s="221"/>
      <c r="H2067" s="157"/>
      <c r="I2067" s="157"/>
      <c r="J2067" s="157">
        <f>131*5</f>
        <v>655</v>
      </c>
      <c r="K2067" s="157">
        <f>176-45</f>
        <v>131</v>
      </c>
      <c r="L2067" s="157"/>
      <c r="M2067" s="157">
        <v>2</v>
      </c>
      <c r="N2067" s="157"/>
      <c r="O2067" s="157"/>
      <c r="P2067" s="157"/>
      <c r="Q2067" s="157"/>
      <c r="R2067" s="157"/>
      <c r="S2067" s="157"/>
      <c r="T2067" s="157"/>
      <c r="U2067" s="157"/>
      <c r="V2067" s="158"/>
      <c r="W2067" s="182"/>
      <c r="X2067" s="1"/>
      <c r="Y2067" s="78">
        <f t="shared" si="257"/>
        <v>0</v>
      </c>
      <c r="Z2067" s="78">
        <f t="shared" si="258"/>
        <v>0</v>
      </c>
      <c r="AA2067" s="78">
        <f t="shared" si="256"/>
        <v>0</v>
      </c>
      <c r="AB2067" s="78">
        <f t="shared" si="259"/>
        <v>0</v>
      </c>
      <c r="AC2067" s="78"/>
      <c r="AD2067" s="78">
        <v>0</v>
      </c>
      <c r="AE2067" s="80">
        <f t="shared" si="262"/>
        <v>0</v>
      </c>
      <c r="AF2067" s="82">
        <v>0</v>
      </c>
      <c r="AG2067" s="69">
        <v>40522</v>
      </c>
      <c r="AH2067" s="84"/>
      <c r="AI2067" s="69" t="s">
        <v>1984</v>
      </c>
      <c r="AJ2067" s="25" t="s">
        <v>1985</v>
      </c>
      <c r="AK2067" s="65"/>
      <c r="AL2067" s="176" t="s">
        <v>1257</v>
      </c>
      <c r="AM2067" s="173" t="s">
        <v>2992</v>
      </c>
      <c r="AN2067" s="159"/>
      <c r="AO2067" s="160"/>
      <c r="AP2067" s="161"/>
      <c r="AQ2067" s="160"/>
      <c r="AR2067" s="160"/>
      <c r="AS2067" s="160"/>
      <c r="AT2067" s="160"/>
      <c r="AU2067" s="160"/>
      <c r="AV2067" s="160"/>
      <c r="AW2067" s="160"/>
      <c r="AX2067" s="160"/>
      <c r="AY2067" s="160"/>
      <c r="AZ2067" s="160"/>
      <c r="BA2067" s="160"/>
      <c r="BB2067" s="160"/>
      <c r="BC2067" s="160"/>
      <c r="BD2067" s="160"/>
      <c r="BE2067" s="160"/>
      <c r="BF2067" s="160"/>
      <c r="BG2067" s="160"/>
      <c r="BH2067" s="160"/>
      <c r="BI2067" s="160"/>
      <c r="BJ2067" s="160"/>
      <c r="BK2067" s="160"/>
      <c r="BL2067" s="160"/>
      <c r="BM2067" s="160"/>
      <c r="BN2067" s="160"/>
      <c r="BO2067" s="160"/>
      <c r="BP2067" s="160"/>
      <c r="BQ2067" s="160"/>
      <c r="BR2067" s="160"/>
      <c r="BS2067" s="160"/>
      <c r="BT2067" s="160"/>
      <c r="BU2067" s="160"/>
      <c r="BV2067" s="160"/>
      <c r="BW2067" s="160"/>
      <c r="BX2067" s="160"/>
      <c r="BY2067" s="160"/>
      <c r="BZ2067" s="160"/>
      <c r="CA2067" s="160"/>
      <c r="CB2067" s="160"/>
      <c r="CC2067" s="160"/>
      <c r="CD2067" s="160"/>
      <c r="CE2067" s="160"/>
      <c r="CF2067" s="160"/>
      <c r="CG2067" s="160"/>
      <c r="CH2067" s="160"/>
      <c r="CI2067" s="160"/>
      <c r="CJ2067" s="160"/>
      <c r="CK2067" s="160"/>
      <c r="CL2067" s="160"/>
      <c r="CM2067" s="160"/>
      <c r="CN2067" s="160"/>
      <c r="CO2067" s="160"/>
      <c r="CP2067" s="162"/>
      <c r="CQ2067" s="163"/>
      <c r="CR2067" s="162"/>
      <c r="CS2067" s="163"/>
      <c r="CT2067" s="162"/>
      <c r="CU2067" s="163"/>
      <c r="CV2067" s="164">
        <f t="shared" si="260"/>
        <v>0</v>
      </c>
      <c r="CW2067" s="165"/>
      <c r="CX2067" s="166"/>
      <c r="CY2067" s="167"/>
      <c r="CZ2067" s="168"/>
      <c r="DA2067" s="169"/>
      <c r="DB2067" s="168"/>
      <c r="DC2067" s="165"/>
      <c r="DD2067" s="166"/>
      <c r="DE2067" s="71"/>
      <c r="DF2067" s="170"/>
      <c r="EO2067" s="375" t="str">
        <f t="shared" si="261"/>
        <v>QUINDIO_FILANDIA</v>
      </c>
      <c r="EP2067" s="376"/>
      <c r="EQ2067" s="376"/>
      <c r="ER2067" s="377"/>
      <c r="ES2067" s="376"/>
      <c r="ET2067" s="376"/>
      <c r="EU2067" s="376"/>
    </row>
    <row r="2068" spans="1:151" s="171" customFormat="1" ht="38.25" x14ac:dyDescent="0.2">
      <c r="A2068" s="242">
        <v>40519</v>
      </c>
      <c r="B2068" s="222" t="s">
        <v>2427</v>
      </c>
      <c r="C2068" s="222" t="s">
        <v>309</v>
      </c>
      <c r="D2068" s="430" t="s">
        <v>2307</v>
      </c>
      <c r="E2068" s="107" t="str">
        <f>VLOOKUP(B2068&amp;C2068,Divipola!$C$2:$F$1138,4,FALSE)</f>
        <v>68572</v>
      </c>
      <c r="F2068" s="333"/>
      <c r="G2068" s="275"/>
      <c r="H2068" s="157"/>
      <c r="I2068" s="157"/>
      <c r="J2068" s="157">
        <f>18*5</f>
        <v>90</v>
      </c>
      <c r="K2068" s="157">
        <v>18</v>
      </c>
      <c r="L2068" s="157">
        <v>8</v>
      </c>
      <c r="M2068" s="157">
        <v>10</v>
      </c>
      <c r="N2068" s="157">
        <v>1</v>
      </c>
      <c r="O2068" s="157">
        <v>1</v>
      </c>
      <c r="P2068" s="157"/>
      <c r="Q2068" s="157">
        <v>2</v>
      </c>
      <c r="R2068" s="157"/>
      <c r="S2068" s="157"/>
      <c r="T2068" s="157"/>
      <c r="U2068" s="157"/>
      <c r="V2068" s="158">
        <v>600</v>
      </c>
      <c r="W2068" s="182"/>
      <c r="X2068" s="1"/>
      <c r="Y2068" s="78">
        <f t="shared" si="257"/>
        <v>0</v>
      </c>
      <c r="Z2068" s="78">
        <f t="shared" si="258"/>
        <v>0</v>
      </c>
      <c r="AA2068" s="78">
        <f t="shared" si="256"/>
        <v>0</v>
      </c>
      <c r="AB2068" s="78">
        <f t="shared" si="259"/>
        <v>0</v>
      </c>
      <c r="AC2068" s="78"/>
      <c r="AD2068" s="78">
        <v>0</v>
      </c>
      <c r="AE2068" s="80">
        <f t="shared" si="262"/>
        <v>0</v>
      </c>
      <c r="AF2068" s="82">
        <v>0</v>
      </c>
      <c r="AG2068" s="69">
        <v>40522</v>
      </c>
      <c r="AH2068" s="84"/>
      <c r="AI2068" s="69" t="s">
        <v>1984</v>
      </c>
      <c r="AJ2068" s="25" t="s">
        <v>1985</v>
      </c>
      <c r="AK2068" s="65"/>
      <c r="AL2068" s="176" t="s">
        <v>1257</v>
      </c>
      <c r="AM2068" s="173" t="s">
        <v>310</v>
      </c>
      <c r="AN2068" s="159"/>
      <c r="AO2068" s="160"/>
      <c r="AP2068" s="161"/>
      <c r="AQ2068" s="160"/>
      <c r="AR2068" s="160"/>
      <c r="AS2068" s="160"/>
      <c r="AT2068" s="160"/>
      <c r="AU2068" s="160"/>
      <c r="AV2068" s="160"/>
      <c r="AW2068" s="160"/>
      <c r="AX2068" s="160"/>
      <c r="AY2068" s="160"/>
      <c r="AZ2068" s="160"/>
      <c r="BA2068" s="160"/>
      <c r="BB2068" s="160"/>
      <c r="BC2068" s="160"/>
      <c r="BD2068" s="160"/>
      <c r="BE2068" s="160"/>
      <c r="BF2068" s="160"/>
      <c r="BG2068" s="160"/>
      <c r="BH2068" s="160"/>
      <c r="BI2068" s="160"/>
      <c r="BJ2068" s="160"/>
      <c r="BK2068" s="160"/>
      <c r="BL2068" s="160"/>
      <c r="BM2068" s="160"/>
      <c r="BN2068" s="160"/>
      <c r="BO2068" s="160"/>
      <c r="BP2068" s="160"/>
      <c r="BQ2068" s="160"/>
      <c r="BR2068" s="160"/>
      <c r="BS2068" s="160"/>
      <c r="BT2068" s="160"/>
      <c r="BU2068" s="160"/>
      <c r="BV2068" s="160"/>
      <c r="BW2068" s="160"/>
      <c r="BX2068" s="160"/>
      <c r="BY2068" s="160"/>
      <c r="BZ2068" s="160"/>
      <c r="CA2068" s="160"/>
      <c r="CB2068" s="160"/>
      <c r="CC2068" s="160"/>
      <c r="CD2068" s="160"/>
      <c r="CE2068" s="160"/>
      <c r="CF2068" s="160"/>
      <c r="CG2068" s="160"/>
      <c r="CH2068" s="160"/>
      <c r="CI2068" s="160"/>
      <c r="CJ2068" s="160"/>
      <c r="CK2068" s="160"/>
      <c r="CL2068" s="160"/>
      <c r="CM2068" s="160"/>
      <c r="CN2068" s="160"/>
      <c r="CO2068" s="160"/>
      <c r="CP2068" s="162"/>
      <c r="CQ2068" s="163"/>
      <c r="CR2068" s="162"/>
      <c r="CS2068" s="163"/>
      <c r="CT2068" s="162"/>
      <c r="CU2068" s="163"/>
      <c r="CV2068" s="164">
        <f t="shared" si="260"/>
        <v>0</v>
      </c>
      <c r="CW2068" s="165"/>
      <c r="CX2068" s="166"/>
      <c r="CY2068" s="167"/>
      <c r="CZ2068" s="168"/>
      <c r="DA2068" s="169"/>
      <c r="DB2068" s="168"/>
      <c r="DC2068" s="165"/>
      <c r="DD2068" s="166"/>
      <c r="DE2068" s="71"/>
      <c r="DF2068" s="170">
        <v>1528</v>
      </c>
      <c r="EO2068" s="375" t="str">
        <f t="shared" si="261"/>
        <v>SANTANDER_PUENTE NACIONAL</v>
      </c>
      <c r="EP2068" s="376"/>
      <c r="EQ2068" s="376"/>
      <c r="ER2068" s="377"/>
      <c r="ES2068" s="376"/>
      <c r="ET2068" s="376"/>
      <c r="EU2068" s="376"/>
    </row>
    <row r="2069" spans="1:151" s="171" customFormat="1" ht="45" x14ac:dyDescent="0.2">
      <c r="A2069" s="242">
        <v>40520</v>
      </c>
      <c r="B2069" s="222" t="s">
        <v>1719</v>
      </c>
      <c r="C2069" s="222" t="s">
        <v>3143</v>
      </c>
      <c r="D2069" s="430" t="s">
        <v>2307</v>
      </c>
      <c r="E2069" s="107" t="str">
        <f>VLOOKUP(B2069&amp;C2069,Divipola!$C$2:$F$1138,4,FALSE)</f>
        <v>19397</v>
      </c>
      <c r="F2069" s="333"/>
      <c r="G2069" s="221"/>
      <c r="H2069" s="157"/>
      <c r="I2069" s="157"/>
      <c r="J2069" s="157">
        <v>305</v>
      </c>
      <c r="K2069" s="157">
        <v>61</v>
      </c>
      <c r="L2069" s="157"/>
      <c r="M2069" s="157">
        <v>52</v>
      </c>
      <c r="N2069" s="157"/>
      <c r="O2069" s="157"/>
      <c r="P2069" s="157"/>
      <c r="Q2069" s="157">
        <v>4</v>
      </c>
      <c r="R2069" s="157"/>
      <c r="S2069" s="157"/>
      <c r="T2069" s="157"/>
      <c r="U2069" s="157"/>
      <c r="V2069" s="158">
        <v>1162</v>
      </c>
      <c r="W2069" s="182" t="s">
        <v>758</v>
      </c>
      <c r="X2069" s="1"/>
      <c r="Y2069" s="78">
        <f t="shared" si="257"/>
        <v>0</v>
      </c>
      <c r="Z2069" s="78">
        <f t="shared" si="258"/>
        <v>0</v>
      </c>
      <c r="AA2069" s="78">
        <f t="shared" si="256"/>
        <v>0</v>
      </c>
      <c r="AB2069" s="78">
        <f t="shared" si="259"/>
        <v>0</v>
      </c>
      <c r="AC2069" s="78"/>
      <c r="AD2069" s="78">
        <v>0</v>
      </c>
      <c r="AE2069" s="80">
        <f t="shared" si="262"/>
        <v>0</v>
      </c>
      <c r="AF2069" s="82">
        <v>0</v>
      </c>
      <c r="AG2069" s="69"/>
      <c r="AH2069" s="84"/>
      <c r="AI2069" s="69" t="s">
        <v>2009</v>
      </c>
      <c r="AJ2069" s="276" t="s">
        <v>2010</v>
      </c>
      <c r="AK2069" s="65"/>
      <c r="AL2069" s="272" t="s">
        <v>311</v>
      </c>
      <c r="AM2069" s="173" t="s">
        <v>1268</v>
      </c>
      <c r="AN2069" s="159"/>
      <c r="AO2069" s="160"/>
      <c r="AP2069" s="161"/>
      <c r="AQ2069" s="160"/>
      <c r="AR2069" s="160"/>
      <c r="AS2069" s="160"/>
      <c r="AT2069" s="160"/>
      <c r="AU2069" s="160"/>
      <c r="AV2069" s="160"/>
      <c r="AW2069" s="160"/>
      <c r="AX2069" s="160"/>
      <c r="AY2069" s="160"/>
      <c r="AZ2069" s="160"/>
      <c r="BA2069" s="160"/>
      <c r="BB2069" s="160"/>
      <c r="BC2069" s="160"/>
      <c r="BD2069" s="160"/>
      <c r="BE2069" s="160"/>
      <c r="BF2069" s="160"/>
      <c r="BG2069" s="160"/>
      <c r="BH2069" s="160"/>
      <c r="BI2069" s="160"/>
      <c r="BJ2069" s="160"/>
      <c r="BK2069" s="160"/>
      <c r="BL2069" s="160"/>
      <c r="BM2069" s="160"/>
      <c r="BN2069" s="160"/>
      <c r="BO2069" s="160"/>
      <c r="BP2069" s="160"/>
      <c r="BQ2069" s="160"/>
      <c r="BR2069" s="160"/>
      <c r="BS2069" s="160"/>
      <c r="BT2069" s="160"/>
      <c r="BU2069" s="160"/>
      <c r="BV2069" s="160"/>
      <c r="BW2069" s="160"/>
      <c r="BX2069" s="160"/>
      <c r="BY2069" s="160"/>
      <c r="BZ2069" s="160"/>
      <c r="CA2069" s="160"/>
      <c r="CB2069" s="160"/>
      <c r="CC2069" s="160"/>
      <c r="CD2069" s="160"/>
      <c r="CE2069" s="160"/>
      <c r="CF2069" s="160"/>
      <c r="CG2069" s="160"/>
      <c r="CH2069" s="160"/>
      <c r="CI2069" s="160"/>
      <c r="CJ2069" s="160"/>
      <c r="CK2069" s="160"/>
      <c r="CL2069" s="160"/>
      <c r="CM2069" s="160"/>
      <c r="CN2069" s="160"/>
      <c r="CO2069" s="160"/>
      <c r="CP2069" s="162"/>
      <c r="CQ2069" s="163"/>
      <c r="CR2069" s="162"/>
      <c r="CS2069" s="163"/>
      <c r="CT2069" s="162"/>
      <c r="CU2069" s="163"/>
      <c r="CV2069" s="164">
        <f t="shared" si="260"/>
        <v>0</v>
      </c>
      <c r="CW2069" s="165"/>
      <c r="CX2069" s="166"/>
      <c r="CY2069" s="167"/>
      <c r="CZ2069" s="168"/>
      <c r="DA2069" s="169"/>
      <c r="DB2069" s="168"/>
      <c r="DC2069" s="165"/>
      <c r="DD2069" s="166"/>
      <c r="DE2069" s="71" t="s">
        <v>3190</v>
      </c>
      <c r="DF2069" s="170"/>
      <c r="EO2069" s="375" t="str">
        <f t="shared" si="261"/>
        <v>CAUCA_LA VEGA</v>
      </c>
      <c r="EP2069" s="376"/>
      <c r="EQ2069" s="376"/>
      <c r="ER2069" s="377"/>
      <c r="ES2069" s="376"/>
      <c r="ET2069" s="376"/>
      <c r="EU2069" s="376"/>
    </row>
    <row r="2070" spans="1:151" s="171" customFormat="1" ht="45" x14ac:dyDescent="0.2">
      <c r="A2070" s="242">
        <v>40520</v>
      </c>
      <c r="B2070" s="107" t="s">
        <v>5778</v>
      </c>
      <c r="C2070" s="222" t="s">
        <v>1060</v>
      </c>
      <c r="D2070" s="430" t="s">
        <v>837</v>
      </c>
      <c r="E2070" s="107" t="str">
        <f>VLOOKUP(B2070&amp;C2070,Divipola!$C$2:$F$1138,4,FALSE)</f>
        <v>44001</v>
      </c>
      <c r="F2070" s="333"/>
      <c r="G2070" s="221">
        <v>2</v>
      </c>
      <c r="H2070" s="157"/>
      <c r="I2070" s="157"/>
      <c r="J2070" s="157">
        <f>2460*5</f>
        <v>12300</v>
      </c>
      <c r="K2070" s="157">
        <v>2460</v>
      </c>
      <c r="L2070" s="157"/>
      <c r="M2070" s="157"/>
      <c r="N2070" s="157"/>
      <c r="O2070" s="157"/>
      <c r="P2070" s="157"/>
      <c r="Q2070" s="157"/>
      <c r="R2070" s="157"/>
      <c r="S2070" s="157"/>
      <c r="T2070" s="157"/>
      <c r="U2070" s="157"/>
      <c r="V2070" s="158"/>
      <c r="W2070" s="182"/>
      <c r="X2070" s="1"/>
      <c r="Y2070" s="78">
        <f t="shared" si="257"/>
        <v>0</v>
      </c>
      <c r="Z2070" s="78">
        <f t="shared" si="258"/>
        <v>0</v>
      </c>
      <c r="AA2070" s="78">
        <f t="shared" si="256"/>
        <v>0</v>
      </c>
      <c r="AB2070" s="78">
        <f t="shared" si="259"/>
        <v>0</v>
      </c>
      <c r="AC2070" s="78"/>
      <c r="AD2070" s="78">
        <v>0</v>
      </c>
      <c r="AE2070" s="80">
        <f t="shared" si="262"/>
        <v>0</v>
      </c>
      <c r="AF2070" s="82">
        <v>0</v>
      </c>
      <c r="AG2070" s="242"/>
      <c r="AH2070" s="84"/>
      <c r="AI2070" s="69" t="s">
        <v>2009</v>
      </c>
      <c r="AJ2070" s="276" t="s">
        <v>2010</v>
      </c>
      <c r="AK2070" s="65"/>
      <c r="AL2070" s="272" t="s">
        <v>311</v>
      </c>
      <c r="AM2070" s="173" t="s">
        <v>694</v>
      </c>
      <c r="AN2070" s="159"/>
      <c r="AO2070" s="160"/>
      <c r="AP2070" s="161"/>
      <c r="AQ2070" s="160"/>
      <c r="AR2070" s="160"/>
      <c r="AS2070" s="160"/>
      <c r="AT2070" s="160"/>
      <c r="AU2070" s="160"/>
      <c r="AV2070" s="160"/>
      <c r="AW2070" s="160"/>
      <c r="AX2070" s="160"/>
      <c r="AY2070" s="160"/>
      <c r="AZ2070" s="160"/>
      <c r="BA2070" s="160"/>
      <c r="BB2070" s="160"/>
      <c r="BC2070" s="160"/>
      <c r="BD2070" s="160"/>
      <c r="BE2070" s="160"/>
      <c r="BF2070" s="160"/>
      <c r="BG2070" s="160"/>
      <c r="BH2070" s="160"/>
      <c r="BI2070" s="160"/>
      <c r="BJ2070" s="160"/>
      <c r="BK2070" s="160"/>
      <c r="BL2070" s="160"/>
      <c r="BM2070" s="160"/>
      <c r="BN2070" s="160"/>
      <c r="BO2070" s="160"/>
      <c r="BP2070" s="160"/>
      <c r="BQ2070" s="160"/>
      <c r="BR2070" s="160"/>
      <c r="BS2070" s="160"/>
      <c r="BT2070" s="160"/>
      <c r="BU2070" s="160"/>
      <c r="BV2070" s="160"/>
      <c r="BW2070" s="160"/>
      <c r="BX2070" s="160"/>
      <c r="BY2070" s="160"/>
      <c r="BZ2070" s="160"/>
      <c r="CA2070" s="160"/>
      <c r="CB2070" s="160"/>
      <c r="CC2070" s="160"/>
      <c r="CD2070" s="160"/>
      <c r="CE2070" s="160"/>
      <c r="CF2070" s="160"/>
      <c r="CG2070" s="160"/>
      <c r="CH2070" s="160"/>
      <c r="CI2070" s="160"/>
      <c r="CJ2070" s="160"/>
      <c r="CK2070" s="160"/>
      <c r="CL2070" s="160"/>
      <c r="CM2070" s="160"/>
      <c r="CN2070" s="160"/>
      <c r="CO2070" s="160"/>
      <c r="CP2070" s="162"/>
      <c r="CQ2070" s="163"/>
      <c r="CR2070" s="162"/>
      <c r="CS2070" s="163"/>
      <c r="CT2070" s="162"/>
      <c r="CU2070" s="163"/>
      <c r="CV2070" s="164">
        <f t="shared" si="260"/>
        <v>0</v>
      </c>
      <c r="CW2070" s="165"/>
      <c r="CX2070" s="166"/>
      <c r="CY2070" s="167"/>
      <c r="CZ2070" s="168"/>
      <c r="DA2070" s="169"/>
      <c r="DB2070" s="168"/>
      <c r="DC2070" s="165"/>
      <c r="DD2070" s="166"/>
      <c r="DE2070" s="71"/>
      <c r="DF2070" s="170"/>
      <c r="EO2070" s="375" t="str">
        <f t="shared" si="261"/>
        <v>LA GUAJIRA_RIOHACHA</v>
      </c>
      <c r="EP2070" s="376"/>
      <c r="EQ2070" s="376"/>
      <c r="ER2070" s="377"/>
      <c r="ES2070" s="376"/>
      <c r="ET2070" s="376"/>
      <c r="EU2070" s="376"/>
    </row>
    <row r="2071" spans="1:151" s="171" customFormat="1" ht="25.5" x14ac:dyDescent="0.2">
      <c r="A2071" s="242">
        <v>40521</v>
      </c>
      <c r="B2071" s="222" t="s">
        <v>289</v>
      </c>
      <c r="C2071" s="222" t="s">
        <v>2632</v>
      </c>
      <c r="D2071" s="430" t="s">
        <v>2307</v>
      </c>
      <c r="E2071" s="107" t="str">
        <f>VLOOKUP(B2071&amp;C2071,Divipola!$C$2:$F$1138,4,FALSE)</f>
        <v>17662</v>
      </c>
      <c r="F2071" s="333"/>
      <c r="G2071" s="221">
        <v>3</v>
      </c>
      <c r="H2071" s="157">
        <v>13</v>
      </c>
      <c r="I2071" s="157"/>
      <c r="J2071" s="157">
        <f>394*5</f>
        <v>1970</v>
      </c>
      <c r="K2071" s="157">
        <f>194+200</f>
        <v>394</v>
      </c>
      <c r="L2071" s="157">
        <v>1</v>
      </c>
      <c r="M2071" s="157">
        <v>80</v>
      </c>
      <c r="N2071" s="157"/>
      <c r="O2071" s="157"/>
      <c r="P2071" s="157"/>
      <c r="Q2071" s="157"/>
      <c r="R2071" s="157"/>
      <c r="S2071" s="157"/>
      <c r="T2071" s="157"/>
      <c r="U2071" s="157"/>
      <c r="V2071" s="158"/>
      <c r="W2071" s="182"/>
      <c r="X2071" s="1"/>
      <c r="Y2071" s="78">
        <f t="shared" si="257"/>
        <v>0</v>
      </c>
      <c r="Z2071" s="78">
        <f t="shared" si="258"/>
        <v>0</v>
      </c>
      <c r="AA2071" s="78">
        <f t="shared" si="256"/>
        <v>0</v>
      </c>
      <c r="AB2071" s="78">
        <f t="shared" si="259"/>
        <v>0</v>
      </c>
      <c r="AC2071" s="78"/>
      <c r="AD2071" s="78">
        <v>0</v>
      </c>
      <c r="AE2071" s="80">
        <f t="shared" si="262"/>
        <v>0</v>
      </c>
      <c r="AF2071" s="82">
        <v>0</v>
      </c>
      <c r="AG2071" s="242"/>
      <c r="AH2071" s="84"/>
      <c r="AI2071" s="69" t="s">
        <v>2009</v>
      </c>
      <c r="AJ2071" s="25" t="s">
        <v>2010</v>
      </c>
      <c r="AK2071" s="65"/>
      <c r="AL2071" s="184" t="s">
        <v>3833</v>
      </c>
      <c r="AM2071" s="173" t="s">
        <v>2633</v>
      </c>
      <c r="AN2071" s="159"/>
      <c r="AO2071" s="160"/>
      <c r="AP2071" s="161"/>
      <c r="AQ2071" s="160"/>
      <c r="AR2071" s="160"/>
      <c r="AS2071" s="160"/>
      <c r="AT2071" s="160"/>
      <c r="AU2071" s="160"/>
      <c r="AV2071" s="160"/>
      <c r="AW2071" s="160"/>
      <c r="AX2071" s="160"/>
      <c r="AY2071" s="160"/>
      <c r="AZ2071" s="160"/>
      <c r="BA2071" s="160"/>
      <c r="BB2071" s="160"/>
      <c r="BC2071" s="160"/>
      <c r="BD2071" s="160"/>
      <c r="BE2071" s="160"/>
      <c r="BF2071" s="160"/>
      <c r="BG2071" s="160"/>
      <c r="BH2071" s="160"/>
      <c r="BI2071" s="160"/>
      <c r="BJ2071" s="160"/>
      <c r="BK2071" s="160"/>
      <c r="BL2071" s="160"/>
      <c r="BM2071" s="160"/>
      <c r="BN2071" s="160"/>
      <c r="BO2071" s="160"/>
      <c r="BP2071" s="160"/>
      <c r="BQ2071" s="160"/>
      <c r="BR2071" s="160"/>
      <c r="BS2071" s="160"/>
      <c r="BT2071" s="160"/>
      <c r="BU2071" s="160"/>
      <c r="BV2071" s="160"/>
      <c r="BW2071" s="160"/>
      <c r="BX2071" s="160"/>
      <c r="BY2071" s="160"/>
      <c r="BZ2071" s="160"/>
      <c r="CA2071" s="160"/>
      <c r="CB2071" s="160"/>
      <c r="CC2071" s="160"/>
      <c r="CD2071" s="160"/>
      <c r="CE2071" s="160"/>
      <c r="CF2071" s="160"/>
      <c r="CG2071" s="160"/>
      <c r="CH2071" s="160"/>
      <c r="CI2071" s="160"/>
      <c r="CJ2071" s="160"/>
      <c r="CK2071" s="160"/>
      <c r="CL2071" s="160"/>
      <c r="CM2071" s="160"/>
      <c r="CN2071" s="160"/>
      <c r="CO2071" s="160"/>
      <c r="CP2071" s="162"/>
      <c r="CQ2071" s="163"/>
      <c r="CR2071" s="162"/>
      <c r="CS2071" s="163"/>
      <c r="CT2071" s="162"/>
      <c r="CU2071" s="163"/>
      <c r="CV2071" s="164">
        <f t="shared" si="260"/>
        <v>0</v>
      </c>
      <c r="CW2071" s="165"/>
      <c r="CX2071" s="166"/>
      <c r="CY2071" s="167"/>
      <c r="CZ2071" s="168"/>
      <c r="DA2071" s="169"/>
      <c r="DB2071" s="168"/>
      <c r="DC2071" s="165"/>
      <c r="DD2071" s="166"/>
      <c r="DE2071" s="71"/>
      <c r="DF2071" s="170"/>
      <c r="EO2071" s="375" t="str">
        <f t="shared" si="261"/>
        <v>CALDAS_SAMANA</v>
      </c>
      <c r="EP2071" s="376"/>
      <c r="EQ2071" s="376"/>
      <c r="ER2071" s="377"/>
      <c r="ES2071" s="376"/>
      <c r="ET2071" s="376"/>
      <c r="EU2071" s="376"/>
    </row>
    <row r="2072" spans="1:151" s="171" customFormat="1" ht="38.25" x14ac:dyDescent="0.2">
      <c r="A2072" s="242">
        <v>40521</v>
      </c>
      <c r="B2072" s="222" t="s">
        <v>2425</v>
      </c>
      <c r="C2072" s="222" t="s">
        <v>3082</v>
      </c>
      <c r="D2072" s="430" t="s">
        <v>837</v>
      </c>
      <c r="E2072" s="107" t="str">
        <f>VLOOKUP(B2072&amp;C2072,Divipola!$C$2:$F$1138,4,FALSE)</f>
        <v>27150</v>
      </c>
      <c r="F2072" s="333"/>
      <c r="G2072" s="221">
        <v>1</v>
      </c>
      <c r="H2072" s="157">
        <v>2</v>
      </c>
      <c r="I2072" s="157"/>
      <c r="J2072" s="157">
        <f>450*3.3</f>
        <v>1485</v>
      </c>
      <c r="K2072" s="157">
        <v>45</v>
      </c>
      <c r="L2072" s="157"/>
      <c r="M2072" s="157"/>
      <c r="N2072" s="157"/>
      <c r="O2072" s="157"/>
      <c r="P2072" s="157"/>
      <c r="Q2072" s="157"/>
      <c r="R2072" s="157"/>
      <c r="S2072" s="157"/>
      <c r="T2072" s="157"/>
      <c r="U2072" s="157"/>
      <c r="V2072" s="158"/>
      <c r="W2072" s="182"/>
      <c r="X2072" s="1"/>
      <c r="Y2072" s="78">
        <f t="shared" si="257"/>
        <v>40848000</v>
      </c>
      <c r="Z2072" s="78">
        <f t="shared" si="258"/>
        <v>113560000</v>
      </c>
      <c r="AA2072" s="78">
        <f t="shared" si="256"/>
        <v>0</v>
      </c>
      <c r="AB2072" s="78">
        <f t="shared" si="259"/>
        <v>0</v>
      </c>
      <c r="AC2072" s="78"/>
      <c r="AD2072" s="78">
        <v>0</v>
      </c>
      <c r="AE2072" s="80">
        <f t="shared" si="262"/>
        <v>154408000</v>
      </c>
      <c r="AF2072" s="82">
        <v>0</v>
      </c>
      <c r="AG2072" s="242"/>
      <c r="AH2072" s="84"/>
      <c r="AI2072" s="69" t="s">
        <v>2009</v>
      </c>
      <c r="AJ2072" s="25" t="s">
        <v>2010</v>
      </c>
      <c r="AK2072" s="65"/>
      <c r="AL2072" s="176"/>
      <c r="AM2072" s="173" t="s">
        <v>122</v>
      </c>
      <c r="AN2072" s="159"/>
      <c r="AO2072" s="160"/>
      <c r="AP2072" s="161"/>
      <c r="AQ2072" s="160"/>
      <c r="AR2072" s="160"/>
      <c r="AS2072" s="160"/>
      <c r="AT2072" s="160"/>
      <c r="AU2072" s="160"/>
      <c r="AV2072" s="160"/>
      <c r="AW2072" s="160"/>
      <c r="AX2072" s="160"/>
      <c r="AY2072" s="160"/>
      <c r="AZ2072" s="160"/>
      <c r="BA2072" s="160"/>
      <c r="BB2072" s="160">
        <v>300</v>
      </c>
      <c r="BC2072" s="160">
        <f>300*56000</f>
        <v>16800000</v>
      </c>
      <c r="BD2072" s="160"/>
      <c r="BE2072" s="160"/>
      <c r="BF2072" s="160"/>
      <c r="BG2072" s="160"/>
      <c r="BH2072" s="160"/>
      <c r="BI2072" s="160"/>
      <c r="BJ2072" s="160"/>
      <c r="BK2072" s="160"/>
      <c r="BL2072" s="160"/>
      <c r="BM2072" s="160"/>
      <c r="BN2072" s="160"/>
      <c r="BO2072" s="160"/>
      <c r="BP2072" s="160"/>
      <c r="BQ2072" s="160"/>
      <c r="BR2072" s="160"/>
      <c r="BS2072" s="160"/>
      <c r="BT2072" s="160"/>
      <c r="BU2072" s="160"/>
      <c r="BV2072" s="160"/>
      <c r="BW2072" s="160"/>
      <c r="BX2072" s="160"/>
      <c r="BY2072" s="160"/>
      <c r="BZ2072" s="160"/>
      <c r="CA2072" s="160"/>
      <c r="CB2072" s="160"/>
      <c r="CC2072" s="160"/>
      <c r="CD2072" s="160"/>
      <c r="CE2072" s="160"/>
      <c r="CF2072" s="160"/>
      <c r="CG2072" s="160"/>
      <c r="CH2072" s="160"/>
      <c r="CI2072" s="160"/>
      <c r="CJ2072" s="160"/>
      <c r="CK2072" s="160"/>
      <c r="CL2072" s="160"/>
      <c r="CM2072" s="160"/>
      <c r="CN2072" s="160">
        <v>1336</v>
      </c>
      <c r="CO2072" s="160">
        <f>1336*18000</f>
        <v>24048000</v>
      </c>
      <c r="CP2072" s="162"/>
      <c r="CQ2072" s="163"/>
      <c r="CR2072" s="162"/>
      <c r="CS2072" s="163"/>
      <c r="CT2072" s="162"/>
      <c r="CU2072" s="163"/>
      <c r="CV2072" s="164">
        <f t="shared" si="260"/>
        <v>40848000</v>
      </c>
      <c r="CW2072" s="165"/>
      <c r="CX2072" s="166"/>
      <c r="CY2072" s="167">
        <v>1336</v>
      </c>
      <c r="CZ2072" s="168">
        <f>1336*85000</f>
        <v>113560000</v>
      </c>
      <c r="DA2072" s="169"/>
      <c r="DB2072" s="168"/>
      <c r="DC2072" s="165"/>
      <c r="DD2072" s="166"/>
      <c r="DE2072" s="71"/>
      <c r="DF2072" s="170"/>
      <c r="EO2072" s="375" t="str">
        <f t="shared" si="261"/>
        <v>CHOCO_CARMEN DEL DARIEN</v>
      </c>
      <c r="EP2072" s="376"/>
      <c r="EQ2072" s="376"/>
      <c r="ER2072" s="377"/>
      <c r="ES2072" s="376"/>
      <c r="ET2072" s="376"/>
      <c r="EU2072" s="376"/>
    </row>
    <row r="2073" spans="1:151" s="171" customFormat="1" ht="48" x14ac:dyDescent="0.2">
      <c r="A2073" s="242">
        <v>40521</v>
      </c>
      <c r="B2073" s="107" t="s">
        <v>1700</v>
      </c>
      <c r="C2073" s="222" t="s">
        <v>1046</v>
      </c>
      <c r="D2073" s="430" t="s">
        <v>837</v>
      </c>
      <c r="E2073" s="107" t="str">
        <f>VLOOKUP(B2073&amp;C2073,Divipola!$C$2:$F$1138,4,FALSE)</f>
        <v>23162</v>
      </c>
      <c r="F2073" s="333"/>
      <c r="G2073" s="221"/>
      <c r="H2073" s="157"/>
      <c r="I2073" s="157"/>
      <c r="J2073" s="157">
        <f>2444*3</f>
        <v>7332</v>
      </c>
      <c r="K2073" s="157">
        <f>2376+68</f>
        <v>2444</v>
      </c>
      <c r="L2073" s="157"/>
      <c r="M2073" s="157">
        <f>2376+68</f>
        <v>2444</v>
      </c>
      <c r="N2073" s="157"/>
      <c r="O2073" s="157"/>
      <c r="P2073" s="157"/>
      <c r="Q2073" s="157"/>
      <c r="R2073" s="157"/>
      <c r="S2073" s="157"/>
      <c r="T2073" s="157"/>
      <c r="U2073" s="157"/>
      <c r="V2073" s="158"/>
      <c r="W2073" s="182"/>
      <c r="X2073" s="1"/>
      <c r="Y2073" s="78">
        <f t="shared" si="257"/>
        <v>0</v>
      </c>
      <c r="Z2073" s="78">
        <f t="shared" si="258"/>
        <v>0</v>
      </c>
      <c r="AA2073" s="78">
        <f t="shared" si="256"/>
        <v>0</v>
      </c>
      <c r="AB2073" s="78">
        <f t="shared" si="259"/>
        <v>0</v>
      </c>
      <c r="AC2073" s="78"/>
      <c r="AD2073" s="78">
        <v>0</v>
      </c>
      <c r="AE2073" s="80">
        <f t="shared" si="262"/>
        <v>0</v>
      </c>
      <c r="AF2073" s="82">
        <v>0</v>
      </c>
      <c r="AG2073" s="69">
        <v>40521</v>
      </c>
      <c r="AH2073" s="84"/>
      <c r="AI2073" s="69" t="s">
        <v>2009</v>
      </c>
      <c r="AJ2073" s="276" t="s">
        <v>2010</v>
      </c>
      <c r="AK2073" s="65"/>
      <c r="AL2073" s="272" t="s">
        <v>311</v>
      </c>
      <c r="AM2073" s="173" t="s">
        <v>3791</v>
      </c>
      <c r="AN2073" s="159"/>
      <c r="AO2073" s="160"/>
      <c r="AP2073" s="161"/>
      <c r="AQ2073" s="160"/>
      <c r="AR2073" s="160"/>
      <c r="AS2073" s="160"/>
      <c r="AT2073" s="160"/>
      <c r="AU2073" s="160"/>
      <c r="AV2073" s="160"/>
      <c r="AW2073" s="160"/>
      <c r="AX2073" s="160"/>
      <c r="AY2073" s="160"/>
      <c r="AZ2073" s="160"/>
      <c r="BA2073" s="160"/>
      <c r="BB2073" s="160"/>
      <c r="BC2073" s="160"/>
      <c r="BD2073" s="160"/>
      <c r="BE2073" s="160"/>
      <c r="BF2073" s="160"/>
      <c r="BG2073" s="160"/>
      <c r="BH2073" s="160"/>
      <c r="BI2073" s="160"/>
      <c r="BJ2073" s="160"/>
      <c r="BK2073" s="160"/>
      <c r="BL2073" s="160"/>
      <c r="BM2073" s="160"/>
      <c r="BN2073" s="160"/>
      <c r="BO2073" s="160"/>
      <c r="BP2073" s="160"/>
      <c r="BQ2073" s="160"/>
      <c r="BR2073" s="160"/>
      <c r="BS2073" s="160"/>
      <c r="BT2073" s="160"/>
      <c r="BU2073" s="160"/>
      <c r="BV2073" s="160"/>
      <c r="BW2073" s="160"/>
      <c r="BX2073" s="160"/>
      <c r="BY2073" s="160"/>
      <c r="BZ2073" s="160"/>
      <c r="CA2073" s="160"/>
      <c r="CB2073" s="160"/>
      <c r="CC2073" s="160"/>
      <c r="CD2073" s="160"/>
      <c r="CE2073" s="160"/>
      <c r="CF2073" s="160"/>
      <c r="CG2073" s="160"/>
      <c r="CH2073" s="160"/>
      <c r="CI2073" s="160"/>
      <c r="CJ2073" s="160"/>
      <c r="CK2073" s="160"/>
      <c r="CL2073" s="160"/>
      <c r="CM2073" s="160"/>
      <c r="CN2073" s="160"/>
      <c r="CO2073" s="160"/>
      <c r="CP2073" s="162"/>
      <c r="CQ2073" s="163"/>
      <c r="CR2073" s="162"/>
      <c r="CS2073" s="163"/>
      <c r="CT2073" s="162"/>
      <c r="CU2073" s="163"/>
      <c r="CV2073" s="164">
        <f t="shared" si="260"/>
        <v>0</v>
      </c>
      <c r="CW2073" s="165"/>
      <c r="CX2073" s="166"/>
      <c r="CY2073" s="167"/>
      <c r="CZ2073" s="168"/>
      <c r="DA2073" s="169"/>
      <c r="DB2073" s="168"/>
      <c r="DC2073" s="165"/>
      <c r="DD2073" s="166"/>
      <c r="DE2073" s="71"/>
      <c r="DF2073" s="170"/>
      <c r="EO2073" s="375" t="str">
        <f t="shared" si="261"/>
        <v>CORDOBA_CERETE</v>
      </c>
      <c r="EP2073" s="376"/>
      <c r="EQ2073" s="376"/>
      <c r="ER2073" s="377"/>
      <c r="ES2073" s="376"/>
      <c r="ET2073" s="376"/>
      <c r="EU2073" s="376"/>
    </row>
    <row r="2074" spans="1:151" s="171" customFormat="1" ht="63.75" x14ac:dyDescent="0.2">
      <c r="A2074" s="242">
        <v>40521</v>
      </c>
      <c r="B2074" s="107" t="s">
        <v>1700</v>
      </c>
      <c r="C2074" s="222" t="s">
        <v>1337</v>
      </c>
      <c r="D2074" s="430" t="s">
        <v>2209</v>
      </c>
      <c r="E2074" s="107" t="str">
        <f>VLOOKUP(B2074&amp;C2074,Divipola!$C$2:$F$1138,4,FALSE)</f>
        <v>23675</v>
      </c>
      <c r="F2074" s="333"/>
      <c r="G2074" s="221"/>
      <c r="H2074" s="157"/>
      <c r="I2074" s="157"/>
      <c r="J2074" s="157">
        <v>450</v>
      </c>
      <c r="K2074" s="157">
        <v>90</v>
      </c>
      <c r="L2074" s="157"/>
      <c r="M2074" s="157">
        <v>90</v>
      </c>
      <c r="N2074" s="157"/>
      <c r="O2074" s="157"/>
      <c r="P2074" s="157"/>
      <c r="Q2074" s="157"/>
      <c r="R2074" s="157"/>
      <c r="S2074" s="157"/>
      <c r="T2074" s="157"/>
      <c r="U2074" s="157"/>
      <c r="V2074" s="158"/>
      <c r="W2074" s="182"/>
      <c r="X2074" s="1"/>
      <c r="Y2074" s="78">
        <f t="shared" si="257"/>
        <v>0</v>
      </c>
      <c r="Z2074" s="78">
        <f t="shared" si="258"/>
        <v>198135000</v>
      </c>
      <c r="AA2074" s="78">
        <f t="shared" si="256"/>
        <v>0</v>
      </c>
      <c r="AB2074" s="78">
        <f t="shared" si="259"/>
        <v>0</v>
      </c>
      <c r="AC2074" s="78"/>
      <c r="AD2074" s="78">
        <v>0</v>
      </c>
      <c r="AE2074" s="80">
        <f t="shared" si="262"/>
        <v>198135000</v>
      </c>
      <c r="AF2074" s="82">
        <v>0</v>
      </c>
      <c r="AG2074" s="69"/>
      <c r="AH2074" s="84"/>
      <c r="AI2074" s="69" t="s">
        <v>2009</v>
      </c>
      <c r="AJ2074" s="25" t="s">
        <v>2010</v>
      </c>
      <c r="AK2074" s="65"/>
      <c r="AL2074" s="176"/>
      <c r="AM2074" s="173" t="s">
        <v>3785</v>
      </c>
      <c r="AN2074" s="159"/>
      <c r="AO2074" s="160"/>
      <c r="AP2074" s="161"/>
      <c r="AQ2074" s="160"/>
      <c r="AR2074" s="160"/>
      <c r="AS2074" s="160"/>
      <c r="AT2074" s="160"/>
      <c r="AU2074" s="160"/>
      <c r="AV2074" s="160"/>
      <c r="AW2074" s="160"/>
      <c r="AX2074" s="160"/>
      <c r="AY2074" s="160"/>
      <c r="AZ2074" s="160"/>
      <c r="BA2074" s="160"/>
      <c r="BB2074" s="160"/>
      <c r="BC2074" s="160"/>
      <c r="BD2074" s="160"/>
      <c r="BE2074" s="160"/>
      <c r="BF2074" s="160"/>
      <c r="BG2074" s="160"/>
      <c r="BH2074" s="160"/>
      <c r="BI2074" s="160"/>
      <c r="BJ2074" s="160"/>
      <c r="BK2074" s="160"/>
      <c r="BL2074" s="160"/>
      <c r="BM2074" s="160"/>
      <c r="BN2074" s="160"/>
      <c r="BO2074" s="160"/>
      <c r="BP2074" s="160"/>
      <c r="BQ2074" s="160"/>
      <c r="BR2074" s="160"/>
      <c r="BS2074" s="160"/>
      <c r="BT2074" s="160"/>
      <c r="BU2074" s="160"/>
      <c r="BV2074" s="160"/>
      <c r="BW2074" s="160"/>
      <c r="BX2074" s="160"/>
      <c r="BY2074" s="160"/>
      <c r="BZ2074" s="160"/>
      <c r="CA2074" s="160"/>
      <c r="CB2074" s="160"/>
      <c r="CC2074" s="160"/>
      <c r="CD2074" s="160"/>
      <c r="CE2074" s="160"/>
      <c r="CF2074" s="160"/>
      <c r="CG2074" s="160"/>
      <c r="CH2074" s="160"/>
      <c r="CI2074" s="160"/>
      <c r="CJ2074" s="160"/>
      <c r="CK2074" s="160"/>
      <c r="CL2074" s="160"/>
      <c r="CM2074" s="160"/>
      <c r="CN2074" s="160"/>
      <c r="CO2074" s="160"/>
      <c r="CP2074" s="162"/>
      <c r="CQ2074" s="163"/>
      <c r="CR2074" s="162"/>
      <c r="CS2074" s="163"/>
      <c r="CT2074" s="162"/>
      <c r="CU2074" s="163"/>
      <c r="CV2074" s="164">
        <f t="shared" si="260"/>
        <v>0</v>
      </c>
      <c r="CW2074" s="165"/>
      <c r="CX2074" s="166"/>
      <c r="CY2074" s="167">
        <v>2331</v>
      </c>
      <c r="CZ2074" s="168">
        <f>2331*85000</f>
        <v>198135000</v>
      </c>
      <c r="DA2074" s="169"/>
      <c r="DB2074" s="168"/>
      <c r="DC2074" s="165"/>
      <c r="DD2074" s="166"/>
      <c r="DE2074" s="71"/>
      <c r="DF2074" s="170"/>
      <c r="EO2074" s="375" t="str">
        <f t="shared" si="261"/>
        <v>CORDOBA_SAN BERNARDO DEL VIENTO</v>
      </c>
      <c r="EP2074" s="376"/>
      <c r="EQ2074" s="376"/>
      <c r="ER2074" s="377"/>
      <c r="ES2074" s="376"/>
      <c r="ET2074" s="376"/>
      <c r="EU2074" s="376"/>
    </row>
    <row r="2075" spans="1:151" s="171" customFormat="1" ht="38.25" x14ac:dyDescent="0.2">
      <c r="A2075" s="242">
        <v>40521</v>
      </c>
      <c r="B2075" s="222" t="s">
        <v>2007</v>
      </c>
      <c r="C2075" s="222" t="s">
        <v>300</v>
      </c>
      <c r="D2075" s="430" t="s">
        <v>837</v>
      </c>
      <c r="E2075" s="107" t="str">
        <f>VLOOKUP(B2075&amp;C2075,Divipola!$C$2:$F$1138,4,FALSE)</f>
        <v>25324</v>
      </c>
      <c r="F2075" s="333"/>
      <c r="G2075" s="221"/>
      <c r="H2075" s="157"/>
      <c r="I2075" s="157"/>
      <c r="J2075" s="157">
        <v>145</v>
      </c>
      <c r="K2075" s="157">
        <v>35</v>
      </c>
      <c r="L2075" s="157"/>
      <c r="M2075" s="157">
        <v>35</v>
      </c>
      <c r="N2075" s="157"/>
      <c r="O2075" s="157"/>
      <c r="P2075" s="157"/>
      <c r="Q2075" s="157"/>
      <c r="R2075" s="157"/>
      <c r="S2075" s="157"/>
      <c r="T2075" s="157"/>
      <c r="U2075" s="157"/>
      <c r="V2075" s="158"/>
      <c r="W2075" s="182"/>
      <c r="X2075" s="1"/>
      <c r="Y2075" s="78">
        <f t="shared" si="257"/>
        <v>0</v>
      </c>
      <c r="Z2075" s="78">
        <f t="shared" si="258"/>
        <v>0</v>
      </c>
      <c r="AA2075" s="78">
        <f t="shared" si="256"/>
        <v>0</v>
      </c>
      <c r="AB2075" s="78">
        <f t="shared" si="259"/>
        <v>0</v>
      </c>
      <c r="AC2075" s="78"/>
      <c r="AD2075" s="78">
        <v>0</v>
      </c>
      <c r="AE2075" s="80">
        <f t="shared" si="262"/>
        <v>0</v>
      </c>
      <c r="AF2075" s="82">
        <v>0</v>
      </c>
      <c r="AG2075" s="242">
        <v>40521</v>
      </c>
      <c r="AH2075" s="84"/>
      <c r="AI2075" s="69" t="s">
        <v>1984</v>
      </c>
      <c r="AJ2075" s="25" t="s">
        <v>1985</v>
      </c>
      <c r="AK2075" s="65"/>
      <c r="AL2075" s="176" t="s">
        <v>1257</v>
      </c>
      <c r="AM2075" s="173" t="s">
        <v>301</v>
      </c>
      <c r="AN2075" s="159"/>
      <c r="AO2075" s="160"/>
      <c r="AP2075" s="161"/>
      <c r="AQ2075" s="160"/>
      <c r="AR2075" s="160"/>
      <c r="AS2075" s="160"/>
      <c r="AT2075" s="160"/>
      <c r="AU2075" s="160"/>
      <c r="AV2075" s="160"/>
      <c r="AW2075" s="160"/>
      <c r="AX2075" s="160"/>
      <c r="AY2075" s="160"/>
      <c r="AZ2075" s="160"/>
      <c r="BA2075" s="160"/>
      <c r="BB2075" s="160"/>
      <c r="BC2075" s="160"/>
      <c r="BD2075" s="160"/>
      <c r="BE2075" s="160"/>
      <c r="BF2075" s="160"/>
      <c r="BG2075" s="160"/>
      <c r="BH2075" s="160"/>
      <c r="BI2075" s="160"/>
      <c r="BJ2075" s="160"/>
      <c r="BK2075" s="160"/>
      <c r="BL2075" s="160"/>
      <c r="BM2075" s="160"/>
      <c r="BN2075" s="160"/>
      <c r="BO2075" s="160"/>
      <c r="BP2075" s="160"/>
      <c r="BQ2075" s="160"/>
      <c r="BR2075" s="160"/>
      <c r="BS2075" s="160"/>
      <c r="BT2075" s="160"/>
      <c r="BU2075" s="160"/>
      <c r="BV2075" s="160"/>
      <c r="BW2075" s="160"/>
      <c r="BX2075" s="160"/>
      <c r="BY2075" s="160"/>
      <c r="BZ2075" s="160"/>
      <c r="CA2075" s="160"/>
      <c r="CB2075" s="160"/>
      <c r="CC2075" s="160"/>
      <c r="CD2075" s="160"/>
      <c r="CE2075" s="160"/>
      <c r="CF2075" s="160"/>
      <c r="CG2075" s="160"/>
      <c r="CH2075" s="160"/>
      <c r="CI2075" s="160"/>
      <c r="CJ2075" s="160"/>
      <c r="CK2075" s="160"/>
      <c r="CL2075" s="160"/>
      <c r="CM2075" s="160"/>
      <c r="CN2075" s="160"/>
      <c r="CO2075" s="160"/>
      <c r="CP2075" s="162"/>
      <c r="CQ2075" s="163"/>
      <c r="CR2075" s="162"/>
      <c r="CS2075" s="163"/>
      <c r="CT2075" s="162"/>
      <c r="CU2075" s="163"/>
      <c r="CV2075" s="164">
        <f t="shared" si="260"/>
        <v>0</v>
      </c>
      <c r="CW2075" s="165"/>
      <c r="CX2075" s="166"/>
      <c r="CY2075" s="167"/>
      <c r="CZ2075" s="168"/>
      <c r="DA2075" s="169"/>
      <c r="DB2075" s="168"/>
      <c r="DC2075" s="165"/>
      <c r="DD2075" s="166"/>
      <c r="DE2075" s="71"/>
      <c r="DF2075" s="170"/>
      <c r="EO2075" s="375" t="str">
        <f t="shared" si="261"/>
        <v>CUNDINAMARCA_GUATAQUI</v>
      </c>
      <c r="EP2075" s="376"/>
      <c r="EQ2075" s="376"/>
      <c r="ER2075" s="377"/>
      <c r="ES2075" s="376"/>
      <c r="ET2075" s="376"/>
      <c r="EU2075" s="376"/>
    </row>
    <row r="2076" spans="1:151" s="171" customFormat="1" ht="108" x14ac:dyDescent="0.2">
      <c r="A2076" s="242">
        <v>40521</v>
      </c>
      <c r="B2076" s="222" t="s">
        <v>1836</v>
      </c>
      <c r="C2076" s="222" t="s">
        <v>2008</v>
      </c>
      <c r="D2076" s="430" t="s">
        <v>837</v>
      </c>
      <c r="E2076" s="107">
        <f>VLOOKUP(B2076&amp;C2076,Divipola!$C$2:$F$1138,4,FALSE)</f>
        <v>47</v>
      </c>
      <c r="F2076" s="333"/>
      <c r="G2076" s="221"/>
      <c r="H2076" s="157"/>
      <c r="I2076" s="157"/>
      <c r="J2076" s="157"/>
      <c r="K2076" s="157"/>
      <c r="L2076" s="157"/>
      <c r="M2076" s="157"/>
      <c r="N2076" s="157"/>
      <c r="O2076" s="157"/>
      <c r="P2076" s="157"/>
      <c r="Q2076" s="157"/>
      <c r="R2076" s="157"/>
      <c r="S2076" s="157"/>
      <c r="T2076" s="157"/>
      <c r="U2076" s="157"/>
      <c r="V2076" s="158"/>
      <c r="W2076" s="182"/>
      <c r="X2076" s="1">
        <v>40528</v>
      </c>
      <c r="Y2076" s="78">
        <f t="shared" si="257"/>
        <v>0</v>
      </c>
      <c r="Z2076" s="78">
        <f t="shared" si="258"/>
        <v>170000000</v>
      </c>
      <c r="AA2076" s="78">
        <f t="shared" si="256"/>
        <v>0</v>
      </c>
      <c r="AB2076" s="78">
        <f t="shared" si="259"/>
        <v>270048000</v>
      </c>
      <c r="AC2076" s="78"/>
      <c r="AD2076" s="78">
        <v>584840000</v>
      </c>
      <c r="AE2076" s="80">
        <f t="shared" si="262"/>
        <v>1024888000</v>
      </c>
      <c r="AF2076" s="82">
        <v>0</v>
      </c>
      <c r="AG2076" s="242">
        <v>40521</v>
      </c>
      <c r="AH2076" s="84"/>
      <c r="AI2076" s="69" t="s">
        <v>2009</v>
      </c>
      <c r="AJ2076" s="25" t="s">
        <v>2010</v>
      </c>
      <c r="AK2076" s="65">
        <v>47575</v>
      </c>
      <c r="AL2076" s="176"/>
      <c r="AM2076" s="177" t="s">
        <v>127</v>
      </c>
      <c r="AN2076" s="159"/>
      <c r="AO2076" s="160"/>
      <c r="AP2076" s="161"/>
      <c r="AQ2076" s="160"/>
      <c r="AR2076" s="160"/>
      <c r="AS2076" s="160"/>
      <c r="AT2076" s="160"/>
      <c r="AU2076" s="160"/>
      <c r="AV2076" s="160"/>
      <c r="AW2076" s="160"/>
      <c r="AX2076" s="160"/>
      <c r="AY2076" s="160"/>
      <c r="AZ2076" s="160"/>
      <c r="BA2076" s="160"/>
      <c r="BB2076" s="160"/>
      <c r="BC2076" s="160"/>
      <c r="BD2076" s="160"/>
      <c r="BE2076" s="160"/>
      <c r="BF2076" s="160"/>
      <c r="BG2076" s="160"/>
      <c r="BH2076" s="160"/>
      <c r="BI2076" s="160"/>
      <c r="BJ2076" s="160"/>
      <c r="BK2076" s="160"/>
      <c r="BL2076" s="160"/>
      <c r="BM2076" s="160"/>
      <c r="BN2076" s="160"/>
      <c r="BO2076" s="160"/>
      <c r="BP2076" s="160"/>
      <c r="BQ2076" s="160"/>
      <c r="BR2076" s="160"/>
      <c r="BS2076" s="160"/>
      <c r="BT2076" s="160"/>
      <c r="BU2076" s="160"/>
      <c r="BV2076" s="160"/>
      <c r="BW2076" s="160"/>
      <c r="BX2076" s="160"/>
      <c r="BY2076" s="160"/>
      <c r="BZ2076" s="160"/>
      <c r="CA2076" s="160"/>
      <c r="CB2076" s="160"/>
      <c r="CC2076" s="160"/>
      <c r="CD2076" s="160"/>
      <c r="CE2076" s="160"/>
      <c r="CF2076" s="160"/>
      <c r="CG2076" s="160"/>
      <c r="CH2076" s="160"/>
      <c r="CI2076" s="160"/>
      <c r="CJ2076" s="160"/>
      <c r="CK2076" s="160"/>
      <c r="CL2076" s="160"/>
      <c r="CM2076" s="160"/>
      <c r="CN2076" s="160"/>
      <c r="CO2076" s="160"/>
      <c r="CP2076" s="162"/>
      <c r="CQ2076" s="163"/>
      <c r="CR2076" s="162"/>
      <c r="CS2076" s="163"/>
      <c r="CT2076" s="162"/>
      <c r="CU2076" s="163"/>
      <c r="CV2076" s="164">
        <f t="shared" si="260"/>
        <v>0</v>
      </c>
      <c r="CW2076" s="165">
        <f>200000+100000</f>
        <v>300000</v>
      </c>
      <c r="CX2076" s="166">
        <f>200000*900.16+100000*900.16</f>
        <v>270048000</v>
      </c>
      <c r="CY2076" s="167">
        <v>2000</v>
      </c>
      <c r="CZ2076" s="168">
        <f>2000*85000</f>
        <v>170000000</v>
      </c>
      <c r="DA2076" s="169"/>
      <c r="DB2076" s="168"/>
      <c r="DC2076" s="165"/>
      <c r="DD2076" s="166"/>
      <c r="DE2076" s="71"/>
      <c r="DF2076" s="170"/>
      <c r="EO2076" s="375" t="str">
        <f t="shared" si="261"/>
        <v>MAGDALENA_DEPARTAMENTO</v>
      </c>
      <c r="EP2076" s="376"/>
      <c r="EQ2076" s="376"/>
      <c r="ER2076" s="377"/>
      <c r="ES2076" s="376"/>
      <c r="ET2076" s="376"/>
      <c r="EU2076" s="376"/>
    </row>
    <row r="2077" spans="1:151" s="171" customFormat="1" ht="38.25" x14ac:dyDescent="0.2">
      <c r="A2077" s="242">
        <v>40521</v>
      </c>
      <c r="B2077" s="222" t="s">
        <v>1836</v>
      </c>
      <c r="C2077" s="222" t="s">
        <v>4463</v>
      </c>
      <c r="D2077" s="430" t="s">
        <v>2209</v>
      </c>
      <c r="E2077" s="107" t="str">
        <f>VLOOKUP(B2077&amp;C2077,Divipola!$C$2:$F$1138,4,FALSE)</f>
        <v>47745</v>
      </c>
      <c r="F2077" s="333"/>
      <c r="G2077" s="221"/>
      <c r="H2077" s="157"/>
      <c r="I2077" s="157"/>
      <c r="J2077" s="157"/>
      <c r="K2077" s="157"/>
      <c r="L2077" s="157"/>
      <c r="M2077" s="157"/>
      <c r="N2077" s="157"/>
      <c r="O2077" s="157"/>
      <c r="P2077" s="157"/>
      <c r="Q2077" s="157"/>
      <c r="R2077" s="157"/>
      <c r="S2077" s="157"/>
      <c r="T2077" s="157"/>
      <c r="U2077" s="157"/>
      <c r="V2077" s="158"/>
      <c r="W2077" s="182"/>
      <c r="X2077" s="1"/>
      <c r="Y2077" s="78">
        <f t="shared" si="257"/>
        <v>0</v>
      </c>
      <c r="Z2077" s="78">
        <f t="shared" si="258"/>
        <v>0</v>
      </c>
      <c r="AA2077" s="78">
        <f t="shared" si="256"/>
        <v>0</v>
      </c>
      <c r="AB2077" s="78">
        <f t="shared" si="259"/>
        <v>0</v>
      </c>
      <c r="AC2077" s="78"/>
      <c r="AD2077" s="78">
        <v>0</v>
      </c>
      <c r="AE2077" s="80">
        <f t="shared" si="262"/>
        <v>0</v>
      </c>
      <c r="AF2077" s="82">
        <v>0</v>
      </c>
      <c r="AG2077" s="242">
        <v>40521</v>
      </c>
      <c r="AH2077" s="84"/>
      <c r="AI2077" s="69" t="s">
        <v>1984</v>
      </c>
      <c r="AJ2077" s="25" t="s">
        <v>1985</v>
      </c>
      <c r="AK2077" s="65"/>
      <c r="AL2077" s="176" t="s">
        <v>1257</v>
      </c>
      <c r="AM2077" s="173" t="s">
        <v>1116</v>
      </c>
      <c r="AN2077" s="159"/>
      <c r="AO2077" s="160"/>
      <c r="AP2077" s="161"/>
      <c r="AQ2077" s="160"/>
      <c r="AR2077" s="160"/>
      <c r="AS2077" s="160"/>
      <c r="AT2077" s="160"/>
      <c r="AU2077" s="160"/>
      <c r="AV2077" s="160"/>
      <c r="AW2077" s="160"/>
      <c r="AX2077" s="160"/>
      <c r="AY2077" s="160"/>
      <c r="AZ2077" s="160"/>
      <c r="BA2077" s="160"/>
      <c r="BB2077" s="160"/>
      <c r="BC2077" s="160"/>
      <c r="BD2077" s="160"/>
      <c r="BE2077" s="160"/>
      <c r="BF2077" s="160"/>
      <c r="BG2077" s="160"/>
      <c r="BH2077" s="160"/>
      <c r="BI2077" s="160"/>
      <c r="BJ2077" s="160"/>
      <c r="BK2077" s="160"/>
      <c r="BL2077" s="160"/>
      <c r="BM2077" s="160"/>
      <c r="BN2077" s="160"/>
      <c r="BO2077" s="160"/>
      <c r="BP2077" s="160"/>
      <c r="BQ2077" s="160"/>
      <c r="BR2077" s="160"/>
      <c r="BS2077" s="160"/>
      <c r="BT2077" s="160"/>
      <c r="BU2077" s="160"/>
      <c r="BV2077" s="160"/>
      <c r="BW2077" s="160"/>
      <c r="BX2077" s="160"/>
      <c r="BY2077" s="160"/>
      <c r="BZ2077" s="160"/>
      <c r="CA2077" s="160"/>
      <c r="CB2077" s="160"/>
      <c r="CC2077" s="160"/>
      <c r="CD2077" s="160"/>
      <c r="CE2077" s="160"/>
      <c r="CF2077" s="160"/>
      <c r="CG2077" s="160"/>
      <c r="CH2077" s="160"/>
      <c r="CI2077" s="160"/>
      <c r="CJ2077" s="160"/>
      <c r="CK2077" s="160"/>
      <c r="CL2077" s="160"/>
      <c r="CM2077" s="160"/>
      <c r="CN2077" s="160"/>
      <c r="CO2077" s="160"/>
      <c r="CP2077" s="162"/>
      <c r="CQ2077" s="163"/>
      <c r="CR2077" s="162"/>
      <c r="CS2077" s="163"/>
      <c r="CT2077" s="162"/>
      <c r="CU2077" s="163"/>
      <c r="CV2077" s="164">
        <f t="shared" si="260"/>
        <v>0</v>
      </c>
      <c r="CW2077" s="165"/>
      <c r="CX2077" s="166"/>
      <c r="CY2077" s="167"/>
      <c r="CZ2077" s="168"/>
      <c r="DA2077" s="169"/>
      <c r="DB2077" s="168"/>
      <c r="DC2077" s="165"/>
      <c r="DD2077" s="166"/>
      <c r="DE2077" s="71"/>
      <c r="DF2077" s="170"/>
      <c r="EO2077" s="375" t="str">
        <f t="shared" si="261"/>
        <v>MAGDALENA_SITIONUEVO</v>
      </c>
      <c r="EP2077" s="376"/>
      <c r="EQ2077" s="376"/>
      <c r="ER2077" s="377"/>
      <c r="ES2077" s="376"/>
      <c r="ET2077" s="376"/>
      <c r="EU2077" s="376"/>
    </row>
    <row r="2078" spans="1:151" s="171" customFormat="1" ht="36" x14ac:dyDescent="0.2">
      <c r="A2078" s="242">
        <v>40521</v>
      </c>
      <c r="B2078" s="222" t="s">
        <v>2245</v>
      </c>
      <c r="C2078" s="222" t="s">
        <v>2919</v>
      </c>
      <c r="D2078" s="430" t="s">
        <v>837</v>
      </c>
      <c r="E2078" s="107" t="str">
        <f>VLOOKUP(B2078&amp;C2078,Divipola!$C$2:$F$1138,4,FALSE)</f>
        <v>52051</v>
      </c>
      <c r="F2078" s="333"/>
      <c r="G2078" s="221"/>
      <c r="H2078" s="157"/>
      <c r="I2078" s="157"/>
      <c r="J2078" s="157">
        <v>320</v>
      </c>
      <c r="K2078" s="157">
        <v>78</v>
      </c>
      <c r="L2078" s="157">
        <v>31</v>
      </c>
      <c r="M2078" s="157">
        <v>47</v>
      </c>
      <c r="N2078" s="157"/>
      <c r="O2078" s="157"/>
      <c r="P2078" s="157"/>
      <c r="Q2078" s="157"/>
      <c r="R2078" s="157"/>
      <c r="S2078" s="157"/>
      <c r="T2078" s="157"/>
      <c r="U2078" s="157"/>
      <c r="V2078" s="158"/>
      <c r="W2078" s="182"/>
      <c r="X2078" s="1"/>
      <c r="Y2078" s="78">
        <f t="shared" si="257"/>
        <v>0</v>
      </c>
      <c r="Z2078" s="78">
        <f t="shared" si="258"/>
        <v>0</v>
      </c>
      <c r="AA2078" s="78">
        <f t="shared" si="256"/>
        <v>0</v>
      </c>
      <c r="AB2078" s="78">
        <f t="shared" si="259"/>
        <v>0</v>
      </c>
      <c r="AC2078" s="78"/>
      <c r="AD2078" s="78">
        <v>0</v>
      </c>
      <c r="AE2078" s="80">
        <f t="shared" si="262"/>
        <v>0</v>
      </c>
      <c r="AF2078" s="82">
        <v>0</v>
      </c>
      <c r="AG2078" s="242">
        <v>40521</v>
      </c>
      <c r="AH2078" s="84"/>
      <c r="AI2078" s="69" t="s">
        <v>1984</v>
      </c>
      <c r="AJ2078" s="25" t="s">
        <v>1985</v>
      </c>
      <c r="AK2078" s="65"/>
      <c r="AL2078" s="176" t="s">
        <v>1257</v>
      </c>
      <c r="AM2078" s="173" t="s">
        <v>3820</v>
      </c>
      <c r="AN2078" s="159"/>
      <c r="AO2078" s="160"/>
      <c r="AP2078" s="161"/>
      <c r="AQ2078" s="160"/>
      <c r="AR2078" s="160"/>
      <c r="AS2078" s="160"/>
      <c r="AT2078" s="160"/>
      <c r="AU2078" s="160"/>
      <c r="AV2078" s="160"/>
      <c r="AW2078" s="160"/>
      <c r="AX2078" s="160"/>
      <c r="AY2078" s="160"/>
      <c r="AZ2078" s="160"/>
      <c r="BA2078" s="160"/>
      <c r="BB2078" s="160"/>
      <c r="BC2078" s="160"/>
      <c r="BD2078" s="160"/>
      <c r="BE2078" s="160"/>
      <c r="BF2078" s="160"/>
      <c r="BG2078" s="160"/>
      <c r="BH2078" s="160"/>
      <c r="BI2078" s="160"/>
      <c r="BJ2078" s="160"/>
      <c r="BK2078" s="160"/>
      <c r="BL2078" s="160"/>
      <c r="BM2078" s="160"/>
      <c r="BN2078" s="160"/>
      <c r="BO2078" s="160"/>
      <c r="BP2078" s="160"/>
      <c r="BQ2078" s="160"/>
      <c r="BR2078" s="160"/>
      <c r="BS2078" s="160"/>
      <c r="BT2078" s="160"/>
      <c r="BU2078" s="160"/>
      <c r="BV2078" s="160"/>
      <c r="BW2078" s="160"/>
      <c r="BX2078" s="160"/>
      <c r="BY2078" s="160"/>
      <c r="BZ2078" s="160"/>
      <c r="CA2078" s="160"/>
      <c r="CB2078" s="160"/>
      <c r="CC2078" s="160"/>
      <c r="CD2078" s="160"/>
      <c r="CE2078" s="160"/>
      <c r="CF2078" s="160"/>
      <c r="CG2078" s="160"/>
      <c r="CH2078" s="160"/>
      <c r="CI2078" s="160"/>
      <c r="CJ2078" s="160"/>
      <c r="CK2078" s="160"/>
      <c r="CL2078" s="160"/>
      <c r="CM2078" s="160"/>
      <c r="CN2078" s="160"/>
      <c r="CO2078" s="160"/>
      <c r="CP2078" s="162"/>
      <c r="CQ2078" s="163"/>
      <c r="CR2078" s="162"/>
      <c r="CS2078" s="163"/>
      <c r="CT2078" s="162"/>
      <c r="CU2078" s="163"/>
      <c r="CV2078" s="164">
        <f t="shared" si="260"/>
        <v>0</v>
      </c>
      <c r="CW2078" s="165"/>
      <c r="CX2078" s="166"/>
      <c r="CY2078" s="167"/>
      <c r="CZ2078" s="168"/>
      <c r="DA2078" s="169"/>
      <c r="DB2078" s="168"/>
      <c r="DC2078" s="165"/>
      <c r="DD2078" s="166"/>
      <c r="DE2078" s="71"/>
      <c r="DF2078" s="170"/>
      <c r="EO2078" s="375" t="str">
        <f t="shared" si="261"/>
        <v>NARIÑO_ARBOLEDA</v>
      </c>
      <c r="EP2078" s="376"/>
      <c r="EQ2078" s="376"/>
      <c r="ER2078" s="377"/>
      <c r="ES2078" s="376"/>
      <c r="ET2078" s="376"/>
      <c r="EU2078" s="376"/>
    </row>
    <row r="2079" spans="1:151" s="171" customFormat="1" ht="25.5" x14ac:dyDescent="0.2">
      <c r="A2079" s="242">
        <v>40521</v>
      </c>
      <c r="B2079" s="222" t="s">
        <v>2245</v>
      </c>
      <c r="C2079" s="222" t="s">
        <v>3818</v>
      </c>
      <c r="D2079" s="430" t="s">
        <v>2307</v>
      </c>
      <c r="E2079" s="107" t="str">
        <f>VLOOKUP(B2079&amp;C2079,Divipola!$C$2:$F$1138,4,FALSE)</f>
        <v>52317</v>
      </c>
      <c r="F2079" s="333"/>
      <c r="G2079" s="221"/>
      <c r="H2079" s="157"/>
      <c r="I2079" s="157"/>
      <c r="J2079" s="157">
        <v>810</v>
      </c>
      <c r="K2079" s="157">
        <v>300</v>
      </c>
      <c r="L2079" s="157">
        <v>85</v>
      </c>
      <c r="M2079" s="157">
        <v>215</v>
      </c>
      <c r="N2079" s="157"/>
      <c r="O2079" s="157"/>
      <c r="P2079" s="157"/>
      <c r="Q2079" s="157">
        <v>1</v>
      </c>
      <c r="R2079" s="157"/>
      <c r="S2079" s="157"/>
      <c r="T2079" s="157">
        <v>4</v>
      </c>
      <c r="U2079" s="157"/>
      <c r="V2079" s="158"/>
      <c r="W2079" s="182"/>
      <c r="X2079" s="1"/>
      <c r="Y2079" s="78">
        <f t="shared" si="257"/>
        <v>0</v>
      </c>
      <c r="Z2079" s="78">
        <f t="shared" si="258"/>
        <v>0</v>
      </c>
      <c r="AA2079" s="78">
        <f t="shared" si="256"/>
        <v>0</v>
      </c>
      <c r="AB2079" s="78">
        <f t="shared" si="259"/>
        <v>0</v>
      </c>
      <c r="AC2079" s="78"/>
      <c r="AD2079" s="78">
        <v>0</v>
      </c>
      <c r="AE2079" s="80">
        <f t="shared" si="262"/>
        <v>0</v>
      </c>
      <c r="AF2079" s="82">
        <v>0</v>
      </c>
      <c r="AG2079" s="242">
        <v>40521</v>
      </c>
      <c r="AH2079" s="84"/>
      <c r="AI2079" s="69" t="s">
        <v>1984</v>
      </c>
      <c r="AJ2079" s="25" t="s">
        <v>1985</v>
      </c>
      <c r="AK2079" s="65"/>
      <c r="AL2079" s="176" t="s">
        <v>1257</v>
      </c>
      <c r="AM2079" s="173" t="s">
        <v>3819</v>
      </c>
      <c r="AN2079" s="159"/>
      <c r="AO2079" s="160"/>
      <c r="AP2079" s="161"/>
      <c r="AQ2079" s="160"/>
      <c r="AR2079" s="160"/>
      <c r="AS2079" s="160"/>
      <c r="AT2079" s="160"/>
      <c r="AU2079" s="160"/>
      <c r="AV2079" s="160"/>
      <c r="AW2079" s="160"/>
      <c r="AX2079" s="160"/>
      <c r="AY2079" s="160"/>
      <c r="AZ2079" s="160"/>
      <c r="BA2079" s="160"/>
      <c r="BB2079" s="160"/>
      <c r="BC2079" s="160"/>
      <c r="BD2079" s="160"/>
      <c r="BE2079" s="160"/>
      <c r="BF2079" s="160"/>
      <c r="BG2079" s="160"/>
      <c r="BH2079" s="160"/>
      <c r="BI2079" s="160"/>
      <c r="BJ2079" s="160"/>
      <c r="BK2079" s="160"/>
      <c r="BL2079" s="160"/>
      <c r="BM2079" s="160"/>
      <c r="BN2079" s="160"/>
      <c r="BO2079" s="160"/>
      <c r="BP2079" s="160"/>
      <c r="BQ2079" s="160"/>
      <c r="BR2079" s="160"/>
      <c r="BS2079" s="160"/>
      <c r="BT2079" s="160"/>
      <c r="BU2079" s="160"/>
      <c r="BV2079" s="160"/>
      <c r="BW2079" s="160"/>
      <c r="BX2079" s="160"/>
      <c r="BY2079" s="160"/>
      <c r="BZ2079" s="160"/>
      <c r="CA2079" s="160"/>
      <c r="CB2079" s="160"/>
      <c r="CC2079" s="160"/>
      <c r="CD2079" s="160"/>
      <c r="CE2079" s="160"/>
      <c r="CF2079" s="160"/>
      <c r="CG2079" s="160"/>
      <c r="CH2079" s="160"/>
      <c r="CI2079" s="160"/>
      <c r="CJ2079" s="160"/>
      <c r="CK2079" s="160"/>
      <c r="CL2079" s="160"/>
      <c r="CM2079" s="160"/>
      <c r="CN2079" s="160"/>
      <c r="CO2079" s="160"/>
      <c r="CP2079" s="162"/>
      <c r="CQ2079" s="163"/>
      <c r="CR2079" s="162"/>
      <c r="CS2079" s="163"/>
      <c r="CT2079" s="162"/>
      <c r="CU2079" s="163"/>
      <c r="CV2079" s="164">
        <f t="shared" si="260"/>
        <v>0</v>
      </c>
      <c r="CW2079" s="165"/>
      <c r="CX2079" s="166"/>
      <c r="CY2079" s="167"/>
      <c r="CZ2079" s="168"/>
      <c r="DA2079" s="169"/>
      <c r="DB2079" s="168"/>
      <c r="DC2079" s="165"/>
      <c r="DD2079" s="166"/>
      <c r="DE2079" s="71"/>
      <c r="DF2079" s="170"/>
      <c r="EO2079" s="375" t="str">
        <f t="shared" si="261"/>
        <v>NARIÑO_GUACHUCAL</v>
      </c>
      <c r="EP2079" s="376"/>
      <c r="EQ2079" s="376"/>
      <c r="ER2079" s="377"/>
      <c r="ES2079" s="376"/>
      <c r="ET2079" s="376"/>
      <c r="EU2079" s="376"/>
    </row>
    <row r="2080" spans="1:151" s="171" customFormat="1" ht="25.5" x14ac:dyDescent="0.2">
      <c r="A2080" s="242">
        <v>40521</v>
      </c>
      <c r="B2080" s="222" t="s">
        <v>2245</v>
      </c>
      <c r="C2080" s="222" t="s">
        <v>378</v>
      </c>
      <c r="D2080" s="430" t="s">
        <v>2307</v>
      </c>
      <c r="E2080" s="107" t="str">
        <f>VLOOKUP(B2080&amp;C2080,Divipola!$C$2:$F$1138,4,FALSE)</f>
        <v>52352</v>
      </c>
      <c r="F2080" s="333"/>
      <c r="G2080" s="221"/>
      <c r="H2080" s="157"/>
      <c r="I2080" s="157"/>
      <c r="J2080" s="157"/>
      <c r="K2080" s="157"/>
      <c r="L2080" s="157"/>
      <c r="M2080" s="157"/>
      <c r="N2080" s="157">
        <v>1</v>
      </c>
      <c r="O2080" s="157"/>
      <c r="P2080" s="157"/>
      <c r="Q2080" s="157"/>
      <c r="R2080" s="157"/>
      <c r="S2080" s="157"/>
      <c r="T2080" s="157"/>
      <c r="U2080" s="157"/>
      <c r="V2080" s="158"/>
      <c r="W2080" s="182"/>
      <c r="X2080" s="1"/>
      <c r="Y2080" s="78">
        <f t="shared" si="257"/>
        <v>0</v>
      </c>
      <c r="Z2080" s="78">
        <f t="shared" si="258"/>
        <v>0</v>
      </c>
      <c r="AA2080" s="78">
        <f t="shared" si="256"/>
        <v>0</v>
      </c>
      <c r="AB2080" s="78">
        <f t="shared" si="259"/>
        <v>0</v>
      </c>
      <c r="AC2080" s="78"/>
      <c r="AD2080" s="78">
        <v>0</v>
      </c>
      <c r="AE2080" s="80">
        <f t="shared" si="262"/>
        <v>0</v>
      </c>
      <c r="AF2080" s="82">
        <v>0</v>
      </c>
      <c r="AG2080" s="242">
        <v>40581</v>
      </c>
      <c r="AH2080" s="84"/>
      <c r="AI2080" s="69" t="s">
        <v>1984</v>
      </c>
      <c r="AJ2080" s="25" t="s">
        <v>1985</v>
      </c>
      <c r="AK2080" s="65"/>
      <c r="AL2080" s="176" t="s">
        <v>1257</v>
      </c>
      <c r="AM2080" s="173" t="s">
        <v>349</v>
      </c>
      <c r="AN2080" s="159"/>
      <c r="AO2080" s="160"/>
      <c r="AP2080" s="161"/>
      <c r="AQ2080" s="160"/>
      <c r="AR2080" s="160"/>
      <c r="AS2080" s="160"/>
      <c r="AT2080" s="160"/>
      <c r="AU2080" s="160"/>
      <c r="AV2080" s="160"/>
      <c r="AW2080" s="160"/>
      <c r="AX2080" s="160"/>
      <c r="AY2080" s="160"/>
      <c r="AZ2080" s="160"/>
      <c r="BA2080" s="160"/>
      <c r="BB2080" s="160"/>
      <c r="BC2080" s="160"/>
      <c r="BD2080" s="160"/>
      <c r="BE2080" s="160"/>
      <c r="BF2080" s="160"/>
      <c r="BG2080" s="160"/>
      <c r="BH2080" s="160"/>
      <c r="BI2080" s="160"/>
      <c r="BJ2080" s="160"/>
      <c r="BK2080" s="160"/>
      <c r="BL2080" s="160"/>
      <c r="BM2080" s="160"/>
      <c r="BN2080" s="160"/>
      <c r="BO2080" s="160"/>
      <c r="BP2080" s="160"/>
      <c r="BQ2080" s="160"/>
      <c r="BR2080" s="160"/>
      <c r="BS2080" s="160"/>
      <c r="BT2080" s="160"/>
      <c r="BU2080" s="160"/>
      <c r="BV2080" s="160"/>
      <c r="BW2080" s="160"/>
      <c r="BX2080" s="160"/>
      <c r="BY2080" s="160"/>
      <c r="BZ2080" s="160"/>
      <c r="CA2080" s="160"/>
      <c r="CB2080" s="160"/>
      <c r="CC2080" s="160"/>
      <c r="CD2080" s="160"/>
      <c r="CE2080" s="160"/>
      <c r="CF2080" s="160"/>
      <c r="CG2080" s="160"/>
      <c r="CH2080" s="160"/>
      <c r="CI2080" s="160"/>
      <c r="CJ2080" s="160"/>
      <c r="CK2080" s="160"/>
      <c r="CL2080" s="160"/>
      <c r="CM2080" s="160"/>
      <c r="CN2080" s="160"/>
      <c r="CO2080" s="160"/>
      <c r="CP2080" s="162"/>
      <c r="CQ2080" s="163"/>
      <c r="CR2080" s="162"/>
      <c r="CS2080" s="163"/>
      <c r="CT2080" s="162"/>
      <c r="CU2080" s="163"/>
      <c r="CV2080" s="164">
        <f t="shared" si="260"/>
        <v>0</v>
      </c>
      <c r="CW2080" s="165"/>
      <c r="CX2080" s="166"/>
      <c r="CY2080" s="167"/>
      <c r="CZ2080" s="168"/>
      <c r="DA2080" s="169"/>
      <c r="DB2080" s="168"/>
      <c r="DC2080" s="165"/>
      <c r="DD2080" s="166"/>
      <c r="DE2080" s="71"/>
      <c r="DF2080" s="170"/>
      <c r="EO2080" s="375" t="str">
        <f t="shared" si="261"/>
        <v>NARIÑO_ILES</v>
      </c>
      <c r="EP2080" s="376"/>
      <c r="EQ2080" s="376"/>
      <c r="ER2080" s="377"/>
      <c r="ES2080" s="376"/>
      <c r="ET2080" s="376"/>
      <c r="EU2080" s="376"/>
    </row>
    <row r="2081" spans="1:151" s="171" customFormat="1" ht="25.5" x14ac:dyDescent="0.2">
      <c r="A2081" s="242">
        <v>40521</v>
      </c>
      <c r="B2081" s="222" t="s">
        <v>2245</v>
      </c>
      <c r="C2081" s="222" t="s">
        <v>376</v>
      </c>
      <c r="D2081" s="430" t="s">
        <v>2307</v>
      </c>
      <c r="E2081" s="107" t="str">
        <f>VLOOKUP(B2081&amp;C2081,Divipola!$C$2:$F$1138,4,FALSE)</f>
        <v>52354</v>
      </c>
      <c r="F2081" s="333"/>
      <c r="G2081" s="221"/>
      <c r="H2081" s="157"/>
      <c r="I2081" s="157"/>
      <c r="J2081" s="157">
        <v>78</v>
      </c>
      <c r="K2081" s="157">
        <v>19</v>
      </c>
      <c r="L2081" s="157"/>
      <c r="M2081" s="157">
        <v>19</v>
      </c>
      <c r="N2081" s="157">
        <v>10</v>
      </c>
      <c r="O2081" s="157"/>
      <c r="P2081" s="157"/>
      <c r="Q2081" s="157">
        <v>2</v>
      </c>
      <c r="R2081" s="157"/>
      <c r="S2081" s="157"/>
      <c r="T2081" s="157">
        <v>4</v>
      </c>
      <c r="U2081" s="157"/>
      <c r="V2081" s="158"/>
      <c r="W2081" s="182"/>
      <c r="X2081" s="1"/>
      <c r="Y2081" s="78">
        <f t="shared" si="257"/>
        <v>0</v>
      </c>
      <c r="Z2081" s="78">
        <f t="shared" si="258"/>
        <v>0</v>
      </c>
      <c r="AA2081" s="78">
        <f t="shared" si="256"/>
        <v>0</v>
      </c>
      <c r="AB2081" s="78">
        <f t="shared" si="259"/>
        <v>0</v>
      </c>
      <c r="AC2081" s="78"/>
      <c r="AD2081" s="78">
        <v>0</v>
      </c>
      <c r="AE2081" s="80">
        <f t="shared" si="262"/>
        <v>0</v>
      </c>
      <c r="AF2081" s="82">
        <v>0</v>
      </c>
      <c r="AG2081" s="242">
        <v>40581</v>
      </c>
      <c r="AH2081" s="84"/>
      <c r="AI2081" s="69" t="s">
        <v>1984</v>
      </c>
      <c r="AJ2081" s="25" t="s">
        <v>1985</v>
      </c>
      <c r="AK2081" s="65"/>
      <c r="AL2081" s="176" t="s">
        <v>1257</v>
      </c>
      <c r="AM2081" s="173" t="s">
        <v>349</v>
      </c>
      <c r="AN2081" s="159"/>
      <c r="AO2081" s="160"/>
      <c r="AP2081" s="161"/>
      <c r="AQ2081" s="160"/>
      <c r="AR2081" s="160"/>
      <c r="AS2081" s="160"/>
      <c r="AT2081" s="160"/>
      <c r="AU2081" s="160"/>
      <c r="AV2081" s="160"/>
      <c r="AW2081" s="160"/>
      <c r="AX2081" s="160"/>
      <c r="AY2081" s="160"/>
      <c r="AZ2081" s="160"/>
      <c r="BA2081" s="160"/>
      <c r="BB2081" s="160"/>
      <c r="BC2081" s="160"/>
      <c r="BD2081" s="160"/>
      <c r="BE2081" s="160"/>
      <c r="BF2081" s="160"/>
      <c r="BG2081" s="160"/>
      <c r="BH2081" s="160"/>
      <c r="BI2081" s="160"/>
      <c r="BJ2081" s="160"/>
      <c r="BK2081" s="160"/>
      <c r="BL2081" s="160"/>
      <c r="BM2081" s="160"/>
      <c r="BN2081" s="160"/>
      <c r="BO2081" s="160"/>
      <c r="BP2081" s="160"/>
      <c r="BQ2081" s="160"/>
      <c r="BR2081" s="160"/>
      <c r="BS2081" s="160"/>
      <c r="BT2081" s="160"/>
      <c r="BU2081" s="160"/>
      <c r="BV2081" s="160"/>
      <c r="BW2081" s="160"/>
      <c r="BX2081" s="160"/>
      <c r="BY2081" s="160"/>
      <c r="BZ2081" s="160"/>
      <c r="CA2081" s="160"/>
      <c r="CB2081" s="160"/>
      <c r="CC2081" s="160"/>
      <c r="CD2081" s="160"/>
      <c r="CE2081" s="160"/>
      <c r="CF2081" s="160"/>
      <c r="CG2081" s="160"/>
      <c r="CH2081" s="160"/>
      <c r="CI2081" s="160"/>
      <c r="CJ2081" s="160"/>
      <c r="CK2081" s="160"/>
      <c r="CL2081" s="160"/>
      <c r="CM2081" s="160"/>
      <c r="CN2081" s="160"/>
      <c r="CO2081" s="160"/>
      <c r="CP2081" s="162"/>
      <c r="CQ2081" s="163"/>
      <c r="CR2081" s="162"/>
      <c r="CS2081" s="163"/>
      <c r="CT2081" s="162"/>
      <c r="CU2081" s="163"/>
      <c r="CV2081" s="164">
        <f t="shared" si="260"/>
        <v>0</v>
      </c>
      <c r="CW2081" s="165"/>
      <c r="CX2081" s="166"/>
      <c r="CY2081" s="167"/>
      <c r="CZ2081" s="168"/>
      <c r="DA2081" s="169"/>
      <c r="DB2081" s="168"/>
      <c r="DC2081" s="165"/>
      <c r="DD2081" s="166"/>
      <c r="DE2081" s="71"/>
      <c r="DF2081" s="170"/>
      <c r="EO2081" s="375" t="str">
        <f t="shared" si="261"/>
        <v>NARIÑO_IMUES</v>
      </c>
      <c r="EP2081" s="376"/>
      <c r="EQ2081" s="376"/>
      <c r="ER2081" s="377"/>
      <c r="ES2081" s="376"/>
      <c r="ET2081" s="376"/>
      <c r="EU2081" s="376"/>
    </row>
    <row r="2082" spans="1:151" s="171" customFormat="1" ht="84" x14ac:dyDescent="0.2">
      <c r="A2082" s="242">
        <v>40521</v>
      </c>
      <c r="B2082" s="222" t="s">
        <v>2245</v>
      </c>
      <c r="C2082" s="222" t="s">
        <v>3815</v>
      </c>
      <c r="D2082" s="430" t="s">
        <v>2307</v>
      </c>
      <c r="E2082" s="107" t="str">
        <f>VLOOKUP(B2082&amp;C2082,Divipola!$C$2:$F$1138,4,FALSE)</f>
        <v>52411</v>
      </c>
      <c r="F2082" s="333"/>
      <c r="G2082" s="221"/>
      <c r="H2082" s="157"/>
      <c r="I2082" s="157"/>
      <c r="J2082" s="157">
        <v>2868</v>
      </c>
      <c r="K2082" s="157">
        <v>717</v>
      </c>
      <c r="L2082" s="157">
        <v>123</v>
      </c>
      <c r="M2082" s="157">
        <v>353</v>
      </c>
      <c r="N2082" s="157">
        <v>10</v>
      </c>
      <c r="O2082" s="157"/>
      <c r="P2082" s="157"/>
      <c r="Q2082" s="157">
        <v>3</v>
      </c>
      <c r="R2082" s="157"/>
      <c r="S2082" s="157"/>
      <c r="T2082" s="157">
        <v>4</v>
      </c>
      <c r="U2082" s="157"/>
      <c r="V2082" s="158"/>
      <c r="W2082" s="182"/>
      <c r="X2082" s="1"/>
      <c r="Y2082" s="78">
        <f t="shared" si="257"/>
        <v>0</v>
      </c>
      <c r="Z2082" s="78">
        <f t="shared" si="258"/>
        <v>0</v>
      </c>
      <c r="AA2082" s="78">
        <f t="shared" si="256"/>
        <v>0</v>
      </c>
      <c r="AB2082" s="78">
        <f t="shared" si="259"/>
        <v>0</v>
      </c>
      <c r="AC2082" s="78"/>
      <c r="AD2082" s="78">
        <v>0</v>
      </c>
      <c r="AE2082" s="80">
        <f t="shared" si="262"/>
        <v>0</v>
      </c>
      <c r="AF2082" s="82">
        <v>0</v>
      </c>
      <c r="AG2082" s="242">
        <v>40521</v>
      </c>
      <c r="AH2082" s="84"/>
      <c r="AI2082" s="69" t="s">
        <v>1984</v>
      </c>
      <c r="AJ2082" s="25" t="s">
        <v>1985</v>
      </c>
      <c r="AK2082" s="65"/>
      <c r="AL2082" s="176" t="s">
        <v>1257</v>
      </c>
      <c r="AM2082" s="173" t="s">
        <v>3816</v>
      </c>
      <c r="AN2082" s="159"/>
      <c r="AO2082" s="160"/>
      <c r="AP2082" s="161"/>
      <c r="AQ2082" s="160"/>
      <c r="AR2082" s="160"/>
      <c r="AS2082" s="160"/>
      <c r="AT2082" s="160"/>
      <c r="AU2082" s="160"/>
      <c r="AV2082" s="160"/>
      <c r="AW2082" s="160"/>
      <c r="AX2082" s="160"/>
      <c r="AY2082" s="160"/>
      <c r="AZ2082" s="160"/>
      <c r="BA2082" s="160"/>
      <c r="BB2082" s="160"/>
      <c r="BC2082" s="160"/>
      <c r="BD2082" s="160"/>
      <c r="BE2082" s="160"/>
      <c r="BF2082" s="160"/>
      <c r="BG2082" s="160"/>
      <c r="BH2082" s="160"/>
      <c r="BI2082" s="160"/>
      <c r="BJ2082" s="160"/>
      <c r="BK2082" s="160"/>
      <c r="BL2082" s="160"/>
      <c r="BM2082" s="160"/>
      <c r="BN2082" s="160"/>
      <c r="BO2082" s="160"/>
      <c r="BP2082" s="160"/>
      <c r="BQ2082" s="160"/>
      <c r="BR2082" s="160"/>
      <c r="BS2082" s="160"/>
      <c r="BT2082" s="160"/>
      <c r="BU2082" s="160"/>
      <c r="BV2082" s="160"/>
      <c r="BW2082" s="160"/>
      <c r="BX2082" s="160"/>
      <c r="BY2082" s="160"/>
      <c r="BZ2082" s="160"/>
      <c r="CA2082" s="160"/>
      <c r="CB2082" s="160"/>
      <c r="CC2082" s="160"/>
      <c r="CD2082" s="160"/>
      <c r="CE2082" s="160"/>
      <c r="CF2082" s="160"/>
      <c r="CG2082" s="160"/>
      <c r="CH2082" s="160"/>
      <c r="CI2082" s="160"/>
      <c r="CJ2082" s="160"/>
      <c r="CK2082" s="160"/>
      <c r="CL2082" s="160"/>
      <c r="CM2082" s="160"/>
      <c r="CN2082" s="160"/>
      <c r="CO2082" s="160"/>
      <c r="CP2082" s="162"/>
      <c r="CQ2082" s="163"/>
      <c r="CR2082" s="162"/>
      <c r="CS2082" s="163"/>
      <c r="CT2082" s="162"/>
      <c r="CU2082" s="163"/>
      <c r="CV2082" s="164">
        <f t="shared" si="260"/>
        <v>0</v>
      </c>
      <c r="CW2082" s="165"/>
      <c r="CX2082" s="166"/>
      <c r="CY2082" s="167"/>
      <c r="CZ2082" s="168"/>
      <c r="DA2082" s="169"/>
      <c r="DB2082" s="168"/>
      <c r="DC2082" s="165"/>
      <c r="DD2082" s="166"/>
      <c r="DE2082" s="71"/>
      <c r="DF2082" s="170"/>
      <c r="EO2082" s="375" t="str">
        <f t="shared" si="261"/>
        <v>NARIÑO_LINARES</v>
      </c>
      <c r="EP2082" s="376"/>
      <c r="EQ2082" s="376"/>
      <c r="ER2082" s="377"/>
      <c r="ES2082" s="376"/>
      <c r="ET2082" s="376"/>
      <c r="EU2082" s="376"/>
    </row>
    <row r="2083" spans="1:151" s="171" customFormat="1" ht="120" x14ac:dyDescent="0.2">
      <c r="A2083" s="242">
        <v>40521</v>
      </c>
      <c r="B2083" s="222" t="s">
        <v>2245</v>
      </c>
      <c r="C2083" s="222" t="s">
        <v>2105</v>
      </c>
      <c r="D2083" s="430" t="s">
        <v>2307</v>
      </c>
      <c r="E2083" s="107" t="str">
        <f>VLOOKUP(B2083&amp;C2083,Divipola!$C$2:$F$1138,4,FALSE)</f>
        <v>52693</v>
      </c>
      <c r="F2083" s="333"/>
      <c r="G2083" s="221"/>
      <c r="H2083" s="157"/>
      <c r="I2083" s="157"/>
      <c r="J2083" s="157">
        <v>325</v>
      </c>
      <c r="K2083" s="157">
        <v>65</v>
      </c>
      <c r="L2083" s="157"/>
      <c r="M2083" s="157">
        <v>65</v>
      </c>
      <c r="N2083" s="157"/>
      <c r="O2083" s="157"/>
      <c r="P2083" s="157"/>
      <c r="Q2083" s="157"/>
      <c r="R2083" s="157"/>
      <c r="S2083" s="157"/>
      <c r="T2083" s="157"/>
      <c r="U2083" s="157"/>
      <c r="V2083" s="158"/>
      <c r="W2083" s="182"/>
      <c r="X2083" s="1"/>
      <c r="Y2083" s="78">
        <f t="shared" si="257"/>
        <v>0</v>
      </c>
      <c r="Z2083" s="78">
        <f t="shared" si="258"/>
        <v>0</v>
      </c>
      <c r="AA2083" s="78">
        <f t="shared" si="256"/>
        <v>0</v>
      </c>
      <c r="AB2083" s="78">
        <f t="shared" si="259"/>
        <v>0</v>
      </c>
      <c r="AC2083" s="78"/>
      <c r="AD2083" s="78">
        <v>0</v>
      </c>
      <c r="AE2083" s="80">
        <f t="shared" si="262"/>
        <v>0</v>
      </c>
      <c r="AF2083" s="82">
        <v>0</v>
      </c>
      <c r="AG2083" s="69">
        <v>40521</v>
      </c>
      <c r="AH2083" s="84"/>
      <c r="AI2083" s="69" t="s">
        <v>1984</v>
      </c>
      <c r="AJ2083" s="25" t="s">
        <v>1985</v>
      </c>
      <c r="AK2083" s="65"/>
      <c r="AL2083" s="176" t="s">
        <v>1257</v>
      </c>
      <c r="AM2083" s="173" t="s">
        <v>3814</v>
      </c>
      <c r="AN2083" s="159"/>
      <c r="AO2083" s="160"/>
      <c r="AP2083" s="161"/>
      <c r="AQ2083" s="160"/>
      <c r="AR2083" s="160"/>
      <c r="AS2083" s="160"/>
      <c r="AT2083" s="160"/>
      <c r="AU2083" s="160"/>
      <c r="AV2083" s="160"/>
      <c r="AW2083" s="160"/>
      <c r="AX2083" s="160"/>
      <c r="AY2083" s="160"/>
      <c r="AZ2083" s="160"/>
      <c r="BA2083" s="160"/>
      <c r="BB2083" s="160"/>
      <c r="BC2083" s="160"/>
      <c r="BD2083" s="160"/>
      <c r="BE2083" s="160"/>
      <c r="BF2083" s="160"/>
      <c r="BG2083" s="160"/>
      <c r="BH2083" s="160"/>
      <c r="BI2083" s="160"/>
      <c r="BJ2083" s="160"/>
      <c r="BK2083" s="160"/>
      <c r="BL2083" s="160"/>
      <c r="BM2083" s="160"/>
      <c r="BN2083" s="160"/>
      <c r="BO2083" s="160"/>
      <c r="BP2083" s="160"/>
      <c r="BQ2083" s="160"/>
      <c r="BR2083" s="160"/>
      <c r="BS2083" s="160"/>
      <c r="BT2083" s="160"/>
      <c r="BU2083" s="160"/>
      <c r="BV2083" s="160"/>
      <c r="BW2083" s="160"/>
      <c r="BX2083" s="160"/>
      <c r="BY2083" s="160"/>
      <c r="BZ2083" s="160"/>
      <c r="CA2083" s="160"/>
      <c r="CB2083" s="160"/>
      <c r="CC2083" s="160"/>
      <c r="CD2083" s="160"/>
      <c r="CE2083" s="160"/>
      <c r="CF2083" s="160"/>
      <c r="CG2083" s="160"/>
      <c r="CH2083" s="160"/>
      <c r="CI2083" s="160"/>
      <c r="CJ2083" s="160"/>
      <c r="CK2083" s="160"/>
      <c r="CL2083" s="160"/>
      <c r="CM2083" s="160"/>
      <c r="CN2083" s="160"/>
      <c r="CO2083" s="160"/>
      <c r="CP2083" s="162"/>
      <c r="CQ2083" s="163"/>
      <c r="CR2083" s="162"/>
      <c r="CS2083" s="163"/>
      <c r="CT2083" s="162"/>
      <c r="CU2083" s="163"/>
      <c r="CV2083" s="164">
        <f t="shared" si="260"/>
        <v>0</v>
      </c>
      <c r="CW2083" s="165"/>
      <c r="CX2083" s="166"/>
      <c r="CY2083" s="167"/>
      <c r="CZ2083" s="168"/>
      <c r="DA2083" s="169"/>
      <c r="DB2083" s="168"/>
      <c r="DC2083" s="165"/>
      <c r="DD2083" s="166"/>
      <c r="DE2083" s="71"/>
      <c r="DF2083" s="170"/>
      <c r="EO2083" s="375" t="str">
        <f t="shared" si="261"/>
        <v>NARIÑO_SAN PABLO</v>
      </c>
      <c r="EP2083" s="376"/>
      <c r="EQ2083" s="376"/>
      <c r="ER2083" s="377"/>
      <c r="ES2083" s="376"/>
      <c r="ET2083" s="376"/>
      <c r="EU2083" s="376"/>
    </row>
    <row r="2084" spans="1:151" s="171" customFormat="1" ht="36" x14ac:dyDescent="0.2">
      <c r="A2084" s="242">
        <v>40521</v>
      </c>
      <c r="B2084" s="222" t="s">
        <v>2245</v>
      </c>
      <c r="C2084" s="222" t="s">
        <v>2944</v>
      </c>
      <c r="D2084" s="430" t="s">
        <v>2307</v>
      </c>
      <c r="E2084" s="107" t="str">
        <f>VLOOKUP(B2084&amp;C2084,Divipola!$C$2:$F$1138,4,FALSE)</f>
        <v>52683</v>
      </c>
      <c r="F2084" s="333"/>
      <c r="G2084" s="221"/>
      <c r="H2084" s="157"/>
      <c r="I2084" s="157"/>
      <c r="J2084" s="157">
        <v>583</v>
      </c>
      <c r="K2084" s="157">
        <v>152</v>
      </c>
      <c r="L2084" s="157">
        <v>7</v>
      </c>
      <c r="M2084" s="157">
        <f>152-7</f>
        <v>145</v>
      </c>
      <c r="N2084" s="157">
        <v>15</v>
      </c>
      <c r="O2084" s="157"/>
      <c r="P2084" s="157"/>
      <c r="Q2084" s="157">
        <v>1</v>
      </c>
      <c r="R2084" s="157"/>
      <c r="S2084" s="157"/>
      <c r="T2084" s="157"/>
      <c r="U2084" s="157"/>
      <c r="V2084" s="158"/>
      <c r="W2084" s="182"/>
      <c r="X2084" s="1"/>
      <c r="Y2084" s="78">
        <f t="shared" si="257"/>
        <v>0</v>
      </c>
      <c r="Z2084" s="78">
        <f t="shared" si="258"/>
        <v>0</v>
      </c>
      <c r="AA2084" s="78">
        <f t="shared" si="256"/>
        <v>0</v>
      </c>
      <c r="AB2084" s="78">
        <f t="shared" si="259"/>
        <v>0</v>
      </c>
      <c r="AC2084" s="78"/>
      <c r="AD2084" s="78">
        <v>0</v>
      </c>
      <c r="AE2084" s="80">
        <f t="shared" si="262"/>
        <v>0</v>
      </c>
      <c r="AF2084" s="82">
        <v>0</v>
      </c>
      <c r="AG2084" s="242">
        <v>40521</v>
      </c>
      <c r="AH2084" s="84"/>
      <c r="AI2084" s="69" t="s">
        <v>1984</v>
      </c>
      <c r="AJ2084" s="25" t="s">
        <v>1985</v>
      </c>
      <c r="AK2084" s="65"/>
      <c r="AL2084" s="176" t="s">
        <v>1257</v>
      </c>
      <c r="AM2084" s="173" t="s">
        <v>3817</v>
      </c>
      <c r="AN2084" s="159"/>
      <c r="AO2084" s="160"/>
      <c r="AP2084" s="161"/>
      <c r="AQ2084" s="160"/>
      <c r="AR2084" s="160"/>
      <c r="AS2084" s="160"/>
      <c r="AT2084" s="160"/>
      <c r="AU2084" s="160"/>
      <c r="AV2084" s="160"/>
      <c r="AW2084" s="160"/>
      <c r="AX2084" s="160"/>
      <c r="AY2084" s="160"/>
      <c r="AZ2084" s="160"/>
      <c r="BA2084" s="160"/>
      <c r="BB2084" s="160"/>
      <c r="BC2084" s="160"/>
      <c r="BD2084" s="160"/>
      <c r="BE2084" s="160"/>
      <c r="BF2084" s="160"/>
      <c r="BG2084" s="160"/>
      <c r="BH2084" s="160"/>
      <c r="BI2084" s="160"/>
      <c r="BJ2084" s="160"/>
      <c r="BK2084" s="160"/>
      <c r="BL2084" s="160"/>
      <c r="BM2084" s="160"/>
      <c r="BN2084" s="160"/>
      <c r="BO2084" s="160"/>
      <c r="BP2084" s="160"/>
      <c r="BQ2084" s="160"/>
      <c r="BR2084" s="160"/>
      <c r="BS2084" s="160"/>
      <c r="BT2084" s="160"/>
      <c r="BU2084" s="160"/>
      <c r="BV2084" s="160"/>
      <c r="BW2084" s="160"/>
      <c r="BX2084" s="160"/>
      <c r="BY2084" s="160"/>
      <c r="BZ2084" s="160"/>
      <c r="CA2084" s="160"/>
      <c r="CB2084" s="160"/>
      <c r="CC2084" s="160"/>
      <c r="CD2084" s="160"/>
      <c r="CE2084" s="160"/>
      <c r="CF2084" s="160"/>
      <c r="CG2084" s="160"/>
      <c r="CH2084" s="160"/>
      <c r="CI2084" s="160"/>
      <c r="CJ2084" s="160"/>
      <c r="CK2084" s="160"/>
      <c r="CL2084" s="160"/>
      <c r="CM2084" s="160"/>
      <c r="CN2084" s="160"/>
      <c r="CO2084" s="160"/>
      <c r="CP2084" s="162"/>
      <c r="CQ2084" s="163"/>
      <c r="CR2084" s="162"/>
      <c r="CS2084" s="163"/>
      <c r="CT2084" s="162"/>
      <c r="CU2084" s="163"/>
      <c r="CV2084" s="164">
        <f t="shared" si="260"/>
        <v>0</v>
      </c>
      <c r="CW2084" s="165"/>
      <c r="CX2084" s="166"/>
      <c r="CY2084" s="167"/>
      <c r="CZ2084" s="168"/>
      <c r="DA2084" s="169"/>
      <c r="DB2084" s="168"/>
      <c r="DC2084" s="165"/>
      <c r="DD2084" s="166"/>
      <c r="DE2084" s="71"/>
      <c r="DF2084" s="170"/>
      <c r="EO2084" s="375" t="str">
        <f t="shared" si="261"/>
        <v>NARIÑO_SANDONA</v>
      </c>
      <c r="EP2084" s="376"/>
      <c r="EQ2084" s="376"/>
      <c r="ER2084" s="377"/>
      <c r="ES2084" s="376"/>
      <c r="ET2084" s="376"/>
      <c r="EU2084" s="376"/>
    </row>
    <row r="2085" spans="1:151" s="171" customFormat="1" ht="60" x14ac:dyDescent="0.2">
      <c r="A2085" s="242">
        <v>40521</v>
      </c>
      <c r="B2085" s="222" t="s">
        <v>2245</v>
      </c>
      <c r="C2085" s="222" t="s">
        <v>2921</v>
      </c>
      <c r="D2085" s="430" t="s">
        <v>2307</v>
      </c>
      <c r="E2085" s="107" t="str">
        <f>VLOOKUP(B2085&amp;C2085,Divipola!$C$2:$F$1138,4,FALSE)</f>
        <v>52788</v>
      </c>
      <c r="F2085" s="333"/>
      <c r="G2085" s="221"/>
      <c r="H2085" s="157"/>
      <c r="I2085" s="157"/>
      <c r="J2085" s="157">
        <f>655-189</f>
        <v>466</v>
      </c>
      <c r="K2085" s="157">
        <f>186-40</f>
        <v>146</v>
      </c>
      <c r="L2085" s="157">
        <v>2</v>
      </c>
      <c r="M2085" s="157">
        <v>144</v>
      </c>
      <c r="N2085" s="157">
        <v>1</v>
      </c>
      <c r="O2085" s="157"/>
      <c r="P2085" s="157"/>
      <c r="Q2085" s="157"/>
      <c r="R2085" s="157"/>
      <c r="S2085" s="157"/>
      <c r="T2085" s="157"/>
      <c r="U2085" s="157"/>
      <c r="V2085" s="158"/>
      <c r="W2085" s="182"/>
      <c r="X2085" s="1"/>
      <c r="Y2085" s="78">
        <f t="shared" si="257"/>
        <v>0</v>
      </c>
      <c r="Z2085" s="78">
        <f t="shared" si="258"/>
        <v>0</v>
      </c>
      <c r="AA2085" s="78">
        <f t="shared" si="256"/>
        <v>0</v>
      </c>
      <c r="AB2085" s="78">
        <f t="shared" si="259"/>
        <v>0</v>
      </c>
      <c r="AC2085" s="78"/>
      <c r="AD2085" s="78">
        <v>0</v>
      </c>
      <c r="AE2085" s="80">
        <f t="shared" si="262"/>
        <v>0</v>
      </c>
      <c r="AF2085" s="82">
        <v>0</v>
      </c>
      <c r="AG2085" s="242">
        <v>40521</v>
      </c>
      <c r="AH2085" s="84"/>
      <c r="AI2085" s="69" t="s">
        <v>1984</v>
      </c>
      <c r="AJ2085" s="25" t="s">
        <v>1985</v>
      </c>
      <c r="AK2085" s="65"/>
      <c r="AL2085" s="176" t="s">
        <v>1257</v>
      </c>
      <c r="AM2085" s="173" t="s">
        <v>3821</v>
      </c>
      <c r="AN2085" s="159"/>
      <c r="AO2085" s="160"/>
      <c r="AP2085" s="161"/>
      <c r="AQ2085" s="160"/>
      <c r="AR2085" s="160"/>
      <c r="AS2085" s="160"/>
      <c r="AT2085" s="160"/>
      <c r="AU2085" s="160"/>
      <c r="AV2085" s="160"/>
      <c r="AW2085" s="160"/>
      <c r="AX2085" s="160"/>
      <c r="AY2085" s="160"/>
      <c r="AZ2085" s="160"/>
      <c r="BA2085" s="160"/>
      <c r="BB2085" s="160"/>
      <c r="BC2085" s="160"/>
      <c r="BD2085" s="160"/>
      <c r="BE2085" s="160"/>
      <c r="BF2085" s="160"/>
      <c r="BG2085" s="160"/>
      <c r="BH2085" s="160"/>
      <c r="BI2085" s="160"/>
      <c r="BJ2085" s="160"/>
      <c r="BK2085" s="160"/>
      <c r="BL2085" s="160"/>
      <c r="BM2085" s="160"/>
      <c r="BN2085" s="160"/>
      <c r="BO2085" s="160"/>
      <c r="BP2085" s="160"/>
      <c r="BQ2085" s="160"/>
      <c r="BR2085" s="160"/>
      <c r="BS2085" s="160"/>
      <c r="BT2085" s="160"/>
      <c r="BU2085" s="160"/>
      <c r="BV2085" s="160"/>
      <c r="BW2085" s="160"/>
      <c r="BX2085" s="160"/>
      <c r="BY2085" s="160"/>
      <c r="BZ2085" s="160"/>
      <c r="CA2085" s="160"/>
      <c r="CB2085" s="160"/>
      <c r="CC2085" s="160"/>
      <c r="CD2085" s="160"/>
      <c r="CE2085" s="160"/>
      <c r="CF2085" s="160"/>
      <c r="CG2085" s="160"/>
      <c r="CH2085" s="160"/>
      <c r="CI2085" s="160"/>
      <c r="CJ2085" s="160"/>
      <c r="CK2085" s="160"/>
      <c r="CL2085" s="160"/>
      <c r="CM2085" s="160"/>
      <c r="CN2085" s="160"/>
      <c r="CO2085" s="160"/>
      <c r="CP2085" s="162"/>
      <c r="CQ2085" s="163"/>
      <c r="CR2085" s="162"/>
      <c r="CS2085" s="163"/>
      <c r="CT2085" s="162"/>
      <c r="CU2085" s="163"/>
      <c r="CV2085" s="164">
        <f t="shared" si="260"/>
        <v>0</v>
      </c>
      <c r="CW2085" s="165"/>
      <c r="CX2085" s="166"/>
      <c r="CY2085" s="167"/>
      <c r="CZ2085" s="168"/>
      <c r="DA2085" s="169"/>
      <c r="DB2085" s="168"/>
      <c r="DC2085" s="165"/>
      <c r="DD2085" s="166"/>
      <c r="DE2085" s="71"/>
      <c r="DF2085" s="170"/>
      <c r="EO2085" s="375" t="str">
        <f t="shared" si="261"/>
        <v>NARIÑO_TANGUA</v>
      </c>
      <c r="EP2085" s="376"/>
      <c r="EQ2085" s="376"/>
      <c r="ER2085" s="377"/>
      <c r="ES2085" s="376"/>
      <c r="ET2085" s="376"/>
      <c r="EU2085" s="376"/>
    </row>
    <row r="2086" spans="1:151" s="171" customFormat="1" ht="63.75" x14ac:dyDescent="0.2">
      <c r="A2086" s="242">
        <v>40521</v>
      </c>
      <c r="B2086" s="222" t="s">
        <v>2427</v>
      </c>
      <c r="C2086" s="222" t="s">
        <v>1272</v>
      </c>
      <c r="D2086" s="430" t="s">
        <v>882</v>
      </c>
      <c r="E2086" s="107" t="str">
        <f>VLOOKUP(B2086&amp;C2086,Divipola!$C$2:$F$1138,4,FALSE)</f>
        <v>68689</v>
      </c>
      <c r="F2086" s="333"/>
      <c r="G2086" s="275"/>
      <c r="H2086" s="157"/>
      <c r="I2086" s="157"/>
      <c r="J2086" s="157"/>
      <c r="K2086" s="157"/>
      <c r="L2086" s="157"/>
      <c r="M2086" s="157"/>
      <c r="N2086" s="157"/>
      <c r="O2086" s="157">
        <v>1</v>
      </c>
      <c r="P2086" s="157"/>
      <c r="Q2086" s="157"/>
      <c r="R2086" s="157"/>
      <c r="S2086" s="157"/>
      <c r="T2086" s="157"/>
      <c r="U2086" s="157"/>
      <c r="V2086" s="158"/>
      <c r="W2086" s="182"/>
      <c r="X2086" s="1"/>
      <c r="Y2086" s="78">
        <f t="shared" si="257"/>
        <v>0</v>
      </c>
      <c r="Z2086" s="78">
        <f t="shared" si="258"/>
        <v>0</v>
      </c>
      <c r="AA2086" s="78">
        <f t="shared" si="256"/>
        <v>0</v>
      </c>
      <c r="AB2086" s="78">
        <f t="shared" si="259"/>
        <v>0</v>
      </c>
      <c r="AC2086" s="78"/>
      <c r="AD2086" s="78">
        <v>0</v>
      </c>
      <c r="AE2086" s="80">
        <f t="shared" si="262"/>
        <v>0</v>
      </c>
      <c r="AF2086" s="82">
        <v>0</v>
      </c>
      <c r="AG2086" s="242"/>
      <c r="AH2086" s="84"/>
      <c r="AI2086" s="69" t="s">
        <v>2009</v>
      </c>
      <c r="AJ2086" s="276" t="s">
        <v>2010</v>
      </c>
      <c r="AK2086" s="65"/>
      <c r="AL2086" s="272" t="s">
        <v>311</v>
      </c>
      <c r="AM2086" s="173" t="s">
        <v>821</v>
      </c>
      <c r="AN2086" s="159"/>
      <c r="AO2086" s="160"/>
      <c r="AP2086" s="161"/>
      <c r="AQ2086" s="160"/>
      <c r="AR2086" s="160"/>
      <c r="AS2086" s="160"/>
      <c r="AT2086" s="160"/>
      <c r="AU2086" s="160"/>
      <c r="AV2086" s="160"/>
      <c r="AW2086" s="160"/>
      <c r="AX2086" s="160"/>
      <c r="AY2086" s="160"/>
      <c r="AZ2086" s="160"/>
      <c r="BA2086" s="160"/>
      <c r="BB2086" s="160"/>
      <c r="BC2086" s="160"/>
      <c r="BD2086" s="160"/>
      <c r="BE2086" s="160"/>
      <c r="BF2086" s="160"/>
      <c r="BG2086" s="160"/>
      <c r="BH2086" s="160"/>
      <c r="BI2086" s="160"/>
      <c r="BJ2086" s="160"/>
      <c r="BK2086" s="160"/>
      <c r="BL2086" s="160"/>
      <c r="BM2086" s="160"/>
      <c r="BN2086" s="160"/>
      <c r="BO2086" s="160"/>
      <c r="BP2086" s="160"/>
      <c r="BQ2086" s="160"/>
      <c r="BR2086" s="160"/>
      <c r="BS2086" s="160"/>
      <c r="BT2086" s="160"/>
      <c r="BU2086" s="160"/>
      <c r="BV2086" s="160"/>
      <c r="BW2086" s="160"/>
      <c r="BX2086" s="160"/>
      <c r="BY2086" s="160"/>
      <c r="BZ2086" s="160"/>
      <c r="CA2086" s="160"/>
      <c r="CB2086" s="160"/>
      <c r="CC2086" s="160"/>
      <c r="CD2086" s="160"/>
      <c r="CE2086" s="160"/>
      <c r="CF2086" s="160"/>
      <c r="CG2086" s="160"/>
      <c r="CH2086" s="160"/>
      <c r="CI2086" s="160"/>
      <c r="CJ2086" s="160"/>
      <c r="CK2086" s="160"/>
      <c r="CL2086" s="160"/>
      <c r="CM2086" s="160"/>
      <c r="CN2086" s="160"/>
      <c r="CO2086" s="160"/>
      <c r="CP2086" s="162"/>
      <c r="CQ2086" s="163"/>
      <c r="CR2086" s="162"/>
      <c r="CS2086" s="163"/>
      <c r="CT2086" s="162"/>
      <c r="CU2086" s="163"/>
      <c r="CV2086" s="164">
        <f t="shared" si="260"/>
        <v>0</v>
      </c>
      <c r="CW2086" s="165"/>
      <c r="CX2086" s="166"/>
      <c r="CY2086" s="167"/>
      <c r="CZ2086" s="168"/>
      <c r="DA2086" s="169"/>
      <c r="DB2086" s="168"/>
      <c r="DC2086" s="165"/>
      <c r="DD2086" s="166"/>
      <c r="DE2086" s="71"/>
      <c r="DF2086" s="170">
        <v>1515</v>
      </c>
      <c r="EO2086" s="375" t="str">
        <f t="shared" si="261"/>
        <v>SANTANDER_SAN VICENTE DE CHUCURI</v>
      </c>
      <c r="EP2086" s="376"/>
      <c r="EQ2086" s="376"/>
      <c r="ER2086" s="377"/>
      <c r="ES2086" s="376"/>
      <c r="ET2086" s="376"/>
      <c r="EU2086" s="376"/>
    </row>
    <row r="2087" spans="1:151" s="171" customFormat="1" ht="38.25" x14ac:dyDescent="0.2">
      <c r="A2087" s="242">
        <v>40522</v>
      </c>
      <c r="B2087" s="222" t="s">
        <v>2007</v>
      </c>
      <c r="C2087" s="222" t="s">
        <v>2375</v>
      </c>
      <c r="D2087" s="430" t="s">
        <v>2307</v>
      </c>
      <c r="E2087" s="107" t="str">
        <f>VLOOKUP(B2087&amp;C2087,Divipola!$C$2:$F$1138,4,FALSE)</f>
        <v>25035</v>
      </c>
      <c r="F2087" s="333"/>
      <c r="G2087" s="221"/>
      <c r="H2087" s="157"/>
      <c r="I2087" s="157"/>
      <c r="J2087" s="157">
        <f>99-65</f>
        <v>34</v>
      </c>
      <c r="K2087" s="157">
        <f>30-18</f>
        <v>12</v>
      </c>
      <c r="L2087" s="157"/>
      <c r="M2087" s="183" t="s">
        <v>10</v>
      </c>
      <c r="N2087" s="157"/>
      <c r="O2087" s="157"/>
      <c r="P2087" s="157"/>
      <c r="Q2087" s="157"/>
      <c r="R2087" s="157"/>
      <c r="S2087" s="157"/>
      <c r="T2087" s="157"/>
      <c r="U2087" s="157"/>
      <c r="V2087" s="158"/>
      <c r="W2087" s="182"/>
      <c r="X2087" s="1"/>
      <c r="Y2087" s="78">
        <f t="shared" si="257"/>
        <v>0</v>
      </c>
      <c r="Z2087" s="78">
        <f t="shared" si="258"/>
        <v>0</v>
      </c>
      <c r="AA2087" s="78">
        <f t="shared" si="256"/>
        <v>0</v>
      </c>
      <c r="AB2087" s="78">
        <f t="shared" si="259"/>
        <v>0</v>
      </c>
      <c r="AC2087" s="78"/>
      <c r="AD2087" s="78">
        <v>0</v>
      </c>
      <c r="AE2087" s="80">
        <f t="shared" si="262"/>
        <v>0</v>
      </c>
      <c r="AF2087" s="82">
        <v>0</v>
      </c>
      <c r="AG2087" s="242">
        <v>40522</v>
      </c>
      <c r="AH2087" s="84"/>
      <c r="AI2087" s="69" t="s">
        <v>1984</v>
      </c>
      <c r="AJ2087" s="25" t="s">
        <v>1985</v>
      </c>
      <c r="AK2087" s="65"/>
      <c r="AL2087" s="176" t="s">
        <v>1257</v>
      </c>
      <c r="AM2087" s="173" t="s">
        <v>826</v>
      </c>
      <c r="AN2087" s="159"/>
      <c r="AO2087" s="160"/>
      <c r="AP2087" s="161"/>
      <c r="AQ2087" s="160"/>
      <c r="AR2087" s="160"/>
      <c r="AS2087" s="160"/>
      <c r="AT2087" s="160"/>
      <c r="AU2087" s="160"/>
      <c r="AV2087" s="160"/>
      <c r="AW2087" s="160"/>
      <c r="AX2087" s="160"/>
      <c r="AY2087" s="160"/>
      <c r="AZ2087" s="160"/>
      <c r="BA2087" s="160"/>
      <c r="BB2087" s="160"/>
      <c r="BC2087" s="160"/>
      <c r="BD2087" s="160"/>
      <c r="BE2087" s="160"/>
      <c r="BF2087" s="160"/>
      <c r="BG2087" s="160"/>
      <c r="BH2087" s="160"/>
      <c r="BI2087" s="160"/>
      <c r="BJ2087" s="160"/>
      <c r="BK2087" s="160"/>
      <c r="BL2087" s="160"/>
      <c r="BM2087" s="160"/>
      <c r="BN2087" s="160"/>
      <c r="BO2087" s="160"/>
      <c r="BP2087" s="160"/>
      <c r="BQ2087" s="160"/>
      <c r="BR2087" s="160"/>
      <c r="BS2087" s="160"/>
      <c r="BT2087" s="160"/>
      <c r="BU2087" s="160"/>
      <c r="BV2087" s="160"/>
      <c r="BW2087" s="160"/>
      <c r="BX2087" s="160"/>
      <c r="BY2087" s="160"/>
      <c r="BZ2087" s="160"/>
      <c r="CA2087" s="160"/>
      <c r="CB2087" s="160"/>
      <c r="CC2087" s="160"/>
      <c r="CD2087" s="160"/>
      <c r="CE2087" s="160"/>
      <c r="CF2087" s="160"/>
      <c r="CG2087" s="160"/>
      <c r="CH2087" s="160"/>
      <c r="CI2087" s="160"/>
      <c r="CJ2087" s="160"/>
      <c r="CK2087" s="160"/>
      <c r="CL2087" s="160"/>
      <c r="CM2087" s="160"/>
      <c r="CN2087" s="160"/>
      <c r="CO2087" s="160"/>
      <c r="CP2087" s="162"/>
      <c r="CQ2087" s="163"/>
      <c r="CR2087" s="162"/>
      <c r="CS2087" s="163"/>
      <c r="CT2087" s="162"/>
      <c r="CU2087" s="163"/>
      <c r="CV2087" s="164">
        <f t="shared" si="260"/>
        <v>0</v>
      </c>
      <c r="CW2087" s="165"/>
      <c r="CX2087" s="166"/>
      <c r="CY2087" s="167"/>
      <c r="CZ2087" s="168"/>
      <c r="DA2087" s="169"/>
      <c r="DB2087" s="168"/>
      <c r="DC2087" s="165"/>
      <c r="DD2087" s="166"/>
      <c r="DE2087" s="71"/>
      <c r="DF2087" s="170"/>
      <c r="EO2087" s="375" t="str">
        <f t="shared" si="261"/>
        <v>CUNDINAMARCA_ANAPOIMA</v>
      </c>
      <c r="EP2087" s="376"/>
      <c r="EQ2087" s="376"/>
      <c r="ER2087" s="377"/>
      <c r="ES2087" s="376"/>
      <c r="ET2087" s="376"/>
      <c r="EU2087" s="376"/>
    </row>
    <row r="2088" spans="1:151" s="171" customFormat="1" ht="38.25" x14ac:dyDescent="0.2">
      <c r="A2088" s="242">
        <v>40522</v>
      </c>
      <c r="B2088" s="222" t="s">
        <v>2007</v>
      </c>
      <c r="C2088" s="222" t="s">
        <v>626</v>
      </c>
      <c r="D2088" s="430" t="s">
        <v>837</v>
      </c>
      <c r="E2088" s="107" t="str">
        <f>VLOOKUP(B2088&amp;C2088,Divipola!$C$2:$F$1138,4,FALSE)</f>
        <v>25290</v>
      </c>
      <c r="F2088" s="333"/>
      <c r="G2088" s="221"/>
      <c r="H2088" s="157"/>
      <c r="I2088" s="157"/>
      <c r="J2088" s="157">
        <v>8</v>
      </c>
      <c r="K2088" s="157">
        <v>2</v>
      </c>
      <c r="L2088" s="157"/>
      <c r="M2088" s="157">
        <v>2</v>
      </c>
      <c r="N2088" s="157"/>
      <c r="O2088" s="157"/>
      <c r="P2088" s="157"/>
      <c r="Q2088" s="157"/>
      <c r="R2088" s="157"/>
      <c r="S2088" s="157"/>
      <c r="T2088" s="157"/>
      <c r="U2088" s="157"/>
      <c r="V2088" s="158"/>
      <c r="W2088" s="182"/>
      <c r="X2088" s="1"/>
      <c r="Y2088" s="78">
        <f t="shared" si="257"/>
        <v>0</v>
      </c>
      <c r="Z2088" s="78">
        <f t="shared" si="258"/>
        <v>0</v>
      </c>
      <c r="AA2088" s="78">
        <f t="shared" si="256"/>
        <v>0</v>
      </c>
      <c r="AB2088" s="78">
        <f t="shared" si="259"/>
        <v>0</v>
      </c>
      <c r="AC2088" s="78"/>
      <c r="AD2088" s="78">
        <v>0</v>
      </c>
      <c r="AE2088" s="80">
        <f t="shared" si="262"/>
        <v>0</v>
      </c>
      <c r="AF2088" s="82">
        <v>0</v>
      </c>
      <c r="AG2088" s="242">
        <v>40522</v>
      </c>
      <c r="AH2088" s="84"/>
      <c r="AI2088" s="69" t="s">
        <v>1984</v>
      </c>
      <c r="AJ2088" s="25" t="s">
        <v>1985</v>
      </c>
      <c r="AK2088" s="65"/>
      <c r="AL2088" s="176" t="s">
        <v>1257</v>
      </c>
      <c r="AM2088" s="173" t="s">
        <v>302</v>
      </c>
      <c r="AN2088" s="159"/>
      <c r="AO2088" s="160"/>
      <c r="AP2088" s="161"/>
      <c r="AQ2088" s="160"/>
      <c r="AR2088" s="160"/>
      <c r="AS2088" s="160"/>
      <c r="AT2088" s="160"/>
      <c r="AU2088" s="160"/>
      <c r="AV2088" s="160"/>
      <c r="AW2088" s="160"/>
      <c r="AX2088" s="160"/>
      <c r="AY2088" s="160"/>
      <c r="AZ2088" s="160"/>
      <c r="BA2088" s="160"/>
      <c r="BB2088" s="160"/>
      <c r="BC2088" s="160"/>
      <c r="BD2088" s="160"/>
      <c r="BE2088" s="160"/>
      <c r="BF2088" s="160"/>
      <c r="BG2088" s="160"/>
      <c r="BH2088" s="160"/>
      <c r="BI2088" s="160"/>
      <c r="BJ2088" s="160"/>
      <c r="BK2088" s="160"/>
      <c r="BL2088" s="160"/>
      <c r="BM2088" s="160"/>
      <c r="BN2088" s="160"/>
      <c r="BO2088" s="160"/>
      <c r="BP2088" s="160"/>
      <c r="BQ2088" s="160"/>
      <c r="BR2088" s="160"/>
      <c r="BS2088" s="160"/>
      <c r="BT2088" s="160"/>
      <c r="BU2088" s="160"/>
      <c r="BV2088" s="160"/>
      <c r="BW2088" s="160"/>
      <c r="BX2088" s="160"/>
      <c r="BY2088" s="160"/>
      <c r="BZ2088" s="160"/>
      <c r="CA2088" s="160"/>
      <c r="CB2088" s="160"/>
      <c r="CC2088" s="160"/>
      <c r="CD2088" s="160"/>
      <c r="CE2088" s="160"/>
      <c r="CF2088" s="160"/>
      <c r="CG2088" s="160"/>
      <c r="CH2088" s="160"/>
      <c r="CI2088" s="160"/>
      <c r="CJ2088" s="160"/>
      <c r="CK2088" s="160"/>
      <c r="CL2088" s="160"/>
      <c r="CM2088" s="160"/>
      <c r="CN2088" s="160"/>
      <c r="CO2088" s="160"/>
      <c r="CP2088" s="162"/>
      <c r="CQ2088" s="163"/>
      <c r="CR2088" s="162"/>
      <c r="CS2088" s="163"/>
      <c r="CT2088" s="162"/>
      <c r="CU2088" s="163"/>
      <c r="CV2088" s="164">
        <f t="shared" si="260"/>
        <v>0</v>
      </c>
      <c r="CW2088" s="165"/>
      <c r="CX2088" s="166"/>
      <c r="CY2088" s="167"/>
      <c r="CZ2088" s="168"/>
      <c r="DA2088" s="169"/>
      <c r="DB2088" s="168"/>
      <c r="DC2088" s="165"/>
      <c r="DD2088" s="166"/>
      <c r="DE2088" s="71"/>
      <c r="DF2088" s="170"/>
      <c r="EO2088" s="375" t="str">
        <f t="shared" si="261"/>
        <v>CUNDINAMARCA_FUSAGASUGA</v>
      </c>
      <c r="EP2088" s="376"/>
      <c r="EQ2088" s="376"/>
      <c r="ER2088" s="377"/>
      <c r="ES2088" s="376"/>
      <c r="ET2088" s="376"/>
      <c r="EU2088" s="376"/>
    </row>
    <row r="2089" spans="1:151" s="171" customFormat="1" ht="38.25" x14ac:dyDescent="0.2">
      <c r="A2089" s="242">
        <v>40522</v>
      </c>
      <c r="B2089" s="222" t="s">
        <v>2007</v>
      </c>
      <c r="C2089" s="222" t="s">
        <v>2740</v>
      </c>
      <c r="D2089" s="430" t="s">
        <v>2307</v>
      </c>
      <c r="E2089" s="107" t="str">
        <f>VLOOKUP(B2089&amp;C2089,Divipola!$C$2:$F$1138,4,FALSE)</f>
        <v>25754</v>
      </c>
      <c r="F2089" s="333"/>
      <c r="G2089" s="221"/>
      <c r="H2089" s="157"/>
      <c r="I2089" s="157"/>
      <c r="J2089" s="157">
        <v>1250</v>
      </c>
      <c r="K2089" s="157">
        <v>250</v>
      </c>
      <c r="L2089" s="157"/>
      <c r="M2089" s="157">
        <v>250</v>
      </c>
      <c r="N2089" s="157"/>
      <c r="O2089" s="157"/>
      <c r="P2089" s="157"/>
      <c r="Q2089" s="157"/>
      <c r="R2089" s="157"/>
      <c r="S2089" s="157"/>
      <c r="T2089" s="157"/>
      <c r="U2089" s="157"/>
      <c r="V2089" s="158"/>
      <c r="W2089" s="182"/>
      <c r="X2089" s="1"/>
      <c r="Y2089" s="78">
        <f t="shared" si="257"/>
        <v>0</v>
      </c>
      <c r="Z2089" s="78">
        <f t="shared" si="258"/>
        <v>0</v>
      </c>
      <c r="AA2089" s="78">
        <f t="shared" si="256"/>
        <v>0</v>
      </c>
      <c r="AB2089" s="78">
        <f t="shared" si="259"/>
        <v>0</v>
      </c>
      <c r="AC2089" s="78"/>
      <c r="AD2089" s="78">
        <v>0</v>
      </c>
      <c r="AE2089" s="80">
        <f t="shared" si="262"/>
        <v>0</v>
      </c>
      <c r="AF2089" s="82">
        <v>0</v>
      </c>
      <c r="AG2089" s="242">
        <v>40522</v>
      </c>
      <c r="AH2089" s="84"/>
      <c r="AI2089" s="69" t="s">
        <v>1984</v>
      </c>
      <c r="AJ2089" s="25" t="s">
        <v>1985</v>
      </c>
      <c r="AK2089" s="65"/>
      <c r="AL2089" s="176" t="s">
        <v>1257</v>
      </c>
      <c r="AM2089" s="173" t="s">
        <v>1117</v>
      </c>
      <c r="AN2089" s="159"/>
      <c r="AO2089" s="160"/>
      <c r="AP2089" s="161"/>
      <c r="AQ2089" s="160"/>
      <c r="AR2089" s="160"/>
      <c r="AS2089" s="160"/>
      <c r="AT2089" s="160"/>
      <c r="AU2089" s="160"/>
      <c r="AV2089" s="160"/>
      <c r="AW2089" s="160"/>
      <c r="AX2089" s="160"/>
      <c r="AY2089" s="160"/>
      <c r="AZ2089" s="160"/>
      <c r="BA2089" s="160"/>
      <c r="BB2089" s="160"/>
      <c r="BC2089" s="160"/>
      <c r="BD2089" s="160"/>
      <c r="BE2089" s="160"/>
      <c r="BF2089" s="160"/>
      <c r="BG2089" s="160"/>
      <c r="BH2089" s="160"/>
      <c r="BI2089" s="160"/>
      <c r="BJ2089" s="160"/>
      <c r="BK2089" s="160"/>
      <c r="BL2089" s="160"/>
      <c r="BM2089" s="160"/>
      <c r="BN2089" s="160"/>
      <c r="BO2089" s="160"/>
      <c r="BP2089" s="160"/>
      <c r="BQ2089" s="160"/>
      <c r="BR2089" s="160"/>
      <c r="BS2089" s="160"/>
      <c r="BT2089" s="160"/>
      <c r="BU2089" s="160"/>
      <c r="BV2089" s="160"/>
      <c r="BW2089" s="160"/>
      <c r="BX2089" s="160"/>
      <c r="BY2089" s="160"/>
      <c r="BZ2089" s="160"/>
      <c r="CA2089" s="160"/>
      <c r="CB2089" s="160"/>
      <c r="CC2089" s="160"/>
      <c r="CD2089" s="160"/>
      <c r="CE2089" s="160"/>
      <c r="CF2089" s="160"/>
      <c r="CG2089" s="160"/>
      <c r="CH2089" s="160"/>
      <c r="CI2089" s="160"/>
      <c r="CJ2089" s="160"/>
      <c r="CK2089" s="160"/>
      <c r="CL2089" s="160"/>
      <c r="CM2089" s="160"/>
      <c r="CN2089" s="160"/>
      <c r="CO2089" s="160"/>
      <c r="CP2089" s="162"/>
      <c r="CQ2089" s="163"/>
      <c r="CR2089" s="162"/>
      <c r="CS2089" s="163"/>
      <c r="CT2089" s="162"/>
      <c r="CU2089" s="163"/>
      <c r="CV2089" s="164">
        <f t="shared" si="260"/>
        <v>0</v>
      </c>
      <c r="CW2089" s="165"/>
      <c r="CX2089" s="166"/>
      <c r="CY2089" s="167"/>
      <c r="CZ2089" s="168"/>
      <c r="DA2089" s="169"/>
      <c r="DB2089" s="168"/>
      <c r="DC2089" s="165"/>
      <c r="DD2089" s="166"/>
      <c r="DE2089" s="71"/>
      <c r="DF2089" s="170"/>
      <c r="EO2089" s="375" t="str">
        <f t="shared" si="261"/>
        <v>CUNDINAMARCA_SOACHA</v>
      </c>
      <c r="EP2089" s="376"/>
      <c r="EQ2089" s="376"/>
      <c r="ER2089" s="377"/>
      <c r="ES2089" s="376"/>
      <c r="ET2089" s="376"/>
      <c r="EU2089" s="376"/>
    </row>
    <row r="2090" spans="1:151" s="171" customFormat="1" ht="25.5" x14ac:dyDescent="0.2">
      <c r="A2090" s="242">
        <v>40522</v>
      </c>
      <c r="B2090" s="222" t="s">
        <v>1333</v>
      </c>
      <c r="C2090" s="222" t="s">
        <v>4425</v>
      </c>
      <c r="D2090" s="430" t="s">
        <v>837</v>
      </c>
      <c r="E2090" s="107" t="str">
        <f>VLOOKUP(B2090&amp;C2090,Divipola!$C$2:$F$1138,4,FALSE)</f>
        <v>41132</v>
      </c>
      <c r="F2090" s="333"/>
      <c r="G2090" s="221"/>
      <c r="H2090" s="157"/>
      <c r="I2090" s="157"/>
      <c r="J2090" s="157">
        <v>100</v>
      </c>
      <c r="K2090" s="157">
        <v>20</v>
      </c>
      <c r="L2090" s="157"/>
      <c r="M2090" s="157"/>
      <c r="N2090" s="157"/>
      <c r="O2090" s="157"/>
      <c r="P2090" s="157"/>
      <c r="Q2090" s="157"/>
      <c r="R2090" s="157"/>
      <c r="S2090" s="157"/>
      <c r="T2090" s="157"/>
      <c r="U2090" s="157"/>
      <c r="V2090" s="158"/>
      <c r="W2090" s="182"/>
      <c r="X2090" s="1"/>
      <c r="Y2090" s="78">
        <f t="shared" si="257"/>
        <v>0</v>
      </c>
      <c r="Z2090" s="78">
        <f t="shared" si="258"/>
        <v>0</v>
      </c>
      <c r="AA2090" s="78">
        <f t="shared" si="256"/>
        <v>0</v>
      </c>
      <c r="AB2090" s="78">
        <f t="shared" si="259"/>
        <v>0</v>
      </c>
      <c r="AC2090" s="78"/>
      <c r="AD2090" s="78">
        <v>0</v>
      </c>
      <c r="AE2090" s="80">
        <f t="shared" si="262"/>
        <v>0</v>
      </c>
      <c r="AF2090" s="82">
        <v>0</v>
      </c>
      <c r="AG2090" s="242">
        <v>40581</v>
      </c>
      <c r="AH2090" s="84"/>
      <c r="AI2090" s="69" t="s">
        <v>1984</v>
      </c>
      <c r="AJ2090" s="25" t="s">
        <v>1985</v>
      </c>
      <c r="AK2090" s="65"/>
      <c r="AL2090" s="176" t="s">
        <v>1257</v>
      </c>
      <c r="AM2090" s="173" t="s">
        <v>349</v>
      </c>
      <c r="AN2090" s="159"/>
      <c r="AO2090" s="160"/>
      <c r="AP2090" s="161"/>
      <c r="AQ2090" s="160"/>
      <c r="AR2090" s="160"/>
      <c r="AS2090" s="160"/>
      <c r="AT2090" s="160"/>
      <c r="AU2090" s="160"/>
      <c r="AV2090" s="160"/>
      <c r="AW2090" s="160"/>
      <c r="AX2090" s="160"/>
      <c r="AY2090" s="160"/>
      <c r="AZ2090" s="160"/>
      <c r="BA2090" s="160"/>
      <c r="BB2090" s="160"/>
      <c r="BC2090" s="160"/>
      <c r="BD2090" s="160"/>
      <c r="BE2090" s="160"/>
      <c r="BF2090" s="160"/>
      <c r="BG2090" s="160"/>
      <c r="BH2090" s="160"/>
      <c r="BI2090" s="160"/>
      <c r="BJ2090" s="160"/>
      <c r="BK2090" s="160"/>
      <c r="BL2090" s="160"/>
      <c r="BM2090" s="160"/>
      <c r="BN2090" s="160"/>
      <c r="BO2090" s="160"/>
      <c r="BP2090" s="160"/>
      <c r="BQ2090" s="160"/>
      <c r="BR2090" s="160"/>
      <c r="BS2090" s="160"/>
      <c r="BT2090" s="160"/>
      <c r="BU2090" s="160"/>
      <c r="BV2090" s="160"/>
      <c r="BW2090" s="160"/>
      <c r="BX2090" s="160"/>
      <c r="BY2090" s="160"/>
      <c r="BZ2090" s="160"/>
      <c r="CA2090" s="160"/>
      <c r="CB2090" s="160"/>
      <c r="CC2090" s="160"/>
      <c r="CD2090" s="160"/>
      <c r="CE2090" s="160"/>
      <c r="CF2090" s="160"/>
      <c r="CG2090" s="160"/>
      <c r="CH2090" s="160"/>
      <c r="CI2090" s="160"/>
      <c r="CJ2090" s="160"/>
      <c r="CK2090" s="160"/>
      <c r="CL2090" s="160"/>
      <c r="CM2090" s="160"/>
      <c r="CN2090" s="160"/>
      <c r="CO2090" s="160"/>
      <c r="CP2090" s="162"/>
      <c r="CQ2090" s="163"/>
      <c r="CR2090" s="162"/>
      <c r="CS2090" s="163"/>
      <c r="CT2090" s="162"/>
      <c r="CU2090" s="163"/>
      <c r="CV2090" s="164">
        <f t="shared" si="260"/>
        <v>0</v>
      </c>
      <c r="CW2090" s="165"/>
      <c r="CX2090" s="166"/>
      <c r="CY2090" s="167"/>
      <c r="CZ2090" s="168"/>
      <c r="DA2090" s="169"/>
      <c r="DB2090" s="168"/>
      <c r="DC2090" s="165"/>
      <c r="DD2090" s="166"/>
      <c r="DE2090" s="71"/>
      <c r="DF2090" s="170"/>
      <c r="EO2090" s="375" t="str">
        <f t="shared" si="261"/>
        <v>HUILA_CAMPOALEGRE</v>
      </c>
      <c r="EP2090" s="376"/>
      <c r="EQ2090" s="376"/>
      <c r="ER2090" s="377"/>
      <c r="ES2090" s="376"/>
      <c r="ET2090" s="376"/>
      <c r="EU2090" s="376"/>
    </row>
    <row r="2091" spans="1:151" s="171" customFormat="1" ht="25.5" x14ac:dyDescent="0.2">
      <c r="A2091" s="242">
        <v>40522</v>
      </c>
      <c r="B2091" s="222" t="s">
        <v>2012</v>
      </c>
      <c r="C2091" s="222" t="s">
        <v>1103</v>
      </c>
      <c r="D2091" s="430" t="s">
        <v>2209</v>
      </c>
      <c r="E2091" s="107" t="str">
        <f>VLOOKUP(B2091&amp;C2091,Divipola!$C$2:$F$1138,4,FALSE)</f>
        <v>66075</v>
      </c>
      <c r="F2091" s="333"/>
      <c r="G2091" s="221"/>
      <c r="H2091" s="157"/>
      <c r="I2091" s="157"/>
      <c r="J2091" s="157">
        <v>50</v>
      </c>
      <c r="K2091" s="157">
        <v>10</v>
      </c>
      <c r="L2091" s="157"/>
      <c r="M2091" s="157">
        <v>10</v>
      </c>
      <c r="N2091" s="157"/>
      <c r="O2091" s="157"/>
      <c r="P2091" s="157"/>
      <c r="Q2091" s="157"/>
      <c r="R2091" s="157"/>
      <c r="S2091" s="157"/>
      <c r="T2091" s="157">
        <v>2</v>
      </c>
      <c r="U2091" s="157"/>
      <c r="V2091" s="158"/>
      <c r="W2091" s="182"/>
      <c r="X2091" s="1"/>
      <c r="Y2091" s="78">
        <f t="shared" si="257"/>
        <v>0</v>
      </c>
      <c r="Z2091" s="78">
        <f t="shared" si="258"/>
        <v>0</v>
      </c>
      <c r="AA2091" s="78">
        <f t="shared" si="256"/>
        <v>0</v>
      </c>
      <c r="AB2091" s="78">
        <f t="shared" si="259"/>
        <v>0</v>
      </c>
      <c r="AC2091" s="78"/>
      <c r="AD2091" s="78">
        <v>0</v>
      </c>
      <c r="AE2091" s="80">
        <f t="shared" si="262"/>
        <v>0</v>
      </c>
      <c r="AF2091" s="82">
        <v>0</v>
      </c>
      <c r="AG2091" s="242">
        <v>40522</v>
      </c>
      <c r="AH2091" s="84"/>
      <c r="AI2091" s="69" t="s">
        <v>1984</v>
      </c>
      <c r="AJ2091" s="25" t="s">
        <v>1985</v>
      </c>
      <c r="AK2091" s="65"/>
      <c r="AL2091" s="176" t="s">
        <v>1257</v>
      </c>
      <c r="AM2091" s="173" t="s">
        <v>71</v>
      </c>
      <c r="AN2091" s="159"/>
      <c r="AO2091" s="160"/>
      <c r="AP2091" s="161"/>
      <c r="AQ2091" s="160"/>
      <c r="AR2091" s="160"/>
      <c r="AS2091" s="160"/>
      <c r="AT2091" s="160"/>
      <c r="AU2091" s="160"/>
      <c r="AV2091" s="160"/>
      <c r="AW2091" s="160"/>
      <c r="AX2091" s="160"/>
      <c r="AY2091" s="160"/>
      <c r="AZ2091" s="160"/>
      <c r="BA2091" s="160"/>
      <c r="BB2091" s="160"/>
      <c r="BC2091" s="160"/>
      <c r="BD2091" s="160"/>
      <c r="BE2091" s="160"/>
      <c r="BF2091" s="160"/>
      <c r="BG2091" s="160"/>
      <c r="BH2091" s="160"/>
      <c r="BI2091" s="160"/>
      <c r="BJ2091" s="160"/>
      <c r="BK2091" s="160"/>
      <c r="BL2091" s="160"/>
      <c r="BM2091" s="160"/>
      <c r="BN2091" s="160"/>
      <c r="BO2091" s="160"/>
      <c r="BP2091" s="160"/>
      <c r="BQ2091" s="160"/>
      <c r="BR2091" s="160"/>
      <c r="BS2091" s="160"/>
      <c r="BT2091" s="160"/>
      <c r="BU2091" s="160"/>
      <c r="BV2091" s="160"/>
      <c r="BW2091" s="160"/>
      <c r="BX2091" s="160"/>
      <c r="BY2091" s="160"/>
      <c r="BZ2091" s="160"/>
      <c r="CA2091" s="160"/>
      <c r="CB2091" s="160"/>
      <c r="CC2091" s="160"/>
      <c r="CD2091" s="160"/>
      <c r="CE2091" s="160"/>
      <c r="CF2091" s="160"/>
      <c r="CG2091" s="160"/>
      <c r="CH2091" s="160"/>
      <c r="CI2091" s="160"/>
      <c r="CJ2091" s="160"/>
      <c r="CK2091" s="160"/>
      <c r="CL2091" s="160"/>
      <c r="CM2091" s="160"/>
      <c r="CN2091" s="160"/>
      <c r="CO2091" s="160"/>
      <c r="CP2091" s="162"/>
      <c r="CQ2091" s="163"/>
      <c r="CR2091" s="162"/>
      <c r="CS2091" s="163"/>
      <c r="CT2091" s="162"/>
      <c r="CU2091" s="163"/>
      <c r="CV2091" s="164">
        <f t="shared" si="260"/>
        <v>0</v>
      </c>
      <c r="CW2091" s="165"/>
      <c r="CX2091" s="166"/>
      <c r="CY2091" s="167"/>
      <c r="CZ2091" s="168"/>
      <c r="DA2091" s="169"/>
      <c r="DB2091" s="168"/>
      <c r="DC2091" s="165"/>
      <c r="DD2091" s="166"/>
      <c r="DE2091" s="71"/>
      <c r="DF2091" s="170"/>
      <c r="EO2091" s="375" t="str">
        <f t="shared" si="261"/>
        <v>RISARALDA_BALBOA</v>
      </c>
      <c r="EP2091" s="376"/>
      <c r="EQ2091" s="376"/>
      <c r="ER2091" s="377"/>
      <c r="ES2091" s="376"/>
      <c r="ET2091" s="376"/>
      <c r="EU2091" s="376"/>
    </row>
    <row r="2092" spans="1:151" s="171" customFormat="1" ht="25.5" x14ac:dyDescent="0.2">
      <c r="A2092" s="242">
        <v>40522</v>
      </c>
      <c r="B2092" s="222" t="s">
        <v>2791</v>
      </c>
      <c r="C2092" s="222" t="s">
        <v>373</v>
      </c>
      <c r="D2092" s="430" t="s">
        <v>837</v>
      </c>
      <c r="E2092" s="107" t="str">
        <f>VLOOKUP(B2092&amp;C2092,Divipola!$C$2:$F$1138,4,FALSE)</f>
        <v>73236</v>
      </c>
      <c r="F2092" s="333"/>
      <c r="G2092" s="221"/>
      <c r="H2092" s="157"/>
      <c r="I2092" s="157"/>
      <c r="J2092" s="157">
        <f>321*5</f>
        <v>1605</v>
      </c>
      <c r="K2092" s="157">
        <v>321</v>
      </c>
      <c r="L2092" s="157">
        <v>6</v>
      </c>
      <c r="M2092" s="157">
        <f>46+25</f>
        <v>71</v>
      </c>
      <c r="N2092" s="157"/>
      <c r="O2092" s="157">
        <v>2</v>
      </c>
      <c r="P2092" s="157"/>
      <c r="Q2092" s="157"/>
      <c r="R2092" s="157"/>
      <c r="S2092" s="157"/>
      <c r="T2092" s="157"/>
      <c r="U2092" s="157"/>
      <c r="V2092" s="158">
        <v>505</v>
      </c>
      <c r="W2092" s="182"/>
      <c r="X2092" s="1"/>
      <c r="Y2092" s="78">
        <f t="shared" si="257"/>
        <v>0</v>
      </c>
      <c r="Z2092" s="78">
        <f t="shared" si="258"/>
        <v>0</v>
      </c>
      <c r="AA2092" s="78">
        <f t="shared" si="256"/>
        <v>0</v>
      </c>
      <c r="AB2092" s="78">
        <f t="shared" si="259"/>
        <v>0</v>
      </c>
      <c r="AC2092" s="78"/>
      <c r="AD2092" s="78">
        <v>0</v>
      </c>
      <c r="AE2092" s="80">
        <f t="shared" si="262"/>
        <v>0</v>
      </c>
      <c r="AF2092" s="82">
        <v>0</v>
      </c>
      <c r="AG2092" s="242">
        <v>40581</v>
      </c>
      <c r="AH2092" s="84"/>
      <c r="AI2092" s="69" t="s">
        <v>1984</v>
      </c>
      <c r="AJ2092" s="25" t="s">
        <v>1985</v>
      </c>
      <c r="AK2092" s="65"/>
      <c r="AL2092" s="176" t="s">
        <v>1257</v>
      </c>
      <c r="AM2092" s="173" t="s">
        <v>349</v>
      </c>
      <c r="AN2092" s="159"/>
      <c r="AO2092" s="160"/>
      <c r="AP2092" s="161"/>
      <c r="AQ2092" s="160"/>
      <c r="AR2092" s="160"/>
      <c r="AS2092" s="160"/>
      <c r="AT2092" s="160"/>
      <c r="AU2092" s="160"/>
      <c r="AV2092" s="160"/>
      <c r="AW2092" s="160"/>
      <c r="AX2092" s="160"/>
      <c r="AY2092" s="160"/>
      <c r="AZ2092" s="160"/>
      <c r="BA2092" s="160"/>
      <c r="BB2092" s="160"/>
      <c r="BC2092" s="160"/>
      <c r="BD2092" s="160"/>
      <c r="BE2092" s="160"/>
      <c r="BF2092" s="160"/>
      <c r="BG2092" s="160"/>
      <c r="BH2092" s="160"/>
      <c r="BI2092" s="160"/>
      <c r="BJ2092" s="160"/>
      <c r="BK2092" s="160"/>
      <c r="BL2092" s="160"/>
      <c r="BM2092" s="160"/>
      <c r="BN2092" s="160"/>
      <c r="BO2092" s="160"/>
      <c r="BP2092" s="160"/>
      <c r="BQ2092" s="160"/>
      <c r="BR2092" s="160"/>
      <c r="BS2092" s="160"/>
      <c r="BT2092" s="160"/>
      <c r="BU2092" s="160"/>
      <c r="BV2092" s="160"/>
      <c r="BW2092" s="160"/>
      <c r="BX2092" s="160"/>
      <c r="BY2092" s="160"/>
      <c r="BZ2092" s="160"/>
      <c r="CA2092" s="160"/>
      <c r="CB2092" s="160"/>
      <c r="CC2092" s="160"/>
      <c r="CD2092" s="160"/>
      <c r="CE2092" s="160"/>
      <c r="CF2092" s="160"/>
      <c r="CG2092" s="160"/>
      <c r="CH2092" s="160"/>
      <c r="CI2092" s="160"/>
      <c r="CJ2092" s="160"/>
      <c r="CK2092" s="160"/>
      <c r="CL2092" s="160"/>
      <c r="CM2092" s="160"/>
      <c r="CN2092" s="160"/>
      <c r="CO2092" s="160"/>
      <c r="CP2092" s="162"/>
      <c r="CQ2092" s="163"/>
      <c r="CR2092" s="162"/>
      <c r="CS2092" s="163"/>
      <c r="CT2092" s="162"/>
      <c r="CU2092" s="163"/>
      <c r="CV2092" s="164">
        <f t="shared" si="260"/>
        <v>0</v>
      </c>
      <c r="CW2092" s="165"/>
      <c r="CX2092" s="166"/>
      <c r="CY2092" s="167"/>
      <c r="CZ2092" s="168"/>
      <c r="DA2092" s="169"/>
      <c r="DB2092" s="168"/>
      <c r="DC2092" s="165"/>
      <c r="DD2092" s="166"/>
      <c r="DE2092" s="71"/>
      <c r="DF2092" s="170"/>
      <c r="EO2092" s="375" t="str">
        <f t="shared" si="261"/>
        <v>TOLIMA_DOLORES</v>
      </c>
      <c r="EP2092" s="376"/>
      <c r="EQ2092" s="376"/>
      <c r="ER2092" s="377"/>
      <c r="ES2092" s="376"/>
      <c r="ET2092" s="376"/>
      <c r="EU2092" s="376"/>
    </row>
    <row r="2093" spans="1:151" s="171" customFormat="1" ht="51" x14ac:dyDescent="0.2">
      <c r="A2093" s="242">
        <v>40522</v>
      </c>
      <c r="B2093" s="222" t="s">
        <v>1462</v>
      </c>
      <c r="C2093" s="222" t="s">
        <v>1050</v>
      </c>
      <c r="D2093" s="430" t="s">
        <v>2307</v>
      </c>
      <c r="E2093" s="107" t="str">
        <f>VLOOKUP(B2093&amp;C2093,Divipola!$C$2:$F$1138,4,FALSE)</f>
        <v>76863</v>
      </c>
      <c r="F2093" s="333"/>
      <c r="G2093" s="221"/>
      <c r="H2093" s="157"/>
      <c r="I2093" s="157"/>
      <c r="J2093" s="157">
        <v>250</v>
      </c>
      <c r="K2093" s="157">
        <v>50</v>
      </c>
      <c r="L2093" s="157"/>
      <c r="M2093" s="157">
        <v>50</v>
      </c>
      <c r="N2093" s="157"/>
      <c r="O2093" s="157"/>
      <c r="P2093" s="157"/>
      <c r="Q2093" s="157"/>
      <c r="R2093" s="157"/>
      <c r="S2093" s="157"/>
      <c r="T2093" s="157"/>
      <c r="U2093" s="157"/>
      <c r="V2093" s="158"/>
      <c r="W2093" s="182"/>
      <c r="X2093" s="1"/>
      <c r="Y2093" s="78">
        <f t="shared" si="257"/>
        <v>0</v>
      </c>
      <c r="Z2093" s="78">
        <f t="shared" si="258"/>
        <v>0</v>
      </c>
      <c r="AA2093" s="78">
        <f t="shared" si="256"/>
        <v>0</v>
      </c>
      <c r="AB2093" s="78">
        <f t="shared" si="259"/>
        <v>0</v>
      </c>
      <c r="AC2093" s="78"/>
      <c r="AD2093" s="78">
        <v>0</v>
      </c>
      <c r="AE2093" s="80">
        <f t="shared" si="262"/>
        <v>0</v>
      </c>
      <c r="AF2093" s="82">
        <v>0</v>
      </c>
      <c r="AG2093" s="242"/>
      <c r="AH2093" s="84"/>
      <c r="AI2093" s="69" t="s">
        <v>2009</v>
      </c>
      <c r="AJ2093" s="276" t="s">
        <v>2010</v>
      </c>
      <c r="AK2093" s="65"/>
      <c r="AL2093" s="272" t="s">
        <v>311</v>
      </c>
      <c r="AM2093" s="173" t="s">
        <v>3854</v>
      </c>
      <c r="AN2093" s="159"/>
      <c r="AO2093" s="160"/>
      <c r="AP2093" s="161"/>
      <c r="AQ2093" s="160"/>
      <c r="AR2093" s="160"/>
      <c r="AS2093" s="160"/>
      <c r="AT2093" s="160"/>
      <c r="AU2093" s="160"/>
      <c r="AV2093" s="160"/>
      <c r="AW2093" s="160"/>
      <c r="AX2093" s="160"/>
      <c r="AY2093" s="160"/>
      <c r="AZ2093" s="160"/>
      <c r="BA2093" s="160"/>
      <c r="BB2093" s="160"/>
      <c r="BC2093" s="160"/>
      <c r="BD2093" s="160"/>
      <c r="BE2093" s="160"/>
      <c r="BF2093" s="160"/>
      <c r="BG2093" s="160"/>
      <c r="BH2093" s="160"/>
      <c r="BI2093" s="160"/>
      <c r="BJ2093" s="160"/>
      <c r="BK2093" s="160"/>
      <c r="BL2093" s="160"/>
      <c r="BM2093" s="160"/>
      <c r="BN2093" s="160"/>
      <c r="BO2093" s="160"/>
      <c r="BP2093" s="160"/>
      <c r="BQ2093" s="160"/>
      <c r="BR2093" s="160"/>
      <c r="BS2093" s="160"/>
      <c r="BT2093" s="160"/>
      <c r="BU2093" s="160"/>
      <c r="BV2093" s="160"/>
      <c r="BW2093" s="160"/>
      <c r="BX2093" s="160"/>
      <c r="BY2093" s="160"/>
      <c r="BZ2093" s="160"/>
      <c r="CA2093" s="160"/>
      <c r="CB2093" s="160"/>
      <c r="CC2093" s="160"/>
      <c r="CD2093" s="160"/>
      <c r="CE2093" s="160"/>
      <c r="CF2093" s="160"/>
      <c r="CG2093" s="160"/>
      <c r="CH2093" s="160"/>
      <c r="CI2093" s="160"/>
      <c r="CJ2093" s="160"/>
      <c r="CK2093" s="160"/>
      <c r="CL2093" s="160"/>
      <c r="CM2093" s="160"/>
      <c r="CN2093" s="160"/>
      <c r="CO2093" s="160"/>
      <c r="CP2093" s="162"/>
      <c r="CQ2093" s="163"/>
      <c r="CR2093" s="162"/>
      <c r="CS2093" s="163"/>
      <c r="CT2093" s="162"/>
      <c r="CU2093" s="163"/>
      <c r="CV2093" s="164">
        <f t="shared" si="260"/>
        <v>0</v>
      </c>
      <c r="CW2093" s="165"/>
      <c r="CX2093" s="166"/>
      <c r="CY2093" s="167"/>
      <c r="CZ2093" s="168"/>
      <c r="DA2093" s="169"/>
      <c r="DB2093" s="168"/>
      <c r="DC2093" s="165"/>
      <c r="DD2093" s="166"/>
      <c r="DE2093" s="71"/>
      <c r="DF2093" s="170"/>
      <c r="EO2093" s="375" t="str">
        <f t="shared" si="261"/>
        <v>VALLE DEL CAUCA_VERSALLES</v>
      </c>
      <c r="EP2093" s="376"/>
      <c r="EQ2093" s="376"/>
      <c r="ER2093" s="377"/>
      <c r="ES2093" s="376"/>
      <c r="ET2093" s="376"/>
      <c r="EU2093" s="376"/>
    </row>
    <row r="2094" spans="1:151" s="171" customFormat="1" ht="48" x14ac:dyDescent="0.2">
      <c r="A2094" s="242">
        <v>40523</v>
      </c>
      <c r="B2094" s="222" t="s">
        <v>2425</v>
      </c>
      <c r="C2094" s="222" t="s">
        <v>2603</v>
      </c>
      <c r="D2094" s="430" t="s">
        <v>837</v>
      </c>
      <c r="E2094" s="107" t="str">
        <f>VLOOKUP(B2094&amp;C2094,Divipola!$C$2:$F$1138,4,FALSE)</f>
        <v>27372</v>
      </c>
      <c r="F2094" s="333"/>
      <c r="G2094" s="221"/>
      <c r="H2094" s="157"/>
      <c r="I2094" s="157"/>
      <c r="J2094" s="157">
        <f>3360-1000</f>
        <v>2360</v>
      </c>
      <c r="K2094" s="157">
        <f>672-200</f>
        <v>472</v>
      </c>
      <c r="L2094" s="157"/>
      <c r="M2094" s="157"/>
      <c r="N2094" s="157"/>
      <c r="O2094" s="157"/>
      <c r="P2094" s="157"/>
      <c r="Q2094" s="157"/>
      <c r="R2094" s="157"/>
      <c r="S2094" s="157"/>
      <c r="T2094" s="157"/>
      <c r="U2094" s="157"/>
      <c r="V2094" s="158"/>
      <c r="W2094" s="182"/>
      <c r="X2094" s="1"/>
      <c r="Y2094" s="78">
        <f t="shared" si="257"/>
        <v>13610000</v>
      </c>
      <c r="Z2094" s="78">
        <f t="shared" si="258"/>
        <v>37825000</v>
      </c>
      <c r="AA2094" s="78">
        <f t="shared" si="256"/>
        <v>0</v>
      </c>
      <c r="AB2094" s="78">
        <f t="shared" si="259"/>
        <v>0</v>
      </c>
      <c r="AC2094" s="78"/>
      <c r="AD2094" s="78">
        <v>0</v>
      </c>
      <c r="AE2094" s="80">
        <f t="shared" si="262"/>
        <v>51435000</v>
      </c>
      <c r="AF2094" s="82">
        <v>0</v>
      </c>
      <c r="AG2094" s="242"/>
      <c r="AH2094" s="84"/>
      <c r="AI2094" s="69" t="s">
        <v>2009</v>
      </c>
      <c r="AJ2094" s="25" t="s">
        <v>2010</v>
      </c>
      <c r="AK2094" s="65"/>
      <c r="AL2094" s="176"/>
      <c r="AM2094" s="173" t="s">
        <v>1118</v>
      </c>
      <c r="AN2094" s="159"/>
      <c r="AO2094" s="160"/>
      <c r="AP2094" s="161"/>
      <c r="AQ2094" s="160"/>
      <c r="AR2094" s="160"/>
      <c r="AS2094" s="160"/>
      <c r="AT2094" s="160"/>
      <c r="AU2094" s="160"/>
      <c r="AV2094" s="160"/>
      <c r="AW2094" s="160"/>
      <c r="AX2094" s="160"/>
      <c r="AY2094" s="160"/>
      <c r="AZ2094" s="160"/>
      <c r="BA2094" s="160"/>
      <c r="BB2094" s="160">
        <v>100</v>
      </c>
      <c r="BC2094" s="160">
        <f>100*56000</f>
        <v>5600000</v>
      </c>
      <c r="BD2094" s="160"/>
      <c r="BE2094" s="160"/>
      <c r="BF2094" s="160"/>
      <c r="BG2094" s="160"/>
      <c r="BH2094" s="160"/>
      <c r="BI2094" s="160"/>
      <c r="BJ2094" s="160"/>
      <c r="BK2094" s="160"/>
      <c r="BL2094" s="160"/>
      <c r="BM2094" s="160"/>
      <c r="BN2094" s="160"/>
      <c r="BO2094" s="160"/>
      <c r="BP2094" s="160"/>
      <c r="BQ2094" s="160"/>
      <c r="BR2094" s="160"/>
      <c r="BS2094" s="160"/>
      <c r="BT2094" s="160"/>
      <c r="BU2094" s="160"/>
      <c r="BV2094" s="160"/>
      <c r="BW2094" s="160"/>
      <c r="BX2094" s="160"/>
      <c r="BY2094" s="160"/>
      <c r="BZ2094" s="160"/>
      <c r="CA2094" s="160"/>
      <c r="CB2094" s="160"/>
      <c r="CC2094" s="160"/>
      <c r="CD2094" s="160"/>
      <c r="CE2094" s="160"/>
      <c r="CF2094" s="160"/>
      <c r="CG2094" s="160"/>
      <c r="CH2094" s="160"/>
      <c r="CI2094" s="160"/>
      <c r="CJ2094" s="160"/>
      <c r="CK2094" s="160"/>
      <c r="CL2094" s="160"/>
      <c r="CM2094" s="160"/>
      <c r="CN2094" s="160">
        <v>445</v>
      </c>
      <c r="CO2094" s="160">
        <f>445*18000</f>
        <v>8010000</v>
      </c>
      <c r="CP2094" s="162"/>
      <c r="CQ2094" s="163"/>
      <c r="CR2094" s="162"/>
      <c r="CS2094" s="163"/>
      <c r="CT2094" s="162"/>
      <c r="CU2094" s="163"/>
      <c r="CV2094" s="164">
        <f t="shared" si="260"/>
        <v>13610000</v>
      </c>
      <c r="CW2094" s="165"/>
      <c r="CX2094" s="166"/>
      <c r="CY2094" s="167">
        <v>445</v>
      </c>
      <c r="CZ2094" s="168">
        <f>445*85000</f>
        <v>37825000</v>
      </c>
      <c r="DA2094" s="169"/>
      <c r="DB2094" s="168"/>
      <c r="DC2094" s="165"/>
      <c r="DD2094" s="166"/>
      <c r="DE2094" s="71"/>
      <c r="DF2094" s="170"/>
      <c r="EO2094" s="375" t="str">
        <f t="shared" si="261"/>
        <v>CHOCO_JURADO</v>
      </c>
      <c r="EP2094" s="376"/>
      <c r="EQ2094" s="376"/>
      <c r="ER2094" s="377"/>
      <c r="ES2094" s="376"/>
      <c r="ET2094" s="376"/>
      <c r="EU2094" s="376"/>
    </row>
    <row r="2095" spans="1:151" s="171" customFormat="1" ht="25.5" x14ac:dyDescent="0.2">
      <c r="A2095" s="242">
        <v>40523</v>
      </c>
      <c r="B2095" s="222" t="s">
        <v>2245</v>
      </c>
      <c r="C2095" s="222" t="s">
        <v>496</v>
      </c>
      <c r="D2095" s="430" t="s">
        <v>2307</v>
      </c>
      <c r="E2095" s="107" t="str">
        <f>VLOOKUP(B2095&amp;C2095,Divipola!$C$2:$F$1138,4,FALSE)</f>
        <v>52612</v>
      </c>
      <c r="F2095" s="333"/>
      <c r="G2095" s="221"/>
      <c r="H2095" s="157"/>
      <c r="I2095" s="157"/>
      <c r="J2095" s="157"/>
      <c r="K2095" s="157"/>
      <c r="L2095" s="157"/>
      <c r="M2095" s="157"/>
      <c r="N2095" s="157">
        <v>1</v>
      </c>
      <c r="O2095" s="157"/>
      <c r="P2095" s="157"/>
      <c r="Q2095" s="157"/>
      <c r="R2095" s="157"/>
      <c r="S2095" s="157"/>
      <c r="T2095" s="157"/>
      <c r="U2095" s="157"/>
      <c r="V2095" s="158"/>
      <c r="W2095" s="182"/>
      <c r="X2095" s="1"/>
      <c r="Y2095" s="78">
        <f t="shared" si="257"/>
        <v>0</v>
      </c>
      <c r="Z2095" s="78">
        <f t="shared" si="258"/>
        <v>0</v>
      </c>
      <c r="AA2095" s="78">
        <f t="shared" si="256"/>
        <v>0</v>
      </c>
      <c r="AB2095" s="78">
        <f t="shared" si="259"/>
        <v>0</v>
      </c>
      <c r="AC2095" s="78"/>
      <c r="AD2095" s="78">
        <v>0</v>
      </c>
      <c r="AE2095" s="80">
        <f t="shared" si="262"/>
        <v>0</v>
      </c>
      <c r="AF2095" s="82">
        <v>0</v>
      </c>
      <c r="AG2095" s="242">
        <v>40523</v>
      </c>
      <c r="AH2095" s="84"/>
      <c r="AI2095" s="69" t="s">
        <v>1984</v>
      </c>
      <c r="AJ2095" s="25" t="s">
        <v>1985</v>
      </c>
      <c r="AK2095" s="65"/>
      <c r="AL2095" s="176" t="s">
        <v>1257</v>
      </c>
      <c r="AM2095" s="173" t="s">
        <v>1119</v>
      </c>
      <c r="AN2095" s="159"/>
      <c r="AO2095" s="160"/>
      <c r="AP2095" s="161"/>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2"/>
      <c r="CQ2095" s="163"/>
      <c r="CR2095" s="162"/>
      <c r="CS2095" s="163"/>
      <c r="CT2095" s="162"/>
      <c r="CU2095" s="163"/>
      <c r="CV2095" s="164">
        <f t="shared" si="260"/>
        <v>0</v>
      </c>
      <c r="CW2095" s="165"/>
      <c r="CX2095" s="166"/>
      <c r="CY2095" s="167"/>
      <c r="CZ2095" s="168"/>
      <c r="DA2095" s="169"/>
      <c r="DB2095" s="168"/>
      <c r="DC2095" s="165"/>
      <c r="DD2095" s="166"/>
      <c r="DE2095" s="71"/>
      <c r="DF2095" s="170"/>
      <c r="EO2095" s="375" t="str">
        <f t="shared" si="261"/>
        <v>NARIÑO_RICAURTE</v>
      </c>
      <c r="EP2095" s="376"/>
      <c r="EQ2095" s="376"/>
      <c r="ER2095" s="377"/>
      <c r="ES2095" s="376"/>
      <c r="ET2095" s="376"/>
      <c r="EU2095" s="376"/>
    </row>
    <row r="2096" spans="1:151" s="171" customFormat="1" ht="25.5" x14ac:dyDescent="0.2">
      <c r="A2096" s="242">
        <v>40523</v>
      </c>
      <c r="B2096" s="222" t="s">
        <v>2245</v>
      </c>
      <c r="C2096" s="222" t="s">
        <v>496</v>
      </c>
      <c r="D2096" s="430" t="s">
        <v>2307</v>
      </c>
      <c r="E2096" s="107" t="str">
        <f>VLOOKUP(B2096&amp;C2096,Divipola!$C$2:$F$1138,4,FALSE)</f>
        <v>52612</v>
      </c>
      <c r="F2096" s="333"/>
      <c r="G2096" s="221"/>
      <c r="H2096" s="157"/>
      <c r="I2096" s="157"/>
      <c r="J2096" s="157">
        <v>35</v>
      </c>
      <c r="K2096" s="157">
        <v>7</v>
      </c>
      <c r="L2096" s="157"/>
      <c r="M2096" s="157"/>
      <c r="N2096" s="157"/>
      <c r="O2096" s="157"/>
      <c r="P2096" s="157"/>
      <c r="Q2096" s="157"/>
      <c r="R2096" s="157"/>
      <c r="S2096" s="157"/>
      <c r="T2096" s="157"/>
      <c r="U2096" s="157"/>
      <c r="V2096" s="158"/>
      <c r="W2096" s="182"/>
      <c r="X2096" s="1"/>
      <c r="Y2096" s="78">
        <f t="shared" si="257"/>
        <v>0</v>
      </c>
      <c r="Z2096" s="78">
        <f t="shared" si="258"/>
        <v>0</v>
      </c>
      <c r="AA2096" s="78">
        <f t="shared" si="256"/>
        <v>0</v>
      </c>
      <c r="AB2096" s="78">
        <f t="shared" si="259"/>
        <v>0</v>
      </c>
      <c r="AC2096" s="78"/>
      <c r="AD2096" s="78">
        <v>0</v>
      </c>
      <c r="AE2096" s="80">
        <f t="shared" si="262"/>
        <v>0</v>
      </c>
      <c r="AF2096" s="82">
        <v>0</v>
      </c>
      <c r="AG2096" s="69">
        <v>40523</v>
      </c>
      <c r="AH2096" s="84"/>
      <c r="AI2096" s="69" t="s">
        <v>1984</v>
      </c>
      <c r="AJ2096" s="25" t="s">
        <v>1985</v>
      </c>
      <c r="AK2096" s="65"/>
      <c r="AL2096" s="176" t="s">
        <v>1257</v>
      </c>
      <c r="AM2096" s="173" t="s">
        <v>1120</v>
      </c>
      <c r="AN2096" s="159"/>
      <c r="AO2096" s="160"/>
      <c r="AP2096" s="161"/>
      <c r="AQ2096" s="160"/>
      <c r="AR2096" s="160"/>
      <c r="AS2096" s="160"/>
      <c r="AT2096" s="160"/>
      <c r="AU2096" s="160"/>
      <c r="AV2096" s="160"/>
      <c r="AW2096" s="160"/>
      <c r="AX2096" s="160"/>
      <c r="AY2096" s="160"/>
      <c r="AZ2096" s="160"/>
      <c r="BA2096" s="160"/>
      <c r="BB2096" s="160"/>
      <c r="BC2096" s="160"/>
      <c r="BD2096" s="160"/>
      <c r="BE2096" s="160"/>
      <c r="BF2096" s="160"/>
      <c r="BG2096" s="160"/>
      <c r="BH2096" s="160"/>
      <c r="BI2096" s="160"/>
      <c r="BJ2096" s="160"/>
      <c r="BK2096" s="160"/>
      <c r="BL2096" s="160"/>
      <c r="BM2096" s="160"/>
      <c r="BN2096" s="160"/>
      <c r="BO2096" s="160"/>
      <c r="BP2096" s="160"/>
      <c r="BQ2096" s="160"/>
      <c r="BR2096" s="160"/>
      <c r="BS2096" s="160"/>
      <c r="BT2096" s="160"/>
      <c r="BU2096" s="160"/>
      <c r="BV2096" s="160"/>
      <c r="BW2096" s="160"/>
      <c r="BX2096" s="160"/>
      <c r="BY2096" s="160"/>
      <c r="BZ2096" s="160"/>
      <c r="CA2096" s="160"/>
      <c r="CB2096" s="160"/>
      <c r="CC2096" s="160"/>
      <c r="CD2096" s="160"/>
      <c r="CE2096" s="160"/>
      <c r="CF2096" s="160"/>
      <c r="CG2096" s="160"/>
      <c r="CH2096" s="160"/>
      <c r="CI2096" s="160"/>
      <c r="CJ2096" s="160"/>
      <c r="CK2096" s="160"/>
      <c r="CL2096" s="160"/>
      <c r="CM2096" s="160"/>
      <c r="CN2096" s="160"/>
      <c r="CO2096" s="160"/>
      <c r="CP2096" s="162"/>
      <c r="CQ2096" s="163"/>
      <c r="CR2096" s="162"/>
      <c r="CS2096" s="163"/>
      <c r="CT2096" s="162"/>
      <c r="CU2096" s="163"/>
      <c r="CV2096" s="164">
        <f t="shared" si="260"/>
        <v>0</v>
      </c>
      <c r="CW2096" s="165"/>
      <c r="CX2096" s="166"/>
      <c r="CY2096" s="167"/>
      <c r="CZ2096" s="168"/>
      <c r="DA2096" s="169"/>
      <c r="DB2096" s="168"/>
      <c r="DC2096" s="165"/>
      <c r="DD2096" s="166"/>
      <c r="DE2096" s="71"/>
      <c r="DF2096" s="170"/>
      <c r="EO2096" s="375" t="str">
        <f t="shared" si="261"/>
        <v>NARIÑO_RICAURTE</v>
      </c>
      <c r="EP2096" s="376"/>
      <c r="EQ2096" s="376"/>
      <c r="ER2096" s="377"/>
      <c r="ES2096" s="376"/>
      <c r="ET2096" s="376"/>
      <c r="EU2096" s="376"/>
    </row>
    <row r="2097" spans="1:151" s="171" customFormat="1" ht="45" x14ac:dyDescent="0.2">
      <c r="A2097" s="242">
        <v>40524</v>
      </c>
      <c r="B2097" s="222" t="s">
        <v>1719</v>
      </c>
      <c r="C2097" s="222" t="s">
        <v>4267</v>
      </c>
      <c r="D2097" s="430" t="s">
        <v>2307</v>
      </c>
      <c r="E2097" s="107" t="str">
        <f>VLOOKUP(B2097&amp;C2097,Divipola!$C$2:$F$1138,4,FALSE)</f>
        <v>19418</v>
      </c>
      <c r="F2097" s="333"/>
      <c r="G2097" s="221"/>
      <c r="H2097" s="157"/>
      <c r="I2097" s="157"/>
      <c r="J2097" s="157">
        <f>802*5</f>
        <v>4010</v>
      </c>
      <c r="K2097" s="157">
        <f>378+424</f>
        <v>802</v>
      </c>
      <c r="L2097" s="157"/>
      <c r="M2097" s="157"/>
      <c r="N2097" s="157"/>
      <c r="O2097" s="157"/>
      <c r="P2097" s="157"/>
      <c r="Q2097" s="157">
        <v>3</v>
      </c>
      <c r="R2097" s="157"/>
      <c r="S2097" s="157"/>
      <c r="T2097" s="157"/>
      <c r="U2097" s="157"/>
      <c r="V2097" s="158">
        <v>2737</v>
      </c>
      <c r="W2097" s="182" t="s">
        <v>759</v>
      </c>
      <c r="X2097" s="1"/>
      <c r="Y2097" s="78">
        <f t="shared" si="257"/>
        <v>0</v>
      </c>
      <c r="Z2097" s="78">
        <f t="shared" si="258"/>
        <v>0</v>
      </c>
      <c r="AA2097" s="78">
        <f t="shared" si="256"/>
        <v>0</v>
      </c>
      <c r="AB2097" s="78">
        <f t="shared" si="259"/>
        <v>0</v>
      </c>
      <c r="AC2097" s="78"/>
      <c r="AD2097" s="78">
        <v>0</v>
      </c>
      <c r="AE2097" s="80">
        <f t="shared" si="262"/>
        <v>0</v>
      </c>
      <c r="AF2097" s="82">
        <v>0</v>
      </c>
      <c r="AG2097" s="69"/>
      <c r="AH2097" s="84"/>
      <c r="AI2097" s="69" t="s">
        <v>2009</v>
      </c>
      <c r="AJ2097" s="276" t="s">
        <v>2010</v>
      </c>
      <c r="AK2097" s="65"/>
      <c r="AL2097" s="272" t="s">
        <v>311</v>
      </c>
      <c r="AM2097" s="173" t="s">
        <v>499</v>
      </c>
      <c r="AN2097" s="159"/>
      <c r="AO2097" s="160"/>
      <c r="AP2097" s="161"/>
      <c r="AQ2097" s="160"/>
      <c r="AR2097" s="160"/>
      <c r="AS2097" s="160"/>
      <c r="AT2097" s="160"/>
      <c r="AU2097" s="160"/>
      <c r="AV2097" s="160"/>
      <c r="AW2097" s="160"/>
      <c r="AX2097" s="160"/>
      <c r="AY2097" s="160"/>
      <c r="AZ2097" s="160"/>
      <c r="BA2097" s="160"/>
      <c r="BB2097" s="160"/>
      <c r="BC2097" s="160"/>
      <c r="BD2097" s="160"/>
      <c r="BE2097" s="160"/>
      <c r="BF2097" s="160"/>
      <c r="BG2097" s="160"/>
      <c r="BH2097" s="160"/>
      <c r="BI2097" s="160"/>
      <c r="BJ2097" s="160"/>
      <c r="BK2097" s="160"/>
      <c r="BL2097" s="160"/>
      <c r="BM2097" s="160"/>
      <c r="BN2097" s="160"/>
      <c r="BO2097" s="160"/>
      <c r="BP2097" s="160"/>
      <c r="BQ2097" s="160"/>
      <c r="BR2097" s="160"/>
      <c r="BS2097" s="160"/>
      <c r="BT2097" s="160"/>
      <c r="BU2097" s="160"/>
      <c r="BV2097" s="160"/>
      <c r="BW2097" s="160"/>
      <c r="BX2097" s="160"/>
      <c r="BY2097" s="160"/>
      <c r="BZ2097" s="160"/>
      <c r="CA2097" s="160"/>
      <c r="CB2097" s="160"/>
      <c r="CC2097" s="160"/>
      <c r="CD2097" s="160"/>
      <c r="CE2097" s="160"/>
      <c r="CF2097" s="160"/>
      <c r="CG2097" s="160"/>
      <c r="CH2097" s="160"/>
      <c r="CI2097" s="160"/>
      <c r="CJ2097" s="160"/>
      <c r="CK2097" s="160"/>
      <c r="CL2097" s="160"/>
      <c r="CM2097" s="160"/>
      <c r="CN2097" s="160"/>
      <c r="CO2097" s="160"/>
      <c r="CP2097" s="162"/>
      <c r="CQ2097" s="163"/>
      <c r="CR2097" s="162"/>
      <c r="CS2097" s="163"/>
      <c r="CT2097" s="162"/>
      <c r="CU2097" s="163"/>
      <c r="CV2097" s="164">
        <f t="shared" si="260"/>
        <v>0</v>
      </c>
      <c r="CW2097" s="165"/>
      <c r="CX2097" s="166"/>
      <c r="CY2097" s="167"/>
      <c r="CZ2097" s="168"/>
      <c r="DA2097" s="169"/>
      <c r="DB2097" s="168"/>
      <c r="DC2097" s="165"/>
      <c r="DD2097" s="166"/>
      <c r="DE2097" s="71"/>
      <c r="DF2097" s="170"/>
      <c r="EO2097" s="375" t="str">
        <f t="shared" si="261"/>
        <v>CAUCA_LOPEZ</v>
      </c>
      <c r="EP2097" s="376"/>
      <c r="EQ2097" s="376"/>
      <c r="ER2097" s="377"/>
      <c r="ES2097" s="376"/>
      <c r="ET2097" s="376"/>
      <c r="EU2097" s="376"/>
    </row>
    <row r="2098" spans="1:151" s="171" customFormat="1" ht="45" x14ac:dyDescent="0.2">
      <c r="A2098" s="242">
        <v>40524</v>
      </c>
      <c r="B2098" s="222" t="s">
        <v>1719</v>
      </c>
      <c r="C2098" s="222" t="s">
        <v>1129</v>
      </c>
      <c r="D2098" s="430" t="s">
        <v>837</v>
      </c>
      <c r="E2098" s="107" t="str">
        <f>VLOOKUP(B2098&amp;C2098,Divipola!$C$2:$F$1138,4,FALSE)</f>
        <v>19760</v>
      </c>
      <c r="F2098" s="333"/>
      <c r="G2098" s="221"/>
      <c r="H2098" s="157"/>
      <c r="I2098" s="157"/>
      <c r="J2098" s="157">
        <f>1155*5</f>
        <v>5775</v>
      </c>
      <c r="K2098" s="157">
        <v>1155</v>
      </c>
      <c r="L2098" s="157"/>
      <c r="M2098" s="157">
        <v>1155</v>
      </c>
      <c r="N2098" s="157"/>
      <c r="O2098" s="157"/>
      <c r="P2098" s="157"/>
      <c r="Q2098" s="157">
        <v>3</v>
      </c>
      <c r="R2098" s="157"/>
      <c r="S2098" s="157"/>
      <c r="T2098" s="157"/>
      <c r="U2098" s="157"/>
      <c r="V2098" s="158">
        <v>70.599999999999994</v>
      </c>
      <c r="W2098" s="182" t="s">
        <v>775</v>
      </c>
      <c r="X2098" s="1"/>
      <c r="Y2098" s="78">
        <f t="shared" si="257"/>
        <v>0</v>
      </c>
      <c r="Z2098" s="78">
        <f t="shared" si="258"/>
        <v>0</v>
      </c>
      <c r="AA2098" s="78">
        <f t="shared" si="256"/>
        <v>0</v>
      </c>
      <c r="AB2098" s="78">
        <f t="shared" si="259"/>
        <v>0</v>
      </c>
      <c r="AC2098" s="78"/>
      <c r="AD2098" s="78">
        <v>0</v>
      </c>
      <c r="AE2098" s="80">
        <f t="shared" si="262"/>
        <v>0</v>
      </c>
      <c r="AF2098" s="82">
        <v>0</v>
      </c>
      <c r="AG2098" s="69"/>
      <c r="AH2098" s="84"/>
      <c r="AI2098" s="69" t="s">
        <v>2009</v>
      </c>
      <c r="AJ2098" s="276" t="s">
        <v>2010</v>
      </c>
      <c r="AK2098" s="65"/>
      <c r="AL2098" s="272" t="s">
        <v>311</v>
      </c>
      <c r="AM2098" s="173" t="s">
        <v>1127</v>
      </c>
      <c r="AN2098" s="159"/>
      <c r="AO2098" s="160"/>
      <c r="AP2098" s="161"/>
      <c r="AQ2098" s="160"/>
      <c r="AR2098" s="160"/>
      <c r="AS2098" s="160"/>
      <c r="AT2098" s="160"/>
      <c r="AU2098" s="160"/>
      <c r="AV2098" s="160"/>
      <c r="AW2098" s="160"/>
      <c r="AX2098" s="160"/>
      <c r="AY2098" s="160"/>
      <c r="AZ2098" s="160"/>
      <c r="BA2098" s="160"/>
      <c r="BB2098" s="160"/>
      <c r="BC2098" s="160"/>
      <c r="BD2098" s="160"/>
      <c r="BE2098" s="160"/>
      <c r="BF2098" s="160"/>
      <c r="BG2098" s="160"/>
      <c r="BH2098" s="160"/>
      <c r="BI2098" s="160"/>
      <c r="BJ2098" s="160"/>
      <c r="BK2098" s="160"/>
      <c r="BL2098" s="160"/>
      <c r="BM2098" s="160"/>
      <c r="BN2098" s="160"/>
      <c r="BO2098" s="160"/>
      <c r="BP2098" s="160"/>
      <c r="BQ2098" s="160"/>
      <c r="BR2098" s="160"/>
      <c r="BS2098" s="160"/>
      <c r="BT2098" s="160"/>
      <c r="BU2098" s="160"/>
      <c r="BV2098" s="160"/>
      <c r="BW2098" s="160"/>
      <c r="BX2098" s="160"/>
      <c r="BY2098" s="160"/>
      <c r="BZ2098" s="160"/>
      <c r="CA2098" s="160"/>
      <c r="CB2098" s="160"/>
      <c r="CC2098" s="160"/>
      <c r="CD2098" s="160"/>
      <c r="CE2098" s="160"/>
      <c r="CF2098" s="160"/>
      <c r="CG2098" s="160"/>
      <c r="CH2098" s="160"/>
      <c r="CI2098" s="160"/>
      <c r="CJ2098" s="160"/>
      <c r="CK2098" s="160"/>
      <c r="CL2098" s="160"/>
      <c r="CM2098" s="160"/>
      <c r="CN2098" s="160"/>
      <c r="CO2098" s="160"/>
      <c r="CP2098" s="162"/>
      <c r="CQ2098" s="163"/>
      <c r="CR2098" s="162"/>
      <c r="CS2098" s="163"/>
      <c r="CT2098" s="162"/>
      <c r="CU2098" s="163"/>
      <c r="CV2098" s="164">
        <f t="shared" si="260"/>
        <v>0</v>
      </c>
      <c r="CW2098" s="165"/>
      <c r="CX2098" s="166"/>
      <c r="CY2098" s="167"/>
      <c r="CZ2098" s="168"/>
      <c r="DA2098" s="169"/>
      <c r="DB2098" s="168"/>
      <c r="DC2098" s="165"/>
      <c r="DD2098" s="166"/>
      <c r="DE2098" s="71"/>
      <c r="DF2098" s="170"/>
      <c r="EO2098" s="375" t="str">
        <f t="shared" si="261"/>
        <v>CAUCA_SOTARA</v>
      </c>
      <c r="EP2098" s="376"/>
      <c r="EQ2098" s="376"/>
      <c r="ER2098" s="377"/>
      <c r="ES2098" s="376"/>
      <c r="ET2098" s="376"/>
      <c r="EU2098" s="376"/>
    </row>
    <row r="2099" spans="1:151" s="171" customFormat="1" ht="45" x14ac:dyDescent="0.2">
      <c r="A2099" s="242">
        <v>40524</v>
      </c>
      <c r="B2099" s="222" t="s">
        <v>1719</v>
      </c>
      <c r="C2099" s="222" t="s">
        <v>33</v>
      </c>
      <c r="D2099" s="430" t="s">
        <v>2307</v>
      </c>
      <c r="E2099" s="107" t="str">
        <f>VLOOKUP(B2099&amp;C2099,Divipola!$C$2:$F$1138,4,FALSE)</f>
        <v>19807</v>
      </c>
      <c r="F2099" s="333"/>
      <c r="G2099" s="221"/>
      <c r="H2099" s="157"/>
      <c r="I2099" s="157"/>
      <c r="J2099" s="157">
        <f>962*5</f>
        <v>4810</v>
      </c>
      <c r="K2099" s="157">
        <v>962</v>
      </c>
      <c r="L2099" s="157"/>
      <c r="M2099" s="157">
        <v>962</v>
      </c>
      <c r="N2099" s="157">
        <v>1</v>
      </c>
      <c r="O2099" s="157"/>
      <c r="P2099" s="157"/>
      <c r="Q2099" s="157">
        <v>3</v>
      </c>
      <c r="R2099" s="157"/>
      <c r="S2099" s="157"/>
      <c r="T2099" s="157"/>
      <c r="U2099" s="157"/>
      <c r="V2099" s="158">
        <v>66</v>
      </c>
      <c r="W2099" s="182" t="s">
        <v>777</v>
      </c>
      <c r="X2099" s="1"/>
      <c r="Y2099" s="78">
        <f t="shared" si="257"/>
        <v>0</v>
      </c>
      <c r="Z2099" s="78">
        <f t="shared" si="258"/>
        <v>0</v>
      </c>
      <c r="AA2099" s="78">
        <f t="shared" si="256"/>
        <v>0</v>
      </c>
      <c r="AB2099" s="78">
        <f t="shared" si="259"/>
        <v>0</v>
      </c>
      <c r="AC2099" s="78"/>
      <c r="AD2099" s="78">
        <v>0</v>
      </c>
      <c r="AE2099" s="80">
        <f t="shared" si="262"/>
        <v>0</v>
      </c>
      <c r="AF2099" s="82">
        <v>0</v>
      </c>
      <c r="AG2099" s="69"/>
      <c r="AH2099" s="84"/>
      <c r="AI2099" s="69" t="s">
        <v>2009</v>
      </c>
      <c r="AJ2099" s="276" t="s">
        <v>2010</v>
      </c>
      <c r="AK2099" s="65"/>
      <c r="AL2099" s="272" t="s">
        <v>311</v>
      </c>
      <c r="AM2099" s="173" t="s">
        <v>1127</v>
      </c>
      <c r="AN2099" s="159"/>
      <c r="AO2099" s="160"/>
      <c r="AP2099" s="161"/>
      <c r="AQ2099" s="160"/>
      <c r="AR2099" s="160"/>
      <c r="AS2099" s="160"/>
      <c r="AT2099" s="160"/>
      <c r="AU2099" s="160"/>
      <c r="AV2099" s="160"/>
      <c r="AW2099" s="160"/>
      <c r="AX2099" s="160"/>
      <c r="AY2099" s="160"/>
      <c r="AZ2099" s="160"/>
      <c r="BA2099" s="160"/>
      <c r="BB2099" s="160"/>
      <c r="BC2099" s="160"/>
      <c r="BD2099" s="160"/>
      <c r="BE2099" s="160"/>
      <c r="BF2099" s="160"/>
      <c r="BG2099" s="160"/>
      <c r="BH2099" s="160"/>
      <c r="BI2099" s="160"/>
      <c r="BJ2099" s="160"/>
      <c r="BK2099" s="160"/>
      <c r="BL2099" s="160"/>
      <c r="BM2099" s="160"/>
      <c r="BN2099" s="160"/>
      <c r="BO2099" s="160"/>
      <c r="BP2099" s="160"/>
      <c r="BQ2099" s="160"/>
      <c r="BR2099" s="160"/>
      <c r="BS2099" s="160"/>
      <c r="BT2099" s="160"/>
      <c r="BU2099" s="160"/>
      <c r="BV2099" s="160"/>
      <c r="BW2099" s="160"/>
      <c r="BX2099" s="160"/>
      <c r="BY2099" s="160"/>
      <c r="BZ2099" s="160"/>
      <c r="CA2099" s="160"/>
      <c r="CB2099" s="160"/>
      <c r="CC2099" s="160"/>
      <c r="CD2099" s="160"/>
      <c r="CE2099" s="160"/>
      <c r="CF2099" s="160"/>
      <c r="CG2099" s="160"/>
      <c r="CH2099" s="160"/>
      <c r="CI2099" s="160"/>
      <c r="CJ2099" s="160"/>
      <c r="CK2099" s="160"/>
      <c r="CL2099" s="160"/>
      <c r="CM2099" s="160"/>
      <c r="CN2099" s="160"/>
      <c r="CO2099" s="160"/>
      <c r="CP2099" s="162"/>
      <c r="CQ2099" s="163"/>
      <c r="CR2099" s="162"/>
      <c r="CS2099" s="163"/>
      <c r="CT2099" s="162"/>
      <c r="CU2099" s="163"/>
      <c r="CV2099" s="164">
        <f t="shared" si="260"/>
        <v>0</v>
      </c>
      <c r="CW2099" s="165"/>
      <c r="CX2099" s="166"/>
      <c r="CY2099" s="167"/>
      <c r="CZ2099" s="168"/>
      <c r="DA2099" s="169"/>
      <c r="DB2099" s="168"/>
      <c r="DC2099" s="165"/>
      <c r="DD2099" s="166"/>
      <c r="DE2099" s="71"/>
      <c r="DF2099" s="170"/>
      <c r="EO2099" s="375" t="str">
        <f t="shared" si="261"/>
        <v>CAUCA_TIMBIO</v>
      </c>
      <c r="EP2099" s="376"/>
      <c r="EQ2099" s="376"/>
      <c r="ER2099" s="377"/>
      <c r="ES2099" s="376"/>
      <c r="ET2099" s="376"/>
      <c r="EU2099" s="376"/>
    </row>
    <row r="2100" spans="1:151" s="171" customFormat="1" ht="38.25" x14ac:dyDescent="0.2">
      <c r="A2100" s="242">
        <v>40524</v>
      </c>
      <c r="B2100" s="222" t="s">
        <v>2007</v>
      </c>
      <c r="C2100" s="222" t="s">
        <v>3070</v>
      </c>
      <c r="D2100" s="430" t="s">
        <v>837</v>
      </c>
      <c r="E2100" s="107" t="str">
        <f>VLOOKUP(B2100&amp;C2100,Divipola!$C$2:$F$1138,4,FALSE)</f>
        <v>25269</v>
      </c>
      <c r="F2100" s="333"/>
      <c r="G2100" s="221"/>
      <c r="H2100" s="157"/>
      <c r="I2100" s="157"/>
      <c r="J2100" s="157">
        <v>24</v>
      </c>
      <c r="K2100" s="157">
        <v>5</v>
      </c>
      <c r="L2100" s="157"/>
      <c r="M2100" s="157"/>
      <c r="N2100" s="157"/>
      <c r="O2100" s="157"/>
      <c r="P2100" s="157"/>
      <c r="Q2100" s="157"/>
      <c r="R2100" s="157"/>
      <c r="S2100" s="157"/>
      <c r="T2100" s="157"/>
      <c r="U2100" s="157"/>
      <c r="V2100" s="158"/>
      <c r="W2100" s="182"/>
      <c r="X2100" s="1"/>
      <c r="Y2100" s="78">
        <f t="shared" si="257"/>
        <v>0</v>
      </c>
      <c r="Z2100" s="78">
        <f t="shared" si="258"/>
        <v>0</v>
      </c>
      <c r="AA2100" s="78">
        <f t="shared" si="256"/>
        <v>0</v>
      </c>
      <c r="AB2100" s="78">
        <f t="shared" si="259"/>
        <v>0</v>
      </c>
      <c r="AC2100" s="78"/>
      <c r="AD2100" s="78">
        <v>0</v>
      </c>
      <c r="AE2100" s="80">
        <f t="shared" si="262"/>
        <v>0</v>
      </c>
      <c r="AF2100" s="82">
        <v>0</v>
      </c>
      <c r="AG2100" s="69">
        <v>40528</v>
      </c>
      <c r="AH2100" s="84"/>
      <c r="AI2100" s="69" t="s">
        <v>1984</v>
      </c>
      <c r="AJ2100" s="25" t="s">
        <v>1985</v>
      </c>
      <c r="AK2100" s="65"/>
      <c r="AL2100" s="176" t="s">
        <v>1257</v>
      </c>
      <c r="AM2100" s="173" t="s">
        <v>66</v>
      </c>
      <c r="AN2100" s="159"/>
      <c r="AO2100" s="160"/>
      <c r="AP2100" s="161"/>
      <c r="AQ2100" s="160"/>
      <c r="AR2100" s="160"/>
      <c r="AS2100" s="160"/>
      <c r="AT2100" s="160"/>
      <c r="AU2100" s="160"/>
      <c r="AV2100" s="160"/>
      <c r="AW2100" s="160"/>
      <c r="AX2100" s="160"/>
      <c r="AY2100" s="160"/>
      <c r="AZ2100" s="160"/>
      <c r="BA2100" s="160"/>
      <c r="BB2100" s="160"/>
      <c r="BC2100" s="160"/>
      <c r="BD2100" s="160"/>
      <c r="BE2100" s="160"/>
      <c r="BF2100" s="160"/>
      <c r="BG2100" s="160"/>
      <c r="BH2100" s="160"/>
      <c r="BI2100" s="160"/>
      <c r="BJ2100" s="160"/>
      <c r="BK2100" s="160"/>
      <c r="BL2100" s="160"/>
      <c r="BM2100" s="160"/>
      <c r="BN2100" s="160"/>
      <c r="BO2100" s="160"/>
      <c r="BP2100" s="160"/>
      <c r="BQ2100" s="160"/>
      <c r="BR2100" s="160"/>
      <c r="BS2100" s="160"/>
      <c r="BT2100" s="160"/>
      <c r="BU2100" s="160"/>
      <c r="BV2100" s="160"/>
      <c r="BW2100" s="160"/>
      <c r="BX2100" s="160"/>
      <c r="BY2100" s="160"/>
      <c r="BZ2100" s="160"/>
      <c r="CA2100" s="160"/>
      <c r="CB2100" s="160"/>
      <c r="CC2100" s="160"/>
      <c r="CD2100" s="160"/>
      <c r="CE2100" s="160"/>
      <c r="CF2100" s="160"/>
      <c r="CG2100" s="160"/>
      <c r="CH2100" s="160"/>
      <c r="CI2100" s="160"/>
      <c r="CJ2100" s="160"/>
      <c r="CK2100" s="160"/>
      <c r="CL2100" s="160"/>
      <c r="CM2100" s="160"/>
      <c r="CN2100" s="160"/>
      <c r="CO2100" s="160"/>
      <c r="CP2100" s="162"/>
      <c r="CQ2100" s="163"/>
      <c r="CR2100" s="162"/>
      <c r="CS2100" s="163"/>
      <c r="CT2100" s="162"/>
      <c r="CU2100" s="163"/>
      <c r="CV2100" s="164">
        <f t="shared" si="260"/>
        <v>0</v>
      </c>
      <c r="CW2100" s="165"/>
      <c r="CX2100" s="166"/>
      <c r="CY2100" s="167"/>
      <c r="CZ2100" s="168"/>
      <c r="DA2100" s="169"/>
      <c r="DB2100" s="168"/>
      <c r="DC2100" s="165"/>
      <c r="DD2100" s="166"/>
      <c r="DE2100" s="71"/>
      <c r="DF2100" s="170"/>
      <c r="EO2100" s="375" t="str">
        <f t="shared" si="261"/>
        <v>CUNDINAMARCA_FACATATIVA</v>
      </c>
      <c r="EP2100" s="376"/>
      <c r="EQ2100" s="376"/>
      <c r="ER2100" s="377"/>
      <c r="ES2100" s="376"/>
      <c r="ET2100" s="376"/>
      <c r="EU2100" s="376"/>
    </row>
    <row r="2101" spans="1:151" s="171" customFormat="1" ht="25.5" x14ac:dyDescent="0.2">
      <c r="A2101" s="242">
        <v>40524</v>
      </c>
      <c r="B2101" s="222" t="s">
        <v>2245</v>
      </c>
      <c r="C2101" s="222" t="s">
        <v>379</v>
      </c>
      <c r="D2101" s="430" t="s">
        <v>2307</v>
      </c>
      <c r="E2101" s="107" t="str">
        <f>VLOOKUP(B2101&amp;C2101,Divipola!$C$2:$F$1138,4,FALSE)</f>
        <v>52356</v>
      </c>
      <c r="F2101" s="333"/>
      <c r="G2101" s="221"/>
      <c r="H2101" s="157"/>
      <c r="I2101" s="157"/>
      <c r="J2101" s="157">
        <v>137</v>
      </c>
      <c r="K2101" s="157">
        <v>25</v>
      </c>
      <c r="L2101" s="157"/>
      <c r="M2101" s="157">
        <v>25</v>
      </c>
      <c r="N2101" s="157"/>
      <c r="O2101" s="157"/>
      <c r="P2101" s="157"/>
      <c r="Q2101" s="157">
        <v>6</v>
      </c>
      <c r="R2101" s="157"/>
      <c r="S2101" s="157"/>
      <c r="T2101" s="157"/>
      <c r="U2101" s="157"/>
      <c r="V2101" s="158"/>
      <c r="W2101" s="182"/>
      <c r="X2101" s="1"/>
      <c r="Y2101" s="78">
        <f t="shared" si="257"/>
        <v>0</v>
      </c>
      <c r="Z2101" s="78">
        <f t="shared" si="258"/>
        <v>0</v>
      </c>
      <c r="AA2101" s="78">
        <f t="shared" ref="AA2101:AA2164" si="263">DB2101+DD2101</f>
        <v>0</v>
      </c>
      <c r="AB2101" s="78">
        <f t="shared" si="259"/>
        <v>0</v>
      </c>
      <c r="AC2101" s="78"/>
      <c r="AD2101" s="78">
        <v>0</v>
      </c>
      <c r="AE2101" s="80">
        <f t="shared" si="262"/>
        <v>0</v>
      </c>
      <c r="AF2101" s="82">
        <v>0</v>
      </c>
      <c r="AG2101" s="69">
        <v>40581</v>
      </c>
      <c r="AH2101" s="84"/>
      <c r="AI2101" s="69" t="s">
        <v>1984</v>
      </c>
      <c r="AJ2101" s="25" t="s">
        <v>1985</v>
      </c>
      <c r="AK2101" s="65"/>
      <c r="AL2101" s="176" t="s">
        <v>1257</v>
      </c>
      <c r="AM2101" s="173" t="s">
        <v>349</v>
      </c>
      <c r="AN2101" s="159"/>
      <c r="AO2101" s="160"/>
      <c r="AP2101" s="161"/>
      <c r="AQ2101" s="160"/>
      <c r="AR2101" s="160"/>
      <c r="AS2101" s="160"/>
      <c r="AT2101" s="160"/>
      <c r="AU2101" s="160"/>
      <c r="AV2101" s="160"/>
      <c r="AW2101" s="160"/>
      <c r="AX2101" s="160"/>
      <c r="AY2101" s="160"/>
      <c r="AZ2101" s="160"/>
      <c r="BA2101" s="160"/>
      <c r="BB2101" s="160"/>
      <c r="BC2101" s="160"/>
      <c r="BD2101" s="160"/>
      <c r="BE2101" s="160"/>
      <c r="BF2101" s="160"/>
      <c r="BG2101" s="160"/>
      <c r="BH2101" s="160"/>
      <c r="BI2101" s="160"/>
      <c r="BJ2101" s="160"/>
      <c r="BK2101" s="160"/>
      <c r="BL2101" s="160"/>
      <c r="BM2101" s="160"/>
      <c r="BN2101" s="160"/>
      <c r="BO2101" s="160"/>
      <c r="BP2101" s="160"/>
      <c r="BQ2101" s="160"/>
      <c r="BR2101" s="160"/>
      <c r="BS2101" s="160"/>
      <c r="BT2101" s="160"/>
      <c r="BU2101" s="160"/>
      <c r="BV2101" s="160"/>
      <c r="BW2101" s="160"/>
      <c r="BX2101" s="160"/>
      <c r="BY2101" s="160"/>
      <c r="BZ2101" s="160"/>
      <c r="CA2101" s="160"/>
      <c r="CB2101" s="160"/>
      <c r="CC2101" s="160"/>
      <c r="CD2101" s="160"/>
      <c r="CE2101" s="160"/>
      <c r="CF2101" s="160"/>
      <c r="CG2101" s="160"/>
      <c r="CH2101" s="160"/>
      <c r="CI2101" s="160"/>
      <c r="CJ2101" s="160"/>
      <c r="CK2101" s="160"/>
      <c r="CL2101" s="160"/>
      <c r="CM2101" s="160"/>
      <c r="CN2101" s="160"/>
      <c r="CO2101" s="160"/>
      <c r="CP2101" s="162"/>
      <c r="CQ2101" s="163"/>
      <c r="CR2101" s="162"/>
      <c r="CS2101" s="163"/>
      <c r="CT2101" s="162"/>
      <c r="CU2101" s="163"/>
      <c r="CV2101" s="164">
        <f t="shared" si="260"/>
        <v>0</v>
      </c>
      <c r="CW2101" s="165"/>
      <c r="CX2101" s="166"/>
      <c r="CY2101" s="167"/>
      <c r="CZ2101" s="168"/>
      <c r="DA2101" s="169"/>
      <c r="DB2101" s="168"/>
      <c r="DC2101" s="165"/>
      <c r="DD2101" s="166"/>
      <c r="DE2101" s="71"/>
      <c r="DF2101" s="170"/>
      <c r="EO2101" s="375" t="str">
        <f t="shared" si="261"/>
        <v>NARIÑO_IPIALES</v>
      </c>
      <c r="EP2101" s="376"/>
      <c r="EQ2101" s="376"/>
      <c r="ER2101" s="377"/>
      <c r="ES2101" s="376"/>
      <c r="ET2101" s="376"/>
      <c r="EU2101" s="376"/>
    </row>
    <row r="2102" spans="1:151" s="171" customFormat="1" ht="25.5" x14ac:dyDescent="0.2">
      <c r="A2102" s="242">
        <v>40524</v>
      </c>
      <c r="B2102" s="222" t="s">
        <v>2245</v>
      </c>
      <c r="C2102" s="222" t="s">
        <v>377</v>
      </c>
      <c r="D2102" s="430" t="s">
        <v>2307</v>
      </c>
      <c r="E2102" s="107" t="str">
        <f>VLOOKUP(B2102&amp;C2102,Divipola!$C$2:$F$1138,4,FALSE)</f>
        <v>52585</v>
      </c>
      <c r="F2102" s="333"/>
      <c r="G2102" s="221"/>
      <c r="H2102" s="157"/>
      <c r="I2102" s="157"/>
      <c r="J2102" s="157">
        <v>508</v>
      </c>
      <c r="K2102" s="157">
        <v>139</v>
      </c>
      <c r="L2102" s="157"/>
      <c r="M2102" s="157">
        <v>139</v>
      </c>
      <c r="N2102" s="157"/>
      <c r="O2102" s="157"/>
      <c r="P2102" s="157"/>
      <c r="Q2102" s="157"/>
      <c r="R2102" s="157"/>
      <c r="S2102" s="157"/>
      <c r="T2102" s="157"/>
      <c r="U2102" s="157"/>
      <c r="V2102" s="158"/>
      <c r="W2102" s="182"/>
      <c r="X2102" s="1"/>
      <c r="Y2102" s="78">
        <f t="shared" si="257"/>
        <v>0</v>
      </c>
      <c r="Z2102" s="78">
        <f t="shared" si="258"/>
        <v>0</v>
      </c>
      <c r="AA2102" s="78">
        <f t="shared" si="263"/>
        <v>0</v>
      </c>
      <c r="AB2102" s="78">
        <f t="shared" si="259"/>
        <v>0</v>
      </c>
      <c r="AC2102" s="78"/>
      <c r="AD2102" s="78">
        <v>0</v>
      </c>
      <c r="AE2102" s="80">
        <f t="shared" si="262"/>
        <v>0</v>
      </c>
      <c r="AF2102" s="82">
        <v>0</v>
      </c>
      <c r="AG2102" s="69">
        <v>40581</v>
      </c>
      <c r="AH2102" s="84"/>
      <c r="AI2102" s="69" t="s">
        <v>1984</v>
      </c>
      <c r="AJ2102" s="25" t="s">
        <v>1985</v>
      </c>
      <c r="AK2102" s="65"/>
      <c r="AL2102" s="176" t="s">
        <v>1257</v>
      </c>
      <c r="AM2102" s="173" t="s">
        <v>349</v>
      </c>
      <c r="AN2102" s="159"/>
      <c r="AO2102" s="160"/>
      <c r="AP2102" s="161"/>
      <c r="AQ2102" s="160"/>
      <c r="AR2102" s="160"/>
      <c r="AS2102" s="160"/>
      <c r="AT2102" s="160"/>
      <c r="AU2102" s="160"/>
      <c r="AV2102" s="160"/>
      <c r="AW2102" s="160"/>
      <c r="AX2102" s="160"/>
      <c r="AY2102" s="160"/>
      <c r="AZ2102" s="160"/>
      <c r="BA2102" s="160"/>
      <c r="BB2102" s="160"/>
      <c r="BC2102" s="160"/>
      <c r="BD2102" s="160"/>
      <c r="BE2102" s="160"/>
      <c r="BF2102" s="160"/>
      <c r="BG2102" s="160"/>
      <c r="BH2102" s="160"/>
      <c r="BI2102" s="160"/>
      <c r="BJ2102" s="160"/>
      <c r="BK2102" s="160"/>
      <c r="BL2102" s="160"/>
      <c r="BM2102" s="160"/>
      <c r="BN2102" s="160"/>
      <c r="BO2102" s="160"/>
      <c r="BP2102" s="160"/>
      <c r="BQ2102" s="160"/>
      <c r="BR2102" s="160"/>
      <c r="BS2102" s="160"/>
      <c r="BT2102" s="160"/>
      <c r="BU2102" s="160"/>
      <c r="BV2102" s="160"/>
      <c r="BW2102" s="160"/>
      <c r="BX2102" s="160"/>
      <c r="BY2102" s="160"/>
      <c r="BZ2102" s="160"/>
      <c r="CA2102" s="160"/>
      <c r="CB2102" s="160"/>
      <c r="CC2102" s="160"/>
      <c r="CD2102" s="160"/>
      <c r="CE2102" s="160"/>
      <c r="CF2102" s="160"/>
      <c r="CG2102" s="160"/>
      <c r="CH2102" s="160"/>
      <c r="CI2102" s="160"/>
      <c r="CJ2102" s="160"/>
      <c r="CK2102" s="160"/>
      <c r="CL2102" s="160"/>
      <c r="CM2102" s="160"/>
      <c r="CN2102" s="160"/>
      <c r="CO2102" s="160"/>
      <c r="CP2102" s="162"/>
      <c r="CQ2102" s="163"/>
      <c r="CR2102" s="162"/>
      <c r="CS2102" s="163"/>
      <c r="CT2102" s="162"/>
      <c r="CU2102" s="163"/>
      <c r="CV2102" s="164">
        <f t="shared" si="260"/>
        <v>0</v>
      </c>
      <c r="CW2102" s="165"/>
      <c r="CX2102" s="166"/>
      <c r="CY2102" s="167"/>
      <c r="CZ2102" s="168"/>
      <c r="DA2102" s="169"/>
      <c r="DB2102" s="168"/>
      <c r="DC2102" s="165"/>
      <c r="DD2102" s="166"/>
      <c r="DE2102" s="71"/>
      <c r="DF2102" s="170"/>
      <c r="EO2102" s="375" t="str">
        <f t="shared" si="261"/>
        <v>NARIÑO_PUPIALES</v>
      </c>
      <c r="EP2102" s="376"/>
      <c r="EQ2102" s="376"/>
      <c r="ER2102" s="377"/>
      <c r="ES2102" s="376"/>
      <c r="ET2102" s="376"/>
      <c r="EU2102" s="376"/>
    </row>
    <row r="2103" spans="1:151" s="171" customFormat="1" ht="25.5" x14ac:dyDescent="0.2">
      <c r="A2103" s="242">
        <v>40524</v>
      </c>
      <c r="B2103" s="222" t="s">
        <v>2427</v>
      </c>
      <c r="C2103" s="222" t="s">
        <v>351</v>
      </c>
      <c r="D2103" s="430" t="s">
        <v>2307</v>
      </c>
      <c r="E2103" s="107" t="str">
        <f>VLOOKUP(B2103&amp;C2103,Divipola!$C$2:$F$1138,4,FALSE)</f>
        <v>68533</v>
      </c>
      <c r="F2103" s="333"/>
      <c r="G2103" s="221"/>
      <c r="H2103" s="157"/>
      <c r="I2103" s="157"/>
      <c r="J2103" s="157">
        <v>450</v>
      </c>
      <c r="K2103" s="157">
        <v>150</v>
      </c>
      <c r="L2103" s="157">
        <v>20</v>
      </c>
      <c r="M2103" s="157"/>
      <c r="N2103" s="157">
        <v>10</v>
      </c>
      <c r="O2103" s="157"/>
      <c r="P2103" s="157"/>
      <c r="Q2103" s="157"/>
      <c r="R2103" s="157"/>
      <c r="S2103" s="157"/>
      <c r="T2103" s="157">
        <v>1</v>
      </c>
      <c r="U2103" s="157"/>
      <c r="V2103" s="158">
        <v>84</v>
      </c>
      <c r="W2103" s="182"/>
      <c r="X2103" s="1"/>
      <c r="Y2103" s="78">
        <f t="shared" si="257"/>
        <v>0</v>
      </c>
      <c r="Z2103" s="78">
        <f t="shared" si="258"/>
        <v>0</v>
      </c>
      <c r="AA2103" s="78">
        <f t="shared" si="263"/>
        <v>0</v>
      </c>
      <c r="AB2103" s="78">
        <f t="shared" si="259"/>
        <v>0</v>
      </c>
      <c r="AC2103" s="78"/>
      <c r="AD2103" s="78">
        <v>0</v>
      </c>
      <c r="AE2103" s="80">
        <f t="shared" si="262"/>
        <v>0</v>
      </c>
      <c r="AF2103" s="82">
        <v>0</v>
      </c>
      <c r="AG2103" s="69">
        <v>40577</v>
      </c>
      <c r="AH2103" s="84"/>
      <c r="AI2103" s="69" t="s">
        <v>1984</v>
      </c>
      <c r="AJ2103" s="25" t="s">
        <v>1985</v>
      </c>
      <c r="AK2103" s="65"/>
      <c r="AL2103" s="176" t="s">
        <v>1257</v>
      </c>
      <c r="AM2103" s="173" t="s">
        <v>355</v>
      </c>
      <c r="AN2103" s="159"/>
      <c r="AO2103" s="160"/>
      <c r="AP2103" s="161"/>
      <c r="AQ2103" s="160"/>
      <c r="AR2103" s="160"/>
      <c r="AS2103" s="160"/>
      <c r="AT2103" s="160"/>
      <c r="AU2103" s="160"/>
      <c r="AV2103" s="160"/>
      <c r="AW2103" s="160"/>
      <c r="AX2103" s="160"/>
      <c r="AY2103" s="160"/>
      <c r="AZ2103" s="160"/>
      <c r="BA2103" s="160"/>
      <c r="BB2103" s="160"/>
      <c r="BC2103" s="160"/>
      <c r="BD2103" s="160"/>
      <c r="BE2103" s="160"/>
      <c r="BF2103" s="160"/>
      <c r="BG2103" s="160"/>
      <c r="BH2103" s="160"/>
      <c r="BI2103" s="160"/>
      <c r="BJ2103" s="160"/>
      <c r="BK2103" s="160"/>
      <c r="BL2103" s="160"/>
      <c r="BM2103" s="160"/>
      <c r="BN2103" s="160"/>
      <c r="BO2103" s="160"/>
      <c r="BP2103" s="160"/>
      <c r="BQ2103" s="160"/>
      <c r="BR2103" s="160"/>
      <c r="BS2103" s="160"/>
      <c r="BT2103" s="160"/>
      <c r="BU2103" s="160"/>
      <c r="BV2103" s="160"/>
      <c r="BW2103" s="160"/>
      <c r="BX2103" s="160"/>
      <c r="BY2103" s="160"/>
      <c r="BZ2103" s="160"/>
      <c r="CA2103" s="160"/>
      <c r="CB2103" s="160"/>
      <c r="CC2103" s="160"/>
      <c r="CD2103" s="160"/>
      <c r="CE2103" s="160"/>
      <c r="CF2103" s="160"/>
      <c r="CG2103" s="160"/>
      <c r="CH2103" s="160"/>
      <c r="CI2103" s="160"/>
      <c r="CJ2103" s="160"/>
      <c r="CK2103" s="160"/>
      <c r="CL2103" s="160"/>
      <c r="CM2103" s="160"/>
      <c r="CN2103" s="160"/>
      <c r="CO2103" s="160"/>
      <c r="CP2103" s="162"/>
      <c r="CQ2103" s="163"/>
      <c r="CR2103" s="162"/>
      <c r="CS2103" s="163"/>
      <c r="CT2103" s="162"/>
      <c r="CU2103" s="163"/>
      <c r="CV2103" s="164">
        <f t="shared" si="260"/>
        <v>0</v>
      </c>
      <c r="CW2103" s="165"/>
      <c r="CX2103" s="166"/>
      <c r="CY2103" s="167"/>
      <c r="CZ2103" s="168"/>
      <c r="DA2103" s="169"/>
      <c r="DB2103" s="168"/>
      <c r="DC2103" s="165"/>
      <c r="DD2103" s="166"/>
      <c r="DE2103" s="71"/>
      <c r="DF2103" s="170"/>
      <c r="EO2103" s="375" t="str">
        <f t="shared" si="261"/>
        <v>SANTANDER_PARAMO</v>
      </c>
      <c r="EP2103" s="376"/>
      <c r="EQ2103" s="376"/>
      <c r="ER2103" s="377"/>
      <c r="ES2103" s="376"/>
      <c r="ET2103" s="376"/>
      <c r="EU2103" s="376"/>
    </row>
    <row r="2104" spans="1:151" s="171" customFormat="1" ht="38.25" x14ac:dyDescent="0.2">
      <c r="A2104" s="242">
        <v>40524</v>
      </c>
      <c r="B2104" s="222" t="s">
        <v>2427</v>
      </c>
      <c r="C2104" s="222" t="s">
        <v>352</v>
      </c>
      <c r="D2104" s="430" t="s">
        <v>2307</v>
      </c>
      <c r="E2104" s="107" t="str">
        <f>VLOOKUP(B2104&amp;C2104,Divipola!$C$2:$F$1138,4,FALSE)</f>
        <v>68549</v>
      </c>
      <c r="F2104" s="333"/>
      <c r="G2104" s="221"/>
      <c r="H2104" s="157"/>
      <c r="I2104" s="157"/>
      <c r="J2104" s="157">
        <v>500</v>
      </c>
      <c r="K2104" s="157">
        <v>101</v>
      </c>
      <c r="L2104" s="157"/>
      <c r="M2104" s="157">
        <v>100</v>
      </c>
      <c r="N2104" s="157">
        <v>4</v>
      </c>
      <c r="O2104" s="157"/>
      <c r="P2104" s="157"/>
      <c r="Q2104" s="157">
        <v>1</v>
      </c>
      <c r="R2104" s="157"/>
      <c r="S2104" s="157"/>
      <c r="T2104" s="157">
        <v>2</v>
      </c>
      <c r="U2104" s="157"/>
      <c r="V2104" s="158">
        <v>123</v>
      </c>
      <c r="W2104" s="182"/>
      <c r="X2104" s="1"/>
      <c r="Y2104" s="78">
        <f t="shared" si="257"/>
        <v>0</v>
      </c>
      <c r="Z2104" s="78">
        <f t="shared" si="258"/>
        <v>0</v>
      </c>
      <c r="AA2104" s="78">
        <f t="shared" si="263"/>
        <v>0</v>
      </c>
      <c r="AB2104" s="78">
        <f t="shared" si="259"/>
        <v>0</v>
      </c>
      <c r="AC2104" s="78"/>
      <c r="AD2104" s="78">
        <v>0</v>
      </c>
      <c r="AE2104" s="80">
        <f t="shared" si="262"/>
        <v>0</v>
      </c>
      <c r="AF2104" s="82">
        <v>0</v>
      </c>
      <c r="AG2104" s="69">
        <v>40577</v>
      </c>
      <c r="AH2104" s="84"/>
      <c r="AI2104" s="69" t="s">
        <v>1984</v>
      </c>
      <c r="AJ2104" s="25" t="s">
        <v>1985</v>
      </c>
      <c r="AK2104" s="65"/>
      <c r="AL2104" s="176" t="s">
        <v>1257</v>
      </c>
      <c r="AM2104" s="173" t="s">
        <v>355</v>
      </c>
      <c r="AN2104" s="159"/>
      <c r="AO2104" s="160"/>
      <c r="AP2104" s="161"/>
      <c r="AQ2104" s="160"/>
      <c r="AR2104" s="160"/>
      <c r="AS2104" s="160"/>
      <c r="AT2104" s="160"/>
      <c r="AU2104" s="160"/>
      <c r="AV2104" s="160"/>
      <c r="AW2104" s="160"/>
      <c r="AX2104" s="160"/>
      <c r="AY2104" s="160"/>
      <c r="AZ2104" s="160"/>
      <c r="BA2104" s="160"/>
      <c r="BB2104" s="160"/>
      <c r="BC2104" s="160"/>
      <c r="BD2104" s="160"/>
      <c r="BE2104" s="160"/>
      <c r="BF2104" s="160"/>
      <c r="BG2104" s="160"/>
      <c r="BH2104" s="160"/>
      <c r="BI2104" s="160"/>
      <c r="BJ2104" s="160"/>
      <c r="BK2104" s="160"/>
      <c r="BL2104" s="160"/>
      <c r="BM2104" s="160"/>
      <c r="BN2104" s="160"/>
      <c r="BO2104" s="160"/>
      <c r="BP2104" s="160"/>
      <c r="BQ2104" s="160"/>
      <c r="BR2104" s="160"/>
      <c r="BS2104" s="160"/>
      <c r="BT2104" s="160"/>
      <c r="BU2104" s="160"/>
      <c r="BV2104" s="160"/>
      <c r="BW2104" s="160"/>
      <c r="BX2104" s="160"/>
      <c r="BY2104" s="160"/>
      <c r="BZ2104" s="160"/>
      <c r="CA2104" s="160"/>
      <c r="CB2104" s="160"/>
      <c r="CC2104" s="160"/>
      <c r="CD2104" s="160"/>
      <c r="CE2104" s="160"/>
      <c r="CF2104" s="160"/>
      <c r="CG2104" s="160"/>
      <c r="CH2104" s="160"/>
      <c r="CI2104" s="160"/>
      <c r="CJ2104" s="160"/>
      <c r="CK2104" s="160"/>
      <c r="CL2104" s="160"/>
      <c r="CM2104" s="160"/>
      <c r="CN2104" s="160"/>
      <c r="CO2104" s="160"/>
      <c r="CP2104" s="162"/>
      <c r="CQ2104" s="163"/>
      <c r="CR2104" s="162"/>
      <c r="CS2104" s="163"/>
      <c r="CT2104" s="162"/>
      <c r="CU2104" s="163"/>
      <c r="CV2104" s="164">
        <f t="shared" si="260"/>
        <v>0</v>
      </c>
      <c r="CW2104" s="165"/>
      <c r="CX2104" s="166"/>
      <c r="CY2104" s="167"/>
      <c r="CZ2104" s="168"/>
      <c r="DA2104" s="169"/>
      <c r="DB2104" s="168"/>
      <c r="DC2104" s="165"/>
      <c r="DD2104" s="166"/>
      <c r="DE2104" s="71"/>
      <c r="DF2104" s="170"/>
      <c r="EO2104" s="375" t="str">
        <f t="shared" si="261"/>
        <v>SANTANDER_PINCHOTE</v>
      </c>
      <c r="EP2104" s="376"/>
      <c r="EQ2104" s="376"/>
      <c r="ER2104" s="377"/>
      <c r="ES2104" s="376"/>
      <c r="ET2104" s="376"/>
      <c r="EU2104" s="376"/>
    </row>
    <row r="2105" spans="1:151" s="171" customFormat="1" ht="38.25" x14ac:dyDescent="0.2">
      <c r="A2105" s="242">
        <v>40524</v>
      </c>
      <c r="B2105" s="222" t="s">
        <v>2427</v>
      </c>
      <c r="C2105" s="222" t="s">
        <v>1972</v>
      </c>
      <c r="D2105" s="430" t="s">
        <v>2307</v>
      </c>
      <c r="E2105" s="107" t="str">
        <f>VLOOKUP(B2105&amp;C2105,Divipola!$C$2:$F$1138,4,FALSE)</f>
        <v>68669</v>
      </c>
      <c r="F2105" s="333"/>
      <c r="G2105" s="221"/>
      <c r="H2105" s="157"/>
      <c r="I2105" s="157"/>
      <c r="J2105" s="157">
        <f>189*5</f>
        <v>945</v>
      </c>
      <c r="K2105" s="157">
        <v>189</v>
      </c>
      <c r="L2105" s="157"/>
      <c r="M2105" s="157">
        <v>50</v>
      </c>
      <c r="N2105" s="157">
        <v>3</v>
      </c>
      <c r="O2105" s="157">
        <v>1</v>
      </c>
      <c r="P2105" s="157"/>
      <c r="Q2105" s="157">
        <v>2</v>
      </c>
      <c r="R2105" s="157"/>
      <c r="S2105" s="157"/>
      <c r="T2105" s="157">
        <v>1</v>
      </c>
      <c r="U2105" s="157"/>
      <c r="V2105" s="158">
        <v>150</v>
      </c>
      <c r="W2105" s="182"/>
      <c r="X2105" s="1"/>
      <c r="Y2105" s="78">
        <f t="shared" si="257"/>
        <v>0</v>
      </c>
      <c r="Z2105" s="78">
        <f t="shared" si="258"/>
        <v>0</v>
      </c>
      <c r="AA2105" s="78">
        <f t="shared" si="263"/>
        <v>0</v>
      </c>
      <c r="AB2105" s="78">
        <f t="shared" si="259"/>
        <v>0</v>
      </c>
      <c r="AC2105" s="78"/>
      <c r="AD2105" s="78">
        <v>0</v>
      </c>
      <c r="AE2105" s="80">
        <f t="shared" si="262"/>
        <v>0</v>
      </c>
      <c r="AF2105" s="82">
        <v>0</v>
      </c>
      <c r="AG2105" s="69">
        <v>40577</v>
      </c>
      <c r="AH2105" s="84"/>
      <c r="AI2105" s="69" t="s">
        <v>1984</v>
      </c>
      <c r="AJ2105" s="25" t="s">
        <v>1985</v>
      </c>
      <c r="AK2105" s="65"/>
      <c r="AL2105" s="176" t="s">
        <v>1257</v>
      </c>
      <c r="AM2105" s="173" t="s">
        <v>355</v>
      </c>
      <c r="AN2105" s="159"/>
      <c r="AO2105" s="160"/>
      <c r="AP2105" s="161"/>
      <c r="AQ2105" s="160"/>
      <c r="AR2105" s="160"/>
      <c r="AS2105" s="160"/>
      <c r="AT2105" s="160"/>
      <c r="AU2105" s="160"/>
      <c r="AV2105" s="160"/>
      <c r="AW2105" s="160"/>
      <c r="AX2105" s="160"/>
      <c r="AY2105" s="160"/>
      <c r="AZ2105" s="160"/>
      <c r="BA2105" s="160"/>
      <c r="BB2105" s="160"/>
      <c r="BC2105" s="160"/>
      <c r="BD2105" s="160"/>
      <c r="BE2105" s="160"/>
      <c r="BF2105" s="160"/>
      <c r="BG2105" s="160"/>
      <c r="BH2105" s="160"/>
      <c r="BI2105" s="160"/>
      <c r="BJ2105" s="160"/>
      <c r="BK2105" s="160"/>
      <c r="BL2105" s="160"/>
      <c r="BM2105" s="160"/>
      <c r="BN2105" s="160"/>
      <c r="BO2105" s="160"/>
      <c r="BP2105" s="160"/>
      <c r="BQ2105" s="160"/>
      <c r="BR2105" s="160"/>
      <c r="BS2105" s="160"/>
      <c r="BT2105" s="160"/>
      <c r="BU2105" s="160"/>
      <c r="BV2105" s="160"/>
      <c r="BW2105" s="160"/>
      <c r="BX2105" s="160"/>
      <c r="BY2105" s="160"/>
      <c r="BZ2105" s="160"/>
      <c r="CA2105" s="160"/>
      <c r="CB2105" s="160"/>
      <c r="CC2105" s="160"/>
      <c r="CD2105" s="160"/>
      <c r="CE2105" s="160"/>
      <c r="CF2105" s="160"/>
      <c r="CG2105" s="160"/>
      <c r="CH2105" s="160"/>
      <c r="CI2105" s="160"/>
      <c r="CJ2105" s="160"/>
      <c r="CK2105" s="160"/>
      <c r="CL2105" s="160"/>
      <c r="CM2105" s="160"/>
      <c r="CN2105" s="160"/>
      <c r="CO2105" s="160"/>
      <c r="CP2105" s="162"/>
      <c r="CQ2105" s="163"/>
      <c r="CR2105" s="162"/>
      <c r="CS2105" s="163"/>
      <c r="CT2105" s="162"/>
      <c r="CU2105" s="163"/>
      <c r="CV2105" s="164">
        <f t="shared" si="260"/>
        <v>0</v>
      </c>
      <c r="CW2105" s="165"/>
      <c r="CX2105" s="166"/>
      <c r="CY2105" s="167"/>
      <c r="CZ2105" s="168"/>
      <c r="DA2105" s="169"/>
      <c r="DB2105" s="168"/>
      <c r="DC2105" s="165"/>
      <c r="DD2105" s="166"/>
      <c r="DE2105" s="71"/>
      <c r="DF2105" s="170"/>
      <c r="EO2105" s="375" t="str">
        <f t="shared" si="261"/>
        <v>SANTANDER_SAN ANDRES</v>
      </c>
      <c r="EP2105" s="376"/>
      <c r="EQ2105" s="376"/>
      <c r="ER2105" s="377"/>
      <c r="ES2105" s="376"/>
      <c r="ET2105" s="376"/>
      <c r="EU2105" s="376"/>
    </row>
    <row r="2106" spans="1:151" s="171" customFormat="1" ht="38.25" x14ac:dyDescent="0.2">
      <c r="A2106" s="242">
        <v>40524</v>
      </c>
      <c r="B2106" s="222" t="s">
        <v>2427</v>
      </c>
      <c r="C2106" s="222" t="s">
        <v>353</v>
      </c>
      <c r="D2106" s="430" t="s">
        <v>837</v>
      </c>
      <c r="E2106" s="107" t="str">
        <f>VLOOKUP(B2106&amp;C2106,Divipola!$C$2:$F$1138,4,FALSE)</f>
        <v>68686</v>
      </c>
      <c r="F2106" s="333"/>
      <c r="G2106" s="221"/>
      <c r="H2106" s="157"/>
      <c r="I2106" s="157"/>
      <c r="J2106" s="157">
        <f>218*5</f>
        <v>1090</v>
      </c>
      <c r="K2106" s="157">
        <v>218</v>
      </c>
      <c r="L2106" s="157"/>
      <c r="M2106" s="157"/>
      <c r="N2106" s="157"/>
      <c r="O2106" s="157"/>
      <c r="P2106" s="157"/>
      <c r="Q2106" s="157"/>
      <c r="R2106" s="157"/>
      <c r="S2106" s="157"/>
      <c r="T2106" s="157"/>
      <c r="U2106" s="157"/>
      <c r="V2106" s="158">
        <v>170</v>
      </c>
      <c r="W2106" s="182"/>
      <c r="X2106" s="1"/>
      <c r="Y2106" s="78">
        <f t="shared" si="257"/>
        <v>0</v>
      </c>
      <c r="Z2106" s="78">
        <f t="shared" si="258"/>
        <v>0</v>
      </c>
      <c r="AA2106" s="78">
        <f t="shared" si="263"/>
        <v>0</v>
      </c>
      <c r="AB2106" s="78">
        <f t="shared" si="259"/>
        <v>0</v>
      </c>
      <c r="AC2106" s="78"/>
      <c r="AD2106" s="78">
        <v>0</v>
      </c>
      <c r="AE2106" s="80">
        <f t="shared" si="262"/>
        <v>0</v>
      </c>
      <c r="AF2106" s="82">
        <v>0</v>
      </c>
      <c r="AG2106" s="69">
        <v>40577</v>
      </c>
      <c r="AH2106" s="84"/>
      <c r="AI2106" s="69" t="s">
        <v>1984</v>
      </c>
      <c r="AJ2106" s="25" t="s">
        <v>1985</v>
      </c>
      <c r="AK2106" s="65"/>
      <c r="AL2106" s="176" t="s">
        <v>1257</v>
      </c>
      <c r="AM2106" s="173" t="s">
        <v>355</v>
      </c>
      <c r="AN2106" s="159"/>
      <c r="AO2106" s="160"/>
      <c r="AP2106" s="161"/>
      <c r="AQ2106" s="160"/>
      <c r="AR2106" s="160"/>
      <c r="AS2106" s="160"/>
      <c r="AT2106" s="160"/>
      <c r="AU2106" s="160"/>
      <c r="AV2106" s="160"/>
      <c r="AW2106" s="160"/>
      <c r="AX2106" s="160"/>
      <c r="AY2106" s="160"/>
      <c r="AZ2106" s="160"/>
      <c r="BA2106" s="160"/>
      <c r="BB2106" s="160"/>
      <c r="BC2106" s="160"/>
      <c r="BD2106" s="160"/>
      <c r="BE2106" s="160"/>
      <c r="BF2106" s="160"/>
      <c r="BG2106" s="160"/>
      <c r="BH2106" s="160"/>
      <c r="BI2106" s="160"/>
      <c r="BJ2106" s="160"/>
      <c r="BK2106" s="160"/>
      <c r="BL2106" s="160"/>
      <c r="BM2106" s="160"/>
      <c r="BN2106" s="160"/>
      <c r="BO2106" s="160"/>
      <c r="BP2106" s="160"/>
      <c r="BQ2106" s="160"/>
      <c r="BR2106" s="160"/>
      <c r="BS2106" s="160"/>
      <c r="BT2106" s="160"/>
      <c r="BU2106" s="160"/>
      <c r="BV2106" s="160"/>
      <c r="BW2106" s="160"/>
      <c r="BX2106" s="160"/>
      <c r="BY2106" s="160"/>
      <c r="BZ2106" s="160"/>
      <c r="CA2106" s="160"/>
      <c r="CB2106" s="160"/>
      <c r="CC2106" s="160"/>
      <c r="CD2106" s="160"/>
      <c r="CE2106" s="160"/>
      <c r="CF2106" s="160"/>
      <c r="CG2106" s="160"/>
      <c r="CH2106" s="160"/>
      <c r="CI2106" s="160"/>
      <c r="CJ2106" s="160"/>
      <c r="CK2106" s="160"/>
      <c r="CL2106" s="160"/>
      <c r="CM2106" s="160"/>
      <c r="CN2106" s="160"/>
      <c r="CO2106" s="160"/>
      <c r="CP2106" s="162"/>
      <c r="CQ2106" s="163"/>
      <c r="CR2106" s="162"/>
      <c r="CS2106" s="163"/>
      <c r="CT2106" s="162"/>
      <c r="CU2106" s="163"/>
      <c r="CV2106" s="164">
        <f t="shared" si="260"/>
        <v>0</v>
      </c>
      <c r="CW2106" s="165"/>
      <c r="CX2106" s="166"/>
      <c r="CY2106" s="167"/>
      <c r="CZ2106" s="168"/>
      <c r="DA2106" s="169"/>
      <c r="DB2106" s="168"/>
      <c r="DC2106" s="165"/>
      <c r="DD2106" s="166"/>
      <c r="DE2106" s="71"/>
      <c r="DF2106" s="170"/>
      <c r="EO2106" s="375" t="str">
        <f t="shared" si="261"/>
        <v>SANTANDER_SAN MIGUEL</v>
      </c>
      <c r="EP2106" s="376"/>
      <c r="EQ2106" s="376"/>
      <c r="ER2106" s="377"/>
      <c r="ES2106" s="376"/>
      <c r="ET2106" s="376"/>
      <c r="EU2106" s="376"/>
    </row>
    <row r="2107" spans="1:151" s="171" customFormat="1" ht="25.5" x14ac:dyDescent="0.2">
      <c r="A2107" s="242">
        <v>40524</v>
      </c>
      <c r="B2107" s="222" t="s">
        <v>2427</v>
      </c>
      <c r="C2107" s="222" t="s">
        <v>354</v>
      </c>
      <c r="D2107" s="430" t="s">
        <v>2307</v>
      </c>
      <c r="E2107" s="107" t="str">
        <f>VLOOKUP(B2107&amp;C2107,Divipola!$C$2:$F$1138,4,FALSE)</f>
        <v>68867</v>
      </c>
      <c r="F2107" s="333"/>
      <c r="G2107" s="221"/>
      <c r="H2107" s="157"/>
      <c r="I2107" s="157"/>
      <c r="J2107" s="157">
        <f>60*4.5</f>
        <v>270</v>
      </c>
      <c r="K2107" s="157">
        <v>60</v>
      </c>
      <c r="L2107" s="157"/>
      <c r="M2107" s="157">
        <v>41</v>
      </c>
      <c r="N2107" s="157"/>
      <c r="O2107" s="157"/>
      <c r="P2107" s="157"/>
      <c r="Q2107" s="157">
        <v>1</v>
      </c>
      <c r="R2107" s="157"/>
      <c r="S2107" s="157"/>
      <c r="T2107" s="157"/>
      <c r="U2107" s="157"/>
      <c r="V2107" s="158">
        <v>50</v>
      </c>
      <c r="W2107" s="182"/>
      <c r="X2107" s="1"/>
      <c r="Y2107" s="78">
        <f t="shared" si="257"/>
        <v>0</v>
      </c>
      <c r="Z2107" s="78">
        <f t="shared" si="258"/>
        <v>0</v>
      </c>
      <c r="AA2107" s="78">
        <f t="shared" si="263"/>
        <v>0</v>
      </c>
      <c r="AB2107" s="78">
        <f t="shared" si="259"/>
        <v>0</v>
      </c>
      <c r="AC2107" s="78"/>
      <c r="AD2107" s="78">
        <v>0</v>
      </c>
      <c r="AE2107" s="80">
        <f t="shared" si="262"/>
        <v>0</v>
      </c>
      <c r="AF2107" s="82">
        <v>0</v>
      </c>
      <c r="AG2107" s="69">
        <v>40577</v>
      </c>
      <c r="AH2107" s="84"/>
      <c r="AI2107" s="69" t="s">
        <v>1984</v>
      </c>
      <c r="AJ2107" s="25" t="s">
        <v>1985</v>
      </c>
      <c r="AK2107" s="65"/>
      <c r="AL2107" s="176" t="s">
        <v>1257</v>
      </c>
      <c r="AM2107" s="173" t="s">
        <v>355</v>
      </c>
      <c r="AN2107" s="159"/>
      <c r="AO2107" s="160"/>
      <c r="AP2107" s="161"/>
      <c r="AQ2107" s="160"/>
      <c r="AR2107" s="160"/>
      <c r="AS2107" s="160"/>
      <c r="AT2107" s="160"/>
      <c r="AU2107" s="160"/>
      <c r="AV2107" s="160"/>
      <c r="AW2107" s="160"/>
      <c r="AX2107" s="160"/>
      <c r="AY2107" s="160"/>
      <c r="AZ2107" s="160"/>
      <c r="BA2107" s="160"/>
      <c r="BB2107" s="160"/>
      <c r="BC2107" s="160"/>
      <c r="BD2107" s="160"/>
      <c r="BE2107" s="160"/>
      <c r="BF2107" s="160"/>
      <c r="BG2107" s="160"/>
      <c r="BH2107" s="160"/>
      <c r="BI2107" s="160"/>
      <c r="BJ2107" s="160"/>
      <c r="BK2107" s="160"/>
      <c r="BL2107" s="160"/>
      <c r="BM2107" s="160"/>
      <c r="BN2107" s="160"/>
      <c r="BO2107" s="160"/>
      <c r="BP2107" s="160"/>
      <c r="BQ2107" s="160"/>
      <c r="BR2107" s="160"/>
      <c r="BS2107" s="160"/>
      <c r="BT2107" s="160"/>
      <c r="BU2107" s="160"/>
      <c r="BV2107" s="160"/>
      <c r="BW2107" s="160"/>
      <c r="BX2107" s="160"/>
      <c r="BY2107" s="160"/>
      <c r="BZ2107" s="160"/>
      <c r="CA2107" s="160"/>
      <c r="CB2107" s="160"/>
      <c r="CC2107" s="160"/>
      <c r="CD2107" s="160"/>
      <c r="CE2107" s="160"/>
      <c r="CF2107" s="160"/>
      <c r="CG2107" s="160"/>
      <c r="CH2107" s="160"/>
      <c r="CI2107" s="160"/>
      <c r="CJ2107" s="160"/>
      <c r="CK2107" s="160"/>
      <c r="CL2107" s="160"/>
      <c r="CM2107" s="160"/>
      <c r="CN2107" s="160"/>
      <c r="CO2107" s="160"/>
      <c r="CP2107" s="162"/>
      <c r="CQ2107" s="163"/>
      <c r="CR2107" s="162"/>
      <c r="CS2107" s="163"/>
      <c r="CT2107" s="162"/>
      <c r="CU2107" s="163"/>
      <c r="CV2107" s="164">
        <f t="shared" si="260"/>
        <v>0</v>
      </c>
      <c r="CW2107" s="165"/>
      <c r="CX2107" s="166"/>
      <c r="CY2107" s="167"/>
      <c r="CZ2107" s="168"/>
      <c r="DA2107" s="169"/>
      <c r="DB2107" s="168"/>
      <c r="DC2107" s="165"/>
      <c r="DD2107" s="166"/>
      <c r="DE2107" s="71"/>
      <c r="DF2107" s="170"/>
      <c r="EO2107" s="375" t="str">
        <f t="shared" si="261"/>
        <v>SANTANDER_VETAS</v>
      </c>
      <c r="EP2107" s="376"/>
      <c r="EQ2107" s="376"/>
      <c r="ER2107" s="377"/>
      <c r="ES2107" s="376"/>
      <c r="ET2107" s="376"/>
      <c r="EU2107" s="376"/>
    </row>
    <row r="2108" spans="1:151" s="171" customFormat="1" ht="51" x14ac:dyDescent="0.2">
      <c r="A2108" s="242">
        <v>40524</v>
      </c>
      <c r="B2108" s="222" t="s">
        <v>1462</v>
      </c>
      <c r="C2108" s="222" t="s">
        <v>1412</v>
      </c>
      <c r="D2108" s="430" t="s">
        <v>837</v>
      </c>
      <c r="E2108" s="107" t="str">
        <f>VLOOKUP(B2108&amp;C2108,Divipola!$C$2:$F$1138,4,FALSE)</f>
        <v>76122</v>
      </c>
      <c r="F2108" s="333"/>
      <c r="G2108" s="221"/>
      <c r="H2108" s="157"/>
      <c r="I2108" s="157">
        <v>1</v>
      </c>
      <c r="J2108" s="157">
        <f>472*5</f>
        <v>2360</v>
      </c>
      <c r="K2108" s="157">
        <f>530-44-14</f>
        <v>472</v>
      </c>
      <c r="L2108" s="157"/>
      <c r="M2108" s="157">
        <f>100-44-14</f>
        <v>42</v>
      </c>
      <c r="N2108" s="157"/>
      <c r="O2108" s="157"/>
      <c r="P2108" s="157"/>
      <c r="Q2108" s="157"/>
      <c r="R2108" s="157"/>
      <c r="S2108" s="157"/>
      <c r="T2108" s="157"/>
      <c r="U2108" s="157"/>
      <c r="V2108" s="158"/>
      <c r="W2108" s="182"/>
      <c r="X2108" s="1"/>
      <c r="Y2108" s="78">
        <f t="shared" si="257"/>
        <v>0</v>
      </c>
      <c r="Z2108" s="78">
        <f t="shared" si="258"/>
        <v>0</v>
      </c>
      <c r="AA2108" s="78">
        <f t="shared" si="263"/>
        <v>0</v>
      </c>
      <c r="AB2108" s="78">
        <f t="shared" si="259"/>
        <v>0</v>
      </c>
      <c r="AC2108" s="78"/>
      <c r="AD2108" s="78">
        <v>0</v>
      </c>
      <c r="AE2108" s="80">
        <f t="shared" si="262"/>
        <v>0</v>
      </c>
      <c r="AF2108" s="82">
        <v>0</v>
      </c>
      <c r="AG2108" s="69"/>
      <c r="AH2108" s="84"/>
      <c r="AI2108" s="69" t="s">
        <v>2009</v>
      </c>
      <c r="AJ2108" s="276" t="s">
        <v>2010</v>
      </c>
      <c r="AK2108" s="65"/>
      <c r="AL2108" s="272" t="s">
        <v>311</v>
      </c>
      <c r="AM2108" s="173" t="s">
        <v>1140</v>
      </c>
      <c r="AN2108" s="159"/>
      <c r="AO2108" s="160"/>
      <c r="AP2108" s="161"/>
      <c r="AQ2108" s="160"/>
      <c r="AR2108" s="160"/>
      <c r="AS2108" s="160"/>
      <c r="AT2108" s="160"/>
      <c r="AU2108" s="160"/>
      <c r="AV2108" s="160"/>
      <c r="AW2108" s="160"/>
      <c r="AX2108" s="160"/>
      <c r="AY2108" s="160"/>
      <c r="AZ2108" s="160"/>
      <c r="BA2108" s="160"/>
      <c r="BB2108" s="160"/>
      <c r="BC2108" s="160"/>
      <c r="BD2108" s="160"/>
      <c r="BE2108" s="160"/>
      <c r="BF2108" s="160"/>
      <c r="BG2108" s="160"/>
      <c r="BH2108" s="160"/>
      <c r="BI2108" s="160"/>
      <c r="BJ2108" s="160"/>
      <c r="BK2108" s="160"/>
      <c r="BL2108" s="160"/>
      <c r="BM2108" s="160"/>
      <c r="BN2108" s="160"/>
      <c r="BO2108" s="160"/>
      <c r="BP2108" s="160"/>
      <c r="BQ2108" s="160"/>
      <c r="BR2108" s="160"/>
      <c r="BS2108" s="160"/>
      <c r="BT2108" s="160"/>
      <c r="BU2108" s="160"/>
      <c r="BV2108" s="160"/>
      <c r="BW2108" s="160"/>
      <c r="BX2108" s="160"/>
      <c r="BY2108" s="160"/>
      <c r="BZ2108" s="160"/>
      <c r="CA2108" s="160"/>
      <c r="CB2108" s="160"/>
      <c r="CC2108" s="160"/>
      <c r="CD2108" s="160"/>
      <c r="CE2108" s="160"/>
      <c r="CF2108" s="160"/>
      <c r="CG2108" s="160"/>
      <c r="CH2108" s="160"/>
      <c r="CI2108" s="160"/>
      <c r="CJ2108" s="160"/>
      <c r="CK2108" s="160"/>
      <c r="CL2108" s="160"/>
      <c r="CM2108" s="160"/>
      <c r="CN2108" s="160"/>
      <c r="CO2108" s="160"/>
      <c r="CP2108" s="162"/>
      <c r="CQ2108" s="163"/>
      <c r="CR2108" s="162"/>
      <c r="CS2108" s="163"/>
      <c r="CT2108" s="162"/>
      <c r="CU2108" s="163"/>
      <c r="CV2108" s="164">
        <f t="shared" si="260"/>
        <v>0</v>
      </c>
      <c r="CW2108" s="165"/>
      <c r="CX2108" s="166"/>
      <c r="CY2108" s="167"/>
      <c r="CZ2108" s="168"/>
      <c r="DA2108" s="169"/>
      <c r="DB2108" s="168"/>
      <c r="DC2108" s="165"/>
      <c r="DD2108" s="166"/>
      <c r="DE2108" s="71"/>
      <c r="DF2108" s="170"/>
      <c r="EO2108" s="375" t="str">
        <f t="shared" si="261"/>
        <v>VALLE DEL CAUCA_CAICEDONIA</v>
      </c>
      <c r="EP2108" s="376"/>
      <c r="EQ2108" s="376"/>
      <c r="ER2108" s="377"/>
      <c r="ES2108" s="376"/>
      <c r="ET2108" s="376"/>
      <c r="EU2108" s="376"/>
    </row>
    <row r="2109" spans="1:151" s="171" customFormat="1" ht="38.25" x14ac:dyDescent="0.2">
      <c r="A2109" s="246">
        <v>40525</v>
      </c>
      <c r="B2109" s="280" t="s">
        <v>2401</v>
      </c>
      <c r="C2109" s="280" t="s">
        <v>1144</v>
      </c>
      <c r="D2109" s="432" t="s">
        <v>837</v>
      </c>
      <c r="E2109" s="107" t="str">
        <f>VLOOKUP(B2109&amp;C2109,Divipola!$C$2:$F$1138,4,FALSE)</f>
        <v>05045</v>
      </c>
      <c r="F2109" s="337"/>
      <c r="G2109" s="221">
        <v>1</v>
      </c>
      <c r="H2109" s="157"/>
      <c r="I2109" s="157"/>
      <c r="J2109" s="157">
        <v>862</v>
      </c>
      <c r="K2109" s="157">
        <v>120</v>
      </c>
      <c r="L2109" s="157">
        <v>1</v>
      </c>
      <c r="M2109" s="157">
        <v>32</v>
      </c>
      <c r="N2109" s="157"/>
      <c r="O2109" s="157"/>
      <c r="P2109" s="157"/>
      <c r="Q2109" s="157"/>
      <c r="R2109" s="157"/>
      <c r="S2109" s="157"/>
      <c r="T2109" s="157"/>
      <c r="U2109" s="157"/>
      <c r="V2109" s="158"/>
      <c r="W2109" s="182"/>
      <c r="X2109" s="1"/>
      <c r="Y2109" s="78">
        <f t="shared" si="257"/>
        <v>0</v>
      </c>
      <c r="Z2109" s="78">
        <f t="shared" si="258"/>
        <v>0</v>
      </c>
      <c r="AA2109" s="78">
        <f t="shared" si="263"/>
        <v>0</v>
      </c>
      <c r="AB2109" s="78">
        <f t="shared" si="259"/>
        <v>0</v>
      </c>
      <c r="AC2109" s="78"/>
      <c r="AD2109" s="78">
        <v>0</v>
      </c>
      <c r="AE2109" s="80">
        <f t="shared" si="262"/>
        <v>0</v>
      </c>
      <c r="AF2109" s="82">
        <v>0</v>
      </c>
      <c r="AG2109" s="69">
        <v>40525</v>
      </c>
      <c r="AH2109" s="84"/>
      <c r="AI2109" s="69" t="s">
        <v>2009</v>
      </c>
      <c r="AJ2109" s="25" t="s">
        <v>2010</v>
      </c>
      <c r="AK2109" s="65"/>
      <c r="AL2109" s="184" t="s">
        <v>805</v>
      </c>
      <c r="AM2109" s="173" t="s">
        <v>1145</v>
      </c>
      <c r="AN2109" s="159"/>
      <c r="AO2109" s="160"/>
      <c r="AP2109" s="161"/>
      <c r="AQ2109" s="160"/>
      <c r="AR2109" s="160"/>
      <c r="AS2109" s="160"/>
      <c r="AT2109" s="160"/>
      <c r="AU2109" s="160"/>
      <c r="AV2109" s="160"/>
      <c r="AW2109" s="160"/>
      <c r="AX2109" s="160"/>
      <c r="AY2109" s="160"/>
      <c r="AZ2109" s="160"/>
      <c r="BA2109" s="160"/>
      <c r="BB2109" s="160"/>
      <c r="BC2109" s="160"/>
      <c r="BD2109" s="160"/>
      <c r="BE2109" s="160"/>
      <c r="BF2109" s="160"/>
      <c r="BG2109" s="160"/>
      <c r="BH2109" s="160"/>
      <c r="BI2109" s="160"/>
      <c r="BJ2109" s="160"/>
      <c r="BK2109" s="160"/>
      <c r="BL2109" s="160"/>
      <c r="BM2109" s="160"/>
      <c r="BN2109" s="160"/>
      <c r="BO2109" s="160"/>
      <c r="BP2109" s="160"/>
      <c r="BQ2109" s="160"/>
      <c r="BR2109" s="160"/>
      <c r="BS2109" s="160"/>
      <c r="BT2109" s="160"/>
      <c r="BU2109" s="160"/>
      <c r="BV2109" s="160"/>
      <c r="BW2109" s="160"/>
      <c r="BX2109" s="160"/>
      <c r="BY2109" s="160"/>
      <c r="BZ2109" s="160"/>
      <c r="CA2109" s="160"/>
      <c r="CB2109" s="160"/>
      <c r="CC2109" s="160"/>
      <c r="CD2109" s="160"/>
      <c r="CE2109" s="160"/>
      <c r="CF2109" s="160"/>
      <c r="CG2109" s="160"/>
      <c r="CH2109" s="160"/>
      <c r="CI2109" s="160"/>
      <c r="CJ2109" s="160"/>
      <c r="CK2109" s="160"/>
      <c r="CL2109" s="160"/>
      <c r="CM2109" s="160"/>
      <c r="CN2109" s="160"/>
      <c r="CO2109" s="160"/>
      <c r="CP2109" s="162"/>
      <c r="CQ2109" s="163"/>
      <c r="CR2109" s="162"/>
      <c r="CS2109" s="163"/>
      <c r="CT2109" s="162"/>
      <c r="CU2109" s="163"/>
      <c r="CV2109" s="164">
        <f t="shared" si="260"/>
        <v>0</v>
      </c>
      <c r="CW2109" s="165"/>
      <c r="CX2109" s="166"/>
      <c r="CY2109" s="167"/>
      <c r="CZ2109" s="168"/>
      <c r="DA2109" s="169"/>
      <c r="DB2109" s="168"/>
      <c r="DC2109" s="165"/>
      <c r="DD2109" s="166"/>
      <c r="DE2109" s="71"/>
      <c r="DF2109" s="170"/>
      <c r="EO2109" s="375" t="str">
        <f t="shared" si="261"/>
        <v>ANTIOQUIA_APARTADO</v>
      </c>
      <c r="EP2109" s="376"/>
      <c r="EQ2109" s="376"/>
      <c r="ER2109" s="377"/>
      <c r="ES2109" s="376"/>
      <c r="ET2109" s="376"/>
      <c r="EU2109" s="376"/>
    </row>
    <row r="2110" spans="1:151" s="171" customFormat="1" ht="60" x14ac:dyDescent="0.2">
      <c r="A2110" s="246">
        <v>40525</v>
      </c>
      <c r="B2110" s="280" t="s">
        <v>2401</v>
      </c>
      <c r="C2110" s="280" t="s">
        <v>2681</v>
      </c>
      <c r="D2110" s="432" t="s">
        <v>837</v>
      </c>
      <c r="E2110" s="107" t="str">
        <f>VLOOKUP(B2110&amp;C2110,Divipola!$C$2:$F$1138,4,FALSE)</f>
        <v>05051</v>
      </c>
      <c r="F2110" s="337"/>
      <c r="G2110" s="221"/>
      <c r="H2110" s="157"/>
      <c r="I2110" s="157"/>
      <c r="J2110" s="157">
        <v>1566</v>
      </c>
      <c r="K2110" s="157">
        <v>402</v>
      </c>
      <c r="L2110" s="157">
        <v>37</v>
      </c>
      <c r="M2110" s="157">
        <v>179</v>
      </c>
      <c r="N2110" s="157"/>
      <c r="O2110" s="157"/>
      <c r="P2110" s="157"/>
      <c r="Q2110" s="157"/>
      <c r="R2110" s="157"/>
      <c r="S2110" s="157"/>
      <c r="T2110" s="157"/>
      <c r="U2110" s="157"/>
      <c r="V2110" s="158"/>
      <c r="W2110" s="182"/>
      <c r="X2110" s="1"/>
      <c r="Y2110" s="78">
        <f t="shared" si="257"/>
        <v>0</v>
      </c>
      <c r="Z2110" s="78">
        <f t="shared" si="258"/>
        <v>0</v>
      </c>
      <c r="AA2110" s="78">
        <f t="shared" si="263"/>
        <v>0</v>
      </c>
      <c r="AB2110" s="78">
        <f t="shared" si="259"/>
        <v>0</v>
      </c>
      <c r="AC2110" s="78"/>
      <c r="AD2110" s="78">
        <v>0</v>
      </c>
      <c r="AE2110" s="80">
        <f t="shared" si="262"/>
        <v>0</v>
      </c>
      <c r="AF2110" s="82">
        <v>0</v>
      </c>
      <c r="AG2110" s="69">
        <v>40525</v>
      </c>
      <c r="AH2110" s="84"/>
      <c r="AI2110" s="69" t="s">
        <v>2009</v>
      </c>
      <c r="AJ2110" s="25" t="s">
        <v>2010</v>
      </c>
      <c r="AK2110" s="65"/>
      <c r="AL2110" s="184" t="s">
        <v>805</v>
      </c>
      <c r="AM2110" s="173" t="s">
        <v>3797</v>
      </c>
      <c r="AN2110" s="159"/>
      <c r="AO2110" s="160"/>
      <c r="AP2110" s="161"/>
      <c r="AQ2110" s="160"/>
      <c r="AR2110" s="160"/>
      <c r="AS2110" s="160"/>
      <c r="AT2110" s="160"/>
      <c r="AU2110" s="160"/>
      <c r="AV2110" s="160"/>
      <c r="AW2110" s="160"/>
      <c r="AX2110" s="160"/>
      <c r="AY2110" s="160"/>
      <c r="AZ2110" s="160"/>
      <c r="BA2110" s="160"/>
      <c r="BB2110" s="160"/>
      <c r="BC2110" s="160"/>
      <c r="BD2110" s="160"/>
      <c r="BE2110" s="160"/>
      <c r="BF2110" s="160"/>
      <c r="BG2110" s="160"/>
      <c r="BH2110" s="160"/>
      <c r="BI2110" s="160"/>
      <c r="BJ2110" s="160"/>
      <c r="BK2110" s="160"/>
      <c r="BL2110" s="160"/>
      <c r="BM2110" s="160"/>
      <c r="BN2110" s="160"/>
      <c r="BO2110" s="160"/>
      <c r="BP2110" s="160"/>
      <c r="BQ2110" s="160"/>
      <c r="BR2110" s="160"/>
      <c r="BS2110" s="160"/>
      <c r="BT2110" s="160"/>
      <c r="BU2110" s="160"/>
      <c r="BV2110" s="160"/>
      <c r="BW2110" s="160"/>
      <c r="BX2110" s="160"/>
      <c r="BY2110" s="160"/>
      <c r="BZ2110" s="160"/>
      <c r="CA2110" s="160"/>
      <c r="CB2110" s="160"/>
      <c r="CC2110" s="160"/>
      <c r="CD2110" s="160"/>
      <c r="CE2110" s="160"/>
      <c r="CF2110" s="160"/>
      <c r="CG2110" s="160"/>
      <c r="CH2110" s="160"/>
      <c r="CI2110" s="160"/>
      <c r="CJ2110" s="160"/>
      <c r="CK2110" s="160"/>
      <c r="CL2110" s="160"/>
      <c r="CM2110" s="160"/>
      <c r="CN2110" s="160"/>
      <c r="CO2110" s="160"/>
      <c r="CP2110" s="162"/>
      <c r="CQ2110" s="163"/>
      <c r="CR2110" s="162"/>
      <c r="CS2110" s="163"/>
      <c r="CT2110" s="162"/>
      <c r="CU2110" s="163"/>
      <c r="CV2110" s="164">
        <f t="shared" si="260"/>
        <v>0</v>
      </c>
      <c r="CW2110" s="165"/>
      <c r="CX2110" s="166"/>
      <c r="CY2110" s="167"/>
      <c r="CZ2110" s="168"/>
      <c r="DA2110" s="169"/>
      <c r="DB2110" s="168"/>
      <c r="DC2110" s="165"/>
      <c r="DD2110" s="166"/>
      <c r="DE2110" s="71"/>
      <c r="DF2110" s="170"/>
      <c r="EO2110" s="375" t="str">
        <f t="shared" si="261"/>
        <v>ANTIOQUIA_ARBOLETES</v>
      </c>
      <c r="EP2110" s="376"/>
      <c r="EQ2110" s="376"/>
      <c r="ER2110" s="377"/>
      <c r="ES2110" s="376"/>
      <c r="ET2110" s="376"/>
      <c r="EU2110" s="376"/>
    </row>
    <row r="2111" spans="1:151" s="171" customFormat="1" ht="36" x14ac:dyDescent="0.2">
      <c r="A2111" s="246">
        <v>40525</v>
      </c>
      <c r="B2111" s="280" t="s">
        <v>2401</v>
      </c>
      <c r="C2111" s="280" t="s">
        <v>118</v>
      </c>
      <c r="D2111" s="432" t="s">
        <v>837</v>
      </c>
      <c r="E2111" s="107" t="str">
        <f>VLOOKUP(B2111&amp;C2111,Divipola!$C$2:$F$1138,4,FALSE)</f>
        <v>05147</v>
      </c>
      <c r="F2111" s="337"/>
      <c r="G2111" s="221"/>
      <c r="H2111" s="157"/>
      <c r="I2111" s="157"/>
      <c r="J2111" s="157">
        <v>661</v>
      </c>
      <c r="K2111" s="157">
        <v>107</v>
      </c>
      <c r="L2111" s="157"/>
      <c r="M2111" s="157">
        <v>107</v>
      </c>
      <c r="N2111" s="157"/>
      <c r="O2111" s="157"/>
      <c r="P2111" s="157"/>
      <c r="Q2111" s="157"/>
      <c r="R2111" s="157"/>
      <c r="S2111" s="157"/>
      <c r="T2111" s="157"/>
      <c r="U2111" s="157"/>
      <c r="V2111" s="158"/>
      <c r="W2111" s="182"/>
      <c r="X2111" s="1"/>
      <c r="Y2111" s="78">
        <f t="shared" si="257"/>
        <v>0</v>
      </c>
      <c r="Z2111" s="78">
        <f t="shared" si="258"/>
        <v>0</v>
      </c>
      <c r="AA2111" s="78">
        <f t="shared" si="263"/>
        <v>0</v>
      </c>
      <c r="AB2111" s="78">
        <f t="shared" si="259"/>
        <v>0</v>
      </c>
      <c r="AC2111" s="78"/>
      <c r="AD2111" s="78">
        <v>0</v>
      </c>
      <c r="AE2111" s="80">
        <f t="shared" si="262"/>
        <v>0</v>
      </c>
      <c r="AF2111" s="82">
        <v>0</v>
      </c>
      <c r="AG2111" s="69">
        <v>40525</v>
      </c>
      <c r="AH2111" s="84"/>
      <c r="AI2111" s="69" t="s">
        <v>2009</v>
      </c>
      <c r="AJ2111" s="25" t="s">
        <v>2010</v>
      </c>
      <c r="AK2111" s="65"/>
      <c r="AL2111" s="184" t="s">
        <v>805</v>
      </c>
      <c r="AM2111" s="173" t="s">
        <v>119</v>
      </c>
      <c r="AN2111" s="159"/>
      <c r="AO2111" s="160"/>
      <c r="AP2111" s="161"/>
      <c r="AQ2111" s="160"/>
      <c r="AR2111" s="160"/>
      <c r="AS2111" s="160"/>
      <c r="AT2111" s="160"/>
      <c r="AU2111" s="160"/>
      <c r="AV2111" s="160"/>
      <c r="AW2111" s="160"/>
      <c r="AX2111" s="160"/>
      <c r="AY2111" s="160"/>
      <c r="AZ2111" s="160"/>
      <c r="BA2111" s="160"/>
      <c r="BB2111" s="160"/>
      <c r="BC2111" s="160"/>
      <c r="BD2111" s="160"/>
      <c r="BE2111" s="160"/>
      <c r="BF2111" s="160"/>
      <c r="BG2111" s="160"/>
      <c r="BH2111" s="160"/>
      <c r="BI2111" s="160"/>
      <c r="BJ2111" s="160"/>
      <c r="BK2111" s="160"/>
      <c r="BL2111" s="160"/>
      <c r="BM2111" s="160"/>
      <c r="BN2111" s="160"/>
      <c r="BO2111" s="160"/>
      <c r="BP2111" s="160"/>
      <c r="BQ2111" s="160"/>
      <c r="BR2111" s="160"/>
      <c r="BS2111" s="160"/>
      <c r="BT2111" s="160"/>
      <c r="BU2111" s="160"/>
      <c r="BV2111" s="160"/>
      <c r="BW2111" s="160"/>
      <c r="BX2111" s="160"/>
      <c r="BY2111" s="160"/>
      <c r="BZ2111" s="160"/>
      <c r="CA2111" s="160"/>
      <c r="CB2111" s="160"/>
      <c r="CC2111" s="160"/>
      <c r="CD2111" s="160"/>
      <c r="CE2111" s="160"/>
      <c r="CF2111" s="160"/>
      <c r="CG2111" s="160"/>
      <c r="CH2111" s="160"/>
      <c r="CI2111" s="160"/>
      <c r="CJ2111" s="160"/>
      <c r="CK2111" s="160"/>
      <c r="CL2111" s="160"/>
      <c r="CM2111" s="160"/>
      <c r="CN2111" s="160"/>
      <c r="CO2111" s="160"/>
      <c r="CP2111" s="162"/>
      <c r="CQ2111" s="163"/>
      <c r="CR2111" s="162"/>
      <c r="CS2111" s="163"/>
      <c r="CT2111" s="162"/>
      <c r="CU2111" s="163"/>
      <c r="CV2111" s="164">
        <f t="shared" si="260"/>
        <v>0</v>
      </c>
      <c r="CW2111" s="165"/>
      <c r="CX2111" s="166"/>
      <c r="CY2111" s="167"/>
      <c r="CZ2111" s="168"/>
      <c r="DA2111" s="169"/>
      <c r="DB2111" s="168"/>
      <c r="DC2111" s="165"/>
      <c r="DD2111" s="166"/>
      <c r="DE2111" s="71"/>
      <c r="DF2111" s="170"/>
      <c r="EO2111" s="375" t="str">
        <f t="shared" si="261"/>
        <v>ANTIOQUIA_CAREPA</v>
      </c>
      <c r="EP2111" s="376"/>
      <c r="EQ2111" s="376"/>
      <c r="ER2111" s="377"/>
      <c r="ES2111" s="376"/>
      <c r="ET2111" s="376"/>
      <c r="EU2111" s="376"/>
    </row>
    <row r="2112" spans="1:151" s="171" customFormat="1" ht="38.25" x14ac:dyDescent="0.2">
      <c r="A2112" s="246">
        <v>40525</v>
      </c>
      <c r="B2112" s="280" t="s">
        <v>2401</v>
      </c>
      <c r="C2112" s="280" t="s">
        <v>1146</v>
      </c>
      <c r="D2112" s="432" t="s">
        <v>2307</v>
      </c>
      <c r="E2112" s="107" t="str">
        <f>VLOOKUP(B2112&amp;C2112,Divipola!$C$2:$F$1138,4,FALSE)</f>
        <v>05467</v>
      </c>
      <c r="F2112" s="337"/>
      <c r="G2112" s="221">
        <v>3</v>
      </c>
      <c r="H2112" s="157"/>
      <c r="I2112" s="157"/>
      <c r="J2112" s="157">
        <v>259</v>
      </c>
      <c r="K2112" s="157">
        <v>87</v>
      </c>
      <c r="L2112" s="157">
        <v>64</v>
      </c>
      <c r="M2112" s="157">
        <v>22</v>
      </c>
      <c r="N2112" s="157"/>
      <c r="O2112" s="157"/>
      <c r="P2112" s="157"/>
      <c r="Q2112" s="157"/>
      <c r="R2112" s="157"/>
      <c r="S2112" s="157"/>
      <c r="T2112" s="157"/>
      <c r="U2112" s="157"/>
      <c r="V2112" s="158"/>
      <c r="W2112" s="182"/>
      <c r="X2112" s="1"/>
      <c r="Y2112" s="78">
        <f t="shared" si="257"/>
        <v>0</v>
      </c>
      <c r="Z2112" s="78">
        <f t="shared" si="258"/>
        <v>0</v>
      </c>
      <c r="AA2112" s="78">
        <f t="shared" si="263"/>
        <v>0</v>
      </c>
      <c r="AB2112" s="78">
        <f t="shared" si="259"/>
        <v>0</v>
      </c>
      <c r="AC2112" s="78"/>
      <c r="AD2112" s="78">
        <v>0</v>
      </c>
      <c r="AE2112" s="80">
        <f t="shared" si="262"/>
        <v>0</v>
      </c>
      <c r="AF2112" s="82">
        <v>0</v>
      </c>
      <c r="AG2112" s="69">
        <v>40525</v>
      </c>
      <c r="AH2112" s="84"/>
      <c r="AI2112" s="69" t="s">
        <v>2009</v>
      </c>
      <c r="AJ2112" s="25" t="s">
        <v>2010</v>
      </c>
      <c r="AK2112" s="65"/>
      <c r="AL2112" s="184" t="s">
        <v>805</v>
      </c>
      <c r="AM2112" s="173" t="s">
        <v>1147</v>
      </c>
      <c r="AN2112" s="159"/>
      <c r="AO2112" s="160"/>
      <c r="AP2112" s="161"/>
      <c r="AQ2112" s="160"/>
      <c r="AR2112" s="160"/>
      <c r="AS2112" s="160"/>
      <c r="AT2112" s="160"/>
      <c r="AU2112" s="160"/>
      <c r="AV2112" s="160"/>
      <c r="AW2112" s="160"/>
      <c r="AX2112" s="160"/>
      <c r="AY2112" s="160"/>
      <c r="AZ2112" s="160"/>
      <c r="BA2112" s="160"/>
      <c r="BB2112" s="160"/>
      <c r="BC2112" s="160"/>
      <c r="BD2112" s="160"/>
      <c r="BE2112" s="160"/>
      <c r="BF2112" s="160"/>
      <c r="BG2112" s="160"/>
      <c r="BH2112" s="160"/>
      <c r="BI2112" s="160"/>
      <c r="BJ2112" s="160"/>
      <c r="BK2112" s="160"/>
      <c r="BL2112" s="160"/>
      <c r="BM2112" s="160"/>
      <c r="BN2112" s="160"/>
      <c r="BO2112" s="160"/>
      <c r="BP2112" s="160"/>
      <c r="BQ2112" s="160"/>
      <c r="BR2112" s="160"/>
      <c r="BS2112" s="160"/>
      <c r="BT2112" s="160"/>
      <c r="BU2112" s="160"/>
      <c r="BV2112" s="160"/>
      <c r="BW2112" s="160"/>
      <c r="BX2112" s="160"/>
      <c r="BY2112" s="160"/>
      <c r="BZ2112" s="160"/>
      <c r="CA2112" s="160"/>
      <c r="CB2112" s="160"/>
      <c r="CC2112" s="160"/>
      <c r="CD2112" s="160"/>
      <c r="CE2112" s="160"/>
      <c r="CF2112" s="160"/>
      <c r="CG2112" s="160"/>
      <c r="CH2112" s="160"/>
      <c r="CI2112" s="160"/>
      <c r="CJ2112" s="160"/>
      <c r="CK2112" s="160"/>
      <c r="CL2112" s="160"/>
      <c r="CM2112" s="160"/>
      <c r="CN2112" s="160"/>
      <c r="CO2112" s="160"/>
      <c r="CP2112" s="162"/>
      <c r="CQ2112" s="163"/>
      <c r="CR2112" s="162"/>
      <c r="CS2112" s="163"/>
      <c r="CT2112" s="162"/>
      <c r="CU2112" s="163"/>
      <c r="CV2112" s="164">
        <f t="shared" si="260"/>
        <v>0</v>
      </c>
      <c r="CW2112" s="165"/>
      <c r="CX2112" s="166"/>
      <c r="CY2112" s="167"/>
      <c r="CZ2112" s="168"/>
      <c r="DA2112" s="169"/>
      <c r="DB2112" s="168"/>
      <c r="DC2112" s="165"/>
      <c r="DD2112" s="166"/>
      <c r="DE2112" s="71"/>
      <c r="DF2112" s="170"/>
      <c r="EO2112" s="375" t="str">
        <f t="shared" si="261"/>
        <v>ANTIOQUIA_MONTEBELLO</v>
      </c>
      <c r="EP2112" s="376"/>
      <c r="EQ2112" s="376"/>
      <c r="ER2112" s="377"/>
      <c r="ES2112" s="376"/>
      <c r="ET2112" s="376"/>
      <c r="EU2112" s="376"/>
    </row>
    <row r="2113" spans="1:151" s="171" customFormat="1" ht="36" x14ac:dyDescent="0.2">
      <c r="A2113" s="242">
        <v>40525</v>
      </c>
      <c r="B2113" s="222" t="s">
        <v>2017</v>
      </c>
      <c r="C2113" s="222" t="s">
        <v>232</v>
      </c>
      <c r="D2113" s="430" t="s">
        <v>837</v>
      </c>
      <c r="E2113" s="107" t="str">
        <f>VLOOKUP(B2113&amp;C2113,Divipola!$C$2:$F$1138,4,FALSE)</f>
        <v>13052</v>
      </c>
      <c r="F2113" s="333"/>
      <c r="G2113" s="221"/>
      <c r="H2113" s="157"/>
      <c r="I2113" s="157"/>
      <c r="J2113" s="157">
        <f>1309*5</f>
        <v>6545</v>
      </c>
      <c r="K2113" s="183">
        <f>1554-45-200</f>
        <v>1309</v>
      </c>
      <c r="L2113" s="157"/>
      <c r="M2113" s="157">
        <v>1196</v>
      </c>
      <c r="N2113" s="157"/>
      <c r="O2113" s="157"/>
      <c r="P2113" s="157"/>
      <c r="Q2113" s="157"/>
      <c r="R2113" s="157"/>
      <c r="S2113" s="157"/>
      <c r="T2113" s="157"/>
      <c r="U2113" s="157"/>
      <c r="V2113" s="158"/>
      <c r="W2113" s="182"/>
      <c r="X2113" s="1"/>
      <c r="Y2113" s="78">
        <f t="shared" si="257"/>
        <v>0</v>
      </c>
      <c r="Z2113" s="78">
        <f t="shared" si="258"/>
        <v>0</v>
      </c>
      <c r="AA2113" s="78">
        <f t="shared" si="263"/>
        <v>0</v>
      </c>
      <c r="AB2113" s="78">
        <f t="shared" si="259"/>
        <v>0</v>
      </c>
      <c r="AC2113" s="78"/>
      <c r="AD2113" s="78">
        <v>0</v>
      </c>
      <c r="AE2113" s="80">
        <f t="shared" si="262"/>
        <v>0</v>
      </c>
      <c r="AF2113" s="82">
        <v>0</v>
      </c>
      <c r="AG2113" s="69">
        <v>40525</v>
      </c>
      <c r="AH2113" s="84"/>
      <c r="AI2113" s="69" t="s">
        <v>1984</v>
      </c>
      <c r="AJ2113" s="25" t="s">
        <v>1985</v>
      </c>
      <c r="AK2113" s="65"/>
      <c r="AL2113" s="176" t="s">
        <v>1257</v>
      </c>
      <c r="AM2113" s="173" t="s">
        <v>1148</v>
      </c>
      <c r="AN2113" s="159"/>
      <c r="AO2113" s="160"/>
      <c r="AP2113" s="161"/>
      <c r="AQ2113" s="160"/>
      <c r="AR2113" s="160"/>
      <c r="AS2113" s="160"/>
      <c r="AT2113" s="160"/>
      <c r="AU2113" s="160"/>
      <c r="AV2113" s="160"/>
      <c r="AW2113" s="160"/>
      <c r="AX2113" s="160"/>
      <c r="AY2113" s="160"/>
      <c r="AZ2113" s="160"/>
      <c r="BA2113" s="160"/>
      <c r="BB2113" s="160"/>
      <c r="BC2113" s="160"/>
      <c r="BD2113" s="160"/>
      <c r="BE2113" s="160"/>
      <c r="BF2113" s="160"/>
      <c r="BG2113" s="160"/>
      <c r="BH2113" s="160"/>
      <c r="BI2113" s="160"/>
      <c r="BJ2113" s="160"/>
      <c r="BK2113" s="160"/>
      <c r="BL2113" s="160"/>
      <c r="BM2113" s="160"/>
      <c r="BN2113" s="160"/>
      <c r="BO2113" s="160"/>
      <c r="BP2113" s="160"/>
      <c r="BQ2113" s="160"/>
      <c r="BR2113" s="160"/>
      <c r="BS2113" s="160"/>
      <c r="BT2113" s="160"/>
      <c r="BU2113" s="160"/>
      <c r="BV2113" s="160"/>
      <c r="BW2113" s="160"/>
      <c r="BX2113" s="160"/>
      <c r="BY2113" s="160"/>
      <c r="BZ2113" s="160"/>
      <c r="CA2113" s="160"/>
      <c r="CB2113" s="160"/>
      <c r="CC2113" s="160"/>
      <c r="CD2113" s="160"/>
      <c r="CE2113" s="160"/>
      <c r="CF2113" s="160"/>
      <c r="CG2113" s="160"/>
      <c r="CH2113" s="160"/>
      <c r="CI2113" s="160"/>
      <c r="CJ2113" s="160"/>
      <c r="CK2113" s="160"/>
      <c r="CL2113" s="160"/>
      <c r="CM2113" s="160"/>
      <c r="CN2113" s="160"/>
      <c r="CO2113" s="160"/>
      <c r="CP2113" s="162"/>
      <c r="CQ2113" s="163"/>
      <c r="CR2113" s="162"/>
      <c r="CS2113" s="163"/>
      <c r="CT2113" s="162"/>
      <c r="CU2113" s="163"/>
      <c r="CV2113" s="164">
        <f t="shared" si="260"/>
        <v>0</v>
      </c>
      <c r="CW2113" s="165"/>
      <c r="CX2113" s="166"/>
      <c r="CY2113" s="167"/>
      <c r="CZ2113" s="168"/>
      <c r="DA2113" s="169"/>
      <c r="DB2113" s="168"/>
      <c r="DC2113" s="165"/>
      <c r="DD2113" s="166"/>
      <c r="DE2113" s="71"/>
      <c r="DF2113" s="170"/>
      <c r="EO2113" s="375" t="str">
        <f t="shared" si="261"/>
        <v>BOLIVAR_ARJONA</v>
      </c>
      <c r="EP2113" s="376"/>
      <c r="EQ2113" s="376"/>
      <c r="ER2113" s="377"/>
      <c r="ES2113" s="376"/>
      <c r="ET2113" s="376"/>
      <c r="EU2113" s="376"/>
    </row>
    <row r="2114" spans="1:151" s="171" customFormat="1" ht="51" x14ac:dyDescent="0.2">
      <c r="A2114" s="242">
        <v>40525</v>
      </c>
      <c r="B2114" s="222" t="s">
        <v>1719</v>
      </c>
      <c r="C2114" s="222" t="s">
        <v>772</v>
      </c>
      <c r="D2114" s="430" t="s">
        <v>2307</v>
      </c>
      <c r="E2114" s="107" t="str">
        <f>VLOOKUP(B2114&amp;C2114,Divipola!$C$2:$F$1138,4,FALSE)</f>
        <v>19698</v>
      </c>
      <c r="F2114" s="333"/>
      <c r="G2114" s="221"/>
      <c r="H2114" s="157"/>
      <c r="I2114" s="157"/>
      <c r="J2114" s="157"/>
      <c r="K2114" s="157"/>
      <c r="L2114" s="157"/>
      <c r="M2114" s="157"/>
      <c r="N2114" s="157">
        <v>1</v>
      </c>
      <c r="O2114" s="157"/>
      <c r="P2114" s="157"/>
      <c r="Q2114" s="157"/>
      <c r="R2114" s="157"/>
      <c r="S2114" s="157"/>
      <c r="T2114" s="157"/>
      <c r="U2114" s="157"/>
      <c r="V2114" s="158"/>
      <c r="W2114" s="182"/>
      <c r="X2114" s="1"/>
      <c r="Y2114" s="78">
        <f t="shared" si="257"/>
        <v>0</v>
      </c>
      <c r="Z2114" s="78">
        <f t="shared" si="258"/>
        <v>0</v>
      </c>
      <c r="AA2114" s="78">
        <f t="shared" si="263"/>
        <v>0</v>
      </c>
      <c r="AB2114" s="78">
        <f t="shared" si="259"/>
        <v>0</v>
      </c>
      <c r="AC2114" s="78"/>
      <c r="AD2114" s="78">
        <v>0</v>
      </c>
      <c r="AE2114" s="80">
        <f t="shared" si="262"/>
        <v>0</v>
      </c>
      <c r="AF2114" s="82">
        <v>0</v>
      </c>
      <c r="AG2114" s="69"/>
      <c r="AH2114" s="84"/>
      <c r="AI2114" s="69" t="s">
        <v>2009</v>
      </c>
      <c r="AJ2114" s="276" t="s">
        <v>2010</v>
      </c>
      <c r="AK2114" s="65"/>
      <c r="AL2114" s="272" t="s">
        <v>311</v>
      </c>
      <c r="AM2114" s="173" t="s">
        <v>53</v>
      </c>
      <c r="AN2114" s="159"/>
      <c r="AO2114" s="160"/>
      <c r="AP2114" s="161"/>
      <c r="AQ2114" s="160"/>
      <c r="AR2114" s="160"/>
      <c r="AS2114" s="160"/>
      <c r="AT2114" s="160"/>
      <c r="AU2114" s="160"/>
      <c r="AV2114" s="160"/>
      <c r="AW2114" s="160"/>
      <c r="AX2114" s="160"/>
      <c r="AY2114" s="160"/>
      <c r="AZ2114" s="160"/>
      <c r="BA2114" s="160"/>
      <c r="BB2114" s="160"/>
      <c r="BC2114" s="160"/>
      <c r="BD2114" s="160"/>
      <c r="BE2114" s="160"/>
      <c r="BF2114" s="160"/>
      <c r="BG2114" s="160"/>
      <c r="BH2114" s="160"/>
      <c r="BI2114" s="160"/>
      <c r="BJ2114" s="160"/>
      <c r="BK2114" s="160"/>
      <c r="BL2114" s="160"/>
      <c r="BM2114" s="160"/>
      <c r="BN2114" s="160"/>
      <c r="BO2114" s="160"/>
      <c r="BP2114" s="160"/>
      <c r="BQ2114" s="160"/>
      <c r="BR2114" s="160"/>
      <c r="BS2114" s="160"/>
      <c r="BT2114" s="160"/>
      <c r="BU2114" s="160"/>
      <c r="BV2114" s="160"/>
      <c r="BW2114" s="160"/>
      <c r="BX2114" s="160"/>
      <c r="BY2114" s="160"/>
      <c r="BZ2114" s="160"/>
      <c r="CA2114" s="160"/>
      <c r="CB2114" s="160"/>
      <c r="CC2114" s="160"/>
      <c r="CD2114" s="160"/>
      <c r="CE2114" s="160"/>
      <c r="CF2114" s="160"/>
      <c r="CG2114" s="160"/>
      <c r="CH2114" s="160"/>
      <c r="CI2114" s="160"/>
      <c r="CJ2114" s="160"/>
      <c r="CK2114" s="160"/>
      <c r="CL2114" s="160"/>
      <c r="CM2114" s="160"/>
      <c r="CN2114" s="160"/>
      <c r="CO2114" s="160"/>
      <c r="CP2114" s="162"/>
      <c r="CQ2114" s="163"/>
      <c r="CR2114" s="162"/>
      <c r="CS2114" s="163"/>
      <c r="CT2114" s="162"/>
      <c r="CU2114" s="163"/>
      <c r="CV2114" s="164">
        <f t="shared" si="260"/>
        <v>0</v>
      </c>
      <c r="CW2114" s="165"/>
      <c r="CX2114" s="166"/>
      <c r="CY2114" s="167"/>
      <c r="CZ2114" s="168"/>
      <c r="DA2114" s="169"/>
      <c r="DB2114" s="168"/>
      <c r="DC2114" s="165"/>
      <c r="DD2114" s="166"/>
      <c r="DE2114" s="71"/>
      <c r="DF2114" s="170"/>
      <c r="EO2114" s="375" t="str">
        <f t="shared" si="261"/>
        <v>CAUCA_SANTANDER DE QUILICHAO</v>
      </c>
      <c r="EP2114" s="376"/>
      <c r="EQ2114" s="376"/>
      <c r="ER2114" s="377"/>
      <c r="ES2114" s="376"/>
      <c r="ET2114" s="376"/>
      <c r="EU2114" s="376"/>
    </row>
    <row r="2115" spans="1:151" s="171" customFormat="1" ht="45" x14ac:dyDescent="0.2">
      <c r="A2115" s="242">
        <v>40525</v>
      </c>
      <c r="B2115" s="222" t="s">
        <v>1700</v>
      </c>
      <c r="C2115" s="222" t="s">
        <v>1800</v>
      </c>
      <c r="D2115" s="430" t="s">
        <v>837</v>
      </c>
      <c r="E2115" s="107" t="str">
        <f>VLOOKUP(B2115&amp;C2115,Divipola!$C$2:$F$1138,4,FALSE)</f>
        <v>23090</v>
      </c>
      <c r="F2115" s="333"/>
      <c r="G2115" s="221"/>
      <c r="H2115" s="157"/>
      <c r="I2115" s="157"/>
      <c r="J2115" s="157">
        <v>257</v>
      </c>
      <c r="K2115" s="157">
        <v>60</v>
      </c>
      <c r="L2115" s="157"/>
      <c r="M2115" s="157">
        <v>60</v>
      </c>
      <c r="N2115" s="157"/>
      <c r="O2115" s="157"/>
      <c r="P2115" s="157"/>
      <c r="Q2115" s="157"/>
      <c r="R2115" s="157"/>
      <c r="S2115" s="157"/>
      <c r="T2115" s="157"/>
      <c r="U2115" s="157"/>
      <c r="V2115" s="158"/>
      <c r="W2115" s="182"/>
      <c r="X2115" s="1"/>
      <c r="Y2115" s="78">
        <f t="shared" ref="Y2115:Y2178" si="264">CV2115</f>
        <v>0</v>
      </c>
      <c r="Z2115" s="78">
        <f t="shared" ref="Z2115:Z2178" si="265">CZ2115</f>
        <v>0</v>
      </c>
      <c r="AA2115" s="78">
        <f t="shared" si="263"/>
        <v>0</v>
      </c>
      <c r="AB2115" s="78">
        <f t="shared" ref="AB2115:AB2178" si="266">CX2115</f>
        <v>0</v>
      </c>
      <c r="AC2115" s="78"/>
      <c r="AD2115" s="78">
        <v>0</v>
      </c>
      <c r="AE2115" s="80">
        <f t="shared" si="262"/>
        <v>0</v>
      </c>
      <c r="AF2115" s="82">
        <v>0</v>
      </c>
      <c r="AG2115" s="69">
        <v>40525</v>
      </c>
      <c r="AH2115" s="84"/>
      <c r="AI2115" s="69" t="s">
        <v>2009</v>
      </c>
      <c r="AJ2115" s="276" t="s">
        <v>2010</v>
      </c>
      <c r="AK2115" s="65"/>
      <c r="AL2115" s="272" t="s">
        <v>311</v>
      </c>
      <c r="AM2115" s="173" t="s">
        <v>52</v>
      </c>
      <c r="AN2115" s="159"/>
      <c r="AO2115" s="160"/>
      <c r="AP2115" s="161"/>
      <c r="AQ2115" s="160"/>
      <c r="AR2115" s="160"/>
      <c r="AS2115" s="160"/>
      <c r="AT2115" s="160"/>
      <c r="AU2115" s="160"/>
      <c r="AV2115" s="160"/>
      <c r="AW2115" s="160"/>
      <c r="AX2115" s="160"/>
      <c r="AY2115" s="160"/>
      <c r="AZ2115" s="160"/>
      <c r="BA2115" s="160"/>
      <c r="BB2115" s="160"/>
      <c r="BC2115" s="160"/>
      <c r="BD2115" s="160"/>
      <c r="BE2115" s="160"/>
      <c r="BF2115" s="160"/>
      <c r="BG2115" s="160"/>
      <c r="BH2115" s="160"/>
      <c r="BI2115" s="160"/>
      <c r="BJ2115" s="160"/>
      <c r="BK2115" s="160"/>
      <c r="BL2115" s="160"/>
      <c r="BM2115" s="160"/>
      <c r="BN2115" s="160"/>
      <c r="BO2115" s="160"/>
      <c r="BP2115" s="160"/>
      <c r="BQ2115" s="160"/>
      <c r="BR2115" s="160"/>
      <c r="BS2115" s="160"/>
      <c r="BT2115" s="160"/>
      <c r="BU2115" s="160"/>
      <c r="BV2115" s="160"/>
      <c r="BW2115" s="160"/>
      <c r="BX2115" s="160"/>
      <c r="BY2115" s="160"/>
      <c r="BZ2115" s="160"/>
      <c r="CA2115" s="160"/>
      <c r="CB2115" s="160"/>
      <c r="CC2115" s="160"/>
      <c r="CD2115" s="160"/>
      <c r="CE2115" s="160"/>
      <c r="CF2115" s="160"/>
      <c r="CG2115" s="160"/>
      <c r="CH2115" s="160"/>
      <c r="CI2115" s="160"/>
      <c r="CJ2115" s="160"/>
      <c r="CK2115" s="160"/>
      <c r="CL2115" s="160"/>
      <c r="CM2115" s="160"/>
      <c r="CN2115" s="160"/>
      <c r="CO2115" s="160"/>
      <c r="CP2115" s="162"/>
      <c r="CQ2115" s="163"/>
      <c r="CR2115" s="162"/>
      <c r="CS2115" s="163"/>
      <c r="CT2115" s="162"/>
      <c r="CU2115" s="163"/>
      <c r="CV2115" s="164">
        <f t="shared" ref="CV2115:CV2178" si="267">AO2115+AQ2115+AS2115+AU2115+AW2115+AY2115+BA2115+BC2115+BE2115+BG2115+BI2115+BK2115+BM2115+BO2115+BQ2115+BS2115+BU2115+BW2115+BY2115+CA2115+CC2115+CE2115+CG2115+CI2115+CK2115+CM2115+CO2115+CQ2115+CS2115+CU2115</f>
        <v>0</v>
      </c>
      <c r="CW2115" s="165"/>
      <c r="CX2115" s="166"/>
      <c r="CY2115" s="167"/>
      <c r="CZ2115" s="168"/>
      <c r="DA2115" s="169"/>
      <c r="DB2115" s="168"/>
      <c r="DC2115" s="165"/>
      <c r="DD2115" s="166"/>
      <c r="DE2115" s="71"/>
      <c r="DF2115" s="170"/>
      <c r="EO2115" s="375" t="str">
        <f t="shared" ref="EO2115:EO2178" si="268">B2115&amp;"_"&amp;C2115</f>
        <v>CORDOBA_CANALETE</v>
      </c>
      <c r="EP2115" s="376"/>
      <c r="EQ2115" s="376"/>
      <c r="ER2115" s="377"/>
      <c r="ES2115" s="376"/>
      <c r="ET2115" s="376"/>
      <c r="EU2115" s="376"/>
    </row>
    <row r="2116" spans="1:151" s="287" customFormat="1" ht="51" x14ac:dyDescent="0.2">
      <c r="A2116" s="242">
        <v>40525</v>
      </c>
      <c r="B2116" s="107" t="s">
        <v>1700</v>
      </c>
      <c r="C2116" s="222" t="s">
        <v>543</v>
      </c>
      <c r="D2116" s="430" t="s">
        <v>837</v>
      </c>
      <c r="E2116" s="107" t="str">
        <f>VLOOKUP(B2116&amp;C2116,Divipola!$C$2:$F$1138,4,FALSE)</f>
        <v>23419</v>
      </c>
      <c r="F2116" s="333"/>
      <c r="G2116" s="221"/>
      <c r="H2116" s="157"/>
      <c r="I2116" s="157"/>
      <c r="J2116" s="157">
        <f>1334-270</f>
        <v>1064</v>
      </c>
      <c r="K2116" s="157">
        <f>317-60</f>
        <v>257</v>
      </c>
      <c r="L2116" s="157"/>
      <c r="M2116" s="157">
        <v>60</v>
      </c>
      <c r="N2116" s="157"/>
      <c r="O2116" s="157"/>
      <c r="P2116" s="157"/>
      <c r="Q2116" s="157"/>
      <c r="R2116" s="157"/>
      <c r="S2116" s="157"/>
      <c r="T2116" s="157"/>
      <c r="U2116" s="157"/>
      <c r="V2116" s="158"/>
      <c r="W2116" s="182"/>
      <c r="X2116" s="1"/>
      <c r="Y2116" s="78">
        <f t="shared" si="264"/>
        <v>0</v>
      </c>
      <c r="Z2116" s="78">
        <f t="shared" si="265"/>
        <v>9350000</v>
      </c>
      <c r="AA2116" s="78">
        <f t="shared" si="263"/>
        <v>0</v>
      </c>
      <c r="AB2116" s="78">
        <f t="shared" si="266"/>
        <v>0</v>
      </c>
      <c r="AC2116" s="78"/>
      <c r="AD2116" s="78">
        <v>0</v>
      </c>
      <c r="AE2116" s="80">
        <f t="shared" si="262"/>
        <v>9350000</v>
      </c>
      <c r="AF2116" s="82">
        <v>0</v>
      </c>
      <c r="AG2116" s="69"/>
      <c r="AH2116" s="84"/>
      <c r="AI2116" s="69" t="s">
        <v>2009</v>
      </c>
      <c r="AJ2116" s="25" t="s">
        <v>2010</v>
      </c>
      <c r="AK2116" s="65"/>
      <c r="AL2116" s="176"/>
      <c r="AM2116" s="173" t="s">
        <v>120</v>
      </c>
      <c r="AN2116" s="159"/>
      <c r="AO2116" s="160"/>
      <c r="AP2116" s="161"/>
      <c r="AQ2116" s="160"/>
      <c r="AR2116" s="160"/>
      <c r="AS2116" s="160"/>
      <c r="AT2116" s="160"/>
      <c r="AU2116" s="160"/>
      <c r="AV2116" s="160"/>
      <c r="AW2116" s="160"/>
      <c r="AX2116" s="160"/>
      <c r="AY2116" s="160"/>
      <c r="AZ2116" s="160"/>
      <c r="BA2116" s="160"/>
      <c r="BB2116" s="160"/>
      <c r="BC2116" s="160"/>
      <c r="BD2116" s="160"/>
      <c r="BE2116" s="160"/>
      <c r="BF2116" s="160"/>
      <c r="BG2116" s="160"/>
      <c r="BH2116" s="160"/>
      <c r="BI2116" s="160"/>
      <c r="BJ2116" s="160"/>
      <c r="BK2116" s="160"/>
      <c r="BL2116" s="160"/>
      <c r="BM2116" s="160"/>
      <c r="BN2116" s="160"/>
      <c r="BO2116" s="160"/>
      <c r="BP2116" s="160"/>
      <c r="BQ2116" s="160"/>
      <c r="BR2116" s="160"/>
      <c r="BS2116" s="160"/>
      <c r="BT2116" s="160"/>
      <c r="BU2116" s="160"/>
      <c r="BV2116" s="160"/>
      <c r="BW2116" s="160"/>
      <c r="BX2116" s="160"/>
      <c r="BY2116" s="160"/>
      <c r="BZ2116" s="160"/>
      <c r="CA2116" s="160"/>
      <c r="CB2116" s="160"/>
      <c r="CC2116" s="160"/>
      <c r="CD2116" s="160"/>
      <c r="CE2116" s="160"/>
      <c r="CF2116" s="160"/>
      <c r="CG2116" s="160"/>
      <c r="CH2116" s="160"/>
      <c r="CI2116" s="160"/>
      <c r="CJ2116" s="160"/>
      <c r="CK2116" s="160"/>
      <c r="CL2116" s="160"/>
      <c r="CM2116" s="160"/>
      <c r="CN2116" s="160"/>
      <c r="CO2116" s="160"/>
      <c r="CP2116" s="162"/>
      <c r="CQ2116" s="163"/>
      <c r="CR2116" s="162"/>
      <c r="CS2116" s="163"/>
      <c r="CT2116" s="162"/>
      <c r="CU2116" s="163"/>
      <c r="CV2116" s="164">
        <f t="shared" si="267"/>
        <v>0</v>
      </c>
      <c r="CW2116" s="165"/>
      <c r="CX2116" s="166"/>
      <c r="CY2116" s="167">
        <v>110</v>
      </c>
      <c r="CZ2116" s="168">
        <f>110*85000</f>
        <v>9350000</v>
      </c>
      <c r="DA2116" s="169"/>
      <c r="DB2116" s="168"/>
      <c r="DC2116" s="165"/>
      <c r="DD2116" s="166"/>
      <c r="DE2116" s="71"/>
      <c r="DF2116" s="170"/>
      <c r="EO2116" s="384" t="str">
        <f t="shared" si="268"/>
        <v>CORDOBA_LOS CORDOBAS</v>
      </c>
      <c r="EP2116" s="385"/>
      <c r="EQ2116" s="385"/>
      <c r="ER2116" s="386"/>
      <c r="ES2116" s="385"/>
      <c r="ET2116" s="385"/>
      <c r="EU2116" s="385"/>
    </row>
    <row r="2117" spans="1:151" s="171" customFormat="1" ht="36" x14ac:dyDescent="0.2">
      <c r="A2117" s="242">
        <v>40525</v>
      </c>
      <c r="B2117" s="222" t="s">
        <v>2012</v>
      </c>
      <c r="C2117" s="222" t="s">
        <v>2762</v>
      </c>
      <c r="D2117" s="430" t="s">
        <v>2307</v>
      </c>
      <c r="E2117" s="107" t="str">
        <f>VLOOKUP(B2117&amp;C2117,Divipola!$C$2:$F$1138,4,FALSE)</f>
        <v>66456</v>
      </c>
      <c r="F2117" s="333"/>
      <c r="G2117" s="221"/>
      <c r="H2117" s="157"/>
      <c r="I2117" s="157"/>
      <c r="J2117" s="157">
        <f>59*5</f>
        <v>295</v>
      </c>
      <c r="K2117" s="157">
        <v>59</v>
      </c>
      <c r="L2117" s="157">
        <v>55</v>
      </c>
      <c r="M2117" s="157">
        <v>4</v>
      </c>
      <c r="N2117" s="157"/>
      <c r="O2117" s="157"/>
      <c r="P2117" s="157"/>
      <c r="Q2117" s="157"/>
      <c r="R2117" s="157"/>
      <c r="S2117" s="157"/>
      <c r="T2117" s="157">
        <v>4</v>
      </c>
      <c r="U2117" s="157"/>
      <c r="V2117" s="158">
        <v>61</v>
      </c>
      <c r="W2117" s="182" t="s">
        <v>467</v>
      </c>
      <c r="X2117" s="1"/>
      <c r="Y2117" s="78">
        <f t="shared" si="264"/>
        <v>0</v>
      </c>
      <c r="Z2117" s="78">
        <f t="shared" si="265"/>
        <v>0</v>
      </c>
      <c r="AA2117" s="78">
        <f t="shared" si="263"/>
        <v>0</v>
      </c>
      <c r="AB2117" s="78">
        <f t="shared" si="266"/>
        <v>0</v>
      </c>
      <c r="AC2117" s="78"/>
      <c r="AD2117" s="78">
        <v>0</v>
      </c>
      <c r="AE2117" s="80">
        <f t="shared" si="262"/>
        <v>0</v>
      </c>
      <c r="AF2117" s="82">
        <v>0</v>
      </c>
      <c r="AG2117" s="69">
        <v>40527</v>
      </c>
      <c r="AH2117" s="84"/>
      <c r="AI2117" s="69" t="s">
        <v>1984</v>
      </c>
      <c r="AJ2117" s="25" t="s">
        <v>1985</v>
      </c>
      <c r="AK2117" s="65"/>
      <c r="AL2117" s="176" t="s">
        <v>1257</v>
      </c>
      <c r="AM2117" s="173" t="s">
        <v>123</v>
      </c>
      <c r="AN2117" s="159"/>
      <c r="AO2117" s="160"/>
      <c r="AP2117" s="161"/>
      <c r="AQ2117" s="160"/>
      <c r="AR2117" s="160"/>
      <c r="AS2117" s="160"/>
      <c r="AT2117" s="160"/>
      <c r="AU2117" s="160"/>
      <c r="AV2117" s="160"/>
      <c r="AW2117" s="160"/>
      <c r="AX2117" s="160"/>
      <c r="AY2117" s="160"/>
      <c r="AZ2117" s="160"/>
      <c r="BA2117" s="160"/>
      <c r="BB2117" s="160"/>
      <c r="BC2117" s="160"/>
      <c r="BD2117" s="160"/>
      <c r="BE2117" s="160"/>
      <c r="BF2117" s="160"/>
      <c r="BG2117" s="160"/>
      <c r="BH2117" s="160"/>
      <c r="BI2117" s="160"/>
      <c r="BJ2117" s="160"/>
      <c r="BK2117" s="160"/>
      <c r="BL2117" s="160"/>
      <c r="BM2117" s="160"/>
      <c r="BN2117" s="160"/>
      <c r="BO2117" s="160"/>
      <c r="BP2117" s="160"/>
      <c r="BQ2117" s="160"/>
      <c r="BR2117" s="160"/>
      <c r="BS2117" s="160"/>
      <c r="BT2117" s="160"/>
      <c r="BU2117" s="160"/>
      <c r="BV2117" s="160"/>
      <c r="BW2117" s="160"/>
      <c r="BX2117" s="160"/>
      <c r="BY2117" s="160"/>
      <c r="BZ2117" s="160"/>
      <c r="CA2117" s="160"/>
      <c r="CB2117" s="160"/>
      <c r="CC2117" s="160"/>
      <c r="CD2117" s="160"/>
      <c r="CE2117" s="160"/>
      <c r="CF2117" s="160"/>
      <c r="CG2117" s="160"/>
      <c r="CH2117" s="160"/>
      <c r="CI2117" s="160"/>
      <c r="CJ2117" s="160"/>
      <c r="CK2117" s="160"/>
      <c r="CL2117" s="160"/>
      <c r="CM2117" s="160"/>
      <c r="CN2117" s="160"/>
      <c r="CO2117" s="160"/>
      <c r="CP2117" s="162"/>
      <c r="CQ2117" s="163"/>
      <c r="CR2117" s="162"/>
      <c r="CS2117" s="163"/>
      <c r="CT2117" s="162"/>
      <c r="CU2117" s="163"/>
      <c r="CV2117" s="164">
        <f t="shared" si="267"/>
        <v>0</v>
      </c>
      <c r="CW2117" s="165"/>
      <c r="CX2117" s="166"/>
      <c r="CY2117" s="167"/>
      <c r="CZ2117" s="168"/>
      <c r="DA2117" s="169"/>
      <c r="DB2117" s="168"/>
      <c r="DC2117" s="165"/>
      <c r="DD2117" s="166"/>
      <c r="DE2117" s="71"/>
      <c r="DF2117" s="170">
        <v>1457</v>
      </c>
      <c r="EO2117" s="375" t="str">
        <f t="shared" si="268"/>
        <v>RISARALDA_MISTRATO</v>
      </c>
      <c r="EP2117" s="376"/>
      <c r="EQ2117" s="376"/>
      <c r="ER2117" s="377"/>
      <c r="ES2117" s="376"/>
      <c r="ET2117" s="376"/>
      <c r="EU2117" s="376"/>
    </row>
    <row r="2118" spans="1:151" s="171" customFormat="1" ht="25.5" x14ac:dyDescent="0.2">
      <c r="A2118" s="242">
        <v>40525</v>
      </c>
      <c r="B2118" s="222" t="s">
        <v>2372</v>
      </c>
      <c r="C2118" s="222" t="s">
        <v>2394</v>
      </c>
      <c r="D2118" s="430" t="s">
        <v>837</v>
      </c>
      <c r="E2118" s="107" t="str">
        <f>VLOOKUP(B2118&amp;C2118,Divipola!$C$2:$F$1138,4,FALSE)</f>
        <v>70713</v>
      </c>
      <c r="F2118" s="333"/>
      <c r="G2118" s="221"/>
      <c r="H2118" s="157"/>
      <c r="I2118" s="157"/>
      <c r="J2118" s="157">
        <v>325</v>
      </c>
      <c r="K2118" s="157">
        <v>65</v>
      </c>
      <c r="L2118" s="157"/>
      <c r="M2118" s="157">
        <v>65</v>
      </c>
      <c r="N2118" s="157"/>
      <c r="O2118" s="157"/>
      <c r="P2118" s="157"/>
      <c r="Q2118" s="157"/>
      <c r="R2118" s="157"/>
      <c r="S2118" s="157"/>
      <c r="T2118" s="157"/>
      <c r="U2118" s="157"/>
      <c r="V2118" s="158"/>
      <c r="W2118" s="182"/>
      <c r="X2118" s="1"/>
      <c r="Y2118" s="78">
        <f t="shared" si="264"/>
        <v>192290000</v>
      </c>
      <c r="Z2118" s="78">
        <f t="shared" si="265"/>
        <v>119000000</v>
      </c>
      <c r="AA2118" s="78">
        <f t="shared" si="263"/>
        <v>0</v>
      </c>
      <c r="AB2118" s="78">
        <f t="shared" si="266"/>
        <v>0</v>
      </c>
      <c r="AC2118" s="78"/>
      <c r="AD2118" s="78">
        <v>0</v>
      </c>
      <c r="AE2118" s="80">
        <f t="shared" si="262"/>
        <v>311290000</v>
      </c>
      <c r="AF2118" s="82">
        <v>0</v>
      </c>
      <c r="AG2118" s="69"/>
      <c r="AH2118" s="84"/>
      <c r="AI2118" s="69" t="s">
        <v>2009</v>
      </c>
      <c r="AJ2118" s="25" t="s">
        <v>2010</v>
      </c>
      <c r="AK2118" s="65"/>
      <c r="AL2118" s="176"/>
      <c r="AM2118" s="173" t="s">
        <v>58</v>
      </c>
      <c r="AN2118" s="159"/>
      <c r="AO2118" s="160"/>
      <c r="AP2118" s="161"/>
      <c r="AQ2118" s="160"/>
      <c r="AR2118" s="160"/>
      <c r="AS2118" s="160"/>
      <c r="AT2118" s="160"/>
      <c r="AU2118" s="160"/>
      <c r="AV2118" s="160"/>
      <c r="AW2118" s="160"/>
      <c r="AX2118" s="160"/>
      <c r="AY2118" s="160"/>
      <c r="AZ2118" s="160"/>
      <c r="BA2118" s="160"/>
      <c r="BB2118" s="160">
        <v>1400</v>
      </c>
      <c r="BC2118" s="160">
        <f>1400*56000</f>
        <v>78400000</v>
      </c>
      <c r="BD2118" s="160"/>
      <c r="BE2118" s="160"/>
      <c r="BF2118" s="160"/>
      <c r="BG2118" s="160"/>
      <c r="BH2118" s="160"/>
      <c r="BI2118" s="160"/>
      <c r="BJ2118" s="160"/>
      <c r="BK2118" s="160"/>
      <c r="BL2118" s="160">
        <v>1400</v>
      </c>
      <c r="BM2118" s="160">
        <f>1400*25500</f>
        <v>35700000</v>
      </c>
      <c r="BN2118" s="160"/>
      <c r="BO2118" s="160"/>
      <c r="BP2118" s="160"/>
      <c r="BQ2118" s="160"/>
      <c r="BR2118" s="160"/>
      <c r="BS2118" s="160"/>
      <c r="BT2118" s="160"/>
      <c r="BU2118" s="160"/>
      <c r="BV2118" s="160"/>
      <c r="BW2118" s="160"/>
      <c r="BX2118" s="160"/>
      <c r="BY2118" s="160"/>
      <c r="BZ2118" s="160"/>
      <c r="CA2118" s="160"/>
      <c r="CB2118" s="160"/>
      <c r="CC2118" s="160"/>
      <c r="CD2118" s="160"/>
      <c r="CE2118" s="160"/>
      <c r="CF2118" s="160"/>
      <c r="CG2118" s="160"/>
      <c r="CH2118" s="160"/>
      <c r="CI2118" s="160"/>
      <c r="CJ2118" s="160"/>
      <c r="CK2118" s="160"/>
      <c r="CL2118" s="160"/>
      <c r="CM2118" s="160"/>
      <c r="CN2118" s="160">
        <f>1400+1400</f>
        <v>2800</v>
      </c>
      <c r="CO2118" s="160">
        <f>1400*18000+1400*18000</f>
        <v>50400000</v>
      </c>
      <c r="CP2118" s="162"/>
      <c r="CQ2118" s="163"/>
      <c r="CR2118" s="162">
        <v>700</v>
      </c>
      <c r="CS2118" s="163">
        <f>700*39700</f>
        <v>27790000</v>
      </c>
      <c r="CT2118" s="162"/>
      <c r="CU2118" s="163"/>
      <c r="CV2118" s="164">
        <f t="shared" si="267"/>
        <v>192290000</v>
      </c>
      <c r="CW2118" s="165"/>
      <c r="CX2118" s="166"/>
      <c r="CY2118" s="167">
        <f>700+700</f>
        <v>1400</v>
      </c>
      <c r="CZ2118" s="168">
        <f>700*85000+700*85000</f>
        <v>119000000</v>
      </c>
      <c r="DA2118" s="169"/>
      <c r="DB2118" s="168"/>
      <c r="DC2118" s="165"/>
      <c r="DD2118" s="166"/>
      <c r="DE2118" s="71"/>
      <c r="DF2118" s="170"/>
      <c r="EO2118" s="375" t="str">
        <f t="shared" si="268"/>
        <v>SUCRE_SAN ONOFRE</v>
      </c>
      <c r="EP2118" s="376"/>
      <c r="EQ2118" s="376"/>
      <c r="ER2118" s="377"/>
      <c r="ES2118" s="376"/>
      <c r="ET2118" s="376"/>
      <c r="EU2118" s="376"/>
    </row>
    <row r="2119" spans="1:151" s="171" customFormat="1" ht="132" x14ac:dyDescent="0.2">
      <c r="A2119" s="242">
        <v>40525</v>
      </c>
      <c r="B2119" s="222" t="s">
        <v>2372</v>
      </c>
      <c r="C2119" s="222" t="s">
        <v>4592</v>
      </c>
      <c r="D2119" s="430" t="s">
        <v>837</v>
      </c>
      <c r="E2119" s="107" t="str">
        <f>VLOOKUP(B2119&amp;C2119,Divipola!$C$2:$F$1138,4,FALSE)</f>
        <v>70820</v>
      </c>
      <c r="F2119" s="333"/>
      <c r="G2119" s="221"/>
      <c r="H2119" s="157"/>
      <c r="I2119" s="157"/>
      <c r="J2119" s="157">
        <f>294*5</f>
        <v>1470</v>
      </c>
      <c r="K2119" s="157">
        <f>1200-172-734</f>
        <v>294</v>
      </c>
      <c r="L2119" s="157"/>
      <c r="M2119" s="157">
        <v>294</v>
      </c>
      <c r="N2119" s="157"/>
      <c r="O2119" s="157"/>
      <c r="P2119" s="157"/>
      <c r="Q2119" s="157"/>
      <c r="R2119" s="157"/>
      <c r="S2119" s="157"/>
      <c r="T2119" s="157"/>
      <c r="U2119" s="157"/>
      <c r="V2119" s="158"/>
      <c r="W2119" s="182"/>
      <c r="X2119" s="1"/>
      <c r="Y2119" s="78">
        <f t="shared" si="264"/>
        <v>286440000</v>
      </c>
      <c r="Z2119" s="78">
        <f t="shared" si="265"/>
        <v>102000000</v>
      </c>
      <c r="AA2119" s="78">
        <f t="shared" si="263"/>
        <v>0</v>
      </c>
      <c r="AB2119" s="78">
        <f t="shared" si="266"/>
        <v>0</v>
      </c>
      <c r="AC2119" s="78"/>
      <c r="AD2119" s="78">
        <v>0</v>
      </c>
      <c r="AE2119" s="80">
        <f t="shared" si="262"/>
        <v>388440000</v>
      </c>
      <c r="AF2119" s="82">
        <v>0</v>
      </c>
      <c r="AG2119" s="69"/>
      <c r="AH2119" s="84"/>
      <c r="AI2119" s="69" t="s">
        <v>2009</v>
      </c>
      <c r="AJ2119" s="25" t="s">
        <v>2010</v>
      </c>
      <c r="AK2119" s="65"/>
      <c r="AL2119" s="176"/>
      <c r="AM2119" s="173" t="s">
        <v>453</v>
      </c>
      <c r="AN2119" s="159"/>
      <c r="AO2119" s="160"/>
      <c r="AP2119" s="161"/>
      <c r="AQ2119" s="160"/>
      <c r="AR2119" s="160"/>
      <c r="AS2119" s="160"/>
      <c r="AT2119" s="160"/>
      <c r="AU2119" s="160"/>
      <c r="AV2119" s="160"/>
      <c r="AW2119" s="160"/>
      <c r="AX2119" s="160"/>
      <c r="AY2119" s="160"/>
      <c r="AZ2119" s="160"/>
      <c r="BA2119" s="160"/>
      <c r="BB2119" s="160">
        <v>2400</v>
      </c>
      <c r="BC2119" s="160">
        <f>2400*56000</f>
        <v>134400000</v>
      </c>
      <c r="BD2119" s="160"/>
      <c r="BE2119" s="160"/>
      <c r="BF2119" s="160"/>
      <c r="BG2119" s="160"/>
      <c r="BH2119" s="160"/>
      <c r="BI2119" s="160"/>
      <c r="BJ2119" s="160"/>
      <c r="BK2119" s="160"/>
      <c r="BL2119" s="160">
        <v>2400</v>
      </c>
      <c r="BM2119" s="160">
        <f>2400*25500</f>
        <v>61200000</v>
      </c>
      <c r="BN2119" s="160"/>
      <c r="BO2119" s="160"/>
      <c r="BP2119" s="160"/>
      <c r="BQ2119" s="160"/>
      <c r="BR2119" s="160"/>
      <c r="BS2119" s="160"/>
      <c r="BT2119" s="160"/>
      <c r="BU2119" s="160"/>
      <c r="BV2119" s="160"/>
      <c r="BW2119" s="160"/>
      <c r="BX2119" s="160"/>
      <c r="BY2119" s="160"/>
      <c r="BZ2119" s="160"/>
      <c r="CA2119" s="160"/>
      <c r="CB2119" s="160"/>
      <c r="CC2119" s="160"/>
      <c r="CD2119" s="160"/>
      <c r="CE2119" s="160"/>
      <c r="CF2119" s="160"/>
      <c r="CG2119" s="160"/>
      <c r="CH2119" s="160"/>
      <c r="CI2119" s="160"/>
      <c r="CJ2119" s="160"/>
      <c r="CK2119" s="160"/>
      <c r="CL2119" s="160"/>
      <c r="CM2119" s="160"/>
      <c r="CN2119" s="160">
        <v>2400</v>
      </c>
      <c r="CO2119" s="160">
        <f>2400*18000</f>
        <v>43200000</v>
      </c>
      <c r="CP2119" s="162"/>
      <c r="CQ2119" s="163"/>
      <c r="CR2119" s="162">
        <v>1200</v>
      </c>
      <c r="CS2119" s="163">
        <f>1200*39700</f>
        <v>47640000</v>
      </c>
      <c r="CT2119" s="162"/>
      <c r="CU2119" s="163"/>
      <c r="CV2119" s="164">
        <f t="shared" si="267"/>
        <v>286440000</v>
      </c>
      <c r="CW2119" s="165"/>
      <c r="CX2119" s="166"/>
      <c r="CY2119" s="167">
        <v>1200</v>
      </c>
      <c r="CZ2119" s="168">
        <f>1200*85000</f>
        <v>102000000</v>
      </c>
      <c r="DA2119" s="169"/>
      <c r="DB2119" s="168"/>
      <c r="DC2119" s="165"/>
      <c r="DD2119" s="166"/>
      <c r="DE2119" s="71"/>
      <c r="DF2119" s="170"/>
      <c r="EO2119" s="375" t="str">
        <f t="shared" si="268"/>
        <v>SUCRE_SANTIAGO DE TOLU</v>
      </c>
      <c r="EP2119" s="376"/>
      <c r="EQ2119" s="376"/>
      <c r="ER2119" s="377"/>
      <c r="ES2119" s="376"/>
      <c r="ET2119" s="376"/>
      <c r="EU2119" s="376"/>
    </row>
    <row r="2120" spans="1:151" s="171" customFormat="1" ht="25.5" x14ac:dyDescent="0.2">
      <c r="A2120" s="242">
        <v>40525</v>
      </c>
      <c r="B2120" s="222" t="s">
        <v>2372</v>
      </c>
      <c r="C2120" s="222" t="s">
        <v>4593</v>
      </c>
      <c r="D2120" s="430" t="s">
        <v>837</v>
      </c>
      <c r="E2120" s="107" t="str">
        <f>VLOOKUP(B2120&amp;C2120,Divipola!$C$2:$F$1138,4,FALSE)</f>
        <v>70823</v>
      </c>
      <c r="F2120" s="333"/>
      <c r="G2120" s="221"/>
      <c r="H2120" s="157"/>
      <c r="I2120" s="157"/>
      <c r="J2120" s="157">
        <f>320*5</f>
        <v>1600</v>
      </c>
      <c r="K2120" s="157">
        <v>320</v>
      </c>
      <c r="L2120" s="157"/>
      <c r="M2120" s="157">
        <v>320</v>
      </c>
      <c r="N2120" s="157"/>
      <c r="O2120" s="157">
        <v>1</v>
      </c>
      <c r="P2120" s="157"/>
      <c r="Q2120" s="157"/>
      <c r="R2120" s="157"/>
      <c r="S2120" s="157"/>
      <c r="T2120" s="157"/>
      <c r="U2120" s="157"/>
      <c r="V2120" s="158"/>
      <c r="W2120" s="182"/>
      <c r="X2120" s="1"/>
      <c r="Y2120" s="78">
        <f t="shared" si="264"/>
        <v>76384000</v>
      </c>
      <c r="Z2120" s="78">
        <f t="shared" si="265"/>
        <v>25500000</v>
      </c>
      <c r="AA2120" s="78">
        <f t="shared" si="263"/>
        <v>0</v>
      </c>
      <c r="AB2120" s="78">
        <f t="shared" si="266"/>
        <v>0</v>
      </c>
      <c r="AC2120" s="78"/>
      <c r="AD2120" s="78">
        <v>0</v>
      </c>
      <c r="AE2120" s="80">
        <f t="shared" si="262"/>
        <v>101884000</v>
      </c>
      <c r="AF2120" s="82">
        <v>0</v>
      </c>
      <c r="AG2120" s="69"/>
      <c r="AH2120" s="84"/>
      <c r="AI2120" s="69" t="s">
        <v>2009</v>
      </c>
      <c r="AJ2120" s="25" t="s">
        <v>2010</v>
      </c>
      <c r="AK2120" s="65"/>
      <c r="AL2120" s="176"/>
      <c r="AM2120" s="173" t="s">
        <v>57</v>
      </c>
      <c r="AN2120" s="159"/>
      <c r="AO2120" s="160"/>
      <c r="AP2120" s="161"/>
      <c r="AQ2120" s="160"/>
      <c r="AR2120" s="160"/>
      <c r="AS2120" s="160"/>
      <c r="AT2120" s="160"/>
      <c r="AU2120" s="160"/>
      <c r="AV2120" s="160"/>
      <c r="AW2120" s="160"/>
      <c r="AX2120" s="160"/>
      <c r="AY2120" s="160"/>
      <c r="AZ2120" s="160"/>
      <c r="BA2120" s="160"/>
      <c r="BB2120" s="160">
        <v>640</v>
      </c>
      <c r="BC2120" s="160">
        <f>640*56000</f>
        <v>35840000</v>
      </c>
      <c r="BD2120" s="160"/>
      <c r="BE2120" s="160"/>
      <c r="BF2120" s="160"/>
      <c r="BG2120" s="160"/>
      <c r="BH2120" s="160"/>
      <c r="BI2120" s="160"/>
      <c r="BJ2120" s="160"/>
      <c r="BK2120" s="160"/>
      <c r="BL2120" s="160">
        <v>640</v>
      </c>
      <c r="BM2120" s="160">
        <f>640*25500</f>
        <v>16320000</v>
      </c>
      <c r="BN2120" s="160"/>
      <c r="BO2120" s="160"/>
      <c r="BP2120" s="160"/>
      <c r="BQ2120" s="160"/>
      <c r="BR2120" s="160"/>
      <c r="BS2120" s="160"/>
      <c r="BT2120" s="160"/>
      <c r="BU2120" s="160"/>
      <c r="BV2120" s="160"/>
      <c r="BW2120" s="160"/>
      <c r="BX2120" s="160"/>
      <c r="BY2120" s="160"/>
      <c r="BZ2120" s="160"/>
      <c r="CA2120" s="160"/>
      <c r="CB2120" s="160"/>
      <c r="CC2120" s="160"/>
      <c r="CD2120" s="160"/>
      <c r="CE2120" s="160"/>
      <c r="CF2120" s="160"/>
      <c r="CG2120" s="160"/>
      <c r="CH2120" s="160"/>
      <c r="CI2120" s="160"/>
      <c r="CJ2120" s="160"/>
      <c r="CK2120" s="160"/>
      <c r="CL2120" s="160"/>
      <c r="CM2120" s="160"/>
      <c r="CN2120" s="160">
        <v>640</v>
      </c>
      <c r="CO2120" s="160">
        <f>640*18000</f>
        <v>11520000</v>
      </c>
      <c r="CP2120" s="162"/>
      <c r="CQ2120" s="163"/>
      <c r="CR2120" s="162">
        <v>320</v>
      </c>
      <c r="CS2120" s="163">
        <f>320*39700</f>
        <v>12704000</v>
      </c>
      <c r="CT2120" s="162"/>
      <c r="CU2120" s="163"/>
      <c r="CV2120" s="164">
        <f t="shared" si="267"/>
        <v>76384000</v>
      </c>
      <c r="CW2120" s="165"/>
      <c r="CX2120" s="166"/>
      <c r="CY2120" s="167">
        <v>300</v>
      </c>
      <c r="CZ2120" s="168">
        <f>300*85000</f>
        <v>25500000</v>
      </c>
      <c r="DA2120" s="169"/>
      <c r="DB2120" s="168"/>
      <c r="DC2120" s="165"/>
      <c r="DD2120" s="166"/>
      <c r="DE2120" s="71"/>
      <c r="DF2120" s="170"/>
      <c r="EO2120" s="375" t="str">
        <f t="shared" si="268"/>
        <v>SUCRE_TOLU VIEJO</v>
      </c>
      <c r="EP2120" s="376"/>
      <c r="EQ2120" s="376"/>
      <c r="ER2120" s="377"/>
      <c r="ES2120" s="376"/>
      <c r="ET2120" s="376"/>
      <c r="EU2120" s="376"/>
    </row>
    <row r="2121" spans="1:151" s="171" customFormat="1" ht="25.5" x14ac:dyDescent="0.2">
      <c r="A2121" s="242">
        <v>40525</v>
      </c>
      <c r="B2121" s="222" t="s">
        <v>2791</v>
      </c>
      <c r="C2121" s="222" t="s">
        <v>1945</v>
      </c>
      <c r="D2121" s="430" t="s">
        <v>1721</v>
      </c>
      <c r="E2121" s="107" t="str">
        <f>VLOOKUP(B2121&amp;C2121,Divipola!$C$2:$F$1138,4,FALSE)</f>
        <v>73001</v>
      </c>
      <c r="F2121" s="333"/>
      <c r="G2121" s="221"/>
      <c r="H2121" s="157"/>
      <c r="I2121" s="157"/>
      <c r="J2121" s="157"/>
      <c r="K2121" s="157"/>
      <c r="L2121" s="157"/>
      <c r="M2121" s="157"/>
      <c r="N2121" s="157"/>
      <c r="O2121" s="157"/>
      <c r="P2121" s="157"/>
      <c r="Q2121" s="157"/>
      <c r="R2121" s="157"/>
      <c r="S2121" s="157"/>
      <c r="T2121" s="157"/>
      <c r="U2121" s="157"/>
      <c r="V2121" s="158"/>
      <c r="W2121" s="182" t="s">
        <v>43</v>
      </c>
      <c r="X2121" s="1"/>
      <c r="Y2121" s="78">
        <f t="shared" si="264"/>
        <v>0</v>
      </c>
      <c r="Z2121" s="78">
        <f t="shared" si="265"/>
        <v>0</v>
      </c>
      <c r="AA2121" s="78">
        <f t="shared" si="263"/>
        <v>0</v>
      </c>
      <c r="AB2121" s="78">
        <f t="shared" si="266"/>
        <v>0</v>
      </c>
      <c r="AC2121" s="78"/>
      <c r="AD2121" s="78">
        <v>0</v>
      </c>
      <c r="AE2121" s="80">
        <f t="shared" ref="AE2121:AE2184" si="269">Y2121+Z2121+AA2121+AB2121+AC2121+AD2121</f>
        <v>0</v>
      </c>
      <c r="AF2121" s="82">
        <v>0</v>
      </c>
      <c r="AG2121" s="69">
        <v>40527</v>
      </c>
      <c r="AH2121" s="84"/>
      <c r="AI2121" s="69" t="s">
        <v>1984</v>
      </c>
      <c r="AJ2121" s="25" t="s">
        <v>1985</v>
      </c>
      <c r="AK2121" s="65"/>
      <c r="AL2121" s="176" t="s">
        <v>1257</v>
      </c>
      <c r="AM2121" s="173" t="s">
        <v>42</v>
      </c>
      <c r="AN2121" s="159"/>
      <c r="AO2121" s="160"/>
      <c r="AP2121" s="161"/>
      <c r="AQ2121" s="160"/>
      <c r="AR2121" s="160"/>
      <c r="AS2121" s="160"/>
      <c r="AT2121" s="160"/>
      <c r="AU2121" s="160"/>
      <c r="AV2121" s="160"/>
      <c r="AW2121" s="160"/>
      <c r="AX2121" s="160"/>
      <c r="AY2121" s="160"/>
      <c r="AZ2121" s="160"/>
      <c r="BA2121" s="160"/>
      <c r="BB2121" s="160"/>
      <c r="BC2121" s="160"/>
      <c r="BD2121" s="160"/>
      <c r="BE2121" s="160"/>
      <c r="BF2121" s="160"/>
      <c r="BG2121" s="160"/>
      <c r="BH2121" s="160"/>
      <c r="BI2121" s="160"/>
      <c r="BJ2121" s="160"/>
      <c r="BK2121" s="160"/>
      <c r="BL2121" s="160"/>
      <c r="BM2121" s="160"/>
      <c r="BN2121" s="160"/>
      <c r="BO2121" s="160"/>
      <c r="BP2121" s="160"/>
      <c r="BQ2121" s="160"/>
      <c r="BR2121" s="160"/>
      <c r="BS2121" s="160"/>
      <c r="BT2121" s="160"/>
      <c r="BU2121" s="160"/>
      <c r="BV2121" s="160"/>
      <c r="BW2121" s="160"/>
      <c r="BX2121" s="160"/>
      <c r="BY2121" s="160"/>
      <c r="BZ2121" s="160"/>
      <c r="CA2121" s="160"/>
      <c r="CB2121" s="160"/>
      <c r="CC2121" s="160"/>
      <c r="CD2121" s="160"/>
      <c r="CE2121" s="160"/>
      <c r="CF2121" s="160"/>
      <c r="CG2121" s="160"/>
      <c r="CH2121" s="160"/>
      <c r="CI2121" s="160"/>
      <c r="CJ2121" s="160"/>
      <c r="CK2121" s="160"/>
      <c r="CL2121" s="160"/>
      <c r="CM2121" s="160"/>
      <c r="CN2121" s="160"/>
      <c r="CO2121" s="160"/>
      <c r="CP2121" s="162"/>
      <c r="CQ2121" s="163"/>
      <c r="CR2121" s="162"/>
      <c r="CS2121" s="163"/>
      <c r="CT2121" s="162"/>
      <c r="CU2121" s="163"/>
      <c r="CV2121" s="164">
        <f t="shared" si="267"/>
        <v>0</v>
      </c>
      <c r="CW2121" s="165"/>
      <c r="CX2121" s="166"/>
      <c r="CY2121" s="167"/>
      <c r="CZ2121" s="168"/>
      <c r="DA2121" s="169"/>
      <c r="DB2121" s="168"/>
      <c r="DC2121" s="165"/>
      <c r="DD2121" s="166"/>
      <c r="DE2121" s="71"/>
      <c r="DF2121" s="170"/>
      <c r="EO2121" s="375" t="str">
        <f t="shared" si="268"/>
        <v>TOLIMA_IBAGUE</v>
      </c>
      <c r="EP2121" s="376"/>
      <c r="EQ2121" s="376"/>
      <c r="ER2121" s="377"/>
      <c r="ES2121" s="376"/>
      <c r="ET2121" s="376"/>
      <c r="EU2121" s="376"/>
    </row>
    <row r="2122" spans="1:151" s="171" customFormat="1" ht="45" x14ac:dyDescent="0.2">
      <c r="A2122" s="242">
        <v>40525</v>
      </c>
      <c r="B2122" s="222" t="s">
        <v>2791</v>
      </c>
      <c r="C2122" s="222" t="s">
        <v>4612</v>
      </c>
      <c r="D2122" s="430" t="s">
        <v>2209</v>
      </c>
      <c r="E2122" s="107" t="str">
        <f>VLOOKUP(B2122&amp;C2122,Divipola!$C$2:$F$1138,4,FALSE)</f>
        <v>73873</v>
      </c>
      <c r="F2122" s="333"/>
      <c r="G2122" s="221"/>
      <c r="H2122" s="157"/>
      <c r="I2122" s="157"/>
      <c r="J2122" s="157">
        <v>42</v>
      </c>
      <c r="K2122" s="157">
        <v>15</v>
      </c>
      <c r="L2122" s="157"/>
      <c r="M2122" s="157"/>
      <c r="N2122" s="157"/>
      <c r="O2122" s="157"/>
      <c r="P2122" s="157"/>
      <c r="Q2122" s="157"/>
      <c r="R2122" s="157"/>
      <c r="S2122" s="157"/>
      <c r="T2122" s="157"/>
      <c r="U2122" s="157"/>
      <c r="V2122" s="158"/>
      <c r="W2122" s="182"/>
      <c r="X2122" s="1"/>
      <c r="Y2122" s="78">
        <f t="shared" si="264"/>
        <v>0</v>
      </c>
      <c r="Z2122" s="78">
        <f t="shared" si="265"/>
        <v>0</v>
      </c>
      <c r="AA2122" s="78">
        <f t="shared" si="263"/>
        <v>0</v>
      </c>
      <c r="AB2122" s="78">
        <f t="shared" si="266"/>
        <v>0</v>
      </c>
      <c r="AC2122" s="78"/>
      <c r="AD2122" s="78">
        <v>0</v>
      </c>
      <c r="AE2122" s="80">
        <f t="shared" si="269"/>
        <v>0</v>
      </c>
      <c r="AF2122" s="82">
        <v>0</v>
      </c>
      <c r="AG2122" s="69"/>
      <c r="AH2122" s="84"/>
      <c r="AI2122" s="69" t="s">
        <v>2009</v>
      </c>
      <c r="AJ2122" s="276" t="s">
        <v>2010</v>
      </c>
      <c r="AK2122" s="65"/>
      <c r="AL2122" s="272" t="s">
        <v>311</v>
      </c>
      <c r="AM2122" s="173" t="s">
        <v>117</v>
      </c>
      <c r="AN2122" s="159"/>
      <c r="AO2122" s="160"/>
      <c r="AP2122" s="161"/>
      <c r="AQ2122" s="160"/>
      <c r="AR2122" s="160"/>
      <c r="AS2122" s="160"/>
      <c r="AT2122" s="160"/>
      <c r="AU2122" s="160"/>
      <c r="AV2122" s="160"/>
      <c r="AW2122" s="160"/>
      <c r="AX2122" s="160"/>
      <c r="AY2122" s="160"/>
      <c r="AZ2122" s="160"/>
      <c r="BA2122" s="160"/>
      <c r="BB2122" s="160"/>
      <c r="BC2122" s="160"/>
      <c r="BD2122" s="160"/>
      <c r="BE2122" s="160"/>
      <c r="BF2122" s="160"/>
      <c r="BG2122" s="160"/>
      <c r="BH2122" s="160"/>
      <c r="BI2122" s="160"/>
      <c r="BJ2122" s="160"/>
      <c r="BK2122" s="160"/>
      <c r="BL2122" s="160"/>
      <c r="BM2122" s="160"/>
      <c r="BN2122" s="160"/>
      <c r="BO2122" s="160"/>
      <c r="BP2122" s="160"/>
      <c r="BQ2122" s="160"/>
      <c r="BR2122" s="160"/>
      <c r="BS2122" s="160"/>
      <c r="BT2122" s="160"/>
      <c r="BU2122" s="160"/>
      <c r="BV2122" s="160"/>
      <c r="BW2122" s="160"/>
      <c r="BX2122" s="160"/>
      <c r="BY2122" s="160"/>
      <c r="BZ2122" s="160"/>
      <c r="CA2122" s="160"/>
      <c r="CB2122" s="160"/>
      <c r="CC2122" s="160"/>
      <c r="CD2122" s="160"/>
      <c r="CE2122" s="160"/>
      <c r="CF2122" s="160"/>
      <c r="CG2122" s="160"/>
      <c r="CH2122" s="160"/>
      <c r="CI2122" s="160"/>
      <c r="CJ2122" s="160"/>
      <c r="CK2122" s="160"/>
      <c r="CL2122" s="160"/>
      <c r="CM2122" s="160"/>
      <c r="CN2122" s="160"/>
      <c r="CO2122" s="160"/>
      <c r="CP2122" s="162"/>
      <c r="CQ2122" s="163"/>
      <c r="CR2122" s="162"/>
      <c r="CS2122" s="163"/>
      <c r="CT2122" s="162"/>
      <c r="CU2122" s="163"/>
      <c r="CV2122" s="164">
        <f t="shared" si="267"/>
        <v>0</v>
      </c>
      <c r="CW2122" s="165"/>
      <c r="CX2122" s="166"/>
      <c r="CY2122" s="167"/>
      <c r="CZ2122" s="168"/>
      <c r="DA2122" s="169"/>
      <c r="DB2122" s="168"/>
      <c r="DC2122" s="165"/>
      <c r="DD2122" s="166"/>
      <c r="DE2122" s="71"/>
      <c r="DF2122" s="170"/>
      <c r="EO2122" s="375" t="str">
        <f t="shared" si="268"/>
        <v>TOLIMA_VILLARRICA</v>
      </c>
      <c r="EP2122" s="376"/>
      <c r="EQ2122" s="376"/>
      <c r="ER2122" s="377"/>
      <c r="ES2122" s="376"/>
      <c r="ET2122" s="376"/>
      <c r="EU2122" s="376"/>
    </row>
    <row r="2123" spans="1:151" s="171" customFormat="1" ht="63.75" x14ac:dyDescent="0.2">
      <c r="A2123" s="242">
        <v>40525</v>
      </c>
      <c r="B2123" s="222" t="s">
        <v>1462</v>
      </c>
      <c r="C2123" s="222" t="s">
        <v>1944</v>
      </c>
      <c r="D2123" s="430" t="s">
        <v>1721</v>
      </c>
      <c r="E2123" s="107" t="str">
        <f>VLOOKUP(B2123&amp;C2123,Divipola!$C$2:$F$1138,4,FALSE)</f>
        <v>76109</v>
      </c>
      <c r="F2123" s="333"/>
      <c r="G2123" s="221"/>
      <c r="H2123" s="157"/>
      <c r="I2123" s="157"/>
      <c r="J2123" s="157">
        <v>40</v>
      </c>
      <c r="K2123" s="157">
        <v>8</v>
      </c>
      <c r="L2123" s="157">
        <v>8</v>
      </c>
      <c r="M2123" s="157"/>
      <c r="N2123" s="157"/>
      <c r="O2123" s="157"/>
      <c r="P2123" s="157"/>
      <c r="Q2123" s="157"/>
      <c r="R2123" s="157"/>
      <c r="S2123" s="157"/>
      <c r="T2123" s="157"/>
      <c r="U2123" s="157"/>
      <c r="V2123" s="158"/>
      <c r="W2123" s="182"/>
      <c r="X2123" s="1"/>
      <c r="Y2123" s="78">
        <f t="shared" si="264"/>
        <v>0</v>
      </c>
      <c r="Z2123" s="78">
        <f t="shared" si="265"/>
        <v>0</v>
      </c>
      <c r="AA2123" s="78">
        <f t="shared" si="263"/>
        <v>0</v>
      </c>
      <c r="AB2123" s="78">
        <f t="shared" si="266"/>
        <v>0</v>
      </c>
      <c r="AC2123" s="78"/>
      <c r="AD2123" s="78">
        <v>0</v>
      </c>
      <c r="AE2123" s="80">
        <f t="shared" si="269"/>
        <v>0</v>
      </c>
      <c r="AF2123" s="82">
        <v>0</v>
      </c>
      <c r="AG2123" s="69"/>
      <c r="AH2123" s="84"/>
      <c r="AI2123" s="69" t="s">
        <v>2009</v>
      </c>
      <c r="AJ2123" s="276" t="s">
        <v>2010</v>
      </c>
      <c r="AK2123" s="65"/>
      <c r="AL2123" s="272" t="s">
        <v>311</v>
      </c>
      <c r="AM2123" s="173" t="s">
        <v>116</v>
      </c>
      <c r="AN2123" s="159"/>
      <c r="AO2123" s="160"/>
      <c r="AP2123" s="161"/>
      <c r="AQ2123" s="160"/>
      <c r="AR2123" s="160"/>
      <c r="AS2123" s="160"/>
      <c r="AT2123" s="160"/>
      <c r="AU2123" s="160"/>
      <c r="AV2123" s="160"/>
      <c r="AW2123" s="160"/>
      <c r="AX2123" s="160"/>
      <c r="AY2123" s="160"/>
      <c r="AZ2123" s="160"/>
      <c r="BA2123" s="160"/>
      <c r="BB2123" s="160"/>
      <c r="BC2123" s="160"/>
      <c r="BD2123" s="160"/>
      <c r="BE2123" s="160"/>
      <c r="BF2123" s="160"/>
      <c r="BG2123" s="160"/>
      <c r="BH2123" s="160"/>
      <c r="BI2123" s="160"/>
      <c r="BJ2123" s="160"/>
      <c r="BK2123" s="160"/>
      <c r="BL2123" s="160"/>
      <c r="BM2123" s="160"/>
      <c r="BN2123" s="160"/>
      <c r="BO2123" s="160"/>
      <c r="BP2123" s="160"/>
      <c r="BQ2123" s="160"/>
      <c r="BR2123" s="160"/>
      <c r="BS2123" s="160"/>
      <c r="BT2123" s="160"/>
      <c r="BU2123" s="160"/>
      <c r="BV2123" s="160"/>
      <c r="BW2123" s="160"/>
      <c r="BX2123" s="160"/>
      <c r="BY2123" s="160"/>
      <c r="BZ2123" s="160"/>
      <c r="CA2123" s="160"/>
      <c r="CB2123" s="160"/>
      <c r="CC2123" s="160"/>
      <c r="CD2123" s="160"/>
      <c r="CE2123" s="160"/>
      <c r="CF2123" s="160"/>
      <c r="CG2123" s="160"/>
      <c r="CH2123" s="160"/>
      <c r="CI2123" s="160"/>
      <c r="CJ2123" s="160"/>
      <c r="CK2123" s="160"/>
      <c r="CL2123" s="160"/>
      <c r="CM2123" s="160"/>
      <c r="CN2123" s="160"/>
      <c r="CO2123" s="160"/>
      <c r="CP2123" s="162"/>
      <c r="CQ2123" s="163"/>
      <c r="CR2123" s="162"/>
      <c r="CS2123" s="163"/>
      <c r="CT2123" s="162"/>
      <c r="CU2123" s="163"/>
      <c r="CV2123" s="164">
        <f t="shared" si="267"/>
        <v>0</v>
      </c>
      <c r="CW2123" s="165"/>
      <c r="CX2123" s="166"/>
      <c r="CY2123" s="167"/>
      <c r="CZ2123" s="168"/>
      <c r="DA2123" s="169"/>
      <c r="DB2123" s="168"/>
      <c r="DC2123" s="165"/>
      <c r="DD2123" s="166"/>
      <c r="DE2123" s="71"/>
      <c r="DF2123" s="170"/>
      <c r="EO2123" s="375" t="str">
        <f t="shared" si="268"/>
        <v>VALLE DEL CAUCA_BUENAVENTURA</v>
      </c>
      <c r="EP2123" s="376"/>
      <c r="EQ2123" s="376"/>
      <c r="ER2123" s="377"/>
      <c r="ES2123" s="376"/>
      <c r="ET2123" s="376"/>
      <c r="EU2123" s="376"/>
    </row>
    <row r="2124" spans="1:151" s="171" customFormat="1" ht="51" x14ac:dyDescent="0.2">
      <c r="A2124" s="242">
        <v>40525</v>
      </c>
      <c r="B2124" s="222" t="s">
        <v>1462</v>
      </c>
      <c r="C2124" s="222" t="s">
        <v>609</v>
      </c>
      <c r="D2124" s="430" t="s">
        <v>837</v>
      </c>
      <c r="E2124" s="107" t="str">
        <f>VLOOKUP(B2124&amp;C2124,Divipola!$C$2:$F$1138,4,FALSE)</f>
        <v>76364</v>
      </c>
      <c r="F2124" s="333"/>
      <c r="G2124" s="221"/>
      <c r="H2124" s="157"/>
      <c r="I2124" s="157"/>
      <c r="J2124" s="157">
        <v>1000</v>
      </c>
      <c r="K2124" s="157">
        <v>200</v>
      </c>
      <c r="L2124" s="157"/>
      <c r="M2124" s="157">
        <v>200</v>
      </c>
      <c r="N2124" s="157"/>
      <c r="O2124" s="157"/>
      <c r="P2124" s="157"/>
      <c r="Q2124" s="157"/>
      <c r="R2124" s="157"/>
      <c r="S2124" s="157"/>
      <c r="T2124" s="157"/>
      <c r="U2124" s="157"/>
      <c r="V2124" s="158"/>
      <c r="W2124" s="182"/>
      <c r="X2124" s="1"/>
      <c r="Y2124" s="78">
        <f t="shared" si="264"/>
        <v>0</v>
      </c>
      <c r="Z2124" s="78">
        <f t="shared" si="265"/>
        <v>0</v>
      </c>
      <c r="AA2124" s="78">
        <f t="shared" si="263"/>
        <v>0</v>
      </c>
      <c r="AB2124" s="78">
        <f t="shared" si="266"/>
        <v>0</v>
      </c>
      <c r="AC2124" s="78"/>
      <c r="AD2124" s="78">
        <v>0</v>
      </c>
      <c r="AE2124" s="80">
        <f t="shared" si="269"/>
        <v>0</v>
      </c>
      <c r="AF2124" s="82">
        <v>0</v>
      </c>
      <c r="AG2124" s="69"/>
      <c r="AH2124" s="84"/>
      <c r="AI2124" s="69" t="s">
        <v>2009</v>
      </c>
      <c r="AJ2124" s="276" t="s">
        <v>2010</v>
      </c>
      <c r="AK2124" s="65"/>
      <c r="AL2124" s="272" t="s">
        <v>311</v>
      </c>
      <c r="AM2124" s="173" t="s">
        <v>115</v>
      </c>
      <c r="AN2124" s="159"/>
      <c r="AO2124" s="160"/>
      <c r="AP2124" s="161"/>
      <c r="AQ2124" s="160"/>
      <c r="AR2124" s="160"/>
      <c r="AS2124" s="160"/>
      <c r="AT2124" s="160"/>
      <c r="AU2124" s="160"/>
      <c r="AV2124" s="160"/>
      <c r="AW2124" s="160"/>
      <c r="AX2124" s="160"/>
      <c r="AY2124" s="160"/>
      <c r="AZ2124" s="160"/>
      <c r="BA2124" s="160"/>
      <c r="BB2124" s="160"/>
      <c r="BC2124" s="160"/>
      <c r="BD2124" s="160"/>
      <c r="BE2124" s="160"/>
      <c r="BF2124" s="160"/>
      <c r="BG2124" s="160"/>
      <c r="BH2124" s="160"/>
      <c r="BI2124" s="160"/>
      <c r="BJ2124" s="160"/>
      <c r="BK2124" s="160"/>
      <c r="BL2124" s="160"/>
      <c r="BM2124" s="160"/>
      <c r="BN2124" s="160"/>
      <c r="BO2124" s="160"/>
      <c r="BP2124" s="160"/>
      <c r="BQ2124" s="160"/>
      <c r="BR2124" s="160"/>
      <c r="BS2124" s="160"/>
      <c r="BT2124" s="160"/>
      <c r="BU2124" s="160"/>
      <c r="BV2124" s="160"/>
      <c r="BW2124" s="160"/>
      <c r="BX2124" s="160"/>
      <c r="BY2124" s="160"/>
      <c r="BZ2124" s="160"/>
      <c r="CA2124" s="160"/>
      <c r="CB2124" s="160"/>
      <c r="CC2124" s="160"/>
      <c r="CD2124" s="160"/>
      <c r="CE2124" s="160"/>
      <c r="CF2124" s="160"/>
      <c r="CG2124" s="160"/>
      <c r="CH2124" s="160"/>
      <c r="CI2124" s="160"/>
      <c r="CJ2124" s="160"/>
      <c r="CK2124" s="160"/>
      <c r="CL2124" s="160"/>
      <c r="CM2124" s="160"/>
      <c r="CN2124" s="160"/>
      <c r="CO2124" s="160"/>
      <c r="CP2124" s="162"/>
      <c r="CQ2124" s="163"/>
      <c r="CR2124" s="162"/>
      <c r="CS2124" s="163"/>
      <c r="CT2124" s="162"/>
      <c r="CU2124" s="163"/>
      <c r="CV2124" s="164">
        <f t="shared" si="267"/>
        <v>0</v>
      </c>
      <c r="CW2124" s="165"/>
      <c r="CX2124" s="166"/>
      <c r="CY2124" s="167"/>
      <c r="CZ2124" s="168"/>
      <c r="DA2124" s="169"/>
      <c r="DB2124" s="168"/>
      <c r="DC2124" s="165"/>
      <c r="DD2124" s="166"/>
      <c r="DE2124" s="71"/>
      <c r="DF2124" s="170"/>
      <c r="EO2124" s="375" t="str">
        <f t="shared" si="268"/>
        <v>VALLE DEL CAUCA_JAMUNDI</v>
      </c>
      <c r="EP2124" s="376"/>
      <c r="EQ2124" s="376"/>
      <c r="ER2124" s="377"/>
      <c r="ES2124" s="376"/>
      <c r="ET2124" s="376"/>
      <c r="EU2124" s="376"/>
    </row>
    <row r="2125" spans="1:151" s="171" customFormat="1" ht="51" x14ac:dyDescent="0.2">
      <c r="A2125" s="246">
        <v>40526</v>
      </c>
      <c r="B2125" s="280" t="s">
        <v>2401</v>
      </c>
      <c r="C2125" s="280" t="s">
        <v>429</v>
      </c>
      <c r="D2125" s="432" t="s">
        <v>837</v>
      </c>
      <c r="E2125" s="107" t="str">
        <f>VLOOKUP(B2125&amp;C2125,Divipola!$C$2:$F$1138,4,FALSE)</f>
        <v>05659</v>
      </c>
      <c r="F2125" s="337"/>
      <c r="G2125" s="221"/>
      <c r="H2125" s="157"/>
      <c r="I2125" s="157"/>
      <c r="J2125" s="157">
        <f>700*5</f>
        <v>3500</v>
      </c>
      <c r="K2125" s="157">
        <v>700</v>
      </c>
      <c r="L2125" s="157"/>
      <c r="M2125" s="157">
        <v>700</v>
      </c>
      <c r="N2125" s="157"/>
      <c r="O2125" s="157"/>
      <c r="P2125" s="157"/>
      <c r="Q2125" s="157"/>
      <c r="R2125" s="157"/>
      <c r="S2125" s="157"/>
      <c r="T2125" s="157"/>
      <c r="U2125" s="157"/>
      <c r="V2125" s="158"/>
      <c r="W2125" s="182"/>
      <c r="X2125" s="1"/>
      <c r="Y2125" s="78">
        <f t="shared" si="264"/>
        <v>0</v>
      </c>
      <c r="Z2125" s="78">
        <f t="shared" si="265"/>
        <v>0</v>
      </c>
      <c r="AA2125" s="78">
        <f t="shared" si="263"/>
        <v>0</v>
      </c>
      <c r="AB2125" s="78">
        <f t="shared" si="266"/>
        <v>0</v>
      </c>
      <c r="AC2125" s="78"/>
      <c r="AD2125" s="78">
        <v>0</v>
      </c>
      <c r="AE2125" s="80">
        <f t="shared" si="269"/>
        <v>0</v>
      </c>
      <c r="AF2125" s="82">
        <v>0</v>
      </c>
      <c r="AG2125" s="69">
        <v>40526</v>
      </c>
      <c r="AH2125" s="84"/>
      <c r="AI2125" s="69" t="s">
        <v>2009</v>
      </c>
      <c r="AJ2125" s="25" t="s">
        <v>2010</v>
      </c>
      <c r="AK2125" s="65"/>
      <c r="AL2125" s="184" t="s">
        <v>805</v>
      </c>
      <c r="AM2125" s="173" t="s">
        <v>54</v>
      </c>
      <c r="AN2125" s="159"/>
      <c r="AO2125" s="160"/>
      <c r="AP2125" s="161"/>
      <c r="AQ2125" s="160"/>
      <c r="AR2125" s="160"/>
      <c r="AS2125" s="160"/>
      <c r="AT2125" s="160"/>
      <c r="AU2125" s="160"/>
      <c r="AV2125" s="160"/>
      <c r="AW2125" s="160"/>
      <c r="AX2125" s="160"/>
      <c r="AY2125" s="160"/>
      <c r="AZ2125" s="160"/>
      <c r="BA2125" s="160"/>
      <c r="BB2125" s="160"/>
      <c r="BC2125" s="160"/>
      <c r="BD2125" s="160"/>
      <c r="BE2125" s="160"/>
      <c r="BF2125" s="160"/>
      <c r="BG2125" s="160"/>
      <c r="BH2125" s="160"/>
      <c r="BI2125" s="160"/>
      <c r="BJ2125" s="160"/>
      <c r="BK2125" s="160"/>
      <c r="BL2125" s="160"/>
      <c r="BM2125" s="160"/>
      <c r="BN2125" s="160"/>
      <c r="BO2125" s="160"/>
      <c r="BP2125" s="160"/>
      <c r="BQ2125" s="160"/>
      <c r="BR2125" s="160"/>
      <c r="BS2125" s="160"/>
      <c r="BT2125" s="160"/>
      <c r="BU2125" s="160"/>
      <c r="BV2125" s="160"/>
      <c r="BW2125" s="160"/>
      <c r="BX2125" s="160"/>
      <c r="BY2125" s="160"/>
      <c r="BZ2125" s="160"/>
      <c r="CA2125" s="160"/>
      <c r="CB2125" s="160"/>
      <c r="CC2125" s="160"/>
      <c r="CD2125" s="160"/>
      <c r="CE2125" s="160"/>
      <c r="CF2125" s="160"/>
      <c r="CG2125" s="160"/>
      <c r="CH2125" s="160"/>
      <c r="CI2125" s="160"/>
      <c r="CJ2125" s="160"/>
      <c r="CK2125" s="160"/>
      <c r="CL2125" s="160"/>
      <c r="CM2125" s="160"/>
      <c r="CN2125" s="160"/>
      <c r="CO2125" s="160"/>
      <c r="CP2125" s="162"/>
      <c r="CQ2125" s="163"/>
      <c r="CR2125" s="162"/>
      <c r="CS2125" s="163"/>
      <c r="CT2125" s="162"/>
      <c r="CU2125" s="163"/>
      <c r="CV2125" s="164">
        <f t="shared" si="267"/>
        <v>0</v>
      </c>
      <c r="CW2125" s="165"/>
      <c r="CX2125" s="166"/>
      <c r="CY2125" s="167"/>
      <c r="CZ2125" s="168"/>
      <c r="DA2125" s="169"/>
      <c r="DB2125" s="168"/>
      <c r="DC2125" s="165"/>
      <c r="DD2125" s="166"/>
      <c r="DE2125" s="71"/>
      <c r="DF2125" s="170"/>
      <c r="EO2125" s="375" t="str">
        <f t="shared" si="268"/>
        <v>ANTIOQUIA_SAN JUAN DE URABA</v>
      </c>
      <c r="EP2125" s="376"/>
      <c r="EQ2125" s="376"/>
      <c r="ER2125" s="377"/>
      <c r="ES2125" s="376"/>
      <c r="ET2125" s="376"/>
      <c r="EU2125" s="376"/>
    </row>
    <row r="2126" spans="1:151" s="171" customFormat="1" ht="60" x14ac:dyDescent="0.2">
      <c r="A2126" s="242">
        <v>40526</v>
      </c>
      <c r="B2126" s="222" t="s">
        <v>828</v>
      </c>
      <c r="C2126" s="222" t="s">
        <v>2343</v>
      </c>
      <c r="D2126" s="430" t="s">
        <v>2307</v>
      </c>
      <c r="E2126" s="107" t="str">
        <f>VLOOKUP(B2126&amp;C2126,Divipola!$C$2:$F$1138,4,FALSE)</f>
        <v>15180</v>
      </c>
      <c r="F2126" s="333"/>
      <c r="G2126" s="221"/>
      <c r="H2126" s="157"/>
      <c r="I2126" s="157"/>
      <c r="J2126" s="157">
        <f>148*5</f>
        <v>740</v>
      </c>
      <c r="K2126" s="157">
        <v>148</v>
      </c>
      <c r="L2126" s="157"/>
      <c r="M2126" s="157">
        <v>148</v>
      </c>
      <c r="N2126" s="157"/>
      <c r="O2126" s="157"/>
      <c r="P2126" s="157"/>
      <c r="Q2126" s="157"/>
      <c r="R2126" s="157"/>
      <c r="S2126" s="157"/>
      <c r="T2126" s="157"/>
      <c r="U2126" s="157"/>
      <c r="V2126" s="158"/>
      <c r="W2126" s="182"/>
      <c r="X2126" s="1"/>
      <c r="Y2126" s="78">
        <f t="shared" si="264"/>
        <v>0</v>
      </c>
      <c r="Z2126" s="78">
        <f t="shared" si="265"/>
        <v>0</v>
      </c>
      <c r="AA2126" s="78">
        <f t="shared" si="263"/>
        <v>0</v>
      </c>
      <c r="AB2126" s="78">
        <f t="shared" si="266"/>
        <v>0</v>
      </c>
      <c r="AC2126" s="78"/>
      <c r="AD2126" s="78">
        <v>0</v>
      </c>
      <c r="AE2126" s="80">
        <f t="shared" si="269"/>
        <v>0</v>
      </c>
      <c r="AF2126" s="82">
        <v>0</v>
      </c>
      <c r="AG2126" s="69">
        <v>40578</v>
      </c>
      <c r="AH2126" s="84"/>
      <c r="AI2126" s="69" t="s">
        <v>1984</v>
      </c>
      <c r="AJ2126" s="25" t="s">
        <v>1985</v>
      </c>
      <c r="AK2126" s="65"/>
      <c r="AL2126" s="176" t="s">
        <v>1257</v>
      </c>
      <c r="AM2126" s="173" t="s">
        <v>356</v>
      </c>
      <c r="AN2126" s="159"/>
      <c r="AO2126" s="160"/>
      <c r="AP2126" s="161"/>
      <c r="AQ2126" s="160"/>
      <c r="AR2126" s="160"/>
      <c r="AS2126" s="160"/>
      <c r="AT2126" s="160"/>
      <c r="AU2126" s="160"/>
      <c r="AV2126" s="160"/>
      <c r="AW2126" s="160"/>
      <c r="AX2126" s="160"/>
      <c r="AY2126" s="160"/>
      <c r="AZ2126" s="160"/>
      <c r="BA2126" s="160"/>
      <c r="BB2126" s="160"/>
      <c r="BC2126" s="160"/>
      <c r="BD2126" s="160"/>
      <c r="BE2126" s="160"/>
      <c r="BF2126" s="160"/>
      <c r="BG2126" s="160"/>
      <c r="BH2126" s="160"/>
      <c r="BI2126" s="160"/>
      <c r="BJ2126" s="160"/>
      <c r="BK2126" s="160"/>
      <c r="BL2126" s="160"/>
      <c r="BM2126" s="160"/>
      <c r="BN2126" s="160"/>
      <c r="BO2126" s="160"/>
      <c r="BP2126" s="160"/>
      <c r="BQ2126" s="160"/>
      <c r="BR2126" s="160"/>
      <c r="BS2126" s="160"/>
      <c r="BT2126" s="160"/>
      <c r="BU2126" s="160"/>
      <c r="BV2126" s="160"/>
      <c r="BW2126" s="160"/>
      <c r="BX2126" s="160"/>
      <c r="BY2126" s="160"/>
      <c r="BZ2126" s="160"/>
      <c r="CA2126" s="160"/>
      <c r="CB2126" s="160"/>
      <c r="CC2126" s="160"/>
      <c r="CD2126" s="160"/>
      <c r="CE2126" s="160"/>
      <c r="CF2126" s="160"/>
      <c r="CG2126" s="160"/>
      <c r="CH2126" s="160"/>
      <c r="CI2126" s="160"/>
      <c r="CJ2126" s="160"/>
      <c r="CK2126" s="160"/>
      <c r="CL2126" s="160"/>
      <c r="CM2126" s="160"/>
      <c r="CN2126" s="160"/>
      <c r="CO2126" s="160"/>
      <c r="CP2126" s="162"/>
      <c r="CQ2126" s="163"/>
      <c r="CR2126" s="162"/>
      <c r="CS2126" s="163"/>
      <c r="CT2126" s="162"/>
      <c r="CU2126" s="163"/>
      <c r="CV2126" s="164">
        <f t="shared" si="267"/>
        <v>0</v>
      </c>
      <c r="CW2126" s="165"/>
      <c r="CX2126" s="166"/>
      <c r="CY2126" s="167"/>
      <c r="CZ2126" s="168"/>
      <c r="DA2126" s="169"/>
      <c r="DB2126" s="168"/>
      <c r="DC2126" s="165"/>
      <c r="DD2126" s="166"/>
      <c r="DE2126" s="71"/>
      <c r="DF2126" s="170"/>
      <c r="EO2126" s="375" t="str">
        <f t="shared" si="268"/>
        <v>BOYACA_CHISCAS</v>
      </c>
      <c r="EP2126" s="376"/>
      <c r="EQ2126" s="376"/>
      <c r="ER2126" s="377"/>
      <c r="ES2126" s="376"/>
      <c r="ET2126" s="376"/>
      <c r="EU2126" s="376"/>
    </row>
    <row r="2127" spans="1:151" s="171" customFormat="1" ht="45" x14ac:dyDescent="0.2">
      <c r="A2127" s="242">
        <v>40526</v>
      </c>
      <c r="B2127" s="222" t="s">
        <v>1719</v>
      </c>
      <c r="C2127" s="222" t="s">
        <v>3044</v>
      </c>
      <c r="D2127" s="430" t="s">
        <v>2307</v>
      </c>
      <c r="E2127" s="107" t="str">
        <f>VLOOKUP(B2127&amp;C2127,Divipola!$C$2:$F$1138,4,FALSE)</f>
        <v>19532</v>
      </c>
      <c r="F2127" s="333"/>
      <c r="G2127" s="221"/>
      <c r="H2127" s="157"/>
      <c r="I2127" s="157"/>
      <c r="J2127" s="157">
        <f>702*5</f>
        <v>3510</v>
      </c>
      <c r="K2127" s="157">
        <v>702</v>
      </c>
      <c r="L2127" s="157"/>
      <c r="M2127" s="157">
        <v>702</v>
      </c>
      <c r="N2127" s="157"/>
      <c r="O2127" s="157"/>
      <c r="P2127" s="157"/>
      <c r="Q2127" s="157"/>
      <c r="R2127" s="157"/>
      <c r="S2127" s="157"/>
      <c r="T2127" s="157"/>
      <c r="U2127" s="157"/>
      <c r="V2127" s="158"/>
      <c r="W2127" s="182"/>
      <c r="X2127" s="1"/>
      <c r="Y2127" s="78">
        <f t="shared" si="264"/>
        <v>0</v>
      </c>
      <c r="Z2127" s="78">
        <f t="shared" si="265"/>
        <v>0</v>
      </c>
      <c r="AA2127" s="78">
        <f t="shared" si="263"/>
        <v>0</v>
      </c>
      <c r="AB2127" s="78">
        <f t="shared" si="266"/>
        <v>0</v>
      </c>
      <c r="AC2127" s="78"/>
      <c r="AD2127" s="78">
        <v>0</v>
      </c>
      <c r="AE2127" s="80">
        <f t="shared" si="269"/>
        <v>0</v>
      </c>
      <c r="AF2127" s="82">
        <v>0</v>
      </c>
      <c r="AG2127" s="69"/>
      <c r="AH2127" s="84"/>
      <c r="AI2127" s="69" t="s">
        <v>2009</v>
      </c>
      <c r="AJ2127" s="276" t="s">
        <v>2010</v>
      </c>
      <c r="AK2127" s="65"/>
      <c r="AL2127" s="272" t="s">
        <v>311</v>
      </c>
      <c r="AM2127" s="173" t="s">
        <v>55</v>
      </c>
      <c r="AN2127" s="159"/>
      <c r="AO2127" s="160"/>
      <c r="AP2127" s="161"/>
      <c r="AQ2127" s="160"/>
      <c r="AR2127" s="160"/>
      <c r="AS2127" s="160"/>
      <c r="AT2127" s="160"/>
      <c r="AU2127" s="160"/>
      <c r="AV2127" s="160"/>
      <c r="AW2127" s="160"/>
      <c r="AX2127" s="160"/>
      <c r="AY2127" s="160"/>
      <c r="AZ2127" s="160"/>
      <c r="BA2127" s="160"/>
      <c r="BB2127" s="160"/>
      <c r="BC2127" s="160"/>
      <c r="BD2127" s="160"/>
      <c r="BE2127" s="160"/>
      <c r="BF2127" s="160"/>
      <c r="BG2127" s="160"/>
      <c r="BH2127" s="160"/>
      <c r="BI2127" s="160"/>
      <c r="BJ2127" s="160"/>
      <c r="BK2127" s="160"/>
      <c r="BL2127" s="160"/>
      <c r="BM2127" s="160"/>
      <c r="BN2127" s="160"/>
      <c r="BO2127" s="160"/>
      <c r="BP2127" s="160"/>
      <c r="BQ2127" s="160"/>
      <c r="BR2127" s="160"/>
      <c r="BS2127" s="160"/>
      <c r="BT2127" s="160"/>
      <c r="BU2127" s="160"/>
      <c r="BV2127" s="160"/>
      <c r="BW2127" s="160"/>
      <c r="BX2127" s="160"/>
      <c r="BY2127" s="160"/>
      <c r="BZ2127" s="160"/>
      <c r="CA2127" s="160"/>
      <c r="CB2127" s="160"/>
      <c r="CC2127" s="160"/>
      <c r="CD2127" s="160"/>
      <c r="CE2127" s="160"/>
      <c r="CF2127" s="160"/>
      <c r="CG2127" s="160"/>
      <c r="CH2127" s="160"/>
      <c r="CI2127" s="160"/>
      <c r="CJ2127" s="160"/>
      <c r="CK2127" s="160"/>
      <c r="CL2127" s="160"/>
      <c r="CM2127" s="160"/>
      <c r="CN2127" s="160"/>
      <c r="CO2127" s="160"/>
      <c r="CP2127" s="162"/>
      <c r="CQ2127" s="163"/>
      <c r="CR2127" s="162"/>
      <c r="CS2127" s="163"/>
      <c r="CT2127" s="162"/>
      <c r="CU2127" s="163"/>
      <c r="CV2127" s="164">
        <f t="shared" si="267"/>
        <v>0</v>
      </c>
      <c r="CW2127" s="165"/>
      <c r="CX2127" s="166"/>
      <c r="CY2127" s="167"/>
      <c r="CZ2127" s="168"/>
      <c r="DA2127" s="169"/>
      <c r="DB2127" s="168"/>
      <c r="DC2127" s="165"/>
      <c r="DD2127" s="166"/>
      <c r="DE2127" s="71"/>
      <c r="DF2127" s="170"/>
      <c r="EO2127" s="375" t="str">
        <f t="shared" si="268"/>
        <v>CAUCA_PATIA</v>
      </c>
      <c r="EP2127" s="376"/>
      <c r="EQ2127" s="376"/>
      <c r="ER2127" s="377"/>
      <c r="ES2127" s="376"/>
      <c r="ET2127" s="376"/>
      <c r="EU2127" s="376"/>
    </row>
    <row r="2128" spans="1:151" s="171" customFormat="1" ht="38.25" x14ac:dyDescent="0.2">
      <c r="A2128" s="242">
        <v>40526</v>
      </c>
      <c r="B2128" s="222" t="s">
        <v>2007</v>
      </c>
      <c r="C2128" s="222" t="s">
        <v>1320</v>
      </c>
      <c r="D2128" s="430" t="s">
        <v>2307</v>
      </c>
      <c r="E2128" s="107" t="str">
        <f>VLOOKUP(B2128&amp;C2128,Divipola!$C$2:$F$1138,4,FALSE)</f>
        <v>25524</v>
      </c>
      <c r="F2128" s="333"/>
      <c r="G2128" s="221"/>
      <c r="H2128" s="157"/>
      <c r="I2128" s="157"/>
      <c r="J2128" s="157">
        <v>20</v>
      </c>
      <c r="K2128" s="157">
        <v>4</v>
      </c>
      <c r="L2128" s="157"/>
      <c r="M2128" s="157">
        <v>4</v>
      </c>
      <c r="N2128" s="157"/>
      <c r="O2128" s="157"/>
      <c r="P2128" s="157"/>
      <c r="Q2128" s="157"/>
      <c r="R2128" s="157"/>
      <c r="S2128" s="157"/>
      <c r="T2128" s="157"/>
      <c r="U2128" s="157"/>
      <c r="V2128" s="158"/>
      <c r="W2128" s="182"/>
      <c r="X2128" s="1"/>
      <c r="Y2128" s="78">
        <f t="shared" si="264"/>
        <v>0</v>
      </c>
      <c r="Z2128" s="78">
        <f t="shared" si="265"/>
        <v>0</v>
      </c>
      <c r="AA2128" s="78">
        <f t="shared" si="263"/>
        <v>0</v>
      </c>
      <c r="AB2128" s="78">
        <f t="shared" si="266"/>
        <v>0</v>
      </c>
      <c r="AC2128" s="78"/>
      <c r="AD2128" s="78">
        <v>0</v>
      </c>
      <c r="AE2128" s="80">
        <f t="shared" si="269"/>
        <v>0</v>
      </c>
      <c r="AF2128" s="82">
        <v>0</v>
      </c>
      <c r="AG2128" s="69">
        <v>40526</v>
      </c>
      <c r="AH2128" s="84"/>
      <c r="AI2128" s="69" t="s">
        <v>1984</v>
      </c>
      <c r="AJ2128" s="25" t="s">
        <v>1985</v>
      </c>
      <c r="AK2128" s="65"/>
      <c r="AL2128" s="176" t="s">
        <v>1257</v>
      </c>
      <c r="AM2128" s="173" t="s">
        <v>304</v>
      </c>
      <c r="AN2128" s="159"/>
      <c r="AO2128" s="160"/>
      <c r="AP2128" s="161"/>
      <c r="AQ2128" s="160"/>
      <c r="AR2128" s="160"/>
      <c r="AS2128" s="160"/>
      <c r="AT2128" s="160"/>
      <c r="AU2128" s="160"/>
      <c r="AV2128" s="160"/>
      <c r="AW2128" s="160"/>
      <c r="AX2128" s="160"/>
      <c r="AY2128" s="160"/>
      <c r="AZ2128" s="160"/>
      <c r="BA2128" s="160"/>
      <c r="BB2128" s="160"/>
      <c r="BC2128" s="160"/>
      <c r="BD2128" s="160"/>
      <c r="BE2128" s="160"/>
      <c r="BF2128" s="160"/>
      <c r="BG2128" s="160"/>
      <c r="BH2128" s="160"/>
      <c r="BI2128" s="160"/>
      <c r="BJ2128" s="160"/>
      <c r="BK2128" s="160"/>
      <c r="BL2128" s="160"/>
      <c r="BM2128" s="160"/>
      <c r="BN2128" s="160"/>
      <c r="BO2128" s="160"/>
      <c r="BP2128" s="160"/>
      <c r="BQ2128" s="160"/>
      <c r="BR2128" s="160"/>
      <c r="BS2128" s="160"/>
      <c r="BT2128" s="160"/>
      <c r="BU2128" s="160"/>
      <c r="BV2128" s="160"/>
      <c r="BW2128" s="160"/>
      <c r="BX2128" s="160"/>
      <c r="BY2128" s="160"/>
      <c r="BZ2128" s="160"/>
      <c r="CA2128" s="160"/>
      <c r="CB2128" s="160"/>
      <c r="CC2128" s="160"/>
      <c r="CD2128" s="160"/>
      <c r="CE2128" s="160"/>
      <c r="CF2128" s="160"/>
      <c r="CG2128" s="160"/>
      <c r="CH2128" s="160"/>
      <c r="CI2128" s="160"/>
      <c r="CJ2128" s="160"/>
      <c r="CK2128" s="160"/>
      <c r="CL2128" s="160"/>
      <c r="CM2128" s="160"/>
      <c r="CN2128" s="160"/>
      <c r="CO2128" s="160"/>
      <c r="CP2128" s="162"/>
      <c r="CQ2128" s="163"/>
      <c r="CR2128" s="162"/>
      <c r="CS2128" s="163"/>
      <c r="CT2128" s="162"/>
      <c r="CU2128" s="163"/>
      <c r="CV2128" s="164">
        <f t="shared" si="267"/>
        <v>0</v>
      </c>
      <c r="CW2128" s="165"/>
      <c r="CX2128" s="166"/>
      <c r="CY2128" s="167"/>
      <c r="CZ2128" s="168"/>
      <c r="DA2128" s="169"/>
      <c r="DB2128" s="168"/>
      <c r="DC2128" s="165"/>
      <c r="DD2128" s="166"/>
      <c r="DE2128" s="71"/>
      <c r="DF2128" s="170"/>
      <c r="EO2128" s="375" t="str">
        <f t="shared" si="268"/>
        <v>CUNDINAMARCA_PANDI</v>
      </c>
      <c r="EP2128" s="376"/>
      <c r="EQ2128" s="376"/>
      <c r="ER2128" s="377"/>
      <c r="ES2128" s="376"/>
      <c r="ET2128" s="376"/>
      <c r="EU2128" s="376"/>
    </row>
    <row r="2129" spans="1:151" s="171" customFormat="1" ht="38.25" x14ac:dyDescent="0.2">
      <c r="A2129" s="242">
        <v>40526</v>
      </c>
      <c r="B2129" s="222" t="s">
        <v>2007</v>
      </c>
      <c r="C2129" s="222" t="s">
        <v>2955</v>
      </c>
      <c r="D2129" s="430" t="s">
        <v>2307</v>
      </c>
      <c r="E2129" s="107" t="str">
        <f>VLOOKUP(B2129&amp;C2129,Divipola!$C$2:$F$1138,4,FALSE)</f>
        <v>25743</v>
      </c>
      <c r="F2129" s="333"/>
      <c r="G2129" s="221"/>
      <c r="H2129" s="157"/>
      <c r="I2129" s="157"/>
      <c r="J2129" s="157">
        <v>242</v>
      </c>
      <c r="K2129" s="157">
        <v>57</v>
      </c>
      <c r="L2129" s="157"/>
      <c r="M2129" s="157">
        <v>3</v>
      </c>
      <c r="N2129" s="157"/>
      <c r="O2129" s="157"/>
      <c r="P2129" s="157"/>
      <c r="Q2129" s="157"/>
      <c r="R2129" s="157"/>
      <c r="S2129" s="157"/>
      <c r="T2129" s="157"/>
      <c r="U2129" s="157"/>
      <c r="V2129" s="158"/>
      <c r="W2129" s="182"/>
      <c r="X2129" s="1"/>
      <c r="Y2129" s="78">
        <f t="shared" si="264"/>
        <v>0</v>
      </c>
      <c r="Z2129" s="78">
        <f t="shared" si="265"/>
        <v>0</v>
      </c>
      <c r="AA2129" s="78">
        <f t="shared" si="263"/>
        <v>0</v>
      </c>
      <c r="AB2129" s="78">
        <f t="shared" si="266"/>
        <v>0</v>
      </c>
      <c r="AC2129" s="78"/>
      <c r="AD2129" s="78">
        <v>0</v>
      </c>
      <c r="AE2129" s="80">
        <f t="shared" si="269"/>
        <v>0</v>
      </c>
      <c r="AF2129" s="82">
        <v>0</v>
      </c>
      <c r="AG2129" s="69">
        <v>40526</v>
      </c>
      <c r="AH2129" s="84"/>
      <c r="AI2129" s="69" t="s">
        <v>1984</v>
      </c>
      <c r="AJ2129" s="25" t="s">
        <v>1985</v>
      </c>
      <c r="AK2129" s="65"/>
      <c r="AL2129" s="176" t="s">
        <v>1257</v>
      </c>
      <c r="AM2129" s="173" t="s">
        <v>303</v>
      </c>
      <c r="AN2129" s="159"/>
      <c r="AO2129" s="160"/>
      <c r="AP2129" s="161"/>
      <c r="AQ2129" s="160"/>
      <c r="AR2129" s="160"/>
      <c r="AS2129" s="160"/>
      <c r="AT2129" s="160"/>
      <c r="AU2129" s="160"/>
      <c r="AV2129" s="160"/>
      <c r="AW2129" s="160"/>
      <c r="AX2129" s="160"/>
      <c r="AY2129" s="160"/>
      <c r="AZ2129" s="160"/>
      <c r="BA2129" s="160"/>
      <c r="BB2129" s="160"/>
      <c r="BC2129" s="160"/>
      <c r="BD2129" s="160"/>
      <c r="BE2129" s="160"/>
      <c r="BF2129" s="160"/>
      <c r="BG2129" s="160"/>
      <c r="BH2129" s="160"/>
      <c r="BI2129" s="160"/>
      <c r="BJ2129" s="160"/>
      <c r="BK2129" s="160"/>
      <c r="BL2129" s="160"/>
      <c r="BM2129" s="160"/>
      <c r="BN2129" s="160"/>
      <c r="BO2129" s="160"/>
      <c r="BP2129" s="160"/>
      <c r="BQ2129" s="160"/>
      <c r="BR2129" s="160"/>
      <c r="BS2129" s="160"/>
      <c r="BT2129" s="160"/>
      <c r="BU2129" s="160"/>
      <c r="BV2129" s="160"/>
      <c r="BW2129" s="160"/>
      <c r="BX2129" s="160"/>
      <c r="BY2129" s="160"/>
      <c r="BZ2129" s="160"/>
      <c r="CA2129" s="160"/>
      <c r="CB2129" s="160"/>
      <c r="CC2129" s="160"/>
      <c r="CD2129" s="160"/>
      <c r="CE2129" s="160"/>
      <c r="CF2129" s="160"/>
      <c r="CG2129" s="160"/>
      <c r="CH2129" s="160"/>
      <c r="CI2129" s="160"/>
      <c r="CJ2129" s="160"/>
      <c r="CK2129" s="160"/>
      <c r="CL2129" s="160"/>
      <c r="CM2129" s="160"/>
      <c r="CN2129" s="160"/>
      <c r="CO2129" s="160"/>
      <c r="CP2129" s="162"/>
      <c r="CQ2129" s="163"/>
      <c r="CR2129" s="162"/>
      <c r="CS2129" s="163"/>
      <c r="CT2129" s="162"/>
      <c r="CU2129" s="163"/>
      <c r="CV2129" s="164">
        <f t="shared" si="267"/>
        <v>0</v>
      </c>
      <c r="CW2129" s="165"/>
      <c r="CX2129" s="166"/>
      <c r="CY2129" s="167"/>
      <c r="CZ2129" s="168"/>
      <c r="DA2129" s="169"/>
      <c r="DB2129" s="168"/>
      <c r="DC2129" s="165"/>
      <c r="DD2129" s="166"/>
      <c r="DE2129" s="71"/>
      <c r="DF2129" s="170"/>
      <c r="EO2129" s="375" t="str">
        <f t="shared" si="268"/>
        <v>CUNDINAMARCA_SILVANIA</v>
      </c>
      <c r="EP2129" s="376"/>
      <c r="EQ2129" s="376"/>
      <c r="ER2129" s="377"/>
      <c r="ES2129" s="376"/>
      <c r="ET2129" s="376"/>
      <c r="EU2129" s="376"/>
    </row>
    <row r="2130" spans="1:151" s="171" customFormat="1" ht="36" x14ac:dyDescent="0.2">
      <c r="A2130" s="242">
        <v>40526</v>
      </c>
      <c r="B2130" s="222" t="s">
        <v>2014</v>
      </c>
      <c r="C2130" s="222" t="s">
        <v>1700</v>
      </c>
      <c r="D2130" s="430" t="s">
        <v>837</v>
      </c>
      <c r="E2130" s="107" t="str">
        <f>VLOOKUP(B2130&amp;C2130,Divipola!$C$2:$F$1138,4,FALSE)</f>
        <v>63212</v>
      </c>
      <c r="F2130" s="333"/>
      <c r="G2130" s="221"/>
      <c r="H2130" s="157"/>
      <c r="I2130" s="157"/>
      <c r="J2130" s="157">
        <v>12</v>
      </c>
      <c r="K2130" s="157">
        <v>6</v>
      </c>
      <c r="L2130" s="157"/>
      <c r="M2130" s="157">
        <v>6</v>
      </c>
      <c r="N2130" s="157"/>
      <c r="O2130" s="157"/>
      <c r="P2130" s="157"/>
      <c r="Q2130" s="157"/>
      <c r="R2130" s="157"/>
      <c r="S2130" s="157"/>
      <c r="T2130" s="157"/>
      <c r="U2130" s="157"/>
      <c r="V2130" s="158"/>
      <c r="W2130" s="182"/>
      <c r="X2130" s="1"/>
      <c r="Y2130" s="78">
        <f t="shared" si="264"/>
        <v>0</v>
      </c>
      <c r="Z2130" s="78">
        <f t="shared" si="265"/>
        <v>0</v>
      </c>
      <c r="AA2130" s="78">
        <f t="shared" si="263"/>
        <v>0</v>
      </c>
      <c r="AB2130" s="78">
        <f t="shared" si="266"/>
        <v>0</v>
      </c>
      <c r="AC2130" s="78"/>
      <c r="AD2130" s="78">
        <v>0</v>
      </c>
      <c r="AE2130" s="80">
        <f t="shared" si="269"/>
        <v>0</v>
      </c>
      <c r="AF2130" s="82">
        <v>0</v>
      </c>
      <c r="AG2130" s="69">
        <v>40527</v>
      </c>
      <c r="AH2130" s="84"/>
      <c r="AI2130" s="69" t="s">
        <v>1984</v>
      </c>
      <c r="AJ2130" s="25" t="s">
        <v>1985</v>
      </c>
      <c r="AK2130" s="65"/>
      <c r="AL2130" s="176" t="s">
        <v>1257</v>
      </c>
      <c r="AM2130" s="173" t="s">
        <v>44</v>
      </c>
      <c r="AN2130" s="159"/>
      <c r="AO2130" s="160"/>
      <c r="AP2130" s="161"/>
      <c r="AQ2130" s="160"/>
      <c r="AR2130" s="160"/>
      <c r="AS2130" s="160"/>
      <c r="AT2130" s="160"/>
      <c r="AU2130" s="160"/>
      <c r="AV2130" s="160"/>
      <c r="AW2130" s="160"/>
      <c r="AX2130" s="160"/>
      <c r="AY2130" s="160"/>
      <c r="AZ2130" s="160"/>
      <c r="BA2130" s="160"/>
      <c r="BB2130" s="160"/>
      <c r="BC2130" s="160"/>
      <c r="BD2130" s="160"/>
      <c r="BE2130" s="160"/>
      <c r="BF2130" s="160"/>
      <c r="BG2130" s="160"/>
      <c r="BH2130" s="160"/>
      <c r="BI2130" s="160"/>
      <c r="BJ2130" s="160"/>
      <c r="BK2130" s="160"/>
      <c r="BL2130" s="160"/>
      <c r="BM2130" s="160"/>
      <c r="BN2130" s="160"/>
      <c r="BO2130" s="160"/>
      <c r="BP2130" s="160"/>
      <c r="BQ2130" s="160"/>
      <c r="BR2130" s="160"/>
      <c r="BS2130" s="160"/>
      <c r="BT2130" s="160"/>
      <c r="BU2130" s="160"/>
      <c r="BV2130" s="160"/>
      <c r="BW2130" s="160"/>
      <c r="BX2130" s="160"/>
      <c r="BY2130" s="160"/>
      <c r="BZ2130" s="160"/>
      <c r="CA2130" s="160"/>
      <c r="CB2130" s="160"/>
      <c r="CC2130" s="160"/>
      <c r="CD2130" s="160"/>
      <c r="CE2130" s="160"/>
      <c r="CF2130" s="160"/>
      <c r="CG2130" s="160"/>
      <c r="CH2130" s="160"/>
      <c r="CI2130" s="160"/>
      <c r="CJ2130" s="160"/>
      <c r="CK2130" s="160"/>
      <c r="CL2130" s="160"/>
      <c r="CM2130" s="160"/>
      <c r="CN2130" s="160"/>
      <c r="CO2130" s="160"/>
      <c r="CP2130" s="162"/>
      <c r="CQ2130" s="163"/>
      <c r="CR2130" s="162"/>
      <c r="CS2130" s="163"/>
      <c r="CT2130" s="162"/>
      <c r="CU2130" s="163"/>
      <c r="CV2130" s="164">
        <f t="shared" si="267"/>
        <v>0</v>
      </c>
      <c r="CW2130" s="165"/>
      <c r="CX2130" s="166"/>
      <c r="CY2130" s="167"/>
      <c r="CZ2130" s="168"/>
      <c r="DA2130" s="169"/>
      <c r="DB2130" s="168"/>
      <c r="DC2130" s="165"/>
      <c r="DD2130" s="166"/>
      <c r="DE2130" s="71"/>
      <c r="DF2130" s="170"/>
      <c r="EO2130" s="375" t="str">
        <f t="shared" si="268"/>
        <v>QUINDIO_CORDOBA</v>
      </c>
      <c r="EP2130" s="376"/>
      <c r="EQ2130" s="376"/>
      <c r="ER2130" s="377"/>
      <c r="ES2130" s="376"/>
      <c r="ET2130" s="376"/>
      <c r="EU2130" s="376"/>
    </row>
    <row r="2131" spans="1:151" s="171" customFormat="1" ht="25.5" x14ac:dyDescent="0.2">
      <c r="A2131" s="242">
        <v>40526</v>
      </c>
      <c r="B2131" s="222" t="s">
        <v>2372</v>
      </c>
      <c r="C2131" s="222" t="s">
        <v>706</v>
      </c>
      <c r="D2131" s="430" t="s">
        <v>837</v>
      </c>
      <c r="E2131" s="107" t="str">
        <f>VLOOKUP(B2131&amp;C2131,Divipola!$C$2:$F$1138,4,FALSE)</f>
        <v>70215</v>
      </c>
      <c r="F2131" s="333"/>
      <c r="G2131" s="221"/>
      <c r="H2131" s="157"/>
      <c r="I2131" s="157"/>
      <c r="J2131" s="157">
        <v>2100</v>
      </c>
      <c r="K2131" s="157">
        <v>600</v>
      </c>
      <c r="L2131" s="157"/>
      <c r="M2131" s="157">
        <v>223</v>
      </c>
      <c r="N2131" s="157"/>
      <c r="O2131" s="157"/>
      <c r="P2131" s="157"/>
      <c r="Q2131" s="157"/>
      <c r="R2131" s="157"/>
      <c r="S2131" s="157"/>
      <c r="T2131" s="157"/>
      <c r="U2131" s="157"/>
      <c r="V2131" s="158"/>
      <c r="W2131" s="182"/>
      <c r="X2131" s="1"/>
      <c r="Y2131" s="78">
        <f t="shared" si="264"/>
        <v>0</v>
      </c>
      <c r="Z2131" s="78">
        <f t="shared" si="265"/>
        <v>0</v>
      </c>
      <c r="AA2131" s="78">
        <f t="shared" si="263"/>
        <v>0</v>
      </c>
      <c r="AB2131" s="78">
        <f t="shared" si="266"/>
        <v>0</v>
      </c>
      <c r="AC2131" s="78"/>
      <c r="AD2131" s="78">
        <v>0</v>
      </c>
      <c r="AE2131" s="80">
        <f t="shared" si="269"/>
        <v>0</v>
      </c>
      <c r="AF2131" s="82">
        <v>0</v>
      </c>
      <c r="AG2131" s="69">
        <v>40527</v>
      </c>
      <c r="AH2131" s="84"/>
      <c r="AI2131" s="69" t="s">
        <v>1984</v>
      </c>
      <c r="AJ2131" s="25" t="s">
        <v>1985</v>
      </c>
      <c r="AK2131" s="65"/>
      <c r="AL2131" s="176" t="s">
        <v>1257</v>
      </c>
      <c r="AM2131" s="173" t="s">
        <v>51</v>
      </c>
      <c r="AN2131" s="159"/>
      <c r="AO2131" s="160"/>
      <c r="AP2131" s="161"/>
      <c r="AQ2131" s="160"/>
      <c r="AR2131" s="160"/>
      <c r="AS2131" s="160"/>
      <c r="AT2131" s="160"/>
      <c r="AU2131" s="160"/>
      <c r="AV2131" s="160"/>
      <c r="AW2131" s="160"/>
      <c r="AX2131" s="160"/>
      <c r="AY2131" s="160"/>
      <c r="AZ2131" s="160"/>
      <c r="BA2131" s="160"/>
      <c r="BB2131" s="160"/>
      <c r="BC2131" s="160"/>
      <c r="BD2131" s="160"/>
      <c r="BE2131" s="160"/>
      <c r="BF2131" s="160"/>
      <c r="BG2131" s="160"/>
      <c r="BH2131" s="160"/>
      <c r="BI2131" s="160"/>
      <c r="BJ2131" s="160"/>
      <c r="BK2131" s="160"/>
      <c r="BL2131" s="160"/>
      <c r="BM2131" s="160"/>
      <c r="BN2131" s="160"/>
      <c r="BO2131" s="160"/>
      <c r="BP2131" s="160"/>
      <c r="BQ2131" s="160"/>
      <c r="BR2131" s="160"/>
      <c r="BS2131" s="160"/>
      <c r="BT2131" s="160"/>
      <c r="BU2131" s="160"/>
      <c r="BV2131" s="160"/>
      <c r="BW2131" s="160"/>
      <c r="BX2131" s="160"/>
      <c r="BY2131" s="160"/>
      <c r="BZ2131" s="160"/>
      <c r="CA2131" s="160"/>
      <c r="CB2131" s="160"/>
      <c r="CC2131" s="160"/>
      <c r="CD2131" s="160"/>
      <c r="CE2131" s="160"/>
      <c r="CF2131" s="160"/>
      <c r="CG2131" s="160"/>
      <c r="CH2131" s="160"/>
      <c r="CI2131" s="160"/>
      <c r="CJ2131" s="160"/>
      <c r="CK2131" s="160"/>
      <c r="CL2131" s="160"/>
      <c r="CM2131" s="160"/>
      <c r="CN2131" s="160"/>
      <c r="CO2131" s="160"/>
      <c r="CP2131" s="162"/>
      <c r="CQ2131" s="163"/>
      <c r="CR2131" s="162"/>
      <c r="CS2131" s="163"/>
      <c r="CT2131" s="162"/>
      <c r="CU2131" s="163"/>
      <c r="CV2131" s="164">
        <f t="shared" si="267"/>
        <v>0</v>
      </c>
      <c r="CW2131" s="165"/>
      <c r="CX2131" s="166"/>
      <c r="CY2131" s="167"/>
      <c r="CZ2131" s="168"/>
      <c r="DA2131" s="169"/>
      <c r="DB2131" s="168"/>
      <c r="DC2131" s="165"/>
      <c r="DD2131" s="166"/>
      <c r="DE2131" s="71"/>
      <c r="DF2131" s="170"/>
      <c r="EO2131" s="375" t="str">
        <f t="shared" si="268"/>
        <v>SUCRE_COROZAL</v>
      </c>
      <c r="EP2131" s="376"/>
      <c r="EQ2131" s="376"/>
      <c r="ER2131" s="377"/>
      <c r="ES2131" s="376"/>
      <c r="ET2131" s="376"/>
      <c r="EU2131" s="376"/>
    </row>
    <row r="2132" spans="1:151" s="171" customFormat="1" ht="63.75" x14ac:dyDescent="0.2">
      <c r="A2132" s="242">
        <v>40526</v>
      </c>
      <c r="B2132" s="222" t="s">
        <v>1462</v>
      </c>
      <c r="C2132" s="222" t="s">
        <v>1944</v>
      </c>
      <c r="D2132" s="430" t="s">
        <v>2307</v>
      </c>
      <c r="E2132" s="107" t="str">
        <f>VLOOKUP(B2132&amp;C2132,Divipola!$C$2:$F$1138,4,FALSE)</f>
        <v>76109</v>
      </c>
      <c r="F2132" s="333"/>
      <c r="G2132" s="221"/>
      <c r="H2132" s="157"/>
      <c r="I2132" s="157"/>
      <c r="J2132" s="157">
        <f>1618*5</f>
        <v>8090</v>
      </c>
      <c r="K2132" s="157">
        <v>1618</v>
      </c>
      <c r="L2132" s="157">
        <v>1</v>
      </c>
      <c r="M2132" s="157">
        <f>1700-901</f>
        <v>799</v>
      </c>
      <c r="N2132" s="157"/>
      <c r="O2132" s="157"/>
      <c r="P2132" s="157"/>
      <c r="Q2132" s="157"/>
      <c r="R2132" s="157"/>
      <c r="S2132" s="157"/>
      <c r="T2132" s="157"/>
      <c r="U2132" s="157"/>
      <c r="V2132" s="158"/>
      <c r="W2132" s="182"/>
      <c r="X2132" s="1"/>
      <c r="Y2132" s="78">
        <f t="shared" si="264"/>
        <v>0</v>
      </c>
      <c r="Z2132" s="78">
        <f t="shared" si="265"/>
        <v>0</v>
      </c>
      <c r="AA2132" s="78">
        <f t="shared" si="263"/>
        <v>0</v>
      </c>
      <c r="AB2132" s="78">
        <f t="shared" si="266"/>
        <v>0</v>
      </c>
      <c r="AC2132" s="78"/>
      <c r="AD2132" s="78">
        <v>0</v>
      </c>
      <c r="AE2132" s="80">
        <f t="shared" si="269"/>
        <v>0</v>
      </c>
      <c r="AF2132" s="82">
        <v>0</v>
      </c>
      <c r="AG2132" s="69"/>
      <c r="AH2132" s="84"/>
      <c r="AI2132" s="69" t="s">
        <v>2009</v>
      </c>
      <c r="AJ2132" s="276" t="s">
        <v>2010</v>
      </c>
      <c r="AK2132" s="65"/>
      <c r="AL2132" s="272" t="s">
        <v>311</v>
      </c>
      <c r="AM2132" s="173" t="s">
        <v>129</v>
      </c>
      <c r="AN2132" s="252"/>
      <c r="AO2132" s="160"/>
      <c r="AP2132" s="161"/>
      <c r="AQ2132" s="160"/>
      <c r="AR2132" s="160"/>
      <c r="AS2132" s="160"/>
      <c r="AT2132" s="160"/>
      <c r="AU2132" s="160"/>
      <c r="AV2132" s="160"/>
      <c r="AW2132" s="160"/>
      <c r="AX2132" s="160"/>
      <c r="AY2132" s="160"/>
      <c r="AZ2132" s="160"/>
      <c r="BA2132" s="160"/>
      <c r="BB2132" s="160"/>
      <c r="BC2132" s="160"/>
      <c r="BD2132" s="160"/>
      <c r="BE2132" s="160"/>
      <c r="BF2132" s="160"/>
      <c r="BG2132" s="160"/>
      <c r="BH2132" s="160"/>
      <c r="BI2132" s="160"/>
      <c r="BJ2132" s="160"/>
      <c r="BK2132" s="160"/>
      <c r="BL2132" s="160"/>
      <c r="BM2132" s="160"/>
      <c r="BN2132" s="160"/>
      <c r="BO2132" s="160"/>
      <c r="BP2132" s="160"/>
      <c r="BQ2132" s="160"/>
      <c r="BR2132" s="160"/>
      <c r="BS2132" s="160"/>
      <c r="BT2132" s="160"/>
      <c r="BU2132" s="160"/>
      <c r="BV2132" s="160"/>
      <c r="BW2132" s="160"/>
      <c r="BX2132" s="160"/>
      <c r="BY2132" s="160"/>
      <c r="BZ2132" s="160"/>
      <c r="CA2132" s="160"/>
      <c r="CB2132" s="160"/>
      <c r="CC2132" s="160"/>
      <c r="CD2132" s="160"/>
      <c r="CE2132" s="160"/>
      <c r="CF2132" s="160"/>
      <c r="CG2132" s="160"/>
      <c r="CH2132" s="160"/>
      <c r="CI2132" s="160"/>
      <c r="CJ2132" s="160"/>
      <c r="CK2132" s="160"/>
      <c r="CL2132" s="160"/>
      <c r="CM2132" s="160"/>
      <c r="CN2132" s="160"/>
      <c r="CO2132" s="160"/>
      <c r="CP2132" s="162"/>
      <c r="CQ2132" s="163"/>
      <c r="CR2132" s="162"/>
      <c r="CS2132" s="163"/>
      <c r="CT2132" s="162"/>
      <c r="CU2132" s="163"/>
      <c r="CV2132" s="164">
        <f t="shared" si="267"/>
        <v>0</v>
      </c>
      <c r="CW2132" s="165"/>
      <c r="CX2132" s="166"/>
      <c r="CY2132" s="167"/>
      <c r="CZ2132" s="168"/>
      <c r="DA2132" s="169"/>
      <c r="DB2132" s="168"/>
      <c r="DC2132" s="165"/>
      <c r="DD2132" s="166"/>
      <c r="DE2132" s="71"/>
      <c r="DF2132" s="170"/>
      <c r="EO2132" s="375" t="str">
        <f t="shared" si="268"/>
        <v>VALLE DEL CAUCA_BUENAVENTURA</v>
      </c>
      <c r="EP2132" s="376"/>
      <c r="EQ2132" s="376"/>
      <c r="ER2132" s="377"/>
      <c r="ES2132" s="376"/>
      <c r="ET2132" s="376"/>
      <c r="EU2132" s="376"/>
    </row>
    <row r="2133" spans="1:151" s="171" customFormat="1" ht="36" x14ac:dyDescent="0.2">
      <c r="A2133" s="242">
        <v>40527</v>
      </c>
      <c r="B2133" s="222" t="s">
        <v>235</v>
      </c>
      <c r="C2133" s="222" t="s">
        <v>236</v>
      </c>
      <c r="D2133" s="430" t="s">
        <v>2209</v>
      </c>
      <c r="E2133" s="107" t="str">
        <f>VLOOKUP(B2133&amp;C2133,Divipola!$C$2:$F$1138,4,FALSE)</f>
        <v>91001</v>
      </c>
      <c r="F2133" s="333"/>
      <c r="G2133" s="221"/>
      <c r="H2133" s="157"/>
      <c r="I2133" s="157"/>
      <c r="J2133" s="157">
        <v>21</v>
      </c>
      <c r="K2133" s="157">
        <v>4</v>
      </c>
      <c r="L2133" s="157"/>
      <c r="M2133" s="157">
        <v>4</v>
      </c>
      <c r="N2133" s="157"/>
      <c r="O2133" s="157"/>
      <c r="P2133" s="157"/>
      <c r="Q2133" s="157"/>
      <c r="R2133" s="157"/>
      <c r="S2133" s="157"/>
      <c r="T2133" s="157"/>
      <c r="U2133" s="157"/>
      <c r="V2133" s="158"/>
      <c r="W2133" s="182"/>
      <c r="X2133" s="1"/>
      <c r="Y2133" s="78">
        <f t="shared" si="264"/>
        <v>0</v>
      </c>
      <c r="Z2133" s="78">
        <f t="shared" si="265"/>
        <v>0</v>
      </c>
      <c r="AA2133" s="78">
        <f t="shared" si="263"/>
        <v>0</v>
      </c>
      <c r="AB2133" s="78">
        <f t="shared" si="266"/>
        <v>0</v>
      </c>
      <c r="AC2133" s="78"/>
      <c r="AD2133" s="78">
        <v>0</v>
      </c>
      <c r="AE2133" s="80">
        <f t="shared" si="269"/>
        <v>0</v>
      </c>
      <c r="AF2133" s="82">
        <v>0</v>
      </c>
      <c r="AG2133" s="69">
        <v>40527</v>
      </c>
      <c r="AH2133" s="84"/>
      <c r="AI2133" s="69" t="s">
        <v>1984</v>
      </c>
      <c r="AJ2133" s="25" t="s">
        <v>1985</v>
      </c>
      <c r="AK2133" s="65"/>
      <c r="AL2133" s="176" t="s">
        <v>1257</v>
      </c>
      <c r="AM2133" s="173" t="s">
        <v>128</v>
      </c>
      <c r="AN2133" s="159"/>
      <c r="AO2133" s="160"/>
      <c r="AP2133" s="161"/>
      <c r="AQ2133" s="160"/>
      <c r="AR2133" s="160"/>
      <c r="AS2133" s="160"/>
      <c r="AT2133" s="160"/>
      <c r="AU2133" s="160"/>
      <c r="AV2133" s="160"/>
      <c r="AW2133" s="160"/>
      <c r="AX2133" s="160"/>
      <c r="AY2133" s="160"/>
      <c r="AZ2133" s="160"/>
      <c r="BA2133" s="160"/>
      <c r="BB2133" s="160"/>
      <c r="BC2133" s="160"/>
      <c r="BD2133" s="160"/>
      <c r="BE2133" s="160"/>
      <c r="BF2133" s="160"/>
      <c r="BG2133" s="160"/>
      <c r="BH2133" s="160"/>
      <c r="BI2133" s="160"/>
      <c r="BJ2133" s="160"/>
      <c r="BK2133" s="160"/>
      <c r="BL2133" s="160"/>
      <c r="BM2133" s="160"/>
      <c r="BN2133" s="160"/>
      <c r="BO2133" s="160"/>
      <c r="BP2133" s="160"/>
      <c r="BQ2133" s="160"/>
      <c r="BR2133" s="160"/>
      <c r="BS2133" s="160"/>
      <c r="BT2133" s="160"/>
      <c r="BU2133" s="160"/>
      <c r="BV2133" s="160"/>
      <c r="BW2133" s="160"/>
      <c r="BX2133" s="160"/>
      <c r="BY2133" s="160"/>
      <c r="BZ2133" s="160"/>
      <c r="CA2133" s="160"/>
      <c r="CB2133" s="160"/>
      <c r="CC2133" s="160"/>
      <c r="CD2133" s="160"/>
      <c r="CE2133" s="160"/>
      <c r="CF2133" s="160"/>
      <c r="CG2133" s="160"/>
      <c r="CH2133" s="160"/>
      <c r="CI2133" s="160"/>
      <c r="CJ2133" s="160"/>
      <c r="CK2133" s="160"/>
      <c r="CL2133" s="160"/>
      <c r="CM2133" s="160"/>
      <c r="CN2133" s="160"/>
      <c r="CO2133" s="160"/>
      <c r="CP2133" s="162"/>
      <c r="CQ2133" s="163"/>
      <c r="CR2133" s="162"/>
      <c r="CS2133" s="163"/>
      <c r="CT2133" s="162"/>
      <c r="CU2133" s="163"/>
      <c r="CV2133" s="164">
        <f t="shared" si="267"/>
        <v>0</v>
      </c>
      <c r="CW2133" s="165"/>
      <c r="CX2133" s="166"/>
      <c r="CY2133" s="167"/>
      <c r="CZ2133" s="168"/>
      <c r="DA2133" s="169"/>
      <c r="DB2133" s="168"/>
      <c r="DC2133" s="165"/>
      <c r="DD2133" s="166"/>
      <c r="DE2133" s="71"/>
      <c r="DF2133" s="170"/>
      <c r="EO2133" s="375" t="str">
        <f t="shared" si="268"/>
        <v>AMAZONAS_LETICIA</v>
      </c>
      <c r="EP2133" s="376"/>
      <c r="EQ2133" s="376"/>
      <c r="ER2133" s="377"/>
      <c r="ES2133" s="376"/>
      <c r="ET2133" s="376"/>
      <c r="EU2133" s="376"/>
    </row>
    <row r="2134" spans="1:151" s="171" customFormat="1" ht="38.25" x14ac:dyDescent="0.2">
      <c r="A2134" s="246">
        <v>40527</v>
      </c>
      <c r="B2134" s="280" t="s">
        <v>2401</v>
      </c>
      <c r="C2134" s="280" t="s">
        <v>405</v>
      </c>
      <c r="D2134" s="432" t="s">
        <v>837</v>
      </c>
      <c r="E2134" s="107" t="str">
        <f>VLOOKUP(B2134&amp;C2134,Divipola!$C$2:$F$1138,4,FALSE)</f>
        <v>05002</v>
      </c>
      <c r="F2134" s="337"/>
      <c r="G2134" s="221"/>
      <c r="H2134" s="157"/>
      <c r="I2134" s="157"/>
      <c r="J2134" s="157">
        <f>198*5</f>
        <v>990</v>
      </c>
      <c r="K2134" s="157">
        <v>198</v>
      </c>
      <c r="L2134" s="157">
        <v>42</v>
      </c>
      <c r="M2134" s="157">
        <v>94</v>
      </c>
      <c r="N2134" s="157"/>
      <c r="O2134" s="157"/>
      <c r="P2134" s="157"/>
      <c r="Q2134" s="157"/>
      <c r="R2134" s="157"/>
      <c r="S2134" s="157"/>
      <c r="T2134" s="157"/>
      <c r="U2134" s="157"/>
      <c r="V2134" s="158"/>
      <c r="W2134" s="182"/>
      <c r="X2134" s="1"/>
      <c r="Y2134" s="78">
        <f t="shared" si="264"/>
        <v>0</v>
      </c>
      <c r="Z2134" s="78">
        <f t="shared" si="265"/>
        <v>0</v>
      </c>
      <c r="AA2134" s="78">
        <f t="shared" si="263"/>
        <v>0</v>
      </c>
      <c r="AB2134" s="78">
        <f t="shared" si="266"/>
        <v>0</v>
      </c>
      <c r="AC2134" s="78"/>
      <c r="AD2134" s="78">
        <v>0</v>
      </c>
      <c r="AE2134" s="80">
        <f t="shared" si="269"/>
        <v>0</v>
      </c>
      <c r="AF2134" s="82">
        <v>0</v>
      </c>
      <c r="AG2134" s="69">
        <v>40596</v>
      </c>
      <c r="AH2134" s="84"/>
      <c r="AI2134" s="69" t="s">
        <v>1984</v>
      </c>
      <c r="AJ2134" s="25" t="s">
        <v>1985</v>
      </c>
      <c r="AK2134" s="65"/>
      <c r="AL2134" s="176" t="s">
        <v>1257</v>
      </c>
      <c r="AM2134" s="173" t="s">
        <v>436</v>
      </c>
      <c r="AN2134" s="159"/>
      <c r="AO2134" s="160"/>
      <c r="AP2134" s="161"/>
      <c r="AQ2134" s="160"/>
      <c r="AR2134" s="160"/>
      <c r="AS2134" s="160"/>
      <c r="AT2134" s="160"/>
      <c r="AU2134" s="160"/>
      <c r="AV2134" s="160"/>
      <c r="AW2134" s="160"/>
      <c r="AX2134" s="160"/>
      <c r="AY2134" s="160"/>
      <c r="AZ2134" s="160"/>
      <c r="BA2134" s="160"/>
      <c r="BB2134" s="160"/>
      <c r="BC2134" s="160"/>
      <c r="BD2134" s="160"/>
      <c r="BE2134" s="160"/>
      <c r="BF2134" s="160"/>
      <c r="BG2134" s="160"/>
      <c r="BH2134" s="160"/>
      <c r="BI2134" s="160"/>
      <c r="BJ2134" s="160"/>
      <c r="BK2134" s="160"/>
      <c r="BL2134" s="160"/>
      <c r="BM2134" s="160"/>
      <c r="BN2134" s="160"/>
      <c r="BO2134" s="160"/>
      <c r="BP2134" s="160"/>
      <c r="BQ2134" s="160"/>
      <c r="BR2134" s="160"/>
      <c r="BS2134" s="160"/>
      <c r="BT2134" s="160"/>
      <c r="BU2134" s="160"/>
      <c r="BV2134" s="160"/>
      <c r="BW2134" s="160"/>
      <c r="BX2134" s="160"/>
      <c r="BY2134" s="160"/>
      <c r="BZ2134" s="160"/>
      <c r="CA2134" s="160"/>
      <c r="CB2134" s="160"/>
      <c r="CC2134" s="160"/>
      <c r="CD2134" s="160"/>
      <c r="CE2134" s="160"/>
      <c r="CF2134" s="160"/>
      <c r="CG2134" s="160"/>
      <c r="CH2134" s="160"/>
      <c r="CI2134" s="160"/>
      <c r="CJ2134" s="160"/>
      <c r="CK2134" s="160"/>
      <c r="CL2134" s="160"/>
      <c r="CM2134" s="160"/>
      <c r="CN2134" s="160"/>
      <c r="CO2134" s="160"/>
      <c r="CP2134" s="162"/>
      <c r="CQ2134" s="163"/>
      <c r="CR2134" s="162"/>
      <c r="CS2134" s="163"/>
      <c r="CT2134" s="162"/>
      <c r="CU2134" s="163"/>
      <c r="CV2134" s="164">
        <f t="shared" si="267"/>
        <v>0</v>
      </c>
      <c r="CW2134" s="165"/>
      <c r="CX2134" s="166"/>
      <c r="CY2134" s="167"/>
      <c r="CZ2134" s="168"/>
      <c r="DA2134" s="169"/>
      <c r="DB2134" s="168"/>
      <c r="DC2134" s="165"/>
      <c r="DD2134" s="166"/>
      <c r="DE2134" s="71"/>
      <c r="DF2134" s="170"/>
      <c r="EO2134" s="375" t="str">
        <f t="shared" si="268"/>
        <v>ANTIOQUIA_ABEJORRAL</v>
      </c>
      <c r="EP2134" s="376"/>
      <c r="EQ2134" s="376"/>
      <c r="ER2134" s="377"/>
      <c r="ES2134" s="376"/>
      <c r="ET2134" s="376"/>
      <c r="EU2134" s="376"/>
    </row>
    <row r="2135" spans="1:151" s="171" customFormat="1" ht="38.25" x14ac:dyDescent="0.2">
      <c r="A2135" s="246">
        <v>40527</v>
      </c>
      <c r="B2135" s="280" t="s">
        <v>2401</v>
      </c>
      <c r="C2135" s="280" t="s">
        <v>406</v>
      </c>
      <c r="D2135" s="432" t="s">
        <v>2307</v>
      </c>
      <c r="E2135" s="107" t="str">
        <f>VLOOKUP(B2135&amp;C2135,Divipola!$C$2:$F$1138,4,FALSE)</f>
        <v>05036</v>
      </c>
      <c r="F2135" s="337"/>
      <c r="G2135" s="221"/>
      <c r="H2135" s="157"/>
      <c r="I2135" s="157"/>
      <c r="J2135" s="157">
        <v>109</v>
      </c>
      <c r="K2135" s="157">
        <v>35</v>
      </c>
      <c r="L2135" s="157">
        <v>35</v>
      </c>
      <c r="M2135" s="157"/>
      <c r="N2135" s="157"/>
      <c r="O2135" s="157"/>
      <c r="P2135" s="157"/>
      <c r="Q2135" s="157"/>
      <c r="R2135" s="157"/>
      <c r="S2135" s="157"/>
      <c r="T2135" s="157"/>
      <c r="U2135" s="157"/>
      <c r="V2135" s="158"/>
      <c r="W2135" s="182"/>
      <c r="X2135" s="1"/>
      <c r="Y2135" s="78">
        <f t="shared" si="264"/>
        <v>0</v>
      </c>
      <c r="Z2135" s="78">
        <f t="shared" si="265"/>
        <v>0</v>
      </c>
      <c r="AA2135" s="78">
        <f t="shared" si="263"/>
        <v>0</v>
      </c>
      <c r="AB2135" s="78">
        <f t="shared" si="266"/>
        <v>0</v>
      </c>
      <c r="AC2135" s="78"/>
      <c r="AD2135" s="78">
        <v>0</v>
      </c>
      <c r="AE2135" s="80">
        <f t="shared" si="269"/>
        <v>0</v>
      </c>
      <c r="AF2135" s="82">
        <v>0</v>
      </c>
      <c r="AG2135" s="69">
        <v>40596</v>
      </c>
      <c r="AH2135" s="84"/>
      <c r="AI2135" s="69" t="s">
        <v>1984</v>
      </c>
      <c r="AJ2135" s="25" t="s">
        <v>1985</v>
      </c>
      <c r="AK2135" s="65"/>
      <c r="AL2135" s="176" t="s">
        <v>1257</v>
      </c>
      <c r="AM2135" s="173" t="s">
        <v>436</v>
      </c>
      <c r="AN2135" s="159"/>
      <c r="AO2135" s="160"/>
      <c r="AP2135" s="161"/>
      <c r="AQ2135" s="160"/>
      <c r="AR2135" s="160"/>
      <c r="AS2135" s="160"/>
      <c r="AT2135" s="160"/>
      <c r="AU2135" s="160"/>
      <c r="AV2135" s="160"/>
      <c r="AW2135" s="160"/>
      <c r="AX2135" s="160"/>
      <c r="AY2135" s="160"/>
      <c r="AZ2135" s="160"/>
      <c r="BA2135" s="160"/>
      <c r="BB2135" s="160"/>
      <c r="BC2135" s="160"/>
      <c r="BD2135" s="160"/>
      <c r="BE2135" s="160"/>
      <c r="BF2135" s="160"/>
      <c r="BG2135" s="160"/>
      <c r="BH2135" s="160"/>
      <c r="BI2135" s="160"/>
      <c r="BJ2135" s="160"/>
      <c r="BK2135" s="160"/>
      <c r="BL2135" s="160"/>
      <c r="BM2135" s="160"/>
      <c r="BN2135" s="160"/>
      <c r="BO2135" s="160"/>
      <c r="BP2135" s="160"/>
      <c r="BQ2135" s="160"/>
      <c r="BR2135" s="160"/>
      <c r="BS2135" s="160"/>
      <c r="BT2135" s="160"/>
      <c r="BU2135" s="160"/>
      <c r="BV2135" s="160"/>
      <c r="BW2135" s="160"/>
      <c r="BX2135" s="160"/>
      <c r="BY2135" s="160"/>
      <c r="BZ2135" s="160"/>
      <c r="CA2135" s="160"/>
      <c r="CB2135" s="160"/>
      <c r="CC2135" s="160"/>
      <c r="CD2135" s="160"/>
      <c r="CE2135" s="160"/>
      <c r="CF2135" s="160"/>
      <c r="CG2135" s="160"/>
      <c r="CH2135" s="160"/>
      <c r="CI2135" s="160"/>
      <c r="CJ2135" s="160"/>
      <c r="CK2135" s="160"/>
      <c r="CL2135" s="160"/>
      <c r="CM2135" s="160"/>
      <c r="CN2135" s="160"/>
      <c r="CO2135" s="160"/>
      <c r="CP2135" s="162"/>
      <c r="CQ2135" s="163"/>
      <c r="CR2135" s="162"/>
      <c r="CS2135" s="163"/>
      <c r="CT2135" s="162"/>
      <c r="CU2135" s="163"/>
      <c r="CV2135" s="164">
        <f t="shared" si="267"/>
        <v>0</v>
      </c>
      <c r="CW2135" s="165"/>
      <c r="CX2135" s="166"/>
      <c r="CY2135" s="167"/>
      <c r="CZ2135" s="168"/>
      <c r="DA2135" s="169"/>
      <c r="DB2135" s="168"/>
      <c r="DC2135" s="165"/>
      <c r="DD2135" s="166"/>
      <c r="DE2135" s="71"/>
      <c r="DF2135" s="170"/>
      <c r="EO2135" s="375" t="str">
        <f t="shared" si="268"/>
        <v>ANTIOQUIA_ANGELOPOLIS</v>
      </c>
      <c r="EP2135" s="376"/>
      <c r="EQ2135" s="376"/>
      <c r="ER2135" s="377"/>
      <c r="ES2135" s="376"/>
      <c r="ET2135" s="376"/>
      <c r="EU2135" s="376"/>
    </row>
    <row r="2136" spans="1:151" s="171" customFormat="1" ht="25.5" x14ac:dyDescent="0.2">
      <c r="A2136" s="246">
        <v>40527</v>
      </c>
      <c r="B2136" s="280" t="s">
        <v>2401</v>
      </c>
      <c r="C2136" s="280" t="s">
        <v>407</v>
      </c>
      <c r="D2136" s="432" t="s">
        <v>837</v>
      </c>
      <c r="E2136" s="107" t="str">
        <f>VLOOKUP(B2136&amp;C2136,Divipola!$C$2:$F$1138,4,FALSE)</f>
        <v>05044</v>
      </c>
      <c r="F2136" s="337"/>
      <c r="G2136" s="221"/>
      <c r="H2136" s="157"/>
      <c r="I2136" s="157"/>
      <c r="J2136" s="157">
        <v>277</v>
      </c>
      <c r="K2136" s="157">
        <v>65</v>
      </c>
      <c r="L2136" s="157">
        <v>31</v>
      </c>
      <c r="M2136" s="157">
        <v>21</v>
      </c>
      <c r="N2136" s="157"/>
      <c r="O2136" s="157"/>
      <c r="P2136" s="157"/>
      <c r="Q2136" s="157"/>
      <c r="R2136" s="157"/>
      <c r="S2136" s="157"/>
      <c r="T2136" s="157"/>
      <c r="U2136" s="157"/>
      <c r="V2136" s="158"/>
      <c r="W2136" s="182"/>
      <c r="X2136" s="1"/>
      <c r="Y2136" s="78">
        <f t="shared" si="264"/>
        <v>0</v>
      </c>
      <c r="Z2136" s="78">
        <f t="shared" si="265"/>
        <v>0</v>
      </c>
      <c r="AA2136" s="78">
        <f t="shared" si="263"/>
        <v>0</v>
      </c>
      <c r="AB2136" s="78">
        <f t="shared" si="266"/>
        <v>0</v>
      </c>
      <c r="AC2136" s="78"/>
      <c r="AD2136" s="78">
        <v>0</v>
      </c>
      <c r="AE2136" s="80">
        <f t="shared" si="269"/>
        <v>0</v>
      </c>
      <c r="AF2136" s="82">
        <v>0</v>
      </c>
      <c r="AG2136" s="69">
        <v>40596</v>
      </c>
      <c r="AH2136" s="84"/>
      <c r="AI2136" s="69" t="s">
        <v>1984</v>
      </c>
      <c r="AJ2136" s="25" t="s">
        <v>1985</v>
      </c>
      <c r="AK2136" s="65"/>
      <c r="AL2136" s="176" t="s">
        <v>1257</v>
      </c>
      <c r="AM2136" s="173" t="s">
        <v>436</v>
      </c>
      <c r="AN2136" s="159"/>
      <c r="AO2136" s="160"/>
      <c r="AP2136" s="161"/>
      <c r="AQ2136" s="160"/>
      <c r="AR2136" s="160"/>
      <c r="AS2136" s="160"/>
      <c r="AT2136" s="160"/>
      <c r="AU2136" s="160"/>
      <c r="AV2136" s="160"/>
      <c r="AW2136" s="160"/>
      <c r="AX2136" s="160"/>
      <c r="AY2136" s="160"/>
      <c r="AZ2136" s="160"/>
      <c r="BA2136" s="160"/>
      <c r="BB2136" s="160"/>
      <c r="BC2136" s="160"/>
      <c r="BD2136" s="160"/>
      <c r="BE2136" s="160"/>
      <c r="BF2136" s="160"/>
      <c r="BG2136" s="160"/>
      <c r="BH2136" s="160"/>
      <c r="BI2136" s="160"/>
      <c r="BJ2136" s="160"/>
      <c r="BK2136" s="160"/>
      <c r="BL2136" s="160"/>
      <c r="BM2136" s="160"/>
      <c r="BN2136" s="160"/>
      <c r="BO2136" s="160"/>
      <c r="BP2136" s="160"/>
      <c r="BQ2136" s="160"/>
      <c r="BR2136" s="160"/>
      <c r="BS2136" s="160"/>
      <c r="BT2136" s="160"/>
      <c r="BU2136" s="160"/>
      <c r="BV2136" s="160"/>
      <c r="BW2136" s="160"/>
      <c r="BX2136" s="160"/>
      <c r="BY2136" s="160"/>
      <c r="BZ2136" s="160"/>
      <c r="CA2136" s="160"/>
      <c r="CB2136" s="160"/>
      <c r="CC2136" s="160"/>
      <c r="CD2136" s="160"/>
      <c r="CE2136" s="160"/>
      <c r="CF2136" s="160"/>
      <c r="CG2136" s="160"/>
      <c r="CH2136" s="160"/>
      <c r="CI2136" s="160"/>
      <c r="CJ2136" s="160"/>
      <c r="CK2136" s="160"/>
      <c r="CL2136" s="160"/>
      <c r="CM2136" s="160"/>
      <c r="CN2136" s="160"/>
      <c r="CO2136" s="160"/>
      <c r="CP2136" s="162"/>
      <c r="CQ2136" s="163"/>
      <c r="CR2136" s="162"/>
      <c r="CS2136" s="163"/>
      <c r="CT2136" s="162"/>
      <c r="CU2136" s="163"/>
      <c r="CV2136" s="164">
        <f t="shared" si="267"/>
        <v>0</v>
      </c>
      <c r="CW2136" s="165"/>
      <c r="CX2136" s="166"/>
      <c r="CY2136" s="167"/>
      <c r="CZ2136" s="168"/>
      <c r="DA2136" s="169"/>
      <c r="DB2136" s="168"/>
      <c r="DC2136" s="165"/>
      <c r="DD2136" s="166"/>
      <c r="DE2136" s="71"/>
      <c r="DF2136" s="170"/>
      <c r="EO2136" s="375" t="str">
        <f t="shared" si="268"/>
        <v>ANTIOQUIA_ANZA</v>
      </c>
      <c r="EP2136" s="376"/>
      <c r="EQ2136" s="376"/>
      <c r="ER2136" s="377"/>
      <c r="ES2136" s="376"/>
      <c r="ET2136" s="376"/>
      <c r="EU2136" s="376"/>
    </row>
    <row r="2137" spans="1:151" s="171" customFormat="1" ht="25.5" x14ac:dyDescent="0.2">
      <c r="A2137" s="246">
        <v>40527</v>
      </c>
      <c r="B2137" s="280" t="s">
        <v>2401</v>
      </c>
      <c r="C2137" s="280" t="s">
        <v>2432</v>
      </c>
      <c r="D2137" s="432" t="s">
        <v>837</v>
      </c>
      <c r="E2137" s="107" t="str">
        <f>VLOOKUP(B2137&amp;C2137,Divipola!$C$2:$F$1138,4,FALSE)</f>
        <v>05055</v>
      </c>
      <c r="F2137" s="337"/>
      <c r="G2137" s="221"/>
      <c r="H2137" s="157"/>
      <c r="I2137" s="157"/>
      <c r="J2137" s="157">
        <v>89</v>
      </c>
      <c r="K2137" s="157">
        <v>26</v>
      </c>
      <c r="L2137" s="157">
        <v>16</v>
      </c>
      <c r="M2137" s="157">
        <v>10</v>
      </c>
      <c r="N2137" s="157"/>
      <c r="O2137" s="157"/>
      <c r="P2137" s="157"/>
      <c r="Q2137" s="157"/>
      <c r="R2137" s="157"/>
      <c r="S2137" s="157"/>
      <c r="T2137" s="157"/>
      <c r="U2137" s="157"/>
      <c r="V2137" s="158"/>
      <c r="W2137" s="182"/>
      <c r="X2137" s="1"/>
      <c r="Y2137" s="78">
        <f t="shared" si="264"/>
        <v>0</v>
      </c>
      <c r="Z2137" s="78">
        <f t="shared" si="265"/>
        <v>0</v>
      </c>
      <c r="AA2137" s="78">
        <f t="shared" si="263"/>
        <v>0</v>
      </c>
      <c r="AB2137" s="78">
        <f t="shared" si="266"/>
        <v>0</v>
      </c>
      <c r="AC2137" s="78"/>
      <c r="AD2137" s="78">
        <v>0</v>
      </c>
      <c r="AE2137" s="80">
        <f t="shared" si="269"/>
        <v>0</v>
      </c>
      <c r="AF2137" s="82">
        <v>0</v>
      </c>
      <c r="AG2137" s="69">
        <v>40596</v>
      </c>
      <c r="AH2137" s="84"/>
      <c r="AI2137" s="69" t="s">
        <v>1984</v>
      </c>
      <c r="AJ2137" s="25" t="s">
        <v>1985</v>
      </c>
      <c r="AK2137" s="65"/>
      <c r="AL2137" s="176" t="s">
        <v>1257</v>
      </c>
      <c r="AM2137" s="173" t="s">
        <v>436</v>
      </c>
      <c r="AN2137" s="159"/>
      <c r="AO2137" s="160"/>
      <c r="AP2137" s="161"/>
      <c r="AQ2137" s="160"/>
      <c r="AR2137" s="160"/>
      <c r="AS2137" s="160"/>
      <c r="AT2137" s="160"/>
      <c r="AU2137" s="160"/>
      <c r="AV2137" s="160"/>
      <c r="AW2137" s="160"/>
      <c r="AX2137" s="160"/>
      <c r="AY2137" s="160"/>
      <c r="AZ2137" s="160"/>
      <c r="BA2137" s="160"/>
      <c r="BB2137" s="160"/>
      <c r="BC2137" s="160"/>
      <c r="BD2137" s="160"/>
      <c r="BE2137" s="160"/>
      <c r="BF2137" s="160"/>
      <c r="BG2137" s="160"/>
      <c r="BH2137" s="160"/>
      <c r="BI2137" s="160"/>
      <c r="BJ2137" s="160"/>
      <c r="BK2137" s="160"/>
      <c r="BL2137" s="160"/>
      <c r="BM2137" s="160"/>
      <c r="BN2137" s="160"/>
      <c r="BO2137" s="160"/>
      <c r="BP2137" s="160"/>
      <c r="BQ2137" s="160"/>
      <c r="BR2137" s="160"/>
      <c r="BS2137" s="160"/>
      <c r="BT2137" s="160"/>
      <c r="BU2137" s="160"/>
      <c r="BV2137" s="160"/>
      <c r="BW2137" s="160"/>
      <c r="BX2137" s="160"/>
      <c r="BY2137" s="160"/>
      <c r="BZ2137" s="160"/>
      <c r="CA2137" s="160"/>
      <c r="CB2137" s="160"/>
      <c r="CC2137" s="160"/>
      <c r="CD2137" s="160"/>
      <c r="CE2137" s="160"/>
      <c r="CF2137" s="160"/>
      <c r="CG2137" s="160"/>
      <c r="CH2137" s="160"/>
      <c r="CI2137" s="160"/>
      <c r="CJ2137" s="160"/>
      <c r="CK2137" s="160"/>
      <c r="CL2137" s="160"/>
      <c r="CM2137" s="160"/>
      <c r="CN2137" s="160"/>
      <c r="CO2137" s="160"/>
      <c r="CP2137" s="162"/>
      <c r="CQ2137" s="163"/>
      <c r="CR2137" s="162"/>
      <c r="CS2137" s="163"/>
      <c r="CT2137" s="162"/>
      <c r="CU2137" s="163"/>
      <c r="CV2137" s="164">
        <f t="shared" si="267"/>
        <v>0</v>
      </c>
      <c r="CW2137" s="165"/>
      <c r="CX2137" s="166"/>
      <c r="CY2137" s="167"/>
      <c r="CZ2137" s="168"/>
      <c r="DA2137" s="169"/>
      <c r="DB2137" s="168"/>
      <c r="DC2137" s="165"/>
      <c r="DD2137" s="166"/>
      <c r="DE2137" s="71"/>
      <c r="DF2137" s="170"/>
      <c r="EO2137" s="375" t="str">
        <f t="shared" si="268"/>
        <v>ANTIOQUIA_ARGELIA</v>
      </c>
      <c r="EP2137" s="376"/>
      <c r="EQ2137" s="376"/>
      <c r="ER2137" s="377"/>
      <c r="ES2137" s="376"/>
      <c r="ET2137" s="376"/>
      <c r="EU2137" s="376"/>
    </row>
    <row r="2138" spans="1:151" s="171" customFormat="1" ht="25.5" x14ac:dyDescent="0.2">
      <c r="A2138" s="246">
        <v>40527</v>
      </c>
      <c r="B2138" s="280" t="s">
        <v>2401</v>
      </c>
      <c r="C2138" s="280" t="s">
        <v>2015</v>
      </c>
      <c r="D2138" s="432" t="s">
        <v>837</v>
      </c>
      <c r="E2138" s="107" t="str">
        <f>VLOOKUP(B2138&amp;C2138,Divipola!$C$2:$F$1138,4,FALSE)</f>
        <v>05059</v>
      </c>
      <c r="F2138" s="337"/>
      <c r="G2138" s="221"/>
      <c r="H2138" s="157"/>
      <c r="I2138" s="157"/>
      <c r="J2138" s="157">
        <v>278</v>
      </c>
      <c r="K2138" s="157">
        <v>83</v>
      </c>
      <c r="L2138" s="157"/>
      <c r="M2138" s="157">
        <v>82</v>
      </c>
      <c r="N2138" s="157"/>
      <c r="O2138" s="157"/>
      <c r="P2138" s="157"/>
      <c r="Q2138" s="157"/>
      <c r="R2138" s="157"/>
      <c r="S2138" s="157"/>
      <c r="T2138" s="157"/>
      <c r="U2138" s="157"/>
      <c r="V2138" s="158"/>
      <c r="W2138" s="182"/>
      <c r="X2138" s="1"/>
      <c r="Y2138" s="78">
        <f t="shared" si="264"/>
        <v>0</v>
      </c>
      <c r="Z2138" s="78">
        <f t="shared" si="265"/>
        <v>0</v>
      </c>
      <c r="AA2138" s="78">
        <f t="shared" si="263"/>
        <v>0</v>
      </c>
      <c r="AB2138" s="78">
        <f t="shared" si="266"/>
        <v>0</v>
      </c>
      <c r="AC2138" s="78"/>
      <c r="AD2138" s="78">
        <v>0</v>
      </c>
      <c r="AE2138" s="80">
        <f t="shared" si="269"/>
        <v>0</v>
      </c>
      <c r="AF2138" s="82">
        <v>0</v>
      </c>
      <c r="AG2138" s="69">
        <v>40596</v>
      </c>
      <c r="AH2138" s="84"/>
      <c r="AI2138" s="69" t="s">
        <v>1984</v>
      </c>
      <c r="AJ2138" s="25" t="s">
        <v>1985</v>
      </c>
      <c r="AK2138" s="65"/>
      <c r="AL2138" s="176" t="s">
        <v>1257</v>
      </c>
      <c r="AM2138" s="173" t="s">
        <v>436</v>
      </c>
      <c r="AN2138" s="159"/>
      <c r="AO2138" s="160"/>
      <c r="AP2138" s="161"/>
      <c r="AQ2138" s="160"/>
      <c r="AR2138" s="160"/>
      <c r="AS2138" s="160"/>
      <c r="AT2138" s="160"/>
      <c r="AU2138" s="160"/>
      <c r="AV2138" s="160"/>
      <c r="AW2138" s="160"/>
      <c r="AX2138" s="160"/>
      <c r="AY2138" s="160"/>
      <c r="AZ2138" s="160"/>
      <c r="BA2138" s="160"/>
      <c r="BB2138" s="160"/>
      <c r="BC2138" s="160"/>
      <c r="BD2138" s="160"/>
      <c r="BE2138" s="160"/>
      <c r="BF2138" s="160"/>
      <c r="BG2138" s="160"/>
      <c r="BH2138" s="160"/>
      <c r="BI2138" s="160"/>
      <c r="BJ2138" s="160"/>
      <c r="BK2138" s="160"/>
      <c r="BL2138" s="160"/>
      <c r="BM2138" s="160"/>
      <c r="BN2138" s="160"/>
      <c r="BO2138" s="160"/>
      <c r="BP2138" s="160"/>
      <c r="BQ2138" s="160"/>
      <c r="BR2138" s="160"/>
      <c r="BS2138" s="160"/>
      <c r="BT2138" s="160"/>
      <c r="BU2138" s="160"/>
      <c r="BV2138" s="160"/>
      <c r="BW2138" s="160"/>
      <c r="BX2138" s="160"/>
      <c r="BY2138" s="160"/>
      <c r="BZ2138" s="160"/>
      <c r="CA2138" s="160"/>
      <c r="CB2138" s="160"/>
      <c r="CC2138" s="160"/>
      <c r="CD2138" s="160"/>
      <c r="CE2138" s="160"/>
      <c r="CF2138" s="160"/>
      <c r="CG2138" s="160"/>
      <c r="CH2138" s="160"/>
      <c r="CI2138" s="160"/>
      <c r="CJ2138" s="160"/>
      <c r="CK2138" s="160"/>
      <c r="CL2138" s="160"/>
      <c r="CM2138" s="160"/>
      <c r="CN2138" s="160"/>
      <c r="CO2138" s="160"/>
      <c r="CP2138" s="162"/>
      <c r="CQ2138" s="163"/>
      <c r="CR2138" s="162"/>
      <c r="CS2138" s="163"/>
      <c r="CT2138" s="162"/>
      <c r="CU2138" s="163"/>
      <c r="CV2138" s="164">
        <f t="shared" si="267"/>
        <v>0</v>
      </c>
      <c r="CW2138" s="165"/>
      <c r="CX2138" s="166"/>
      <c r="CY2138" s="167"/>
      <c r="CZ2138" s="168"/>
      <c r="DA2138" s="169"/>
      <c r="DB2138" s="168"/>
      <c r="DC2138" s="165"/>
      <c r="DD2138" s="166"/>
      <c r="DE2138" s="71"/>
      <c r="DF2138" s="170"/>
      <c r="EO2138" s="375" t="str">
        <f t="shared" si="268"/>
        <v>ANTIOQUIA_ARMENIA</v>
      </c>
      <c r="EP2138" s="376"/>
      <c r="EQ2138" s="376"/>
      <c r="ER2138" s="377"/>
      <c r="ES2138" s="376"/>
      <c r="ET2138" s="376"/>
      <c r="EU2138" s="376"/>
    </row>
    <row r="2139" spans="1:151" s="171" customFormat="1" ht="25.5" x14ac:dyDescent="0.2">
      <c r="A2139" s="246">
        <v>40527</v>
      </c>
      <c r="B2139" s="280" t="s">
        <v>2401</v>
      </c>
      <c r="C2139" s="280" t="s">
        <v>1795</v>
      </c>
      <c r="D2139" s="432" t="s">
        <v>837</v>
      </c>
      <c r="E2139" s="107" t="str">
        <f>VLOOKUP(B2139&amp;C2139,Divipola!$C$2:$F$1138,4,FALSE)</f>
        <v>05079</v>
      </c>
      <c r="F2139" s="337"/>
      <c r="G2139" s="221"/>
      <c r="H2139" s="157"/>
      <c r="I2139" s="157"/>
      <c r="J2139" s="157">
        <v>80</v>
      </c>
      <c r="K2139" s="157">
        <v>22</v>
      </c>
      <c r="L2139" s="157">
        <v>5</v>
      </c>
      <c r="M2139" s="157">
        <v>15</v>
      </c>
      <c r="N2139" s="157"/>
      <c r="O2139" s="157"/>
      <c r="P2139" s="157"/>
      <c r="Q2139" s="157"/>
      <c r="R2139" s="157"/>
      <c r="S2139" s="157"/>
      <c r="T2139" s="157"/>
      <c r="U2139" s="157"/>
      <c r="V2139" s="158"/>
      <c r="W2139" s="182"/>
      <c r="X2139" s="1"/>
      <c r="Y2139" s="78">
        <f t="shared" si="264"/>
        <v>0</v>
      </c>
      <c r="Z2139" s="78">
        <f t="shared" si="265"/>
        <v>0</v>
      </c>
      <c r="AA2139" s="78">
        <f t="shared" si="263"/>
        <v>0</v>
      </c>
      <c r="AB2139" s="78">
        <f t="shared" si="266"/>
        <v>0</v>
      </c>
      <c r="AC2139" s="78"/>
      <c r="AD2139" s="78">
        <v>0</v>
      </c>
      <c r="AE2139" s="80">
        <f t="shared" si="269"/>
        <v>0</v>
      </c>
      <c r="AF2139" s="82">
        <v>0</v>
      </c>
      <c r="AG2139" s="69">
        <v>40596</v>
      </c>
      <c r="AH2139" s="84"/>
      <c r="AI2139" s="69" t="s">
        <v>1984</v>
      </c>
      <c r="AJ2139" s="25" t="s">
        <v>1985</v>
      </c>
      <c r="AK2139" s="65"/>
      <c r="AL2139" s="176" t="s">
        <v>1257</v>
      </c>
      <c r="AM2139" s="173" t="s">
        <v>436</v>
      </c>
      <c r="AN2139" s="159"/>
      <c r="AO2139" s="160"/>
      <c r="AP2139" s="161"/>
      <c r="AQ2139" s="160"/>
      <c r="AR2139" s="160"/>
      <c r="AS2139" s="160"/>
      <c r="AT2139" s="160"/>
      <c r="AU2139" s="160"/>
      <c r="AV2139" s="160"/>
      <c r="AW2139" s="160"/>
      <c r="AX2139" s="160"/>
      <c r="AY2139" s="160"/>
      <c r="AZ2139" s="160"/>
      <c r="BA2139" s="160"/>
      <c r="BB2139" s="160"/>
      <c r="BC2139" s="160"/>
      <c r="BD2139" s="160"/>
      <c r="BE2139" s="160"/>
      <c r="BF2139" s="160"/>
      <c r="BG2139" s="160"/>
      <c r="BH2139" s="160"/>
      <c r="BI2139" s="160"/>
      <c r="BJ2139" s="160"/>
      <c r="BK2139" s="160"/>
      <c r="BL2139" s="160"/>
      <c r="BM2139" s="160"/>
      <c r="BN2139" s="160"/>
      <c r="BO2139" s="160"/>
      <c r="BP2139" s="160"/>
      <c r="BQ2139" s="160"/>
      <c r="BR2139" s="160"/>
      <c r="BS2139" s="160"/>
      <c r="BT2139" s="160"/>
      <c r="BU2139" s="160"/>
      <c r="BV2139" s="160"/>
      <c r="BW2139" s="160"/>
      <c r="BX2139" s="160"/>
      <c r="BY2139" s="160"/>
      <c r="BZ2139" s="160"/>
      <c r="CA2139" s="160"/>
      <c r="CB2139" s="160"/>
      <c r="CC2139" s="160"/>
      <c r="CD2139" s="160"/>
      <c r="CE2139" s="160"/>
      <c r="CF2139" s="160"/>
      <c r="CG2139" s="160"/>
      <c r="CH2139" s="160"/>
      <c r="CI2139" s="160"/>
      <c r="CJ2139" s="160"/>
      <c r="CK2139" s="160"/>
      <c r="CL2139" s="160"/>
      <c r="CM2139" s="160"/>
      <c r="CN2139" s="160"/>
      <c r="CO2139" s="160"/>
      <c r="CP2139" s="162"/>
      <c r="CQ2139" s="163"/>
      <c r="CR2139" s="162"/>
      <c r="CS2139" s="163"/>
      <c r="CT2139" s="162"/>
      <c r="CU2139" s="163"/>
      <c r="CV2139" s="164">
        <f t="shared" si="267"/>
        <v>0</v>
      </c>
      <c r="CW2139" s="165"/>
      <c r="CX2139" s="166"/>
      <c r="CY2139" s="167"/>
      <c r="CZ2139" s="168"/>
      <c r="DA2139" s="169"/>
      <c r="DB2139" s="168"/>
      <c r="DC2139" s="165"/>
      <c r="DD2139" s="166"/>
      <c r="DE2139" s="71"/>
      <c r="DF2139" s="170"/>
      <c r="EO2139" s="375" t="str">
        <f t="shared" si="268"/>
        <v>ANTIOQUIA_BARBOSA</v>
      </c>
      <c r="EP2139" s="376"/>
      <c r="EQ2139" s="376"/>
      <c r="ER2139" s="377"/>
      <c r="ES2139" s="376"/>
      <c r="ET2139" s="376"/>
      <c r="EU2139" s="376"/>
    </row>
    <row r="2140" spans="1:151" s="171" customFormat="1" ht="25.5" x14ac:dyDescent="0.2">
      <c r="A2140" s="246">
        <v>40527</v>
      </c>
      <c r="B2140" s="280" t="s">
        <v>2401</v>
      </c>
      <c r="C2140" s="280" t="s">
        <v>1971</v>
      </c>
      <c r="D2140" s="432" t="s">
        <v>837</v>
      </c>
      <c r="E2140" s="107" t="str">
        <f>VLOOKUP(B2140&amp;C2140,Divipola!$C$2:$F$1138,4,FALSE)</f>
        <v>05091</v>
      </c>
      <c r="F2140" s="337"/>
      <c r="G2140" s="221"/>
      <c r="H2140" s="157"/>
      <c r="I2140" s="157"/>
      <c r="J2140" s="157">
        <v>355</v>
      </c>
      <c r="K2140" s="157">
        <v>80</v>
      </c>
      <c r="L2140" s="157">
        <v>37</v>
      </c>
      <c r="M2140" s="157">
        <v>40</v>
      </c>
      <c r="N2140" s="157"/>
      <c r="O2140" s="157"/>
      <c r="P2140" s="157"/>
      <c r="Q2140" s="157"/>
      <c r="R2140" s="157"/>
      <c r="S2140" s="157"/>
      <c r="T2140" s="157"/>
      <c r="U2140" s="157"/>
      <c r="V2140" s="158"/>
      <c r="W2140" s="182"/>
      <c r="X2140" s="1"/>
      <c r="Y2140" s="78">
        <f t="shared" si="264"/>
        <v>0</v>
      </c>
      <c r="Z2140" s="78">
        <f t="shared" si="265"/>
        <v>0</v>
      </c>
      <c r="AA2140" s="78">
        <f t="shared" si="263"/>
        <v>0</v>
      </c>
      <c r="AB2140" s="78">
        <f t="shared" si="266"/>
        <v>0</v>
      </c>
      <c r="AC2140" s="78"/>
      <c r="AD2140" s="78">
        <v>0</v>
      </c>
      <c r="AE2140" s="80">
        <f t="shared" si="269"/>
        <v>0</v>
      </c>
      <c r="AF2140" s="82">
        <v>0</v>
      </c>
      <c r="AG2140" s="69">
        <v>40596</v>
      </c>
      <c r="AH2140" s="84"/>
      <c r="AI2140" s="69" t="s">
        <v>1984</v>
      </c>
      <c r="AJ2140" s="25" t="s">
        <v>1985</v>
      </c>
      <c r="AK2140" s="65"/>
      <c r="AL2140" s="176" t="s">
        <v>1257</v>
      </c>
      <c r="AM2140" s="173" t="s">
        <v>436</v>
      </c>
      <c r="AN2140" s="159"/>
      <c r="AO2140" s="160"/>
      <c r="AP2140" s="161"/>
      <c r="AQ2140" s="160"/>
      <c r="AR2140" s="160"/>
      <c r="AS2140" s="160"/>
      <c r="AT2140" s="160"/>
      <c r="AU2140" s="160"/>
      <c r="AV2140" s="160"/>
      <c r="AW2140" s="160"/>
      <c r="AX2140" s="160"/>
      <c r="AY2140" s="160"/>
      <c r="AZ2140" s="160"/>
      <c r="BA2140" s="160"/>
      <c r="BB2140" s="160"/>
      <c r="BC2140" s="160"/>
      <c r="BD2140" s="160"/>
      <c r="BE2140" s="160"/>
      <c r="BF2140" s="160"/>
      <c r="BG2140" s="160"/>
      <c r="BH2140" s="160"/>
      <c r="BI2140" s="160"/>
      <c r="BJ2140" s="160"/>
      <c r="BK2140" s="160"/>
      <c r="BL2140" s="160"/>
      <c r="BM2140" s="160"/>
      <c r="BN2140" s="160"/>
      <c r="BO2140" s="160"/>
      <c r="BP2140" s="160"/>
      <c r="BQ2140" s="160"/>
      <c r="BR2140" s="160"/>
      <c r="BS2140" s="160"/>
      <c r="BT2140" s="160"/>
      <c r="BU2140" s="160"/>
      <c r="BV2140" s="160"/>
      <c r="BW2140" s="160"/>
      <c r="BX2140" s="160"/>
      <c r="BY2140" s="160"/>
      <c r="BZ2140" s="160"/>
      <c r="CA2140" s="160"/>
      <c r="CB2140" s="160"/>
      <c r="CC2140" s="160"/>
      <c r="CD2140" s="160"/>
      <c r="CE2140" s="160"/>
      <c r="CF2140" s="160"/>
      <c r="CG2140" s="160"/>
      <c r="CH2140" s="160"/>
      <c r="CI2140" s="160"/>
      <c r="CJ2140" s="160"/>
      <c r="CK2140" s="160"/>
      <c r="CL2140" s="160"/>
      <c r="CM2140" s="160"/>
      <c r="CN2140" s="160"/>
      <c r="CO2140" s="160"/>
      <c r="CP2140" s="162"/>
      <c r="CQ2140" s="163"/>
      <c r="CR2140" s="162"/>
      <c r="CS2140" s="163"/>
      <c r="CT2140" s="162"/>
      <c r="CU2140" s="163"/>
      <c r="CV2140" s="164">
        <f t="shared" si="267"/>
        <v>0</v>
      </c>
      <c r="CW2140" s="165"/>
      <c r="CX2140" s="166"/>
      <c r="CY2140" s="167"/>
      <c r="CZ2140" s="168"/>
      <c r="DA2140" s="169"/>
      <c r="DB2140" s="168"/>
      <c r="DC2140" s="165"/>
      <c r="DD2140" s="166"/>
      <c r="DE2140" s="71"/>
      <c r="DF2140" s="170"/>
      <c r="EO2140" s="375" t="str">
        <f t="shared" si="268"/>
        <v>ANTIOQUIA_BETANIA</v>
      </c>
      <c r="EP2140" s="376"/>
      <c r="EQ2140" s="376"/>
      <c r="ER2140" s="377"/>
      <c r="ES2140" s="376"/>
      <c r="ET2140" s="376"/>
      <c r="EU2140" s="376"/>
    </row>
    <row r="2141" spans="1:151" s="171" customFormat="1" ht="25.5" x14ac:dyDescent="0.2">
      <c r="A2141" s="246">
        <v>40527</v>
      </c>
      <c r="B2141" s="280" t="s">
        <v>2401</v>
      </c>
      <c r="C2141" s="280" t="s">
        <v>1543</v>
      </c>
      <c r="D2141" s="432" t="s">
        <v>837</v>
      </c>
      <c r="E2141" s="107" t="str">
        <f>VLOOKUP(B2141&amp;C2141,Divipola!$C$2:$F$1138,4,FALSE)</f>
        <v>05093</v>
      </c>
      <c r="F2141" s="337"/>
      <c r="G2141" s="221"/>
      <c r="H2141" s="157"/>
      <c r="I2141" s="157"/>
      <c r="J2141" s="157">
        <v>678</v>
      </c>
      <c r="K2141" s="157">
        <v>178</v>
      </c>
      <c r="L2141" s="157">
        <v>162</v>
      </c>
      <c r="M2141" s="157">
        <v>16</v>
      </c>
      <c r="N2141" s="157"/>
      <c r="O2141" s="157"/>
      <c r="P2141" s="157"/>
      <c r="Q2141" s="157"/>
      <c r="R2141" s="157"/>
      <c r="S2141" s="157"/>
      <c r="T2141" s="157"/>
      <c r="U2141" s="157"/>
      <c r="V2141" s="158"/>
      <c r="W2141" s="182"/>
      <c r="X2141" s="1"/>
      <c r="Y2141" s="78">
        <f t="shared" si="264"/>
        <v>0</v>
      </c>
      <c r="Z2141" s="78">
        <f t="shared" si="265"/>
        <v>0</v>
      </c>
      <c r="AA2141" s="78">
        <f t="shared" si="263"/>
        <v>0</v>
      </c>
      <c r="AB2141" s="78">
        <f t="shared" si="266"/>
        <v>0</v>
      </c>
      <c r="AC2141" s="78"/>
      <c r="AD2141" s="78">
        <v>0</v>
      </c>
      <c r="AE2141" s="80">
        <f t="shared" si="269"/>
        <v>0</v>
      </c>
      <c r="AF2141" s="82">
        <v>0</v>
      </c>
      <c r="AG2141" s="69">
        <v>40596</v>
      </c>
      <c r="AH2141" s="84"/>
      <c r="AI2141" s="69" t="s">
        <v>1984</v>
      </c>
      <c r="AJ2141" s="25" t="s">
        <v>1985</v>
      </c>
      <c r="AK2141" s="65"/>
      <c r="AL2141" s="176" t="s">
        <v>1257</v>
      </c>
      <c r="AM2141" s="173" t="s">
        <v>436</v>
      </c>
      <c r="AN2141" s="159"/>
      <c r="AO2141" s="160"/>
      <c r="AP2141" s="161"/>
      <c r="AQ2141" s="160"/>
      <c r="AR2141" s="160"/>
      <c r="AS2141" s="160"/>
      <c r="AT2141" s="160"/>
      <c r="AU2141" s="160"/>
      <c r="AV2141" s="160"/>
      <c r="AW2141" s="160"/>
      <c r="AX2141" s="160"/>
      <c r="AY2141" s="160"/>
      <c r="AZ2141" s="160"/>
      <c r="BA2141" s="160"/>
      <c r="BB2141" s="160"/>
      <c r="BC2141" s="160"/>
      <c r="BD2141" s="160"/>
      <c r="BE2141" s="160"/>
      <c r="BF2141" s="160"/>
      <c r="BG2141" s="160"/>
      <c r="BH2141" s="160"/>
      <c r="BI2141" s="160"/>
      <c r="BJ2141" s="160"/>
      <c r="BK2141" s="160"/>
      <c r="BL2141" s="160"/>
      <c r="BM2141" s="160"/>
      <c r="BN2141" s="160"/>
      <c r="BO2141" s="160"/>
      <c r="BP2141" s="160"/>
      <c r="BQ2141" s="160"/>
      <c r="BR2141" s="160"/>
      <c r="BS2141" s="160"/>
      <c r="BT2141" s="160"/>
      <c r="BU2141" s="160"/>
      <c r="BV2141" s="160"/>
      <c r="BW2141" s="160"/>
      <c r="BX2141" s="160"/>
      <c r="BY2141" s="160"/>
      <c r="BZ2141" s="160"/>
      <c r="CA2141" s="160"/>
      <c r="CB2141" s="160"/>
      <c r="CC2141" s="160"/>
      <c r="CD2141" s="160"/>
      <c r="CE2141" s="160"/>
      <c r="CF2141" s="160"/>
      <c r="CG2141" s="160"/>
      <c r="CH2141" s="160"/>
      <c r="CI2141" s="160"/>
      <c r="CJ2141" s="160"/>
      <c r="CK2141" s="160"/>
      <c r="CL2141" s="160"/>
      <c r="CM2141" s="160"/>
      <c r="CN2141" s="160"/>
      <c r="CO2141" s="160"/>
      <c r="CP2141" s="162"/>
      <c r="CQ2141" s="163"/>
      <c r="CR2141" s="162"/>
      <c r="CS2141" s="163"/>
      <c r="CT2141" s="162"/>
      <c r="CU2141" s="163"/>
      <c r="CV2141" s="164">
        <f t="shared" si="267"/>
        <v>0</v>
      </c>
      <c r="CW2141" s="165"/>
      <c r="CX2141" s="166"/>
      <c r="CY2141" s="167"/>
      <c r="CZ2141" s="168"/>
      <c r="DA2141" s="169"/>
      <c r="DB2141" s="168"/>
      <c r="DC2141" s="165"/>
      <c r="DD2141" s="166"/>
      <c r="DE2141" s="71"/>
      <c r="DF2141" s="170"/>
      <c r="EO2141" s="375" t="str">
        <f t="shared" si="268"/>
        <v>ANTIOQUIA_BETULIA</v>
      </c>
      <c r="EP2141" s="376"/>
      <c r="EQ2141" s="376"/>
      <c r="ER2141" s="377"/>
      <c r="ES2141" s="376"/>
      <c r="ET2141" s="376"/>
      <c r="EU2141" s="376"/>
    </row>
    <row r="2142" spans="1:151" s="171" customFormat="1" ht="25.5" x14ac:dyDescent="0.2">
      <c r="A2142" s="246">
        <v>40527</v>
      </c>
      <c r="B2142" s="280" t="s">
        <v>2401</v>
      </c>
      <c r="C2142" s="280" t="s">
        <v>408</v>
      </c>
      <c r="D2142" s="432" t="s">
        <v>837</v>
      </c>
      <c r="E2142" s="107" t="str">
        <f>VLOOKUP(B2142&amp;C2142,Divipola!$C$2:$F$1138,4,FALSE)</f>
        <v>05120</v>
      </c>
      <c r="F2142" s="337"/>
      <c r="G2142" s="221"/>
      <c r="H2142" s="157"/>
      <c r="I2142" s="157"/>
      <c r="J2142" s="157">
        <v>1410</v>
      </c>
      <c r="K2142" s="157">
        <v>318</v>
      </c>
      <c r="L2142" s="157"/>
      <c r="M2142" s="157">
        <v>229</v>
      </c>
      <c r="N2142" s="157"/>
      <c r="O2142" s="157"/>
      <c r="P2142" s="157"/>
      <c r="Q2142" s="157"/>
      <c r="R2142" s="157"/>
      <c r="S2142" s="157"/>
      <c r="T2142" s="157"/>
      <c r="U2142" s="157"/>
      <c r="V2142" s="158"/>
      <c r="W2142" s="182"/>
      <c r="X2142" s="1"/>
      <c r="Y2142" s="78">
        <f t="shared" si="264"/>
        <v>0</v>
      </c>
      <c r="Z2142" s="78">
        <f t="shared" si="265"/>
        <v>0</v>
      </c>
      <c r="AA2142" s="78">
        <f t="shared" si="263"/>
        <v>0</v>
      </c>
      <c r="AB2142" s="78">
        <f t="shared" si="266"/>
        <v>0</v>
      </c>
      <c r="AC2142" s="78"/>
      <c r="AD2142" s="78">
        <v>0</v>
      </c>
      <c r="AE2142" s="80">
        <f t="shared" si="269"/>
        <v>0</v>
      </c>
      <c r="AF2142" s="82">
        <v>0</v>
      </c>
      <c r="AG2142" s="69">
        <v>40596</v>
      </c>
      <c r="AH2142" s="84"/>
      <c r="AI2142" s="69" t="s">
        <v>1984</v>
      </c>
      <c r="AJ2142" s="25" t="s">
        <v>1985</v>
      </c>
      <c r="AK2142" s="65"/>
      <c r="AL2142" s="176" t="s">
        <v>1257</v>
      </c>
      <c r="AM2142" s="173" t="s">
        <v>436</v>
      </c>
      <c r="AN2142" s="159"/>
      <c r="AO2142" s="160"/>
      <c r="AP2142" s="161"/>
      <c r="AQ2142" s="160"/>
      <c r="AR2142" s="160"/>
      <c r="AS2142" s="160"/>
      <c r="AT2142" s="160"/>
      <c r="AU2142" s="160"/>
      <c r="AV2142" s="160"/>
      <c r="AW2142" s="160"/>
      <c r="AX2142" s="160"/>
      <c r="AY2142" s="160"/>
      <c r="AZ2142" s="160"/>
      <c r="BA2142" s="160"/>
      <c r="BB2142" s="160"/>
      <c r="BC2142" s="160"/>
      <c r="BD2142" s="160"/>
      <c r="BE2142" s="160"/>
      <c r="BF2142" s="160"/>
      <c r="BG2142" s="160"/>
      <c r="BH2142" s="160"/>
      <c r="BI2142" s="160"/>
      <c r="BJ2142" s="160"/>
      <c r="BK2142" s="160"/>
      <c r="BL2142" s="160"/>
      <c r="BM2142" s="160"/>
      <c r="BN2142" s="160"/>
      <c r="BO2142" s="160"/>
      <c r="BP2142" s="160"/>
      <c r="BQ2142" s="160"/>
      <c r="BR2142" s="160"/>
      <c r="BS2142" s="160"/>
      <c r="BT2142" s="160"/>
      <c r="BU2142" s="160"/>
      <c r="BV2142" s="160"/>
      <c r="BW2142" s="160"/>
      <c r="BX2142" s="160"/>
      <c r="BY2142" s="160"/>
      <c r="BZ2142" s="160"/>
      <c r="CA2142" s="160"/>
      <c r="CB2142" s="160"/>
      <c r="CC2142" s="160"/>
      <c r="CD2142" s="160"/>
      <c r="CE2142" s="160"/>
      <c r="CF2142" s="160"/>
      <c r="CG2142" s="160"/>
      <c r="CH2142" s="160"/>
      <c r="CI2142" s="160"/>
      <c r="CJ2142" s="160"/>
      <c r="CK2142" s="160"/>
      <c r="CL2142" s="160"/>
      <c r="CM2142" s="160"/>
      <c r="CN2142" s="160"/>
      <c r="CO2142" s="160"/>
      <c r="CP2142" s="162"/>
      <c r="CQ2142" s="163"/>
      <c r="CR2142" s="162"/>
      <c r="CS2142" s="163"/>
      <c r="CT2142" s="162"/>
      <c r="CU2142" s="163"/>
      <c r="CV2142" s="164">
        <f t="shared" si="267"/>
        <v>0</v>
      </c>
      <c r="CW2142" s="165"/>
      <c r="CX2142" s="166"/>
      <c r="CY2142" s="167"/>
      <c r="CZ2142" s="168"/>
      <c r="DA2142" s="169"/>
      <c r="DB2142" s="168"/>
      <c r="DC2142" s="165"/>
      <c r="DD2142" s="166"/>
      <c r="DE2142" s="71"/>
      <c r="DF2142" s="170"/>
      <c r="EO2142" s="375" t="str">
        <f t="shared" si="268"/>
        <v>ANTIOQUIA_CACERES</v>
      </c>
      <c r="EP2142" s="376"/>
      <c r="EQ2142" s="376"/>
      <c r="ER2142" s="377"/>
      <c r="ES2142" s="376"/>
      <c r="ET2142" s="376"/>
      <c r="EU2142" s="376"/>
    </row>
    <row r="2143" spans="1:151" s="171" customFormat="1" ht="25.5" x14ac:dyDescent="0.2">
      <c r="A2143" s="246">
        <v>40527</v>
      </c>
      <c r="B2143" s="280" t="s">
        <v>2401</v>
      </c>
      <c r="C2143" s="280" t="s">
        <v>409</v>
      </c>
      <c r="D2143" s="432" t="s">
        <v>837</v>
      </c>
      <c r="E2143" s="107" t="str">
        <f>VLOOKUP(B2143&amp;C2143,Divipola!$C$2:$F$1138,4,FALSE)</f>
        <v>05125</v>
      </c>
      <c r="F2143" s="337"/>
      <c r="G2143" s="221"/>
      <c r="H2143" s="157"/>
      <c r="I2143" s="157"/>
      <c r="J2143" s="157">
        <v>183</v>
      </c>
      <c r="K2143" s="157">
        <v>54</v>
      </c>
      <c r="L2143" s="157">
        <v>31</v>
      </c>
      <c r="M2143" s="157">
        <v>21</v>
      </c>
      <c r="N2143" s="157"/>
      <c r="O2143" s="157"/>
      <c r="P2143" s="157"/>
      <c r="Q2143" s="157"/>
      <c r="R2143" s="157"/>
      <c r="S2143" s="157"/>
      <c r="T2143" s="157"/>
      <c r="U2143" s="157"/>
      <c r="V2143" s="158"/>
      <c r="W2143" s="182"/>
      <c r="X2143" s="1"/>
      <c r="Y2143" s="78">
        <f t="shared" si="264"/>
        <v>0</v>
      </c>
      <c r="Z2143" s="78">
        <f t="shared" si="265"/>
        <v>0</v>
      </c>
      <c r="AA2143" s="78">
        <f t="shared" si="263"/>
        <v>0</v>
      </c>
      <c r="AB2143" s="78">
        <f t="shared" si="266"/>
        <v>0</v>
      </c>
      <c r="AC2143" s="78"/>
      <c r="AD2143" s="78">
        <v>0</v>
      </c>
      <c r="AE2143" s="80">
        <f t="shared" si="269"/>
        <v>0</v>
      </c>
      <c r="AF2143" s="82">
        <v>0</v>
      </c>
      <c r="AG2143" s="69">
        <v>40596</v>
      </c>
      <c r="AH2143" s="84"/>
      <c r="AI2143" s="69" t="s">
        <v>1984</v>
      </c>
      <c r="AJ2143" s="25" t="s">
        <v>1985</v>
      </c>
      <c r="AK2143" s="65"/>
      <c r="AL2143" s="176" t="s">
        <v>1257</v>
      </c>
      <c r="AM2143" s="173" t="s">
        <v>436</v>
      </c>
      <c r="AN2143" s="159"/>
      <c r="AO2143" s="160"/>
      <c r="AP2143" s="161"/>
      <c r="AQ2143" s="160"/>
      <c r="AR2143" s="160"/>
      <c r="AS2143" s="160"/>
      <c r="AT2143" s="160"/>
      <c r="AU2143" s="160"/>
      <c r="AV2143" s="160"/>
      <c r="AW2143" s="160"/>
      <c r="AX2143" s="160"/>
      <c r="AY2143" s="160"/>
      <c r="AZ2143" s="160"/>
      <c r="BA2143" s="160"/>
      <c r="BB2143" s="160"/>
      <c r="BC2143" s="160"/>
      <c r="BD2143" s="160"/>
      <c r="BE2143" s="160"/>
      <c r="BF2143" s="160"/>
      <c r="BG2143" s="160"/>
      <c r="BH2143" s="160"/>
      <c r="BI2143" s="160"/>
      <c r="BJ2143" s="160"/>
      <c r="BK2143" s="160"/>
      <c r="BL2143" s="160"/>
      <c r="BM2143" s="160"/>
      <c r="BN2143" s="160"/>
      <c r="BO2143" s="160"/>
      <c r="BP2143" s="160"/>
      <c r="BQ2143" s="160"/>
      <c r="BR2143" s="160"/>
      <c r="BS2143" s="160"/>
      <c r="BT2143" s="160"/>
      <c r="BU2143" s="160"/>
      <c r="BV2143" s="160"/>
      <c r="BW2143" s="160"/>
      <c r="BX2143" s="160"/>
      <c r="BY2143" s="160"/>
      <c r="BZ2143" s="160"/>
      <c r="CA2143" s="160"/>
      <c r="CB2143" s="160"/>
      <c r="CC2143" s="160"/>
      <c r="CD2143" s="160"/>
      <c r="CE2143" s="160"/>
      <c r="CF2143" s="160"/>
      <c r="CG2143" s="160"/>
      <c r="CH2143" s="160"/>
      <c r="CI2143" s="160"/>
      <c r="CJ2143" s="160"/>
      <c r="CK2143" s="160"/>
      <c r="CL2143" s="160"/>
      <c r="CM2143" s="160"/>
      <c r="CN2143" s="160"/>
      <c r="CO2143" s="160"/>
      <c r="CP2143" s="162"/>
      <c r="CQ2143" s="163"/>
      <c r="CR2143" s="162"/>
      <c r="CS2143" s="163"/>
      <c r="CT2143" s="162"/>
      <c r="CU2143" s="163"/>
      <c r="CV2143" s="164">
        <f t="shared" si="267"/>
        <v>0</v>
      </c>
      <c r="CW2143" s="165"/>
      <c r="CX2143" s="166"/>
      <c r="CY2143" s="167"/>
      <c r="CZ2143" s="168"/>
      <c r="DA2143" s="169"/>
      <c r="DB2143" s="168"/>
      <c r="DC2143" s="165"/>
      <c r="DD2143" s="166"/>
      <c r="DE2143" s="71"/>
      <c r="DF2143" s="170"/>
      <c r="EO2143" s="375" t="str">
        <f t="shared" si="268"/>
        <v>ANTIOQUIA_CAICEDO</v>
      </c>
      <c r="EP2143" s="376"/>
      <c r="EQ2143" s="376"/>
      <c r="ER2143" s="377"/>
      <c r="ES2143" s="376"/>
      <c r="ET2143" s="376"/>
      <c r="EU2143" s="376"/>
    </row>
    <row r="2144" spans="1:151" s="171" customFormat="1" ht="38.25" x14ac:dyDescent="0.2">
      <c r="A2144" s="246">
        <v>40527</v>
      </c>
      <c r="B2144" s="280" t="s">
        <v>2401</v>
      </c>
      <c r="C2144" s="280" t="s">
        <v>410</v>
      </c>
      <c r="D2144" s="432" t="s">
        <v>837</v>
      </c>
      <c r="E2144" s="107" t="str">
        <f>VLOOKUP(B2144&amp;C2144,Divipola!$C$2:$F$1138,4,FALSE)</f>
        <v>05138</v>
      </c>
      <c r="F2144" s="337"/>
      <c r="G2144" s="221"/>
      <c r="H2144" s="157"/>
      <c r="I2144" s="157"/>
      <c r="J2144" s="157">
        <v>525</v>
      </c>
      <c r="K2144" s="157">
        <v>123</v>
      </c>
      <c r="L2144" s="157">
        <v>52</v>
      </c>
      <c r="M2144" s="157">
        <v>71</v>
      </c>
      <c r="N2144" s="157"/>
      <c r="O2144" s="157"/>
      <c r="P2144" s="157"/>
      <c r="Q2144" s="157"/>
      <c r="R2144" s="157"/>
      <c r="S2144" s="157"/>
      <c r="T2144" s="157"/>
      <c r="U2144" s="157"/>
      <c r="V2144" s="158"/>
      <c r="W2144" s="182"/>
      <c r="X2144" s="1"/>
      <c r="Y2144" s="78">
        <f t="shared" si="264"/>
        <v>0</v>
      </c>
      <c r="Z2144" s="78">
        <f t="shared" si="265"/>
        <v>0</v>
      </c>
      <c r="AA2144" s="78">
        <f t="shared" si="263"/>
        <v>0</v>
      </c>
      <c r="AB2144" s="78">
        <f t="shared" si="266"/>
        <v>0</v>
      </c>
      <c r="AC2144" s="78"/>
      <c r="AD2144" s="78">
        <v>0</v>
      </c>
      <c r="AE2144" s="80">
        <f t="shared" si="269"/>
        <v>0</v>
      </c>
      <c r="AF2144" s="82">
        <v>0</v>
      </c>
      <c r="AG2144" s="69">
        <v>40596</v>
      </c>
      <c r="AH2144" s="84"/>
      <c r="AI2144" s="69" t="s">
        <v>1984</v>
      </c>
      <c r="AJ2144" s="25" t="s">
        <v>1985</v>
      </c>
      <c r="AK2144" s="65"/>
      <c r="AL2144" s="176" t="s">
        <v>1257</v>
      </c>
      <c r="AM2144" s="173" t="s">
        <v>436</v>
      </c>
      <c r="AN2144" s="159"/>
      <c r="AO2144" s="160"/>
      <c r="AP2144" s="161"/>
      <c r="AQ2144" s="160"/>
      <c r="AR2144" s="160"/>
      <c r="AS2144" s="160"/>
      <c r="AT2144" s="160"/>
      <c r="AU2144" s="160"/>
      <c r="AV2144" s="160"/>
      <c r="AW2144" s="160"/>
      <c r="AX2144" s="160"/>
      <c r="AY2144" s="160"/>
      <c r="AZ2144" s="160"/>
      <c r="BA2144" s="160"/>
      <c r="BB2144" s="160"/>
      <c r="BC2144" s="160"/>
      <c r="BD2144" s="160"/>
      <c r="BE2144" s="160"/>
      <c r="BF2144" s="160"/>
      <c r="BG2144" s="160"/>
      <c r="BH2144" s="160"/>
      <c r="BI2144" s="160"/>
      <c r="BJ2144" s="160"/>
      <c r="BK2144" s="160"/>
      <c r="BL2144" s="160"/>
      <c r="BM2144" s="160"/>
      <c r="BN2144" s="160"/>
      <c r="BO2144" s="160"/>
      <c r="BP2144" s="160"/>
      <c r="BQ2144" s="160"/>
      <c r="BR2144" s="160"/>
      <c r="BS2144" s="160"/>
      <c r="BT2144" s="160"/>
      <c r="BU2144" s="160"/>
      <c r="BV2144" s="160"/>
      <c r="BW2144" s="160"/>
      <c r="BX2144" s="160"/>
      <c r="BY2144" s="160"/>
      <c r="BZ2144" s="160"/>
      <c r="CA2144" s="160"/>
      <c r="CB2144" s="160"/>
      <c r="CC2144" s="160"/>
      <c r="CD2144" s="160"/>
      <c r="CE2144" s="160"/>
      <c r="CF2144" s="160"/>
      <c r="CG2144" s="160"/>
      <c r="CH2144" s="160"/>
      <c r="CI2144" s="160"/>
      <c r="CJ2144" s="160"/>
      <c r="CK2144" s="160"/>
      <c r="CL2144" s="160"/>
      <c r="CM2144" s="160"/>
      <c r="CN2144" s="160"/>
      <c r="CO2144" s="160"/>
      <c r="CP2144" s="162"/>
      <c r="CQ2144" s="163"/>
      <c r="CR2144" s="162"/>
      <c r="CS2144" s="163"/>
      <c r="CT2144" s="162"/>
      <c r="CU2144" s="163"/>
      <c r="CV2144" s="164">
        <f t="shared" si="267"/>
        <v>0</v>
      </c>
      <c r="CW2144" s="165"/>
      <c r="CX2144" s="166"/>
      <c r="CY2144" s="167"/>
      <c r="CZ2144" s="168"/>
      <c r="DA2144" s="169"/>
      <c r="DB2144" s="168"/>
      <c r="DC2144" s="165"/>
      <c r="DD2144" s="166"/>
      <c r="DE2144" s="71"/>
      <c r="DF2144" s="170"/>
      <c r="EO2144" s="375" t="str">
        <f t="shared" si="268"/>
        <v>ANTIOQUIA_CAÑASGORDAS</v>
      </c>
      <c r="EP2144" s="376"/>
      <c r="EQ2144" s="376"/>
      <c r="ER2144" s="377"/>
      <c r="ES2144" s="376"/>
      <c r="ET2144" s="376"/>
      <c r="EU2144" s="376"/>
    </row>
    <row r="2145" spans="1:151" s="171" customFormat="1" ht="25.5" x14ac:dyDescent="0.2">
      <c r="A2145" s="246">
        <v>40527</v>
      </c>
      <c r="B2145" s="222" t="s">
        <v>2401</v>
      </c>
      <c r="C2145" s="222" t="s">
        <v>1418</v>
      </c>
      <c r="D2145" s="432" t="s">
        <v>837</v>
      </c>
      <c r="E2145" s="107" t="str">
        <f>VLOOKUP(B2145&amp;C2145,Divipola!$C$2:$F$1138,4,FALSE)</f>
        <v>05142</v>
      </c>
      <c r="F2145" s="337"/>
      <c r="G2145" s="221"/>
      <c r="H2145" s="157"/>
      <c r="I2145" s="157"/>
      <c r="J2145" s="157">
        <v>293</v>
      </c>
      <c r="K2145" s="157">
        <v>74</v>
      </c>
      <c r="L2145" s="157">
        <v>2</v>
      </c>
      <c r="M2145" s="157">
        <v>71</v>
      </c>
      <c r="N2145" s="157"/>
      <c r="O2145" s="157"/>
      <c r="P2145" s="157"/>
      <c r="Q2145" s="157"/>
      <c r="R2145" s="157"/>
      <c r="S2145" s="157"/>
      <c r="T2145" s="157"/>
      <c r="U2145" s="157"/>
      <c r="V2145" s="158"/>
      <c r="W2145" s="182"/>
      <c r="X2145" s="1"/>
      <c r="Y2145" s="78">
        <f t="shared" si="264"/>
        <v>0</v>
      </c>
      <c r="Z2145" s="78">
        <f t="shared" si="265"/>
        <v>0</v>
      </c>
      <c r="AA2145" s="78">
        <f t="shared" si="263"/>
        <v>0</v>
      </c>
      <c r="AB2145" s="78">
        <f t="shared" si="266"/>
        <v>0</v>
      </c>
      <c r="AC2145" s="78"/>
      <c r="AD2145" s="78">
        <v>0</v>
      </c>
      <c r="AE2145" s="80">
        <f t="shared" si="269"/>
        <v>0</v>
      </c>
      <c r="AF2145" s="82">
        <v>0</v>
      </c>
      <c r="AG2145" s="69">
        <v>40596</v>
      </c>
      <c r="AH2145" s="84"/>
      <c r="AI2145" s="69" t="s">
        <v>1984</v>
      </c>
      <c r="AJ2145" s="25" t="s">
        <v>1985</v>
      </c>
      <c r="AK2145" s="65"/>
      <c r="AL2145" s="176" t="s">
        <v>1257</v>
      </c>
      <c r="AM2145" s="173" t="s">
        <v>436</v>
      </c>
      <c r="AN2145" s="159"/>
      <c r="AO2145" s="160"/>
      <c r="AP2145" s="161"/>
      <c r="AQ2145" s="160"/>
      <c r="AR2145" s="160"/>
      <c r="AS2145" s="160"/>
      <c r="AT2145" s="160"/>
      <c r="AU2145" s="160"/>
      <c r="AV2145" s="160"/>
      <c r="AW2145" s="160"/>
      <c r="AX2145" s="160"/>
      <c r="AY2145" s="160"/>
      <c r="AZ2145" s="160"/>
      <c r="BA2145" s="160"/>
      <c r="BB2145" s="160"/>
      <c r="BC2145" s="160"/>
      <c r="BD2145" s="160"/>
      <c r="BE2145" s="160"/>
      <c r="BF2145" s="160"/>
      <c r="BG2145" s="160"/>
      <c r="BH2145" s="160"/>
      <c r="BI2145" s="160"/>
      <c r="BJ2145" s="160"/>
      <c r="BK2145" s="160"/>
      <c r="BL2145" s="160"/>
      <c r="BM2145" s="160"/>
      <c r="BN2145" s="160"/>
      <c r="BO2145" s="160"/>
      <c r="BP2145" s="160"/>
      <c r="BQ2145" s="160"/>
      <c r="BR2145" s="160"/>
      <c r="BS2145" s="160"/>
      <c r="BT2145" s="160"/>
      <c r="BU2145" s="160"/>
      <c r="BV2145" s="160"/>
      <c r="BW2145" s="160"/>
      <c r="BX2145" s="160"/>
      <c r="BY2145" s="160"/>
      <c r="BZ2145" s="160"/>
      <c r="CA2145" s="160"/>
      <c r="CB2145" s="160"/>
      <c r="CC2145" s="160"/>
      <c r="CD2145" s="160"/>
      <c r="CE2145" s="160"/>
      <c r="CF2145" s="160"/>
      <c r="CG2145" s="160"/>
      <c r="CH2145" s="160"/>
      <c r="CI2145" s="160"/>
      <c r="CJ2145" s="160"/>
      <c r="CK2145" s="160"/>
      <c r="CL2145" s="160"/>
      <c r="CM2145" s="160"/>
      <c r="CN2145" s="160"/>
      <c r="CO2145" s="160"/>
      <c r="CP2145" s="162"/>
      <c r="CQ2145" s="163"/>
      <c r="CR2145" s="162"/>
      <c r="CS2145" s="163"/>
      <c r="CT2145" s="162"/>
      <c r="CU2145" s="163"/>
      <c r="CV2145" s="164">
        <f t="shared" si="267"/>
        <v>0</v>
      </c>
      <c r="CW2145" s="165"/>
      <c r="CX2145" s="166"/>
      <c r="CY2145" s="167"/>
      <c r="CZ2145" s="168"/>
      <c r="DA2145" s="169"/>
      <c r="DB2145" s="168"/>
      <c r="DC2145" s="165"/>
      <c r="DD2145" s="166"/>
      <c r="DE2145" s="71"/>
      <c r="DF2145" s="170"/>
      <c r="EO2145" s="375" t="str">
        <f t="shared" si="268"/>
        <v>ANTIOQUIA_CARACOLI</v>
      </c>
      <c r="EP2145" s="376"/>
      <c r="EQ2145" s="376"/>
      <c r="ER2145" s="377"/>
      <c r="ES2145" s="376"/>
      <c r="ET2145" s="376"/>
      <c r="EU2145" s="376"/>
    </row>
    <row r="2146" spans="1:151" s="171" customFormat="1" ht="38.25" x14ac:dyDescent="0.2">
      <c r="A2146" s="246">
        <v>40527</v>
      </c>
      <c r="B2146" s="222" t="s">
        <v>2401</v>
      </c>
      <c r="C2146" s="222" t="s">
        <v>411</v>
      </c>
      <c r="D2146" s="432" t="s">
        <v>837</v>
      </c>
      <c r="E2146" s="107" t="str">
        <f>VLOOKUP(B2146&amp;C2146,Divipola!$C$2:$F$1138,4,FALSE)</f>
        <v>05145</v>
      </c>
      <c r="F2146" s="337"/>
      <c r="G2146" s="221"/>
      <c r="H2146" s="157"/>
      <c r="I2146" s="157"/>
      <c r="J2146" s="157">
        <v>279</v>
      </c>
      <c r="K2146" s="157">
        <v>78</v>
      </c>
      <c r="L2146" s="157">
        <v>51</v>
      </c>
      <c r="M2146" s="157">
        <v>27</v>
      </c>
      <c r="N2146" s="157"/>
      <c r="O2146" s="157"/>
      <c r="P2146" s="157"/>
      <c r="Q2146" s="157"/>
      <c r="R2146" s="157"/>
      <c r="S2146" s="157"/>
      <c r="T2146" s="157"/>
      <c r="U2146" s="157"/>
      <c r="V2146" s="158"/>
      <c r="W2146" s="182"/>
      <c r="X2146" s="1"/>
      <c r="Y2146" s="78">
        <f t="shared" si="264"/>
        <v>0</v>
      </c>
      <c r="Z2146" s="78">
        <f t="shared" si="265"/>
        <v>0</v>
      </c>
      <c r="AA2146" s="78">
        <f t="shared" si="263"/>
        <v>0</v>
      </c>
      <c r="AB2146" s="78">
        <f t="shared" si="266"/>
        <v>0</v>
      </c>
      <c r="AC2146" s="78"/>
      <c r="AD2146" s="78">
        <v>0</v>
      </c>
      <c r="AE2146" s="80">
        <f t="shared" si="269"/>
        <v>0</v>
      </c>
      <c r="AF2146" s="82">
        <v>0</v>
      </c>
      <c r="AG2146" s="69">
        <v>40596</v>
      </c>
      <c r="AH2146" s="84"/>
      <c r="AI2146" s="69" t="s">
        <v>1984</v>
      </c>
      <c r="AJ2146" s="25" t="s">
        <v>1985</v>
      </c>
      <c r="AK2146" s="65"/>
      <c r="AL2146" s="176" t="s">
        <v>1257</v>
      </c>
      <c r="AM2146" s="173" t="s">
        <v>436</v>
      </c>
      <c r="AN2146" s="159"/>
      <c r="AO2146" s="160"/>
      <c r="AP2146" s="161"/>
      <c r="AQ2146" s="160"/>
      <c r="AR2146" s="160"/>
      <c r="AS2146" s="160"/>
      <c r="AT2146" s="160"/>
      <c r="AU2146" s="160"/>
      <c r="AV2146" s="160"/>
      <c r="AW2146" s="160"/>
      <c r="AX2146" s="160"/>
      <c r="AY2146" s="160"/>
      <c r="AZ2146" s="160"/>
      <c r="BA2146" s="160"/>
      <c r="BB2146" s="160"/>
      <c r="BC2146" s="160"/>
      <c r="BD2146" s="160"/>
      <c r="BE2146" s="160"/>
      <c r="BF2146" s="160"/>
      <c r="BG2146" s="160"/>
      <c r="BH2146" s="160"/>
      <c r="BI2146" s="160"/>
      <c r="BJ2146" s="160"/>
      <c r="BK2146" s="160"/>
      <c r="BL2146" s="160"/>
      <c r="BM2146" s="160"/>
      <c r="BN2146" s="160"/>
      <c r="BO2146" s="160"/>
      <c r="BP2146" s="160"/>
      <c r="BQ2146" s="160"/>
      <c r="BR2146" s="160"/>
      <c r="BS2146" s="160"/>
      <c r="BT2146" s="160"/>
      <c r="BU2146" s="160"/>
      <c r="BV2146" s="160"/>
      <c r="BW2146" s="160"/>
      <c r="BX2146" s="160"/>
      <c r="BY2146" s="160"/>
      <c r="BZ2146" s="160"/>
      <c r="CA2146" s="160"/>
      <c r="CB2146" s="160"/>
      <c r="CC2146" s="160"/>
      <c r="CD2146" s="160"/>
      <c r="CE2146" s="160"/>
      <c r="CF2146" s="160"/>
      <c r="CG2146" s="160"/>
      <c r="CH2146" s="160"/>
      <c r="CI2146" s="160"/>
      <c r="CJ2146" s="160"/>
      <c r="CK2146" s="160"/>
      <c r="CL2146" s="160"/>
      <c r="CM2146" s="160"/>
      <c r="CN2146" s="160"/>
      <c r="CO2146" s="160"/>
      <c r="CP2146" s="162"/>
      <c r="CQ2146" s="163"/>
      <c r="CR2146" s="162"/>
      <c r="CS2146" s="163"/>
      <c r="CT2146" s="162"/>
      <c r="CU2146" s="163"/>
      <c r="CV2146" s="164">
        <f t="shared" si="267"/>
        <v>0</v>
      </c>
      <c r="CW2146" s="165"/>
      <c r="CX2146" s="166"/>
      <c r="CY2146" s="167"/>
      <c r="CZ2146" s="168"/>
      <c r="DA2146" s="169"/>
      <c r="DB2146" s="168"/>
      <c r="DC2146" s="165"/>
      <c r="DD2146" s="166"/>
      <c r="DE2146" s="71"/>
      <c r="DF2146" s="170"/>
      <c r="EO2146" s="375" t="str">
        <f t="shared" si="268"/>
        <v>ANTIOQUIA_CARAMANTA</v>
      </c>
      <c r="EP2146" s="376"/>
      <c r="EQ2146" s="376"/>
      <c r="ER2146" s="377"/>
      <c r="ES2146" s="376"/>
      <c r="ET2146" s="376"/>
      <c r="EU2146" s="376"/>
    </row>
    <row r="2147" spans="1:151" s="171" customFormat="1" ht="25.5" x14ac:dyDescent="0.2">
      <c r="A2147" s="246">
        <v>40527</v>
      </c>
      <c r="B2147" s="222" t="s">
        <v>2401</v>
      </c>
      <c r="C2147" s="222" t="s">
        <v>412</v>
      </c>
      <c r="D2147" s="432" t="s">
        <v>837</v>
      </c>
      <c r="E2147" s="107" t="str">
        <f>VLOOKUP(B2147&amp;C2147,Divipola!$C$2:$F$1138,4,FALSE)</f>
        <v>05197</v>
      </c>
      <c r="F2147" s="337"/>
      <c r="G2147" s="221"/>
      <c r="H2147" s="157"/>
      <c r="I2147" s="157"/>
      <c r="J2147" s="157">
        <v>108</v>
      </c>
      <c r="K2147" s="157">
        <v>32</v>
      </c>
      <c r="L2147" s="157">
        <v>4</v>
      </c>
      <c r="M2147" s="157">
        <v>25</v>
      </c>
      <c r="N2147" s="157"/>
      <c r="O2147" s="157"/>
      <c r="P2147" s="157"/>
      <c r="Q2147" s="157"/>
      <c r="R2147" s="157"/>
      <c r="S2147" s="157"/>
      <c r="T2147" s="157"/>
      <c r="U2147" s="157"/>
      <c r="V2147" s="158"/>
      <c r="W2147" s="182"/>
      <c r="X2147" s="1"/>
      <c r="Y2147" s="78">
        <f t="shared" si="264"/>
        <v>0</v>
      </c>
      <c r="Z2147" s="78">
        <f t="shared" si="265"/>
        <v>0</v>
      </c>
      <c r="AA2147" s="78">
        <f t="shared" si="263"/>
        <v>0</v>
      </c>
      <c r="AB2147" s="78">
        <f t="shared" si="266"/>
        <v>0</v>
      </c>
      <c r="AC2147" s="78"/>
      <c r="AD2147" s="78">
        <v>0</v>
      </c>
      <c r="AE2147" s="80">
        <f t="shared" si="269"/>
        <v>0</v>
      </c>
      <c r="AF2147" s="82">
        <v>0</v>
      </c>
      <c r="AG2147" s="69">
        <v>40596</v>
      </c>
      <c r="AH2147" s="84"/>
      <c r="AI2147" s="69" t="s">
        <v>1984</v>
      </c>
      <c r="AJ2147" s="25" t="s">
        <v>1985</v>
      </c>
      <c r="AK2147" s="65"/>
      <c r="AL2147" s="176" t="s">
        <v>1257</v>
      </c>
      <c r="AM2147" s="173" t="s">
        <v>436</v>
      </c>
      <c r="AN2147" s="159"/>
      <c r="AO2147" s="160"/>
      <c r="AP2147" s="161"/>
      <c r="AQ2147" s="160"/>
      <c r="AR2147" s="160"/>
      <c r="AS2147" s="160"/>
      <c r="AT2147" s="160"/>
      <c r="AU2147" s="160"/>
      <c r="AV2147" s="160"/>
      <c r="AW2147" s="160"/>
      <c r="AX2147" s="160"/>
      <c r="AY2147" s="160"/>
      <c r="AZ2147" s="160"/>
      <c r="BA2147" s="160"/>
      <c r="BB2147" s="160"/>
      <c r="BC2147" s="160"/>
      <c r="BD2147" s="160"/>
      <c r="BE2147" s="160"/>
      <c r="BF2147" s="160"/>
      <c r="BG2147" s="160"/>
      <c r="BH2147" s="160"/>
      <c r="BI2147" s="160"/>
      <c r="BJ2147" s="160"/>
      <c r="BK2147" s="160"/>
      <c r="BL2147" s="160"/>
      <c r="BM2147" s="160"/>
      <c r="BN2147" s="160"/>
      <c r="BO2147" s="160"/>
      <c r="BP2147" s="160"/>
      <c r="BQ2147" s="160"/>
      <c r="BR2147" s="160"/>
      <c r="BS2147" s="160"/>
      <c r="BT2147" s="160"/>
      <c r="BU2147" s="160"/>
      <c r="BV2147" s="160"/>
      <c r="BW2147" s="160"/>
      <c r="BX2147" s="160"/>
      <c r="BY2147" s="160"/>
      <c r="BZ2147" s="160"/>
      <c r="CA2147" s="160"/>
      <c r="CB2147" s="160"/>
      <c r="CC2147" s="160"/>
      <c r="CD2147" s="160"/>
      <c r="CE2147" s="160"/>
      <c r="CF2147" s="160"/>
      <c r="CG2147" s="160"/>
      <c r="CH2147" s="160"/>
      <c r="CI2147" s="160"/>
      <c r="CJ2147" s="160"/>
      <c r="CK2147" s="160"/>
      <c r="CL2147" s="160"/>
      <c r="CM2147" s="160"/>
      <c r="CN2147" s="160"/>
      <c r="CO2147" s="160"/>
      <c r="CP2147" s="162"/>
      <c r="CQ2147" s="163"/>
      <c r="CR2147" s="162"/>
      <c r="CS2147" s="163"/>
      <c r="CT2147" s="162"/>
      <c r="CU2147" s="163"/>
      <c r="CV2147" s="164">
        <f t="shared" si="267"/>
        <v>0</v>
      </c>
      <c r="CW2147" s="165"/>
      <c r="CX2147" s="166"/>
      <c r="CY2147" s="167"/>
      <c r="CZ2147" s="168"/>
      <c r="DA2147" s="169"/>
      <c r="DB2147" s="168"/>
      <c r="DC2147" s="165"/>
      <c r="DD2147" s="166"/>
      <c r="DE2147" s="71"/>
      <c r="DF2147" s="170"/>
      <c r="EO2147" s="375" t="str">
        <f t="shared" si="268"/>
        <v>ANTIOQUIA_COCORNA</v>
      </c>
      <c r="EP2147" s="376"/>
      <c r="EQ2147" s="376"/>
      <c r="ER2147" s="377"/>
      <c r="ES2147" s="376"/>
      <c r="ET2147" s="376"/>
      <c r="EU2147" s="376"/>
    </row>
    <row r="2148" spans="1:151" s="171" customFormat="1" ht="72" x14ac:dyDescent="0.2">
      <c r="A2148" s="246">
        <v>40527</v>
      </c>
      <c r="B2148" s="280" t="s">
        <v>2401</v>
      </c>
      <c r="C2148" s="280" t="s">
        <v>2008</v>
      </c>
      <c r="D2148" s="432" t="s">
        <v>837</v>
      </c>
      <c r="E2148" s="107">
        <f>VLOOKUP(B2148&amp;C2148,Divipola!$C$2:$F$1138,4,FALSE)</f>
        <v>5</v>
      </c>
      <c r="F2148" s="337"/>
      <c r="G2148" s="221"/>
      <c r="H2148" s="157"/>
      <c r="I2148" s="157"/>
      <c r="J2148" s="157"/>
      <c r="K2148" s="157"/>
      <c r="L2148" s="157"/>
      <c r="M2148" s="157"/>
      <c r="N2148" s="157"/>
      <c r="O2148" s="157"/>
      <c r="P2148" s="157"/>
      <c r="Q2148" s="157"/>
      <c r="R2148" s="157"/>
      <c r="S2148" s="157"/>
      <c r="T2148" s="157"/>
      <c r="U2148" s="157"/>
      <c r="V2148" s="158"/>
      <c r="W2148" s="182"/>
      <c r="X2148" s="1"/>
      <c r="Y2148" s="78">
        <f t="shared" si="264"/>
        <v>343400000</v>
      </c>
      <c r="Z2148" s="78">
        <f t="shared" si="265"/>
        <v>340000000</v>
      </c>
      <c r="AA2148" s="78">
        <f t="shared" si="263"/>
        <v>0</v>
      </c>
      <c r="AB2148" s="78">
        <f t="shared" si="266"/>
        <v>0</v>
      </c>
      <c r="AC2148" s="78"/>
      <c r="AD2148" s="78">
        <v>0</v>
      </c>
      <c r="AE2148" s="80">
        <f t="shared" si="269"/>
        <v>683400000</v>
      </c>
      <c r="AF2148" s="82">
        <v>0</v>
      </c>
      <c r="AG2148" s="69">
        <v>40488</v>
      </c>
      <c r="AH2148" s="84"/>
      <c r="AI2148" s="69" t="s">
        <v>2009</v>
      </c>
      <c r="AJ2148" s="25" t="s">
        <v>2010</v>
      </c>
      <c r="AK2148" s="65"/>
      <c r="AL2148" s="176"/>
      <c r="AM2148" s="173" t="s">
        <v>305</v>
      </c>
      <c r="AN2148" s="159"/>
      <c r="AO2148" s="160"/>
      <c r="AP2148" s="161"/>
      <c r="AQ2148" s="160"/>
      <c r="AR2148" s="160"/>
      <c r="AS2148" s="160"/>
      <c r="AT2148" s="160"/>
      <c r="AU2148" s="160"/>
      <c r="AV2148" s="160"/>
      <c r="AW2148" s="160"/>
      <c r="AX2148" s="160"/>
      <c r="AY2148" s="160"/>
      <c r="AZ2148" s="160"/>
      <c r="BA2148" s="160"/>
      <c r="BB2148" s="160">
        <v>2000</v>
      </c>
      <c r="BC2148" s="160">
        <f>2000*56000</f>
        <v>112000000</v>
      </c>
      <c r="BD2148" s="160"/>
      <c r="BE2148" s="160"/>
      <c r="BF2148" s="160"/>
      <c r="BG2148" s="160"/>
      <c r="BH2148" s="160"/>
      <c r="BI2148" s="160"/>
      <c r="BJ2148" s="160"/>
      <c r="BK2148" s="160"/>
      <c r="BL2148" s="160"/>
      <c r="BM2148" s="160"/>
      <c r="BN2148" s="160"/>
      <c r="BO2148" s="160"/>
      <c r="BP2148" s="160"/>
      <c r="BQ2148" s="160"/>
      <c r="BR2148" s="160"/>
      <c r="BS2148" s="160"/>
      <c r="BT2148" s="160"/>
      <c r="BU2148" s="160"/>
      <c r="BV2148" s="160"/>
      <c r="BW2148" s="160"/>
      <c r="BX2148" s="160"/>
      <c r="BY2148" s="160"/>
      <c r="BZ2148" s="160"/>
      <c r="CA2148" s="160"/>
      <c r="CB2148" s="160"/>
      <c r="CC2148" s="160"/>
      <c r="CD2148" s="160"/>
      <c r="CE2148" s="160"/>
      <c r="CF2148" s="160"/>
      <c r="CG2148" s="160"/>
      <c r="CH2148" s="160"/>
      <c r="CI2148" s="160"/>
      <c r="CJ2148" s="160">
        <v>2000</v>
      </c>
      <c r="CK2148" s="160">
        <f>2000*21000</f>
        <v>42000000</v>
      </c>
      <c r="CL2148" s="160"/>
      <c r="CM2148" s="160"/>
      <c r="CN2148" s="160">
        <v>2000</v>
      </c>
      <c r="CO2148" s="160">
        <f>2000*18000</f>
        <v>36000000</v>
      </c>
      <c r="CP2148" s="162">
        <v>2000</v>
      </c>
      <c r="CQ2148" s="163">
        <f>2000*37000</f>
        <v>74000000</v>
      </c>
      <c r="CR2148" s="162">
        <v>2000</v>
      </c>
      <c r="CS2148" s="163">
        <f>2000*39700</f>
        <v>79400000</v>
      </c>
      <c r="CT2148" s="162"/>
      <c r="CU2148" s="163"/>
      <c r="CV2148" s="164">
        <f t="shared" si="267"/>
        <v>343400000</v>
      </c>
      <c r="CW2148" s="165"/>
      <c r="CX2148" s="166"/>
      <c r="CY2148" s="167">
        <f>2000+2000</f>
        <v>4000</v>
      </c>
      <c r="CZ2148" s="168">
        <f>2000*85000+2000*85000</f>
        <v>340000000</v>
      </c>
      <c r="DA2148" s="169"/>
      <c r="DB2148" s="168"/>
      <c r="DC2148" s="165"/>
      <c r="DD2148" s="166"/>
      <c r="DE2148" s="71"/>
      <c r="DF2148" s="170"/>
      <c r="EO2148" s="375" t="str">
        <f t="shared" si="268"/>
        <v>ANTIOQUIA_DEPARTAMENTO</v>
      </c>
      <c r="EP2148" s="376"/>
      <c r="EQ2148" s="376"/>
      <c r="ER2148" s="377"/>
      <c r="ES2148" s="376"/>
      <c r="ET2148" s="376"/>
      <c r="EU2148" s="376"/>
    </row>
    <row r="2149" spans="1:151" s="171" customFormat="1" ht="38.25" x14ac:dyDescent="0.2">
      <c r="A2149" s="246">
        <v>40527</v>
      </c>
      <c r="B2149" s="222" t="s">
        <v>2401</v>
      </c>
      <c r="C2149" s="222" t="s">
        <v>413</v>
      </c>
      <c r="D2149" s="432" t="s">
        <v>837</v>
      </c>
      <c r="E2149" s="107" t="str">
        <f>VLOOKUP(B2149&amp;C2149,Divipola!$C$2:$F$1138,4,FALSE)</f>
        <v>05237</v>
      </c>
      <c r="F2149" s="337"/>
      <c r="G2149" s="221"/>
      <c r="H2149" s="157"/>
      <c r="I2149" s="157"/>
      <c r="J2149" s="157">
        <v>35</v>
      </c>
      <c r="K2149" s="157">
        <v>9</v>
      </c>
      <c r="L2149" s="157"/>
      <c r="M2149" s="157">
        <v>9</v>
      </c>
      <c r="N2149" s="157"/>
      <c r="O2149" s="157"/>
      <c r="P2149" s="157"/>
      <c r="Q2149" s="157"/>
      <c r="R2149" s="157"/>
      <c r="S2149" s="157"/>
      <c r="T2149" s="157"/>
      <c r="U2149" s="157"/>
      <c r="V2149" s="158"/>
      <c r="W2149" s="182"/>
      <c r="X2149" s="1"/>
      <c r="Y2149" s="78">
        <f t="shared" si="264"/>
        <v>0</v>
      </c>
      <c r="Z2149" s="78">
        <f t="shared" si="265"/>
        <v>0</v>
      </c>
      <c r="AA2149" s="78">
        <f t="shared" si="263"/>
        <v>0</v>
      </c>
      <c r="AB2149" s="78">
        <f t="shared" si="266"/>
        <v>0</v>
      </c>
      <c r="AC2149" s="78"/>
      <c r="AD2149" s="78">
        <v>0</v>
      </c>
      <c r="AE2149" s="80">
        <f t="shared" si="269"/>
        <v>0</v>
      </c>
      <c r="AF2149" s="82">
        <v>0</v>
      </c>
      <c r="AG2149" s="69">
        <v>40596</v>
      </c>
      <c r="AH2149" s="84"/>
      <c r="AI2149" s="69" t="s">
        <v>1984</v>
      </c>
      <c r="AJ2149" s="25" t="s">
        <v>1985</v>
      </c>
      <c r="AK2149" s="65"/>
      <c r="AL2149" s="176" t="s">
        <v>1257</v>
      </c>
      <c r="AM2149" s="173" t="s">
        <v>436</v>
      </c>
      <c r="AN2149" s="159"/>
      <c r="AO2149" s="160"/>
      <c r="AP2149" s="161"/>
      <c r="AQ2149" s="160"/>
      <c r="AR2149" s="160"/>
      <c r="AS2149" s="160"/>
      <c r="AT2149" s="160"/>
      <c r="AU2149" s="160"/>
      <c r="AV2149" s="160"/>
      <c r="AW2149" s="160"/>
      <c r="AX2149" s="160"/>
      <c r="AY2149" s="160"/>
      <c r="AZ2149" s="160"/>
      <c r="BA2149" s="160"/>
      <c r="BB2149" s="160"/>
      <c r="BC2149" s="160"/>
      <c r="BD2149" s="160"/>
      <c r="BE2149" s="160"/>
      <c r="BF2149" s="160"/>
      <c r="BG2149" s="160"/>
      <c r="BH2149" s="160"/>
      <c r="BI2149" s="160"/>
      <c r="BJ2149" s="160"/>
      <c r="BK2149" s="160"/>
      <c r="BL2149" s="160"/>
      <c r="BM2149" s="160"/>
      <c r="BN2149" s="160"/>
      <c r="BO2149" s="160"/>
      <c r="BP2149" s="160"/>
      <c r="BQ2149" s="160"/>
      <c r="BR2149" s="160"/>
      <c r="BS2149" s="160"/>
      <c r="BT2149" s="160"/>
      <c r="BU2149" s="160"/>
      <c r="BV2149" s="160"/>
      <c r="BW2149" s="160"/>
      <c r="BX2149" s="160"/>
      <c r="BY2149" s="160"/>
      <c r="BZ2149" s="160"/>
      <c r="CA2149" s="160"/>
      <c r="CB2149" s="160"/>
      <c r="CC2149" s="160"/>
      <c r="CD2149" s="160"/>
      <c r="CE2149" s="160"/>
      <c r="CF2149" s="160"/>
      <c r="CG2149" s="160"/>
      <c r="CH2149" s="160"/>
      <c r="CI2149" s="160"/>
      <c r="CJ2149" s="160"/>
      <c r="CK2149" s="160"/>
      <c r="CL2149" s="160"/>
      <c r="CM2149" s="160"/>
      <c r="CN2149" s="160"/>
      <c r="CO2149" s="160"/>
      <c r="CP2149" s="162"/>
      <c r="CQ2149" s="163"/>
      <c r="CR2149" s="162"/>
      <c r="CS2149" s="163"/>
      <c r="CT2149" s="162"/>
      <c r="CU2149" s="163"/>
      <c r="CV2149" s="164">
        <f t="shared" si="267"/>
        <v>0</v>
      </c>
      <c r="CW2149" s="165"/>
      <c r="CX2149" s="166"/>
      <c r="CY2149" s="167"/>
      <c r="CZ2149" s="168"/>
      <c r="DA2149" s="169"/>
      <c r="DB2149" s="168"/>
      <c r="DC2149" s="165"/>
      <c r="DD2149" s="166"/>
      <c r="DE2149" s="71"/>
      <c r="DF2149" s="170"/>
      <c r="EO2149" s="375" t="str">
        <f t="shared" si="268"/>
        <v>ANTIOQUIA_DON MATIAS</v>
      </c>
      <c r="EP2149" s="376"/>
      <c r="EQ2149" s="376"/>
      <c r="ER2149" s="377"/>
      <c r="ES2149" s="376"/>
      <c r="ET2149" s="376"/>
      <c r="EU2149" s="376"/>
    </row>
    <row r="2150" spans="1:151" s="171" customFormat="1" ht="25.5" x14ac:dyDescent="0.2">
      <c r="A2150" s="246">
        <v>40527</v>
      </c>
      <c r="B2150" s="222" t="s">
        <v>2401</v>
      </c>
      <c r="C2150" s="222" t="s">
        <v>414</v>
      </c>
      <c r="D2150" s="432" t="s">
        <v>837</v>
      </c>
      <c r="E2150" s="107" t="str">
        <f>VLOOKUP(B2150&amp;C2150,Divipola!$C$2:$F$1138,4,FALSE)</f>
        <v>05240</v>
      </c>
      <c r="F2150" s="337"/>
      <c r="G2150" s="221"/>
      <c r="H2150" s="157"/>
      <c r="I2150" s="157"/>
      <c r="J2150" s="157">
        <v>284</v>
      </c>
      <c r="K2150" s="157">
        <v>66</v>
      </c>
      <c r="L2150" s="157">
        <v>46</v>
      </c>
      <c r="M2150" s="157">
        <v>20</v>
      </c>
      <c r="N2150" s="157"/>
      <c r="O2150" s="157"/>
      <c r="P2150" s="157"/>
      <c r="Q2150" s="157"/>
      <c r="R2150" s="157"/>
      <c r="S2150" s="157"/>
      <c r="T2150" s="157"/>
      <c r="U2150" s="157"/>
      <c r="V2150" s="158"/>
      <c r="W2150" s="182"/>
      <c r="X2150" s="1"/>
      <c r="Y2150" s="78">
        <f t="shared" si="264"/>
        <v>0</v>
      </c>
      <c r="Z2150" s="78">
        <f t="shared" si="265"/>
        <v>0</v>
      </c>
      <c r="AA2150" s="78">
        <f t="shared" si="263"/>
        <v>0</v>
      </c>
      <c r="AB2150" s="78">
        <f t="shared" si="266"/>
        <v>0</v>
      </c>
      <c r="AC2150" s="78"/>
      <c r="AD2150" s="78">
        <v>0</v>
      </c>
      <c r="AE2150" s="80">
        <f t="shared" si="269"/>
        <v>0</v>
      </c>
      <c r="AF2150" s="82">
        <v>0</v>
      </c>
      <c r="AG2150" s="69">
        <v>40596</v>
      </c>
      <c r="AH2150" s="84"/>
      <c r="AI2150" s="69" t="s">
        <v>1984</v>
      </c>
      <c r="AJ2150" s="25" t="s">
        <v>1985</v>
      </c>
      <c r="AK2150" s="65"/>
      <c r="AL2150" s="176" t="s">
        <v>1257</v>
      </c>
      <c r="AM2150" s="173" t="s">
        <v>436</v>
      </c>
      <c r="AN2150" s="159"/>
      <c r="AO2150" s="160"/>
      <c r="AP2150" s="161"/>
      <c r="AQ2150" s="160"/>
      <c r="AR2150" s="160"/>
      <c r="AS2150" s="160"/>
      <c r="AT2150" s="160"/>
      <c r="AU2150" s="160"/>
      <c r="AV2150" s="160"/>
      <c r="AW2150" s="160"/>
      <c r="AX2150" s="160"/>
      <c r="AY2150" s="160"/>
      <c r="AZ2150" s="160"/>
      <c r="BA2150" s="160"/>
      <c r="BB2150" s="160"/>
      <c r="BC2150" s="160"/>
      <c r="BD2150" s="160"/>
      <c r="BE2150" s="160"/>
      <c r="BF2150" s="160"/>
      <c r="BG2150" s="160"/>
      <c r="BH2150" s="160"/>
      <c r="BI2150" s="160"/>
      <c r="BJ2150" s="160"/>
      <c r="BK2150" s="160"/>
      <c r="BL2150" s="160"/>
      <c r="BM2150" s="160"/>
      <c r="BN2150" s="160"/>
      <c r="BO2150" s="160"/>
      <c r="BP2150" s="160"/>
      <c r="BQ2150" s="160"/>
      <c r="BR2150" s="160"/>
      <c r="BS2150" s="160"/>
      <c r="BT2150" s="160"/>
      <c r="BU2150" s="160"/>
      <c r="BV2150" s="160"/>
      <c r="BW2150" s="160"/>
      <c r="BX2150" s="160"/>
      <c r="BY2150" s="160"/>
      <c r="BZ2150" s="160"/>
      <c r="CA2150" s="160"/>
      <c r="CB2150" s="160"/>
      <c r="CC2150" s="160"/>
      <c r="CD2150" s="160"/>
      <c r="CE2150" s="160"/>
      <c r="CF2150" s="160"/>
      <c r="CG2150" s="160"/>
      <c r="CH2150" s="160"/>
      <c r="CI2150" s="160"/>
      <c r="CJ2150" s="160"/>
      <c r="CK2150" s="160"/>
      <c r="CL2150" s="160"/>
      <c r="CM2150" s="160"/>
      <c r="CN2150" s="160"/>
      <c r="CO2150" s="160"/>
      <c r="CP2150" s="162"/>
      <c r="CQ2150" s="163"/>
      <c r="CR2150" s="162"/>
      <c r="CS2150" s="163"/>
      <c r="CT2150" s="162"/>
      <c r="CU2150" s="163"/>
      <c r="CV2150" s="164">
        <f t="shared" si="267"/>
        <v>0</v>
      </c>
      <c r="CW2150" s="165"/>
      <c r="CX2150" s="166"/>
      <c r="CY2150" s="167"/>
      <c r="CZ2150" s="168"/>
      <c r="DA2150" s="169"/>
      <c r="DB2150" s="168"/>
      <c r="DC2150" s="165"/>
      <c r="DD2150" s="166"/>
      <c r="DE2150" s="71"/>
      <c r="DF2150" s="170"/>
      <c r="EO2150" s="375" t="str">
        <f t="shared" si="268"/>
        <v>ANTIOQUIA_EBEJICO</v>
      </c>
      <c r="EP2150" s="376"/>
      <c r="EQ2150" s="376"/>
      <c r="ER2150" s="377"/>
      <c r="ES2150" s="376"/>
      <c r="ET2150" s="376"/>
      <c r="EU2150" s="376"/>
    </row>
    <row r="2151" spans="1:151" s="171" customFormat="1" ht="38.25" x14ac:dyDescent="0.2">
      <c r="A2151" s="246">
        <v>40527</v>
      </c>
      <c r="B2151" s="222" t="s">
        <v>2401</v>
      </c>
      <c r="C2151" s="222" t="s">
        <v>415</v>
      </c>
      <c r="D2151" s="432" t="s">
        <v>837</v>
      </c>
      <c r="E2151" s="107" t="str">
        <f>VLOOKUP(B2151&amp;C2151,Divipola!$C$2:$F$1138,4,FALSE)</f>
        <v>05308</v>
      </c>
      <c r="F2151" s="337"/>
      <c r="G2151" s="221"/>
      <c r="H2151" s="157"/>
      <c r="I2151" s="157"/>
      <c r="J2151" s="157">
        <v>555</v>
      </c>
      <c r="K2151" s="157">
        <v>167</v>
      </c>
      <c r="L2151" s="157">
        <v>3</v>
      </c>
      <c r="M2151" s="157">
        <v>109</v>
      </c>
      <c r="N2151" s="157"/>
      <c r="O2151" s="157"/>
      <c r="P2151" s="157"/>
      <c r="Q2151" s="157"/>
      <c r="R2151" s="157"/>
      <c r="S2151" s="157"/>
      <c r="T2151" s="157"/>
      <c r="U2151" s="157"/>
      <c r="V2151" s="158"/>
      <c r="W2151" s="182"/>
      <c r="X2151" s="1"/>
      <c r="Y2151" s="78">
        <f t="shared" si="264"/>
        <v>0</v>
      </c>
      <c r="Z2151" s="78">
        <f t="shared" si="265"/>
        <v>0</v>
      </c>
      <c r="AA2151" s="78">
        <f t="shared" si="263"/>
        <v>0</v>
      </c>
      <c r="AB2151" s="78">
        <f t="shared" si="266"/>
        <v>0</v>
      </c>
      <c r="AC2151" s="78"/>
      <c r="AD2151" s="78">
        <v>0</v>
      </c>
      <c r="AE2151" s="80">
        <f t="shared" si="269"/>
        <v>0</v>
      </c>
      <c r="AF2151" s="82">
        <v>0</v>
      </c>
      <c r="AG2151" s="69">
        <v>40596</v>
      </c>
      <c r="AH2151" s="84"/>
      <c r="AI2151" s="69" t="s">
        <v>1984</v>
      </c>
      <c r="AJ2151" s="25" t="s">
        <v>1985</v>
      </c>
      <c r="AK2151" s="65"/>
      <c r="AL2151" s="176" t="s">
        <v>1257</v>
      </c>
      <c r="AM2151" s="173" t="s">
        <v>436</v>
      </c>
      <c r="AN2151" s="159"/>
      <c r="AO2151" s="160"/>
      <c r="AP2151" s="161"/>
      <c r="AQ2151" s="160"/>
      <c r="AR2151" s="160"/>
      <c r="AS2151" s="160"/>
      <c r="AT2151" s="160"/>
      <c r="AU2151" s="160"/>
      <c r="AV2151" s="160"/>
      <c r="AW2151" s="160"/>
      <c r="AX2151" s="160"/>
      <c r="AY2151" s="160"/>
      <c r="AZ2151" s="160"/>
      <c r="BA2151" s="160"/>
      <c r="BB2151" s="160"/>
      <c r="BC2151" s="160"/>
      <c r="BD2151" s="160"/>
      <c r="BE2151" s="160"/>
      <c r="BF2151" s="160"/>
      <c r="BG2151" s="160"/>
      <c r="BH2151" s="160"/>
      <c r="BI2151" s="160"/>
      <c r="BJ2151" s="160"/>
      <c r="BK2151" s="160"/>
      <c r="BL2151" s="160"/>
      <c r="BM2151" s="160"/>
      <c r="BN2151" s="160"/>
      <c r="BO2151" s="160"/>
      <c r="BP2151" s="160"/>
      <c r="BQ2151" s="160"/>
      <c r="BR2151" s="160"/>
      <c r="BS2151" s="160"/>
      <c r="BT2151" s="160"/>
      <c r="BU2151" s="160"/>
      <c r="BV2151" s="160"/>
      <c r="BW2151" s="160"/>
      <c r="BX2151" s="160"/>
      <c r="BY2151" s="160"/>
      <c r="BZ2151" s="160"/>
      <c r="CA2151" s="160"/>
      <c r="CB2151" s="160"/>
      <c r="CC2151" s="160"/>
      <c r="CD2151" s="160"/>
      <c r="CE2151" s="160"/>
      <c r="CF2151" s="160"/>
      <c r="CG2151" s="160"/>
      <c r="CH2151" s="160"/>
      <c r="CI2151" s="160"/>
      <c r="CJ2151" s="160"/>
      <c r="CK2151" s="160"/>
      <c r="CL2151" s="160"/>
      <c r="CM2151" s="160"/>
      <c r="CN2151" s="160"/>
      <c r="CO2151" s="160"/>
      <c r="CP2151" s="162"/>
      <c r="CQ2151" s="163"/>
      <c r="CR2151" s="162"/>
      <c r="CS2151" s="163"/>
      <c r="CT2151" s="162"/>
      <c r="CU2151" s="163"/>
      <c r="CV2151" s="164">
        <f t="shared" si="267"/>
        <v>0</v>
      </c>
      <c r="CW2151" s="165"/>
      <c r="CX2151" s="166"/>
      <c r="CY2151" s="167"/>
      <c r="CZ2151" s="168"/>
      <c r="DA2151" s="169"/>
      <c r="DB2151" s="168"/>
      <c r="DC2151" s="165"/>
      <c r="DD2151" s="166"/>
      <c r="DE2151" s="71"/>
      <c r="DF2151" s="170"/>
      <c r="EO2151" s="375" t="str">
        <f t="shared" si="268"/>
        <v>ANTIOQUIA_GIRARDOTA</v>
      </c>
      <c r="EP2151" s="376"/>
      <c r="EQ2151" s="376"/>
      <c r="ER2151" s="377"/>
      <c r="ES2151" s="376"/>
      <c r="ET2151" s="376"/>
      <c r="EU2151" s="376"/>
    </row>
    <row r="2152" spans="1:151" s="171" customFormat="1" ht="38.25" x14ac:dyDescent="0.2">
      <c r="A2152" s="246">
        <v>40527</v>
      </c>
      <c r="B2152" s="222" t="s">
        <v>2401</v>
      </c>
      <c r="C2152" s="222" t="s">
        <v>416</v>
      </c>
      <c r="D2152" s="432" t="s">
        <v>837</v>
      </c>
      <c r="E2152" s="107" t="str">
        <f>VLOOKUP(B2152&amp;C2152,Divipola!$C$2:$F$1138,4,FALSE)</f>
        <v>05310</v>
      </c>
      <c r="F2152" s="337"/>
      <c r="G2152" s="221"/>
      <c r="H2152" s="157"/>
      <c r="I2152" s="157"/>
      <c r="J2152" s="157">
        <v>110</v>
      </c>
      <c r="K2152" s="157">
        <v>27</v>
      </c>
      <c r="L2152" s="157"/>
      <c r="M2152" s="157">
        <v>16</v>
      </c>
      <c r="N2152" s="157"/>
      <c r="O2152" s="157"/>
      <c r="P2152" s="157"/>
      <c r="Q2152" s="157"/>
      <c r="R2152" s="157"/>
      <c r="S2152" s="157"/>
      <c r="T2152" s="157"/>
      <c r="U2152" s="157"/>
      <c r="V2152" s="158"/>
      <c r="W2152" s="182"/>
      <c r="X2152" s="1"/>
      <c r="Y2152" s="78">
        <f t="shared" si="264"/>
        <v>0</v>
      </c>
      <c r="Z2152" s="78">
        <f t="shared" si="265"/>
        <v>0</v>
      </c>
      <c r="AA2152" s="78">
        <f t="shared" si="263"/>
        <v>0</v>
      </c>
      <c r="AB2152" s="78">
        <f t="shared" si="266"/>
        <v>0</v>
      </c>
      <c r="AC2152" s="78"/>
      <c r="AD2152" s="78">
        <v>0</v>
      </c>
      <c r="AE2152" s="80">
        <f t="shared" si="269"/>
        <v>0</v>
      </c>
      <c r="AF2152" s="82">
        <v>0</v>
      </c>
      <c r="AG2152" s="69">
        <v>40596</v>
      </c>
      <c r="AH2152" s="84"/>
      <c r="AI2152" s="69" t="s">
        <v>1984</v>
      </c>
      <c r="AJ2152" s="25" t="s">
        <v>1985</v>
      </c>
      <c r="AK2152" s="65"/>
      <c r="AL2152" s="176" t="s">
        <v>1257</v>
      </c>
      <c r="AM2152" s="173" t="s">
        <v>436</v>
      </c>
      <c r="AN2152" s="159"/>
      <c r="AO2152" s="160"/>
      <c r="AP2152" s="161"/>
      <c r="AQ2152" s="160"/>
      <c r="AR2152" s="160"/>
      <c r="AS2152" s="160"/>
      <c r="AT2152" s="160"/>
      <c r="AU2152" s="160"/>
      <c r="AV2152" s="160"/>
      <c r="AW2152" s="160"/>
      <c r="AX2152" s="160"/>
      <c r="AY2152" s="160"/>
      <c r="AZ2152" s="160"/>
      <c r="BA2152" s="160"/>
      <c r="BB2152" s="160"/>
      <c r="BC2152" s="160"/>
      <c r="BD2152" s="160"/>
      <c r="BE2152" s="160"/>
      <c r="BF2152" s="160"/>
      <c r="BG2152" s="160"/>
      <c r="BH2152" s="160"/>
      <c r="BI2152" s="160"/>
      <c r="BJ2152" s="160"/>
      <c r="BK2152" s="160"/>
      <c r="BL2152" s="160"/>
      <c r="BM2152" s="160"/>
      <c r="BN2152" s="160"/>
      <c r="BO2152" s="160"/>
      <c r="BP2152" s="160"/>
      <c r="BQ2152" s="160"/>
      <c r="BR2152" s="160"/>
      <c r="BS2152" s="160"/>
      <c r="BT2152" s="160"/>
      <c r="BU2152" s="160"/>
      <c r="BV2152" s="160"/>
      <c r="BW2152" s="160"/>
      <c r="BX2152" s="160"/>
      <c r="BY2152" s="160"/>
      <c r="BZ2152" s="160"/>
      <c r="CA2152" s="160"/>
      <c r="CB2152" s="160"/>
      <c r="CC2152" s="160"/>
      <c r="CD2152" s="160"/>
      <c r="CE2152" s="160"/>
      <c r="CF2152" s="160"/>
      <c r="CG2152" s="160"/>
      <c r="CH2152" s="160"/>
      <c r="CI2152" s="160"/>
      <c r="CJ2152" s="160"/>
      <c r="CK2152" s="160"/>
      <c r="CL2152" s="160"/>
      <c r="CM2152" s="160"/>
      <c r="CN2152" s="160"/>
      <c r="CO2152" s="160"/>
      <c r="CP2152" s="162"/>
      <c r="CQ2152" s="163"/>
      <c r="CR2152" s="162"/>
      <c r="CS2152" s="163"/>
      <c r="CT2152" s="162"/>
      <c r="CU2152" s="163"/>
      <c r="CV2152" s="164">
        <f t="shared" si="267"/>
        <v>0</v>
      </c>
      <c r="CW2152" s="165"/>
      <c r="CX2152" s="166"/>
      <c r="CY2152" s="167"/>
      <c r="CZ2152" s="168"/>
      <c r="DA2152" s="169"/>
      <c r="DB2152" s="168"/>
      <c r="DC2152" s="165"/>
      <c r="DD2152" s="166"/>
      <c r="DE2152" s="71"/>
      <c r="DF2152" s="170"/>
      <c r="EO2152" s="375" t="str">
        <f t="shared" si="268"/>
        <v>ANTIOQUIA_GOMEZ PLATA</v>
      </c>
      <c r="EP2152" s="376"/>
      <c r="EQ2152" s="376"/>
      <c r="ER2152" s="377"/>
      <c r="ES2152" s="376"/>
      <c r="ET2152" s="376"/>
      <c r="EU2152" s="376"/>
    </row>
    <row r="2153" spans="1:151" s="171" customFormat="1" ht="25.5" x14ac:dyDescent="0.2">
      <c r="A2153" s="246">
        <v>40527</v>
      </c>
      <c r="B2153" s="222" t="s">
        <v>2401</v>
      </c>
      <c r="C2153" s="222" t="s">
        <v>2381</v>
      </c>
      <c r="D2153" s="432" t="s">
        <v>837</v>
      </c>
      <c r="E2153" s="107" t="str">
        <f>VLOOKUP(B2153&amp;C2153,Divipola!$C$2:$F$1138,4,FALSE)</f>
        <v>05313</v>
      </c>
      <c r="F2153" s="337"/>
      <c r="G2153" s="221"/>
      <c r="H2153" s="157"/>
      <c r="I2153" s="157"/>
      <c r="J2153" s="157">
        <v>196</v>
      </c>
      <c r="K2153" s="157">
        <v>87</v>
      </c>
      <c r="L2153" s="157">
        <v>10</v>
      </c>
      <c r="M2153" s="157">
        <v>74</v>
      </c>
      <c r="N2153" s="157"/>
      <c r="O2153" s="157"/>
      <c r="P2153" s="157"/>
      <c r="Q2153" s="157"/>
      <c r="R2153" s="157"/>
      <c r="S2153" s="157"/>
      <c r="T2153" s="157"/>
      <c r="U2153" s="157"/>
      <c r="V2153" s="158"/>
      <c r="W2153" s="182"/>
      <c r="X2153" s="1"/>
      <c r="Y2153" s="78">
        <f t="shared" si="264"/>
        <v>0</v>
      </c>
      <c r="Z2153" s="78">
        <f t="shared" si="265"/>
        <v>0</v>
      </c>
      <c r="AA2153" s="78">
        <f t="shared" si="263"/>
        <v>0</v>
      </c>
      <c r="AB2153" s="78">
        <f t="shared" si="266"/>
        <v>0</v>
      </c>
      <c r="AC2153" s="78"/>
      <c r="AD2153" s="78">
        <v>0</v>
      </c>
      <c r="AE2153" s="80">
        <f t="shared" si="269"/>
        <v>0</v>
      </c>
      <c r="AF2153" s="82">
        <v>0</v>
      </c>
      <c r="AG2153" s="69">
        <v>40596</v>
      </c>
      <c r="AH2153" s="84"/>
      <c r="AI2153" s="69" t="s">
        <v>1984</v>
      </c>
      <c r="AJ2153" s="25" t="s">
        <v>1985</v>
      </c>
      <c r="AK2153" s="65"/>
      <c r="AL2153" s="176" t="s">
        <v>1257</v>
      </c>
      <c r="AM2153" s="173" t="s">
        <v>436</v>
      </c>
      <c r="AN2153" s="159"/>
      <c r="AO2153" s="160"/>
      <c r="AP2153" s="161"/>
      <c r="AQ2153" s="160"/>
      <c r="AR2153" s="160"/>
      <c r="AS2153" s="160"/>
      <c r="AT2153" s="160"/>
      <c r="AU2153" s="160"/>
      <c r="AV2153" s="160"/>
      <c r="AW2153" s="160"/>
      <c r="AX2153" s="160"/>
      <c r="AY2153" s="160"/>
      <c r="AZ2153" s="160"/>
      <c r="BA2153" s="160"/>
      <c r="BB2153" s="160"/>
      <c r="BC2153" s="160"/>
      <c r="BD2153" s="160"/>
      <c r="BE2153" s="160"/>
      <c r="BF2153" s="160"/>
      <c r="BG2153" s="160"/>
      <c r="BH2153" s="160"/>
      <c r="BI2153" s="160"/>
      <c r="BJ2153" s="160"/>
      <c r="BK2153" s="160"/>
      <c r="BL2153" s="160"/>
      <c r="BM2153" s="160"/>
      <c r="BN2153" s="160"/>
      <c r="BO2153" s="160"/>
      <c r="BP2153" s="160"/>
      <c r="BQ2153" s="160"/>
      <c r="BR2153" s="160"/>
      <c r="BS2153" s="160"/>
      <c r="BT2153" s="160"/>
      <c r="BU2153" s="160"/>
      <c r="BV2153" s="160"/>
      <c r="BW2153" s="160"/>
      <c r="BX2153" s="160"/>
      <c r="BY2153" s="160"/>
      <c r="BZ2153" s="160"/>
      <c r="CA2153" s="160"/>
      <c r="CB2153" s="160"/>
      <c r="CC2153" s="160"/>
      <c r="CD2153" s="160"/>
      <c r="CE2153" s="160"/>
      <c r="CF2153" s="160"/>
      <c r="CG2153" s="160"/>
      <c r="CH2153" s="160"/>
      <c r="CI2153" s="160"/>
      <c r="CJ2153" s="160"/>
      <c r="CK2153" s="160"/>
      <c r="CL2153" s="160"/>
      <c r="CM2153" s="160"/>
      <c r="CN2153" s="160"/>
      <c r="CO2153" s="160"/>
      <c r="CP2153" s="162"/>
      <c r="CQ2153" s="163"/>
      <c r="CR2153" s="162"/>
      <c r="CS2153" s="163"/>
      <c r="CT2153" s="162"/>
      <c r="CU2153" s="163"/>
      <c r="CV2153" s="164">
        <f t="shared" si="267"/>
        <v>0</v>
      </c>
      <c r="CW2153" s="165"/>
      <c r="CX2153" s="166"/>
      <c r="CY2153" s="167"/>
      <c r="CZ2153" s="168"/>
      <c r="DA2153" s="169"/>
      <c r="DB2153" s="168"/>
      <c r="DC2153" s="165"/>
      <c r="DD2153" s="166"/>
      <c r="DE2153" s="71"/>
      <c r="DF2153" s="170"/>
      <c r="EO2153" s="375" t="str">
        <f t="shared" si="268"/>
        <v>ANTIOQUIA_GRANADA</v>
      </c>
      <c r="EP2153" s="376"/>
      <c r="EQ2153" s="376"/>
      <c r="ER2153" s="377"/>
      <c r="ES2153" s="376"/>
      <c r="ET2153" s="376"/>
      <c r="EU2153" s="376"/>
    </row>
    <row r="2154" spans="1:151" s="171" customFormat="1" ht="25.5" x14ac:dyDescent="0.2">
      <c r="A2154" s="246">
        <v>40527</v>
      </c>
      <c r="B2154" s="222" t="s">
        <v>2401</v>
      </c>
      <c r="C2154" s="222" t="s">
        <v>417</v>
      </c>
      <c r="D2154" s="432" t="s">
        <v>837</v>
      </c>
      <c r="E2154" s="107" t="str">
        <f>VLOOKUP(B2154&amp;C2154,Divipola!$C$2:$F$1138,4,FALSE)</f>
        <v>05321</v>
      </c>
      <c r="F2154" s="337"/>
      <c r="G2154" s="221"/>
      <c r="H2154" s="157"/>
      <c r="I2154" s="157"/>
      <c r="J2154" s="157">
        <v>67</v>
      </c>
      <c r="K2154" s="157">
        <v>15</v>
      </c>
      <c r="L2154" s="157"/>
      <c r="M2154" s="157">
        <v>15</v>
      </c>
      <c r="N2154" s="157"/>
      <c r="O2154" s="157"/>
      <c r="P2154" s="157"/>
      <c r="Q2154" s="157"/>
      <c r="R2154" s="157"/>
      <c r="S2154" s="157"/>
      <c r="T2154" s="157"/>
      <c r="U2154" s="157"/>
      <c r="V2154" s="158"/>
      <c r="W2154" s="182"/>
      <c r="X2154" s="1"/>
      <c r="Y2154" s="78">
        <f t="shared" si="264"/>
        <v>0</v>
      </c>
      <c r="Z2154" s="78">
        <f t="shared" si="265"/>
        <v>0</v>
      </c>
      <c r="AA2154" s="78">
        <f t="shared" si="263"/>
        <v>0</v>
      </c>
      <c r="AB2154" s="78">
        <f t="shared" si="266"/>
        <v>0</v>
      </c>
      <c r="AC2154" s="78"/>
      <c r="AD2154" s="78">
        <v>0</v>
      </c>
      <c r="AE2154" s="80">
        <f t="shared" si="269"/>
        <v>0</v>
      </c>
      <c r="AF2154" s="82">
        <v>0</v>
      </c>
      <c r="AG2154" s="69">
        <v>40596</v>
      </c>
      <c r="AH2154" s="84"/>
      <c r="AI2154" s="69" t="s">
        <v>1984</v>
      </c>
      <c r="AJ2154" s="25" t="s">
        <v>1985</v>
      </c>
      <c r="AK2154" s="65"/>
      <c r="AL2154" s="176" t="s">
        <v>1257</v>
      </c>
      <c r="AM2154" s="173" t="s">
        <v>436</v>
      </c>
      <c r="AN2154" s="159"/>
      <c r="AO2154" s="160"/>
      <c r="AP2154" s="161"/>
      <c r="AQ2154" s="160"/>
      <c r="AR2154" s="160"/>
      <c r="AS2154" s="160"/>
      <c r="AT2154" s="160"/>
      <c r="AU2154" s="160"/>
      <c r="AV2154" s="160"/>
      <c r="AW2154" s="160"/>
      <c r="AX2154" s="160"/>
      <c r="AY2154" s="160"/>
      <c r="AZ2154" s="160"/>
      <c r="BA2154" s="160"/>
      <c r="BB2154" s="160"/>
      <c r="BC2154" s="160"/>
      <c r="BD2154" s="160"/>
      <c r="BE2154" s="160"/>
      <c r="BF2154" s="160"/>
      <c r="BG2154" s="160"/>
      <c r="BH2154" s="160"/>
      <c r="BI2154" s="160"/>
      <c r="BJ2154" s="160"/>
      <c r="BK2154" s="160"/>
      <c r="BL2154" s="160"/>
      <c r="BM2154" s="160"/>
      <c r="BN2154" s="160"/>
      <c r="BO2154" s="160"/>
      <c r="BP2154" s="160"/>
      <c r="BQ2154" s="160"/>
      <c r="BR2154" s="160"/>
      <c r="BS2154" s="160"/>
      <c r="BT2154" s="160"/>
      <c r="BU2154" s="160"/>
      <c r="BV2154" s="160"/>
      <c r="BW2154" s="160"/>
      <c r="BX2154" s="160"/>
      <c r="BY2154" s="160"/>
      <c r="BZ2154" s="160"/>
      <c r="CA2154" s="160"/>
      <c r="CB2154" s="160"/>
      <c r="CC2154" s="160"/>
      <c r="CD2154" s="160"/>
      <c r="CE2154" s="160"/>
      <c r="CF2154" s="160"/>
      <c r="CG2154" s="160"/>
      <c r="CH2154" s="160"/>
      <c r="CI2154" s="160"/>
      <c r="CJ2154" s="160"/>
      <c r="CK2154" s="160"/>
      <c r="CL2154" s="160"/>
      <c r="CM2154" s="160"/>
      <c r="CN2154" s="160"/>
      <c r="CO2154" s="160"/>
      <c r="CP2154" s="162"/>
      <c r="CQ2154" s="163"/>
      <c r="CR2154" s="162"/>
      <c r="CS2154" s="163"/>
      <c r="CT2154" s="162"/>
      <c r="CU2154" s="163"/>
      <c r="CV2154" s="164">
        <f t="shared" si="267"/>
        <v>0</v>
      </c>
      <c r="CW2154" s="165"/>
      <c r="CX2154" s="166"/>
      <c r="CY2154" s="167"/>
      <c r="CZ2154" s="168"/>
      <c r="DA2154" s="169"/>
      <c r="DB2154" s="168"/>
      <c r="DC2154" s="165"/>
      <c r="DD2154" s="166"/>
      <c r="DE2154" s="71"/>
      <c r="DF2154" s="170"/>
      <c r="EO2154" s="375" t="str">
        <f t="shared" si="268"/>
        <v>ANTIOQUIA_GUATAPE</v>
      </c>
      <c r="EP2154" s="376"/>
      <c r="EQ2154" s="376"/>
      <c r="ER2154" s="377"/>
      <c r="ES2154" s="376"/>
      <c r="ET2154" s="376"/>
      <c r="EU2154" s="376"/>
    </row>
    <row r="2155" spans="1:151" s="171" customFormat="1" ht="38.25" x14ac:dyDescent="0.2">
      <c r="A2155" s="246">
        <v>40527</v>
      </c>
      <c r="B2155" s="222" t="s">
        <v>2401</v>
      </c>
      <c r="C2155" s="222" t="s">
        <v>418</v>
      </c>
      <c r="D2155" s="432" t="s">
        <v>837</v>
      </c>
      <c r="E2155" s="107" t="str">
        <f>VLOOKUP(B2155&amp;C2155,Divipola!$C$2:$F$1138,4,FALSE)</f>
        <v>05347</v>
      </c>
      <c r="F2155" s="337"/>
      <c r="G2155" s="221"/>
      <c r="H2155" s="157"/>
      <c r="I2155" s="157"/>
      <c r="J2155" s="157">
        <v>626</v>
      </c>
      <c r="K2155" s="157">
        <v>191</v>
      </c>
      <c r="L2155" s="157">
        <v>7</v>
      </c>
      <c r="M2155" s="157">
        <v>180</v>
      </c>
      <c r="N2155" s="157"/>
      <c r="O2155" s="157"/>
      <c r="P2155" s="157"/>
      <c r="Q2155" s="157"/>
      <c r="R2155" s="157"/>
      <c r="S2155" s="157"/>
      <c r="T2155" s="157"/>
      <c r="U2155" s="157"/>
      <c r="V2155" s="158"/>
      <c r="W2155" s="182"/>
      <c r="X2155" s="1"/>
      <c r="Y2155" s="78">
        <f t="shared" si="264"/>
        <v>0</v>
      </c>
      <c r="Z2155" s="78">
        <f t="shared" si="265"/>
        <v>0</v>
      </c>
      <c r="AA2155" s="78">
        <f t="shared" si="263"/>
        <v>0</v>
      </c>
      <c r="AB2155" s="78">
        <f t="shared" si="266"/>
        <v>0</v>
      </c>
      <c r="AC2155" s="78"/>
      <c r="AD2155" s="78">
        <v>0</v>
      </c>
      <c r="AE2155" s="80">
        <f t="shared" si="269"/>
        <v>0</v>
      </c>
      <c r="AF2155" s="82">
        <v>0</v>
      </c>
      <c r="AG2155" s="69">
        <v>40596</v>
      </c>
      <c r="AH2155" s="84"/>
      <c r="AI2155" s="69" t="s">
        <v>1984</v>
      </c>
      <c r="AJ2155" s="25" t="s">
        <v>1985</v>
      </c>
      <c r="AK2155" s="65"/>
      <c r="AL2155" s="176" t="s">
        <v>1257</v>
      </c>
      <c r="AM2155" s="173" t="s">
        <v>436</v>
      </c>
      <c r="AN2155" s="159"/>
      <c r="AO2155" s="160"/>
      <c r="AP2155" s="161"/>
      <c r="AQ2155" s="160"/>
      <c r="AR2155" s="160"/>
      <c r="AS2155" s="160"/>
      <c r="AT2155" s="160"/>
      <c r="AU2155" s="160"/>
      <c r="AV2155" s="160"/>
      <c r="AW2155" s="160"/>
      <c r="AX2155" s="160"/>
      <c r="AY2155" s="160"/>
      <c r="AZ2155" s="160"/>
      <c r="BA2155" s="160"/>
      <c r="BB2155" s="160"/>
      <c r="BC2155" s="160"/>
      <c r="BD2155" s="160"/>
      <c r="BE2155" s="160"/>
      <c r="BF2155" s="160"/>
      <c r="BG2155" s="160"/>
      <c r="BH2155" s="160"/>
      <c r="BI2155" s="160"/>
      <c r="BJ2155" s="160"/>
      <c r="BK2155" s="160"/>
      <c r="BL2155" s="160"/>
      <c r="BM2155" s="160"/>
      <c r="BN2155" s="160"/>
      <c r="BO2155" s="160"/>
      <c r="BP2155" s="160"/>
      <c r="BQ2155" s="160"/>
      <c r="BR2155" s="160"/>
      <c r="BS2155" s="160"/>
      <c r="BT2155" s="160"/>
      <c r="BU2155" s="160"/>
      <c r="BV2155" s="160"/>
      <c r="BW2155" s="160"/>
      <c r="BX2155" s="160"/>
      <c r="BY2155" s="160"/>
      <c r="BZ2155" s="160"/>
      <c r="CA2155" s="160"/>
      <c r="CB2155" s="160"/>
      <c r="CC2155" s="160"/>
      <c r="CD2155" s="160"/>
      <c r="CE2155" s="160"/>
      <c r="CF2155" s="160"/>
      <c r="CG2155" s="160"/>
      <c r="CH2155" s="160"/>
      <c r="CI2155" s="160"/>
      <c r="CJ2155" s="160"/>
      <c r="CK2155" s="160"/>
      <c r="CL2155" s="160"/>
      <c r="CM2155" s="160"/>
      <c r="CN2155" s="160"/>
      <c r="CO2155" s="160"/>
      <c r="CP2155" s="162"/>
      <c r="CQ2155" s="163"/>
      <c r="CR2155" s="162"/>
      <c r="CS2155" s="163"/>
      <c r="CT2155" s="162"/>
      <c r="CU2155" s="163"/>
      <c r="CV2155" s="164">
        <f t="shared" si="267"/>
        <v>0</v>
      </c>
      <c r="CW2155" s="165"/>
      <c r="CX2155" s="166"/>
      <c r="CY2155" s="167"/>
      <c r="CZ2155" s="168"/>
      <c r="DA2155" s="169"/>
      <c r="DB2155" s="168"/>
      <c r="DC2155" s="165"/>
      <c r="DD2155" s="166"/>
      <c r="DE2155" s="71"/>
      <c r="DF2155" s="170"/>
      <c r="EO2155" s="375" t="str">
        <f t="shared" si="268"/>
        <v>ANTIOQUIA_HELICONIA</v>
      </c>
      <c r="EP2155" s="376"/>
      <c r="EQ2155" s="376"/>
      <c r="ER2155" s="377"/>
      <c r="ES2155" s="376"/>
      <c r="ET2155" s="376"/>
      <c r="EU2155" s="376"/>
    </row>
    <row r="2156" spans="1:151" s="171" customFormat="1" ht="25.5" x14ac:dyDescent="0.2">
      <c r="A2156" s="246">
        <v>40527</v>
      </c>
      <c r="B2156" s="222" t="s">
        <v>2401</v>
      </c>
      <c r="C2156" s="222" t="s">
        <v>419</v>
      </c>
      <c r="D2156" s="432" t="s">
        <v>837</v>
      </c>
      <c r="E2156" s="107" t="str">
        <f>VLOOKUP(B2156&amp;C2156,Divipola!$C$2:$F$1138,4,FALSE)</f>
        <v>05353</v>
      </c>
      <c r="F2156" s="337"/>
      <c r="G2156" s="221"/>
      <c r="H2156" s="157"/>
      <c r="I2156" s="157"/>
      <c r="J2156" s="157">
        <v>119</v>
      </c>
      <c r="K2156" s="157">
        <v>32</v>
      </c>
      <c r="L2156" s="157"/>
      <c r="M2156" s="157">
        <v>32</v>
      </c>
      <c r="N2156" s="157"/>
      <c r="O2156" s="157"/>
      <c r="P2156" s="157"/>
      <c r="Q2156" s="157"/>
      <c r="R2156" s="157"/>
      <c r="S2156" s="157"/>
      <c r="T2156" s="157"/>
      <c r="U2156" s="157"/>
      <c r="V2156" s="158"/>
      <c r="W2156" s="182"/>
      <c r="X2156" s="1"/>
      <c r="Y2156" s="78">
        <f t="shared" si="264"/>
        <v>0</v>
      </c>
      <c r="Z2156" s="78">
        <f t="shared" si="265"/>
        <v>0</v>
      </c>
      <c r="AA2156" s="78">
        <f t="shared" si="263"/>
        <v>0</v>
      </c>
      <c r="AB2156" s="78">
        <f t="shared" si="266"/>
        <v>0</v>
      </c>
      <c r="AC2156" s="78"/>
      <c r="AD2156" s="78">
        <v>0</v>
      </c>
      <c r="AE2156" s="80">
        <f t="shared" si="269"/>
        <v>0</v>
      </c>
      <c r="AF2156" s="82">
        <v>0</v>
      </c>
      <c r="AG2156" s="69">
        <v>40596</v>
      </c>
      <c r="AH2156" s="84"/>
      <c r="AI2156" s="69" t="s">
        <v>1984</v>
      </c>
      <c r="AJ2156" s="25" t="s">
        <v>1985</v>
      </c>
      <c r="AK2156" s="65"/>
      <c r="AL2156" s="176" t="s">
        <v>1257</v>
      </c>
      <c r="AM2156" s="173" t="s">
        <v>436</v>
      </c>
      <c r="AN2156" s="159"/>
      <c r="AO2156" s="160"/>
      <c r="AP2156" s="161"/>
      <c r="AQ2156" s="160"/>
      <c r="AR2156" s="160"/>
      <c r="AS2156" s="160"/>
      <c r="AT2156" s="160"/>
      <c r="AU2156" s="160"/>
      <c r="AV2156" s="160"/>
      <c r="AW2156" s="160"/>
      <c r="AX2156" s="160"/>
      <c r="AY2156" s="160"/>
      <c r="AZ2156" s="160"/>
      <c r="BA2156" s="160"/>
      <c r="BB2156" s="160"/>
      <c r="BC2156" s="160"/>
      <c r="BD2156" s="160"/>
      <c r="BE2156" s="160"/>
      <c r="BF2156" s="160"/>
      <c r="BG2156" s="160"/>
      <c r="BH2156" s="160"/>
      <c r="BI2156" s="160"/>
      <c r="BJ2156" s="160"/>
      <c r="BK2156" s="160"/>
      <c r="BL2156" s="160"/>
      <c r="BM2156" s="160"/>
      <c r="BN2156" s="160"/>
      <c r="BO2156" s="160"/>
      <c r="BP2156" s="160"/>
      <c r="BQ2156" s="160"/>
      <c r="BR2156" s="160"/>
      <c r="BS2156" s="160"/>
      <c r="BT2156" s="160"/>
      <c r="BU2156" s="160"/>
      <c r="BV2156" s="160"/>
      <c r="BW2156" s="160"/>
      <c r="BX2156" s="160"/>
      <c r="BY2156" s="160"/>
      <c r="BZ2156" s="160"/>
      <c r="CA2156" s="160"/>
      <c r="CB2156" s="160"/>
      <c r="CC2156" s="160"/>
      <c r="CD2156" s="160"/>
      <c r="CE2156" s="160"/>
      <c r="CF2156" s="160"/>
      <c r="CG2156" s="160"/>
      <c r="CH2156" s="160"/>
      <c r="CI2156" s="160"/>
      <c r="CJ2156" s="160"/>
      <c r="CK2156" s="160"/>
      <c r="CL2156" s="160"/>
      <c r="CM2156" s="160"/>
      <c r="CN2156" s="160"/>
      <c r="CO2156" s="160"/>
      <c r="CP2156" s="162"/>
      <c r="CQ2156" s="163"/>
      <c r="CR2156" s="162"/>
      <c r="CS2156" s="163"/>
      <c r="CT2156" s="162"/>
      <c r="CU2156" s="163"/>
      <c r="CV2156" s="164">
        <f t="shared" si="267"/>
        <v>0</v>
      </c>
      <c r="CW2156" s="165"/>
      <c r="CX2156" s="166"/>
      <c r="CY2156" s="167"/>
      <c r="CZ2156" s="168"/>
      <c r="DA2156" s="169"/>
      <c r="DB2156" s="168"/>
      <c r="DC2156" s="165"/>
      <c r="DD2156" s="166"/>
      <c r="DE2156" s="71"/>
      <c r="DF2156" s="170"/>
      <c r="EO2156" s="375" t="str">
        <f t="shared" si="268"/>
        <v>ANTIOQUIA_HISPANIA</v>
      </c>
      <c r="EP2156" s="376"/>
      <c r="EQ2156" s="376"/>
      <c r="ER2156" s="377"/>
      <c r="ES2156" s="376"/>
      <c r="ET2156" s="376"/>
      <c r="EU2156" s="376"/>
    </row>
    <row r="2157" spans="1:151" s="171" customFormat="1" ht="25.5" x14ac:dyDescent="0.2">
      <c r="A2157" s="246">
        <v>40527</v>
      </c>
      <c r="B2157" s="222" t="s">
        <v>2401</v>
      </c>
      <c r="C2157" s="222" t="s">
        <v>420</v>
      </c>
      <c r="D2157" s="432" t="s">
        <v>837</v>
      </c>
      <c r="E2157" s="107" t="str">
        <f>VLOOKUP(B2157&amp;C2157,Divipola!$C$2:$F$1138,4,FALSE)</f>
        <v>05361</v>
      </c>
      <c r="F2157" s="337"/>
      <c r="G2157" s="221"/>
      <c r="H2157" s="157"/>
      <c r="I2157" s="157"/>
      <c r="J2157" s="157">
        <v>758</v>
      </c>
      <c r="K2157" s="157">
        <v>251</v>
      </c>
      <c r="L2157" s="157"/>
      <c r="M2157" s="157">
        <v>163</v>
      </c>
      <c r="N2157" s="157"/>
      <c r="O2157" s="157"/>
      <c r="P2157" s="157"/>
      <c r="Q2157" s="157"/>
      <c r="R2157" s="157"/>
      <c r="S2157" s="157"/>
      <c r="T2157" s="157"/>
      <c r="U2157" s="157"/>
      <c r="V2157" s="158"/>
      <c r="W2157" s="182"/>
      <c r="X2157" s="1"/>
      <c r="Y2157" s="78">
        <f t="shared" si="264"/>
        <v>0</v>
      </c>
      <c r="Z2157" s="78">
        <f t="shared" si="265"/>
        <v>0</v>
      </c>
      <c r="AA2157" s="78">
        <f t="shared" si="263"/>
        <v>0</v>
      </c>
      <c r="AB2157" s="78">
        <f t="shared" si="266"/>
        <v>0</v>
      </c>
      <c r="AC2157" s="78"/>
      <c r="AD2157" s="78">
        <v>0</v>
      </c>
      <c r="AE2157" s="80">
        <f t="shared" si="269"/>
        <v>0</v>
      </c>
      <c r="AF2157" s="82">
        <v>0</v>
      </c>
      <c r="AG2157" s="69">
        <v>40596</v>
      </c>
      <c r="AH2157" s="84"/>
      <c r="AI2157" s="69" t="s">
        <v>1984</v>
      </c>
      <c r="AJ2157" s="25" t="s">
        <v>1985</v>
      </c>
      <c r="AK2157" s="65"/>
      <c r="AL2157" s="176" t="s">
        <v>1257</v>
      </c>
      <c r="AM2157" s="173" t="s">
        <v>436</v>
      </c>
      <c r="AN2157" s="159"/>
      <c r="AO2157" s="160"/>
      <c r="AP2157" s="161"/>
      <c r="AQ2157" s="160"/>
      <c r="AR2157" s="160"/>
      <c r="AS2157" s="160"/>
      <c r="AT2157" s="160"/>
      <c r="AU2157" s="160"/>
      <c r="AV2157" s="160"/>
      <c r="AW2157" s="160"/>
      <c r="AX2157" s="160"/>
      <c r="AY2157" s="160"/>
      <c r="AZ2157" s="160"/>
      <c r="BA2157" s="160"/>
      <c r="BB2157" s="160"/>
      <c r="BC2157" s="160"/>
      <c r="BD2157" s="160"/>
      <c r="BE2157" s="160"/>
      <c r="BF2157" s="160"/>
      <c r="BG2157" s="160"/>
      <c r="BH2157" s="160"/>
      <c r="BI2157" s="160"/>
      <c r="BJ2157" s="160"/>
      <c r="BK2157" s="160"/>
      <c r="BL2157" s="160"/>
      <c r="BM2157" s="160"/>
      <c r="BN2157" s="160"/>
      <c r="BO2157" s="160"/>
      <c r="BP2157" s="160"/>
      <c r="BQ2157" s="160"/>
      <c r="BR2157" s="160"/>
      <c r="BS2157" s="160"/>
      <c r="BT2157" s="160"/>
      <c r="BU2157" s="160"/>
      <c r="BV2157" s="160"/>
      <c r="BW2157" s="160"/>
      <c r="BX2157" s="160"/>
      <c r="BY2157" s="160"/>
      <c r="BZ2157" s="160"/>
      <c r="CA2157" s="160"/>
      <c r="CB2157" s="160"/>
      <c r="CC2157" s="160"/>
      <c r="CD2157" s="160"/>
      <c r="CE2157" s="160"/>
      <c r="CF2157" s="160"/>
      <c r="CG2157" s="160"/>
      <c r="CH2157" s="160"/>
      <c r="CI2157" s="160"/>
      <c r="CJ2157" s="160"/>
      <c r="CK2157" s="160"/>
      <c r="CL2157" s="160"/>
      <c r="CM2157" s="160"/>
      <c r="CN2157" s="160"/>
      <c r="CO2157" s="160"/>
      <c r="CP2157" s="162"/>
      <c r="CQ2157" s="163"/>
      <c r="CR2157" s="162"/>
      <c r="CS2157" s="163"/>
      <c r="CT2157" s="162"/>
      <c r="CU2157" s="163"/>
      <c r="CV2157" s="164">
        <f t="shared" si="267"/>
        <v>0</v>
      </c>
      <c r="CW2157" s="165"/>
      <c r="CX2157" s="166"/>
      <c r="CY2157" s="167"/>
      <c r="CZ2157" s="168"/>
      <c r="DA2157" s="169"/>
      <c r="DB2157" s="168"/>
      <c r="DC2157" s="165"/>
      <c r="DD2157" s="166"/>
      <c r="DE2157" s="71"/>
      <c r="DF2157" s="170"/>
      <c r="EO2157" s="375" t="str">
        <f t="shared" si="268"/>
        <v>ANTIOQUIA_ITUANGO</v>
      </c>
      <c r="EP2157" s="376"/>
      <c r="EQ2157" s="376"/>
      <c r="ER2157" s="377"/>
      <c r="ES2157" s="376"/>
      <c r="ET2157" s="376"/>
      <c r="EU2157" s="376"/>
    </row>
    <row r="2158" spans="1:151" s="171" customFormat="1" ht="25.5" x14ac:dyDescent="0.2">
      <c r="A2158" s="246">
        <v>40527</v>
      </c>
      <c r="B2158" s="222" t="s">
        <v>2401</v>
      </c>
      <c r="C2158" s="222" t="s">
        <v>421</v>
      </c>
      <c r="D2158" s="432" t="s">
        <v>837</v>
      </c>
      <c r="E2158" s="107" t="str">
        <f>VLOOKUP(B2158&amp;C2158,Divipola!$C$2:$F$1138,4,FALSE)</f>
        <v>05376</v>
      </c>
      <c r="F2158" s="337"/>
      <c r="G2158" s="221"/>
      <c r="H2158" s="157"/>
      <c r="I2158" s="157"/>
      <c r="J2158" s="157">
        <v>94</v>
      </c>
      <c r="K2158" s="157">
        <v>18</v>
      </c>
      <c r="L2158" s="157"/>
      <c r="M2158" s="157">
        <v>10</v>
      </c>
      <c r="N2158" s="157"/>
      <c r="O2158" s="157"/>
      <c r="P2158" s="157"/>
      <c r="Q2158" s="157"/>
      <c r="R2158" s="157"/>
      <c r="S2158" s="157"/>
      <c r="T2158" s="157"/>
      <c r="U2158" s="157"/>
      <c r="V2158" s="158"/>
      <c r="W2158" s="182"/>
      <c r="X2158" s="1"/>
      <c r="Y2158" s="78">
        <f t="shared" si="264"/>
        <v>0</v>
      </c>
      <c r="Z2158" s="78">
        <f t="shared" si="265"/>
        <v>0</v>
      </c>
      <c r="AA2158" s="78">
        <f t="shared" si="263"/>
        <v>0</v>
      </c>
      <c r="AB2158" s="78">
        <f t="shared" si="266"/>
        <v>0</v>
      </c>
      <c r="AC2158" s="78"/>
      <c r="AD2158" s="78">
        <v>0</v>
      </c>
      <c r="AE2158" s="80">
        <f t="shared" si="269"/>
        <v>0</v>
      </c>
      <c r="AF2158" s="82">
        <v>0</v>
      </c>
      <c r="AG2158" s="69">
        <v>40596</v>
      </c>
      <c r="AH2158" s="84"/>
      <c r="AI2158" s="69" t="s">
        <v>1984</v>
      </c>
      <c r="AJ2158" s="25" t="s">
        <v>1985</v>
      </c>
      <c r="AK2158" s="65"/>
      <c r="AL2158" s="176" t="s">
        <v>1257</v>
      </c>
      <c r="AM2158" s="173" t="s">
        <v>436</v>
      </c>
      <c r="AN2158" s="159"/>
      <c r="AO2158" s="160"/>
      <c r="AP2158" s="161"/>
      <c r="AQ2158" s="160"/>
      <c r="AR2158" s="160"/>
      <c r="AS2158" s="160"/>
      <c r="AT2158" s="160"/>
      <c r="AU2158" s="160"/>
      <c r="AV2158" s="160"/>
      <c r="AW2158" s="160"/>
      <c r="AX2158" s="160"/>
      <c r="AY2158" s="160"/>
      <c r="AZ2158" s="160"/>
      <c r="BA2158" s="160"/>
      <c r="BB2158" s="160"/>
      <c r="BC2158" s="160"/>
      <c r="BD2158" s="160"/>
      <c r="BE2158" s="160"/>
      <c r="BF2158" s="160"/>
      <c r="BG2158" s="160"/>
      <c r="BH2158" s="160"/>
      <c r="BI2158" s="160"/>
      <c r="BJ2158" s="160"/>
      <c r="BK2158" s="160"/>
      <c r="BL2158" s="160"/>
      <c r="BM2158" s="160"/>
      <c r="BN2158" s="160"/>
      <c r="BO2158" s="160"/>
      <c r="BP2158" s="160"/>
      <c r="BQ2158" s="160"/>
      <c r="BR2158" s="160"/>
      <c r="BS2158" s="160"/>
      <c r="BT2158" s="160"/>
      <c r="BU2158" s="160"/>
      <c r="BV2158" s="160"/>
      <c r="BW2158" s="160"/>
      <c r="BX2158" s="160"/>
      <c r="BY2158" s="160"/>
      <c r="BZ2158" s="160"/>
      <c r="CA2158" s="160"/>
      <c r="CB2158" s="160"/>
      <c r="CC2158" s="160"/>
      <c r="CD2158" s="160"/>
      <c r="CE2158" s="160"/>
      <c r="CF2158" s="160"/>
      <c r="CG2158" s="160"/>
      <c r="CH2158" s="160"/>
      <c r="CI2158" s="160"/>
      <c r="CJ2158" s="160"/>
      <c r="CK2158" s="160"/>
      <c r="CL2158" s="160"/>
      <c r="CM2158" s="160"/>
      <c r="CN2158" s="160"/>
      <c r="CO2158" s="160"/>
      <c r="CP2158" s="162"/>
      <c r="CQ2158" s="163"/>
      <c r="CR2158" s="162"/>
      <c r="CS2158" s="163"/>
      <c r="CT2158" s="162"/>
      <c r="CU2158" s="163"/>
      <c r="CV2158" s="164">
        <f t="shared" si="267"/>
        <v>0</v>
      </c>
      <c r="CW2158" s="165"/>
      <c r="CX2158" s="166"/>
      <c r="CY2158" s="167"/>
      <c r="CZ2158" s="168"/>
      <c r="DA2158" s="169"/>
      <c r="DB2158" s="168"/>
      <c r="DC2158" s="165"/>
      <c r="DD2158" s="166"/>
      <c r="DE2158" s="71"/>
      <c r="DF2158" s="170"/>
      <c r="EO2158" s="375" t="str">
        <f t="shared" si="268"/>
        <v>ANTIOQUIA_LA CEJA</v>
      </c>
      <c r="EP2158" s="376"/>
      <c r="EQ2158" s="376"/>
      <c r="ER2158" s="377"/>
      <c r="ES2158" s="376"/>
      <c r="ET2158" s="376"/>
      <c r="EU2158" s="376"/>
    </row>
    <row r="2159" spans="1:151" s="171" customFormat="1" ht="25.5" x14ac:dyDescent="0.2">
      <c r="A2159" s="246">
        <v>40527</v>
      </c>
      <c r="B2159" s="222" t="s">
        <v>2401</v>
      </c>
      <c r="C2159" s="222" t="s">
        <v>422</v>
      </c>
      <c r="D2159" s="432" t="s">
        <v>837</v>
      </c>
      <c r="E2159" s="107" t="str">
        <f>VLOOKUP(B2159&amp;C2159,Divipola!$C$2:$F$1138,4,FALSE)</f>
        <v>05411</v>
      </c>
      <c r="F2159" s="337"/>
      <c r="G2159" s="221"/>
      <c r="H2159" s="157"/>
      <c r="I2159" s="157"/>
      <c r="J2159" s="157">
        <v>417</v>
      </c>
      <c r="K2159" s="157">
        <v>101</v>
      </c>
      <c r="L2159" s="157">
        <v>12</v>
      </c>
      <c r="M2159" s="157">
        <v>84</v>
      </c>
      <c r="N2159" s="157"/>
      <c r="O2159" s="157"/>
      <c r="P2159" s="157"/>
      <c r="Q2159" s="157"/>
      <c r="R2159" s="157"/>
      <c r="S2159" s="157"/>
      <c r="T2159" s="157"/>
      <c r="U2159" s="157"/>
      <c r="V2159" s="158"/>
      <c r="W2159" s="182"/>
      <c r="X2159" s="1"/>
      <c r="Y2159" s="78">
        <f t="shared" si="264"/>
        <v>0</v>
      </c>
      <c r="Z2159" s="78">
        <f t="shared" si="265"/>
        <v>0</v>
      </c>
      <c r="AA2159" s="78">
        <f t="shared" si="263"/>
        <v>0</v>
      </c>
      <c r="AB2159" s="78">
        <f t="shared" si="266"/>
        <v>0</v>
      </c>
      <c r="AC2159" s="78"/>
      <c r="AD2159" s="78">
        <v>0</v>
      </c>
      <c r="AE2159" s="80">
        <f t="shared" si="269"/>
        <v>0</v>
      </c>
      <c r="AF2159" s="82">
        <v>0</v>
      </c>
      <c r="AG2159" s="69">
        <v>40596</v>
      </c>
      <c r="AH2159" s="84"/>
      <c r="AI2159" s="69" t="s">
        <v>1984</v>
      </c>
      <c r="AJ2159" s="25" t="s">
        <v>1985</v>
      </c>
      <c r="AK2159" s="65"/>
      <c r="AL2159" s="176" t="s">
        <v>1257</v>
      </c>
      <c r="AM2159" s="173" t="s">
        <v>436</v>
      </c>
      <c r="AN2159" s="159"/>
      <c r="AO2159" s="160"/>
      <c r="AP2159" s="161"/>
      <c r="AQ2159" s="160"/>
      <c r="AR2159" s="160"/>
      <c r="AS2159" s="160"/>
      <c r="AT2159" s="160"/>
      <c r="AU2159" s="160"/>
      <c r="AV2159" s="160"/>
      <c r="AW2159" s="160"/>
      <c r="AX2159" s="160"/>
      <c r="AY2159" s="160"/>
      <c r="AZ2159" s="160"/>
      <c r="BA2159" s="160"/>
      <c r="BB2159" s="160"/>
      <c r="BC2159" s="160"/>
      <c r="BD2159" s="160"/>
      <c r="BE2159" s="160"/>
      <c r="BF2159" s="160"/>
      <c r="BG2159" s="160"/>
      <c r="BH2159" s="160"/>
      <c r="BI2159" s="160"/>
      <c r="BJ2159" s="160"/>
      <c r="BK2159" s="160"/>
      <c r="BL2159" s="160"/>
      <c r="BM2159" s="160"/>
      <c r="BN2159" s="160"/>
      <c r="BO2159" s="160"/>
      <c r="BP2159" s="160"/>
      <c r="BQ2159" s="160"/>
      <c r="BR2159" s="160"/>
      <c r="BS2159" s="160"/>
      <c r="BT2159" s="160"/>
      <c r="BU2159" s="160"/>
      <c r="BV2159" s="160"/>
      <c r="BW2159" s="160"/>
      <c r="BX2159" s="160"/>
      <c r="BY2159" s="160"/>
      <c r="BZ2159" s="160"/>
      <c r="CA2159" s="160"/>
      <c r="CB2159" s="160"/>
      <c r="CC2159" s="160"/>
      <c r="CD2159" s="160"/>
      <c r="CE2159" s="160"/>
      <c r="CF2159" s="160"/>
      <c r="CG2159" s="160"/>
      <c r="CH2159" s="160"/>
      <c r="CI2159" s="160"/>
      <c r="CJ2159" s="160"/>
      <c r="CK2159" s="160"/>
      <c r="CL2159" s="160"/>
      <c r="CM2159" s="160"/>
      <c r="CN2159" s="160"/>
      <c r="CO2159" s="160"/>
      <c r="CP2159" s="162"/>
      <c r="CQ2159" s="163"/>
      <c r="CR2159" s="162"/>
      <c r="CS2159" s="163"/>
      <c r="CT2159" s="162"/>
      <c r="CU2159" s="163"/>
      <c r="CV2159" s="164">
        <f t="shared" si="267"/>
        <v>0</v>
      </c>
      <c r="CW2159" s="165"/>
      <c r="CX2159" s="166"/>
      <c r="CY2159" s="167"/>
      <c r="CZ2159" s="168"/>
      <c r="DA2159" s="169"/>
      <c r="DB2159" s="168"/>
      <c r="DC2159" s="165"/>
      <c r="DD2159" s="166"/>
      <c r="DE2159" s="71"/>
      <c r="DF2159" s="170"/>
      <c r="EO2159" s="375" t="str">
        <f t="shared" si="268"/>
        <v>ANTIOQUIA_LIBORINA</v>
      </c>
      <c r="EP2159" s="376"/>
      <c r="EQ2159" s="376"/>
      <c r="ER2159" s="377"/>
      <c r="ES2159" s="376"/>
      <c r="ET2159" s="376"/>
      <c r="EU2159" s="376"/>
    </row>
    <row r="2160" spans="1:151" s="171" customFormat="1" ht="38.25" x14ac:dyDescent="0.2">
      <c r="A2160" s="246">
        <v>40527</v>
      </c>
      <c r="B2160" s="222" t="s">
        <v>2401</v>
      </c>
      <c r="C2160" s="222" t="s">
        <v>423</v>
      </c>
      <c r="D2160" s="432" t="s">
        <v>837</v>
      </c>
      <c r="E2160" s="107" t="str">
        <f>VLOOKUP(B2160&amp;C2160,Divipola!$C$2:$F$1138,4,FALSE)</f>
        <v>05440</v>
      </c>
      <c r="F2160" s="337"/>
      <c r="G2160" s="221"/>
      <c r="H2160" s="157"/>
      <c r="I2160" s="157"/>
      <c r="J2160" s="157">
        <v>106</v>
      </c>
      <c r="K2160" s="157">
        <v>22</v>
      </c>
      <c r="L2160" s="157"/>
      <c r="M2160" s="157">
        <v>22</v>
      </c>
      <c r="N2160" s="157"/>
      <c r="O2160" s="157"/>
      <c r="P2160" s="157"/>
      <c r="Q2160" s="157"/>
      <c r="R2160" s="157"/>
      <c r="S2160" s="157"/>
      <c r="T2160" s="157"/>
      <c r="U2160" s="157"/>
      <c r="V2160" s="158"/>
      <c r="W2160" s="182"/>
      <c r="X2160" s="1"/>
      <c r="Y2160" s="78">
        <f t="shared" si="264"/>
        <v>0</v>
      </c>
      <c r="Z2160" s="78">
        <f t="shared" si="265"/>
        <v>0</v>
      </c>
      <c r="AA2160" s="78">
        <f t="shared" si="263"/>
        <v>0</v>
      </c>
      <c r="AB2160" s="78">
        <f t="shared" si="266"/>
        <v>0</v>
      </c>
      <c r="AC2160" s="78"/>
      <c r="AD2160" s="78">
        <v>0</v>
      </c>
      <c r="AE2160" s="80">
        <f t="shared" si="269"/>
        <v>0</v>
      </c>
      <c r="AF2160" s="82">
        <v>0</v>
      </c>
      <c r="AG2160" s="69">
        <v>40596</v>
      </c>
      <c r="AH2160" s="84"/>
      <c r="AI2160" s="69" t="s">
        <v>1984</v>
      </c>
      <c r="AJ2160" s="25" t="s">
        <v>1985</v>
      </c>
      <c r="AK2160" s="65"/>
      <c r="AL2160" s="176" t="s">
        <v>1257</v>
      </c>
      <c r="AM2160" s="173" t="s">
        <v>436</v>
      </c>
      <c r="AN2160" s="159"/>
      <c r="AO2160" s="160"/>
      <c r="AP2160" s="161"/>
      <c r="AQ2160" s="160"/>
      <c r="AR2160" s="160"/>
      <c r="AS2160" s="160"/>
      <c r="AT2160" s="160"/>
      <c r="AU2160" s="160"/>
      <c r="AV2160" s="160"/>
      <c r="AW2160" s="160"/>
      <c r="AX2160" s="160"/>
      <c r="AY2160" s="160"/>
      <c r="AZ2160" s="160"/>
      <c r="BA2160" s="160"/>
      <c r="BB2160" s="160"/>
      <c r="BC2160" s="160"/>
      <c r="BD2160" s="160"/>
      <c r="BE2160" s="160"/>
      <c r="BF2160" s="160"/>
      <c r="BG2160" s="160"/>
      <c r="BH2160" s="160"/>
      <c r="BI2160" s="160"/>
      <c r="BJ2160" s="160"/>
      <c r="BK2160" s="160"/>
      <c r="BL2160" s="160"/>
      <c r="BM2160" s="160"/>
      <c r="BN2160" s="160"/>
      <c r="BO2160" s="160"/>
      <c r="BP2160" s="160"/>
      <c r="BQ2160" s="160"/>
      <c r="BR2160" s="160"/>
      <c r="BS2160" s="160"/>
      <c r="BT2160" s="160"/>
      <c r="BU2160" s="160"/>
      <c r="BV2160" s="160"/>
      <c r="BW2160" s="160"/>
      <c r="BX2160" s="160"/>
      <c r="BY2160" s="160"/>
      <c r="BZ2160" s="160"/>
      <c r="CA2160" s="160"/>
      <c r="CB2160" s="160"/>
      <c r="CC2160" s="160"/>
      <c r="CD2160" s="160"/>
      <c r="CE2160" s="160"/>
      <c r="CF2160" s="160"/>
      <c r="CG2160" s="160"/>
      <c r="CH2160" s="160"/>
      <c r="CI2160" s="160"/>
      <c r="CJ2160" s="160"/>
      <c r="CK2160" s="160"/>
      <c r="CL2160" s="160"/>
      <c r="CM2160" s="160"/>
      <c r="CN2160" s="160"/>
      <c r="CO2160" s="160"/>
      <c r="CP2160" s="162"/>
      <c r="CQ2160" s="163"/>
      <c r="CR2160" s="162"/>
      <c r="CS2160" s="163"/>
      <c r="CT2160" s="162"/>
      <c r="CU2160" s="163"/>
      <c r="CV2160" s="164">
        <f t="shared" si="267"/>
        <v>0</v>
      </c>
      <c r="CW2160" s="165"/>
      <c r="CX2160" s="166"/>
      <c r="CY2160" s="167"/>
      <c r="CZ2160" s="168"/>
      <c r="DA2160" s="169"/>
      <c r="DB2160" s="168"/>
      <c r="DC2160" s="165"/>
      <c r="DD2160" s="166"/>
      <c r="DE2160" s="71"/>
      <c r="DF2160" s="170"/>
      <c r="EO2160" s="375" t="str">
        <f t="shared" si="268"/>
        <v>ANTIOQUIA_MARINILLA</v>
      </c>
      <c r="EP2160" s="376"/>
      <c r="EQ2160" s="376"/>
      <c r="ER2160" s="377"/>
      <c r="ES2160" s="376"/>
      <c r="ET2160" s="376"/>
      <c r="EU2160" s="376"/>
    </row>
    <row r="2161" spans="1:151" s="171" customFormat="1" ht="25.5" x14ac:dyDescent="0.2">
      <c r="A2161" s="246">
        <v>40527</v>
      </c>
      <c r="B2161" s="222" t="s">
        <v>2401</v>
      </c>
      <c r="C2161" s="222" t="s">
        <v>3971</v>
      </c>
      <c r="D2161" s="432" t="s">
        <v>837</v>
      </c>
      <c r="E2161" s="107" t="str">
        <f>VLOOKUP(B2161&amp;C2161,Divipola!$C$2:$F$1138,4,FALSE)</f>
        <v>05541</v>
      </c>
      <c r="F2161" s="337"/>
      <c r="G2161" s="221"/>
      <c r="H2161" s="157"/>
      <c r="I2161" s="157"/>
      <c r="J2161" s="157">
        <v>51</v>
      </c>
      <c r="K2161" s="157">
        <v>12</v>
      </c>
      <c r="L2161" s="157">
        <v>5</v>
      </c>
      <c r="M2161" s="157">
        <v>6</v>
      </c>
      <c r="N2161" s="157"/>
      <c r="O2161" s="157"/>
      <c r="P2161" s="157"/>
      <c r="Q2161" s="157"/>
      <c r="R2161" s="157"/>
      <c r="S2161" s="157"/>
      <c r="T2161" s="157"/>
      <c r="U2161" s="157"/>
      <c r="V2161" s="158"/>
      <c r="W2161" s="182"/>
      <c r="X2161" s="1"/>
      <c r="Y2161" s="78">
        <f t="shared" si="264"/>
        <v>0</v>
      </c>
      <c r="Z2161" s="78">
        <f t="shared" si="265"/>
        <v>0</v>
      </c>
      <c r="AA2161" s="78">
        <f t="shared" si="263"/>
        <v>0</v>
      </c>
      <c r="AB2161" s="78">
        <f t="shared" si="266"/>
        <v>0</v>
      </c>
      <c r="AC2161" s="78"/>
      <c r="AD2161" s="78">
        <v>0</v>
      </c>
      <c r="AE2161" s="80">
        <f t="shared" si="269"/>
        <v>0</v>
      </c>
      <c r="AF2161" s="82">
        <v>0</v>
      </c>
      <c r="AG2161" s="69">
        <v>40596</v>
      </c>
      <c r="AH2161" s="84"/>
      <c r="AI2161" s="69" t="s">
        <v>1984</v>
      </c>
      <c r="AJ2161" s="25" t="s">
        <v>1985</v>
      </c>
      <c r="AK2161" s="65"/>
      <c r="AL2161" s="176" t="s">
        <v>1257</v>
      </c>
      <c r="AM2161" s="173" t="s">
        <v>436</v>
      </c>
      <c r="AN2161" s="159"/>
      <c r="AO2161" s="160"/>
      <c r="AP2161" s="161"/>
      <c r="AQ2161" s="160"/>
      <c r="AR2161" s="160"/>
      <c r="AS2161" s="160"/>
      <c r="AT2161" s="160"/>
      <c r="AU2161" s="160"/>
      <c r="AV2161" s="160"/>
      <c r="AW2161" s="160"/>
      <c r="AX2161" s="160"/>
      <c r="AY2161" s="160"/>
      <c r="AZ2161" s="160"/>
      <c r="BA2161" s="160"/>
      <c r="BB2161" s="160"/>
      <c r="BC2161" s="160"/>
      <c r="BD2161" s="160"/>
      <c r="BE2161" s="160"/>
      <c r="BF2161" s="160"/>
      <c r="BG2161" s="160"/>
      <c r="BH2161" s="160"/>
      <c r="BI2161" s="160"/>
      <c r="BJ2161" s="160"/>
      <c r="BK2161" s="160"/>
      <c r="BL2161" s="160"/>
      <c r="BM2161" s="160"/>
      <c r="BN2161" s="160"/>
      <c r="BO2161" s="160"/>
      <c r="BP2161" s="160"/>
      <c r="BQ2161" s="160"/>
      <c r="BR2161" s="160"/>
      <c r="BS2161" s="160"/>
      <c r="BT2161" s="160"/>
      <c r="BU2161" s="160"/>
      <c r="BV2161" s="160"/>
      <c r="BW2161" s="160"/>
      <c r="BX2161" s="160"/>
      <c r="BY2161" s="160"/>
      <c r="BZ2161" s="160"/>
      <c r="CA2161" s="160"/>
      <c r="CB2161" s="160"/>
      <c r="CC2161" s="160"/>
      <c r="CD2161" s="160"/>
      <c r="CE2161" s="160"/>
      <c r="CF2161" s="160"/>
      <c r="CG2161" s="160"/>
      <c r="CH2161" s="160"/>
      <c r="CI2161" s="160"/>
      <c r="CJ2161" s="160"/>
      <c r="CK2161" s="160"/>
      <c r="CL2161" s="160"/>
      <c r="CM2161" s="160"/>
      <c r="CN2161" s="160"/>
      <c r="CO2161" s="160"/>
      <c r="CP2161" s="162"/>
      <c r="CQ2161" s="163"/>
      <c r="CR2161" s="162"/>
      <c r="CS2161" s="163"/>
      <c r="CT2161" s="162"/>
      <c r="CU2161" s="163"/>
      <c r="CV2161" s="164">
        <f t="shared" si="267"/>
        <v>0</v>
      </c>
      <c r="CW2161" s="165"/>
      <c r="CX2161" s="166"/>
      <c r="CY2161" s="167"/>
      <c r="CZ2161" s="168"/>
      <c r="DA2161" s="169"/>
      <c r="DB2161" s="168"/>
      <c r="DC2161" s="165"/>
      <c r="DD2161" s="166"/>
      <c r="DE2161" s="71"/>
      <c r="DF2161" s="170"/>
      <c r="EO2161" s="375" t="str">
        <f t="shared" si="268"/>
        <v>ANTIOQUIA_PEÑOL</v>
      </c>
      <c r="EP2161" s="376"/>
      <c r="EQ2161" s="376"/>
      <c r="ER2161" s="377"/>
      <c r="ES2161" s="376"/>
      <c r="ET2161" s="376"/>
      <c r="EU2161" s="376"/>
    </row>
    <row r="2162" spans="1:151" s="171" customFormat="1" ht="25.5" x14ac:dyDescent="0.2">
      <c r="A2162" s="246">
        <v>40527</v>
      </c>
      <c r="B2162" s="222" t="s">
        <v>2401</v>
      </c>
      <c r="C2162" s="222" t="s">
        <v>424</v>
      </c>
      <c r="D2162" s="432" t="s">
        <v>837</v>
      </c>
      <c r="E2162" s="107" t="str">
        <f>VLOOKUP(B2162&amp;C2162,Divipola!$C$2:$F$1138,4,FALSE)</f>
        <v>05543</v>
      </c>
      <c r="F2162" s="337"/>
      <c r="G2162" s="221"/>
      <c r="H2162" s="157"/>
      <c r="I2162" s="157"/>
      <c r="J2162" s="157">
        <v>332</v>
      </c>
      <c r="K2162" s="157">
        <v>77</v>
      </c>
      <c r="L2162" s="157">
        <v>35</v>
      </c>
      <c r="M2162" s="157">
        <v>37</v>
      </c>
      <c r="N2162" s="157"/>
      <c r="O2162" s="157"/>
      <c r="P2162" s="157"/>
      <c r="Q2162" s="157"/>
      <c r="R2162" s="157"/>
      <c r="S2162" s="157"/>
      <c r="T2162" s="157"/>
      <c r="U2162" s="157"/>
      <c r="V2162" s="158"/>
      <c r="W2162" s="182"/>
      <c r="X2162" s="1"/>
      <c r="Y2162" s="78">
        <f t="shared" si="264"/>
        <v>0</v>
      </c>
      <c r="Z2162" s="78">
        <f t="shared" si="265"/>
        <v>0</v>
      </c>
      <c r="AA2162" s="78">
        <f t="shared" si="263"/>
        <v>0</v>
      </c>
      <c r="AB2162" s="78">
        <f t="shared" si="266"/>
        <v>0</v>
      </c>
      <c r="AC2162" s="78"/>
      <c r="AD2162" s="78">
        <v>0</v>
      </c>
      <c r="AE2162" s="80">
        <f t="shared" si="269"/>
        <v>0</v>
      </c>
      <c r="AF2162" s="82">
        <v>0</v>
      </c>
      <c r="AG2162" s="69">
        <v>40596</v>
      </c>
      <c r="AH2162" s="84"/>
      <c r="AI2162" s="69" t="s">
        <v>1984</v>
      </c>
      <c r="AJ2162" s="25" t="s">
        <v>1985</v>
      </c>
      <c r="AK2162" s="65"/>
      <c r="AL2162" s="176" t="s">
        <v>1257</v>
      </c>
      <c r="AM2162" s="173" t="s">
        <v>436</v>
      </c>
      <c r="AN2162" s="159"/>
      <c r="AO2162" s="160"/>
      <c r="AP2162" s="161"/>
      <c r="AQ2162" s="160"/>
      <c r="AR2162" s="160"/>
      <c r="AS2162" s="160"/>
      <c r="AT2162" s="160"/>
      <c r="AU2162" s="160"/>
      <c r="AV2162" s="160"/>
      <c r="AW2162" s="160"/>
      <c r="AX2162" s="160"/>
      <c r="AY2162" s="160"/>
      <c r="AZ2162" s="160"/>
      <c r="BA2162" s="160"/>
      <c r="BB2162" s="160"/>
      <c r="BC2162" s="160"/>
      <c r="BD2162" s="160"/>
      <c r="BE2162" s="160"/>
      <c r="BF2162" s="160"/>
      <c r="BG2162" s="160"/>
      <c r="BH2162" s="160"/>
      <c r="BI2162" s="160"/>
      <c r="BJ2162" s="160"/>
      <c r="BK2162" s="160"/>
      <c r="BL2162" s="160"/>
      <c r="BM2162" s="160"/>
      <c r="BN2162" s="160"/>
      <c r="BO2162" s="160"/>
      <c r="BP2162" s="160"/>
      <c r="BQ2162" s="160"/>
      <c r="BR2162" s="160"/>
      <c r="BS2162" s="160"/>
      <c r="BT2162" s="160"/>
      <c r="BU2162" s="160"/>
      <c r="BV2162" s="160"/>
      <c r="BW2162" s="160"/>
      <c r="BX2162" s="160"/>
      <c r="BY2162" s="160"/>
      <c r="BZ2162" s="160"/>
      <c r="CA2162" s="160"/>
      <c r="CB2162" s="160"/>
      <c r="CC2162" s="160"/>
      <c r="CD2162" s="160"/>
      <c r="CE2162" s="160"/>
      <c r="CF2162" s="160"/>
      <c r="CG2162" s="160"/>
      <c r="CH2162" s="160"/>
      <c r="CI2162" s="160"/>
      <c r="CJ2162" s="160"/>
      <c r="CK2162" s="160"/>
      <c r="CL2162" s="160"/>
      <c r="CM2162" s="160"/>
      <c r="CN2162" s="160"/>
      <c r="CO2162" s="160"/>
      <c r="CP2162" s="162"/>
      <c r="CQ2162" s="163"/>
      <c r="CR2162" s="162"/>
      <c r="CS2162" s="163"/>
      <c r="CT2162" s="162"/>
      <c r="CU2162" s="163"/>
      <c r="CV2162" s="164">
        <f t="shared" si="267"/>
        <v>0</v>
      </c>
      <c r="CW2162" s="165"/>
      <c r="CX2162" s="166"/>
      <c r="CY2162" s="167"/>
      <c r="CZ2162" s="168"/>
      <c r="DA2162" s="169"/>
      <c r="DB2162" s="168"/>
      <c r="DC2162" s="165"/>
      <c r="DD2162" s="166"/>
      <c r="DE2162" s="71"/>
      <c r="DF2162" s="170"/>
      <c r="EO2162" s="375" t="str">
        <f t="shared" si="268"/>
        <v>ANTIOQUIA_PEQUE</v>
      </c>
      <c r="EP2162" s="376"/>
      <c r="EQ2162" s="376"/>
      <c r="ER2162" s="377"/>
      <c r="ES2162" s="376"/>
      <c r="ET2162" s="376"/>
      <c r="EU2162" s="376"/>
    </row>
    <row r="2163" spans="1:151" s="171" customFormat="1" ht="38.25" x14ac:dyDescent="0.2">
      <c r="A2163" s="246">
        <v>40527</v>
      </c>
      <c r="B2163" s="222" t="s">
        <v>2401</v>
      </c>
      <c r="C2163" s="222" t="s">
        <v>425</v>
      </c>
      <c r="D2163" s="432" t="s">
        <v>837</v>
      </c>
      <c r="E2163" s="107" t="str">
        <f>VLOOKUP(B2163&amp;C2163,Divipola!$C$2:$F$1138,4,FALSE)</f>
        <v>05576</v>
      </c>
      <c r="F2163" s="337"/>
      <c r="G2163" s="221"/>
      <c r="H2163" s="157"/>
      <c r="I2163" s="157"/>
      <c r="J2163" s="157">
        <v>235</v>
      </c>
      <c r="K2163" s="157">
        <v>55</v>
      </c>
      <c r="L2163" s="157">
        <v>44</v>
      </c>
      <c r="M2163" s="157"/>
      <c r="N2163" s="157"/>
      <c r="O2163" s="157"/>
      <c r="P2163" s="157"/>
      <c r="Q2163" s="157"/>
      <c r="R2163" s="157"/>
      <c r="S2163" s="157"/>
      <c r="T2163" s="157"/>
      <c r="U2163" s="157"/>
      <c r="V2163" s="158"/>
      <c r="W2163" s="182"/>
      <c r="X2163" s="1"/>
      <c r="Y2163" s="78">
        <f t="shared" si="264"/>
        <v>0</v>
      </c>
      <c r="Z2163" s="78">
        <f t="shared" si="265"/>
        <v>0</v>
      </c>
      <c r="AA2163" s="78">
        <f t="shared" si="263"/>
        <v>0</v>
      </c>
      <c r="AB2163" s="78">
        <f t="shared" si="266"/>
        <v>0</v>
      </c>
      <c r="AC2163" s="78"/>
      <c r="AD2163" s="78">
        <v>0</v>
      </c>
      <c r="AE2163" s="80">
        <f t="shared" si="269"/>
        <v>0</v>
      </c>
      <c r="AF2163" s="82">
        <v>0</v>
      </c>
      <c r="AG2163" s="69">
        <v>40596</v>
      </c>
      <c r="AH2163" s="84"/>
      <c r="AI2163" s="69" t="s">
        <v>1984</v>
      </c>
      <c r="AJ2163" s="25" t="s">
        <v>1985</v>
      </c>
      <c r="AK2163" s="65"/>
      <c r="AL2163" s="176" t="s">
        <v>1257</v>
      </c>
      <c r="AM2163" s="173" t="s">
        <v>436</v>
      </c>
      <c r="AN2163" s="159"/>
      <c r="AO2163" s="160"/>
      <c r="AP2163" s="161"/>
      <c r="AQ2163" s="160"/>
      <c r="AR2163" s="160"/>
      <c r="AS2163" s="160"/>
      <c r="AT2163" s="160"/>
      <c r="AU2163" s="160"/>
      <c r="AV2163" s="160"/>
      <c r="AW2163" s="160"/>
      <c r="AX2163" s="160"/>
      <c r="AY2163" s="160"/>
      <c r="AZ2163" s="160"/>
      <c r="BA2163" s="160"/>
      <c r="BB2163" s="160"/>
      <c r="BC2163" s="160"/>
      <c r="BD2163" s="160"/>
      <c r="BE2163" s="160"/>
      <c r="BF2163" s="160"/>
      <c r="BG2163" s="160"/>
      <c r="BH2163" s="160"/>
      <c r="BI2163" s="160"/>
      <c r="BJ2163" s="160"/>
      <c r="BK2163" s="160"/>
      <c r="BL2163" s="160"/>
      <c r="BM2163" s="160"/>
      <c r="BN2163" s="160"/>
      <c r="BO2163" s="160"/>
      <c r="BP2163" s="160"/>
      <c r="BQ2163" s="160"/>
      <c r="BR2163" s="160"/>
      <c r="BS2163" s="160"/>
      <c r="BT2163" s="160"/>
      <c r="BU2163" s="160"/>
      <c r="BV2163" s="160"/>
      <c r="BW2163" s="160"/>
      <c r="BX2163" s="160"/>
      <c r="BY2163" s="160"/>
      <c r="BZ2163" s="160"/>
      <c r="CA2163" s="160"/>
      <c r="CB2163" s="160"/>
      <c r="CC2163" s="160"/>
      <c r="CD2163" s="160"/>
      <c r="CE2163" s="160"/>
      <c r="CF2163" s="160"/>
      <c r="CG2163" s="160"/>
      <c r="CH2163" s="160"/>
      <c r="CI2163" s="160"/>
      <c r="CJ2163" s="160"/>
      <c r="CK2163" s="160"/>
      <c r="CL2163" s="160"/>
      <c r="CM2163" s="160"/>
      <c r="CN2163" s="160"/>
      <c r="CO2163" s="160"/>
      <c r="CP2163" s="162"/>
      <c r="CQ2163" s="163"/>
      <c r="CR2163" s="162"/>
      <c r="CS2163" s="163"/>
      <c r="CT2163" s="162"/>
      <c r="CU2163" s="163"/>
      <c r="CV2163" s="164">
        <f t="shared" si="267"/>
        <v>0</v>
      </c>
      <c r="CW2163" s="165"/>
      <c r="CX2163" s="166"/>
      <c r="CY2163" s="167"/>
      <c r="CZ2163" s="168"/>
      <c r="DA2163" s="169"/>
      <c r="DB2163" s="168"/>
      <c r="DC2163" s="165"/>
      <c r="DD2163" s="166"/>
      <c r="DE2163" s="71"/>
      <c r="DF2163" s="170"/>
      <c r="EO2163" s="375" t="str">
        <f t="shared" si="268"/>
        <v>ANTIOQUIA_PUEBLORRICO</v>
      </c>
      <c r="EP2163" s="376"/>
      <c r="EQ2163" s="376"/>
      <c r="ER2163" s="377"/>
      <c r="ES2163" s="376"/>
      <c r="ET2163" s="376"/>
      <c r="EU2163" s="376"/>
    </row>
    <row r="2164" spans="1:151" s="171" customFormat="1" ht="25.5" x14ac:dyDescent="0.2">
      <c r="A2164" s="246">
        <v>40527</v>
      </c>
      <c r="B2164" s="222" t="s">
        <v>2401</v>
      </c>
      <c r="C2164" s="222" t="s">
        <v>3980</v>
      </c>
      <c r="D2164" s="432" t="s">
        <v>837</v>
      </c>
      <c r="E2164" s="107" t="str">
        <f>VLOOKUP(B2164&amp;C2164,Divipola!$C$2:$F$1138,4,FALSE)</f>
        <v>05607</v>
      </c>
      <c r="F2164" s="337"/>
      <c r="G2164" s="221"/>
      <c r="H2164" s="157"/>
      <c r="I2164" s="157"/>
      <c r="J2164" s="157">
        <v>36</v>
      </c>
      <c r="K2164" s="157">
        <v>17</v>
      </c>
      <c r="L2164" s="157">
        <v>6</v>
      </c>
      <c r="M2164" s="157">
        <v>10</v>
      </c>
      <c r="N2164" s="157"/>
      <c r="O2164" s="157"/>
      <c r="P2164" s="157"/>
      <c r="Q2164" s="157"/>
      <c r="R2164" s="157"/>
      <c r="S2164" s="157"/>
      <c r="T2164" s="157"/>
      <c r="U2164" s="157"/>
      <c r="V2164" s="158"/>
      <c r="W2164" s="182"/>
      <c r="X2164" s="1"/>
      <c r="Y2164" s="78">
        <f t="shared" si="264"/>
        <v>0</v>
      </c>
      <c r="Z2164" s="78">
        <f t="shared" si="265"/>
        <v>0</v>
      </c>
      <c r="AA2164" s="78">
        <f t="shared" si="263"/>
        <v>0</v>
      </c>
      <c r="AB2164" s="78">
        <f t="shared" si="266"/>
        <v>0</v>
      </c>
      <c r="AC2164" s="78"/>
      <c r="AD2164" s="78">
        <v>0</v>
      </c>
      <c r="AE2164" s="80">
        <f t="shared" si="269"/>
        <v>0</v>
      </c>
      <c r="AF2164" s="82">
        <v>0</v>
      </c>
      <c r="AG2164" s="69">
        <v>40596</v>
      </c>
      <c r="AH2164" s="84"/>
      <c r="AI2164" s="69" t="s">
        <v>1984</v>
      </c>
      <c r="AJ2164" s="25" t="s">
        <v>1985</v>
      </c>
      <c r="AK2164" s="65"/>
      <c r="AL2164" s="176" t="s">
        <v>1257</v>
      </c>
      <c r="AM2164" s="173" t="s">
        <v>436</v>
      </c>
      <c r="AN2164" s="159"/>
      <c r="AO2164" s="160"/>
      <c r="AP2164" s="161"/>
      <c r="AQ2164" s="160"/>
      <c r="AR2164" s="160"/>
      <c r="AS2164" s="160"/>
      <c r="AT2164" s="160"/>
      <c r="AU2164" s="160"/>
      <c r="AV2164" s="160"/>
      <c r="AW2164" s="160"/>
      <c r="AX2164" s="160"/>
      <c r="AY2164" s="160"/>
      <c r="AZ2164" s="160"/>
      <c r="BA2164" s="160"/>
      <c r="BB2164" s="160"/>
      <c r="BC2164" s="160"/>
      <c r="BD2164" s="160"/>
      <c r="BE2164" s="160"/>
      <c r="BF2164" s="160"/>
      <c r="BG2164" s="160"/>
      <c r="BH2164" s="160"/>
      <c r="BI2164" s="160"/>
      <c r="BJ2164" s="160"/>
      <c r="BK2164" s="160"/>
      <c r="BL2164" s="160"/>
      <c r="BM2164" s="160"/>
      <c r="BN2164" s="160"/>
      <c r="BO2164" s="160"/>
      <c r="BP2164" s="160"/>
      <c r="BQ2164" s="160"/>
      <c r="BR2164" s="160"/>
      <c r="BS2164" s="160"/>
      <c r="BT2164" s="160"/>
      <c r="BU2164" s="160"/>
      <c r="BV2164" s="160"/>
      <c r="BW2164" s="160"/>
      <c r="BX2164" s="160"/>
      <c r="BY2164" s="160"/>
      <c r="BZ2164" s="160"/>
      <c r="CA2164" s="160"/>
      <c r="CB2164" s="160"/>
      <c r="CC2164" s="160"/>
      <c r="CD2164" s="160"/>
      <c r="CE2164" s="160"/>
      <c r="CF2164" s="160"/>
      <c r="CG2164" s="160"/>
      <c r="CH2164" s="160"/>
      <c r="CI2164" s="160"/>
      <c r="CJ2164" s="160"/>
      <c r="CK2164" s="160"/>
      <c r="CL2164" s="160"/>
      <c r="CM2164" s="160"/>
      <c r="CN2164" s="160"/>
      <c r="CO2164" s="160"/>
      <c r="CP2164" s="162"/>
      <c r="CQ2164" s="163"/>
      <c r="CR2164" s="162"/>
      <c r="CS2164" s="163"/>
      <c r="CT2164" s="162"/>
      <c r="CU2164" s="163"/>
      <c r="CV2164" s="164">
        <f t="shared" si="267"/>
        <v>0</v>
      </c>
      <c r="CW2164" s="165"/>
      <c r="CX2164" s="166"/>
      <c r="CY2164" s="167"/>
      <c r="CZ2164" s="168"/>
      <c r="DA2164" s="169"/>
      <c r="DB2164" s="168"/>
      <c r="DC2164" s="165"/>
      <c r="DD2164" s="166"/>
      <c r="DE2164" s="71"/>
      <c r="DF2164" s="170"/>
      <c r="EO2164" s="375" t="str">
        <f t="shared" si="268"/>
        <v>ANTIOQUIA_RETIRO</v>
      </c>
      <c r="EP2164" s="376"/>
      <c r="EQ2164" s="376"/>
      <c r="ER2164" s="377"/>
      <c r="ES2164" s="376"/>
      <c r="ET2164" s="376"/>
      <c r="EU2164" s="376"/>
    </row>
    <row r="2165" spans="1:151" s="171" customFormat="1" ht="38.25" x14ac:dyDescent="0.2">
      <c r="A2165" s="246">
        <v>40527</v>
      </c>
      <c r="B2165" s="222" t="s">
        <v>2401</v>
      </c>
      <c r="C2165" s="222" t="s">
        <v>674</v>
      </c>
      <c r="D2165" s="432" t="s">
        <v>837</v>
      </c>
      <c r="E2165" s="107" t="str">
        <f>VLOOKUP(B2165&amp;C2165,Divipola!$C$2:$F$1138,4,FALSE)</f>
        <v>05628</v>
      </c>
      <c r="F2165" s="337"/>
      <c r="G2165" s="221"/>
      <c r="H2165" s="157"/>
      <c r="I2165" s="157"/>
      <c r="J2165" s="157">
        <v>89</v>
      </c>
      <c r="K2165" s="157">
        <v>22</v>
      </c>
      <c r="L2165" s="157">
        <v>21</v>
      </c>
      <c r="M2165" s="157">
        <v>1</v>
      </c>
      <c r="N2165" s="157"/>
      <c r="O2165" s="157"/>
      <c r="P2165" s="157"/>
      <c r="Q2165" s="157"/>
      <c r="R2165" s="157"/>
      <c r="S2165" s="157"/>
      <c r="T2165" s="157"/>
      <c r="U2165" s="157"/>
      <c r="V2165" s="158"/>
      <c r="W2165" s="182"/>
      <c r="X2165" s="1"/>
      <c r="Y2165" s="78">
        <f t="shared" si="264"/>
        <v>0</v>
      </c>
      <c r="Z2165" s="78">
        <f t="shared" si="265"/>
        <v>0</v>
      </c>
      <c r="AA2165" s="78">
        <f t="shared" ref="AA2165:AA2228" si="270">DB2165+DD2165</f>
        <v>0</v>
      </c>
      <c r="AB2165" s="78">
        <f t="shared" si="266"/>
        <v>0</v>
      </c>
      <c r="AC2165" s="78"/>
      <c r="AD2165" s="78">
        <v>0</v>
      </c>
      <c r="AE2165" s="80">
        <f t="shared" si="269"/>
        <v>0</v>
      </c>
      <c r="AF2165" s="82">
        <v>0</v>
      </c>
      <c r="AG2165" s="69">
        <v>40596</v>
      </c>
      <c r="AH2165" s="84"/>
      <c r="AI2165" s="69" t="s">
        <v>1984</v>
      </c>
      <c r="AJ2165" s="25" t="s">
        <v>1985</v>
      </c>
      <c r="AK2165" s="65"/>
      <c r="AL2165" s="176" t="s">
        <v>1257</v>
      </c>
      <c r="AM2165" s="173" t="s">
        <v>436</v>
      </c>
      <c r="AN2165" s="159"/>
      <c r="AO2165" s="160"/>
      <c r="AP2165" s="161"/>
      <c r="AQ2165" s="160"/>
      <c r="AR2165" s="160"/>
      <c r="AS2165" s="160"/>
      <c r="AT2165" s="160"/>
      <c r="AU2165" s="160"/>
      <c r="AV2165" s="160"/>
      <c r="AW2165" s="160"/>
      <c r="AX2165" s="160"/>
      <c r="AY2165" s="160"/>
      <c r="AZ2165" s="160"/>
      <c r="BA2165" s="160"/>
      <c r="BB2165" s="160"/>
      <c r="BC2165" s="160"/>
      <c r="BD2165" s="160"/>
      <c r="BE2165" s="160"/>
      <c r="BF2165" s="160"/>
      <c r="BG2165" s="160"/>
      <c r="BH2165" s="160"/>
      <c r="BI2165" s="160"/>
      <c r="BJ2165" s="160"/>
      <c r="BK2165" s="160"/>
      <c r="BL2165" s="160"/>
      <c r="BM2165" s="160"/>
      <c r="BN2165" s="160"/>
      <c r="BO2165" s="160"/>
      <c r="BP2165" s="160"/>
      <c r="BQ2165" s="160"/>
      <c r="BR2165" s="160"/>
      <c r="BS2165" s="160"/>
      <c r="BT2165" s="160"/>
      <c r="BU2165" s="160"/>
      <c r="BV2165" s="160"/>
      <c r="BW2165" s="160"/>
      <c r="BX2165" s="160"/>
      <c r="BY2165" s="160"/>
      <c r="BZ2165" s="160"/>
      <c r="CA2165" s="160"/>
      <c r="CB2165" s="160"/>
      <c r="CC2165" s="160"/>
      <c r="CD2165" s="160"/>
      <c r="CE2165" s="160"/>
      <c r="CF2165" s="160"/>
      <c r="CG2165" s="160"/>
      <c r="CH2165" s="160"/>
      <c r="CI2165" s="160"/>
      <c r="CJ2165" s="160"/>
      <c r="CK2165" s="160"/>
      <c r="CL2165" s="160"/>
      <c r="CM2165" s="160"/>
      <c r="CN2165" s="160"/>
      <c r="CO2165" s="160"/>
      <c r="CP2165" s="162"/>
      <c r="CQ2165" s="163"/>
      <c r="CR2165" s="162"/>
      <c r="CS2165" s="163"/>
      <c r="CT2165" s="162"/>
      <c r="CU2165" s="163"/>
      <c r="CV2165" s="164">
        <f t="shared" si="267"/>
        <v>0</v>
      </c>
      <c r="CW2165" s="165"/>
      <c r="CX2165" s="166"/>
      <c r="CY2165" s="167"/>
      <c r="CZ2165" s="168"/>
      <c r="DA2165" s="169"/>
      <c r="DB2165" s="168"/>
      <c r="DC2165" s="165"/>
      <c r="DD2165" s="166"/>
      <c r="DE2165" s="71"/>
      <c r="DF2165" s="170"/>
      <c r="EO2165" s="375" t="str">
        <f t="shared" si="268"/>
        <v>ANTIOQUIA_SABANALARGA</v>
      </c>
      <c r="EP2165" s="376"/>
      <c r="EQ2165" s="376"/>
      <c r="ER2165" s="377"/>
      <c r="ES2165" s="376"/>
      <c r="ET2165" s="376"/>
      <c r="EU2165" s="376"/>
    </row>
    <row r="2166" spans="1:151" s="171" customFormat="1" ht="38.25" x14ac:dyDescent="0.2">
      <c r="A2166" s="246">
        <v>40527</v>
      </c>
      <c r="B2166" s="222" t="s">
        <v>2401</v>
      </c>
      <c r="C2166" s="222" t="s">
        <v>426</v>
      </c>
      <c r="D2166" s="432" t="s">
        <v>837</v>
      </c>
      <c r="E2166" s="107" t="str">
        <f>VLOOKUP(B2166&amp;C2166,Divipola!$C$2:$F$1138,4,FALSE)</f>
        <v>05631</v>
      </c>
      <c r="F2166" s="337"/>
      <c r="G2166" s="221"/>
      <c r="H2166" s="157"/>
      <c r="I2166" s="157"/>
      <c r="J2166" s="157">
        <v>75</v>
      </c>
      <c r="K2166" s="157">
        <v>21</v>
      </c>
      <c r="L2166" s="157">
        <v>1</v>
      </c>
      <c r="M2166" s="157">
        <v>11</v>
      </c>
      <c r="N2166" s="157"/>
      <c r="O2166" s="157"/>
      <c r="P2166" s="157"/>
      <c r="Q2166" s="157"/>
      <c r="R2166" s="157"/>
      <c r="S2166" s="157"/>
      <c r="T2166" s="157"/>
      <c r="U2166" s="157"/>
      <c r="V2166" s="158"/>
      <c r="W2166" s="182"/>
      <c r="X2166" s="1"/>
      <c r="Y2166" s="78">
        <f t="shared" si="264"/>
        <v>0</v>
      </c>
      <c r="Z2166" s="78">
        <f t="shared" si="265"/>
        <v>0</v>
      </c>
      <c r="AA2166" s="78">
        <f t="shared" si="270"/>
        <v>0</v>
      </c>
      <c r="AB2166" s="78">
        <f t="shared" si="266"/>
        <v>0</v>
      </c>
      <c r="AC2166" s="78"/>
      <c r="AD2166" s="78">
        <v>0</v>
      </c>
      <c r="AE2166" s="80">
        <f t="shared" si="269"/>
        <v>0</v>
      </c>
      <c r="AF2166" s="82">
        <v>0</v>
      </c>
      <c r="AG2166" s="69">
        <v>40596</v>
      </c>
      <c r="AH2166" s="84"/>
      <c r="AI2166" s="69" t="s">
        <v>1984</v>
      </c>
      <c r="AJ2166" s="25" t="s">
        <v>1985</v>
      </c>
      <c r="AK2166" s="65"/>
      <c r="AL2166" s="176" t="s">
        <v>1257</v>
      </c>
      <c r="AM2166" s="173" t="s">
        <v>436</v>
      </c>
      <c r="AN2166" s="159"/>
      <c r="AO2166" s="160"/>
      <c r="AP2166" s="161"/>
      <c r="AQ2166" s="160"/>
      <c r="AR2166" s="160"/>
      <c r="AS2166" s="160"/>
      <c r="AT2166" s="160"/>
      <c r="AU2166" s="160"/>
      <c r="AV2166" s="160"/>
      <c r="AW2166" s="160"/>
      <c r="AX2166" s="160"/>
      <c r="AY2166" s="160"/>
      <c r="AZ2166" s="160"/>
      <c r="BA2166" s="160"/>
      <c r="BB2166" s="160"/>
      <c r="BC2166" s="160"/>
      <c r="BD2166" s="160"/>
      <c r="BE2166" s="160"/>
      <c r="BF2166" s="160"/>
      <c r="BG2166" s="160"/>
      <c r="BH2166" s="160"/>
      <c r="BI2166" s="160"/>
      <c r="BJ2166" s="160"/>
      <c r="BK2166" s="160"/>
      <c r="BL2166" s="160"/>
      <c r="BM2166" s="160"/>
      <c r="BN2166" s="160"/>
      <c r="BO2166" s="160"/>
      <c r="BP2166" s="160"/>
      <c r="BQ2166" s="160"/>
      <c r="BR2166" s="160"/>
      <c r="BS2166" s="160"/>
      <c r="BT2166" s="160"/>
      <c r="BU2166" s="160"/>
      <c r="BV2166" s="160"/>
      <c r="BW2166" s="160"/>
      <c r="BX2166" s="160"/>
      <c r="BY2166" s="160"/>
      <c r="BZ2166" s="160"/>
      <c r="CA2166" s="160"/>
      <c r="CB2166" s="160"/>
      <c r="CC2166" s="160"/>
      <c r="CD2166" s="160"/>
      <c r="CE2166" s="160"/>
      <c r="CF2166" s="160"/>
      <c r="CG2166" s="160"/>
      <c r="CH2166" s="160"/>
      <c r="CI2166" s="160"/>
      <c r="CJ2166" s="160"/>
      <c r="CK2166" s="160"/>
      <c r="CL2166" s="160"/>
      <c r="CM2166" s="160"/>
      <c r="CN2166" s="160"/>
      <c r="CO2166" s="160"/>
      <c r="CP2166" s="162"/>
      <c r="CQ2166" s="163"/>
      <c r="CR2166" s="162"/>
      <c r="CS2166" s="163"/>
      <c r="CT2166" s="162"/>
      <c r="CU2166" s="163"/>
      <c r="CV2166" s="164">
        <f t="shared" si="267"/>
        <v>0</v>
      </c>
      <c r="CW2166" s="165"/>
      <c r="CX2166" s="166"/>
      <c r="CY2166" s="167"/>
      <c r="CZ2166" s="168"/>
      <c r="DA2166" s="169"/>
      <c r="DB2166" s="168"/>
      <c r="DC2166" s="165"/>
      <c r="DD2166" s="166"/>
      <c r="DE2166" s="71"/>
      <c r="DF2166" s="170"/>
      <c r="EO2166" s="375" t="str">
        <f t="shared" si="268"/>
        <v>ANTIOQUIA_SABANETA</v>
      </c>
      <c r="EP2166" s="376"/>
      <c r="EQ2166" s="376"/>
      <c r="ER2166" s="377"/>
      <c r="ES2166" s="376"/>
      <c r="ET2166" s="376"/>
      <c r="EU2166" s="376"/>
    </row>
    <row r="2167" spans="1:151" s="171" customFormat="1" ht="51" x14ac:dyDescent="0.2">
      <c r="A2167" s="246">
        <v>40527</v>
      </c>
      <c r="B2167" s="222" t="s">
        <v>2401</v>
      </c>
      <c r="C2167" s="222" t="s">
        <v>2677</v>
      </c>
      <c r="D2167" s="432" t="s">
        <v>837</v>
      </c>
      <c r="E2167" s="107" t="str">
        <f>VLOOKUP(B2167&amp;C2167,Divipola!$C$2:$F$1138,4,FALSE)</f>
        <v>05652</v>
      </c>
      <c r="F2167" s="337"/>
      <c r="G2167" s="221"/>
      <c r="H2167" s="157"/>
      <c r="I2167" s="157"/>
      <c r="J2167" s="157">
        <v>209</v>
      </c>
      <c r="K2167" s="157">
        <v>49</v>
      </c>
      <c r="L2167" s="157">
        <v>1</v>
      </c>
      <c r="M2167" s="157">
        <v>25</v>
      </c>
      <c r="N2167" s="157"/>
      <c r="O2167" s="157"/>
      <c r="P2167" s="157"/>
      <c r="Q2167" s="157"/>
      <c r="R2167" s="157"/>
      <c r="S2167" s="157"/>
      <c r="T2167" s="157"/>
      <c r="U2167" s="157"/>
      <c r="V2167" s="158"/>
      <c r="W2167" s="182"/>
      <c r="X2167" s="1"/>
      <c r="Y2167" s="78">
        <f t="shared" si="264"/>
        <v>0</v>
      </c>
      <c r="Z2167" s="78">
        <f t="shared" si="265"/>
        <v>0</v>
      </c>
      <c r="AA2167" s="78">
        <f t="shared" si="270"/>
        <v>0</v>
      </c>
      <c r="AB2167" s="78">
        <f t="shared" si="266"/>
        <v>0</v>
      </c>
      <c r="AC2167" s="78"/>
      <c r="AD2167" s="78">
        <v>0</v>
      </c>
      <c r="AE2167" s="80">
        <f t="shared" si="269"/>
        <v>0</v>
      </c>
      <c r="AF2167" s="82">
        <v>0</v>
      </c>
      <c r="AG2167" s="69">
        <v>40596</v>
      </c>
      <c r="AH2167" s="84"/>
      <c r="AI2167" s="69" t="s">
        <v>1984</v>
      </c>
      <c r="AJ2167" s="25" t="s">
        <v>1985</v>
      </c>
      <c r="AK2167" s="65"/>
      <c r="AL2167" s="176" t="s">
        <v>1257</v>
      </c>
      <c r="AM2167" s="173" t="s">
        <v>436</v>
      </c>
      <c r="AN2167" s="159"/>
      <c r="AO2167" s="160"/>
      <c r="AP2167" s="161"/>
      <c r="AQ2167" s="160"/>
      <c r="AR2167" s="160"/>
      <c r="AS2167" s="160"/>
      <c r="AT2167" s="160"/>
      <c r="AU2167" s="160"/>
      <c r="AV2167" s="160"/>
      <c r="AW2167" s="160"/>
      <c r="AX2167" s="160"/>
      <c r="AY2167" s="160"/>
      <c r="AZ2167" s="160"/>
      <c r="BA2167" s="160"/>
      <c r="BB2167" s="160"/>
      <c r="BC2167" s="160"/>
      <c r="BD2167" s="160"/>
      <c r="BE2167" s="160"/>
      <c r="BF2167" s="160"/>
      <c r="BG2167" s="160"/>
      <c r="BH2167" s="160"/>
      <c r="BI2167" s="160"/>
      <c r="BJ2167" s="160"/>
      <c r="BK2167" s="160"/>
      <c r="BL2167" s="160"/>
      <c r="BM2167" s="160"/>
      <c r="BN2167" s="160"/>
      <c r="BO2167" s="160"/>
      <c r="BP2167" s="160"/>
      <c r="BQ2167" s="160"/>
      <c r="BR2167" s="160"/>
      <c r="BS2167" s="160"/>
      <c r="BT2167" s="160"/>
      <c r="BU2167" s="160"/>
      <c r="BV2167" s="160"/>
      <c r="BW2167" s="160"/>
      <c r="BX2167" s="160"/>
      <c r="BY2167" s="160"/>
      <c r="BZ2167" s="160"/>
      <c r="CA2167" s="160"/>
      <c r="CB2167" s="160"/>
      <c r="CC2167" s="160"/>
      <c r="CD2167" s="160"/>
      <c r="CE2167" s="160"/>
      <c r="CF2167" s="160"/>
      <c r="CG2167" s="160"/>
      <c r="CH2167" s="160"/>
      <c r="CI2167" s="160"/>
      <c r="CJ2167" s="160"/>
      <c r="CK2167" s="160"/>
      <c r="CL2167" s="160"/>
      <c r="CM2167" s="160"/>
      <c r="CN2167" s="160"/>
      <c r="CO2167" s="160"/>
      <c r="CP2167" s="162"/>
      <c r="CQ2167" s="163"/>
      <c r="CR2167" s="162"/>
      <c r="CS2167" s="163"/>
      <c r="CT2167" s="162"/>
      <c r="CU2167" s="163"/>
      <c r="CV2167" s="164">
        <f t="shared" si="267"/>
        <v>0</v>
      </c>
      <c r="CW2167" s="165"/>
      <c r="CX2167" s="166"/>
      <c r="CY2167" s="167"/>
      <c r="CZ2167" s="168"/>
      <c r="DA2167" s="169"/>
      <c r="DB2167" s="168"/>
      <c r="DC2167" s="165"/>
      <c r="DD2167" s="166"/>
      <c r="DE2167" s="71"/>
      <c r="DF2167" s="170"/>
      <c r="EO2167" s="375" t="str">
        <f t="shared" si="268"/>
        <v>ANTIOQUIA_SAN FRANCISCO</v>
      </c>
      <c r="EP2167" s="376"/>
      <c r="EQ2167" s="376"/>
      <c r="ER2167" s="377"/>
      <c r="ES2167" s="376"/>
      <c r="ET2167" s="376"/>
      <c r="EU2167" s="376"/>
    </row>
    <row r="2168" spans="1:151" s="171" customFormat="1" ht="38.25" x14ac:dyDescent="0.2">
      <c r="A2168" s="246">
        <v>40527</v>
      </c>
      <c r="B2168" s="222" t="s">
        <v>2401</v>
      </c>
      <c r="C2168" s="222" t="s">
        <v>427</v>
      </c>
      <c r="D2168" s="432" t="s">
        <v>837</v>
      </c>
      <c r="E2168" s="107" t="str">
        <f>VLOOKUP(B2168&amp;C2168,Divipola!$C$2:$F$1138,4,FALSE)</f>
        <v>05656</v>
      </c>
      <c r="F2168" s="337"/>
      <c r="G2168" s="221"/>
      <c r="H2168" s="157"/>
      <c r="I2168" s="157"/>
      <c r="J2168" s="157">
        <v>86</v>
      </c>
      <c r="K2168" s="157">
        <v>21</v>
      </c>
      <c r="L2168" s="157">
        <v>18</v>
      </c>
      <c r="M2168" s="157">
        <v>1</v>
      </c>
      <c r="N2168" s="157"/>
      <c r="O2168" s="157"/>
      <c r="P2168" s="157"/>
      <c r="Q2168" s="157"/>
      <c r="R2168" s="157"/>
      <c r="S2168" s="157"/>
      <c r="T2168" s="157"/>
      <c r="U2168" s="157"/>
      <c r="V2168" s="158"/>
      <c r="W2168" s="182"/>
      <c r="X2168" s="1"/>
      <c r="Y2168" s="78">
        <f t="shared" si="264"/>
        <v>0</v>
      </c>
      <c r="Z2168" s="78">
        <f t="shared" si="265"/>
        <v>0</v>
      </c>
      <c r="AA2168" s="78">
        <f t="shared" si="270"/>
        <v>0</v>
      </c>
      <c r="AB2168" s="78">
        <f t="shared" si="266"/>
        <v>0</v>
      </c>
      <c r="AC2168" s="78"/>
      <c r="AD2168" s="78">
        <v>0</v>
      </c>
      <c r="AE2168" s="80">
        <f t="shared" si="269"/>
        <v>0</v>
      </c>
      <c r="AF2168" s="82">
        <v>0</v>
      </c>
      <c r="AG2168" s="69">
        <v>40596</v>
      </c>
      <c r="AH2168" s="84"/>
      <c r="AI2168" s="69" t="s">
        <v>1984</v>
      </c>
      <c r="AJ2168" s="25" t="s">
        <v>1985</v>
      </c>
      <c r="AK2168" s="65"/>
      <c r="AL2168" s="176" t="s">
        <v>1257</v>
      </c>
      <c r="AM2168" s="173" t="s">
        <v>436</v>
      </c>
      <c r="AN2168" s="159"/>
      <c r="AO2168" s="160"/>
      <c r="AP2168" s="161"/>
      <c r="AQ2168" s="160"/>
      <c r="AR2168" s="160"/>
      <c r="AS2168" s="160"/>
      <c r="AT2168" s="160"/>
      <c r="AU2168" s="160"/>
      <c r="AV2168" s="160"/>
      <c r="AW2168" s="160"/>
      <c r="AX2168" s="160"/>
      <c r="AY2168" s="160"/>
      <c r="AZ2168" s="160"/>
      <c r="BA2168" s="160"/>
      <c r="BB2168" s="160"/>
      <c r="BC2168" s="160"/>
      <c r="BD2168" s="160"/>
      <c r="BE2168" s="160"/>
      <c r="BF2168" s="160"/>
      <c r="BG2168" s="160"/>
      <c r="BH2168" s="160"/>
      <c r="BI2168" s="160"/>
      <c r="BJ2168" s="160"/>
      <c r="BK2168" s="160"/>
      <c r="BL2168" s="160"/>
      <c r="BM2168" s="160"/>
      <c r="BN2168" s="160"/>
      <c r="BO2168" s="160"/>
      <c r="BP2168" s="160"/>
      <c r="BQ2168" s="160"/>
      <c r="BR2168" s="160"/>
      <c r="BS2168" s="160"/>
      <c r="BT2168" s="160"/>
      <c r="BU2168" s="160"/>
      <c r="BV2168" s="160"/>
      <c r="BW2168" s="160"/>
      <c r="BX2168" s="160"/>
      <c r="BY2168" s="160"/>
      <c r="BZ2168" s="160"/>
      <c r="CA2168" s="160"/>
      <c r="CB2168" s="160"/>
      <c r="CC2168" s="160"/>
      <c r="CD2168" s="160"/>
      <c r="CE2168" s="160"/>
      <c r="CF2168" s="160"/>
      <c r="CG2168" s="160"/>
      <c r="CH2168" s="160"/>
      <c r="CI2168" s="160"/>
      <c r="CJ2168" s="160"/>
      <c r="CK2168" s="160"/>
      <c r="CL2168" s="160"/>
      <c r="CM2168" s="160"/>
      <c r="CN2168" s="160"/>
      <c r="CO2168" s="160"/>
      <c r="CP2168" s="162"/>
      <c r="CQ2168" s="163"/>
      <c r="CR2168" s="162"/>
      <c r="CS2168" s="163"/>
      <c r="CT2168" s="162"/>
      <c r="CU2168" s="163"/>
      <c r="CV2168" s="164">
        <f t="shared" si="267"/>
        <v>0</v>
      </c>
      <c r="CW2168" s="165"/>
      <c r="CX2168" s="166"/>
      <c r="CY2168" s="167"/>
      <c r="CZ2168" s="168"/>
      <c r="DA2168" s="169"/>
      <c r="DB2168" s="168"/>
      <c r="DC2168" s="165"/>
      <c r="DD2168" s="166"/>
      <c r="DE2168" s="71"/>
      <c r="DF2168" s="170"/>
      <c r="EO2168" s="375" t="str">
        <f t="shared" si="268"/>
        <v>ANTIOQUIA_SAN JERONIMO</v>
      </c>
      <c r="EP2168" s="376"/>
      <c r="EQ2168" s="376"/>
      <c r="ER2168" s="377"/>
      <c r="ES2168" s="376"/>
      <c r="ET2168" s="376"/>
      <c r="EU2168" s="376"/>
    </row>
    <row r="2169" spans="1:151" s="171" customFormat="1" ht="63.75" x14ac:dyDescent="0.2">
      <c r="A2169" s="246">
        <v>40527</v>
      </c>
      <c r="B2169" s="222" t="s">
        <v>2401</v>
      </c>
      <c r="C2169" s="222" t="s">
        <v>428</v>
      </c>
      <c r="D2169" s="432" t="s">
        <v>837</v>
      </c>
      <c r="E2169" s="107" t="str">
        <f>VLOOKUP(B2169&amp;C2169,Divipola!$C$2:$F$1138,4,FALSE)</f>
        <v>05658</v>
      </c>
      <c r="F2169" s="337"/>
      <c r="G2169" s="221"/>
      <c r="H2169" s="157"/>
      <c r="I2169" s="157"/>
      <c r="J2169" s="157">
        <v>176</v>
      </c>
      <c r="K2169" s="157">
        <v>51</v>
      </c>
      <c r="L2169" s="157"/>
      <c r="M2169" s="157">
        <v>48</v>
      </c>
      <c r="N2169" s="157"/>
      <c r="O2169" s="157"/>
      <c r="P2169" s="157"/>
      <c r="Q2169" s="157"/>
      <c r="R2169" s="157"/>
      <c r="S2169" s="157"/>
      <c r="T2169" s="157"/>
      <c r="U2169" s="157"/>
      <c r="V2169" s="158"/>
      <c r="W2169" s="182"/>
      <c r="X2169" s="1"/>
      <c r="Y2169" s="78">
        <f t="shared" si="264"/>
        <v>0</v>
      </c>
      <c r="Z2169" s="78">
        <f t="shared" si="265"/>
        <v>0</v>
      </c>
      <c r="AA2169" s="78">
        <f t="shared" si="270"/>
        <v>0</v>
      </c>
      <c r="AB2169" s="78">
        <f t="shared" si="266"/>
        <v>0</v>
      </c>
      <c r="AC2169" s="78"/>
      <c r="AD2169" s="78">
        <v>0</v>
      </c>
      <c r="AE2169" s="80">
        <f t="shared" si="269"/>
        <v>0</v>
      </c>
      <c r="AF2169" s="82">
        <v>0</v>
      </c>
      <c r="AG2169" s="69">
        <v>40596</v>
      </c>
      <c r="AH2169" s="84"/>
      <c r="AI2169" s="69" t="s">
        <v>1984</v>
      </c>
      <c r="AJ2169" s="25" t="s">
        <v>1985</v>
      </c>
      <c r="AK2169" s="65"/>
      <c r="AL2169" s="176" t="s">
        <v>1257</v>
      </c>
      <c r="AM2169" s="173" t="s">
        <v>436</v>
      </c>
      <c r="AN2169" s="159"/>
      <c r="AO2169" s="160"/>
      <c r="AP2169" s="161"/>
      <c r="AQ2169" s="160"/>
      <c r="AR2169" s="160"/>
      <c r="AS2169" s="160"/>
      <c r="AT2169" s="160"/>
      <c r="AU2169" s="160"/>
      <c r="AV2169" s="160"/>
      <c r="AW2169" s="160"/>
      <c r="AX2169" s="160"/>
      <c r="AY2169" s="160"/>
      <c r="AZ2169" s="160"/>
      <c r="BA2169" s="160"/>
      <c r="BB2169" s="160"/>
      <c r="BC2169" s="160"/>
      <c r="BD2169" s="160"/>
      <c r="BE2169" s="160"/>
      <c r="BF2169" s="160"/>
      <c r="BG2169" s="160"/>
      <c r="BH2169" s="160"/>
      <c r="BI2169" s="160"/>
      <c r="BJ2169" s="160"/>
      <c r="BK2169" s="160"/>
      <c r="BL2169" s="160"/>
      <c r="BM2169" s="160"/>
      <c r="BN2169" s="160"/>
      <c r="BO2169" s="160"/>
      <c r="BP2169" s="160"/>
      <c r="BQ2169" s="160"/>
      <c r="BR2169" s="160"/>
      <c r="BS2169" s="160"/>
      <c r="BT2169" s="160"/>
      <c r="BU2169" s="160"/>
      <c r="BV2169" s="160"/>
      <c r="BW2169" s="160"/>
      <c r="BX2169" s="160"/>
      <c r="BY2169" s="160"/>
      <c r="BZ2169" s="160"/>
      <c r="CA2169" s="160"/>
      <c r="CB2169" s="160"/>
      <c r="CC2169" s="160"/>
      <c r="CD2169" s="160"/>
      <c r="CE2169" s="160"/>
      <c r="CF2169" s="160"/>
      <c r="CG2169" s="160"/>
      <c r="CH2169" s="160"/>
      <c r="CI2169" s="160"/>
      <c r="CJ2169" s="160"/>
      <c r="CK2169" s="160"/>
      <c r="CL2169" s="160"/>
      <c r="CM2169" s="160"/>
      <c r="CN2169" s="160"/>
      <c r="CO2169" s="160"/>
      <c r="CP2169" s="162"/>
      <c r="CQ2169" s="163"/>
      <c r="CR2169" s="162"/>
      <c r="CS2169" s="163"/>
      <c r="CT2169" s="162"/>
      <c r="CU2169" s="163"/>
      <c r="CV2169" s="164">
        <f t="shared" si="267"/>
        <v>0</v>
      </c>
      <c r="CW2169" s="165"/>
      <c r="CX2169" s="166"/>
      <c r="CY2169" s="167"/>
      <c r="CZ2169" s="168"/>
      <c r="DA2169" s="169"/>
      <c r="DB2169" s="168"/>
      <c r="DC2169" s="165"/>
      <c r="DD2169" s="166"/>
      <c r="DE2169" s="71"/>
      <c r="DF2169" s="170"/>
      <c r="EO2169" s="375" t="str">
        <f t="shared" si="268"/>
        <v>ANTIOQUIA_SAN JOSE DE LA MONTAÑA</v>
      </c>
      <c r="EP2169" s="376"/>
      <c r="EQ2169" s="376"/>
      <c r="ER2169" s="377"/>
      <c r="ES2169" s="376"/>
      <c r="ET2169" s="376"/>
      <c r="EU2169" s="376"/>
    </row>
    <row r="2170" spans="1:151" s="171" customFormat="1" ht="25.5" x14ac:dyDescent="0.2">
      <c r="A2170" s="246">
        <v>40527</v>
      </c>
      <c r="B2170" s="222" t="s">
        <v>2401</v>
      </c>
      <c r="C2170" s="222" t="s">
        <v>2670</v>
      </c>
      <c r="D2170" s="432" t="s">
        <v>837</v>
      </c>
      <c r="E2170" s="107" t="str">
        <f>VLOOKUP(B2170&amp;C2170,Divipola!$C$2:$F$1138,4,FALSE)</f>
        <v>05660</v>
      </c>
      <c r="F2170" s="337"/>
      <c r="G2170" s="221"/>
      <c r="H2170" s="157"/>
      <c r="I2170" s="157"/>
      <c r="J2170" s="157">
        <v>178</v>
      </c>
      <c r="K2170" s="157">
        <v>60</v>
      </c>
      <c r="L2170" s="157">
        <v>5</v>
      </c>
      <c r="M2170" s="157">
        <v>53</v>
      </c>
      <c r="N2170" s="157"/>
      <c r="O2170" s="157"/>
      <c r="P2170" s="157"/>
      <c r="Q2170" s="157"/>
      <c r="R2170" s="157"/>
      <c r="S2170" s="157"/>
      <c r="T2170" s="157"/>
      <c r="U2170" s="157"/>
      <c r="V2170" s="158"/>
      <c r="W2170" s="182"/>
      <c r="X2170" s="1"/>
      <c r="Y2170" s="78">
        <f t="shared" si="264"/>
        <v>0</v>
      </c>
      <c r="Z2170" s="78">
        <f t="shared" si="265"/>
        <v>0</v>
      </c>
      <c r="AA2170" s="78">
        <f t="shared" si="270"/>
        <v>0</v>
      </c>
      <c r="AB2170" s="78">
        <f t="shared" si="266"/>
        <v>0</v>
      </c>
      <c r="AC2170" s="78"/>
      <c r="AD2170" s="78">
        <v>0</v>
      </c>
      <c r="AE2170" s="80">
        <f t="shared" si="269"/>
        <v>0</v>
      </c>
      <c r="AF2170" s="82">
        <v>0</v>
      </c>
      <c r="AG2170" s="69">
        <v>40596</v>
      </c>
      <c r="AH2170" s="84"/>
      <c r="AI2170" s="69" t="s">
        <v>1984</v>
      </c>
      <c r="AJ2170" s="25" t="s">
        <v>1985</v>
      </c>
      <c r="AK2170" s="65"/>
      <c r="AL2170" s="176" t="s">
        <v>1257</v>
      </c>
      <c r="AM2170" s="173" t="s">
        <v>436</v>
      </c>
      <c r="AN2170" s="159"/>
      <c r="AO2170" s="160"/>
      <c r="AP2170" s="161"/>
      <c r="AQ2170" s="160"/>
      <c r="AR2170" s="160"/>
      <c r="AS2170" s="160"/>
      <c r="AT2170" s="160"/>
      <c r="AU2170" s="160"/>
      <c r="AV2170" s="160"/>
      <c r="AW2170" s="160"/>
      <c r="AX2170" s="160"/>
      <c r="AY2170" s="160"/>
      <c r="AZ2170" s="160"/>
      <c r="BA2170" s="160"/>
      <c r="BB2170" s="160"/>
      <c r="BC2170" s="160"/>
      <c r="BD2170" s="160"/>
      <c r="BE2170" s="160"/>
      <c r="BF2170" s="160"/>
      <c r="BG2170" s="160"/>
      <c r="BH2170" s="160"/>
      <c r="BI2170" s="160"/>
      <c r="BJ2170" s="160"/>
      <c r="BK2170" s="160"/>
      <c r="BL2170" s="160"/>
      <c r="BM2170" s="160"/>
      <c r="BN2170" s="160"/>
      <c r="BO2170" s="160"/>
      <c r="BP2170" s="160"/>
      <c r="BQ2170" s="160"/>
      <c r="BR2170" s="160"/>
      <c r="BS2170" s="160"/>
      <c r="BT2170" s="160"/>
      <c r="BU2170" s="160"/>
      <c r="BV2170" s="160"/>
      <c r="BW2170" s="160"/>
      <c r="BX2170" s="160"/>
      <c r="BY2170" s="160"/>
      <c r="BZ2170" s="160"/>
      <c r="CA2170" s="160"/>
      <c r="CB2170" s="160"/>
      <c r="CC2170" s="160"/>
      <c r="CD2170" s="160"/>
      <c r="CE2170" s="160"/>
      <c r="CF2170" s="160"/>
      <c r="CG2170" s="160"/>
      <c r="CH2170" s="160"/>
      <c r="CI2170" s="160"/>
      <c r="CJ2170" s="160"/>
      <c r="CK2170" s="160"/>
      <c r="CL2170" s="160"/>
      <c r="CM2170" s="160"/>
      <c r="CN2170" s="160"/>
      <c r="CO2170" s="160"/>
      <c r="CP2170" s="162"/>
      <c r="CQ2170" s="163"/>
      <c r="CR2170" s="162"/>
      <c r="CS2170" s="163"/>
      <c r="CT2170" s="162"/>
      <c r="CU2170" s="163"/>
      <c r="CV2170" s="164">
        <f t="shared" si="267"/>
        <v>0</v>
      </c>
      <c r="CW2170" s="165"/>
      <c r="CX2170" s="166"/>
      <c r="CY2170" s="167"/>
      <c r="CZ2170" s="168"/>
      <c r="DA2170" s="169"/>
      <c r="DB2170" s="168"/>
      <c r="DC2170" s="165"/>
      <c r="DD2170" s="166"/>
      <c r="DE2170" s="71"/>
      <c r="DF2170" s="170"/>
      <c r="EO2170" s="375" t="str">
        <f t="shared" si="268"/>
        <v>ANTIOQUIA_SAN LUIS</v>
      </c>
      <c r="EP2170" s="376"/>
      <c r="EQ2170" s="376"/>
      <c r="ER2170" s="377"/>
      <c r="ES2170" s="376"/>
      <c r="ET2170" s="376"/>
      <c r="EU2170" s="376"/>
    </row>
    <row r="2171" spans="1:151" s="171" customFormat="1" ht="38.25" x14ac:dyDescent="0.2">
      <c r="A2171" s="246">
        <v>40527</v>
      </c>
      <c r="B2171" s="280" t="s">
        <v>2401</v>
      </c>
      <c r="C2171" s="280" t="s">
        <v>103</v>
      </c>
      <c r="D2171" s="432" t="s">
        <v>837</v>
      </c>
      <c r="E2171" s="107" t="str">
        <f>VLOOKUP(B2171&amp;C2171,Divipola!$C$2:$F$1138,4,FALSE)</f>
        <v>05664</v>
      </c>
      <c r="F2171" s="337"/>
      <c r="G2171" s="325"/>
      <c r="H2171" s="299"/>
      <c r="I2171" s="299"/>
      <c r="J2171" s="299">
        <v>44</v>
      </c>
      <c r="K2171" s="299">
        <v>11</v>
      </c>
      <c r="L2171" s="299">
        <v>1</v>
      </c>
      <c r="M2171" s="299">
        <v>9</v>
      </c>
      <c r="N2171" s="299"/>
      <c r="O2171" s="299"/>
      <c r="P2171" s="299"/>
      <c r="Q2171" s="299"/>
      <c r="R2171" s="299"/>
      <c r="S2171" s="299"/>
      <c r="T2171" s="299"/>
      <c r="U2171" s="299"/>
      <c r="V2171" s="300"/>
      <c r="W2171" s="301"/>
      <c r="X2171" s="302"/>
      <c r="Y2171" s="303">
        <f t="shared" si="264"/>
        <v>0</v>
      </c>
      <c r="Z2171" s="303">
        <f t="shared" si="265"/>
        <v>0</v>
      </c>
      <c r="AA2171" s="303">
        <f t="shared" si="270"/>
        <v>0</v>
      </c>
      <c r="AB2171" s="303">
        <f t="shared" si="266"/>
        <v>0</v>
      </c>
      <c r="AC2171" s="303"/>
      <c r="AD2171" s="303">
        <v>0</v>
      </c>
      <c r="AE2171" s="304">
        <f t="shared" si="269"/>
        <v>0</v>
      </c>
      <c r="AF2171" s="305">
        <v>0</v>
      </c>
      <c r="AG2171" s="306">
        <v>40596</v>
      </c>
      <c r="AH2171" s="307"/>
      <c r="AI2171" s="306" t="s">
        <v>1984</v>
      </c>
      <c r="AJ2171" s="308" t="s">
        <v>1985</v>
      </c>
      <c r="AK2171" s="309"/>
      <c r="AL2171" s="310" t="s">
        <v>1257</v>
      </c>
      <c r="AM2171" s="311" t="s">
        <v>436</v>
      </c>
      <c r="AN2171" s="312"/>
      <c r="AO2171" s="313"/>
      <c r="AP2171" s="314"/>
      <c r="AQ2171" s="313"/>
      <c r="AR2171" s="313"/>
      <c r="AS2171" s="313"/>
      <c r="AT2171" s="313"/>
      <c r="AU2171" s="313"/>
      <c r="AV2171" s="313"/>
      <c r="AW2171" s="313"/>
      <c r="AX2171" s="313"/>
      <c r="AY2171" s="313"/>
      <c r="AZ2171" s="313"/>
      <c r="BA2171" s="313"/>
      <c r="BB2171" s="313"/>
      <c r="BC2171" s="313"/>
      <c r="BD2171" s="313"/>
      <c r="BE2171" s="313"/>
      <c r="BF2171" s="313"/>
      <c r="BG2171" s="313"/>
      <c r="BH2171" s="313"/>
      <c r="BI2171" s="313"/>
      <c r="BJ2171" s="313"/>
      <c r="BK2171" s="313"/>
      <c r="BL2171" s="313"/>
      <c r="BM2171" s="313"/>
      <c r="BN2171" s="313"/>
      <c r="BO2171" s="313"/>
      <c r="BP2171" s="313"/>
      <c r="BQ2171" s="313"/>
      <c r="BR2171" s="313"/>
      <c r="BS2171" s="313"/>
      <c r="BT2171" s="313"/>
      <c r="BU2171" s="313"/>
      <c r="BV2171" s="313"/>
      <c r="BW2171" s="313"/>
      <c r="BX2171" s="313"/>
      <c r="BY2171" s="313"/>
      <c r="BZ2171" s="313"/>
      <c r="CA2171" s="313"/>
      <c r="CB2171" s="313"/>
      <c r="CC2171" s="313"/>
      <c r="CD2171" s="313"/>
      <c r="CE2171" s="313"/>
      <c r="CF2171" s="313"/>
      <c r="CG2171" s="313"/>
      <c r="CH2171" s="313"/>
      <c r="CI2171" s="313"/>
      <c r="CJ2171" s="313"/>
      <c r="CK2171" s="313"/>
      <c r="CL2171" s="313"/>
      <c r="CM2171" s="313"/>
      <c r="CN2171" s="313"/>
      <c r="CO2171" s="313"/>
      <c r="CP2171" s="315"/>
      <c r="CQ2171" s="316"/>
      <c r="CR2171" s="315"/>
      <c r="CS2171" s="316"/>
      <c r="CT2171" s="315"/>
      <c r="CU2171" s="316"/>
      <c r="CV2171" s="317">
        <f t="shared" si="267"/>
        <v>0</v>
      </c>
      <c r="CW2171" s="318"/>
      <c r="CX2171" s="319"/>
      <c r="CY2171" s="320"/>
      <c r="CZ2171" s="321"/>
      <c r="DA2171" s="322"/>
      <c r="DB2171" s="321"/>
      <c r="DC2171" s="318"/>
      <c r="DD2171" s="319"/>
      <c r="DE2171" s="323"/>
      <c r="DF2171" s="324"/>
      <c r="EO2171" s="375" t="str">
        <f t="shared" si="268"/>
        <v>ANTIOQUIA_SAN PEDRO</v>
      </c>
      <c r="EP2171" s="376"/>
      <c r="EQ2171" s="376"/>
      <c r="ER2171" s="377"/>
      <c r="ES2171" s="376"/>
      <c r="ET2171" s="376"/>
      <c r="EU2171" s="376"/>
    </row>
    <row r="2172" spans="1:151" s="171" customFormat="1" ht="38.25" x14ac:dyDescent="0.2">
      <c r="A2172" s="246">
        <v>40527</v>
      </c>
      <c r="B2172" s="222" t="s">
        <v>2401</v>
      </c>
      <c r="C2172" s="222" t="s">
        <v>430</v>
      </c>
      <c r="D2172" s="432" t="s">
        <v>837</v>
      </c>
      <c r="E2172" s="107" t="str">
        <f>VLOOKUP(B2172&amp;C2172,Divipola!$C$2:$F$1138,4,FALSE)</f>
        <v>05670</v>
      </c>
      <c r="F2172" s="337"/>
      <c r="G2172" s="221"/>
      <c r="H2172" s="157"/>
      <c r="I2172" s="157"/>
      <c r="J2172" s="157">
        <v>224</v>
      </c>
      <c r="K2172" s="157">
        <v>78</v>
      </c>
      <c r="L2172" s="157">
        <v>13</v>
      </c>
      <c r="M2172" s="157">
        <v>46</v>
      </c>
      <c r="N2172" s="157"/>
      <c r="O2172" s="157"/>
      <c r="P2172" s="157"/>
      <c r="Q2172" s="157"/>
      <c r="R2172" s="157"/>
      <c r="S2172" s="157"/>
      <c r="T2172" s="157"/>
      <c r="U2172" s="157"/>
      <c r="V2172" s="158"/>
      <c r="W2172" s="182"/>
      <c r="X2172" s="1"/>
      <c r="Y2172" s="78">
        <f t="shared" si="264"/>
        <v>0</v>
      </c>
      <c r="Z2172" s="78">
        <f t="shared" si="265"/>
        <v>0</v>
      </c>
      <c r="AA2172" s="78">
        <f t="shared" si="270"/>
        <v>0</v>
      </c>
      <c r="AB2172" s="78">
        <f t="shared" si="266"/>
        <v>0</v>
      </c>
      <c r="AC2172" s="78"/>
      <c r="AD2172" s="78">
        <v>0</v>
      </c>
      <c r="AE2172" s="80">
        <f t="shared" si="269"/>
        <v>0</v>
      </c>
      <c r="AF2172" s="82">
        <v>0</v>
      </c>
      <c r="AG2172" s="69">
        <v>40596</v>
      </c>
      <c r="AH2172" s="84"/>
      <c r="AI2172" s="69" t="s">
        <v>1984</v>
      </c>
      <c r="AJ2172" s="25" t="s">
        <v>1985</v>
      </c>
      <c r="AK2172" s="65"/>
      <c r="AL2172" s="176" t="s">
        <v>1257</v>
      </c>
      <c r="AM2172" s="173" t="s">
        <v>436</v>
      </c>
      <c r="AN2172" s="159"/>
      <c r="AO2172" s="160"/>
      <c r="AP2172" s="161"/>
      <c r="AQ2172" s="160"/>
      <c r="AR2172" s="160"/>
      <c r="AS2172" s="160"/>
      <c r="AT2172" s="160"/>
      <c r="AU2172" s="160"/>
      <c r="AV2172" s="160"/>
      <c r="AW2172" s="160"/>
      <c r="AX2172" s="160"/>
      <c r="AY2172" s="160"/>
      <c r="AZ2172" s="160"/>
      <c r="BA2172" s="160"/>
      <c r="BB2172" s="160"/>
      <c r="BC2172" s="160"/>
      <c r="BD2172" s="160"/>
      <c r="BE2172" s="160"/>
      <c r="BF2172" s="160"/>
      <c r="BG2172" s="160"/>
      <c r="BH2172" s="160"/>
      <c r="BI2172" s="160"/>
      <c r="BJ2172" s="160"/>
      <c r="BK2172" s="160"/>
      <c r="BL2172" s="160"/>
      <c r="BM2172" s="160"/>
      <c r="BN2172" s="160"/>
      <c r="BO2172" s="160"/>
      <c r="BP2172" s="160"/>
      <c r="BQ2172" s="160"/>
      <c r="BR2172" s="160"/>
      <c r="BS2172" s="160"/>
      <c r="BT2172" s="160"/>
      <c r="BU2172" s="160"/>
      <c r="BV2172" s="160"/>
      <c r="BW2172" s="160"/>
      <c r="BX2172" s="160"/>
      <c r="BY2172" s="160"/>
      <c r="BZ2172" s="160"/>
      <c r="CA2172" s="160"/>
      <c r="CB2172" s="160"/>
      <c r="CC2172" s="160"/>
      <c r="CD2172" s="160"/>
      <c r="CE2172" s="160"/>
      <c r="CF2172" s="160"/>
      <c r="CG2172" s="160"/>
      <c r="CH2172" s="160"/>
      <c r="CI2172" s="160"/>
      <c r="CJ2172" s="160"/>
      <c r="CK2172" s="160"/>
      <c r="CL2172" s="160"/>
      <c r="CM2172" s="160"/>
      <c r="CN2172" s="160"/>
      <c r="CO2172" s="160"/>
      <c r="CP2172" s="162"/>
      <c r="CQ2172" s="163"/>
      <c r="CR2172" s="162"/>
      <c r="CS2172" s="163"/>
      <c r="CT2172" s="162"/>
      <c r="CU2172" s="163"/>
      <c r="CV2172" s="164">
        <f t="shared" si="267"/>
        <v>0</v>
      </c>
      <c r="CW2172" s="165"/>
      <c r="CX2172" s="166"/>
      <c r="CY2172" s="167"/>
      <c r="CZ2172" s="168"/>
      <c r="DA2172" s="169"/>
      <c r="DB2172" s="168"/>
      <c r="DC2172" s="165"/>
      <c r="DD2172" s="166"/>
      <c r="DE2172" s="71"/>
      <c r="DF2172" s="170"/>
      <c r="EO2172" s="375" t="str">
        <f t="shared" si="268"/>
        <v>ANTIOQUIA_SAN ROQUE</v>
      </c>
      <c r="EP2172" s="376"/>
      <c r="EQ2172" s="376"/>
      <c r="ER2172" s="377"/>
      <c r="ES2172" s="376"/>
      <c r="ET2172" s="376"/>
      <c r="EU2172" s="376"/>
    </row>
    <row r="2173" spans="1:151" s="171" customFormat="1" ht="38.25" x14ac:dyDescent="0.2">
      <c r="A2173" s="246">
        <v>40527</v>
      </c>
      <c r="B2173" s="222" t="s">
        <v>2401</v>
      </c>
      <c r="C2173" s="222" t="s">
        <v>431</v>
      </c>
      <c r="D2173" s="432" t="s">
        <v>837</v>
      </c>
      <c r="E2173" s="107" t="str">
        <f>VLOOKUP(B2173&amp;C2173,Divipola!$C$2:$F$1138,4,FALSE)</f>
        <v>05761</v>
      </c>
      <c r="F2173" s="337"/>
      <c r="G2173" s="221"/>
      <c r="H2173" s="157"/>
      <c r="I2173" s="157"/>
      <c r="J2173" s="157">
        <v>68</v>
      </c>
      <c r="K2173" s="157">
        <v>26</v>
      </c>
      <c r="L2173" s="157">
        <v>8</v>
      </c>
      <c r="M2173" s="157">
        <v>18</v>
      </c>
      <c r="N2173" s="157"/>
      <c r="O2173" s="157"/>
      <c r="P2173" s="157"/>
      <c r="Q2173" s="157"/>
      <c r="R2173" s="157"/>
      <c r="S2173" s="157"/>
      <c r="T2173" s="157"/>
      <c r="U2173" s="157"/>
      <c r="V2173" s="158"/>
      <c r="W2173" s="182"/>
      <c r="X2173" s="1"/>
      <c r="Y2173" s="78">
        <f t="shared" si="264"/>
        <v>0</v>
      </c>
      <c r="Z2173" s="78">
        <f t="shared" si="265"/>
        <v>0</v>
      </c>
      <c r="AA2173" s="78">
        <f t="shared" si="270"/>
        <v>0</v>
      </c>
      <c r="AB2173" s="78">
        <f t="shared" si="266"/>
        <v>0</v>
      </c>
      <c r="AC2173" s="78"/>
      <c r="AD2173" s="78">
        <v>0</v>
      </c>
      <c r="AE2173" s="80">
        <f t="shared" si="269"/>
        <v>0</v>
      </c>
      <c r="AF2173" s="82">
        <v>0</v>
      </c>
      <c r="AG2173" s="69">
        <v>40596</v>
      </c>
      <c r="AH2173" s="84"/>
      <c r="AI2173" s="69" t="s">
        <v>1984</v>
      </c>
      <c r="AJ2173" s="25" t="s">
        <v>1985</v>
      </c>
      <c r="AK2173" s="65"/>
      <c r="AL2173" s="176" t="s">
        <v>1257</v>
      </c>
      <c r="AM2173" s="173" t="s">
        <v>436</v>
      </c>
      <c r="AN2173" s="159"/>
      <c r="AO2173" s="160"/>
      <c r="AP2173" s="161"/>
      <c r="AQ2173" s="160"/>
      <c r="AR2173" s="160"/>
      <c r="AS2173" s="160"/>
      <c r="AT2173" s="160"/>
      <c r="AU2173" s="160"/>
      <c r="AV2173" s="160"/>
      <c r="AW2173" s="160"/>
      <c r="AX2173" s="160"/>
      <c r="AY2173" s="160"/>
      <c r="AZ2173" s="160"/>
      <c r="BA2173" s="160"/>
      <c r="BB2173" s="160"/>
      <c r="BC2173" s="160"/>
      <c r="BD2173" s="160"/>
      <c r="BE2173" s="160"/>
      <c r="BF2173" s="160"/>
      <c r="BG2173" s="160"/>
      <c r="BH2173" s="160"/>
      <c r="BI2173" s="160"/>
      <c r="BJ2173" s="160"/>
      <c r="BK2173" s="160"/>
      <c r="BL2173" s="160"/>
      <c r="BM2173" s="160"/>
      <c r="BN2173" s="160"/>
      <c r="BO2173" s="160"/>
      <c r="BP2173" s="160"/>
      <c r="BQ2173" s="160"/>
      <c r="BR2173" s="160"/>
      <c r="BS2173" s="160"/>
      <c r="BT2173" s="160"/>
      <c r="BU2173" s="160"/>
      <c r="BV2173" s="160"/>
      <c r="BW2173" s="160"/>
      <c r="BX2173" s="160"/>
      <c r="BY2173" s="160"/>
      <c r="BZ2173" s="160"/>
      <c r="CA2173" s="160"/>
      <c r="CB2173" s="160"/>
      <c r="CC2173" s="160"/>
      <c r="CD2173" s="160"/>
      <c r="CE2173" s="160"/>
      <c r="CF2173" s="160"/>
      <c r="CG2173" s="160"/>
      <c r="CH2173" s="160"/>
      <c r="CI2173" s="160"/>
      <c r="CJ2173" s="160"/>
      <c r="CK2173" s="160"/>
      <c r="CL2173" s="160"/>
      <c r="CM2173" s="160"/>
      <c r="CN2173" s="160"/>
      <c r="CO2173" s="160"/>
      <c r="CP2173" s="162"/>
      <c r="CQ2173" s="163"/>
      <c r="CR2173" s="162"/>
      <c r="CS2173" s="163"/>
      <c r="CT2173" s="162"/>
      <c r="CU2173" s="163"/>
      <c r="CV2173" s="164">
        <f t="shared" si="267"/>
        <v>0</v>
      </c>
      <c r="CW2173" s="165"/>
      <c r="CX2173" s="166"/>
      <c r="CY2173" s="167"/>
      <c r="CZ2173" s="168"/>
      <c r="DA2173" s="169"/>
      <c r="DB2173" s="168"/>
      <c r="DC2173" s="165"/>
      <c r="DD2173" s="166"/>
      <c r="DE2173" s="71"/>
      <c r="DF2173" s="170"/>
      <c r="EO2173" s="375" t="str">
        <f t="shared" si="268"/>
        <v>ANTIOQUIA_SOPETRAN</v>
      </c>
      <c r="EP2173" s="376"/>
      <c r="EQ2173" s="376"/>
      <c r="ER2173" s="377"/>
      <c r="ES2173" s="376"/>
      <c r="ET2173" s="376"/>
      <c r="EU2173" s="376"/>
    </row>
    <row r="2174" spans="1:151" s="171" customFormat="1" ht="25.5" x14ac:dyDescent="0.2">
      <c r="A2174" s="246">
        <v>40527</v>
      </c>
      <c r="B2174" s="222" t="s">
        <v>2401</v>
      </c>
      <c r="C2174" s="222" t="s">
        <v>1924</v>
      </c>
      <c r="D2174" s="432" t="s">
        <v>837</v>
      </c>
      <c r="E2174" s="107" t="str">
        <f>VLOOKUP(B2174&amp;C2174,Divipola!$C$2:$F$1138,4,FALSE)</f>
        <v>05790</v>
      </c>
      <c r="F2174" s="337"/>
      <c r="G2174" s="221"/>
      <c r="H2174" s="157"/>
      <c r="I2174" s="157"/>
      <c r="J2174" s="157">
        <v>1114</v>
      </c>
      <c r="K2174" s="157">
        <v>284</v>
      </c>
      <c r="L2174" s="157"/>
      <c r="M2174" s="157">
        <v>282</v>
      </c>
      <c r="N2174" s="157"/>
      <c r="O2174" s="157"/>
      <c r="P2174" s="157"/>
      <c r="Q2174" s="157"/>
      <c r="R2174" s="157"/>
      <c r="S2174" s="157"/>
      <c r="T2174" s="157"/>
      <c r="U2174" s="157"/>
      <c r="V2174" s="158"/>
      <c r="W2174" s="182"/>
      <c r="X2174" s="1"/>
      <c r="Y2174" s="78">
        <f t="shared" si="264"/>
        <v>0</v>
      </c>
      <c r="Z2174" s="78">
        <f t="shared" si="265"/>
        <v>0</v>
      </c>
      <c r="AA2174" s="78">
        <f t="shared" si="270"/>
        <v>0</v>
      </c>
      <c r="AB2174" s="78">
        <f t="shared" si="266"/>
        <v>0</v>
      </c>
      <c r="AC2174" s="78"/>
      <c r="AD2174" s="78">
        <v>0</v>
      </c>
      <c r="AE2174" s="80">
        <f t="shared" si="269"/>
        <v>0</v>
      </c>
      <c r="AF2174" s="82">
        <v>0</v>
      </c>
      <c r="AG2174" s="69">
        <v>40596</v>
      </c>
      <c r="AH2174" s="84"/>
      <c r="AI2174" s="69" t="s">
        <v>1984</v>
      </c>
      <c r="AJ2174" s="25" t="s">
        <v>1985</v>
      </c>
      <c r="AK2174" s="65"/>
      <c r="AL2174" s="176" t="s">
        <v>1257</v>
      </c>
      <c r="AM2174" s="173" t="s">
        <v>436</v>
      </c>
      <c r="AN2174" s="159"/>
      <c r="AO2174" s="160"/>
      <c r="AP2174" s="161"/>
      <c r="AQ2174" s="160"/>
      <c r="AR2174" s="160"/>
      <c r="AS2174" s="160"/>
      <c r="AT2174" s="160"/>
      <c r="AU2174" s="160"/>
      <c r="AV2174" s="160"/>
      <c r="AW2174" s="160"/>
      <c r="AX2174" s="160"/>
      <c r="AY2174" s="160"/>
      <c r="AZ2174" s="160"/>
      <c r="BA2174" s="160"/>
      <c r="BB2174" s="160"/>
      <c r="BC2174" s="160"/>
      <c r="BD2174" s="160"/>
      <c r="BE2174" s="160"/>
      <c r="BF2174" s="160"/>
      <c r="BG2174" s="160"/>
      <c r="BH2174" s="160"/>
      <c r="BI2174" s="160"/>
      <c r="BJ2174" s="160"/>
      <c r="BK2174" s="160"/>
      <c r="BL2174" s="160"/>
      <c r="BM2174" s="160"/>
      <c r="BN2174" s="160"/>
      <c r="BO2174" s="160"/>
      <c r="BP2174" s="160"/>
      <c r="BQ2174" s="160"/>
      <c r="BR2174" s="160"/>
      <c r="BS2174" s="160"/>
      <c r="BT2174" s="160"/>
      <c r="BU2174" s="160"/>
      <c r="BV2174" s="160"/>
      <c r="BW2174" s="160"/>
      <c r="BX2174" s="160"/>
      <c r="BY2174" s="160"/>
      <c r="BZ2174" s="160"/>
      <c r="CA2174" s="160"/>
      <c r="CB2174" s="160"/>
      <c r="CC2174" s="160"/>
      <c r="CD2174" s="160"/>
      <c r="CE2174" s="160"/>
      <c r="CF2174" s="160"/>
      <c r="CG2174" s="160"/>
      <c r="CH2174" s="160"/>
      <c r="CI2174" s="160"/>
      <c r="CJ2174" s="160"/>
      <c r="CK2174" s="160"/>
      <c r="CL2174" s="160"/>
      <c r="CM2174" s="160"/>
      <c r="CN2174" s="160"/>
      <c r="CO2174" s="160"/>
      <c r="CP2174" s="162"/>
      <c r="CQ2174" s="163"/>
      <c r="CR2174" s="162"/>
      <c r="CS2174" s="163"/>
      <c r="CT2174" s="162"/>
      <c r="CU2174" s="163"/>
      <c r="CV2174" s="164">
        <f t="shared" si="267"/>
        <v>0</v>
      </c>
      <c r="CW2174" s="165"/>
      <c r="CX2174" s="166"/>
      <c r="CY2174" s="167"/>
      <c r="CZ2174" s="168"/>
      <c r="DA2174" s="169"/>
      <c r="DB2174" s="168"/>
      <c r="DC2174" s="165"/>
      <c r="DD2174" s="166"/>
      <c r="DE2174" s="71"/>
      <c r="DF2174" s="170"/>
      <c r="EO2174" s="375" t="str">
        <f t="shared" si="268"/>
        <v>ANTIOQUIA_TARAZA</v>
      </c>
      <c r="EP2174" s="376"/>
      <c r="EQ2174" s="376"/>
      <c r="ER2174" s="377"/>
      <c r="ES2174" s="376"/>
      <c r="ET2174" s="376"/>
      <c r="EU2174" s="376"/>
    </row>
    <row r="2175" spans="1:151" s="171" customFormat="1" ht="25.5" x14ac:dyDescent="0.2">
      <c r="A2175" s="246">
        <v>40527</v>
      </c>
      <c r="B2175" s="222" t="s">
        <v>2401</v>
      </c>
      <c r="C2175" s="222" t="s">
        <v>432</v>
      </c>
      <c r="D2175" s="432" t="s">
        <v>837</v>
      </c>
      <c r="E2175" s="107" t="str">
        <f>VLOOKUP(B2175&amp;C2175,Divipola!$C$2:$F$1138,4,FALSE)</f>
        <v>05792</v>
      </c>
      <c r="F2175" s="337"/>
      <c r="G2175" s="221"/>
      <c r="H2175" s="157"/>
      <c r="I2175" s="157"/>
      <c r="J2175" s="157">
        <v>176</v>
      </c>
      <c r="K2175" s="157">
        <v>36</v>
      </c>
      <c r="L2175" s="157">
        <v>25</v>
      </c>
      <c r="M2175" s="157">
        <v>10</v>
      </c>
      <c r="N2175" s="157"/>
      <c r="O2175" s="157"/>
      <c r="P2175" s="157"/>
      <c r="Q2175" s="157"/>
      <c r="R2175" s="157"/>
      <c r="S2175" s="157"/>
      <c r="T2175" s="157"/>
      <c r="U2175" s="157"/>
      <c r="V2175" s="158"/>
      <c r="W2175" s="182"/>
      <c r="X2175" s="1"/>
      <c r="Y2175" s="78">
        <f t="shared" si="264"/>
        <v>0</v>
      </c>
      <c r="Z2175" s="78">
        <f t="shared" si="265"/>
        <v>0</v>
      </c>
      <c r="AA2175" s="78">
        <f t="shared" si="270"/>
        <v>0</v>
      </c>
      <c r="AB2175" s="78">
        <f t="shared" si="266"/>
        <v>0</v>
      </c>
      <c r="AC2175" s="78"/>
      <c r="AD2175" s="78">
        <v>0</v>
      </c>
      <c r="AE2175" s="80">
        <f t="shared" si="269"/>
        <v>0</v>
      </c>
      <c r="AF2175" s="82">
        <v>0</v>
      </c>
      <c r="AG2175" s="69">
        <v>40596</v>
      </c>
      <c r="AH2175" s="84"/>
      <c r="AI2175" s="69" t="s">
        <v>1984</v>
      </c>
      <c r="AJ2175" s="25" t="s">
        <v>1985</v>
      </c>
      <c r="AK2175" s="65"/>
      <c r="AL2175" s="176" t="s">
        <v>1257</v>
      </c>
      <c r="AM2175" s="173" t="s">
        <v>436</v>
      </c>
      <c r="AN2175" s="159"/>
      <c r="AO2175" s="160"/>
      <c r="AP2175" s="161"/>
      <c r="AQ2175" s="160"/>
      <c r="AR2175" s="160"/>
      <c r="AS2175" s="160"/>
      <c r="AT2175" s="160"/>
      <c r="AU2175" s="160"/>
      <c r="AV2175" s="160"/>
      <c r="AW2175" s="160"/>
      <c r="AX2175" s="160"/>
      <c r="AY2175" s="160"/>
      <c r="AZ2175" s="160"/>
      <c r="BA2175" s="160"/>
      <c r="BB2175" s="160"/>
      <c r="BC2175" s="160"/>
      <c r="BD2175" s="160"/>
      <c r="BE2175" s="160"/>
      <c r="BF2175" s="160"/>
      <c r="BG2175" s="160"/>
      <c r="BH2175" s="160"/>
      <c r="BI2175" s="160"/>
      <c r="BJ2175" s="160"/>
      <c r="BK2175" s="160"/>
      <c r="BL2175" s="160"/>
      <c r="BM2175" s="160"/>
      <c r="BN2175" s="160"/>
      <c r="BO2175" s="160"/>
      <c r="BP2175" s="160"/>
      <c r="BQ2175" s="160"/>
      <c r="BR2175" s="160"/>
      <c r="BS2175" s="160"/>
      <c r="BT2175" s="160"/>
      <c r="BU2175" s="160"/>
      <c r="BV2175" s="160"/>
      <c r="BW2175" s="160"/>
      <c r="BX2175" s="160"/>
      <c r="BY2175" s="160"/>
      <c r="BZ2175" s="160"/>
      <c r="CA2175" s="160"/>
      <c r="CB2175" s="160"/>
      <c r="CC2175" s="160"/>
      <c r="CD2175" s="160"/>
      <c r="CE2175" s="160"/>
      <c r="CF2175" s="160"/>
      <c r="CG2175" s="160"/>
      <c r="CH2175" s="160"/>
      <c r="CI2175" s="160"/>
      <c r="CJ2175" s="160"/>
      <c r="CK2175" s="160"/>
      <c r="CL2175" s="160"/>
      <c r="CM2175" s="160"/>
      <c r="CN2175" s="160"/>
      <c r="CO2175" s="160"/>
      <c r="CP2175" s="162"/>
      <c r="CQ2175" s="163"/>
      <c r="CR2175" s="162"/>
      <c r="CS2175" s="163"/>
      <c r="CT2175" s="162"/>
      <c r="CU2175" s="163"/>
      <c r="CV2175" s="164">
        <f t="shared" si="267"/>
        <v>0</v>
      </c>
      <c r="CW2175" s="165"/>
      <c r="CX2175" s="166"/>
      <c r="CY2175" s="167"/>
      <c r="CZ2175" s="168"/>
      <c r="DA2175" s="169"/>
      <c r="DB2175" s="168"/>
      <c r="DC2175" s="165"/>
      <c r="DD2175" s="166"/>
      <c r="DE2175" s="71"/>
      <c r="DF2175" s="170"/>
      <c r="EO2175" s="375" t="str">
        <f t="shared" si="268"/>
        <v>ANTIOQUIA_TARSO</v>
      </c>
      <c r="EP2175" s="376"/>
      <c r="EQ2175" s="376"/>
      <c r="ER2175" s="377"/>
      <c r="ES2175" s="376"/>
      <c r="ET2175" s="376"/>
      <c r="EU2175" s="376"/>
    </row>
    <row r="2176" spans="1:151" s="171" customFormat="1" ht="25.5" x14ac:dyDescent="0.2">
      <c r="A2176" s="246">
        <v>40527</v>
      </c>
      <c r="B2176" s="222" t="s">
        <v>2401</v>
      </c>
      <c r="C2176" s="222" t="s">
        <v>433</v>
      </c>
      <c r="D2176" s="432" t="s">
        <v>837</v>
      </c>
      <c r="E2176" s="107" t="str">
        <f>VLOOKUP(B2176&amp;C2176,Divipola!$C$2:$F$1138,4,FALSE)</f>
        <v>05842</v>
      </c>
      <c r="F2176" s="337"/>
      <c r="G2176" s="221"/>
      <c r="H2176" s="157"/>
      <c r="I2176" s="157"/>
      <c r="J2176" s="157">
        <f>749*5</f>
        <v>3745</v>
      </c>
      <c r="K2176" s="157">
        <v>749</v>
      </c>
      <c r="L2176" s="157"/>
      <c r="M2176" s="157">
        <v>123</v>
      </c>
      <c r="N2176" s="157"/>
      <c r="O2176" s="157"/>
      <c r="P2176" s="157"/>
      <c r="Q2176" s="157"/>
      <c r="R2176" s="157"/>
      <c r="S2176" s="157"/>
      <c r="T2176" s="157"/>
      <c r="U2176" s="157"/>
      <c r="V2176" s="158"/>
      <c r="W2176" s="182"/>
      <c r="X2176" s="1"/>
      <c r="Y2176" s="78">
        <f t="shared" si="264"/>
        <v>0</v>
      </c>
      <c r="Z2176" s="78">
        <f t="shared" si="265"/>
        <v>0</v>
      </c>
      <c r="AA2176" s="78">
        <f t="shared" si="270"/>
        <v>0</v>
      </c>
      <c r="AB2176" s="78">
        <f t="shared" si="266"/>
        <v>0</v>
      </c>
      <c r="AC2176" s="78"/>
      <c r="AD2176" s="78">
        <v>0</v>
      </c>
      <c r="AE2176" s="80">
        <f t="shared" si="269"/>
        <v>0</v>
      </c>
      <c r="AF2176" s="82">
        <v>0</v>
      </c>
      <c r="AG2176" s="69">
        <v>40596</v>
      </c>
      <c r="AH2176" s="84"/>
      <c r="AI2176" s="69" t="s">
        <v>1984</v>
      </c>
      <c r="AJ2176" s="25" t="s">
        <v>1985</v>
      </c>
      <c r="AK2176" s="65"/>
      <c r="AL2176" s="176" t="s">
        <v>1257</v>
      </c>
      <c r="AM2176" s="173" t="s">
        <v>436</v>
      </c>
      <c r="AN2176" s="159"/>
      <c r="AO2176" s="160"/>
      <c r="AP2176" s="161"/>
      <c r="AQ2176" s="160"/>
      <c r="AR2176" s="160"/>
      <c r="AS2176" s="160"/>
      <c r="AT2176" s="160"/>
      <c r="AU2176" s="160"/>
      <c r="AV2176" s="160"/>
      <c r="AW2176" s="160"/>
      <c r="AX2176" s="160"/>
      <c r="AY2176" s="160"/>
      <c r="AZ2176" s="160"/>
      <c r="BA2176" s="160"/>
      <c r="BB2176" s="160"/>
      <c r="BC2176" s="160"/>
      <c r="BD2176" s="160"/>
      <c r="BE2176" s="160"/>
      <c r="BF2176" s="160"/>
      <c r="BG2176" s="160"/>
      <c r="BH2176" s="160"/>
      <c r="BI2176" s="160"/>
      <c r="BJ2176" s="160"/>
      <c r="BK2176" s="160"/>
      <c r="BL2176" s="160"/>
      <c r="BM2176" s="160"/>
      <c r="BN2176" s="160"/>
      <c r="BO2176" s="160"/>
      <c r="BP2176" s="160"/>
      <c r="BQ2176" s="160"/>
      <c r="BR2176" s="160"/>
      <c r="BS2176" s="160"/>
      <c r="BT2176" s="160"/>
      <c r="BU2176" s="160"/>
      <c r="BV2176" s="160"/>
      <c r="BW2176" s="160"/>
      <c r="BX2176" s="160"/>
      <c r="BY2176" s="160"/>
      <c r="BZ2176" s="160"/>
      <c r="CA2176" s="160"/>
      <c r="CB2176" s="160"/>
      <c r="CC2176" s="160"/>
      <c r="CD2176" s="160"/>
      <c r="CE2176" s="160"/>
      <c r="CF2176" s="160"/>
      <c r="CG2176" s="160"/>
      <c r="CH2176" s="160"/>
      <c r="CI2176" s="160"/>
      <c r="CJ2176" s="160"/>
      <c r="CK2176" s="160"/>
      <c r="CL2176" s="160"/>
      <c r="CM2176" s="160"/>
      <c r="CN2176" s="160"/>
      <c r="CO2176" s="160"/>
      <c r="CP2176" s="162"/>
      <c r="CQ2176" s="163"/>
      <c r="CR2176" s="162"/>
      <c r="CS2176" s="163"/>
      <c r="CT2176" s="162"/>
      <c r="CU2176" s="163"/>
      <c r="CV2176" s="164">
        <f t="shared" si="267"/>
        <v>0</v>
      </c>
      <c r="CW2176" s="165"/>
      <c r="CX2176" s="166"/>
      <c r="CY2176" s="167"/>
      <c r="CZ2176" s="168"/>
      <c r="DA2176" s="169"/>
      <c r="DB2176" s="168"/>
      <c r="DC2176" s="165"/>
      <c r="DD2176" s="166"/>
      <c r="DE2176" s="71"/>
      <c r="DF2176" s="170"/>
      <c r="EO2176" s="375" t="str">
        <f t="shared" si="268"/>
        <v>ANTIOQUIA_URAMITA</v>
      </c>
      <c r="EP2176" s="376"/>
      <c r="EQ2176" s="376"/>
      <c r="ER2176" s="377"/>
      <c r="ES2176" s="376"/>
      <c r="ET2176" s="376"/>
      <c r="EU2176" s="376"/>
    </row>
    <row r="2177" spans="1:151" s="171" customFormat="1" ht="38.25" x14ac:dyDescent="0.2">
      <c r="A2177" s="246">
        <v>40527</v>
      </c>
      <c r="B2177" s="222" t="s">
        <v>2401</v>
      </c>
      <c r="C2177" s="222" t="s">
        <v>434</v>
      </c>
      <c r="D2177" s="432" t="s">
        <v>837</v>
      </c>
      <c r="E2177" s="107" t="str">
        <f>VLOOKUP(B2177&amp;C2177,Divipola!$C$2:$F$1138,4,FALSE)</f>
        <v>05856</v>
      </c>
      <c r="F2177" s="337"/>
      <c r="G2177" s="221"/>
      <c r="H2177" s="157"/>
      <c r="I2177" s="157"/>
      <c r="J2177" s="157">
        <v>106</v>
      </c>
      <c r="K2177" s="157">
        <v>28</v>
      </c>
      <c r="L2177" s="157">
        <v>22</v>
      </c>
      <c r="M2177" s="157">
        <v>6</v>
      </c>
      <c r="N2177" s="157"/>
      <c r="O2177" s="157"/>
      <c r="P2177" s="157"/>
      <c r="Q2177" s="157"/>
      <c r="R2177" s="157"/>
      <c r="S2177" s="157"/>
      <c r="T2177" s="157"/>
      <c r="U2177" s="157"/>
      <c r="V2177" s="158"/>
      <c r="W2177" s="182"/>
      <c r="X2177" s="1"/>
      <c r="Y2177" s="78">
        <f t="shared" si="264"/>
        <v>0</v>
      </c>
      <c r="Z2177" s="78">
        <f t="shared" si="265"/>
        <v>0</v>
      </c>
      <c r="AA2177" s="78">
        <f t="shared" si="270"/>
        <v>0</v>
      </c>
      <c r="AB2177" s="78">
        <f t="shared" si="266"/>
        <v>0</v>
      </c>
      <c r="AC2177" s="78"/>
      <c r="AD2177" s="78">
        <v>0</v>
      </c>
      <c r="AE2177" s="80">
        <f t="shared" si="269"/>
        <v>0</v>
      </c>
      <c r="AF2177" s="82">
        <v>0</v>
      </c>
      <c r="AG2177" s="69">
        <v>40596</v>
      </c>
      <c r="AH2177" s="84"/>
      <c r="AI2177" s="69" t="s">
        <v>1984</v>
      </c>
      <c r="AJ2177" s="25" t="s">
        <v>1985</v>
      </c>
      <c r="AK2177" s="65"/>
      <c r="AL2177" s="176" t="s">
        <v>1257</v>
      </c>
      <c r="AM2177" s="173" t="s">
        <v>436</v>
      </c>
      <c r="AN2177" s="159"/>
      <c r="AO2177" s="160"/>
      <c r="AP2177" s="161"/>
      <c r="AQ2177" s="160"/>
      <c r="AR2177" s="160"/>
      <c r="AS2177" s="160"/>
      <c r="AT2177" s="160"/>
      <c r="AU2177" s="160"/>
      <c r="AV2177" s="160"/>
      <c r="AW2177" s="160"/>
      <c r="AX2177" s="160"/>
      <c r="AY2177" s="160"/>
      <c r="AZ2177" s="160"/>
      <c r="BA2177" s="160"/>
      <c r="BB2177" s="160"/>
      <c r="BC2177" s="160"/>
      <c r="BD2177" s="160"/>
      <c r="BE2177" s="160"/>
      <c r="BF2177" s="160"/>
      <c r="BG2177" s="160"/>
      <c r="BH2177" s="160"/>
      <c r="BI2177" s="160"/>
      <c r="BJ2177" s="160"/>
      <c r="BK2177" s="160"/>
      <c r="BL2177" s="160"/>
      <c r="BM2177" s="160"/>
      <c r="BN2177" s="160"/>
      <c r="BO2177" s="160"/>
      <c r="BP2177" s="160"/>
      <c r="BQ2177" s="160"/>
      <c r="BR2177" s="160"/>
      <c r="BS2177" s="160"/>
      <c r="BT2177" s="160"/>
      <c r="BU2177" s="160"/>
      <c r="BV2177" s="160"/>
      <c r="BW2177" s="160"/>
      <c r="BX2177" s="160"/>
      <c r="BY2177" s="160"/>
      <c r="BZ2177" s="160"/>
      <c r="CA2177" s="160"/>
      <c r="CB2177" s="160"/>
      <c r="CC2177" s="160"/>
      <c r="CD2177" s="160"/>
      <c r="CE2177" s="160"/>
      <c r="CF2177" s="160"/>
      <c r="CG2177" s="160"/>
      <c r="CH2177" s="160"/>
      <c r="CI2177" s="160"/>
      <c r="CJ2177" s="160"/>
      <c r="CK2177" s="160"/>
      <c r="CL2177" s="160"/>
      <c r="CM2177" s="160"/>
      <c r="CN2177" s="160"/>
      <c r="CO2177" s="160"/>
      <c r="CP2177" s="162"/>
      <c r="CQ2177" s="163"/>
      <c r="CR2177" s="162"/>
      <c r="CS2177" s="163"/>
      <c r="CT2177" s="162"/>
      <c r="CU2177" s="163"/>
      <c r="CV2177" s="164">
        <f t="shared" si="267"/>
        <v>0</v>
      </c>
      <c r="CW2177" s="165"/>
      <c r="CX2177" s="166"/>
      <c r="CY2177" s="167"/>
      <c r="CZ2177" s="168"/>
      <c r="DA2177" s="169"/>
      <c r="DB2177" s="168"/>
      <c r="DC2177" s="165"/>
      <c r="DD2177" s="166"/>
      <c r="DE2177" s="71"/>
      <c r="DF2177" s="170"/>
      <c r="EO2177" s="375" t="str">
        <f t="shared" si="268"/>
        <v>ANTIOQUIA_VALPARAISO</v>
      </c>
      <c r="EP2177" s="376"/>
      <c r="EQ2177" s="376"/>
      <c r="ER2177" s="377"/>
      <c r="ES2177" s="376"/>
      <c r="ET2177" s="376"/>
      <c r="EU2177" s="376"/>
    </row>
    <row r="2178" spans="1:151" s="171" customFormat="1" ht="25.5" x14ac:dyDescent="0.2">
      <c r="A2178" s="246">
        <v>40527</v>
      </c>
      <c r="B2178" s="222" t="s">
        <v>2401</v>
      </c>
      <c r="C2178" s="222" t="s">
        <v>435</v>
      </c>
      <c r="D2178" s="432" t="s">
        <v>837</v>
      </c>
      <c r="E2178" s="107" t="str">
        <f>VLOOKUP(B2178&amp;C2178,Divipola!$C$2:$F$1138,4,FALSE)</f>
        <v>05890</v>
      </c>
      <c r="F2178" s="337"/>
      <c r="G2178" s="221"/>
      <c r="H2178" s="157"/>
      <c r="I2178" s="157"/>
      <c r="J2178" s="157">
        <v>159</v>
      </c>
      <c r="K2178" s="157">
        <v>37</v>
      </c>
      <c r="L2178" s="157"/>
      <c r="M2178" s="157">
        <v>1</v>
      </c>
      <c r="N2178" s="157"/>
      <c r="O2178" s="157"/>
      <c r="P2178" s="157"/>
      <c r="Q2178" s="157"/>
      <c r="R2178" s="157"/>
      <c r="S2178" s="157"/>
      <c r="T2178" s="157"/>
      <c r="U2178" s="157"/>
      <c r="V2178" s="158"/>
      <c r="W2178" s="182"/>
      <c r="X2178" s="1"/>
      <c r="Y2178" s="78">
        <f t="shared" si="264"/>
        <v>0</v>
      </c>
      <c r="Z2178" s="78">
        <f t="shared" si="265"/>
        <v>0</v>
      </c>
      <c r="AA2178" s="78">
        <f t="shared" si="270"/>
        <v>0</v>
      </c>
      <c r="AB2178" s="78">
        <f t="shared" si="266"/>
        <v>0</v>
      </c>
      <c r="AC2178" s="78"/>
      <c r="AD2178" s="78">
        <v>0</v>
      </c>
      <c r="AE2178" s="80">
        <f t="shared" si="269"/>
        <v>0</v>
      </c>
      <c r="AF2178" s="82">
        <v>0</v>
      </c>
      <c r="AG2178" s="69">
        <v>40596</v>
      </c>
      <c r="AH2178" s="84"/>
      <c r="AI2178" s="69" t="s">
        <v>1984</v>
      </c>
      <c r="AJ2178" s="25" t="s">
        <v>1985</v>
      </c>
      <c r="AK2178" s="65"/>
      <c r="AL2178" s="176" t="s">
        <v>1257</v>
      </c>
      <c r="AM2178" s="173" t="s">
        <v>436</v>
      </c>
      <c r="AN2178" s="159"/>
      <c r="AO2178" s="160"/>
      <c r="AP2178" s="161"/>
      <c r="AQ2178" s="160"/>
      <c r="AR2178" s="160"/>
      <c r="AS2178" s="160"/>
      <c r="AT2178" s="160"/>
      <c r="AU2178" s="160"/>
      <c r="AV2178" s="160"/>
      <c r="AW2178" s="160"/>
      <c r="AX2178" s="160"/>
      <c r="AY2178" s="160"/>
      <c r="AZ2178" s="160"/>
      <c r="BA2178" s="160"/>
      <c r="BB2178" s="160"/>
      <c r="BC2178" s="160"/>
      <c r="BD2178" s="160"/>
      <c r="BE2178" s="160"/>
      <c r="BF2178" s="160"/>
      <c r="BG2178" s="160"/>
      <c r="BH2178" s="160"/>
      <c r="BI2178" s="160"/>
      <c r="BJ2178" s="160"/>
      <c r="BK2178" s="160"/>
      <c r="BL2178" s="160"/>
      <c r="BM2178" s="160"/>
      <c r="BN2178" s="160"/>
      <c r="BO2178" s="160"/>
      <c r="BP2178" s="160"/>
      <c r="BQ2178" s="160"/>
      <c r="BR2178" s="160"/>
      <c r="BS2178" s="160"/>
      <c r="BT2178" s="160"/>
      <c r="BU2178" s="160"/>
      <c r="BV2178" s="160"/>
      <c r="BW2178" s="160"/>
      <c r="BX2178" s="160"/>
      <c r="BY2178" s="160"/>
      <c r="BZ2178" s="160"/>
      <c r="CA2178" s="160"/>
      <c r="CB2178" s="160"/>
      <c r="CC2178" s="160"/>
      <c r="CD2178" s="160"/>
      <c r="CE2178" s="160"/>
      <c r="CF2178" s="160"/>
      <c r="CG2178" s="160"/>
      <c r="CH2178" s="160"/>
      <c r="CI2178" s="160"/>
      <c r="CJ2178" s="160"/>
      <c r="CK2178" s="160"/>
      <c r="CL2178" s="160"/>
      <c r="CM2178" s="160"/>
      <c r="CN2178" s="160"/>
      <c r="CO2178" s="160"/>
      <c r="CP2178" s="162"/>
      <c r="CQ2178" s="163"/>
      <c r="CR2178" s="162"/>
      <c r="CS2178" s="163"/>
      <c r="CT2178" s="162"/>
      <c r="CU2178" s="163"/>
      <c r="CV2178" s="164">
        <f t="shared" si="267"/>
        <v>0</v>
      </c>
      <c r="CW2178" s="165"/>
      <c r="CX2178" s="166"/>
      <c r="CY2178" s="167"/>
      <c r="CZ2178" s="168"/>
      <c r="DA2178" s="169"/>
      <c r="DB2178" s="168"/>
      <c r="DC2178" s="165"/>
      <c r="DD2178" s="166"/>
      <c r="DE2178" s="71"/>
      <c r="DF2178" s="170"/>
      <c r="EO2178" s="375" t="str">
        <f t="shared" si="268"/>
        <v>ANTIOQUIA_YOLOMBO</v>
      </c>
      <c r="EP2178" s="376"/>
      <c r="EQ2178" s="376"/>
      <c r="ER2178" s="377"/>
      <c r="ES2178" s="376"/>
      <c r="ET2178" s="376"/>
      <c r="EU2178" s="376"/>
    </row>
    <row r="2179" spans="1:151" s="171" customFormat="1" ht="25.5" x14ac:dyDescent="0.2">
      <c r="A2179" s="242">
        <v>40527</v>
      </c>
      <c r="B2179" s="222" t="s">
        <v>289</v>
      </c>
      <c r="C2179" s="222" t="s">
        <v>341</v>
      </c>
      <c r="D2179" s="430" t="s">
        <v>2307</v>
      </c>
      <c r="E2179" s="107" t="str">
        <f>VLOOKUP(B2179&amp;C2179,Divipola!$C$2:$F$1138,4,FALSE)</f>
        <v>17174</v>
      </c>
      <c r="F2179" s="333"/>
      <c r="G2179" s="221"/>
      <c r="H2179" s="157"/>
      <c r="I2179" s="157"/>
      <c r="J2179" s="157">
        <v>350</v>
      </c>
      <c r="K2179" s="157">
        <v>70</v>
      </c>
      <c r="L2179" s="157"/>
      <c r="M2179" s="157">
        <v>70</v>
      </c>
      <c r="N2179" s="157"/>
      <c r="O2179" s="157"/>
      <c r="P2179" s="157"/>
      <c r="Q2179" s="157"/>
      <c r="R2179" s="157"/>
      <c r="S2179" s="157"/>
      <c r="T2179" s="157"/>
      <c r="U2179" s="157"/>
      <c r="V2179" s="158"/>
      <c r="W2179" s="182"/>
      <c r="X2179" s="1"/>
      <c r="Y2179" s="78">
        <f t="shared" ref="Y2179:Y2242" si="271">CV2179</f>
        <v>0</v>
      </c>
      <c r="Z2179" s="78">
        <f t="shared" ref="Z2179:Z2242" si="272">CZ2179</f>
        <v>0</v>
      </c>
      <c r="AA2179" s="78">
        <f t="shared" si="270"/>
        <v>0</v>
      </c>
      <c r="AB2179" s="78">
        <f t="shared" ref="AB2179:AB2242" si="273">CX2179</f>
        <v>0</v>
      </c>
      <c r="AC2179" s="78"/>
      <c r="AD2179" s="78">
        <v>0</v>
      </c>
      <c r="AE2179" s="80">
        <f t="shared" si="269"/>
        <v>0</v>
      </c>
      <c r="AF2179" s="82">
        <v>0</v>
      </c>
      <c r="AG2179" s="69">
        <v>40575</v>
      </c>
      <c r="AH2179" s="84"/>
      <c r="AI2179" s="69" t="s">
        <v>1984</v>
      </c>
      <c r="AJ2179" s="25" t="s">
        <v>1985</v>
      </c>
      <c r="AK2179" s="65"/>
      <c r="AL2179" s="176" t="s">
        <v>1257</v>
      </c>
      <c r="AM2179" s="173" t="s">
        <v>349</v>
      </c>
      <c r="AN2179" s="159"/>
      <c r="AO2179" s="160"/>
      <c r="AP2179" s="161"/>
      <c r="AQ2179" s="160"/>
      <c r="AR2179" s="160"/>
      <c r="AS2179" s="160"/>
      <c r="AT2179" s="160"/>
      <c r="AU2179" s="160"/>
      <c r="AV2179" s="160"/>
      <c r="AW2179" s="160"/>
      <c r="AX2179" s="160"/>
      <c r="AY2179" s="160"/>
      <c r="AZ2179" s="160"/>
      <c r="BA2179" s="160"/>
      <c r="BB2179" s="160"/>
      <c r="BC2179" s="160"/>
      <c r="BD2179" s="160"/>
      <c r="BE2179" s="160"/>
      <c r="BF2179" s="160"/>
      <c r="BG2179" s="160"/>
      <c r="BH2179" s="160"/>
      <c r="BI2179" s="160"/>
      <c r="BJ2179" s="160"/>
      <c r="BK2179" s="160"/>
      <c r="BL2179" s="160"/>
      <c r="BM2179" s="160"/>
      <c r="BN2179" s="160"/>
      <c r="BO2179" s="160"/>
      <c r="BP2179" s="160"/>
      <c r="BQ2179" s="160"/>
      <c r="BR2179" s="160"/>
      <c r="BS2179" s="160"/>
      <c r="BT2179" s="160"/>
      <c r="BU2179" s="160"/>
      <c r="BV2179" s="160"/>
      <c r="BW2179" s="160"/>
      <c r="BX2179" s="160"/>
      <c r="BY2179" s="160"/>
      <c r="BZ2179" s="160"/>
      <c r="CA2179" s="160"/>
      <c r="CB2179" s="160"/>
      <c r="CC2179" s="160"/>
      <c r="CD2179" s="160"/>
      <c r="CE2179" s="160"/>
      <c r="CF2179" s="160"/>
      <c r="CG2179" s="160"/>
      <c r="CH2179" s="160"/>
      <c r="CI2179" s="160"/>
      <c r="CJ2179" s="160"/>
      <c r="CK2179" s="160"/>
      <c r="CL2179" s="160"/>
      <c r="CM2179" s="160"/>
      <c r="CN2179" s="160"/>
      <c r="CO2179" s="160"/>
      <c r="CP2179" s="162"/>
      <c r="CQ2179" s="163"/>
      <c r="CR2179" s="162"/>
      <c r="CS2179" s="163"/>
      <c r="CT2179" s="162"/>
      <c r="CU2179" s="163"/>
      <c r="CV2179" s="164">
        <f t="shared" ref="CV2179:CV2242" si="274">AO2179+AQ2179+AS2179+AU2179+AW2179+AY2179+BA2179+BC2179+BE2179+BG2179+BI2179+BK2179+BM2179+BO2179+BQ2179+BS2179+BU2179+BW2179+BY2179+CA2179+CC2179+CE2179+CG2179+CI2179+CK2179+CM2179+CO2179+CQ2179+CS2179+CU2179</f>
        <v>0</v>
      </c>
      <c r="CW2179" s="165"/>
      <c r="CX2179" s="166"/>
      <c r="CY2179" s="167"/>
      <c r="CZ2179" s="168"/>
      <c r="DA2179" s="169"/>
      <c r="DB2179" s="168"/>
      <c r="DC2179" s="165"/>
      <c r="DD2179" s="166"/>
      <c r="DE2179" s="71"/>
      <c r="DF2179" s="170"/>
      <c r="EO2179" s="375" t="str">
        <f t="shared" ref="EO2179:EO2242" si="275">B2179&amp;"_"&amp;C2179</f>
        <v>CALDAS_CHINCHINA</v>
      </c>
      <c r="EP2179" s="376"/>
      <c r="EQ2179" s="376"/>
      <c r="ER2179" s="377"/>
      <c r="ES2179" s="376"/>
      <c r="ET2179" s="376"/>
      <c r="EU2179" s="376"/>
    </row>
    <row r="2180" spans="1:151" s="171" customFormat="1" ht="25.5" x14ac:dyDescent="0.2">
      <c r="A2180" s="242">
        <v>40527</v>
      </c>
      <c r="B2180" s="222" t="s">
        <v>289</v>
      </c>
      <c r="C2180" s="222" t="s">
        <v>711</v>
      </c>
      <c r="D2180" s="430" t="s">
        <v>2352</v>
      </c>
      <c r="E2180" s="107" t="str">
        <f>VLOOKUP(B2180&amp;C2180,Divipola!$C$2:$F$1138,4,FALSE)</f>
        <v>17001</v>
      </c>
      <c r="F2180" s="333"/>
      <c r="G2180" s="221">
        <v>1</v>
      </c>
      <c r="H2180" s="157"/>
      <c r="I2180" s="157"/>
      <c r="J2180" s="157"/>
      <c r="K2180" s="157"/>
      <c r="L2180" s="157"/>
      <c r="M2180" s="157"/>
      <c r="N2180" s="157"/>
      <c r="O2180" s="157"/>
      <c r="P2180" s="157"/>
      <c r="Q2180" s="157"/>
      <c r="R2180" s="157"/>
      <c r="S2180" s="157"/>
      <c r="T2180" s="157"/>
      <c r="U2180" s="157"/>
      <c r="V2180" s="158"/>
      <c r="W2180" s="182"/>
      <c r="X2180" s="1"/>
      <c r="Y2180" s="78">
        <f t="shared" si="271"/>
        <v>0</v>
      </c>
      <c r="Z2180" s="78">
        <f t="shared" si="272"/>
        <v>0</v>
      </c>
      <c r="AA2180" s="78">
        <f t="shared" si="270"/>
        <v>0</v>
      </c>
      <c r="AB2180" s="78">
        <f t="shared" si="273"/>
        <v>0</v>
      </c>
      <c r="AC2180" s="78"/>
      <c r="AD2180" s="78">
        <v>0</v>
      </c>
      <c r="AE2180" s="80">
        <f t="shared" si="269"/>
        <v>0</v>
      </c>
      <c r="AF2180" s="82">
        <v>0</v>
      </c>
      <c r="AG2180" s="69">
        <v>40527</v>
      </c>
      <c r="AH2180" s="84"/>
      <c r="AI2180" s="69" t="s">
        <v>1984</v>
      </c>
      <c r="AJ2180" s="25" t="s">
        <v>1985</v>
      </c>
      <c r="AK2180" s="65"/>
      <c r="AL2180" s="176" t="s">
        <v>1257</v>
      </c>
      <c r="AM2180" s="173" t="s">
        <v>134</v>
      </c>
      <c r="AN2180" s="159"/>
      <c r="AO2180" s="160"/>
      <c r="AP2180" s="161"/>
      <c r="AQ2180" s="160"/>
      <c r="AR2180" s="160"/>
      <c r="AS2180" s="160"/>
      <c r="AT2180" s="160"/>
      <c r="AU2180" s="160"/>
      <c r="AV2180" s="160"/>
      <c r="AW2180" s="160"/>
      <c r="AX2180" s="160"/>
      <c r="AY2180" s="160"/>
      <c r="AZ2180" s="160"/>
      <c r="BA2180" s="160"/>
      <c r="BB2180" s="160"/>
      <c r="BC2180" s="160"/>
      <c r="BD2180" s="160"/>
      <c r="BE2180" s="160"/>
      <c r="BF2180" s="160"/>
      <c r="BG2180" s="160"/>
      <c r="BH2180" s="160"/>
      <c r="BI2180" s="160"/>
      <c r="BJ2180" s="160"/>
      <c r="BK2180" s="160"/>
      <c r="BL2180" s="160"/>
      <c r="BM2180" s="160"/>
      <c r="BN2180" s="160"/>
      <c r="BO2180" s="160"/>
      <c r="BP2180" s="160"/>
      <c r="BQ2180" s="160"/>
      <c r="BR2180" s="160"/>
      <c r="BS2180" s="160"/>
      <c r="BT2180" s="160"/>
      <c r="BU2180" s="160"/>
      <c r="BV2180" s="160"/>
      <c r="BW2180" s="160"/>
      <c r="BX2180" s="160"/>
      <c r="BY2180" s="160"/>
      <c r="BZ2180" s="160"/>
      <c r="CA2180" s="160"/>
      <c r="CB2180" s="160"/>
      <c r="CC2180" s="160"/>
      <c r="CD2180" s="160"/>
      <c r="CE2180" s="160"/>
      <c r="CF2180" s="160"/>
      <c r="CG2180" s="160"/>
      <c r="CH2180" s="160"/>
      <c r="CI2180" s="160"/>
      <c r="CJ2180" s="160"/>
      <c r="CK2180" s="160"/>
      <c r="CL2180" s="160"/>
      <c r="CM2180" s="160"/>
      <c r="CN2180" s="160"/>
      <c r="CO2180" s="160"/>
      <c r="CP2180" s="162"/>
      <c r="CQ2180" s="163"/>
      <c r="CR2180" s="162"/>
      <c r="CS2180" s="163"/>
      <c r="CT2180" s="162"/>
      <c r="CU2180" s="163"/>
      <c r="CV2180" s="164">
        <f t="shared" si="274"/>
        <v>0</v>
      </c>
      <c r="CW2180" s="165"/>
      <c r="CX2180" s="166"/>
      <c r="CY2180" s="167"/>
      <c r="CZ2180" s="168"/>
      <c r="DA2180" s="169"/>
      <c r="DB2180" s="168"/>
      <c r="DC2180" s="165"/>
      <c r="DD2180" s="166"/>
      <c r="DE2180" s="71"/>
      <c r="DF2180" s="170"/>
      <c r="EO2180" s="375" t="str">
        <f t="shared" si="275"/>
        <v>CALDAS_MANIZALES</v>
      </c>
      <c r="EP2180" s="376"/>
      <c r="EQ2180" s="376"/>
      <c r="ER2180" s="377"/>
      <c r="ES2180" s="376"/>
      <c r="ET2180" s="376"/>
      <c r="EU2180" s="376"/>
    </row>
    <row r="2181" spans="1:151" s="171" customFormat="1" ht="38.25" x14ac:dyDescent="0.2">
      <c r="A2181" s="242">
        <v>40527</v>
      </c>
      <c r="B2181" s="222" t="s">
        <v>289</v>
      </c>
      <c r="C2181" s="222" t="s">
        <v>2403</v>
      </c>
      <c r="D2181" s="430" t="s">
        <v>837</v>
      </c>
      <c r="E2181" s="107" t="str">
        <f>VLOOKUP(B2181&amp;C2181,Divipola!$C$2:$F$1138,4,FALSE)</f>
        <v>17433</v>
      </c>
      <c r="F2181" s="333"/>
      <c r="G2181" s="221"/>
      <c r="H2181" s="157"/>
      <c r="I2181" s="157"/>
      <c r="J2181" s="157">
        <f>250*5</f>
        <v>1250</v>
      </c>
      <c r="K2181" s="157">
        <v>250</v>
      </c>
      <c r="L2181" s="157"/>
      <c r="M2181" s="157">
        <v>250</v>
      </c>
      <c r="N2181" s="157"/>
      <c r="O2181" s="157"/>
      <c r="P2181" s="157"/>
      <c r="Q2181" s="157"/>
      <c r="R2181" s="157"/>
      <c r="S2181" s="157"/>
      <c r="T2181" s="157"/>
      <c r="U2181" s="157"/>
      <c r="V2181" s="158"/>
      <c r="W2181" s="182"/>
      <c r="X2181" s="1"/>
      <c r="Y2181" s="78">
        <f t="shared" si="271"/>
        <v>0</v>
      </c>
      <c r="Z2181" s="78">
        <f t="shared" si="272"/>
        <v>0</v>
      </c>
      <c r="AA2181" s="78">
        <f t="shared" si="270"/>
        <v>0</v>
      </c>
      <c r="AB2181" s="78">
        <f t="shared" si="273"/>
        <v>0</v>
      </c>
      <c r="AC2181" s="78"/>
      <c r="AD2181" s="78">
        <v>0</v>
      </c>
      <c r="AE2181" s="80">
        <f t="shared" si="269"/>
        <v>0</v>
      </c>
      <c r="AF2181" s="82">
        <v>0</v>
      </c>
      <c r="AG2181" s="69">
        <v>40595</v>
      </c>
      <c r="AH2181" s="84"/>
      <c r="AI2181" s="69" t="s">
        <v>1984</v>
      </c>
      <c r="AJ2181" s="25" t="s">
        <v>1985</v>
      </c>
      <c r="AK2181" s="65"/>
      <c r="AL2181" s="176" t="s">
        <v>1257</v>
      </c>
      <c r="AM2181" s="173" t="s">
        <v>355</v>
      </c>
      <c r="AN2181" s="159"/>
      <c r="AO2181" s="160"/>
      <c r="AP2181" s="161"/>
      <c r="AQ2181" s="160"/>
      <c r="AR2181" s="160"/>
      <c r="AS2181" s="160"/>
      <c r="AT2181" s="160"/>
      <c r="AU2181" s="160"/>
      <c r="AV2181" s="160"/>
      <c r="AW2181" s="160"/>
      <c r="AX2181" s="160"/>
      <c r="AY2181" s="160"/>
      <c r="AZ2181" s="160"/>
      <c r="BA2181" s="160"/>
      <c r="BB2181" s="160"/>
      <c r="BC2181" s="160"/>
      <c r="BD2181" s="160"/>
      <c r="BE2181" s="160"/>
      <c r="BF2181" s="160"/>
      <c r="BG2181" s="160"/>
      <c r="BH2181" s="160"/>
      <c r="BI2181" s="160"/>
      <c r="BJ2181" s="160"/>
      <c r="BK2181" s="160"/>
      <c r="BL2181" s="160"/>
      <c r="BM2181" s="160"/>
      <c r="BN2181" s="160"/>
      <c r="BO2181" s="160"/>
      <c r="BP2181" s="160"/>
      <c r="BQ2181" s="160"/>
      <c r="BR2181" s="160"/>
      <c r="BS2181" s="160"/>
      <c r="BT2181" s="160"/>
      <c r="BU2181" s="160"/>
      <c r="BV2181" s="160"/>
      <c r="BW2181" s="160"/>
      <c r="BX2181" s="160"/>
      <c r="BY2181" s="160"/>
      <c r="BZ2181" s="160"/>
      <c r="CA2181" s="160"/>
      <c r="CB2181" s="160"/>
      <c r="CC2181" s="160"/>
      <c r="CD2181" s="160"/>
      <c r="CE2181" s="160"/>
      <c r="CF2181" s="160"/>
      <c r="CG2181" s="160"/>
      <c r="CH2181" s="160"/>
      <c r="CI2181" s="160"/>
      <c r="CJ2181" s="160"/>
      <c r="CK2181" s="160"/>
      <c r="CL2181" s="160"/>
      <c r="CM2181" s="160"/>
      <c r="CN2181" s="160"/>
      <c r="CO2181" s="160"/>
      <c r="CP2181" s="162"/>
      <c r="CQ2181" s="163"/>
      <c r="CR2181" s="162"/>
      <c r="CS2181" s="163"/>
      <c r="CT2181" s="162"/>
      <c r="CU2181" s="163"/>
      <c r="CV2181" s="164">
        <f t="shared" si="274"/>
        <v>0</v>
      </c>
      <c r="CW2181" s="165"/>
      <c r="CX2181" s="166"/>
      <c r="CY2181" s="167"/>
      <c r="CZ2181" s="168"/>
      <c r="DA2181" s="169"/>
      <c r="DB2181" s="168"/>
      <c r="DC2181" s="165"/>
      <c r="DD2181" s="166"/>
      <c r="DE2181" s="71"/>
      <c r="DF2181" s="170">
        <v>1595</v>
      </c>
      <c r="EO2181" s="375" t="str">
        <f t="shared" si="275"/>
        <v>CALDAS_MANZANARES</v>
      </c>
      <c r="EP2181" s="376"/>
      <c r="EQ2181" s="376"/>
      <c r="ER2181" s="377"/>
      <c r="ES2181" s="376"/>
      <c r="ET2181" s="376"/>
      <c r="EU2181" s="376"/>
    </row>
    <row r="2182" spans="1:151" s="171" customFormat="1" ht="25.5" x14ac:dyDescent="0.2">
      <c r="A2182" s="242">
        <v>40527</v>
      </c>
      <c r="B2182" s="222" t="s">
        <v>289</v>
      </c>
      <c r="C2182" s="222" t="s">
        <v>343</v>
      </c>
      <c r="D2182" s="430" t="s">
        <v>837</v>
      </c>
      <c r="E2182" s="107" t="str">
        <f>VLOOKUP(B2182&amp;C2182,Divipola!$C$2:$F$1138,4,FALSE)</f>
        <v>17486</v>
      </c>
      <c r="F2182" s="333"/>
      <c r="G2182" s="221"/>
      <c r="H2182" s="157"/>
      <c r="I2182" s="157"/>
      <c r="J2182" s="157">
        <f>235*5</f>
        <v>1175</v>
      </c>
      <c r="K2182" s="157">
        <v>235</v>
      </c>
      <c r="L2182" s="157">
        <v>1</v>
      </c>
      <c r="M2182" s="157">
        <v>234</v>
      </c>
      <c r="N2182" s="157"/>
      <c r="O2182" s="157"/>
      <c r="P2182" s="157"/>
      <c r="Q2182" s="157"/>
      <c r="R2182" s="157"/>
      <c r="S2182" s="157"/>
      <c r="T2182" s="157"/>
      <c r="U2182" s="157"/>
      <c r="V2182" s="158"/>
      <c r="W2182" s="182"/>
      <c r="X2182" s="1"/>
      <c r="Y2182" s="78">
        <f t="shared" si="271"/>
        <v>0</v>
      </c>
      <c r="Z2182" s="78">
        <f t="shared" si="272"/>
        <v>0</v>
      </c>
      <c r="AA2182" s="78">
        <f t="shared" si="270"/>
        <v>0</v>
      </c>
      <c r="AB2182" s="78">
        <f t="shared" si="273"/>
        <v>0</v>
      </c>
      <c r="AC2182" s="78"/>
      <c r="AD2182" s="78">
        <v>0</v>
      </c>
      <c r="AE2182" s="80">
        <f t="shared" si="269"/>
        <v>0</v>
      </c>
      <c r="AF2182" s="82">
        <v>0</v>
      </c>
      <c r="AG2182" s="69">
        <v>40571</v>
      </c>
      <c r="AH2182" s="84"/>
      <c r="AI2182" s="69" t="s">
        <v>1984</v>
      </c>
      <c r="AJ2182" s="25" t="s">
        <v>1985</v>
      </c>
      <c r="AK2182" s="65"/>
      <c r="AL2182" s="176" t="s">
        <v>1257</v>
      </c>
      <c r="AM2182" s="173" t="s">
        <v>355</v>
      </c>
      <c r="AN2182" s="159"/>
      <c r="AO2182" s="160"/>
      <c r="AP2182" s="161"/>
      <c r="AQ2182" s="160"/>
      <c r="AR2182" s="160"/>
      <c r="AS2182" s="160"/>
      <c r="AT2182" s="160"/>
      <c r="AU2182" s="160"/>
      <c r="AV2182" s="160"/>
      <c r="AW2182" s="160"/>
      <c r="AX2182" s="160"/>
      <c r="AY2182" s="160"/>
      <c r="AZ2182" s="160"/>
      <c r="BA2182" s="160"/>
      <c r="BB2182" s="160"/>
      <c r="BC2182" s="160"/>
      <c r="BD2182" s="160"/>
      <c r="BE2182" s="160"/>
      <c r="BF2182" s="160"/>
      <c r="BG2182" s="160"/>
      <c r="BH2182" s="160"/>
      <c r="BI2182" s="160"/>
      <c r="BJ2182" s="160"/>
      <c r="BK2182" s="160"/>
      <c r="BL2182" s="160"/>
      <c r="BM2182" s="160"/>
      <c r="BN2182" s="160"/>
      <c r="BO2182" s="160"/>
      <c r="BP2182" s="160"/>
      <c r="BQ2182" s="160"/>
      <c r="BR2182" s="160"/>
      <c r="BS2182" s="160"/>
      <c r="BT2182" s="160"/>
      <c r="BU2182" s="160"/>
      <c r="BV2182" s="160"/>
      <c r="BW2182" s="160"/>
      <c r="BX2182" s="160"/>
      <c r="BY2182" s="160"/>
      <c r="BZ2182" s="160"/>
      <c r="CA2182" s="160"/>
      <c r="CB2182" s="160"/>
      <c r="CC2182" s="160"/>
      <c r="CD2182" s="160"/>
      <c r="CE2182" s="160"/>
      <c r="CF2182" s="160"/>
      <c r="CG2182" s="160"/>
      <c r="CH2182" s="160"/>
      <c r="CI2182" s="160"/>
      <c r="CJ2182" s="160"/>
      <c r="CK2182" s="160"/>
      <c r="CL2182" s="160"/>
      <c r="CM2182" s="160"/>
      <c r="CN2182" s="160"/>
      <c r="CO2182" s="160"/>
      <c r="CP2182" s="162"/>
      <c r="CQ2182" s="163"/>
      <c r="CR2182" s="162"/>
      <c r="CS2182" s="163"/>
      <c r="CT2182" s="162"/>
      <c r="CU2182" s="163"/>
      <c r="CV2182" s="164">
        <f t="shared" si="274"/>
        <v>0</v>
      </c>
      <c r="CW2182" s="165"/>
      <c r="CX2182" s="166"/>
      <c r="CY2182" s="167"/>
      <c r="CZ2182" s="168"/>
      <c r="DA2182" s="169"/>
      <c r="DB2182" s="168"/>
      <c r="DC2182" s="165"/>
      <c r="DD2182" s="166"/>
      <c r="DE2182" s="71"/>
      <c r="DF2182" s="170"/>
      <c r="EO2182" s="375" t="str">
        <f t="shared" si="275"/>
        <v>CALDAS_NEIRA</v>
      </c>
      <c r="EP2182" s="376"/>
      <c r="EQ2182" s="376"/>
      <c r="ER2182" s="377"/>
      <c r="ES2182" s="376"/>
      <c r="ET2182" s="376"/>
      <c r="EU2182" s="376"/>
    </row>
    <row r="2183" spans="1:151" s="171" customFormat="1" ht="25.5" x14ac:dyDescent="0.2">
      <c r="A2183" s="242">
        <v>40527</v>
      </c>
      <c r="B2183" s="222" t="s">
        <v>289</v>
      </c>
      <c r="C2183" s="222" t="s">
        <v>344</v>
      </c>
      <c r="D2183" s="430" t="s">
        <v>2307</v>
      </c>
      <c r="E2183" s="107" t="str">
        <f>VLOOKUP(B2183&amp;C2183,Divipola!$C$2:$F$1138,4,FALSE)</f>
        <v>17495</v>
      </c>
      <c r="F2183" s="333"/>
      <c r="G2183" s="221"/>
      <c r="H2183" s="157"/>
      <c r="I2183" s="157"/>
      <c r="J2183" s="157">
        <v>5</v>
      </c>
      <c r="K2183" s="157">
        <v>1</v>
      </c>
      <c r="L2183" s="157">
        <v>1</v>
      </c>
      <c r="M2183" s="157"/>
      <c r="N2183" s="157"/>
      <c r="O2183" s="157"/>
      <c r="P2183" s="157"/>
      <c r="Q2183" s="157"/>
      <c r="R2183" s="157"/>
      <c r="S2183" s="157"/>
      <c r="T2183" s="157"/>
      <c r="U2183" s="157"/>
      <c r="V2183" s="158"/>
      <c r="W2183" s="182"/>
      <c r="X2183" s="1"/>
      <c r="Y2183" s="78">
        <f t="shared" si="271"/>
        <v>0</v>
      </c>
      <c r="Z2183" s="78">
        <f t="shared" si="272"/>
        <v>0</v>
      </c>
      <c r="AA2183" s="78">
        <f t="shared" si="270"/>
        <v>0</v>
      </c>
      <c r="AB2183" s="78">
        <f t="shared" si="273"/>
        <v>0</v>
      </c>
      <c r="AC2183" s="78"/>
      <c r="AD2183" s="78">
        <v>0</v>
      </c>
      <c r="AE2183" s="80">
        <f t="shared" si="269"/>
        <v>0</v>
      </c>
      <c r="AF2183" s="82">
        <v>0</v>
      </c>
      <c r="AG2183" s="69">
        <v>40571</v>
      </c>
      <c r="AH2183" s="84"/>
      <c r="AI2183" s="69" t="s">
        <v>1984</v>
      </c>
      <c r="AJ2183" s="25" t="s">
        <v>1985</v>
      </c>
      <c r="AK2183" s="65"/>
      <c r="AL2183" s="176" t="s">
        <v>1257</v>
      </c>
      <c r="AM2183" s="173" t="s">
        <v>355</v>
      </c>
      <c r="AN2183" s="159"/>
      <c r="AO2183" s="160"/>
      <c r="AP2183" s="161"/>
      <c r="AQ2183" s="160"/>
      <c r="AR2183" s="160"/>
      <c r="AS2183" s="160"/>
      <c r="AT2183" s="160"/>
      <c r="AU2183" s="160"/>
      <c r="AV2183" s="160"/>
      <c r="AW2183" s="160"/>
      <c r="AX2183" s="160"/>
      <c r="AY2183" s="160"/>
      <c r="AZ2183" s="160"/>
      <c r="BA2183" s="160"/>
      <c r="BB2183" s="160"/>
      <c r="BC2183" s="160"/>
      <c r="BD2183" s="160"/>
      <c r="BE2183" s="160"/>
      <c r="BF2183" s="160"/>
      <c r="BG2183" s="160"/>
      <c r="BH2183" s="160"/>
      <c r="BI2183" s="160"/>
      <c r="BJ2183" s="160"/>
      <c r="BK2183" s="160"/>
      <c r="BL2183" s="160"/>
      <c r="BM2183" s="160"/>
      <c r="BN2183" s="160"/>
      <c r="BO2183" s="160"/>
      <c r="BP2183" s="160"/>
      <c r="BQ2183" s="160"/>
      <c r="BR2183" s="160"/>
      <c r="BS2183" s="160"/>
      <c r="BT2183" s="160"/>
      <c r="BU2183" s="160"/>
      <c r="BV2183" s="160"/>
      <c r="BW2183" s="160"/>
      <c r="BX2183" s="160"/>
      <c r="BY2183" s="160"/>
      <c r="BZ2183" s="160"/>
      <c r="CA2183" s="160"/>
      <c r="CB2183" s="160"/>
      <c r="CC2183" s="160"/>
      <c r="CD2183" s="160"/>
      <c r="CE2183" s="160"/>
      <c r="CF2183" s="160"/>
      <c r="CG2183" s="160"/>
      <c r="CH2183" s="160"/>
      <c r="CI2183" s="160"/>
      <c r="CJ2183" s="160"/>
      <c r="CK2183" s="160"/>
      <c r="CL2183" s="160"/>
      <c r="CM2183" s="160"/>
      <c r="CN2183" s="160"/>
      <c r="CO2183" s="160"/>
      <c r="CP2183" s="162"/>
      <c r="CQ2183" s="163"/>
      <c r="CR2183" s="162"/>
      <c r="CS2183" s="163"/>
      <c r="CT2183" s="162"/>
      <c r="CU2183" s="163"/>
      <c r="CV2183" s="164">
        <f t="shared" si="274"/>
        <v>0</v>
      </c>
      <c r="CW2183" s="165"/>
      <c r="CX2183" s="166"/>
      <c r="CY2183" s="167"/>
      <c r="CZ2183" s="168"/>
      <c r="DA2183" s="169"/>
      <c r="DB2183" s="168"/>
      <c r="DC2183" s="165"/>
      <c r="DD2183" s="166"/>
      <c r="DE2183" s="71"/>
      <c r="DF2183" s="170"/>
      <c r="EO2183" s="375" t="str">
        <f t="shared" si="275"/>
        <v>CALDAS_NORCASIA</v>
      </c>
      <c r="EP2183" s="376"/>
      <c r="EQ2183" s="376"/>
      <c r="ER2183" s="377"/>
      <c r="ES2183" s="376"/>
      <c r="ET2183" s="376"/>
      <c r="EU2183" s="376"/>
    </row>
    <row r="2184" spans="1:151" s="171" customFormat="1" ht="25.5" x14ac:dyDescent="0.2">
      <c r="A2184" s="242">
        <v>40527</v>
      </c>
      <c r="B2184" s="222" t="s">
        <v>289</v>
      </c>
      <c r="C2184" s="222" t="s">
        <v>2012</v>
      </c>
      <c r="D2184" s="430" t="s">
        <v>2307</v>
      </c>
      <c r="E2184" s="107" t="str">
        <f>VLOOKUP(B2184&amp;C2184,Divipola!$C$2:$F$1138,4,FALSE)</f>
        <v>17616</v>
      </c>
      <c r="F2184" s="333"/>
      <c r="G2184" s="221">
        <v>2</v>
      </c>
      <c r="H2184" s="157"/>
      <c r="I2184" s="157"/>
      <c r="J2184" s="157"/>
      <c r="K2184" s="157"/>
      <c r="L2184" s="157"/>
      <c r="M2184" s="157"/>
      <c r="N2184" s="157"/>
      <c r="O2184" s="157"/>
      <c r="P2184" s="157"/>
      <c r="Q2184" s="157"/>
      <c r="R2184" s="157"/>
      <c r="S2184" s="157"/>
      <c r="T2184" s="157"/>
      <c r="U2184" s="157"/>
      <c r="V2184" s="158"/>
      <c r="W2184" s="182"/>
      <c r="X2184" s="1"/>
      <c r="Y2184" s="78">
        <f t="shared" si="271"/>
        <v>0</v>
      </c>
      <c r="Z2184" s="78">
        <f t="shared" si="272"/>
        <v>0</v>
      </c>
      <c r="AA2184" s="78">
        <f t="shared" si="270"/>
        <v>0</v>
      </c>
      <c r="AB2184" s="78">
        <f t="shared" si="273"/>
        <v>0</v>
      </c>
      <c r="AC2184" s="78"/>
      <c r="AD2184" s="78">
        <v>0</v>
      </c>
      <c r="AE2184" s="80">
        <f t="shared" si="269"/>
        <v>0</v>
      </c>
      <c r="AF2184" s="82">
        <v>0</v>
      </c>
      <c r="AG2184" s="69"/>
      <c r="AH2184" s="84"/>
      <c r="AI2184" s="69" t="s">
        <v>2009</v>
      </c>
      <c r="AJ2184" s="25" t="s">
        <v>2010</v>
      </c>
      <c r="AK2184" s="65"/>
      <c r="AL2184" s="184" t="s">
        <v>3833</v>
      </c>
      <c r="AM2184" s="173" t="s">
        <v>61</v>
      </c>
      <c r="AN2184" s="159"/>
      <c r="AO2184" s="160"/>
      <c r="AP2184" s="161"/>
      <c r="AQ2184" s="160"/>
      <c r="AR2184" s="160"/>
      <c r="AS2184" s="160"/>
      <c r="AT2184" s="160"/>
      <c r="AU2184" s="160"/>
      <c r="AV2184" s="160"/>
      <c r="AW2184" s="160"/>
      <c r="AX2184" s="160"/>
      <c r="AY2184" s="160"/>
      <c r="AZ2184" s="160"/>
      <c r="BA2184" s="160"/>
      <c r="BB2184" s="160"/>
      <c r="BC2184" s="160"/>
      <c r="BD2184" s="160"/>
      <c r="BE2184" s="160"/>
      <c r="BF2184" s="160"/>
      <c r="BG2184" s="160"/>
      <c r="BH2184" s="160"/>
      <c r="BI2184" s="160"/>
      <c r="BJ2184" s="160"/>
      <c r="BK2184" s="160"/>
      <c r="BL2184" s="160"/>
      <c r="BM2184" s="160"/>
      <c r="BN2184" s="160"/>
      <c r="BO2184" s="160"/>
      <c r="BP2184" s="160"/>
      <c r="BQ2184" s="160"/>
      <c r="BR2184" s="160"/>
      <c r="BS2184" s="160"/>
      <c r="BT2184" s="160"/>
      <c r="BU2184" s="160"/>
      <c r="BV2184" s="160"/>
      <c r="BW2184" s="160"/>
      <c r="BX2184" s="160"/>
      <c r="BY2184" s="160"/>
      <c r="BZ2184" s="160"/>
      <c r="CA2184" s="160"/>
      <c r="CB2184" s="160"/>
      <c r="CC2184" s="160"/>
      <c r="CD2184" s="160"/>
      <c r="CE2184" s="160"/>
      <c r="CF2184" s="160"/>
      <c r="CG2184" s="160"/>
      <c r="CH2184" s="160"/>
      <c r="CI2184" s="160"/>
      <c r="CJ2184" s="160"/>
      <c r="CK2184" s="160"/>
      <c r="CL2184" s="160"/>
      <c r="CM2184" s="160"/>
      <c r="CN2184" s="160"/>
      <c r="CO2184" s="160"/>
      <c r="CP2184" s="162"/>
      <c r="CQ2184" s="163"/>
      <c r="CR2184" s="162"/>
      <c r="CS2184" s="163"/>
      <c r="CT2184" s="162"/>
      <c r="CU2184" s="163"/>
      <c r="CV2184" s="164">
        <f t="shared" si="274"/>
        <v>0</v>
      </c>
      <c r="CW2184" s="165"/>
      <c r="CX2184" s="166"/>
      <c r="CY2184" s="167"/>
      <c r="CZ2184" s="168"/>
      <c r="DA2184" s="169"/>
      <c r="DB2184" s="168"/>
      <c r="DC2184" s="165"/>
      <c r="DD2184" s="166"/>
      <c r="DE2184" s="71"/>
      <c r="DF2184" s="170"/>
      <c r="EO2184" s="375" t="str">
        <f t="shared" si="275"/>
        <v>CALDAS_RISARALDA</v>
      </c>
      <c r="EP2184" s="376"/>
      <c r="EQ2184" s="376"/>
      <c r="ER2184" s="377"/>
      <c r="ES2184" s="376"/>
      <c r="ET2184" s="376"/>
      <c r="EU2184" s="376"/>
    </row>
    <row r="2185" spans="1:151" s="171" customFormat="1" ht="25.5" x14ac:dyDescent="0.2">
      <c r="A2185" s="242">
        <v>40527</v>
      </c>
      <c r="B2185" s="222" t="s">
        <v>289</v>
      </c>
      <c r="C2185" s="222" t="s">
        <v>345</v>
      </c>
      <c r="D2185" s="430" t="s">
        <v>2307</v>
      </c>
      <c r="E2185" s="107" t="str">
        <f>VLOOKUP(B2185&amp;C2185,Divipola!$C$2:$F$1138,4,FALSE)</f>
        <v>17665</v>
      </c>
      <c r="F2185" s="333"/>
      <c r="G2185" s="221"/>
      <c r="H2185" s="157"/>
      <c r="I2185" s="157"/>
      <c r="J2185" s="157">
        <f>350*5</f>
        <v>1750</v>
      </c>
      <c r="K2185" s="157">
        <v>350</v>
      </c>
      <c r="L2185" s="157"/>
      <c r="M2185" s="157">
        <v>350</v>
      </c>
      <c r="N2185" s="157"/>
      <c r="O2185" s="157"/>
      <c r="P2185" s="157"/>
      <c r="Q2185" s="157"/>
      <c r="R2185" s="157"/>
      <c r="S2185" s="157"/>
      <c r="T2185" s="157"/>
      <c r="U2185" s="157"/>
      <c r="V2185" s="158"/>
      <c r="W2185" s="182"/>
      <c r="X2185" s="1"/>
      <c r="Y2185" s="78">
        <f t="shared" si="271"/>
        <v>0</v>
      </c>
      <c r="Z2185" s="78">
        <f t="shared" si="272"/>
        <v>0</v>
      </c>
      <c r="AA2185" s="78">
        <f t="shared" si="270"/>
        <v>0</v>
      </c>
      <c r="AB2185" s="78">
        <f t="shared" si="273"/>
        <v>0</v>
      </c>
      <c r="AC2185" s="78"/>
      <c r="AD2185" s="78">
        <v>0</v>
      </c>
      <c r="AE2185" s="80">
        <f t="shared" ref="AE2185:AE2248" si="276">Y2185+Z2185+AA2185+AB2185+AC2185+AD2185</f>
        <v>0</v>
      </c>
      <c r="AF2185" s="82">
        <v>0</v>
      </c>
      <c r="AG2185" s="69">
        <v>40571</v>
      </c>
      <c r="AH2185" s="84"/>
      <c r="AI2185" s="69" t="s">
        <v>1984</v>
      </c>
      <c r="AJ2185" s="25" t="s">
        <v>1985</v>
      </c>
      <c r="AK2185" s="65"/>
      <c r="AL2185" s="176" t="s">
        <v>1257</v>
      </c>
      <c r="AM2185" s="173" t="s">
        <v>355</v>
      </c>
      <c r="AN2185" s="159"/>
      <c r="AO2185" s="160"/>
      <c r="AP2185" s="161"/>
      <c r="AQ2185" s="160"/>
      <c r="AR2185" s="160"/>
      <c r="AS2185" s="160"/>
      <c r="AT2185" s="160"/>
      <c r="AU2185" s="160"/>
      <c r="AV2185" s="160"/>
      <c r="AW2185" s="160"/>
      <c r="AX2185" s="160"/>
      <c r="AY2185" s="160"/>
      <c r="AZ2185" s="160"/>
      <c r="BA2185" s="160"/>
      <c r="BB2185" s="160"/>
      <c r="BC2185" s="160"/>
      <c r="BD2185" s="160"/>
      <c r="BE2185" s="160"/>
      <c r="BF2185" s="160"/>
      <c r="BG2185" s="160"/>
      <c r="BH2185" s="160"/>
      <c r="BI2185" s="160"/>
      <c r="BJ2185" s="160"/>
      <c r="BK2185" s="160"/>
      <c r="BL2185" s="160"/>
      <c r="BM2185" s="160"/>
      <c r="BN2185" s="160"/>
      <c r="BO2185" s="160"/>
      <c r="BP2185" s="160"/>
      <c r="BQ2185" s="160"/>
      <c r="BR2185" s="160"/>
      <c r="BS2185" s="160"/>
      <c r="BT2185" s="160"/>
      <c r="BU2185" s="160"/>
      <c r="BV2185" s="160"/>
      <c r="BW2185" s="160"/>
      <c r="BX2185" s="160"/>
      <c r="BY2185" s="160"/>
      <c r="BZ2185" s="160"/>
      <c r="CA2185" s="160"/>
      <c r="CB2185" s="160"/>
      <c r="CC2185" s="160"/>
      <c r="CD2185" s="160"/>
      <c r="CE2185" s="160"/>
      <c r="CF2185" s="160"/>
      <c r="CG2185" s="160"/>
      <c r="CH2185" s="160"/>
      <c r="CI2185" s="160"/>
      <c r="CJ2185" s="160"/>
      <c r="CK2185" s="160"/>
      <c r="CL2185" s="160"/>
      <c r="CM2185" s="160"/>
      <c r="CN2185" s="160"/>
      <c r="CO2185" s="160"/>
      <c r="CP2185" s="162"/>
      <c r="CQ2185" s="163"/>
      <c r="CR2185" s="162"/>
      <c r="CS2185" s="163"/>
      <c r="CT2185" s="162"/>
      <c r="CU2185" s="163"/>
      <c r="CV2185" s="164">
        <f t="shared" si="274"/>
        <v>0</v>
      </c>
      <c r="CW2185" s="165"/>
      <c r="CX2185" s="166"/>
      <c r="CY2185" s="167"/>
      <c r="CZ2185" s="168"/>
      <c r="DA2185" s="169"/>
      <c r="DB2185" s="168"/>
      <c r="DC2185" s="165"/>
      <c r="DD2185" s="166"/>
      <c r="DE2185" s="71"/>
      <c r="DF2185" s="170"/>
      <c r="EO2185" s="375" t="str">
        <f t="shared" si="275"/>
        <v>CALDAS_SAN JOSE</v>
      </c>
      <c r="EP2185" s="376"/>
      <c r="EQ2185" s="376"/>
      <c r="ER2185" s="377"/>
      <c r="ES2185" s="376"/>
      <c r="ET2185" s="376"/>
      <c r="EU2185" s="376"/>
    </row>
    <row r="2186" spans="1:151" s="171" customFormat="1" ht="25.5" x14ac:dyDescent="0.2">
      <c r="A2186" s="242">
        <v>40527</v>
      </c>
      <c r="B2186" s="222" t="s">
        <v>289</v>
      </c>
      <c r="C2186" s="222" t="s">
        <v>346</v>
      </c>
      <c r="D2186" s="430" t="s">
        <v>837</v>
      </c>
      <c r="E2186" s="107" t="str">
        <f>VLOOKUP(B2186&amp;C2186,Divipola!$C$2:$F$1138,4,FALSE)</f>
        <v>17877</v>
      </c>
      <c r="F2186" s="333"/>
      <c r="G2186" s="221"/>
      <c r="H2186" s="157"/>
      <c r="I2186" s="157"/>
      <c r="J2186" s="157">
        <f>87*5</f>
        <v>435</v>
      </c>
      <c r="K2186" s="157">
        <v>87</v>
      </c>
      <c r="L2186" s="157"/>
      <c r="M2186" s="157">
        <v>87</v>
      </c>
      <c r="N2186" s="157"/>
      <c r="O2186" s="157"/>
      <c r="P2186" s="157"/>
      <c r="Q2186" s="157"/>
      <c r="R2186" s="157"/>
      <c r="S2186" s="157"/>
      <c r="T2186" s="157"/>
      <c r="U2186" s="157"/>
      <c r="V2186" s="158"/>
      <c r="W2186" s="182"/>
      <c r="X2186" s="1"/>
      <c r="Y2186" s="78">
        <f t="shared" si="271"/>
        <v>0</v>
      </c>
      <c r="Z2186" s="78">
        <f t="shared" si="272"/>
        <v>0</v>
      </c>
      <c r="AA2186" s="78">
        <f t="shared" si="270"/>
        <v>0</v>
      </c>
      <c r="AB2186" s="78">
        <f t="shared" si="273"/>
        <v>0</v>
      </c>
      <c r="AC2186" s="78"/>
      <c r="AD2186" s="78">
        <v>0</v>
      </c>
      <c r="AE2186" s="80">
        <f t="shared" si="276"/>
        <v>0</v>
      </c>
      <c r="AF2186" s="82">
        <v>0</v>
      </c>
      <c r="AG2186" s="69">
        <v>40571</v>
      </c>
      <c r="AH2186" s="84"/>
      <c r="AI2186" s="69" t="s">
        <v>1984</v>
      </c>
      <c r="AJ2186" s="25" t="s">
        <v>1985</v>
      </c>
      <c r="AK2186" s="65"/>
      <c r="AL2186" s="176" t="s">
        <v>1257</v>
      </c>
      <c r="AM2186" s="173" t="s">
        <v>355</v>
      </c>
      <c r="AN2186" s="159"/>
      <c r="AO2186" s="160"/>
      <c r="AP2186" s="161"/>
      <c r="AQ2186" s="160"/>
      <c r="AR2186" s="160"/>
      <c r="AS2186" s="160"/>
      <c r="AT2186" s="160"/>
      <c r="AU2186" s="160"/>
      <c r="AV2186" s="160"/>
      <c r="AW2186" s="160"/>
      <c r="AX2186" s="160"/>
      <c r="AY2186" s="160"/>
      <c r="AZ2186" s="160"/>
      <c r="BA2186" s="160"/>
      <c r="BB2186" s="160"/>
      <c r="BC2186" s="160"/>
      <c r="BD2186" s="160"/>
      <c r="BE2186" s="160"/>
      <c r="BF2186" s="160"/>
      <c r="BG2186" s="160"/>
      <c r="BH2186" s="160"/>
      <c r="BI2186" s="160"/>
      <c r="BJ2186" s="160"/>
      <c r="BK2186" s="160"/>
      <c r="BL2186" s="160"/>
      <c r="BM2186" s="160"/>
      <c r="BN2186" s="160"/>
      <c r="BO2186" s="160"/>
      <c r="BP2186" s="160"/>
      <c r="BQ2186" s="160"/>
      <c r="BR2186" s="160"/>
      <c r="BS2186" s="160"/>
      <c r="BT2186" s="160"/>
      <c r="BU2186" s="160"/>
      <c r="BV2186" s="160"/>
      <c r="BW2186" s="160"/>
      <c r="BX2186" s="160"/>
      <c r="BY2186" s="160"/>
      <c r="BZ2186" s="160"/>
      <c r="CA2186" s="160"/>
      <c r="CB2186" s="160"/>
      <c r="CC2186" s="160"/>
      <c r="CD2186" s="160"/>
      <c r="CE2186" s="160"/>
      <c r="CF2186" s="160"/>
      <c r="CG2186" s="160"/>
      <c r="CH2186" s="160"/>
      <c r="CI2186" s="160"/>
      <c r="CJ2186" s="160"/>
      <c r="CK2186" s="160"/>
      <c r="CL2186" s="160"/>
      <c r="CM2186" s="160"/>
      <c r="CN2186" s="160"/>
      <c r="CO2186" s="160"/>
      <c r="CP2186" s="162"/>
      <c r="CQ2186" s="163"/>
      <c r="CR2186" s="162"/>
      <c r="CS2186" s="163"/>
      <c r="CT2186" s="162"/>
      <c r="CU2186" s="163"/>
      <c r="CV2186" s="164">
        <f t="shared" si="274"/>
        <v>0</v>
      </c>
      <c r="CW2186" s="165"/>
      <c r="CX2186" s="166"/>
      <c r="CY2186" s="167"/>
      <c r="CZ2186" s="168"/>
      <c r="DA2186" s="169"/>
      <c r="DB2186" s="168"/>
      <c r="DC2186" s="165"/>
      <c r="DD2186" s="166"/>
      <c r="DE2186" s="71"/>
      <c r="DF2186" s="170"/>
      <c r="EO2186" s="375" t="str">
        <f t="shared" si="275"/>
        <v>CALDAS_VITERBO</v>
      </c>
      <c r="EP2186" s="376"/>
      <c r="EQ2186" s="376"/>
      <c r="ER2186" s="377"/>
      <c r="ES2186" s="376"/>
      <c r="ET2186" s="376"/>
      <c r="EU2186" s="376"/>
    </row>
    <row r="2187" spans="1:151" s="171" customFormat="1" ht="25.5" x14ac:dyDescent="0.2">
      <c r="A2187" s="242">
        <v>40527</v>
      </c>
      <c r="B2187" s="222" t="s">
        <v>1189</v>
      </c>
      <c r="C2187" s="222" t="s">
        <v>285</v>
      </c>
      <c r="D2187" s="430" t="s">
        <v>837</v>
      </c>
      <c r="E2187" s="107" t="str">
        <f>VLOOKUP(B2187&amp;C2187,Divipola!$C$2:$F$1138,4,FALSE)</f>
        <v>85010</v>
      </c>
      <c r="F2187" s="333"/>
      <c r="G2187" s="221"/>
      <c r="H2187" s="157"/>
      <c r="I2187" s="157"/>
      <c r="J2187" s="157">
        <v>94</v>
      </c>
      <c r="K2187" s="157">
        <v>20</v>
      </c>
      <c r="L2187" s="157"/>
      <c r="M2187" s="157"/>
      <c r="N2187" s="157"/>
      <c r="O2187" s="157"/>
      <c r="P2187" s="157"/>
      <c r="Q2187" s="157"/>
      <c r="R2187" s="157"/>
      <c r="S2187" s="157"/>
      <c r="T2187" s="157"/>
      <c r="U2187" s="157"/>
      <c r="V2187" s="158"/>
      <c r="W2187" s="182"/>
      <c r="X2187" s="1"/>
      <c r="Y2187" s="78">
        <f t="shared" si="271"/>
        <v>0</v>
      </c>
      <c r="Z2187" s="78">
        <f t="shared" si="272"/>
        <v>0</v>
      </c>
      <c r="AA2187" s="78">
        <f t="shared" si="270"/>
        <v>0</v>
      </c>
      <c r="AB2187" s="78">
        <f t="shared" si="273"/>
        <v>0</v>
      </c>
      <c r="AC2187" s="78"/>
      <c r="AD2187" s="78">
        <v>0</v>
      </c>
      <c r="AE2187" s="80">
        <f t="shared" si="276"/>
        <v>0</v>
      </c>
      <c r="AF2187" s="82">
        <v>0</v>
      </c>
      <c r="AG2187" s="69"/>
      <c r="AH2187" s="84"/>
      <c r="AI2187" s="69" t="s">
        <v>1984</v>
      </c>
      <c r="AJ2187" s="25" t="s">
        <v>1985</v>
      </c>
      <c r="AK2187" s="65"/>
      <c r="AL2187" s="176" t="s">
        <v>1257</v>
      </c>
      <c r="AM2187" s="173" t="s">
        <v>457</v>
      </c>
      <c r="AN2187" s="159"/>
      <c r="AO2187" s="160"/>
      <c r="AP2187" s="161"/>
      <c r="AQ2187" s="160"/>
      <c r="AR2187" s="160"/>
      <c r="AS2187" s="160"/>
      <c r="AT2187" s="160"/>
      <c r="AU2187" s="160"/>
      <c r="AV2187" s="160"/>
      <c r="AW2187" s="160"/>
      <c r="AX2187" s="160"/>
      <c r="AY2187" s="160"/>
      <c r="AZ2187" s="160"/>
      <c r="BA2187" s="160"/>
      <c r="BB2187" s="160"/>
      <c r="BC2187" s="160"/>
      <c r="BD2187" s="160"/>
      <c r="BE2187" s="160"/>
      <c r="BF2187" s="160"/>
      <c r="BG2187" s="160"/>
      <c r="BH2187" s="160"/>
      <c r="BI2187" s="160"/>
      <c r="BJ2187" s="160"/>
      <c r="BK2187" s="160"/>
      <c r="BL2187" s="160"/>
      <c r="BM2187" s="160"/>
      <c r="BN2187" s="160"/>
      <c r="BO2187" s="160"/>
      <c r="BP2187" s="160"/>
      <c r="BQ2187" s="160"/>
      <c r="BR2187" s="160"/>
      <c r="BS2187" s="160"/>
      <c r="BT2187" s="160"/>
      <c r="BU2187" s="160"/>
      <c r="BV2187" s="160"/>
      <c r="BW2187" s="160"/>
      <c r="BX2187" s="160"/>
      <c r="BY2187" s="160"/>
      <c r="BZ2187" s="160"/>
      <c r="CA2187" s="160"/>
      <c r="CB2187" s="160"/>
      <c r="CC2187" s="160"/>
      <c r="CD2187" s="160"/>
      <c r="CE2187" s="160"/>
      <c r="CF2187" s="160"/>
      <c r="CG2187" s="160"/>
      <c r="CH2187" s="160"/>
      <c r="CI2187" s="160"/>
      <c r="CJ2187" s="160"/>
      <c r="CK2187" s="160"/>
      <c r="CL2187" s="160"/>
      <c r="CM2187" s="160"/>
      <c r="CN2187" s="160"/>
      <c r="CO2187" s="160"/>
      <c r="CP2187" s="162"/>
      <c r="CQ2187" s="163"/>
      <c r="CR2187" s="162"/>
      <c r="CS2187" s="163"/>
      <c r="CT2187" s="162"/>
      <c r="CU2187" s="163"/>
      <c r="CV2187" s="164">
        <f t="shared" si="274"/>
        <v>0</v>
      </c>
      <c r="CW2187" s="165"/>
      <c r="CX2187" s="166"/>
      <c r="CY2187" s="167"/>
      <c r="CZ2187" s="168"/>
      <c r="DA2187" s="169"/>
      <c r="DB2187" s="168"/>
      <c r="DC2187" s="165"/>
      <c r="DD2187" s="166"/>
      <c r="DE2187" s="71"/>
      <c r="DF2187" s="170"/>
      <c r="EO2187" s="375" t="str">
        <f t="shared" si="275"/>
        <v>CASANARE_AGUAZUL</v>
      </c>
      <c r="EP2187" s="376"/>
      <c r="EQ2187" s="376"/>
      <c r="ER2187" s="377"/>
      <c r="ES2187" s="376"/>
      <c r="ET2187" s="376"/>
      <c r="EU2187" s="376"/>
    </row>
    <row r="2188" spans="1:151" s="171" customFormat="1" ht="25.5" x14ac:dyDescent="0.2">
      <c r="A2188" s="242">
        <v>40527</v>
      </c>
      <c r="B2188" s="222" t="s">
        <v>1189</v>
      </c>
      <c r="C2188" s="222" t="s">
        <v>4639</v>
      </c>
      <c r="D2188" s="430" t="s">
        <v>837</v>
      </c>
      <c r="E2188" s="107" t="str">
        <f>VLOOKUP(B2188&amp;C2188,Divipola!$C$2:$F$1138,4,FALSE)</f>
        <v>85136</v>
      </c>
      <c r="F2188" s="333"/>
      <c r="G2188" s="221"/>
      <c r="H2188" s="157"/>
      <c r="I2188" s="157"/>
      <c r="J2188" s="157">
        <f>57*5</f>
        <v>285</v>
      </c>
      <c r="K2188" s="157">
        <v>57</v>
      </c>
      <c r="L2188" s="157"/>
      <c r="M2188" s="157"/>
      <c r="N2188" s="157"/>
      <c r="O2188" s="157"/>
      <c r="P2188" s="157"/>
      <c r="Q2188" s="157"/>
      <c r="R2188" s="157"/>
      <c r="S2188" s="157"/>
      <c r="T2188" s="157"/>
      <c r="U2188" s="157"/>
      <c r="V2188" s="158"/>
      <c r="W2188" s="182"/>
      <c r="X2188" s="1"/>
      <c r="Y2188" s="78">
        <f t="shared" si="271"/>
        <v>0</v>
      </c>
      <c r="Z2188" s="78">
        <f t="shared" si="272"/>
        <v>0</v>
      </c>
      <c r="AA2188" s="78">
        <f t="shared" si="270"/>
        <v>0</v>
      </c>
      <c r="AB2188" s="78">
        <f t="shared" si="273"/>
        <v>0</v>
      </c>
      <c r="AC2188" s="78"/>
      <c r="AD2188" s="78">
        <v>0</v>
      </c>
      <c r="AE2188" s="80">
        <f t="shared" si="276"/>
        <v>0</v>
      </c>
      <c r="AF2188" s="82">
        <v>0</v>
      </c>
      <c r="AG2188" s="69"/>
      <c r="AH2188" s="84"/>
      <c r="AI2188" s="69" t="s">
        <v>1984</v>
      </c>
      <c r="AJ2188" s="25" t="s">
        <v>1985</v>
      </c>
      <c r="AK2188" s="65"/>
      <c r="AL2188" s="176" t="s">
        <v>1257</v>
      </c>
      <c r="AM2188" s="173" t="s">
        <v>457</v>
      </c>
      <c r="AN2188" s="159"/>
      <c r="AO2188" s="160"/>
      <c r="AP2188" s="161"/>
      <c r="AQ2188" s="160"/>
      <c r="AR2188" s="160"/>
      <c r="AS2188" s="160"/>
      <c r="AT2188" s="160"/>
      <c r="AU2188" s="160"/>
      <c r="AV2188" s="160"/>
      <c r="AW2188" s="160"/>
      <c r="AX2188" s="160"/>
      <c r="AY2188" s="160"/>
      <c r="AZ2188" s="160"/>
      <c r="BA2188" s="160"/>
      <c r="BB2188" s="160"/>
      <c r="BC2188" s="160"/>
      <c r="BD2188" s="160"/>
      <c r="BE2188" s="160"/>
      <c r="BF2188" s="160"/>
      <c r="BG2188" s="160"/>
      <c r="BH2188" s="160"/>
      <c r="BI2188" s="160"/>
      <c r="BJ2188" s="160"/>
      <c r="BK2188" s="160"/>
      <c r="BL2188" s="160"/>
      <c r="BM2188" s="160"/>
      <c r="BN2188" s="160"/>
      <c r="BO2188" s="160"/>
      <c r="BP2188" s="160"/>
      <c r="BQ2188" s="160"/>
      <c r="BR2188" s="160"/>
      <c r="BS2188" s="160"/>
      <c r="BT2188" s="160"/>
      <c r="BU2188" s="160"/>
      <c r="BV2188" s="160"/>
      <c r="BW2188" s="160"/>
      <c r="BX2188" s="160"/>
      <c r="BY2188" s="160"/>
      <c r="BZ2188" s="160"/>
      <c r="CA2188" s="160"/>
      <c r="CB2188" s="160"/>
      <c r="CC2188" s="160"/>
      <c r="CD2188" s="160"/>
      <c r="CE2188" s="160"/>
      <c r="CF2188" s="160"/>
      <c r="CG2188" s="160"/>
      <c r="CH2188" s="160"/>
      <c r="CI2188" s="160"/>
      <c r="CJ2188" s="160"/>
      <c r="CK2188" s="160"/>
      <c r="CL2188" s="160"/>
      <c r="CM2188" s="160"/>
      <c r="CN2188" s="160"/>
      <c r="CO2188" s="160"/>
      <c r="CP2188" s="162"/>
      <c r="CQ2188" s="163"/>
      <c r="CR2188" s="162"/>
      <c r="CS2188" s="163"/>
      <c r="CT2188" s="162"/>
      <c r="CU2188" s="163"/>
      <c r="CV2188" s="164">
        <f t="shared" si="274"/>
        <v>0</v>
      </c>
      <c r="CW2188" s="165"/>
      <c r="CX2188" s="166"/>
      <c r="CY2188" s="167"/>
      <c r="CZ2188" s="168"/>
      <c r="DA2188" s="169"/>
      <c r="DB2188" s="168"/>
      <c r="DC2188" s="165"/>
      <c r="DD2188" s="166"/>
      <c r="DE2188" s="71"/>
      <c r="DF2188" s="170"/>
      <c r="EO2188" s="375" t="str">
        <f t="shared" si="275"/>
        <v>CASANARE_LA SALINA</v>
      </c>
      <c r="EP2188" s="376"/>
      <c r="EQ2188" s="376"/>
      <c r="ER2188" s="377"/>
      <c r="ES2188" s="376"/>
      <c r="ET2188" s="376"/>
      <c r="EU2188" s="376"/>
    </row>
    <row r="2189" spans="1:151" s="171" customFormat="1" ht="25.5" x14ac:dyDescent="0.2">
      <c r="A2189" s="242">
        <v>40527</v>
      </c>
      <c r="B2189" s="222" t="s">
        <v>1189</v>
      </c>
      <c r="C2189" s="222" t="s">
        <v>4644</v>
      </c>
      <c r="D2189" s="430" t="s">
        <v>837</v>
      </c>
      <c r="E2189" s="107" t="str">
        <f>VLOOKUP(B2189&amp;C2189,Divipola!$C$2:$F$1138,4,FALSE)</f>
        <v>85279</v>
      </c>
      <c r="F2189" s="333"/>
      <c r="G2189" s="221"/>
      <c r="H2189" s="157"/>
      <c r="I2189" s="157"/>
      <c r="J2189" s="157">
        <f>300*5</f>
        <v>1500</v>
      </c>
      <c r="K2189" s="157">
        <v>300</v>
      </c>
      <c r="L2189" s="157"/>
      <c r="M2189" s="157"/>
      <c r="N2189" s="157"/>
      <c r="O2189" s="157"/>
      <c r="P2189" s="157"/>
      <c r="Q2189" s="157"/>
      <c r="R2189" s="157"/>
      <c r="S2189" s="157"/>
      <c r="T2189" s="157"/>
      <c r="U2189" s="157"/>
      <c r="V2189" s="158"/>
      <c r="W2189" s="182"/>
      <c r="X2189" s="1"/>
      <c r="Y2189" s="78">
        <f t="shared" si="271"/>
        <v>0</v>
      </c>
      <c r="Z2189" s="78">
        <f t="shared" si="272"/>
        <v>0</v>
      </c>
      <c r="AA2189" s="78">
        <f t="shared" si="270"/>
        <v>0</v>
      </c>
      <c r="AB2189" s="78">
        <f t="shared" si="273"/>
        <v>0</v>
      </c>
      <c r="AC2189" s="78"/>
      <c r="AD2189" s="78">
        <v>0</v>
      </c>
      <c r="AE2189" s="80">
        <f t="shared" si="276"/>
        <v>0</v>
      </c>
      <c r="AF2189" s="82">
        <v>0</v>
      </c>
      <c r="AG2189" s="69"/>
      <c r="AH2189" s="84"/>
      <c r="AI2189" s="69" t="s">
        <v>1984</v>
      </c>
      <c r="AJ2189" s="25" t="s">
        <v>1985</v>
      </c>
      <c r="AK2189" s="65"/>
      <c r="AL2189" s="176" t="s">
        <v>1257</v>
      </c>
      <c r="AM2189" s="173" t="s">
        <v>457</v>
      </c>
      <c r="AN2189" s="159"/>
      <c r="AO2189" s="160"/>
      <c r="AP2189" s="161"/>
      <c r="AQ2189" s="160"/>
      <c r="AR2189" s="160"/>
      <c r="AS2189" s="160"/>
      <c r="AT2189" s="160"/>
      <c r="AU2189" s="160"/>
      <c r="AV2189" s="160"/>
      <c r="AW2189" s="160"/>
      <c r="AX2189" s="160"/>
      <c r="AY2189" s="160"/>
      <c r="AZ2189" s="160"/>
      <c r="BA2189" s="160"/>
      <c r="BB2189" s="160"/>
      <c r="BC2189" s="160"/>
      <c r="BD2189" s="160"/>
      <c r="BE2189" s="160"/>
      <c r="BF2189" s="160"/>
      <c r="BG2189" s="160"/>
      <c r="BH2189" s="160"/>
      <c r="BI2189" s="160"/>
      <c r="BJ2189" s="160"/>
      <c r="BK2189" s="160"/>
      <c r="BL2189" s="160"/>
      <c r="BM2189" s="160"/>
      <c r="BN2189" s="160"/>
      <c r="BO2189" s="160"/>
      <c r="BP2189" s="160"/>
      <c r="BQ2189" s="160"/>
      <c r="BR2189" s="160"/>
      <c r="BS2189" s="160"/>
      <c r="BT2189" s="160"/>
      <c r="BU2189" s="160"/>
      <c r="BV2189" s="160"/>
      <c r="BW2189" s="160"/>
      <c r="BX2189" s="160"/>
      <c r="BY2189" s="160"/>
      <c r="BZ2189" s="160"/>
      <c r="CA2189" s="160"/>
      <c r="CB2189" s="160"/>
      <c r="CC2189" s="160"/>
      <c r="CD2189" s="160"/>
      <c r="CE2189" s="160"/>
      <c r="CF2189" s="160"/>
      <c r="CG2189" s="160"/>
      <c r="CH2189" s="160"/>
      <c r="CI2189" s="160"/>
      <c r="CJ2189" s="160"/>
      <c r="CK2189" s="160"/>
      <c r="CL2189" s="160"/>
      <c r="CM2189" s="160"/>
      <c r="CN2189" s="160"/>
      <c r="CO2189" s="160"/>
      <c r="CP2189" s="162"/>
      <c r="CQ2189" s="163"/>
      <c r="CR2189" s="162"/>
      <c r="CS2189" s="163"/>
      <c r="CT2189" s="162"/>
      <c r="CU2189" s="163"/>
      <c r="CV2189" s="164">
        <f t="shared" si="274"/>
        <v>0</v>
      </c>
      <c r="CW2189" s="165"/>
      <c r="CX2189" s="166"/>
      <c r="CY2189" s="167"/>
      <c r="CZ2189" s="168"/>
      <c r="DA2189" s="169"/>
      <c r="DB2189" s="168"/>
      <c r="DC2189" s="165"/>
      <c r="DD2189" s="166"/>
      <c r="DE2189" s="71"/>
      <c r="DF2189" s="170"/>
      <c r="EO2189" s="375" t="str">
        <f t="shared" si="275"/>
        <v>CASANARE_RECETOR</v>
      </c>
      <c r="EP2189" s="376"/>
      <c r="EQ2189" s="376"/>
      <c r="ER2189" s="377"/>
      <c r="ES2189" s="376"/>
      <c r="ET2189" s="376"/>
      <c r="EU2189" s="376"/>
    </row>
    <row r="2190" spans="1:151" s="171" customFormat="1" ht="25.5" x14ac:dyDescent="0.2">
      <c r="A2190" s="242">
        <v>40527</v>
      </c>
      <c r="B2190" s="222" t="s">
        <v>1189</v>
      </c>
      <c r="C2190" s="222" t="s">
        <v>4645</v>
      </c>
      <c r="D2190" s="430" t="s">
        <v>837</v>
      </c>
      <c r="E2190" s="107" t="str">
        <f>VLOOKUP(B2190&amp;C2190,Divipola!$C$2:$F$1138,4,FALSE)</f>
        <v>85315</v>
      </c>
      <c r="F2190" s="333"/>
      <c r="G2190" s="221"/>
      <c r="H2190" s="157"/>
      <c r="I2190" s="157"/>
      <c r="J2190" s="157">
        <v>81</v>
      </c>
      <c r="K2190" s="157">
        <v>16</v>
      </c>
      <c r="L2190" s="157"/>
      <c r="M2190" s="157"/>
      <c r="N2190" s="157"/>
      <c r="O2190" s="157"/>
      <c r="P2190" s="157"/>
      <c r="Q2190" s="157"/>
      <c r="R2190" s="157"/>
      <c r="S2190" s="157"/>
      <c r="T2190" s="157"/>
      <c r="U2190" s="157"/>
      <c r="V2190" s="158"/>
      <c r="W2190" s="182"/>
      <c r="X2190" s="1"/>
      <c r="Y2190" s="78">
        <f t="shared" si="271"/>
        <v>0</v>
      </c>
      <c r="Z2190" s="78">
        <f t="shared" si="272"/>
        <v>0</v>
      </c>
      <c r="AA2190" s="78">
        <f t="shared" si="270"/>
        <v>0</v>
      </c>
      <c r="AB2190" s="78">
        <f t="shared" si="273"/>
        <v>0</v>
      </c>
      <c r="AC2190" s="78"/>
      <c r="AD2190" s="78">
        <v>0</v>
      </c>
      <c r="AE2190" s="80">
        <f t="shared" si="276"/>
        <v>0</v>
      </c>
      <c r="AF2190" s="82">
        <v>0</v>
      </c>
      <c r="AG2190" s="69"/>
      <c r="AH2190" s="84"/>
      <c r="AI2190" s="69" t="s">
        <v>1984</v>
      </c>
      <c r="AJ2190" s="25" t="s">
        <v>1985</v>
      </c>
      <c r="AK2190" s="65"/>
      <c r="AL2190" s="176" t="s">
        <v>1257</v>
      </c>
      <c r="AM2190" s="173" t="s">
        <v>457</v>
      </c>
      <c r="AN2190" s="159"/>
      <c r="AO2190" s="160"/>
      <c r="AP2190" s="161"/>
      <c r="AQ2190" s="160"/>
      <c r="AR2190" s="160"/>
      <c r="AS2190" s="160"/>
      <c r="AT2190" s="160"/>
      <c r="AU2190" s="160"/>
      <c r="AV2190" s="160"/>
      <c r="AW2190" s="160"/>
      <c r="AX2190" s="160"/>
      <c r="AY2190" s="160"/>
      <c r="AZ2190" s="160"/>
      <c r="BA2190" s="160"/>
      <c r="BB2190" s="160"/>
      <c r="BC2190" s="160"/>
      <c r="BD2190" s="160"/>
      <c r="BE2190" s="160"/>
      <c r="BF2190" s="160"/>
      <c r="BG2190" s="160"/>
      <c r="BH2190" s="160"/>
      <c r="BI2190" s="160"/>
      <c r="BJ2190" s="160"/>
      <c r="BK2190" s="160"/>
      <c r="BL2190" s="160"/>
      <c r="BM2190" s="160"/>
      <c r="BN2190" s="160"/>
      <c r="BO2190" s="160"/>
      <c r="BP2190" s="160"/>
      <c r="BQ2190" s="160"/>
      <c r="BR2190" s="160"/>
      <c r="BS2190" s="160"/>
      <c r="BT2190" s="160"/>
      <c r="BU2190" s="160"/>
      <c r="BV2190" s="160"/>
      <c r="BW2190" s="160"/>
      <c r="BX2190" s="160"/>
      <c r="BY2190" s="160"/>
      <c r="BZ2190" s="160"/>
      <c r="CA2190" s="160"/>
      <c r="CB2190" s="160"/>
      <c r="CC2190" s="160"/>
      <c r="CD2190" s="160"/>
      <c r="CE2190" s="160"/>
      <c r="CF2190" s="160"/>
      <c r="CG2190" s="160"/>
      <c r="CH2190" s="160"/>
      <c r="CI2190" s="160"/>
      <c r="CJ2190" s="160"/>
      <c r="CK2190" s="160"/>
      <c r="CL2190" s="160"/>
      <c r="CM2190" s="160"/>
      <c r="CN2190" s="160"/>
      <c r="CO2190" s="160"/>
      <c r="CP2190" s="162"/>
      <c r="CQ2190" s="163"/>
      <c r="CR2190" s="162"/>
      <c r="CS2190" s="163"/>
      <c r="CT2190" s="162"/>
      <c r="CU2190" s="163"/>
      <c r="CV2190" s="164">
        <f t="shared" si="274"/>
        <v>0</v>
      </c>
      <c r="CW2190" s="165"/>
      <c r="CX2190" s="166"/>
      <c r="CY2190" s="167"/>
      <c r="CZ2190" s="168"/>
      <c r="DA2190" s="169"/>
      <c r="DB2190" s="168"/>
      <c r="DC2190" s="165"/>
      <c r="DD2190" s="166"/>
      <c r="DE2190" s="71"/>
      <c r="DF2190" s="170"/>
      <c r="EO2190" s="375" t="str">
        <f t="shared" si="275"/>
        <v>CASANARE_SACAMA</v>
      </c>
      <c r="EP2190" s="376"/>
      <c r="EQ2190" s="376"/>
      <c r="ER2190" s="377"/>
      <c r="ES2190" s="376"/>
      <c r="ET2190" s="376"/>
      <c r="EU2190" s="376"/>
    </row>
    <row r="2191" spans="1:151" s="171" customFormat="1" ht="51" x14ac:dyDescent="0.2">
      <c r="A2191" s="242">
        <v>40527</v>
      </c>
      <c r="B2191" s="222" t="s">
        <v>1189</v>
      </c>
      <c r="C2191" s="222" t="s">
        <v>4646</v>
      </c>
      <c r="D2191" s="430" t="s">
        <v>837</v>
      </c>
      <c r="E2191" s="107" t="str">
        <f>VLOOKUP(B2191&amp;C2191,Divipola!$C$2:$F$1138,4,FALSE)</f>
        <v>85325</v>
      </c>
      <c r="F2191" s="333"/>
      <c r="G2191" s="221"/>
      <c r="H2191" s="157"/>
      <c r="I2191" s="157"/>
      <c r="J2191" s="157">
        <f>56*5</f>
        <v>280</v>
      </c>
      <c r="K2191" s="157">
        <v>56</v>
      </c>
      <c r="L2191" s="157"/>
      <c r="M2191" s="157"/>
      <c r="N2191" s="157"/>
      <c r="O2191" s="157"/>
      <c r="P2191" s="157"/>
      <c r="Q2191" s="157"/>
      <c r="R2191" s="157"/>
      <c r="S2191" s="157"/>
      <c r="T2191" s="157"/>
      <c r="U2191" s="157"/>
      <c r="V2191" s="158"/>
      <c r="W2191" s="182"/>
      <c r="X2191" s="1"/>
      <c r="Y2191" s="78">
        <f t="shared" si="271"/>
        <v>0</v>
      </c>
      <c r="Z2191" s="78">
        <f t="shared" si="272"/>
        <v>0</v>
      </c>
      <c r="AA2191" s="78">
        <f t="shared" si="270"/>
        <v>0</v>
      </c>
      <c r="AB2191" s="78">
        <f t="shared" si="273"/>
        <v>0</v>
      </c>
      <c r="AC2191" s="78"/>
      <c r="AD2191" s="78">
        <v>0</v>
      </c>
      <c r="AE2191" s="80">
        <f t="shared" si="276"/>
        <v>0</v>
      </c>
      <c r="AF2191" s="82">
        <v>0</v>
      </c>
      <c r="AG2191" s="69">
        <v>40618</v>
      </c>
      <c r="AH2191" s="84"/>
      <c r="AI2191" s="69" t="s">
        <v>1984</v>
      </c>
      <c r="AJ2191" s="25" t="s">
        <v>1985</v>
      </c>
      <c r="AK2191" s="65"/>
      <c r="AL2191" s="176" t="s">
        <v>1257</v>
      </c>
      <c r="AM2191" s="173" t="s">
        <v>5786</v>
      </c>
      <c r="AN2191" s="159"/>
      <c r="AO2191" s="160"/>
      <c r="AP2191" s="161"/>
      <c r="AQ2191" s="160"/>
      <c r="AR2191" s="160"/>
      <c r="AS2191" s="160"/>
      <c r="AT2191" s="160"/>
      <c r="AU2191" s="160"/>
      <c r="AV2191" s="160"/>
      <c r="AW2191" s="160"/>
      <c r="AX2191" s="160"/>
      <c r="AY2191" s="160"/>
      <c r="AZ2191" s="160"/>
      <c r="BA2191" s="160"/>
      <c r="BB2191" s="160"/>
      <c r="BC2191" s="160"/>
      <c r="BD2191" s="160"/>
      <c r="BE2191" s="160"/>
      <c r="BF2191" s="160"/>
      <c r="BG2191" s="160"/>
      <c r="BH2191" s="160"/>
      <c r="BI2191" s="160"/>
      <c r="BJ2191" s="160"/>
      <c r="BK2191" s="160"/>
      <c r="BL2191" s="160"/>
      <c r="BM2191" s="160"/>
      <c r="BN2191" s="160"/>
      <c r="BO2191" s="160"/>
      <c r="BP2191" s="160"/>
      <c r="BQ2191" s="160"/>
      <c r="BR2191" s="160"/>
      <c r="BS2191" s="160"/>
      <c r="BT2191" s="160"/>
      <c r="BU2191" s="160"/>
      <c r="BV2191" s="160"/>
      <c r="BW2191" s="160"/>
      <c r="BX2191" s="160"/>
      <c r="BY2191" s="160"/>
      <c r="BZ2191" s="160"/>
      <c r="CA2191" s="160"/>
      <c r="CB2191" s="160"/>
      <c r="CC2191" s="160"/>
      <c r="CD2191" s="160"/>
      <c r="CE2191" s="160"/>
      <c r="CF2191" s="160"/>
      <c r="CG2191" s="160"/>
      <c r="CH2191" s="160"/>
      <c r="CI2191" s="160"/>
      <c r="CJ2191" s="160"/>
      <c r="CK2191" s="160"/>
      <c r="CL2191" s="160"/>
      <c r="CM2191" s="160"/>
      <c r="CN2191" s="160"/>
      <c r="CO2191" s="160"/>
      <c r="CP2191" s="162"/>
      <c r="CQ2191" s="163"/>
      <c r="CR2191" s="162"/>
      <c r="CS2191" s="163"/>
      <c r="CT2191" s="162"/>
      <c r="CU2191" s="163"/>
      <c r="CV2191" s="164">
        <f t="shared" si="274"/>
        <v>0</v>
      </c>
      <c r="CW2191" s="165"/>
      <c r="CX2191" s="166"/>
      <c r="CY2191" s="167"/>
      <c r="CZ2191" s="168"/>
      <c r="DA2191" s="169"/>
      <c r="DB2191" s="168"/>
      <c r="DC2191" s="165"/>
      <c r="DD2191" s="166"/>
      <c r="DE2191" s="71"/>
      <c r="DF2191" s="170"/>
      <c r="EO2191" s="375" t="str">
        <f t="shared" si="275"/>
        <v>CASANARE_SAN LUIS DE PALENQUE</v>
      </c>
      <c r="EP2191" s="376"/>
      <c r="EQ2191" s="376"/>
      <c r="ER2191" s="377"/>
      <c r="ES2191" s="376"/>
      <c r="ET2191" s="376"/>
      <c r="EU2191" s="376"/>
    </row>
    <row r="2192" spans="1:151" s="171" customFormat="1" ht="25.5" x14ac:dyDescent="0.2">
      <c r="A2192" s="242">
        <v>40527</v>
      </c>
      <c r="B2192" s="222" t="s">
        <v>1189</v>
      </c>
      <c r="C2192" s="222" t="s">
        <v>4647</v>
      </c>
      <c r="D2192" s="430" t="s">
        <v>837</v>
      </c>
      <c r="E2192" s="107" t="str">
        <f>VLOOKUP(B2192&amp;C2192,Divipola!$C$2:$F$1138,4,FALSE)</f>
        <v>85400</v>
      </c>
      <c r="F2192" s="333"/>
      <c r="G2192" s="221"/>
      <c r="H2192" s="157"/>
      <c r="I2192" s="157"/>
      <c r="J2192" s="157">
        <v>101</v>
      </c>
      <c r="K2192" s="157">
        <v>20</v>
      </c>
      <c r="L2192" s="157"/>
      <c r="M2192" s="157"/>
      <c r="N2192" s="157"/>
      <c r="O2192" s="157"/>
      <c r="P2192" s="157"/>
      <c r="Q2192" s="157"/>
      <c r="R2192" s="157"/>
      <c r="S2192" s="157"/>
      <c r="T2192" s="157"/>
      <c r="U2192" s="157"/>
      <c r="V2192" s="158"/>
      <c r="W2192" s="182"/>
      <c r="X2192" s="1"/>
      <c r="Y2192" s="78">
        <f t="shared" si="271"/>
        <v>0</v>
      </c>
      <c r="Z2192" s="78">
        <f t="shared" si="272"/>
        <v>0</v>
      </c>
      <c r="AA2192" s="78">
        <f t="shared" si="270"/>
        <v>0</v>
      </c>
      <c r="AB2192" s="78">
        <f t="shared" si="273"/>
        <v>0</v>
      </c>
      <c r="AC2192" s="78"/>
      <c r="AD2192" s="78">
        <v>0</v>
      </c>
      <c r="AE2192" s="80">
        <f t="shared" si="276"/>
        <v>0</v>
      </c>
      <c r="AF2192" s="82">
        <v>0</v>
      </c>
      <c r="AG2192" s="69"/>
      <c r="AH2192" s="84"/>
      <c r="AI2192" s="69" t="s">
        <v>1984</v>
      </c>
      <c r="AJ2192" s="25" t="s">
        <v>1985</v>
      </c>
      <c r="AK2192" s="65"/>
      <c r="AL2192" s="176" t="s">
        <v>1257</v>
      </c>
      <c r="AM2192" s="173" t="s">
        <v>457</v>
      </c>
      <c r="AN2192" s="159"/>
      <c r="AO2192" s="160"/>
      <c r="AP2192" s="161"/>
      <c r="AQ2192" s="160"/>
      <c r="AR2192" s="160"/>
      <c r="AS2192" s="160"/>
      <c r="AT2192" s="160"/>
      <c r="AU2192" s="160"/>
      <c r="AV2192" s="160"/>
      <c r="AW2192" s="160"/>
      <c r="AX2192" s="160"/>
      <c r="AY2192" s="160"/>
      <c r="AZ2192" s="160"/>
      <c r="BA2192" s="160"/>
      <c r="BB2192" s="160"/>
      <c r="BC2192" s="160"/>
      <c r="BD2192" s="160"/>
      <c r="BE2192" s="160"/>
      <c r="BF2192" s="160"/>
      <c r="BG2192" s="160"/>
      <c r="BH2192" s="160"/>
      <c r="BI2192" s="160"/>
      <c r="BJ2192" s="160"/>
      <c r="BK2192" s="160"/>
      <c r="BL2192" s="160"/>
      <c r="BM2192" s="160"/>
      <c r="BN2192" s="160"/>
      <c r="BO2192" s="160"/>
      <c r="BP2192" s="160"/>
      <c r="BQ2192" s="160"/>
      <c r="BR2192" s="160"/>
      <c r="BS2192" s="160"/>
      <c r="BT2192" s="160"/>
      <c r="BU2192" s="160"/>
      <c r="BV2192" s="160"/>
      <c r="BW2192" s="160"/>
      <c r="BX2192" s="160"/>
      <c r="BY2192" s="160"/>
      <c r="BZ2192" s="160"/>
      <c r="CA2192" s="160"/>
      <c r="CB2192" s="160"/>
      <c r="CC2192" s="160"/>
      <c r="CD2192" s="160"/>
      <c r="CE2192" s="160"/>
      <c r="CF2192" s="160"/>
      <c r="CG2192" s="160"/>
      <c r="CH2192" s="160"/>
      <c r="CI2192" s="160"/>
      <c r="CJ2192" s="160"/>
      <c r="CK2192" s="160"/>
      <c r="CL2192" s="160"/>
      <c r="CM2192" s="160"/>
      <c r="CN2192" s="160"/>
      <c r="CO2192" s="160"/>
      <c r="CP2192" s="162"/>
      <c r="CQ2192" s="163"/>
      <c r="CR2192" s="162"/>
      <c r="CS2192" s="163"/>
      <c r="CT2192" s="162"/>
      <c r="CU2192" s="163"/>
      <c r="CV2192" s="164">
        <f t="shared" si="274"/>
        <v>0</v>
      </c>
      <c r="CW2192" s="165"/>
      <c r="CX2192" s="166"/>
      <c r="CY2192" s="167"/>
      <c r="CZ2192" s="168"/>
      <c r="DA2192" s="169"/>
      <c r="DB2192" s="168"/>
      <c r="DC2192" s="165"/>
      <c r="DD2192" s="166"/>
      <c r="DE2192" s="71"/>
      <c r="DF2192" s="170"/>
      <c r="EO2192" s="375" t="str">
        <f t="shared" si="275"/>
        <v>CASANARE_TAMARA</v>
      </c>
      <c r="EP2192" s="376"/>
      <c r="EQ2192" s="376"/>
      <c r="ER2192" s="377"/>
      <c r="ES2192" s="376"/>
      <c r="ET2192" s="376"/>
      <c r="EU2192" s="376"/>
    </row>
    <row r="2193" spans="1:151" s="171" customFormat="1" ht="38.25" x14ac:dyDescent="0.2">
      <c r="A2193" s="242">
        <v>40527</v>
      </c>
      <c r="B2193" s="222" t="s">
        <v>2242</v>
      </c>
      <c r="C2193" s="107" t="s">
        <v>1024</v>
      </c>
      <c r="D2193" s="430" t="s">
        <v>837</v>
      </c>
      <c r="E2193" s="107" t="str">
        <f>VLOOKUP(B2193&amp;C2193,Divipola!$C$2:$F$1138,4,FALSE)</f>
        <v>20400</v>
      </c>
      <c r="F2193" s="333"/>
      <c r="G2193" s="221"/>
      <c r="H2193" s="157"/>
      <c r="I2193" s="157"/>
      <c r="J2193" s="157">
        <f>1516*5</f>
        <v>7580</v>
      </c>
      <c r="K2193" s="157">
        <v>1516</v>
      </c>
      <c r="L2193" s="157"/>
      <c r="M2193" s="157">
        <v>1356</v>
      </c>
      <c r="N2193" s="157"/>
      <c r="O2193" s="157"/>
      <c r="P2193" s="157"/>
      <c r="Q2193" s="157"/>
      <c r="R2193" s="157"/>
      <c r="S2193" s="157"/>
      <c r="T2193" s="157"/>
      <c r="U2193" s="157"/>
      <c r="V2193" s="158"/>
      <c r="W2193" s="182"/>
      <c r="X2193" s="1"/>
      <c r="Y2193" s="78">
        <f t="shared" si="271"/>
        <v>0</v>
      </c>
      <c r="Z2193" s="78">
        <f t="shared" si="272"/>
        <v>0</v>
      </c>
      <c r="AA2193" s="78">
        <f t="shared" si="270"/>
        <v>0</v>
      </c>
      <c r="AB2193" s="78">
        <f t="shared" si="273"/>
        <v>0</v>
      </c>
      <c r="AC2193" s="78"/>
      <c r="AD2193" s="78">
        <v>0</v>
      </c>
      <c r="AE2193" s="80">
        <f t="shared" si="276"/>
        <v>0</v>
      </c>
      <c r="AF2193" s="82">
        <v>0</v>
      </c>
      <c r="AG2193" s="69">
        <v>40581</v>
      </c>
      <c r="AH2193" s="84"/>
      <c r="AI2193" s="69" t="s">
        <v>1984</v>
      </c>
      <c r="AJ2193" s="25" t="s">
        <v>1985</v>
      </c>
      <c r="AK2193" s="65"/>
      <c r="AL2193" s="176" t="s">
        <v>1257</v>
      </c>
      <c r="AM2193" s="173" t="s">
        <v>349</v>
      </c>
      <c r="AN2193" s="159"/>
      <c r="AO2193" s="160"/>
      <c r="AP2193" s="161"/>
      <c r="AQ2193" s="160"/>
      <c r="AR2193" s="160"/>
      <c r="AS2193" s="160"/>
      <c r="AT2193" s="160"/>
      <c r="AU2193" s="160"/>
      <c r="AV2193" s="160"/>
      <c r="AW2193" s="160"/>
      <c r="AX2193" s="160"/>
      <c r="AY2193" s="160"/>
      <c r="AZ2193" s="160"/>
      <c r="BA2193" s="160"/>
      <c r="BB2193" s="160"/>
      <c r="BC2193" s="160"/>
      <c r="BD2193" s="160"/>
      <c r="BE2193" s="160"/>
      <c r="BF2193" s="160"/>
      <c r="BG2193" s="160"/>
      <c r="BH2193" s="160"/>
      <c r="BI2193" s="160"/>
      <c r="BJ2193" s="160"/>
      <c r="BK2193" s="160"/>
      <c r="BL2193" s="160"/>
      <c r="BM2193" s="160"/>
      <c r="BN2193" s="160"/>
      <c r="BO2193" s="160"/>
      <c r="BP2193" s="160"/>
      <c r="BQ2193" s="160"/>
      <c r="BR2193" s="160"/>
      <c r="BS2193" s="160"/>
      <c r="BT2193" s="160"/>
      <c r="BU2193" s="160"/>
      <c r="BV2193" s="160"/>
      <c r="BW2193" s="160"/>
      <c r="BX2193" s="160"/>
      <c r="BY2193" s="160"/>
      <c r="BZ2193" s="160"/>
      <c r="CA2193" s="160"/>
      <c r="CB2193" s="160"/>
      <c r="CC2193" s="160"/>
      <c r="CD2193" s="160"/>
      <c r="CE2193" s="160"/>
      <c r="CF2193" s="160"/>
      <c r="CG2193" s="160"/>
      <c r="CH2193" s="160"/>
      <c r="CI2193" s="160"/>
      <c r="CJ2193" s="160"/>
      <c r="CK2193" s="160"/>
      <c r="CL2193" s="160"/>
      <c r="CM2193" s="160"/>
      <c r="CN2193" s="160"/>
      <c r="CO2193" s="160"/>
      <c r="CP2193" s="162"/>
      <c r="CQ2193" s="163"/>
      <c r="CR2193" s="162"/>
      <c r="CS2193" s="163"/>
      <c r="CT2193" s="162"/>
      <c r="CU2193" s="163"/>
      <c r="CV2193" s="164">
        <f t="shared" si="274"/>
        <v>0</v>
      </c>
      <c r="CW2193" s="165"/>
      <c r="CX2193" s="166"/>
      <c r="CY2193" s="167"/>
      <c r="CZ2193" s="168"/>
      <c r="DA2193" s="169"/>
      <c r="DB2193" s="168"/>
      <c r="DC2193" s="165"/>
      <c r="DD2193" s="166"/>
      <c r="DE2193" s="71"/>
      <c r="DF2193" s="170"/>
      <c r="EO2193" s="375" t="str">
        <f t="shared" si="275"/>
        <v>CESAR_LA JAGUA DE IBIRICO</v>
      </c>
      <c r="EP2193" s="376"/>
      <c r="EQ2193" s="376"/>
      <c r="ER2193" s="377"/>
      <c r="ES2193" s="376"/>
      <c r="ET2193" s="376"/>
      <c r="EU2193" s="376"/>
    </row>
    <row r="2194" spans="1:151" s="171" customFormat="1" ht="25.5" x14ac:dyDescent="0.2">
      <c r="A2194" s="242">
        <v>40527</v>
      </c>
      <c r="B2194" s="222" t="s">
        <v>2242</v>
      </c>
      <c r="C2194" s="222" t="s">
        <v>370</v>
      </c>
      <c r="D2194" s="430" t="s">
        <v>837</v>
      </c>
      <c r="E2194" s="107" t="str">
        <f>VLOOKUP(B2194&amp;C2194,Divipola!$C$2:$F$1138,4,FALSE)</f>
        <v>20710</v>
      </c>
      <c r="F2194" s="333"/>
      <c r="G2194" s="221"/>
      <c r="H2194" s="157"/>
      <c r="I2194" s="157"/>
      <c r="J2194" s="157">
        <f>290*5</f>
        <v>1450</v>
      </c>
      <c r="K2194" s="157">
        <v>290</v>
      </c>
      <c r="L2194" s="157"/>
      <c r="M2194" s="157">
        <v>290</v>
      </c>
      <c r="N2194" s="157"/>
      <c r="O2194" s="157"/>
      <c r="P2194" s="157"/>
      <c r="Q2194" s="157"/>
      <c r="R2194" s="157"/>
      <c r="S2194" s="157"/>
      <c r="T2194" s="157"/>
      <c r="U2194" s="157"/>
      <c r="V2194" s="158"/>
      <c r="W2194" s="182"/>
      <c r="X2194" s="1"/>
      <c r="Y2194" s="78">
        <f t="shared" si="271"/>
        <v>0</v>
      </c>
      <c r="Z2194" s="78">
        <f t="shared" si="272"/>
        <v>0</v>
      </c>
      <c r="AA2194" s="78">
        <f t="shared" si="270"/>
        <v>0</v>
      </c>
      <c r="AB2194" s="78">
        <f t="shared" si="273"/>
        <v>0</v>
      </c>
      <c r="AC2194" s="78"/>
      <c r="AD2194" s="78">
        <v>0</v>
      </c>
      <c r="AE2194" s="80">
        <f t="shared" si="276"/>
        <v>0</v>
      </c>
      <c r="AF2194" s="82">
        <v>0</v>
      </c>
      <c r="AG2194" s="69">
        <v>40581</v>
      </c>
      <c r="AH2194" s="84"/>
      <c r="AI2194" s="69" t="s">
        <v>1984</v>
      </c>
      <c r="AJ2194" s="25" t="s">
        <v>1985</v>
      </c>
      <c r="AK2194" s="65"/>
      <c r="AL2194" s="176" t="s">
        <v>1257</v>
      </c>
      <c r="AM2194" s="173" t="s">
        <v>349</v>
      </c>
      <c r="AN2194" s="159"/>
      <c r="AO2194" s="160"/>
      <c r="AP2194" s="161"/>
      <c r="AQ2194" s="160"/>
      <c r="AR2194" s="160"/>
      <c r="AS2194" s="160"/>
      <c r="AT2194" s="160"/>
      <c r="AU2194" s="160"/>
      <c r="AV2194" s="160"/>
      <c r="AW2194" s="160"/>
      <c r="AX2194" s="160"/>
      <c r="AY2194" s="160"/>
      <c r="AZ2194" s="160"/>
      <c r="BA2194" s="160"/>
      <c r="BB2194" s="160"/>
      <c r="BC2194" s="160"/>
      <c r="BD2194" s="160"/>
      <c r="BE2194" s="160"/>
      <c r="BF2194" s="160"/>
      <c r="BG2194" s="160"/>
      <c r="BH2194" s="160"/>
      <c r="BI2194" s="160"/>
      <c r="BJ2194" s="160"/>
      <c r="BK2194" s="160"/>
      <c r="BL2194" s="160"/>
      <c r="BM2194" s="160"/>
      <c r="BN2194" s="160"/>
      <c r="BO2194" s="160"/>
      <c r="BP2194" s="160"/>
      <c r="BQ2194" s="160"/>
      <c r="BR2194" s="160"/>
      <c r="BS2194" s="160"/>
      <c r="BT2194" s="160"/>
      <c r="BU2194" s="160"/>
      <c r="BV2194" s="160"/>
      <c r="BW2194" s="160"/>
      <c r="BX2194" s="160"/>
      <c r="BY2194" s="160"/>
      <c r="BZ2194" s="160"/>
      <c r="CA2194" s="160"/>
      <c r="CB2194" s="160"/>
      <c r="CC2194" s="160"/>
      <c r="CD2194" s="160"/>
      <c r="CE2194" s="160"/>
      <c r="CF2194" s="160"/>
      <c r="CG2194" s="160"/>
      <c r="CH2194" s="160"/>
      <c r="CI2194" s="160"/>
      <c r="CJ2194" s="160"/>
      <c r="CK2194" s="160"/>
      <c r="CL2194" s="160"/>
      <c r="CM2194" s="160"/>
      <c r="CN2194" s="160"/>
      <c r="CO2194" s="160"/>
      <c r="CP2194" s="162"/>
      <c r="CQ2194" s="163"/>
      <c r="CR2194" s="162"/>
      <c r="CS2194" s="163"/>
      <c r="CT2194" s="162"/>
      <c r="CU2194" s="163"/>
      <c r="CV2194" s="164">
        <f t="shared" si="274"/>
        <v>0</v>
      </c>
      <c r="CW2194" s="165"/>
      <c r="CX2194" s="166"/>
      <c r="CY2194" s="167"/>
      <c r="CZ2194" s="168"/>
      <c r="DA2194" s="169"/>
      <c r="DB2194" s="168"/>
      <c r="DC2194" s="165"/>
      <c r="DD2194" s="166"/>
      <c r="DE2194" s="71"/>
      <c r="DF2194" s="170"/>
      <c r="EO2194" s="375" t="str">
        <f t="shared" si="275"/>
        <v>CESAR_SAN ALBERTO</v>
      </c>
      <c r="EP2194" s="376"/>
      <c r="EQ2194" s="376"/>
      <c r="ER2194" s="377"/>
      <c r="ES2194" s="376"/>
      <c r="ET2194" s="376"/>
      <c r="EU2194" s="376"/>
    </row>
    <row r="2195" spans="1:151" s="171" customFormat="1" ht="51" x14ac:dyDescent="0.2">
      <c r="A2195" s="242">
        <v>40527</v>
      </c>
      <c r="B2195" s="222" t="s">
        <v>1700</v>
      </c>
      <c r="C2195" s="222" t="s">
        <v>2825</v>
      </c>
      <c r="D2195" s="430" t="s">
        <v>837</v>
      </c>
      <c r="E2195" s="107" t="str">
        <f>VLOOKUP(B2195&amp;C2195,Divipola!$C$2:$F$1138,4,FALSE)</f>
        <v>23574</v>
      </c>
      <c r="F2195" s="333"/>
      <c r="G2195" s="221"/>
      <c r="H2195" s="157"/>
      <c r="I2195" s="157"/>
      <c r="J2195" s="157">
        <v>138</v>
      </c>
      <c r="K2195" s="157">
        <v>28</v>
      </c>
      <c r="L2195" s="157"/>
      <c r="M2195" s="157">
        <v>28</v>
      </c>
      <c r="N2195" s="157"/>
      <c r="O2195" s="157"/>
      <c r="P2195" s="157"/>
      <c r="Q2195" s="157"/>
      <c r="R2195" s="157"/>
      <c r="S2195" s="157"/>
      <c r="T2195" s="157"/>
      <c r="U2195" s="157"/>
      <c r="V2195" s="158"/>
      <c r="W2195" s="182"/>
      <c r="X2195" s="1"/>
      <c r="Y2195" s="78">
        <f t="shared" si="271"/>
        <v>0</v>
      </c>
      <c r="Z2195" s="78">
        <f t="shared" si="272"/>
        <v>8500000</v>
      </c>
      <c r="AA2195" s="78">
        <f t="shared" si="270"/>
        <v>0</v>
      </c>
      <c r="AB2195" s="78">
        <f t="shared" si="273"/>
        <v>0</v>
      </c>
      <c r="AC2195" s="78"/>
      <c r="AD2195" s="78">
        <v>0</v>
      </c>
      <c r="AE2195" s="80">
        <f t="shared" si="276"/>
        <v>8500000</v>
      </c>
      <c r="AF2195" s="82">
        <v>0</v>
      </c>
      <c r="AG2195" s="69"/>
      <c r="AH2195" s="84"/>
      <c r="AI2195" s="69" t="s">
        <v>2009</v>
      </c>
      <c r="AJ2195" s="25" t="s">
        <v>2010</v>
      </c>
      <c r="AK2195" s="65"/>
      <c r="AL2195" s="176"/>
      <c r="AM2195" s="173" t="s">
        <v>59</v>
      </c>
      <c r="AN2195" s="159"/>
      <c r="AO2195" s="160"/>
      <c r="AP2195" s="161"/>
      <c r="AQ2195" s="160"/>
      <c r="AR2195" s="160"/>
      <c r="AS2195" s="160"/>
      <c r="AT2195" s="160"/>
      <c r="AU2195" s="160"/>
      <c r="AV2195" s="160"/>
      <c r="AW2195" s="160"/>
      <c r="AX2195" s="160"/>
      <c r="AY2195" s="160"/>
      <c r="AZ2195" s="160"/>
      <c r="BA2195" s="160"/>
      <c r="BB2195" s="160"/>
      <c r="BC2195" s="160"/>
      <c r="BD2195" s="160"/>
      <c r="BE2195" s="160"/>
      <c r="BF2195" s="160"/>
      <c r="BG2195" s="160"/>
      <c r="BH2195" s="160"/>
      <c r="BI2195" s="160"/>
      <c r="BJ2195" s="160"/>
      <c r="BK2195" s="160"/>
      <c r="BL2195" s="160"/>
      <c r="BM2195" s="160"/>
      <c r="BN2195" s="160"/>
      <c r="BO2195" s="160"/>
      <c r="BP2195" s="160"/>
      <c r="BQ2195" s="160"/>
      <c r="BR2195" s="160"/>
      <c r="BS2195" s="160"/>
      <c r="BT2195" s="160"/>
      <c r="BU2195" s="160"/>
      <c r="BV2195" s="160"/>
      <c r="BW2195" s="160"/>
      <c r="BX2195" s="160"/>
      <c r="BY2195" s="160"/>
      <c r="BZ2195" s="160"/>
      <c r="CA2195" s="160"/>
      <c r="CB2195" s="160"/>
      <c r="CC2195" s="160"/>
      <c r="CD2195" s="160"/>
      <c r="CE2195" s="160"/>
      <c r="CF2195" s="160"/>
      <c r="CG2195" s="160"/>
      <c r="CH2195" s="160"/>
      <c r="CI2195" s="160"/>
      <c r="CJ2195" s="160"/>
      <c r="CK2195" s="160"/>
      <c r="CL2195" s="160"/>
      <c r="CM2195" s="160"/>
      <c r="CN2195" s="160"/>
      <c r="CO2195" s="160"/>
      <c r="CP2195" s="162"/>
      <c r="CQ2195" s="163"/>
      <c r="CR2195" s="162"/>
      <c r="CS2195" s="163"/>
      <c r="CT2195" s="162"/>
      <c r="CU2195" s="163"/>
      <c r="CV2195" s="164">
        <f t="shared" si="274"/>
        <v>0</v>
      </c>
      <c r="CW2195" s="165"/>
      <c r="CX2195" s="166"/>
      <c r="CY2195" s="167">
        <v>100</v>
      </c>
      <c r="CZ2195" s="168">
        <f>100*85000</f>
        <v>8500000</v>
      </c>
      <c r="DA2195" s="169"/>
      <c r="DB2195" s="168"/>
      <c r="DC2195" s="165"/>
      <c r="DD2195" s="166"/>
      <c r="DE2195" s="71"/>
      <c r="DF2195" s="170"/>
      <c r="EO2195" s="375" t="str">
        <f t="shared" si="275"/>
        <v>CORDOBA_PUERTO ESCONDIDO</v>
      </c>
      <c r="EP2195" s="376"/>
      <c r="EQ2195" s="376"/>
      <c r="ER2195" s="377"/>
      <c r="ES2195" s="376"/>
      <c r="ET2195" s="376"/>
      <c r="EU2195" s="376"/>
    </row>
    <row r="2196" spans="1:151" s="171" customFormat="1" ht="60" x14ac:dyDescent="0.2">
      <c r="A2196" s="242">
        <v>40527</v>
      </c>
      <c r="B2196" s="222" t="s">
        <v>1700</v>
      </c>
      <c r="C2196" s="222" t="s">
        <v>1045</v>
      </c>
      <c r="D2196" s="430" t="s">
        <v>837</v>
      </c>
      <c r="E2196" s="107" t="str">
        <f>VLOOKUP(B2196&amp;C2196,Divipola!$C$2:$F$1138,4,FALSE)</f>
        <v>23807</v>
      </c>
      <c r="F2196" s="333"/>
      <c r="G2196" s="221"/>
      <c r="H2196" s="157"/>
      <c r="I2196" s="157"/>
      <c r="J2196" s="157">
        <f>8435-2810-49</f>
        <v>5576</v>
      </c>
      <c r="K2196" s="157">
        <f>1687-562-13</f>
        <v>1112</v>
      </c>
      <c r="L2196" s="157">
        <v>2</v>
      </c>
      <c r="M2196" s="157">
        <v>323</v>
      </c>
      <c r="N2196" s="157"/>
      <c r="O2196" s="157"/>
      <c r="P2196" s="157"/>
      <c r="Q2196" s="157"/>
      <c r="R2196" s="157"/>
      <c r="S2196" s="157"/>
      <c r="T2196" s="157"/>
      <c r="U2196" s="157"/>
      <c r="V2196" s="158"/>
      <c r="W2196" s="182"/>
      <c r="X2196" s="1"/>
      <c r="Y2196" s="78">
        <f t="shared" si="271"/>
        <v>0</v>
      </c>
      <c r="Z2196" s="78">
        <f t="shared" si="272"/>
        <v>90270000</v>
      </c>
      <c r="AA2196" s="78">
        <f t="shared" si="270"/>
        <v>0</v>
      </c>
      <c r="AB2196" s="78">
        <f t="shared" si="273"/>
        <v>0</v>
      </c>
      <c r="AC2196" s="78"/>
      <c r="AD2196" s="78">
        <v>0</v>
      </c>
      <c r="AE2196" s="80">
        <f t="shared" si="276"/>
        <v>90270000</v>
      </c>
      <c r="AF2196" s="82">
        <v>0</v>
      </c>
      <c r="AG2196" s="69"/>
      <c r="AH2196" s="84"/>
      <c r="AI2196" s="69" t="s">
        <v>2009</v>
      </c>
      <c r="AJ2196" s="25" t="s">
        <v>2010</v>
      </c>
      <c r="AK2196" s="65"/>
      <c r="AL2196" s="176"/>
      <c r="AM2196" s="173" t="s">
        <v>3790</v>
      </c>
      <c r="AN2196" s="159"/>
      <c r="AO2196" s="160"/>
      <c r="AP2196" s="161"/>
      <c r="AQ2196" s="160"/>
      <c r="AR2196" s="160"/>
      <c r="AS2196" s="160"/>
      <c r="AT2196" s="160"/>
      <c r="AU2196" s="160"/>
      <c r="AV2196" s="160"/>
      <c r="AW2196" s="160"/>
      <c r="AX2196" s="160"/>
      <c r="AY2196" s="160"/>
      <c r="AZ2196" s="160"/>
      <c r="BA2196" s="160"/>
      <c r="BB2196" s="160"/>
      <c r="BC2196" s="160"/>
      <c r="BD2196" s="160"/>
      <c r="BE2196" s="160"/>
      <c r="BF2196" s="160"/>
      <c r="BG2196" s="160"/>
      <c r="BH2196" s="160"/>
      <c r="BI2196" s="160"/>
      <c r="BJ2196" s="160"/>
      <c r="BK2196" s="160"/>
      <c r="BL2196" s="160"/>
      <c r="BM2196" s="160"/>
      <c r="BN2196" s="160"/>
      <c r="BO2196" s="160"/>
      <c r="BP2196" s="160"/>
      <c r="BQ2196" s="160"/>
      <c r="BR2196" s="160"/>
      <c r="BS2196" s="160"/>
      <c r="BT2196" s="160"/>
      <c r="BU2196" s="160"/>
      <c r="BV2196" s="160"/>
      <c r="BW2196" s="160"/>
      <c r="BX2196" s="160"/>
      <c r="BY2196" s="160"/>
      <c r="BZ2196" s="160"/>
      <c r="CA2196" s="160"/>
      <c r="CB2196" s="160"/>
      <c r="CC2196" s="160"/>
      <c r="CD2196" s="160"/>
      <c r="CE2196" s="160"/>
      <c r="CF2196" s="160"/>
      <c r="CG2196" s="160"/>
      <c r="CH2196" s="160"/>
      <c r="CI2196" s="160"/>
      <c r="CJ2196" s="160"/>
      <c r="CK2196" s="160"/>
      <c r="CL2196" s="160"/>
      <c r="CM2196" s="160"/>
      <c r="CN2196" s="160"/>
      <c r="CO2196" s="160"/>
      <c r="CP2196" s="162"/>
      <c r="CQ2196" s="163"/>
      <c r="CR2196" s="162"/>
      <c r="CS2196" s="163"/>
      <c r="CT2196" s="162"/>
      <c r="CU2196" s="163"/>
      <c r="CV2196" s="164">
        <f t="shared" si="274"/>
        <v>0</v>
      </c>
      <c r="CW2196" s="165"/>
      <c r="CX2196" s="166"/>
      <c r="CY2196" s="167">
        <v>1062</v>
      </c>
      <c r="CZ2196" s="168">
        <f>1062*85000</f>
        <v>90270000</v>
      </c>
      <c r="DA2196" s="169"/>
      <c r="DB2196" s="168"/>
      <c r="DC2196" s="165"/>
      <c r="DD2196" s="166"/>
      <c r="DE2196" s="71"/>
      <c r="DF2196" s="170"/>
      <c r="EO2196" s="375" t="str">
        <f t="shared" si="275"/>
        <v>CORDOBA_TIERRALTA</v>
      </c>
      <c r="EP2196" s="376"/>
      <c r="EQ2196" s="376"/>
      <c r="ER2196" s="377"/>
      <c r="ES2196" s="376"/>
      <c r="ET2196" s="376"/>
      <c r="EU2196" s="376"/>
    </row>
    <row r="2197" spans="1:151" s="171" customFormat="1" ht="38.25" x14ac:dyDescent="0.2">
      <c r="A2197" s="242">
        <v>40527</v>
      </c>
      <c r="B2197" s="222" t="s">
        <v>2007</v>
      </c>
      <c r="C2197" s="222" t="s">
        <v>4316</v>
      </c>
      <c r="D2197" s="430" t="s">
        <v>2307</v>
      </c>
      <c r="E2197" s="107" t="str">
        <f>VLOOKUP(B2197&amp;C2197,Divipola!$C$2:$F$1138,4,FALSE)</f>
        <v>25086</v>
      </c>
      <c r="F2197" s="333"/>
      <c r="G2197" s="221"/>
      <c r="H2197" s="157"/>
      <c r="I2197" s="157"/>
      <c r="J2197" s="157"/>
      <c r="K2197" s="157"/>
      <c r="L2197" s="157"/>
      <c r="M2197" s="157"/>
      <c r="N2197" s="157">
        <v>1</v>
      </c>
      <c r="O2197" s="157"/>
      <c r="P2197" s="157"/>
      <c r="Q2197" s="157"/>
      <c r="R2197" s="157"/>
      <c r="S2197" s="157"/>
      <c r="T2197" s="157"/>
      <c r="U2197" s="157"/>
      <c r="V2197" s="158"/>
      <c r="W2197" s="182"/>
      <c r="X2197" s="1"/>
      <c r="Y2197" s="78">
        <f t="shared" si="271"/>
        <v>0</v>
      </c>
      <c r="Z2197" s="78">
        <f t="shared" si="272"/>
        <v>0</v>
      </c>
      <c r="AA2197" s="78">
        <f t="shared" si="270"/>
        <v>0</v>
      </c>
      <c r="AB2197" s="78">
        <f t="shared" si="273"/>
        <v>0</v>
      </c>
      <c r="AC2197" s="78"/>
      <c r="AD2197" s="78">
        <v>0</v>
      </c>
      <c r="AE2197" s="80">
        <f t="shared" si="276"/>
        <v>0</v>
      </c>
      <c r="AF2197" s="82">
        <v>0</v>
      </c>
      <c r="AG2197" s="69">
        <v>40618</v>
      </c>
      <c r="AH2197" s="84"/>
      <c r="AI2197" s="69" t="s">
        <v>1984</v>
      </c>
      <c r="AJ2197" s="25" t="s">
        <v>1985</v>
      </c>
      <c r="AK2197" s="65"/>
      <c r="AL2197" s="176" t="s">
        <v>1257</v>
      </c>
      <c r="AM2197" s="173" t="s">
        <v>5785</v>
      </c>
      <c r="AN2197" s="159"/>
      <c r="AO2197" s="160"/>
      <c r="AP2197" s="161"/>
      <c r="AQ2197" s="160"/>
      <c r="AR2197" s="160"/>
      <c r="AS2197" s="160"/>
      <c r="AT2197" s="160"/>
      <c r="AU2197" s="160"/>
      <c r="AV2197" s="160"/>
      <c r="AW2197" s="160"/>
      <c r="AX2197" s="160"/>
      <c r="AY2197" s="160"/>
      <c r="AZ2197" s="160"/>
      <c r="BA2197" s="160"/>
      <c r="BB2197" s="160"/>
      <c r="BC2197" s="160"/>
      <c r="BD2197" s="160"/>
      <c r="BE2197" s="160"/>
      <c r="BF2197" s="160"/>
      <c r="BG2197" s="160"/>
      <c r="BH2197" s="160"/>
      <c r="BI2197" s="160"/>
      <c r="BJ2197" s="160"/>
      <c r="BK2197" s="160"/>
      <c r="BL2197" s="160"/>
      <c r="BM2197" s="160"/>
      <c r="BN2197" s="160"/>
      <c r="BO2197" s="160"/>
      <c r="BP2197" s="160"/>
      <c r="BQ2197" s="160"/>
      <c r="BR2197" s="160"/>
      <c r="BS2197" s="160"/>
      <c r="BT2197" s="160"/>
      <c r="BU2197" s="160"/>
      <c r="BV2197" s="160"/>
      <c r="BW2197" s="160"/>
      <c r="BX2197" s="160"/>
      <c r="BY2197" s="160"/>
      <c r="BZ2197" s="160"/>
      <c r="CA2197" s="160"/>
      <c r="CB2197" s="160"/>
      <c r="CC2197" s="160"/>
      <c r="CD2197" s="160"/>
      <c r="CE2197" s="160"/>
      <c r="CF2197" s="160"/>
      <c r="CG2197" s="160"/>
      <c r="CH2197" s="160"/>
      <c r="CI2197" s="160"/>
      <c r="CJ2197" s="160"/>
      <c r="CK2197" s="160"/>
      <c r="CL2197" s="160"/>
      <c r="CM2197" s="160"/>
      <c r="CN2197" s="160"/>
      <c r="CO2197" s="160"/>
      <c r="CP2197" s="162"/>
      <c r="CQ2197" s="163"/>
      <c r="CR2197" s="162"/>
      <c r="CS2197" s="163"/>
      <c r="CT2197" s="162"/>
      <c r="CU2197" s="163"/>
      <c r="CV2197" s="164">
        <f t="shared" si="274"/>
        <v>0</v>
      </c>
      <c r="CW2197" s="165"/>
      <c r="CX2197" s="166"/>
      <c r="CY2197" s="167"/>
      <c r="CZ2197" s="168"/>
      <c r="DA2197" s="169"/>
      <c r="DB2197" s="168"/>
      <c r="DC2197" s="165"/>
      <c r="DD2197" s="166"/>
      <c r="DE2197" s="71"/>
      <c r="DF2197" s="170"/>
      <c r="EO2197" s="375" t="str">
        <f t="shared" si="275"/>
        <v>CUNDINAMARCA_BELTRAN</v>
      </c>
      <c r="EP2197" s="376"/>
      <c r="EQ2197" s="376"/>
      <c r="ER2197" s="377"/>
      <c r="ES2197" s="376"/>
      <c r="ET2197" s="376"/>
      <c r="EU2197" s="376"/>
    </row>
    <row r="2198" spans="1:151" s="171" customFormat="1" ht="38.25" x14ac:dyDescent="0.2">
      <c r="A2198" s="242">
        <v>40527</v>
      </c>
      <c r="B2198" s="222" t="s">
        <v>2007</v>
      </c>
      <c r="C2198" s="222" t="s">
        <v>1383</v>
      </c>
      <c r="D2198" s="430" t="s">
        <v>837</v>
      </c>
      <c r="E2198" s="107" t="str">
        <f>VLOOKUP(B2198&amp;C2198,Divipola!$C$2:$F$1138,4,FALSE)</f>
        <v>25120</v>
      </c>
      <c r="F2198" s="333"/>
      <c r="G2198" s="221"/>
      <c r="H2198" s="157"/>
      <c r="I2198" s="157"/>
      <c r="J2198" s="157">
        <v>195</v>
      </c>
      <c r="K2198" s="157">
        <v>45</v>
      </c>
      <c r="L2198" s="157">
        <v>1</v>
      </c>
      <c r="M2198" s="157"/>
      <c r="N2198" s="157"/>
      <c r="O2198" s="157"/>
      <c r="P2198" s="157"/>
      <c r="Q2198" s="157"/>
      <c r="R2198" s="157"/>
      <c r="S2198" s="157"/>
      <c r="T2198" s="157"/>
      <c r="U2198" s="157"/>
      <c r="V2198" s="158"/>
      <c r="W2198" s="182"/>
      <c r="X2198" s="1"/>
      <c r="Y2198" s="78">
        <f t="shared" si="271"/>
        <v>0</v>
      </c>
      <c r="Z2198" s="78">
        <f t="shared" si="272"/>
        <v>0</v>
      </c>
      <c r="AA2198" s="78">
        <f t="shared" si="270"/>
        <v>0</v>
      </c>
      <c r="AB2198" s="78">
        <f t="shared" si="273"/>
        <v>0</v>
      </c>
      <c r="AC2198" s="78"/>
      <c r="AD2198" s="78">
        <v>0</v>
      </c>
      <c r="AE2198" s="80">
        <f t="shared" si="276"/>
        <v>0</v>
      </c>
      <c r="AF2198" s="82">
        <v>0</v>
      </c>
      <c r="AG2198" s="69">
        <v>40528</v>
      </c>
      <c r="AH2198" s="84"/>
      <c r="AI2198" s="69" t="s">
        <v>1984</v>
      </c>
      <c r="AJ2198" s="25" t="s">
        <v>1985</v>
      </c>
      <c r="AK2198" s="65"/>
      <c r="AL2198" s="176" t="s">
        <v>1257</v>
      </c>
      <c r="AM2198" s="173" t="s">
        <v>1476</v>
      </c>
      <c r="AN2198" s="159"/>
      <c r="AO2198" s="160"/>
      <c r="AP2198" s="161"/>
      <c r="AQ2198" s="160"/>
      <c r="AR2198" s="160"/>
      <c r="AS2198" s="160"/>
      <c r="AT2198" s="160"/>
      <c r="AU2198" s="160"/>
      <c r="AV2198" s="160"/>
      <c r="AW2198" s="160"/>
      <c r="AX2198" s="160"/>
      <c r="AY2198" s="160"/>
      <c r="AZ2198" s="160"/>
      <c r="BA2198" s="160"/>
      <c r="BB2198" s="160"/>
      <c r="BC2198" s="160"/>
      <c r="BD2198" s="160"/>
      <c r="BE2198" s="160"/>
      <c r="BF2198" s="160"/>
      <c r="BG2198" s="160"/>
      <c r="BH2198" s="160"/>
      <c r="BI2198" s="160"/>
      <c r="BJ2198" s="160"/>
      <c r="BK2198" s="160"/>
      <c r="BL2198" s="160"/>
      <c r="BM2198" s="160"/>
      <c r="BN2198" s="160"/>
      <c r="BO2198" s="160"/>
      <c r="BP2198" s="160"/>
      <c r="BQ2198" s="160"/>
      <c r="BR2198" s="160"/>
      <c r="BS2198" s="160"/>
      <c r="BT2198" s="160"/>
      <c r="BU2198" s="160"/>
      <c r="BV2198" s="160"/>
      <c r="BW2198" s="160"/>
      <c r="BX2198" s="160"/>
      <c r="BY2198" s="160"/>
      <c r="BZ2198" s="160"/>
      <c r="CA2198" s="160"/>
      <c r="CB2198" s="160"/>
      <c r="CC2198" s="160"/>
      <c r="CD2198" s="160"/>
      <c r="CE2198" s="160"/>
      <c r="CF2198" s="160"/>
      <c r="CG2198" s="160"/>
      <c r="CH2198" s="160"/>
      <c r="CI2198" s="160"/>
      <c r="CJ2198" s="160"/>
      <c r="CK2198" s="160"/>
      <c r="CL2198" s="160"/>
      <c r="CM2198" s="160"/>
      <c r="CN2198" s="160"/>
      <c r="CO2198" s="160"/>
      <c r="CP2198" s="162"/>
      <c r="CQ2198" s="163"/>
      <c r="CR2198" s="162"/>
      <c r="CS2198" s="163"/>
      <c r="CT2198" s="162"/>
      <c r="CU2198" s="163"/>
      <c r="CV2198" s="164">
        <f t="shared" si="274"/>
        <v>0</v>
      </c>
      <c r="CW2198" s="165"/>
      <c r="CX2198" s="166"/>
      <c r="CY2198" s="167"/>
      <c r="CZ2198" s="168"/>
      <c r="DA2198" s="169"/>
      <c r="DB2198" s="168"/>
      <c r="DC2198" s="165"/>
      <c r="DD2198" s="166"/>
      <c r="DE2198" s="71"/>
      <c r="DF2198" s="170"/>
      <c r="EO2198" s="375" t="str">
        <f t="shared" si="275"/>
        <v>CUNDINAMARCA_CABRERA</v>
      </c>
      <c r="EP2198" s="376"/>
      <c r="EQ2198" s="376"/>
      <c r="ER2198" s="377"/>
      <c r="ES2198" s="376"/>
      <c r="ET2198" s="376"/>
      <c r="EU2198" s="376"/>
    </row>
    <row r="2199" spans="1:151" s="171" customFormat="1" ht="38.25" x14ac:dyDescent="0.2">
      <c r="A2199" s="242">
        <v>40527</v>
      </c>
      <c r="B2199" s="222" t="s">
        <v>2007</v>
      </c>
      <c r="C2199" s="222" t="s">
        <v>1841</v>
      </c>
      <c r="D2199" s="430" t="s">
        <v>2307</v>
      </c>
      <c r="E2199" s="107" t="str">
        <f>VLOOKUP(B2199&amp;C2199,Divipola!$C$2:$F$1138,4,FALSE)</f>
        <v>25258</v>
      </c>
      <c r="F2199" s="333"/>
      <c r="G2199" s="221"/>
      <c r="H2199" s="157"/>
      <c r="I2199" s="157"/>
      <c r="J2199" s="157"/>
      <c r="K2199" s="157"/>
      <c r="L2199" s="157"/>
      <c r="M2199" s="157"/>
      <c r="N2199" s="157">
        <v>1</v>
      </c>
      <c r="O2199" s="157"/>
      <c r="P2199" s="157"/>
      <c r="Q2199" s="157"/>
      <c r="R2199" s="157"/>
      <c r="S2199" s="157"/>
      <c r="T2199" s="157"/>
      <c r="U2199" s="157"/>
      <c r="V2199" s="158"/>
      <c r="W2199" s="182"/>
      <c r="X2199" s="1"/>
      <c r="Y2199" s="78">
        <f t="shared" si="271"/>
        <v>0</v>
      </c>
      <c r="Z2199" s="78">
        <f t="shared" si="272"/>
        <v>0</v>
      </c>
      <c r="AA2199" s="78">
        <f t="shared" si="270"/>
        <v>0</v>
      </c>
      <c r="AB2199" s="78">
        <f t="shared" si="273"/>
        <v>0</v>
      </c>
      <c r="AC2199" s="78"/>
      <c r="AD2199" s="78">
        <v>0</v>
      </c>
      <c r="AE2199" s="80">
        <f t="shared" si="276"/>
        <v>0</v>
      </c>
      <c r="AF2199" s="82">
        <v>0</v>
      </c>
      <c r="AG2199" s="69">
        <v>40618</v>
      </c>
      <c r="AH2199" s="84"/>
      <c r="AI2199" s="69" t="s">
        <v>1984</v>
      </c>
      <c r="AJ2199" s="25" t="s">
        <v>1985</v>
      </c>
      <c r="AK2199" s="65"/>
      <c r="AL2199" s="176" t="s">
        <v>1257</v>
      </c>
      <c r="AM2199" s="173" t="s">
        <v>5785</v>
      </c>
      <c r="AN2199" s="159"/>
      <c r="AO2199" s="160"/>
      <c r="AP2199" s="161"/>
      <c r="AQ2199" s="160"/>
      <c r="AR2199" s="160"/>
      <c r="AS2199" s="160"/>
      <c r="AT2199" s="160"/>
      <c r="AU2199" s="160"/>
      <c r="AV2199" s="160"/>
      <c r="AW2199" s="160"/>
      <c r="AX2199" s="160"/>
      <c r="AY2199" s="160"/>
      <c r="AZ2199" s="160"/>
      <c r="BA2199" s="160"/>
      <c r="BB2199" s="160"/>
      <c r="BC2199" s="160"/>
      <c r="BD2199" s="160"/>
      <c r="BE2199" s="160"/>
      <c r="BF2199" s="160"/>
      <c r="BG2199" s="160"/>
      <c r="BH2199" s="160"/>
      <c r="BI2199" s="160"/>
      <c r="BJ2199" s="160"/>
      <c r="BK2199" s="160"/>
      <c r="BL2199" s="160"/>
      <c r="BM2199" s="160"/>
      <c r="BN2199" s="160"/>
      <c r="BO2199" s="160"/>
      <c r="BP2199" s="160"/>
      <c r="BQ2199" s="160"/>
      <c r="BR2199" s="160"/>
      <c r="BS2199" s="160"/>
      <c r="BT2199" s="160"/>
      <c r="BU2199" s="160"/>
      <c r="BV2199" s="160"/>
      <c r="BW2199" s="160"/>
      <c r="BX2199" s="160"/>
      <c r="BY2199" s="160"/>
      <c r="BZ2199" s="160"/>
      <c r="CA2199" s="160"/>
      <c r="CB2199" s="160"/>
      <c r="CC2199" s="160"/>
      <c r="CD2199" s="160"/>
      <c r="CE2199" s="160"/>
      <c r="CF2199" s="160"/>
      <c r="CG2199" s="160"/>
      <c r="CH2199" s="160"/>
      <c r="CI2199" s="160"/>
      <c r="CJ2199" s="160"/>
      <c r="CK2199" s="160"/>
      <c r="CL2199" s="160"/>
      <c r="CM2199" s="160"/>
      <c r="CN2199" s="160"/>
      <c r="CO2199" s="160"/>
      <c r="CP2199" s="162"/>
      <c r="CQ2199" s="163"/>
      <c r="CR2199" s="162"/>
      <c r="CS2199" s="163"/>
      <c r="CT2199" s="162"/>
      <c r="CU2199" s="163"/>
      <c r="CV2199" s="164">
        <f t="shared" si="274"/>
        <v>0</v>
      </c>
      <c r="CW2199" s="165"/>
      <c r="CX2199" s="166"/>
      <c r="CY2199" s="167"/>
      <c r="CZ2199" s="168"/>
      <c r="DA2199" s="169"/>
      <c r="DB2199" s="168"/>
      <c r="DC2199" s="165"/>
      <c r="DD2199" s="166"/>
      <c r="DE2199" s="71"/>
      <c r="DF2199" s="170"/>
      <c r="EO2199" s="375" t="str">
        <f t="shared" si="275"/>
        <v>CUNDINAMARCA_EL PEÑON</v>
      </c>
      <c r="EP2199" s="376"/>
      <c r="EQ2199" s="376"/>
      <c r="ER2199" s="377"/>
      <c r="ES2199" s="376"/>
      <c r="ET2199" s="376"/>
      <c r="EU2199" s="376"/>
    </row>
    <row r="2200" spans="1:151" s="171" customFormat="1" ht="38.25" x14ac:dyDescent="0.2">
      <c r="A2200" s="242">
        <v>40527</v>
      </c>
      <c r="B2200" s="222" t="s">
        <v>2007</v>
      </c>
      <c r="C2200" s="222" t="s">
        <v>4335</v>
      </c>
      <c r="D2200" s="430" t="s">
        <v>2307</v>
      </c>
      <c r="E2200" s="107" t="str">
        <f>VLOOKUP(B2200&amp;C2200,Divipola!$C$2:$F$1138,4,FALSE)</f>
        <v>25279</v>
      </c>
      <c r="F2200" s="333"/>
      <c r="G2200" s="221"/>
      <c r="H2200" s="157"/>
      <c r="I2200" s="157"/>
      <c r="J2200" s="157"/>
      <c r="K2200" s="157"/>
      <c r="L2200" s="157"/>
      <c r="M2200" s="157"/>
      <c r="N2200" s="157">
        <v>1</v>
      </c>
      <c r="O2200" s="157"/>
      <c r="P2200" s="157"/>
      <c r="Q2200" s="157"/>
      <c r="R2200" s="157"/>
      <c r="S2200" s="157"/>
      <c r="T2200" s="157"/>
      <c r="U2200" s="157"/>
      <c r="V2200" s="158"/>
      <c r="W2200" s="182"/>
      <c r="X2200" s="1"/>
      <c r="Y2200" s="78">
        <f t="shared" si="271"/>
        <v>0</v>
      </c>
      <c r="Z2200" s="78">
        <f t="shared" si="272"/>
        <v>0</v>
      </c>
      <c r="AA2200" s="78">
        <f t="shared" si="270"/>
        <v>0</v>
      </c>
      <c r="AB2200" s="78">
        <f t="shared" si="273"/>
        <v>0</v>
      </c>
      <c r="AC2200" s="78"/>
      <c r="AD2200" s="78">
        <v>0</v>
      </c>
      <c r="AE2200" s="80">
        <f t="shared" si="276"/>
        <v>0</v>
      </c>
      <c r="AF2200" s="82">
        <v>0</v>
      </c>
      <c r="AG2200" s="69">
        <v>40618</v>
      </c>
      <c r="AH2200" s="84"/>
      <c r="AI2200" s="69" t="s">
        <v>1984</v>
      </c>
      <c r="AJ2200" s="25" t="s">
        <v>1985</v>
      </c>
      <c r="AK2200" s="65"/>
      <c r="AL2200" s="176" t="s">
        <v>1257</v>
      </c>
      <c r="AM2200" s="173" t="s">
        <v>5785</v>
      </c>
      <c r="AN2200" s="159"/>
      <c r="AO2200" s="160"/>
      <c r="AP2200" s="161"/>
      <c r="AQ2200" s="160"/>
      <c r="AR2200" s="160"/>
      <c r="AS2200" s="160"/>
      <c r="AT2200" s="160"/>
      <c r="AU2200" s="160"/>
      <c r="AV2200" s="160"/>
      <c r="AW2200" s="160"/>
      <c r="AX2200" s="160"/>
      <c r="AY2200" s="160"/>
      <c r="AZ2200" s="160"/>
      <c r="BA2200" s="160"/>
      <c r="BB2200" s="160"/>
      <c r="BC2200" s="160"/>
      <c r="BD2200" s="160"/>
      <c r="BE2200" s="160"/>
      <c r="BF2200" s="160"/>
      <c r="BG2200" s="160"/>
      <c r="BH2200" s="160"/>
      <c r="BI2200" s="160"/>
      <c r="BJ2200" s="160"/>
      <c r="BK2200" s="160"/>
      <c r="BL2200" s="160"/>
      <c r="BM2200" s="160"/>
      <c r="BN2200" s="160"/>
      <c r="BO2200" s="160"/>
      <c r="BP2200" s="160"/>
      <c r="BQ2200" s="160"/>
      <c r="BR2200" s="160"/>
      <c r="BS2200" s="160"/>
      <c r="BT2200" s="160"/>
      <c r="BU2200" s="160"/>
      <c r="BV2200" s="160"/>
      <c r="BW2200" s="160"/>
      <c r="BX2200" s="160"/>
      <c r="BY2200" s="160"/>
      <c r="BZ2200" s="160"/>
      <c r="CA2200" s="160"/>
      <c r="CB2200" s="160"/>
      <c r="CC2200" s="160"/>
      <c r="CD2200" s="160"/>
      <c r="CE2200" s="160"/>
      <c r="CF2200" s="160"/>
      <c r="CG2200" s="160"/>
      <c r="CH2200" s="160"/>
      <c r="CI2200" s="160"/>
      <c r="CJ2200" s="160"/>
      <c r="CK2200" s="160"/>
      <c r="CL2200" s="160"/>
      <c r="CM2200" s="160"/>
      <c r="CN2200" s="160"/>
      <c r="CO2200" s="160"/>
      <c r="CP2200" s="162"/>
      <c r="CQ2200" s="163"/>
      <c r="CR2200" s="162"/>
      <c r="CS2200" s="163"/>
      <c r="CT2200" s="162"/>
      <c r="CU2200" s="163"/>
      <c r="CV2200" s="164">
        <f t="shared" si="274"/>
        <v>0</v>
      </c>
      <c r="CW2200" s="165"/>
      <c r="CX2200" s="166"/>
      <c r="CY2200" s="167"/>
      <c r="CZ2200" s="168"/>
      <c r="DA2200" s="169"/>
      <c r="DB2200" s="168"/>
      <c r="DC2200" s="165"/>
      <c r="DD2200" s="166"/>
      <c r="DE2200" s="71"/>
      <c r="DF2200" s="170"/>
      <c r="EO2200" s="375" t="str">
        <f t="shared" si="275"/>
        <v>CUNDINAMARCA_FOMEQUE</v>
      </c>
      <c r="EP2200" s="376"/>
      <c r="EQ2200" s="376"/>
      <c r="ER2200" s="377"/>
      <c r="ES2200" s="376"/>
      <c r="ET2200" s="376"/>
      <c r="EU2200" s="376"/>
    </row>
    <row r="2201" spans="1:151" s="171" customFormat="1" ht="38.25" x14ac:dyDescent="0.2">
      <c r="A2201" s="242">
        <v>40527</v>
      </c>
      <c r="B2201" s="222" t="s">
        <v>2007</v>
      </c>
      <c r="C2201" s="222" t="s">
        <v>2381</v>
      </c>
      <c r="D2201" s="430" t="s">
        <v>2307</v>
      </c>
      <c r="E2201" s="107" t="str">
        <f>VLOOKUP(B2201&amp;C2201,Divipola!$C$2:$F$1138,4,FALSE)</f>
        <v>25312</v>
      </c>
      <c r="F2201" s="333"/>
      <c r="G2201" s="221"/>
      <c r="H2201" s="157"/>
      <c r="I2201" s="157"/>
      <c r="J2201" s="157">
        <v>74</v>
      </c>
      <c r="K2201" s="157">
        <v>74</v>
      </c>
      <c r="L2201" s="157"/>
      <c r="M2201" s="157">
        <v>74</v>
      </c>
      <c r="N2201" s="157"/>
      <c r="O2201" s="157"/>
      <c r="P2201" s="157"/>
      <c r="Q2201" s="157"/>
      <c r="R2201" s="157"/>
      <c r="S2201" s="157"/>
      <c r="T2201" s="157"/>
      <c r="U2201" s="157"/>
      <c r="V2201" s="158"/>
      <c r="W2201" s="182"/>
      <c r="X2201" s="1"/>
      <c r="Y2201" s="78">
        <f t="shared" si="271"/>
        <v>0</v>
      </c>
      <c r="Z2201" s="78">
        <f t="shared" si="272"/>
        <v>0</v>
      </c>
      <c r="AA2201" s="78">
        <f t="shared" si="270"/>
        <v>0</v>
      </c>
      <c r="AB2201" s="78">
        <f t="shared" si="273"/>
        <v>0</v>
      </c>
      <c r="AC2201" s="78"/>
      <c r="AD2201" s="78">
        <v>0</v>
      </c>
      <c r="AE2201" s="80">
        <f t="shared" si="276"/>
        <v>0</v>
      </c>
      <c r="AF2201" s="82">
        <v>0</v>
      </c>
      <c r="AG2201" s="69">
        <v>40612</v>
      </c>
      <c r="AH2201" s="84"/>
      <c r="AI2201" s="69" t="s">
        <v>1984</v>
      </c>
      <c r="AJ2201" s="25" t="s">
        <v>1985</v>
      </c>
      <c r="AK2201" s="65"/>
      <c r="AL2201" s="176" t="s">
        <v>1257</v>
      </c>
      <c r="AM2201" s="173" t="s">
        <v>457</v>
      </c>
      <c r="AN2201" s="159"/>
      <c r="AO2201" s="160"/>
      <c r="AP2201" s="161"/>
      <c r="AQ2201" s="160"/>
      <c r="AR2201" s="160"/>
      <c r="AS2201" s="160"/>
      <c r="AT2201" s="160"/>
      <c r="AU2201" s="160"/>
      <c r="AV2201" s="160"/>
      <c r="AW2201" s="160"/>
      <c r="AX2201" s="160"/>
      <c r="AY2201" s="160"/>
      <c r="AZ2201" s="160"/>
      <c r="BA2201" s="160"/>
      <c r="BB2201" s="160"/>
      <c r="BC2201" s="160"/>
      <c r="BD2201" s="160"/>
      <c r="BE2201" s="160"/>
      <c r="BF2201" s="160"/>
      <c r="BG2201" s="160"/>
      <c r="BH2201" s="160"/>
      <c r="BI2201" s="160"/>
      <c r="BJ2201" s="160"/>
      <c r="BK2201" s="160"/>
      <c r="BL2201" s="160"/>
      <c r="BM2201" s="160"/>
      <c r="BN2201" s="160"/>
      <c r="BO2201" s="160"/>
      <c r="BP2201" s="160"/>
      <c r="BQ2201" s="160"/>
      <c r="BR2201" s="160"/>
      <c r="BS2201" s="160"/>
      <c r="BT2201" s="160"/>
      <c r="BU2201" s="160"/>
      <c r="BV2201" s="160"/>
      <c r="BW2201" s="160"/>
      <c r="BX2201" s="160"/>
      <c r="BY2201" s="160"/>
      <c r="BZ2201" s="160"/>
      <c r="CA2201" s="160"/>
      <c r="CB2201" s="160"/>
      <c r="CC2201" s="160"/>
      <c r="CD2201" s="160"/>
      <c r="CE2201" s="160"/>
      <c r="CF2201" s="160"/>
      <c r="CG2201" s="160"/>
      <c r="CH2201" s="160"/>
      <c r="CI2201" s="160"/>
      <c r="CJ2201" s="160"/>
      <c r="CK2201" s="160"/>
      <c r="CL2201" s="160"/>
      <c r="CM2201" s="160"/>
      <c r="CN2201" s="160"/>
      <c r="CO2201" s="160"/>
      <c r="CP2201" s="162"/>
      <c r="CQ2201" s="163"/>
      <c r="CR2201" s="162"/>
      <c r="CS2201" s="163"/>
      <c r="CT2201" s="162"/>
      <c r="CU2201" s="163"/>
      <c r="CV2201" s="164">
        <f t="shared" si="274"/>
        <v>0</v>
      </c>
      <c r="CW2201" s="165"/>
      <c r="CX2201" s="166"/>
      <c r="CY2201" s="167"/>
      <c r="CZ2201" s="168"/>
      <c r="DA2201" s="169"/>
      <c r="DB2201" s="168"/>
      <c r="DC2201" s="165"/>
      <c r="DD2201" s="166"/>
      <c r="DE2201" s="71"/>
      <c r="DF2201" s="170"/>
      <c r="EO2201" s="375" t="str">
        <f t="shared" si="275"/>
        <v>CUNDINAMARCA_GRANADA</v>
      </c>
      <c r="EP2201" s="376"/>
      <c r="EQ2201" s="376"/>
      <c r="ER2201" s="377"/>
      <c r="ES2201" s="376"/>
      <c r="ET2201" s="376"/>
      <c r="EU2201" s="376"/>
    </row>
    <row r="2202" spans="1:151" s="171" customFormat="1" ht="38.25" x14ac:dyDescent="0.2">
      <c r="A2202" s="242">
        <v>40527</v>
      </c>
      <c r="B2202" s="222" t="s">
        <v>2007</v>
      </c>
      <c r="C2202" s="222" t="s">
        <v>2384</v>
      </c>
      <c r="D2202" s="430" t="s">
        <v>2307</v>
      </c>
      <c r="E2202" s="107" t="str">
        <f>VLOOKUP(B2202&amp;C2202,Divipola!$C$2:$F$1138,4,FALSE)</f>
        <v>25322</v>
      </c>
      <c r="F2202" s="333"/>
      <c r="G2202" s="221"/>
      <c r="H2202" s="157"/>
      <c r="I2202" s="157"/>
      <c r="J2202" s="157"/>
      <c r="K2202" s="157"/>
      <c r="L2202" s="157"/>
      <c r="M2202" s="157"/>
      <c r="N2202" s="157">
        <v>1</v>
      </c>
      <c r="O2202" s="157"/>
      <c r="P2202" s="157"/>
      <c r="Q2202" s="157"/>
      <c r="R2202" s="157"/>
      <c r="S2202" s="157"/>
      <c r="T2202" s="157"/>
      <c r="U2202" s="157"/>
      <c r="V2202" s="158"/>
      <c r="W2202" s="182"/>
      <c r="X2202" s="1"/>
      <c r="Y2202" s="78">
        <f t="shared" si="271"/>
        <v>0</v>
      </c>
      <c r="Z2202" s="78">
        <f t="shared" si="272"/>
        <v>0</v>
      </c>
      <c r="AA2202" s="78">
        <f t="shared" si="270"/>
        <v>0</v>
      </c>
      <c r="AB2202" s="78">
        <f t="shared" si="273"/>
        <v>0</v>
      </c>
      <c r="AC2202" s="78"/>
      <c r="AD2202" s="78">
        <v>0</v>
      </c>
      <c r="AE2202" s="80">
        <f t="shared" si="276"/>
        <v>0</v>
      </c>
      <c r="AF2202" s="82">
        <v>0</v>
      </c>
      <c r="AG2202" s="69">
        <v>40618</v>
      </c>
      <c r="AH2202" s="84"/>
      <c r="AI2202" s="69" t="s">
        <v>1984</v>
      </c>
      <c r="AJ2202" s="25" t="s">
        <v>1985</v>
      </c>
      <c r="AK2202" s="65"/>
      <c r="AL2202" s="176" t="s">
        <v>1257</v>
      </c>
      <c r="AM2202" s="173" t="s">
        <v>5785</v>
      </c>
      <c r="AN2202" s="159"/>
      <c r="AO2202" s="160"/>
      <c r="AP2202" s="161"/>
      <c r="AQ2202" s="160"/>
      <c r="AR2202" s="160"/>
      <c r="AS2202" s="160"/>
      <c r="AT2202" s="160"/>
      <c r="AU2202" s="160"/>
      <c r="AV2202" s="160"/>
      <c r="AW2202" s="160"/>
      <c r="AX2202" s="160"/>
      <c r="AY2202" s="160"/>
      <c r="AZ2202" s="160"/>
      <c r="BA2202" s="160"/>
      <c r="BB2202" s="160"/>
      <c r="BC2202" s="160"/>
      <c r="BD2202" s="160"/>
      <c r="BE2202" s="160"/>
      <c r="BF2202" s="160"/>
      <c r="BG2202" s="160"/>
      <c r="BH2202" s="160"/>
      <c r="BI2202" s="160"/>
      <c r="BJ2202" s="160"/>
      <c r="BK2202" s="160"/>
      <c r="BL2202" s="160"/>
      <c r="BM2202" s="160"/>
      <c r="BN2202" s="160"/>
      <c r="BO2202" s="160"/>
      <c r="BP2202" s="160"/>
      <c r="BQ2202" s="160"/>
      <c r="BR2202" s="160"/>
      <c r="BS2202" s="160"/>
      <c r="BT2202" s="160"/>
      <c r="BU2202" s="160"/>
      <c r="BV2202" s="160"/>
      <c r="BW2202" s="160"/>
      <c r="BX2202" s="160"/>
      <c r="BY2202" s="160"/>
      <c r="BZ2202" s="160"/>
      <c r="CA2202" s="160"/>
      <c r="CB2202" s="160"/>
      <c r="CC2202" s="160"/>
      <c r="CD2202" s="160"/>
      <c r="CE2202" s="160"/>
      <c r="CF2202" s="160"/>
      <c r="CG2202" s="160"/>
      <c r="CH2202" s="160"/>
      <c r="CI2202" s="160"/>
      <c r="CJ2202" s="160"/>
      <c r="CK2202" s="160"/>
      <c r="CL2202" s="160"/>
      <c r="CM2202" s="160"/>
      <c r="CN2202" s="160"/>
      <c r="CO2202" s="160"/>
      <c r="CP2202" s="162"/>
      <c r="CQ2202" s="163"/>
      <c r="CR2202" s="162"/>
      <c r="CS2202" s="163"/>
      <c r="CT2202" s="162"/>
      <c r="CU2202" s="163"/>
      <c r="CV2202" s="164">
        <f t="shared" si="274"/>
        <v>0</v>
      </c>
      <c r="CW2202" s="165"/>
      <c r="CX2202" s="166"/>
      <c r="CY2202" s="167"/>
      <c r="CZ2202" s="168"/>
      <c r="DA2202" s="169"/>
      <c r="DB2202" s="168"/>
      <c r="DC2202" s="165"/>
      <c r="DD2202" s="166"/>
      <c r="DE2202" s="71"/>
      <c r="DF2202" s="170"/>
      <c r="EO2202" s="375" t="str">
        <f t="shared" si="275"/>
        <v>CUNDINAMARCA_GUASCA</v>
      </c>
      <c r="EP2202" s="376"/>
      <c r="EQ2202" s="376"/>
      <c r="ER2202" s="377"/>
      <c r="ES2202" s="376"/>
      <c r="ET2202" s="376"/>
      <c r="EU2202" s="376"/>
    </row>
    <row r="2203" spans="1:151" s="171" customFormat="1" ht="38.25" x14ac:dyDescent="0.2">
      <c r="A2203" s="242">
        <v>40527</v>
      </c>
      <c r="B2203" s="222" t="s">
        <v>2007</v>
      </c>
      <c r="C2203" s="222" t="s">
        <v>2388</v>
      </c>
      <c r="D2203" s="430" t="s">
        <v>837</v>
      </c>
      <c r="E2203" s="107" t="str">
        <f>VLOOKUP(B2203&amp;C2203,Divipola!$C$2:$F$1138,4,FALSE)</f>
        <v>25398</v>
      </c>
      <c r="F2203" s="333"/>
      <c r="G2203" s="221"/>
      <c r="H2203" s="157"/>
      <c r="I2203" s="157"/>
      <c r="J2203" s="157">
        <v>123</v>
      </c>
      <c r="K2203" s="157">
        <v>32</v>
      </c>
      <c r="L2203" s="157"/>
      <c r="M2203" s="157"/>
      <c r="N2203" s="157"/>
      <c r="O2203" s="157"/>
      <c r="P2203" s="157"/>
      <c r="Q2203" s="157"/>
      <c r="R2203" s="157"/>
      <c r="S2203" s="157"/>
      <c r="T2203" s="157"/>
      <c r="U2203" s="157"/>
      <c r="V2203" s="158"/>
      <c r="W2203" s="182"/>
      <c r="X2203" s="1"/>
      <c r="Y2203" s="78">
        <f t="shared" si="271"/>
        <v>0</v>
      </c>
      <c r="Z2203" s="78">
        <f t="shared" si="272"/>
        <v>0</v>
      </c>
      <c r="AA2203" s="78">
        <f t="shared" si="270"/>
        <v>0</v>
      </c>
      <c r="AB2203" s="78">
        <f t="shared" si="273"/>
        <v>0</v>
      </c>
      <c r="AC2203" s="78"/>
      <c r="AD2203" s="78">
        <v>0</v>
      </c>
      <c r="AE2203" s="80">
        <f t="shared" si="276"/>
        <v>0</v>
      </c>
      <c r="AF2203" s="82">
        <v>0</v>
      </c>
      <c r="AG2203" s="69">
        <v>40612</v>
      </c>
      <c r="AH2203" s="84"/>
      <c r="AI2203" s="69" t="s">
        <v>1984</v>
      </c>
      <c r="AJ2203" s="25" t="s">
        <v>1985</v>
      </c>
      <c r="AK2203" s="65"/>
      <c r="AL2203" s="176" t="s">
        <v>1257</v>
      </c>
      <c r="AM2203" s="173" t="s">
        <v>457</v>
      </c>
      <c r="AN2203" s="159"/>
      <c r="AO2203" s="160"/>
      <c r="AP2203" s="161"/>
      <c r="AQ2203" s="160"/>
      <c r="AR2203" s="160"/>
      <c r="AS2203" s="160"/>
      <c r="AT2203" s="160"/>
      <c r="AU2203" s="160"/>
      <c r="AV2203" s="160"/>
      <c r="AW2203" s="160"/>
      <c r="AX2203" s="160"/>
      <c r="AY2203" s="160"/>
      <c r="AZ2203" s="160"/>
      <c r="BA2203" s="160"/>
      <c r="BB2203" s="160"/>
      <c r="BC2203" s="160"/>
      <c r="BD2203" s="160"/>
      <c r="BE2203" s="160"/>
      <c r="BF2203" s="160"/>
      <c r="BG2203" s="160"/>
      <c r="BH2203" s="160"/>
      <c r="BI2203" s="160"/>
      <c r="BJ2203" s="160"/>
      <c r="BK2203" s="160"/>
      <c r="BL2203" s="160"/>
      <c r="BM2203" s="160"/>
      <c r="BN2203" s="160"/>
      <c r="BO2203" s="160"/>
      <c r="BP2203" s="160"/>
      <c r="BQ2203" s="160"/>
      <c r="BR2203" s="160"/>
      <c r="BS2203" s="160"/>
      <c r="BT2203" s="160"/>
      <c r="BU2203" s="160"/>
      <c r="BV2203" s="160"/>
      <c r="BW2203" s="160"/>
      <c r="BX2203" s="160"/>
      <c r="BY2203" s="160"/>
      <c r="BZ2203" s="160"/>
      <c r="CA2203" s="160"/>
      <c r="CB2203" s="160"/>
      <c r="CC2203" s="160"/>
      <c r="CD2203" s="160"/>
      <c r="CE2203" s="160"/>
      <c r="CF2203" s="160"/>
      <c r="CG2203" s="160"/>
      <c r="CH2203" s="160"/>
      <c r="CI2203" s="160"/>
      <c r="CJ2203" s="160"/>
      <c r="CK2203" s="160"/>
      <c r="CL2203" s="160"/>
      <c r="CM2203" s="160"/>
      <c r="CN2203" s="160"/>
      <c r="CO2203" s="160"/>
      <c r="CP2203" s="162"/>
      <c r="CQ2203" s="163"/>
      <c r="CR2203" s="162"/>
      <c r="CS2203" s="163"/>
      <c r="CT2203" s="162"/>
      <c r="CU2203" s="163"/>
      <c r="CV2203" s="164">
        <f t="shared" si="274"/>
        <v>0</v>
      </c>
      <c r="CW2203" s="165"/>
      <c r="CX2203" s="166"/>
      <c r="CY2203" s="167"/>
      <c r="CZ2203" s="168"/>
      <c r="DA2203" s="169"/>
      <c r="DB2203" s="168"/>
      <c r="DC2203" s="165"/>
      <c r="DD2203" s="166"/>
      <c r="DE2203" s="71"/>
      <c r="DF2203" s="170"/>
      <c r="EO2203" s="375" t="str">
        <f t="shared" si="275"/>
        <v>CUNDINAMARCA_LA PEÑA</v>
      </c>
      <c r="EP2203" s="376"/>
      <c r="EQ2203" s="376"/>
      <c r="ER2203" s="377"/>
      <c r="ES2203" s="376"/>
      <c r="ET2203" s="376"/>
      <c r="EU2203" s="376"/>
    </row>
    <row r="2204" spans="1:151" s="171" customFormat="1" ht="38.25" x14ac:dyDescent="0.2">
      <c r="A2204" s="242">
        <v>40527</v>
      </c>
      <c r="B2204" s="222" t="s">
        <v>2007</v>
      </c>
      <c r="C2204" s="222" t="s">
        <v>4359</v>
      </c>
      <c r="D2204" s="430" t="s">
        <v>2307</v>
      </c>
      <c r="E2204" s="107" t="str">
        <f>VLOOKUP(B2204&amp;C2204,Divipola!$C$2:$F$1138,4,FALSE)</f>
        <v>25430</v>
      </c>
      <c r="F2204" s="333"/>
      <c r="G2204" s="221"/>
      <c r="H2204" s="157"/>
      <c r="I2204" s="157"/>
      <c r="J2204" s="157"/>
      <c r="K2204" s="157"/>
      <c r="L2204" s="157"/>
      <c r="M2204" s="157"/>
      <c r="N2204" s="157">
        <v>1</v>
      </c>
      <c r="O2204" s="157"/>
      <c r="P2204" s="157"/>
      <c r="Q2204" s="157"/>
      <c r="R2204" s="157"/>
      <c r="S2204" s="157"/>
      <c r="T2204" s="157"/>
      <c r="U2204" s="157"/>
      <c r="V2204" s="158"/>
      <c r="W2204" s="182"/>
      <c r="X2204" s="1"/>
      <c r="Y2204" s="78">
        <f t="shared" si="271"/>
        <v>0</v>
      </c>
      <c r="Z2204" s="78">
        <f t="shared" si="272"/>
        <v>0</v>
      </c>
      <c r="AA2204" s="78">
        <f t="shared" si="270"/>
        <v>0</v>
      </c>
      <c r="AB2204" s="78">
        <f t="shared" si="273"/>
        <v>0</v>
      </c>
      <c r="AC2204" s="78"/>
      <c r="AD2204" s="78">
        <v>0</v>
      </c>
      <c r="AE2204" s="80">
        <f t="shared" si="276"/>
        <v>0</v>
      </c>
      <c r="AF2204" s="82">
        <v>0</v>
      </c>
      <c r="AG2204" s="69">
        <v>40618</v>
      </c>
      <c r="AH2204" s="84"/>
      <c r="AI2204" s="69" t="s">
        <v>1984</v>
      </c>
      <c r="AJ2204" s="25" t="s">
        <v>1985</v>
      </c>
      <c r="AK2204" s="65"/>
      <c r="AL2204" s="176" t="s">
        <v>1257</v>
      </c>
      <c r="AM2204" s="173" t="s">
        <v>5785</v>
      </c>
      <c r="AN2204" s="159"/>
      <c r="AO2204" s="160"/>
      <c r="AP2204" s="161"/>
      <c r="AQ2204" s="160"/>
      <c r="AR2204" s="160"/>
      <c r="AS2204" s="160"/>
      <c r="AT2204" s="160"/>
      <c r="AU2204" s="160"/>
      <c r="AV2204" s="160"/>
      <c r="AW2204" s="160"/>
      <c r="AX2204" s="160"/>
      <c r="AY2204" s="160"/>
      <c r="AZ2204" s="160"/>
      <c r="BA2204" s="160"/>
      <c r="BB2204" s="160"/>
      <c r="BC2204" s="160"/>
      <c r="BD2204" s="160"/>
      <c r="BE2204" s="160"/>
      <c r="BF2204" s="160"/>
      <c r="BG2204" s="160"/>
      <c r="BH2204" s="160"/>
      <c r="BI2204" s="160"/>
      <c r="BJ2204" s="160"/>
      <c r="BK2204" s="160"/>
      <c r="BL2204" s="160"/>
      <c r="BM2204" s="160"/>
      <c r="BN2204" s="160"/>
      <c r="BO2204" s="160"/>
      <c r="BP2204" s="160"/>
      <c r="BQ2204" s="160"/>
      <c r="BR2204" s="160"/>
      <c r="BS2204" s="160"/>
      <c r="BT2204" s="160"/>
      <c r="BU2204" s="160"/>
      <c r="BV2204" s="160"/>
      <c r="BW2204" s="160"/>
      <c r="BX2204" s="160"/>
      <c r="BY2204" s="160"/>
      <c r="BZ2204" s="160"/>
      <c r="CA2204" s="160"/>
      <c r="CB2204" s="160"/>
      <c r="CC2204" s="160"/>
      <c r="CD2204" s="160"/>
      <c r="CE2204" s="160"/>
      <c r="CF2204" s="160"/>
      <c r="CG2204" s="160"/>
      <c r="CH2204" s="160"/>
      <c r="CI2204" s="160"/>
      <c r="CJ2204" s="160"/>
      <c r="CK2204" s="160"/>
      <c r="CL2204" s="160"/>
      <c r="CM2204" s="160"/>
      <c r="CN2204" s="160"/>
      <c r="CO2204" s="160"/>
      <c r="CP2204" s="162"/>
      <c r="CQ2204" s="163"/>
      <c r="CR2204" s="162"/>
      <c r="CS2204" s="163"/>
      <c r="CT2204" s="162"/>
      <c r="CU2204" s="163"/>
      <c r="CV2204" s="164">
        <f t="shared" si="274"/>
        <v>0</v>
      </c>
      <c r="CW2204" s="165"/>
      <c r="CX2204" s="166"/>
      <c r="CY2204" s="167"/>
      <c r="CZ2204" s="168"/>
      <c r="DA2204" s="169"/>
      <c r="DB2204" s="168"/>
      <c r="DC2204" s="165"/>
      <c r="DD2204" s="166"/>
      <c r="DE2204" s="71"/>
      <c r="DF2204" s="170"/>
      <c r="EO2204" s="375" t="str">
        <f t="shared" si="275"/>
        <v>CUNDINAMARCA_MADRID</v>
      </c>
      <c r="EP2204" s="376"/>
      <c r="EQ2204" s="376"/>
      <c r="ER2204" s="377"/>
      <c r="ES2204" s="376"/>
      <c r="ET2204" s="376"/>
      <c r="EU2204" s="376"/>
    </row>
    <row r="2205" spans="1:151" s="171" customFormat="1" ht="38.25" x14ac:dyDescent="0.2">
      <c r="A2205" s="242">
        <v>40527</v>
      </c>
      <c r="B2205" s="222" t="s">
        <v>2007</v>
      </c>
      <c r="C2205" s="222" t="s">
        <v>2245</v>
      </c>
      <c r="D2205" s="430" t="s">
        <v>2307</v>
      </c>
      <c r="E2205" s="107" t="str">
        <f>VLOOKUP(B2205&amp;C2205,Divipola!$C$2:$F$1138,4,FALSE)</f>
        <v>25483</v>
      </c>
      <c r="F2205" s="333"/>
      <c r="G2205" s="221"/>
      <c r="H2205" s="157"/>
      <c r="I2205" s="157"/>
      <c r="J2205" s="157"/>
      <c r="K2205" s="157"/>
      <c r="L2205" s="157"/>
      <c r="M2205" s="157"/>
      <c r="N2205" s="157">
        <v>1</v>
      </c>
      <c r="O2205" s="157"/>
      <c r="P2205" s="157"/>
      <c r="Q2205" s="157"/>
      <c r="R2205" s="157"/>
      <c r="S2205" s="157"/>
      <c r="T2205" s="157"/>
      <c r="U2205" s="157"/>
      <c r="V2205" s="158"/>
      <c r="W2205" s="182"/>
      <c r="X2205" s="1"/>
      <c r="Y2205" s="78">
        <f t="shared" si="271"/>
        <v>0</v>
      </c>
      <c r="Z2205" s="78">
        <f t="shared" si="272"/>
        <v>0</v>
      </c>
      <c r="AA2205" s="78">
        <f t="shared" si="270"/>
        <v>0</v>
      </c>
      <c r="AB2205" s="78">
        <f t="shared" si="273"/>
        <v>0</v>
      </c>
      <c r="AC2205" s="78"/>
      <c r="AD2205" s="78">
        <v>0</v>
      </c>
      <c r="AE2205" s="80">
        <f t="shared" si="276"/>
        <v>0</v>
      </c>
      <c r="AF2205" s="82">
        <v>0</v>
      </c>
      <c r="AG2205" s="69">
        <v>40618</v>
      </c>
      <c r="AH2205" s="84"/>
      <c r="AI2205" s="69" t="s">
        <v>1984</v>
      </c>
      <c r="AJ2205" s="25" t="s">
        <v>1985</v>
      </c>
      <c r="AK2205" s="65"/>
      <c r="AL2205" s="176" t="s">
        <v>1257</v>
      </c>
      <c r="AM2205" s="173" t="s">
        <v>5785</v>
      </c>
      <c r="AN2205" s="159"/>
      <c r="AO2205" s="160"/>
      <c r="AP2205" s="161"/>
      <c r="AQ2205" s="160"/>
      <c r="AR2205" s="160"/>
      <c r="AS2205" s="160"/>
      <c r="AT2205" s="160"/>
      <c r="AU2205" s="160"/>
      <c r="AV2205" s="160"/>
      <c r="AW2205" s="160"/>
      <c r="AX2205" s="160"/>
      <c r="AY2205" s="160"/>
      <c r="AZ2205" s="160"/>
      <c r="BA2205" s="160"/>
      <c r="BB2205" s="160"/>
      <c r="BC2205" s="160"/>
      <c r="BD2205" s="160"/>
      <c r="BE2205" s="160"/>
      <c r="BF2205" s="160"/>
      <c r="BG2205" s="160"/>
      <c r="BH2205" s="160"/>
      <c r="BI2205" s="160"/>
      <c r="BJ2205" s="160"/>
      <c r="BK2205" s="160"/>
      <c r="BL2205" s="160"/>
      <c r="BM2205" s="160"/>
      <c r="BN2205" s="160"/>
      <c r="BO2205" s="160"/>
      <c r="BP2205" s="160"/>
      <c r="BQ2205" s="160"/>
      <c r="BR2205" s="160"/>
      <c r="BS2205" s="160"/>
      <c r="BT2205" s="160"/>
      <c r="BU2205" s="160"/>
      <c r="BV2205" s="160"/>
      <c r="BW2205" s="160"/>
      <c r="BX2205" s="160"/>
      <c r="BY2205" s="160"/>
      <c r="BZ2205" s="160"/>
      <c r="CA2205" s="160"/>
      <c r="CB2205" s="160"/>
      <c r="CC2205" s="160"/>
      <c r="CD2205" s="160"/>
      <c r="CE2205" s="160"/>
      <c r="CF2205" s="160"/>
      <c r="CG2205" s="160"/>
      <c r="CH2205" s="160"/>
      <c r="CI2205" s="160"/>
      <c r="CJ2205" s="160"/>
      <c r="CK2205" s="160"/>
      <c r="CL2205" s="160"/>
      <c r="CM2205" s="160"/>
      <c r="CN2205" s="160"/>
      <c r="CO2205" s="160"/>
      <c r="CP2205" s="162"/>
      <c r="CQ2205" s="163"/>
      <c r="CR2205" s="162"/>
      <c r="CS2205" s="163"/>
      <c r="CT2205" s="162"/>
      <c r="CU2205" s="163"/>
      <c r="CV2205" s="164">
        <f t="shared" si="274"/>
        <v>0</v>
      </c>
      <c r="CW2205" s="165"/>
      <c r="CX2205" s="166"/>
      <c r="CY2205" s="167"/>
      <c r="CZ2205" s="168"/>
      <c r="DA2205" s="169"/>
      <c r="DB2205" s="168"/>
      <c r="DC2205" s="165"/>
      <c r="DD2205" s="166"/>
      <c r="DE2205" s="71"/>
      <c r="DF2205" s="170"/>
      <c r="EO2205" s="375" t="str">
        <f t="shared" si="275"/>
        <v>CUNDINAMARCA_NARIÑO</v>
      </c>
      <c r="EP2205" s="376"/>
      <c r="EQ2205" s="376"/>
      <c r="ER2205" s="377"/>
      <c r="ES2205" s="376"/>
      <c r="ET2205" s="376"/>
      <c r="EU2205" s="376"/>
    </row>
    <row r="2206" spans="1:151" s="171" customFormat="1" ht="38.25" x14ac:dyDescent="0.2">
      <c r="A2206" s="242">
        <v>40527</v>
      </c>
      <c r="B2206" s="222" t="s">
        <v>2007</v>
      </c>
      <c r="C2206" s="222" t="s">
        <v>4362</v>
      </c>
      <c r="D2206" s="430" t="s">
        <v>2307</v>
      </c>
      <c r="E2206" s="107" t="str">
        <f>VLOOKUP(B2206&amp;C2206,Divipola!$C$2:$F$1138,4,FALSE)</f>
        <v>25486</v>
      </c>
      <c r="F2206" s="333"/>
      <c r="G2206" s="221"/>
      <c r="H2206" s="157"/>
      <c r="I2206" s="157"/>
      <c r="J2206" s="157"/>
      <c r="K2206" s="157"/>
      <c r="L2206" s="157"/>
      <c r="M2206" s="157"/>
      <c r="N2206" s="157">
        <v>1</v>
      </c>
      <c r="O2206" s="157"/>
      <c r="P2206" s="157"/>
      <c r="Q2206" s="157"/>
      <c r="R2206" s="157"/>
      <c r="S2206" s="157"/>
      <c r="T2206" s="157"/>
      <c r="U2206" s="157"/>
      <c r="V2206" s="158"/>
      <c r="W2206" s="182"/>
      <c r="X2206" s="1"/>
      <c r="Y2206" s="78">
        <f t="shared" si="271"/>
        <v>0</v>
      </c>
      <c r="Z2206" s="78">
        <f t="shared" si="272"/>
        <v>0</v>
      </c>
      <c r="AA2206" s="78">
        <f t="shared" si="270"/>
        <v>0</v>
      </c>
      <c r="AB2206" s="78">
        <f t="shared" si="273"/>
        <v>0</v>
      </c>
      <c r="AC2206" s="78"/>
      <c r="AD2206" s="78">
        <v>0</v>
      </c>
      <c r="AE2206" s="80">
        <f t="shared" si="276"/>
        <v>0</v>
      </c>
      <c r="AF2206" s="82">
        <v>0</v>
      </c>
      <c r="AG2206" s="69">
        <v>40618</v>
      </c>
      <c r="AH2206" s="84"/>
      <c r="AI2206" s="69" t="s">
        <v>1984</v>
      </c>
      <c r="AJ2206" s="25" t="s">
        <v>1985</v>
      </c>
      <c r="AK2206" s="65"/>
      <c r="AL2206" s="176" t="s">
        <v>1257</v>
      </c>
      <c r="AM2206" s="173" t="s">
        <v>5785</v>
      </c>
      <c r="AN2206" s="159"/>
      <c r="AO2206" s="160"/>
      <c r="AP2206" s="161"/>
      <c r="AQ2206" s="160"/>
      <c r="AR2206" s="160"/>
      <c r="AS2206" s="160"/>
      <c r="AT2206" s="160"/>
      <c r="AU2206" s="160"/>
      <c r="AV2206" s="160"/>
      <c r="AW2206" s="160"/>
      <c r="AX2206" s="160"/>
      <c r="AY2206" s="160"/>
      <c r="AZ2206" s="160"/>
      <c r="BA2206" s="160"/>
      <c r="BB2206" s="160"/>
      <c r="BC2206" s="160"/>
      <c r="BD2206" s="160"/>
      <c r="BE2206" s="160"/>
      <c r="BF2206" s="160"/>
      <c r="BG2206" s="160"/>
      <c r="BH2206" s="160"/>
      <c r="BI2206" s="160"/>
      <c r="BJ2206" s="160"/>
      <c r="BK2206" s="160"/>
      <c r="BL2206" s="160"/>
      <c r="BM2206" s="160"/>
      <c r="BN2206" s="160"/>
      <c r="BO2206" s="160"/>
      <c r="BP2206" s="160"/>
      <c r="BQ2206" s="160"/>
      <c r="BR2206" s="160"/>
      <c r="BS2206" s="160"/>
      <c r="BT2206" s="160"/>
      <c r="BU2206" s="160"/>
      <c r="BV2206" s="160"/>
      <c r="BW2206" s="160"/>
      <c r="BX2206" s="160"/>
      <c r="BY2206" s="160"/>
      <c r="BZ2206" s="160"/>
      <c r="CA2206" s="160"/>
      <c r="CB2206" s="160"/>
      <c r="CC2206" s="160"/>
      <c r="CD2206" s="160"/>
      <c r="CE2206" s="160"/>
      <c r="CF2206" s="160"/>
      <c r="CG2206" s="160"/>
      <c r="CH2206" s="160"/>
      <c r="CI2206" s="160"/>
      <c r="CJ2206" s="160"/>
      <c r="CK2206" s="160"/>
      <c r="CL2206" s="160"/>
      <c r="CM2206" s="160"/>
      <c r="CN2206" s="160"/>
      <c r="CO2206" s="160"/>
      <c r="CP2206" s="162"/>
      <c r="CQ2206" s="163"/>
      <c r="CR2206" s="162"/>
      <c r="CS2206" s="163"/>
      <c r="CT2206" s="162"/>
      <c r="CU2206" s="163"/>
      <c r="CV2206" s="164">
        <f t="shared" si="274"/>
        <v>0</v>
      </c>
      <c r="CW2206" s="165"/>
      <c r="CX2206" s="166"/>
      <c r="CY2206" s="167"/>
      <c r="CZ2206" s="168"/>
      <c r="DA2206" s="169"/>
      <c r="DB2206" s="168"/>
      <c r="DC2206" s="165"/>
      <c r="DD2206" s="166"/>
      <c r="DE2206" s="71"/>
      <c r="DF2206" s="170"/>
      <c r="EO2206" s="375" t="str">
        <f t="shared" si="275"/>
        <v>CUNDINAMARCA_NEMOCON</v>
      </c>
      <c r="EP2206" s="376"/>
      <c r="EQ2206" s="376"/>
      <c r="ER2206" s="377"/>
      <c r="ES2206" s="376"/>
      <c r="ET2206" s="376"/>
      <c r="EU2206" s="376"/>
    </row>
    <row r="2207" spans="1:151" s="171" customFormat="1" ht="25.5" x14ac:dyDescent="0.2">
      <c r="A2207" s="242">
        <v>40527</v>
      </c>
      <c r="B2207" s="222" t="s">
        <v>2007</v>
      </c>
      <c r="C2207" s="222" t="s">
        <v>1323</v>
      </c>
      <c r="D2207" s="430" t="s">
        <v>2307</v>
      </c>
      <c r="E2207" s="107" t="str">
        <f>VLOOKUP(B2207&amp;C2207,Divipola!$C$2:$F$1138,4,FALSE)</f>
        <v>25580</v>
      </c>
      <c r="F2207" s="333"/>
      <c r="G2207" s="221"/>
      <c r="H2207" s="157"/>
      <c r="I2207" s="157"/>
      <c r="J2207" s="157">
        <v>534</v>
      </c>
      <c r="K2207" s="157">
        <v>155</v>
      </c>
      <c r="L2207" s="157"/>
      <c r="M2207" s="157">
        <v>155</v>
      </c>
      <c r="N2207" s="157">
        <v>1</v>
      </c>
      <c r="O2207" s="157"/>
      <c r="P2207" s="157"/>
      <c r="Q2207" s="157"/>
      <c r="R2207" s="157"/>
      <c r="S2207" s="157"/>
      <c r="T2207" s="157"/>
      <c r="U2207" s="157"/>
      <c r="V2207" s="158"/>
      <c r="W2207" s="182"/>
      <c r="X2207" s="1"/>
      <c r="Y2207" s="78">
        <f t="shared" si="271"/>
        <v>0</v>
      </c>
      <c r="Z2207" s="78">
        <f t="shared" si="272"/>
        <v>0</v>
      </c>
      <c r="AA2207" s="78">
        <f t="shared" si="270"/>
        <v>0</v>
      </c>
      <c r="AB2207" s="78">
        <f t="shared" si="273"/>
        <v>0</v>
      </c>
      <c r="AC2207" s="78"/>
      <c r="AD2207" s="78">
        <v>0</v>
      </c>
      <c r="AE2207" s="80">
        <f t="shared" si="276"/>
        <v>0</v>
      </c>
      <c r="AF2207" s="82">
        <v>0</v>
      </c>
      <c r="AG2207" s="69">
        <v>40618</v>
      </c>
      <c r="AH2207" s="84"/>
      <c r="AI2207" s="69" t="s">
        <v>1984</v>
      </c>
      <c r="AJ2207" s="25" t="s">
        <v>1985</v>
      </c>
      <c r="AK2207" s="65"/>
      <c r="AL2207" s="176" t="s">
        <v>1257</v>
      </c>
      <c r="AM2207" s="173" t="s">
        <v>5785</v>
      </c>
      <c r="AN2207" s="159"/>
      <c r="AO2207" s="160"/>
      <c r="AP2207" s="161"/>
      <c r="AQ2207" s="160"/>
      <c r="AR2207" s="160"/>
      <c r="AS2207" s="160"/>
      <c r="AT2207" s="160"/>
      <c r="AU2207" s="160"/>
      <c r="AV2207" s="160"/>
      <c r="AW2207" s="160"/>
      <c r="AX2207" s="160"/>
      <c r="AY2207" s="160"/>
      <c r="AZ2207" s="160"/>
      <c r="BA2207" s="160"/>
      <c r="BB2207" s="160"/>
      <c r="BC2207" s="160"/>
      <c r="BD2207" s="160"/>
      <c r="BE2207" s="160"/>
      <c r="BF2207" s="160"/>
      <c r="BG2207" s="160"/>
      <c r="BH2207" s="160"/>
      <c r="BI2207" s="160"/>
      <c r="BJ2207" s="160"/>
      <c r="BK2207" s="160"/>
      <c r="BL2207" s="160"/>
      <c r="BM2207" s="160"/>
      <c r="BN2207" s="160"/>
      <c r="BO2207" s="160"/>
      <c r="BP2207" s="160"/>
      <c r="BQ2207" s="160"/>
      <c r="BR2207" s="160"/>
      <c r="BS2207" s="160"/>
      <c r="BT2207" s="160"/>
      <c r="BU2207" s="160"/>
      <c r="BV2207" s="160"/>
      <c r="BW2207" s="160"/>
      <c r="BX2207" s="160"/>
      <c r="BY2207" s="160"/>
      <c r="BZ2207" s="160"/>
      <c r="CA2207" s="160"/>
      <c r="CB2207" s="160"/>
      <c r="CC2207" s="160"/>
      <c r="CD2207" s="160"/>
      <c r="CE2207" s="160"/>
      <c r="CF2207" s="160"/>
      <c r="CG2207" s="160"/>
      <c r="CH2207" s="160"/>
      <c r="CI2207" s="160"/>
      <c r="CJ2207" s="160"/>
      <c r="CK2207" s="160"/>
      <c r="CL2207" s="160"/>
      <c r="CM2207" s="160"/>
      <c r="CN2207" s="160"/>
      <c r="CO2207" s="160"/>
      <c r="CP2207" s="162"/>
      <c r="CQ2207" s="163"/>
      <c r="CR2207" s="162"/>
      <c r="CS2207" s="163"/>
      <c r="CT2207" s="162"/>
      <c r="CU2207" s="163"/>
      <c r="CV2207" s="164">
        <f t="shared" si="274"/>
        <v>0</v>
      </c>
      <c r="CW2207" s="165"/>
      <c r="CX2207" s="166"/>
      <c r="CY2207" s="167"/>
      <c r="CZ2207" s="168"/>
      <c r="DA2207" s="169"/>
      <c r="DB2207" s="168"/>
      <c r="DC2207" s="165"/>
      <c r="DD2207" s="166"/>
      <c r="DE2207" s="71"/>
      <c r="DF2207" s="170"/>
      <c r="EO2207" s="375" t="str">
        <f t="shared" si="275"/>
        <v>CUNDINAMARCA_PULI</v>
      </c>
      <c r="EP2207" s="376"/>
      <c r="EQ2207" s="376"/>
      <c r="ER2207" s="377"/>
      <c r="ES2207" s="376"/>
      <c r="ET2207" s="376"/>
      <c r="EU2207" s="376"/>
    </row>
    <row r="2208" spans="1:151" s="171" customFormat="1" ht="51" x14ac:dyDescent="0.2">
      <c r="A2208" s="242">
        <v>40527</v>
      </c>
      <c r="B2208" s="222" t="s">
        <v>2007</v>
      </c>
      <c r="C2208" s="222" t="s">
        <v>4369</v>
      </c>
      <c r="D2208" s="430" t="s">
        <v>2307</v>
      </c>
      <c r="E2208" s="107" t="str">
        <f>VLOOKUP(B2208&amp;C2208,Divipola!$C$2:$F$1138,4,FALSE)</f>
        <v>25592</v>
      </c>
      <c r="F2208" s="333"/>
      <c r="G2208" s="221"/>
      <c r="H2208" s="157"/>
      <c r="I2208" s="157"/>
      <c r="J2208" s="157">
        <v>47</v>
      </c>
      <c r="K2208" s="157">
        <v>13</v>
      </c>
      <c r="L2208" s="157"/>
      <c r="M2208" s="157"/>
      <c r="N2208" s="157"/>
      <c r="O2208" s="157"/>
      <c r="P2208" s="157"/>
      <c r="Q2208" s="157"/>
      <c r="R2208" s="157"/>
      <c r="S2208" s="157"/>
      <c r="T2208" s="157"/>
      <c r="U2208" s="157"/>
      <c r="V2208" s="158"/>
      <c r="W2208" s="182"/>
      <c r="X2208" s="1"/>
      <c r="Y2208" s="78">
        <f t="shared" si="271"/>
        <v>0</v>
      </c>
      <c r="Z2208" s="78">
        <f t="shared" si="272"/>
        <v>0</v>
      </c>
      <c r="AA2208" s="78">
        <f t="shared" si="270"/>
        <v>0</v>
      </c>
      <c r="AB2208" s="78">
        <f t="shared" si="273"/>
        <v>0</v>
      </c>
      <c r="AC2208" s="78"/>
      <c r="AD2208" s="78">
        <v>0</v>
      </c>
      <c r="AE2208" s="80">
        <f t="shared" si="276"/>
        <v>0</v>
      </c>
      <c r="AF2208" s="82">
        <v>0</v>
      </c>
      <c r="AG2208" s="69">
        <v>40624</v>
      </c>
      <c r="AH2208" s="84"/>
      <c r="AI2208" s="69" t="s">
        <v>1984</v>
      </c>
      <c r="AJ2208" s="25" t="s">
        <v>1985</v>
      </c>
      <c r="AK2208" s="65"/>
      <c r="AL2208" s="176" t="s">
        <v>1257</v>
      </c>
      <c r="AM2208" s="173" t="s">
        <v>457</v>
      </c>
      <c r="AN2208" s="159"/>
      <c r="AO2208" s="160"/>
      <c r="AP2208" s="161"/>
      <c r="AQ2208" s="160"/>
      <c r="AR2208" s="160"/>
      <c r="AS2208" s="160"/>
      <c r="AT2208" s="160"/>
      <c r="AU2208" s="160"/>
      <c r="AV2208" s="160"/>
      <c r="AW2208" s="160"/>
      <c r="AX2208" s="160"/>
      <c r="AY2208" s="160"/>
      <c r="AZ2208" s="160"/>
      <c r="BA2208" s="160"/>
      <c r="BB2208" s="160"/>
      <c r="BC2208" s="160"/>
      <c r="BD2208" s="160"/>
      <c r="BE2208" s="160"/>
      <c r="BF2208" s="160"/>
      <c r="BG2208" s="160"/>
      <c r="BH2208" s="160"/>
      <c r="BI2208" s="160"/>
      <c r="BJ2208" s="160"/>
      <c r="BK2208" s="160"/>
      <c r="BL2208" s="160"/>
      <c r="BM2208" s="160"/>
      <c r="BN2208" s="160"/>
      <c r="BO2208" s="160"/>
      <c r="BP2208" s="160"/>
      <c r="BQ2208" s="160"/>
      <c r="BR2208" s="160"/>
      <c r="BS2208" s="160"/>
      <c r="BT2208" s="160"/>
      <c r="BU2208" s="160"/>
      <c r="BV2208" s="160"/>
      <c r="BW2208" s="160"/>
      <c r="BX2208" s="160"/>
      <c r="BY2208" s="160"/>
      <c r="BZ2208" s="160"/>
      <c r="CA2208" s="160"/>
      <c r="CB2208" s="160"/>
      <c r="CC2208" s="160"/>
      <c r="CD2208" s="160"/>
      <c r="CE2208" s="160"/>
      <c r="CF2208" s="160"/>
      <c r="CG2208" s="160"/>
      <c r="CH2208" s="160"/>
      <c r="CI2208" s="160"/>
      <c r="CJ2208" s="160"/>
      <c r="CK2208" s="160"/>
      <c r="CL2208" s="160"/>
      <c r="CM2208" s="160"/>
      <c r="CN2208" s="160"/>
      <c r="CO2208" s="160"/>
      <c r="CP2208" s="162"/>
      <c r="CQ2208" s="163"/>
      <c r="CR2208" s="162"/>
      <c r="CS2208" s="163"/>
      <c r="CT2208" s="162"/>
      <c r="CU2208" s="163"/>
      <c r="CV2208" s="164">
        <f t="shared" si="274"/>
        <v>0</v>
      </c>
      <c r="CW2208" s="165"/>
      <c r="CX2208" s="166"/>
      <c r="CY2208" s="167"/>
      <c r="CZ2208" s="168"/>
      <c r="DA2208" s="169"/>
      <c r="DB2208" s="168"/>
      <c r="DC2208" s="165"/>
      <c r="DD2208" s="166"/>
      <c r="DE2208" s="71"/>
      <c r="DF2208" s="170"/>
      <c r="EO2208" s="375" t="str">
        <f t="shared" si="275"/>
        <v>CUNDINAMARCA_QUEBRADANEGRA</v>
      </c>
      <c r="EP2208" s="376"/>
      <c r="EQ2208" s="376"/>
      <c r="ER2208" s="377"/>
      <c r="ES2208" s="376"/>
      <c r="ET2208" s="376"/>
      <c r="EU2208" s="376"/>
    </row>
    <row r="2209" spans="1:151" s="171" customFormat="1" ht="38.25" x14ac:dyDescent="0.2">
      <c r="A2209" s="242">
        <v>40527</v>
      </c>
      <c r="B2209" s="222" t="s">
        <v>2007</v>
      </c>
      <c r="C2209" s="222" t="s">
        <v>4376</v>
      </c>
      <c r="D2209" s="430" t="s">
        <v>2307</v>
      </c>
      <c r="E2209" s="107" t="str">
        <f>VLOOKUP(B2209&amp;C2209,Divipola!$C$2:$F$1138,4,FALSE)</f>
        <v>25736</v>
      </c>
      <c r="F2209" s="333"/>
      <c r="G2209" s="221"/>
      <c r="H2209" s="157"/>
      <c r="I2209" s="157"/>
      <c r="J2209" s="157"/>
      <c r="K2209" s="157"/>
      <c r="L2209" s="157"/>
      <c r="M2209" s="157"/>
      <c r="N2209" s="157">
        <v>1</v>
      </c>
      <c r="O2209" s="157"/>
      <c r="P2209" s="157"/>
      <c r="Q2209" s="157"/>
      <c r="R2209" s="157"/>
      <c r="S2209" s="157"/>
      <c r="T2209" s="157"/>
      <c r="U2209" s="157"/>
      <c r="V2209" s="158"/>
      <c r="W2209" s="182"/>
      <c r="X2209" s="1"/>
      <c r="Y2209" s="78">
        <f t="shared" si="271"/>
        <v>0</v>
      </c>
      <c r="Z2209" s="78">
        <f t="shared" si="272"/>
        <v>0</v>
      </c>
      <c r="AA2209" s="78">
        <f t="shared" si="270"/>
        <v>0</v>
      </c>
      <c r="AB2209" s="78">
        <f t="shared" si="273"/>
        <v>0</v>
      </c>
      <c r="AC2209" s="78"/>
      <c r="AD2209" s="78">
        <v>0</v>
      </c>
      <c r="AE2209" s="80">
        <f t="shared" si="276"/>
        <v>0</v>
      </c>
      <c r="AF2209" s="82">
        <v>0</v>
      </c>
      <c r="AG2209" s="69">
        <v>40618</v>
      </c>
      <c r="AH2209" s="84"/>
      <c r="AI2209" s="69" t="s">
        <v>1984</v>
      </c>
      <c r="AJ2209" s="25" t="s">
        <v>1985</v>
      </c>
      <c r="AK2209" s="65"/>
      <c r="AL2209" s="176" t="s">
        <v>1257</v>
      </c>
      <c r="AM2209" s="173" t="s">
        <v>5785</v>
      </c>
      <c r="AN2209" s="159"/>
      <c r="AO2209" s="160"/>
      <c r="AP2209" s="161"/>
      <c r="AQ2209" s="160"/>
      <c r="AR2209" s="160"/>
      <c r="AS2209" s="160"/>
      <c r="AT2209" s="160"/>
      <c r="AU2209" s="160"/>
      <c r="AV2209" s="160"/>
      <c r="AW2209" s="160"/>
      <c r="AX2209" s="160"/>
      <c r="AY2209" s="160"/>
      <c r="AZ2209" s="160"/>
      <c r="BA2209" s="160"/>
      <c r="BB2209" s="160"/>
      <c r="BC2209" s="160"/>
      <c r="BD2209" s="160"/>
      <c r="BE2209" s="160"/>
      <c r="BF2209" s="160"/>
      <c r="BG2209" s="160"/>
      <c r="BH2209" s="160"/>
      <c r="BI2209" s="160"/>
      <c r="BJ2209" s="160"/>
      <c r="BK2209" s="160"/>
      <c r="BL2209" s="160"/>
      <c r="BM2209" s="160"/>
      <c r="BN2209" s="160"/>
      <c r="BO2209" s="160"/>
      <c r="BP2209" s="160"/>
      <c r="BQ2209" s="160"/>
      <c r="BR2209" s="160"/>
      <c r="BS2209" s="160"/>
      <c r="BT2209" s="160"/>
      <c r="BU2209" s="160"/>
      <c r="BV2209" s="160"/>
      <c r="BW2209" s="160"/>
      <c r="BX2209" s="160"/>
      <c r="BY2209" s="160"/>
      <c r="BZ2209" s="160"/>
      <c r="CA2209" s="160"/>
      <c r="CB2209" s="160"/>
      <c r="CC2209" s="160"/>
      <c r="CD2209" s="160"/>
      <c r="CE2209" s="160"/>
      <c r="CF2209" s="160"/>
      <c r="CG2209" s="160"/>
      <c r="CH2209" s="160"/>
      <c r="CI2209" s="160"/>
      <c r="CJ2209" s="160"/>
      <c r="CK2209" s="160"/>
      <c r="CL2209" s="160"/>
      <c r="CM2209" s="160"/>
      <c r="CN2209" s="160"/>
      <c r="CO2209" s="160"/>
      <c r="CP2209" s="162"/>
      <c r="CQ2209" s="163"/>
      <c r="CR2209" s="162"/>
      <c r="CS2209" s="163"/>
      <c r="CT2209" s="162"/>
      <c r="CU2209" s="163"/>
      <c r="CV2209" s="164">
        <f t="shared" si="274"/>
        <v>0</v>
      </c>
      <c r="CW2209" s="165"/>
      <c r="CX2209" s="166"/>
      <c r="CY2209" s="167"/>
      <c r="CZ2209" s="168"/>
      <c r="DA2209" s="169"/>
      <c r="DB2209" s="168"/>
      <c r="DC2209" s="165"/>
      <c r="DD2209" s="166"/>
      <c r="DE2209" s="71"/>
      <c r="DF2209" s="170"/>
      <c r="EO2209" s="375" t="str">
        <f t="shared" si="275"/>
        <v>CUNDINAMARCA_SESQUILE</v>
      </c>
      <c r="EP2209" s="376"/>
      <c r="EQ2209" s="376"/>
      <c r="ER2209" s="377"/>
      <c r="ES2209" s="376"/>
      <c r="ET2209" s="376"/>
      <c r="EU2209" s="376"/>
    </row>
    <row r="2210" spans="1:151" s="171" customFormat="1" ht="38.25" x14ac:dyDescent="0.2">
      <c r="A2210" s="242">
        <v>40527</v>
      </c>
      <c r="B2210" s="222" t="s">
        <v>2007</v>
      </c>
      <c r="C2210" s="222" t="s">
        <v>4381</v>
      </c>
      <c r="D2210" s="430" t="s">
        <v>2307</v>
      </c>
      <c r="E2210" s="107" t="str">
        <f>VLOOKUP(B2210&amp;C2210,Divipola!$C$2:$F$1138,4,FALSE)</f>
        <v>25772</v>
      </c>
      <c r="F2210" s="333"/>
      <c r="G2210" s="221"/>
      <c r="H2210" s="157"/>
      <c r="I2210" s="157"/>
      <c r="J2210" s="157"/>
      <c r="K2210" s="157"/>
      <c r="L2210" s="157"/>
      <c r="M2210" s="157"/>
      <c r="N2210" s="157">
        <v>1</v>
      </c>
      <c r="O2210" s="157"/>
      <c r="P2210" s="157"/>
      <c r="Q2210" s="157"/>
      <c r="R2210" s="157"/>
      <c r="S2210" s="157"/>
      <c r="T2210" s="157"/>
      <c r="U2210" s="157"/>
      <c r="V2210" s="158"/>
      <c r="W2210" s="182"/>
      <c r="X2210" s="1"/>
      <c r="Y2210" s="78">
        <f t="shared" si="271"/>
        <v>0</v>
      </c>
      <c r="Z2210" s="78">
        <f t="shared" si="272"/>
        <v>0</v>
      </c>
      <c r="AA2210" s="78">
        <f t="shared" si="270"/>
        <v>0</v>
      </c>
      <c r="AB2210" s="78">
        <f t="shared" si="273"/>
        <v>0</v>
      </c>
      <c r="AC2210" s="78"/>
      <c r="AD2210" s="78">
        <v>0</v>
      </c>
      <c r="AE2210" s="80">
        <f t="shared" si="276"/>
        <v>0</v>
      </c>
      <c r="AF2210" s="82">
        <v>0</v>
      </c>
      <c r="AG2210" s="69">
        <v>40618</v>
      </c>
      <c r="AH2210" s="84"/>
      <c r="AI2210" s="69" t="s">
        <v>1984</v>
      </c>
      <c r="AJ2210" s="25" t="s">
        <v>1985</v>
      </c>
      <c r="AK2210" s="65"/>
      <c r="AL2210" s="176" t="s">
        <v>1257</v>
      </c>
      <c r="AM2210" s="173" t="s">
        <v>5785</v>
      </c>
      <c r="AN2210" s="159"/>
      <c r="AO2210" s="160"/>
      <c r="AP2210" s="161"/>
      <c r="AQ2210" s="160"/>
      <c r="AR2210" s="160"/>
      <c r="AS2210" s="160"/>
      <c r="AT2210" s="160"/>
      <c r="AU2210" s="160"/>
      <c r="AV2210" s="160"/>
      <c r="AW2210" s="160"/>
      <c r="AX2210" s="160"/>
      <c r="AY2210" s="160"/>
      <c r="AZ2210" s="160"/>
      <c r="BA2210" s="160"/>
      <c r="BB2210" s="160"/>
      <c r="BC2210" s="160"/>
      <c r="BD2210" s="160"/>
      <c r="BE2210" s="160"/>
      <c r="BF2210" s="160"/>
      <c r="BG2210" s="160"/>
      <c r="BH2210" s="160"/>
      <c r="BI2210" s="160"/>
      <c r="BJ2210" s="160"/>
      <c r="BK2210" s="160"/>
      <c r="BL2210" s="160"/>
      <c r="BM2210" s="160"/>
      <c r="BN2210" s="160"/>
      <c r="BO2210" s="160"/>
      <c r="BP2210" s="160"/>
      <c r="BQ2210" s="160"/>
      <c r="BR2210" s="160"/>
      <c r="BS2210" s="160"/>
      <c r="BT2210" s="160"/>
      <c r="BU2210" s="160"/>
      <c r="BV2210" s="160"/>
      <c r="BW2210" s="160"/>
      <c r="BX2210" s="160"/>
      <c r="BY2210" s="160"/>
      <c r="BZ2210" s="160"/>
      <c r="CA2210" s="160"/>
      <c r="CB2210" s="160"/>
      <c r="CC2210" s="160"/>
      <c r="CD2210" s="160"/>
      <c r="CE2210" s="160"/>
      <c r="CF2210" s="160"/>
      <c r="CG2210" s="160"/>
      <c r="CH2210" s="160"/>
      <c r="CI2210" s="160"/>
      <c r="CJ2210" s="160"/>
      <c r="CK2210" s="160"/>
      <c r="CL2210" s="160"/>
      <c r="CM2210" s="160"/>
      <c r="CN2210" s="160"/>
      <c r="CO2210" s="160"/>
      <c r="CP2210" s="162"/>
      <c r="CQ2210" s="163"/>
      <c r="CR2210" s="162"/>
      <c r="CS2210" s="163"/>
      <c r="CT2210" s="162"/>
      <c r="CU2210" s="163"/>
      <c r="CV2210" s="164">
        <f t="shared" si="274"/>
        <v>0</v>
      </c>
      <c r="CW2210" s="165"/>
      <c r="CX2210" s="166"/>
      <c r="CY2210" s="167"/>
      <c r="CZ2210" s="168"/>
      <c r="DA2210" s="169"/>
      <c r="DB2210" s="168"/>
      <c r="DC2210" s="165"/>
      <c r="DD2210" s="166"/>
      <c r="DE2210" s="71"/>
      <c r="DF2210" s="170"/>
      <c r="EO2210" s="375" t="str">
        <f t="shared" si="275"/>
        <v>CUNDINAMARCA_SUESCA</v>
      </c>
      <c r="EP2210" s="376"/>
      <c r="EQ2210" s="376"/>
      <c r="ER2210" s="377"/>
      <c r="ES2210" s="376"/>
      <c r="ET2210" s="376"/>
      <c r="EU2210" s="376"/>
    </row>
    <row r="2211" spans="1:151" s="171" customFormat="1" ht="38.25" x14ac:dyDescent="0.2">
      <c r="A2211" s="242">
        <v>40527</v>
      </c>
      <c r="B2211" s="222" t="s">
        <v>2007</v>
      </c>
      <c r="C2211" s="222" t="s">
        <v>4394</v>
      </c>
      <c r="D2211" s="430" t="s">
        <v>2307</v>
      </c>
      <c r="E2211" s="107" t="str">
        <f>VLOOKUP(B2211&amp;C2211,Divipola!$C$2:$F$1138,4,FALSE)</f>
        <v>25839</v>
      </c>
      <c r="F2211" s="333"/>
      <c r="G2211" s="221"/>
      <c r="H2211" s="157"/>
      <c r="I2211" s="157"/>
      <c r="J2211" s="157">
        <v>74</v>
      </c>
      <c r="K2211" s="157">
        <v>18</v>
      </c>
      <c r="L2211" s="157"/>
      <c r="M2211" s="157">
        <v>18</v>
      </c>
      <c r="N2211" s="157">
        <v>1</v>
      </c>
      <c r="O2211" s="157"/>
      <c r="P2211" s="157"/>
      <c r="Q2211" s="157"/>
      <c r="R2211" s="157"/>
      <c r="S2211" s="157"/>
      <c r="T2211" s="157"/>
      <c r="U2211" s="157"/>
      <c r="V2211" s="158"/>
      <c r="W2211" s="182"/>
      <c r="X2211" s="1"/>
      <c r="Y2211" s="78">
        <f t="shared" si="271"/>
        <v>0</v>
      </c>
      <c r="Z2211" s="78">
        <f t="shared" si="272"/>
        <v>0</v>
      </c>
      <c r="AA2211" s="78">
        <f t="shared" si="270"/>
        <v>0</v>
      </c>
      <c r="AB2211" s="78">
        <f t="shared" si="273"/>
        <v>0</v>
      </c>
      <c r="AC2211" s="78"/>
      <c r="AD2211" s="78">
        <v>0</v>
      </c>
      <c r="AE2211" s="80">
        <f t="shared" si="276"/>
        <v>0</v>
      </c>
      <c r="AF2211" s="82">
        <v>0</v>
      </c>
      <c r="AG2211" s="69">
        <v>40618</v>
      </c>
      <c r="AH2211" s="84"/>
      <c r="AI2211" s="69" t="s">
        <v>1984</v>
      </c>
      <c r="AJ2211" s="25" t="s">
        <v>1985</v>
      </c>
      <c r="AK2211" s="65"/>
      <c r="AL2211" s="176" t="s">
        <v>1257</v>
      </c>
      <c r="AM2211" s="173" t="s">
        <v>5785</v>
      </c>
      <c r="AN2211" s="159"/>
      <c r="AO2211" s="160"/>
      <c r="AP2211" s="161"/>
      <c r="AQ2211" s="160"/>
      <c r="AR2211" s="160"/>
      <c r="AS2211" s="160"/>
      <c r="AT2211" s="160"/>
      <c r="AU2211" s="160"/>
      <c r="AV2211" s="160"/>
      <c r="AW2211" s="160"/>
      <c r="AX2211" s="160"/>
      <c r="AY2211" s="160"/>
      <c r="AZ2211" s="160"/>
      <c r="BA2211" s="160"/>
      <c r="BB2211" s="160"/>
      <c r="BC2211" s="160"/>
      <c r="BD2211" s="160"/>
      <c r="BE2211" s="160"/>
      <c r="BF2211" s="160"/>
      <c r="BG2211" s="160"/>
      <c r="BH2211" s="160"/>
      <c r="BI2211" s="160"/>
      <c r="BJ2211" s="160"/>
      <c r="BK2211" s="160"/>
      <c r="BL2211" s="160"/>
      <c r="BM2211" s="160"/>
      <c r="BN2211" s="160"/>
      <c r="BO2211" s="160"/>
      <c r="BP2211" s="160"/>
      <c r="BQ2211" s="160"/>
      <c r="BR2211" s="160"/>
      <c r="BS2211" s="160"/>
      <c r="BT2211" s="160"/>
      <c r="BU2211" s="160"/>
      <c r="BV2211" s="160"/>
      <c r="BW2211" s="160"/>
      <c r="BX2211" s="160"/>
      <c r="BY2211" s="160"/>
      <c r="BZ2211" s="160"/>
      <c r="CA2211" s="160"/>
      <c r="CB2211" s="160"/>
      <c r="CC2211" s="160"/>
      <c r="CD2211" s="160"/>
      <c r="CE2211" s="160"/>
      <c r="CF2211" s="160"/>
      <c r="CG2211" s="160"/>
      <c r="CH2211" s="160"/>
      <c r="CI2211" s="160"/>
      <c r="CJ2211" s="160"/>
      <c r="CK2211" s="160"/>
      <c r="CL2211" s="160"/>
      <c r="CM2211" s="160"/>
      <c r="CN2211" s="160"/>
      <c r="CO2211" s="160"/>
      <c r="CP2211" s="162"/>
      <c r="CQ2211" s="163"/>
      <c r="CR2211" s="162"/>
      <c r="CS2211" s="163"/>
      <c r="CT2211" s="162"/>
      <c r="CU2211" s="163"/>
      <c r="CV2211" s="164">
        <f t="shared" si="274"/>
        <v>0</v>
      </c>
      <c r="CW2211" s="165"/>
      <c r="CX2211" s="166"/>
      <c r="CY2211" s="167"/>
      <c r="CZ2211" s="168"/>
      <c r="DA2211" s="169"/>
      <c r="DB2211" s="168"/>
      <c r="DC2211" s="165"/>
      <c r="DD2211" s="166"/>
      <c r="DE2211" s="71"/>
      <c r="DF2211" s="170"/>
      <c r="EO2211" s="375" t="str">
        <f t="shared" si="275"/>
        <v>CUNDINAMARCA_UBALA</v>
      </c>
      <c r="EP2211" s="376"/>
      <c r="EQ2211" s="376"/>
      <c r="ER2211" s="377"/>
      <c r="ES2211" s="376"/>
      <c r="ET2211" s="376"/>
      <c r="EU2211" s="376"/>
    </row>
    <row r="2212" spans="1:151" s="171" customFormat="1" ht="38.25" x14ac:dyDescent="0.2">
      <c r="A2212" s="242">
        <v>40527</v>
      </c>
      <c r="B2212" s="222" t="s">
        <v>2007</v>
      </c>
      <c r="C2212" s="222" t="s">
        <v>18</v>
      </c>
      <c r="D2212" s="430" t="s">
        <v>837</v>
      </c>
      <c r="E2212" s="107" t="str">
        <f>VLOOKUP(B2212&amp;C2212,Divipola!$C$2:$F$1138,4,FALSE)</f>
        <v>25867</v>
      </c>
      <c r="F2212" s="333"/>
      <c r="G2212" s="221"/>
      <c r="H2212" s="157"/>
      <c r="I2212" s="157"/>
      <c r="J2212" s="157">
        <f>47*4</f>
        <v>188</v>
      </c>
      <c r="K2212" s="157">
        <v>47</v>
      </c>
      <c r="L2212" s="157"/>
      <c r="M2212" s="157"/>
      <c r="N2212" s="157"/>
      <c r="O2212" s="157"/>
      <c r="P2212" s="157"/>
      <c r="Q2212" s="157"/>
      <c r="R2212" s="157"/>
      <c r="S2212" s="157"/>
      <c r="T2212" s="157"/>
      <c r="U2212" s="157"/>
      <c r="V2212" s="158"/>
      <c r="W2212" s="182"/>
      <c r="X2212" s="1"/>
      <c r="Y2212" s="78">
        <f t="shared" si="271"/>
        <v>0</v>
      </c>
      <c r="Z2212" s="78">
        <f t="shared" si="272"/>
        <v>0</v>
      </c>
      <c r="AA2212" s="78">
        <f t="shared" si="270"/>
        <v>0</v>
      </c>
      <c r="AB2212" s="78">
        <f t="shared" si="273"/>
        <v>0</v>
      </c>
      <c r="AC2212" s="78"/>
      <c r="AD2212" s="78">
        <v>0</v>
      </c>
      <c r="AE2212" s="80">
        <f t="shared" si="276"/>
        <v>0</v>
      </c>
      <c r="AF2212" s="82">
        <v>0</v>
      </c>
      <c r="AG2212" s="69">
        <v>40612</v>
      </c>
      <c r="AH2212" s="84"/>
      <c r="AI2212" s="69" t="s">
        <v>1984</v>
      </c>
      <c r="AJ2212" s="25" t="s">
        <v>1985</v>
      </c>
      <c r="AK2212" s="65"/>
      <c r="AL2212" s="176" t="s">
        <v>1257</v>
      </c>
      <c r="AM2212" s="173" t="s">
        <v>457</v>
      </c>
      <c r="AN2212" s="159"/>
      <c r="AO2212" s="160"/>
      <c r="AP2212" s="161"/>
      <c r="AQ2212" s="160"/>
      <c r="AR2212" s="160"/>
      <c r="AS2212" s="160"/>
      <c r="AT2212" s="160"/>
      <c r="AU2212" s="160"/>
      <c r="AV2212" s="160"/>
      <c r="AW2212" s="160"/>
      <c r="AX2212" s="160"/>
      <c r="AY2212" s="160"/>
      <c r="AZ2212" s="160"/>
      <c r="BA2212" s="160"/>
      <c r="BB2212" s="160"/>
      <c r="BC2212" s="160"/>
      <c r="BD2212" s="160"/>
      <c r="BE2212" s="160"/>
      <c r="BF2212" s="160"/>
      <c r="BG2212" s="160"/>
      <c r="BH2212" s="160"/>
      <c r="BI2212" s="160"/>
      <c r="BJ2212" s="160"/>
      <c r="BK2212" s="160"/>
      <c r="BL2212" s="160"/>
      <c r="BM2212" s="160"/>
      <c r="BN2212" s="160"/>
      <c r="BO2212" s="160"/>
      <c r="BP2212" s="160"/>
      <c r="BQ2212" s="160"/>
      <c r="BR2212" s="160"/>
      <c r="BS2212" s="160"/>
      <c r="BT2212" s="160"/>
      <c r="BU2212" s="160"/>
      <c r="BV2212" s="160"/>
      <c r="BW2212" s="160"/>
      <c r="BX2212" s="160"/>
      <c r="BY2212" s="160"/>
      <c r="BZ2212" s="160"/>
      <c r="CA2212" s="160"/>
      <c r="CB2212" s="160"/>
      <c r="CC2212" s="160"/>
      <c r="CD2212" s="160"/>
      <c r="CE2212" s="160"/>
      <c r="CF2212" s="160"/>
      <c r="CG2212" s="160"/>
      <c r="CH2212" s="160"/>
      <c r="CI2212" s="160"/>
      <c r="CJ2212" s="160"/>
      <c r="CK2212" s="160"/>
      <c r="CL2212" s="160"/>
      <c r="CM2212" s="160"/>
      <c r="CN2212" s="160"/>
      <c r="CO2212" s="160"/>
      <c r="CP2212" s="162"/>
      <c r="CQ2212" s="163"/>
      <c r="CR2212" s="162"/>
      <c r="CS2212" s="163"/>
      <c r="CT2212" s="162"/>
      <c r="CU2212" s="163"/>
      <c r="CV2212" s="164">
        <f t="shared" si="274"/>
        <v>0</v>
      </c>
      <c r="CW2212" s="165"/>
      <c r="CX2212" s="166"/>
      <c r="CY2212" s="167"/>
      <c r="CZ2212" s="168"/>
      <c r="DA2212" s="169"/>
      <c r="DB2212" s="168"/>
      <c r="DC2212" s="165"/>
      <c r="DD2212" s="166"/>
      <c r="DE2212" s="71"/>
      <c r="DF2212" s="170"/>
      <c r="EO2212" s="375" t="str">
        <f t="shared" si="275"/>
        <v>CUNDINAMARCA_VIANI</v>
      </c>
      <c r="EP2212" s="376"/>
      <c r="EQ2212" s="376"/>
      <c r="ER2212" s="377"/>
      <c r="ES2212" s="376"/>
      <c r="ET2212" s="376"/>
      <c r="EU2212" s="376"/>
    </row>
    <row r="2213" spans="1:151" s="171" customFormat="1" ht="38.25" x14ac:dyDescent="0.2">
      <c r="A2213" s="242">
        <v>40527</v>
      </c>
      <c r="B2213" s="222" t="s">
        <v>2007</v>
      </c>
      <c r="C2213" s="222" t="s">
        <v>4401</v>
      </c>
      <c r="D2213" s="430" t="s">
        <v>2307</v>
      </c>
      <c r="E2213" s="107" t="str">
        <f>VLOOKUP(B2213&amp;C2213,Divipola!$C$2:$F$1138,4,FALSE)</f>
        <v>25871</v>
      </c>
      <c r="F2213" s="333"/>
      <c r="G2213" s="221"/>
      <c r="H2213" s="157"/>
      <c r="I2213" s="157"/>
      <c r="J2213" s="157">
        <v>50</v>
      </c>
      <c r="K2213" s="157">
        <v>16</v>
      </c>
      <c r="L2213" s="157"/>
      <c r="M2213" s="157">
        <v>16</v>
      </c>
      <c r="N2213" s="157">
        <v>1</v>
      </c>
      <c r="O2213" s="157"/>
      <c r="P2213" s="157"/>
      <c r="Q2213" s="157"/>
      <c r="R2213" s="157"/>
      <c r="S2213" s="157"/>
      <c r="T2213" s="157"/>
      <c r="U2213" s="157"/>
      <c r="V2213" s="158"/>
      <c r="W2213" s="182"/>
      <c r="X2213" s="1"/>
      <c r="Y2213" s="78">
        <f t="shared" si="271"/>
        <v>0</v>
      </c>
      <c r="Z2213" s="78">
        <f t="shared" si="272"/>
        <v>0</v>
      </c>
      <c r="AA2213" s="78">
        <f t="shared" si="270"/>
        <v>0</v>
      </c>
      <c r="AB2213" s="78">
        <f t="shared" si="273"/>
        <v>0</v>
      </c>
      <c r="AC2213" s="78"/>
      <c r="AD2213" s="78">
        <v>0</v>
      </c>
      <c r="AE2213" s="80">
        <f t="shared" si="276"/>
        <v>0</v>
      </c>
      <c r="AF2213" s="82">
        <v>0</v>
      </c>
      <c r="AG2213" s="69">
        <v>40618</v>
      </c>
      <c r="AH2213" s="84"/>
      <c r="AI2213" s="69" t="s">
        <v>1984</v>
      </c>
      <c r="AJ2213" s="25" t="s">
        <v>1985</v>
      </c>
      <c r="AK2213" s="65"/>
      <c r="AL2213" s="176" t="s">
        <v>1257</v>
      </c>
      <c r="AM2213" s="173" t="s">
        <v>5785</v>
      </c>
      <c r="AN2213" s="159"/>
      <c r="AO2213" s="160"/>
      <c r="AP2213" s="161"/>
      <c r="AQ2213" s="160"/>
      <c r="AR2213" s="160"/>
      <c r="AS2213" s="160"/>
      <c r="AT2213" s="160"/>
      <c r="AU2213" s="160"/>
      <c r="AV2213" s="160"/>
      <c r="AW2213" s="160"/>
      <c r="AX2213" s="160"/>
      <c r="AY2213" s="160"/>
      <c r="AZ2213" s="160"/>
      <c r="BA2213" s="160"/>
      <c r="BB2213" s="160"/>
      <c r="BC2213" s="160"/>
      <c r="BD2213" s="160"/>
      <c r="BE2213" s="160"/>
      <c r="BF2213" s="160"/>
      <c r="BG2213" s="160"/>
      <c r="BH2213" s="160"/>
      <c r="BI2213" s="160"/>
      <c r="BJ2213" s="160"/>
      <c r="BK2213" s="160"/>
      <c r="BL2213" s="160"/>
      <c r="BM2213" s="160"/>
      <c r="BN2213" s="160"/>
      <c r="BO2213" s="160"/>
      <c r="BP2213" s="160"/>
      <c r="BQ2213" s="160"/>
      <c r="BR2213" s="160"/>
      <c r="BS2213" s="160"/>
      <c r="BT2213" s="160"/>
      <c r="BU2213" s="160"/>
      <c r="BV2213" s="160"/>
      <c r="BW2213" s="160"/>
      <c r="BX2213" s="160"/>
      <c r="BY2213" s="160"/>
      <c r="BZ2213" s="160"/>
      <c r="CA2213" s="160"/>
      <c r="CB2213" s="160"/>
      <c r="CC2213" s="160"/>
      <c r="CD2213" s="160"/>
      <c r="CE2213" s="160"/>
      <c r="CF2213" s="160"/>
      <c r="CG2213" s="160"/>
      <c r="CH2213" s="160"/>
      <c r="CI2213" s="160"/>
      <c r="CJ2213" s="160"/>
      <c r="CK2213" s="160"/>
      <c r="CL2213" s="160"/>
      <c r="CM2213" s="160"/>
      <c r="CN2213" s="160"/>
      <c r="CO2213" s="160"/>
      <c r="CP2213" s="162"/>
      <c r="CQ2213" s="163"/>
      <c r="CR2213" s="162"/>
      <c r="CS2213" s="163"/>
      <c r="CT2213" s="162"/>
      <c r="CU2213" s="163"/>
      <c r="CV2213" s="164">
        <f t="shared" si="274"/>
        <v>0</v>
      </c>
      <c r="CW2213" s="165"/>
      <c r="CX2213" s="166"/>
      <c r="CY2213" s="167"/>
      <c r="CZ2213" s="168"/>
      <c r="DA2213" s="169"/>
      <c r="DB2213" s="168"/>
      <c r="DC2213" s="165"/>
      <c r="DD2213" s="166"/>
      <c r="DE2213" s="71"/>
      <c r="DF2213" s="170"/>
      <c r="EO2213" s="375" t="str">
        <f t="shared" si="275"/>
        <v>CUNDINAMARCA_VILLAGOMEZ</v>
      </c>
      <c r="EP2213" s="376"/>
      <c r="EQ2213" s="376"/>
      <c r="ER2213" s="377"/>
      <c r="ES2213" s="376"/>
      <c r="ET2213" s="376"/>
      <c r="EU2213" s="376"/>
    </row>
    <row r="2214" spans="1:151" s="171" customFormat="1" ht="38.25" x14ac:dyDescent="0.2">
      <c r="A2214" s="242">
        <v>40527</v>
      </c>
      <c r="B2214" s="222" t="s">
        <v>2007</v>
      </c>
      <c r="C2214" s="222" t="s">
        <v>1330</v>
      </c>
      <c r="D2214" s="430" t="s">
        <v>837</v>
      </c>
      <c r="E2214" s="107" t="str">
        <f>VLOOKUP(B2214&amp;C2214,Divipola!$C$2:$F$1138,4,FALSE)</f>
        <v>25898</v>
      </c>
      <c r="F2214" s="333"/>
      <c r="G2214" s="221"/>
      <c r="H2214" s="157"/>
      <c r="I2214" s="157"/>
      <c r="J2214" s="157"/>
      <c r="K2214" s="157"/>
      <c r="L2214" s="157"/>
      <c r="M2214" s="157"/>
      <c r="N2214" s="157">
        <v>1</v>
      </c>
      <c r="O2214" s="157"/>
      <c r="P2214" s="157"/>
      <c r="Q2214" s="157"/>
      <c r="R2214" s="157"/>
      <c r="S2214" s="157"/>
      <c r="T2214" s="157"/>
      <c r="U2214" s="157"/>
      <c r="V2214" s="158"/>
      <c r="W2214" s="182"/>
      <c r="X2214" s="1"/>
      <c r="Y2214" s="78">
        <f t="shared" si="271"/>
        <v>0</v>
      </c>
      <c r="Z2214" s="78">
        <f t="shared" si="272"/>
        <v>0</v>
      </c>
      <c r="AA2214" s="78">
        <f t="shared" si="270"/>
        <v>0</v>
      </c>
      <c r="AB2214" s="78">
        <f t="shared" si="273"/>
        <v>0</v>
      </c>
      <c r="AC2214" s="78"/>
      <c r="AD2214" s="78">
        <v>0</v>
      </c>
      <c r="AE2214" s="80">
        <f t="shared" si="276"/>
        <v>0</v>
      </c>
      <c r="AF2214" s="82">
        <v>0</v>
      </c>
      <c r="AG2214" s="69">
        <v>40612</v>
      </c>
      <c r="AH2214" s="84"/>
      <c r="AI2214" s="69" t="s">
        <v>1984</v>
      </c>
      <c r="AJ2214" s="25" t="s">
        <v>1985</v>
      </c>
      <c r="AK2214" s="65"/>
      <c r="AL2214" s="176" t="s">
        <v>1257</v>
      </c>
      <c r="AM2214" s="173" t="s">
        <v>457</v>
      </c>
      <c r="AN2214" s="159"/>
      <c r="AO2214" s="160"/>
      <c r="AP2214" s="161"/>
      <c r="AQ2214" s="160"/>
      <c r="AR2214" s="160"/>
      <c r="AS2214" s="160"/>
      <c r="AT2214" s="160"/>
      <c r="AU2214" s="160"/>
      <c r="AV2214" s="160"/>
      <c r="AW2214" s="160"/>
      <c r="AX2214" s="160"/>
      <c r="AY2214" s="160"/>
      <c r="AZ2214" s="160"/>
      <c r="BA2214" s="160"/>
      <c r="BB2214" s="160"/>
      <c r="BC2214" s="160"/>
      <c r="BD2214" s="160"/>
      <c r="BE2214" s="160"/>
      <c r="BF2214" s="160"/>
      <c r="BG2214" s="160"/>
      <c r="BH2214" s="160"/>
      <c r="BI2214" s="160"/>
      <c r="BJ2214" s="160"/>
      <c r="BK2214" s="160"/>
      <c r="BL2214" s="160"/>
      <c r="BM2214" s="160"/>
      <c r="BN2214" s="160"/>
      <c r="BO2214" s="160"/>
      <c r="BP2214" s="160"/>
      <c r="BQ2214" s="160"/>
      <c r="BR2214" s="160"/>
      <c r="BS2214" s="160"/>
      <c r="BT2214" s="160"/>
      <c r="BU2214" s="160"/>
      <c r="BV2214" s="160"/>
      <c r="BW2214" s="160"/>
      <c r="BX2214" s="160"/>
      <c r="BY2214" s="160"/>
      <c r="BZ2214" s="160"/>
      <c r="CA2214" s="160"/>
      <c r="CB2214" s="160"/>
      <c r="CC2214" s="160"/>
      <c r="CD2214" s="160"/>
      <c r="CE2214" s="160"/>
      <c r="CF2214" s="160"/>
      <c r="CG2214" s="160"/>
      <c r="CH2214" s="160"/>
      <c r="CI2214" s="160"/>
      <c r="CJ2214" s="160"/>
      <c r="CK2214" s="160"/>
      <c r="CL2214" s="160"/>
      <c r="CM2214" s="160"/>
      <c r="CN2214" s="160"/>
      <c r="CO2214" s="160"/>
      <c r="CP2214" s="162"/>
      <c r="CQ2214" s="163"/>
      <c r="CR2214" s="162"/>
      <c r="CS2214" s="163"/>
      <c r="CT2214" s="162"/>
      <c r="CU2214" s="163"/>
      <c r="CV2214" s="164">
        <f t="shared" si="274"/>
        <v>0</v>
      </c>
      <c r="CW2214" s="165"/>
      <c r="CX2214" s="166"/>
      <c r="CY2214" s="167"/>
      <c r="CZ2214" s="168"/>
      <c r="DA2214" s="169"/>
      <c r="DB2214" s="168"/>
      <c r="DC2214" s="165"/>
      <c r="DD2214" s="166"/>
      <c r="DE2214" s="71"/>
      <c r="DF2214" s="170"/>
      <c r="EO2214" s="375" t="str">
        <f t="shared" si="275"/>
        <v>CUNDINAMARCA_ZIPACON</v>
      </c>
      <c r="EP2214" s="376"/>
      <c r="EQ2214" s="376"/>
      <c r="ER2214" s="377"/>
      <c r="ES2214" s="376"/>
      <c r="ET2214" s="376"/>
      <c r="EU2214" s="376"/>
    </row>
    <row r="2215" spans="1:151" s="171" customFormat="1" ht="25.5" x14ac:dyDescent="0.2">
      <c r="A2215" s="242">
        <v>40527</v>
      </c>
      <c r="B2215" s="222" t="s">
        <v>1333</v>
      </c>
      <c r="C2215" s="222" t="s">
        <v>2030</v>
      </c>
      <c r="D2215" s="430" t="s">
        <v>837</v>
      </c>
      <c r="E2215" s="107" t="str">
        <f>VLOOKUP(B2215&amp;C2215,Divipola!$C$2:$F$1138,4,FALSE)</f>
        <v>41319</v>
      </c>
      <c r="F2215" s="333"/>
      <c r="G2215" s="221"/>
      <c r="H2215" s="157"/>
      <c r="I2215" s="157"/>
      <c r="J2215" s="157">
        <v>8730</v>
      </c>
      <c r="K2215" s="157">
        <v>1772</v>
      </c>
      <c r="L2215" s="157">
        <v>8</v>
      </c>
      <c r="M2215" s="157">
        <v>26</v>
      </c>
      <c r="N2215" s="157"/>
      <c r="O2215" s="157"/>
      <c r="P2215" s="157"/>
      <c r="Q2215" s="157">
        <v>2</v>
      </c>
      <c r="R2215" s="157"/>
      <c r="S2215" s="157"/>
      <c r="T2215" s="157">
        <v>1</v>
      </c>
      <c r="U2215" s="157"/>
      <c r="V2215" s="158"/>
      <c r="W2215" s="182"/>
      <c r="X2215" s="1"/>
      <c r="Y2215" s="78">
        <f t="shared" si="271"/>
        <v>0</v>
      </c>
      <c r="Z2215" s="78">
        <f t="shared" si="272"/>
        <v>0</v>
      </c>
      <c r="AA2215" s="78">
        <f t="shared" si="270"/>
        <v>0</v>
      </c>
      <c r="AB2215" s="78">
        <f t="shared" si="273"/>
        <v>0</v>
      </c>
      <c r="AC2215" s="78"/>
      <c r="AD2215" s="78">
        <v>0</v>
      </c>
      <c r="AE2215" s="80">
        <f t="shared" si="276"/>
        <v>0</v>
      </c>
      <c r="AF2215" s="82">
        <v>0</v>
      </c>
      <c r="AG2215" s="69">
        <v>40618</v>
      </c>
      <c r="AH2215" s="84"/>
      <c r="AI2215" s="69" t="s">
        <v>1984</v>
      </c>
      <c r="AJ2215" s="25" t="s">
        <v>1985</v>
      </c>
      <c r="AK2215" s="65"/>
      <c r="AL2215" s="176" t="s">
        <v>1257</v>
      </c>
      <c r="AM2215" s="173" t="s">
        <v>5786</v>
      </c>
      <c r="AN2215" s="159"/>
      <c r="AO2215" s="160"/>
      <c r="AP2215" s="161"/>
      <c r="AQ2215" s="160"/>
      <c r="AR2215" s="160"/>
      <c r="AS2215" s="160"/>
      <c r="AT2215" s="160"/>
      <c r="AU2215" s="160"/>
      <c r="AV2215" s="160"/>
      <c r="AW2215" s="160"/>
      <c r="AX2215" s="160"/>
      <c r="AY2215" s="160"/>
      <c r="AZ2215" s="160"/>
      <c r="BA2215" s="160"/>
      <c r="BB2215" s="160"/>
      <c r="BC2215" s="160"/>
      <c r="BD2215" s="160"/>
      <c r="BE2215" s="160"/>
      <c r="BF2215" s="160"/>
      <c r="BG2215" s="160"/>
      <c r="BH2215" s="160"/>
      <c r="BI2215" s="160"/>
      <c r="BJ2215" s="160"/>
      <c r="BK2215" s="160"/>
      <c r="BL2215" s="160"/>
      <c r="BM2215" s="160"/>
      <c r="BN2215" s="160"/>
      <c r="BO2215" s="160"/>
      <c r="BP2215" s="160"/>
      <c r="BQ2215" s="160"/>
      <c r="BR2215" s="160"/>
      <c r="BS2215" s="160"/>
      <c r="BT2215" s="160"/>
      <c r="BU2215" s="160"/>
      <c r="BV2215" s="160"/>
      <c r="BW2215" s="160"/>
      <c r="BX2215" s="160"/>
      <c r="BY2215" s="160"/>
      <c r="BZ2215" s="160"/>
      <c r="CA2215" s="160"/>
      <c r="CB2215" s="160"/>
      <c r="CC2215" s="160"/>
      <c r="CD2215" s="160"/>
      <c r="CE2215" s="160"/>
      <c r="CF2215" s="160"/>
      <c r="CG2215" s="160"/>
      <c r="CH2215" s="160"/>
      <c r="CI2215" s="160"/>
      <c r="CJ2215" s="160"/>
      <c r="CK2215" s="160"/>
      <c r="CL2215" s="160"/>
      <c r="CM2215" s="160"/>
      <c r="CN2215" s="160"/>
      <c r="CO2215" s="160"/>
      <c r="CP2215" s="162"/>
      <c r="CQ2215" s="163"/>
      <c r="CR2215" s="162"/>
      <c r="CS2215" s="163"/>
      <c r="CT2215" s="162"/>
      <c r="CU2215" s="163"/>
      <c r="CV2215" s="164">
        <f t="shared" si="274"/>
        <v>0</v>
      </c>
      <c r="CW2215" s="165"/>
      <c r="CX2215" s="166"/>
      <c r="CY2215" s="167"/>
      <c r="CZ2215" s="168"/>
      <c r="DA2215" s="169"/>
      <c r="DB2215" s="168"/>
      <c r="DC2215" s="165"/>
      <c r="DD2215" s="166"/>
      <c r="DE2215" s="71"/>
      <c r="DF2215" s="170"/>
      <c r="EO2215" s="375" t="str">
        <f t="shared" si="275"/>
        <v>HUILA_GUADALUPE</v>
      </c>
      <c r="EP2215" s="376"/>
      <c r="EQ2215" s="376"/>
      <c r="ER2215" s="377"/>
      <c r="ES2215" s="376"/>
      <c r="ET2215" s="376"/>
      <c r="EU2215" s="376"/>
    </row>
    <row r="2216" spans="1:151" s="171" customFormat="1" ht="36" x14ac:dyDescent="0.2">
      <c r="A2216" s="242">
        <v>40527</v>
      </c>
      <c r="B2216" s="222" t="s">
        <v>1333</v>
      </c>
      <c r="C2216" s="222" t="s">
        <v>458</v>
      </c>
      <c r="D2216" s="430" t="s">
        <v>2307</v>
      </c>
      <c r="E2216" s="107" t="str">
        <f>VLOOKUP(B2216&amp;C2216,Divipola!$C$2:$F$1138,4,FALSE)</f>
        <v>41801</v>
      </c>
      <c r="F2216" s="333"/>
      <c r="G2216" s="221"/>
      <c r="H2216" s="157"/>
      <c r="I2216" s="157"/>
      <c r="J2216" s="157"/>
      <c r="K2216" s="157"/>
      <c r="L2216" s="157"/>
      <c r="M2216" s="157"/>
      <c r="N2216" s="157"/>
      <c r="O2216" s="157"/>
      <c r="P2216" s="157"/>
      <c r="Q2216" s="157">
        <v>1</v>
      </c>
      <c r="R2216" s="157"/>
      <c r="S2216" s="157"/>
      <c r="T2216" s="157"/>
      <c r="U2216" s="157"/>
      <c r="V2216" s="158"/>
      <c r="W2216" s="182"/>
      <c r="X2216" s="1"/>
      <c r="Y2216" s="78">
        <f t="shared" si="271"/>
        <v>0</v>
      </c>
      <c r="Z2216" s="78">
        <f t="shared" si="272"/>
        <v>0</v>
      </c>
      <c r="AA2216" s="78">
        <f t="shared" si="270"/>
        <v>0</v>
      </c>
      <c r="AB2216" s="78">
        <f t="shared" si="273"/>
        <v>0</v>
      </c>
      <c r="AC2216" s="78"/>
      <c r="AD2216" s="78">
        <v>0</v>
      </c>
      <c r="AE2216" s="80">
        <f t="shared" si="276"/>
        <v>0</v>
      </c>
      <c r="AF2216" s="82">
        <v>0</v>
      </c>
      <c r="AG2216" s="69">
        <v>40606</v>
      </c>
      <c r="AH2216" s="84"/>
      <c r="AI2216" s="69" t="s">
        <v>1984</v>
      </c>
      <c r="AJ2216" s="25" t="s">
        <v>1985</v>
      </c>
      <c r="AK2216" s="65"/>
      <c r="AL2216" s="176" t="s">
        <v>1257</v>
      </c>
      <c r="AM2216" s="173" t="s">
        <v>459</v>
      </c>
      <c r="AN2216" s="159"/>
      <c r="AO2216" s="160"/>
      <c r="AP2216" s="161"/>
      <c r="AQ2216" s="160"/>
      <c r="AR2216" s="160"/>
      <c r="AS2216" s="160"/>
      <c r="AT2216" s="160"/>
      <c r="AU2216" s="160"/>
      <c r="AV2216" s="160"/>
      <c r="AW2216" s="160"/>
      <c r="AX2216" s="160"/>
      <c r="AY2216" s="160"/>
      <c r="AZ2216" s="160"/>
      <c r="BA2216" s="160"/>
      <c r="BB2216" s="160"/>
      <c r="BC2216" s="160"/>
      <c r="BD2216" s="160"/>
      <c r="BE2216" s="160"/>
      <c r="BF2216" s="160"/>
      <c r="BG2216" s="160"/>
      <c r="BH2216" s="160"/>
      <c r="BI2216" s="160"/>
      <c r="BJ2216" s="160"/>
      <c r="BK2216" s="160"/>
      <c r="BL2216" s="160"/>
      <c r="BM2216" s="160"/>
      <c r="BN2216" s="160"/>
      <c r="BO2216" s="160"/>
      <c r="BP2216" s="160"/>
      <c r="BQ2216" s="160"/>
      <c r="BR2216" s="160"/>
      <c r="BS2216" s="160"/>
      <c r="BT2216" s="160"/>
      <c r="BU2216" s="160"/>
      <c r="BV2216" s="160"/>
      <c r="BW2216" s="160"/>
      <c r="BX2216" s="160"/>
      <c r="BY2216" s="160"/>
      <c r="BZ2216" s="160"/>
      <c r="CA2216" s="160"/>
      <c r="CB2216" s="160"/>
      <c r="CC2216" s="160"/>
      <c r="CD2216" s="160"/>
      <c r="CE2216" s="160"/>
      <c r="CF2216" s="160"/>
      <c r="CG2216" s="160"/>
      <c r="CH2216" s="160"/>
      <c r="CI2216" s="160"/>
      <c r="CJ2216" s="160"/>
      <c r="CK2216" s="160"/>
      <c r="CL2216" s="160"/>
      <c r="CM2216" s="160"/>
      <c r="CN2216" s="160"/>
      <c r="CO2216" s="160"/>
      <c r="CP2216" s="162"/>
      <c r="CQ2216" s="163"/>
      <c r="CR2216" s="162"/>
      <c r="CS2216" s="163"/>
      <c r="CT2216" s="162"/>
      <c r="CU2216" s="163"/>
      <c r="CV2216" s="164">
        <f t="shared" si="274"/>
        <v>0</v>
      </c>
      <c r="CW2216" s="165"/>
      <c r="CX2216" s="166"/>
      <c r="CY2216" s="167"/>
      <c r="CZ2216" s="168"/>
      <c r="DA2216" s="169"/>
      <c r="DB2216" s="168"/>
      <c r="DC2216" s="165"/>
      <c r="DD2216" s="166"/>
      <c r="DE2216" s="71"/>
      <c r="DF2216" s="170"/>
      <c r="EO2216" s="375" t="str">
        <f t="shared" si="275"/>
        <v>HUILA_TERUEL</v>
      </c>
      <c r="EP2216" s="376"/>
      <c r="EQ2216" s="376"/>
      <c r="ER2216" s="377"/>
      <c r="ES2216" s="376"/>
      <c r="ET2216" s="376"/>
      <c r="EU2216" s="376"/>
    </row>
    <row r="2217" spans="1:151" s="171" customFormat="1" ht="38.25" x14ac:dyDescent="0.2">
      <c r="A2217" s="242">
        <v>40527</v>
      </c>
      <c r="B2217" s="222" t="s">
        <v>5778</v>
      </c>
      <c r="C2217" s="222" t="s">
        <v>4442</v>
      </c>
      <c r="D2217" s="430" t="s">
        <v>837</v>
      </c>
      <c r="E2217" s="107" t="str">
        <f>VLOOKUP(B2217&amp;C2217,Divipola!$C$2:$F$1138,4,FALSE)</f>
        <v>44078</v>
      </c>
      <c r="F2217" s="333"/>
      <c r="G2217" s="221"/>
      <c r="H2217" s="157"/>
      <c r="I2217" s="157"/>
      <c r="J2217" s="157">
        <f>39*5</f>
        <v>195</v>
      </c>
      <c r="K2217" s="157">
        <v>39</v>
      </c>
      <c r="L2217" s="157"/>
      <c r="M2217" s="157"/>
      <c r="N2217" s="157"/>
      <c r="O2217" s="157"/>
      <c r="P2217" s="157"/>
      <c r="Q2217" s="157"/>
      <c r="R2217" s="157"/>
      <c r="S2217" s="157"/>
      <c r="T2217" s="157"/>
      <c r="U2217" s="157"/>
      <c r="V2217" s="158"/>
      <c r="W2217" s="182"/>
      <c r="X2217" s="1"/>
      <c r="Y2217" s="78">
        <f t="shared" si="271"/>
        <v>0</v>
      </c>
      <c r="Z2217" s="78">
        <f t="shared" si="272"/>
        <v>0</v>
      </c>
      <c r="AA2217" s="78">
        <f t="shared" si="270"/>
        <v>0</v>
      </c>
      <c r="AB2217" s="78">
        <f t="shared" si="273"/>
        <v>0</v>
      </c>
      <c r="AC2217" s="78"/>
      <c r="AD2217" s="78">
        <v>0</v>
      </c>
      <c r="AE2217" s="80">
        <f t="shared" si="276"/>
        <v>0</v>
      </c>
      <c r="AF2217" s="82">
        <v>0</v>
      </c>
      <c r="AG2217" s="69"/>
      <c r="AH2217" s="84"/>
      <c r="AI2217" s="69" t="s">
        <v>1984</v>
      </c>
      <c r="AJ2217" s="25" t="s">
        <v>1985</v>
      </c>
      <c r="AK2217" s="65"/>
      <c r="AL2217" s="176" t="s">
        <v>1257</v>
      </c>
      <c r="AM2217" s="173" t="s">
        <v>457</v>
      </c>
      <c r="AN2217" s="159"/>
      <c r="AO2217" s="160"/>
      <c r="AP2217" s="161"/>
      <c r="AQ2217" s="160"/>
      <c r="AR2217" s="160"/>
      <c r="AS2217" s="160"/>
      <c r="AT2217" s="160"/>
      <c r="AU2217" s="160"/>
      <c r="AV2217" s="160"/>
      <c r="AW2217" s="160"/>
      <c r="AX2217" s="160"/>
      <c r="AY2217" s="160"/>
      <c r="AZ2217" s="160"/>
      <c r="BA2217" s="160"/>
      <c r="BB2217" s="160"/>
      <c r="BC2217" s="160"/>
      <c r="BD2217" s="160"/>
      <c r="BE2217" s="160"/>
      <c r="BF2217" s="160"/>
      <c r="BG2217" s="160"/>
      <c r="BH2217" s="160"/>
      <c r="BI2217" s="160"/>
      <c r="BJ2217" s="160"/>
      <c r="BK2217" s="160"/>
      <c r="BL2217" s="160"/>
      <c r="BM2217" s="160"/>
      <c r="BN2217" s="160"/>
      <c r="BO2217" s="160"/>
      <c r="BP2217" s="160"/>
      <c r="BQ2217" s="160"/>
      <c r="BR2217" s="160"/>
      <c r="BS2217" s="160"/>
      <c r="BT2217" s="160"/>
      <c r="BU2217" s="160"/>
      <c r="BV2217" s="160"/>
      <c r="BW2217" s="160"/>
      <c r="BX2217" s="160"/>
      <c r="BY2217" s="160"/>
      <c r="BZ2217" s="160"/>
      <c r="CA2217" s="160"/>
      <c r="CB2217" s="160"/>
      <c r="CC2217" s="160"/>
      <c r="CD2217" s="160"/>
      <c r="CE2217" s="160"/>
      <c r="CF2217" s="160"/>
      <c r="CG2217" s="160"/>
      <c r="CH2217" s="160"/>
      <c r="CI2217" s="160"/>
      <c r="CJ2217" s="160"/>
      <c r="CK2217" s="160"/>
      <c r="CL2217" s="160"/>
      <c r="CM2217" s="160"/>
      <c r="CN2217" s="160"/>
      <c r="CO2217" s="160"/>
      <c r="CP2217" s="162"/>
      <c r="CQ2217" s="163"/>
      <c r="CR2217" s="162"/>
      <c r="CS2217" s="163"/>
      <c r="CT2217" s="162"/>
      <c r="CU2217" s="163"/>
      <c r="CV2217" s="164">
        <f t="shared" si="274"/>
        <v>0</v>
      </c>
      <c r="CW2217" s="165"/>
      <c r="CX2217" s="166"/>
      <c r="CY2217" s="167"/>
      <c r="CZ2217" s="168"/>
      <c r="DA2217" s="169"/>
      <c r="DB2217" s="168"/>
      <c r="DC2217" s="165"/>
      <c r="DD2217" s="166"/>
      <c r="DE2217" s="71"/>
      <c r="DF2217" s="170"/>
      <c r="EO2217" s="375" t="str">
        <f t="shared" si="275"/>
        <v>LA GUAJIRA_BARRANCAS</v>
      </c>
      <c r="EP2217" s="376"/>
      <c r="EQ2217" s="376"/>
      <c r="ER2217" s="377"/>
      <c r="ES2217" s="376"/>
      <c r="ET2217" s="376"/>
      <c r="EU2217" s="376"/>
    </row>
    <row r="2218" spans="1:151" s="171" customFormat="1" ht="38.25" x14ac:dyDescent="0.2">
      <c r="A2218" s="242">
        <v>40527</v>
      </c>
      <c r="B2218" s="222" t="s">
        <v>1836</v>
      </c>
      <c r="C2218" s="222" t="s">
        <v>49</v>
      </c>
      <c r="D2218" s="430" t="s">
        <v>837</v>
      </c>
      <c r="E2218" s="107" t="str">
        <f>VLOOKUP(B2218&amp;C2218,Divipola!$C$2:$F$1138,4,FALSE)</f>
        <v>47460</v>
      </c>
      <c r="F2218" s="333"/>
      <c r="G2218" s="221"/>
      <c r="H2218" s="157"/>
      <c r="I2218" s="157"/>
      <c r="J2218" s="157">
        <v>695</v>
      </c>
      <c r="K2218" s="157">
        <v>139</v>
      </c>
      <c r="L2218" s="157">
        <v>1</v>
      </c>
      <c r="M2218" s="157">
        <v>9</v>
      </c>
      <c r="N2218" s="157"/>
      <c r="O2218" s="157"/>
      <c r="P2218" s="157"/>
      <c r="Q2218" s="157"/>
      <c r="R2218" s="157"/>
      <c r="S2218" s="157"/>
      <c r="T2218" s="157"/>
      <c r="U2218" s="157"/>
      <c r="V2218" s="158"/>
      <c r="W2218" s="182"/>
      <c r="X2218" s="1"/>
      <c r="Y2218" s="78">
        <f t="shared" si="271"/>
        <v>0</v>
      </c>
      <c r="Z2218" s="78">
        <f t="shared" si="272"/>
        <v>0</v>
      </c>
      <c r="AA2218" s="78">
        <f t="shared" si="270"/>
        <v>0</v>
      </c>
      <c r="AB2218" s="78">
        <f t="shared" si="273"/>
        <v>0</v>
      </c>
      <c r="AC2218" s="78"/>
      <c r="AD2218" s="78">
        <v>0</v>
      </c>
      <c r="AE2218" s="80">
        <f t="shared" si="276"/>
        <v>0</v>
      </c>
      <c r="AF2218" s="82">
        <v>0</v>
      </c>
      <c r="AG2218" s="69">
        <v>40527</v>
      </c>
      <c r="AH2218" s="84"/>
      <c r="AI2218" s="69" t="s">
        <v>1984</v>
      </c>
      <c r="AJ2218" s="25" t="s">
        <v>1985</v>
      </c>
      <c r="AK2218" s="65"/>
      <c r="AL2218" s="176" t="s">
        <v>1257</v>
      </c>
      <c r="AM2218" s="173" t="s">
        <v>50</v>
      </c>
      <c r="AN2218" s="159"/>
      <c r="AO2218" s="160"/>
      <c r="AP2218" s="161"/>
      <c r="AQ2218" s="160"/>
      <c r="AR2218" s="160"/>
      <c r="AS2218" s="160"/>
      <c r="AT2218" s="160"/>
      <c r="AU2218" s="160"/>
      <c r="AV2218" s="160"/>
      <c r="AW2218" s="160"/>
      <c r="AX2218" s="160"/>
      <c r="AY2218" s="160"/>
      <c r="AZ2218" s="160"/>
      <c r="BA2218" s="160"/>
      <c r="BB2218" s="160"/>
      <c r="BC2218" s="160"/>
      <c r="BD2218" s="160"/>
      <c r="BE2218" s="160"/>
      <c r="BF2218" s="160"/>
      <c r="BG2218" s="160"/>
      <c r="BH2218" s="160"/>
      <c r="BI2218" s="160"/>
      <c r="BJ2218" s="160"/>
      <c r="BK2218" s="160"/>
      <c r="BL2218" s="160"/>
      <c r="BM2218" s="160"/>
      <c r="BN2218" s="160"/>
      <c r="BO2218" s="160"/>
      <c r="BP2218" s="160"/>
      <c r="BQ2218" s="160"/>
      <c r="BR2218" s="160"/>
      <c r="BS2218" s="160"/>
      <c r="BT2218" s="160"/>
      <c r="BU2218" s="160"/>
      <c r="BV2218" s="160"/>
      <c r="BW2218" s="160"/>
      <c r="BX2218" s="160"/>
      <c r="BY2218" s="160"/>
      <c r="BZ2218" s="160"/>
      <c r="CA2218" s="160"/>
      <c r="CB2218" s="160"/>
      <c r="CC2218" s="160"/>
      <c r="CD2218" s="160"/>
      <c r="CE2218" s="160"/>
      <c r="CF2218" s="160"/>
      <c r="CG2218" s="160"/>
      <c r="CH2218" s="160"/>
      <c r="CI2218" s="160"/>
      <c r="CJ2218" s="160"/>
      <c r="CK2218" s="160"/>
      <c r="CL2218" s="160"/>
      <c r="CM2218" s="160"/>
      <c r="CN2218" s="160"/>
      <c r="CO2218" s="160"/>
      <c r="CP2218" s="162"/>
      <c r="CQ2218" s="163"/>
      <c r="CR2218" s="162"/>
      <c r="CS2218" s="163"/>
      <c r="CT2218" s="162"/>
      <c r="CU2218" s="163"/>
      <c r="CV2218" s="164">
        <f t="shared" si="274"/>
        <v>0</v>
      </c>
      <c r="CW2218" s="165"/>
      <c r="CX2218" s="166"/>
      <c r="CY2218" s="167"/>
      <c r="CZ2218" s="168"/>
      <c r="DA2218" s="169"/>
      <c r="DB2218" s="168"/>
      <c r="DC2218" s="165"/>
      <c r="DD2218" s="166"/>
      <c r="DE2218" s="71"/>
      <c r="DF2218" s="170"/>
      <c r="EO2218" s="375" t="str">
        <f t="shared" si="275"/>
        <v>MAGDALENA_NUEVA GRANADA</v>
      </c>
      <c r="EP2218" s="376"/>
      <c r="EQ2218" s="376"/>
      <c r="ER2218" s="377"/>
      <c r="ES2218" s="376"/>
      <c r="ET2218" s="376"/>
      <c r="EU2218" s="376"/>
    </row>
    <row r="2219" spans="1:151" s="171" customFormat="1" ht="38.25" x14ac:dyDescent="0.2">
      <c r="A2219" s="242">
        <v>40527</v>
      </c>
      <c r="B2219" s="222" t="s">
        <v>1836</v>
      </c>
      <c r="C2219" s="222" t="s">
        <v>4457</v>
      </c>
      <c r="D2219" s="430" t="s">
        <v>837</v>
      </c>
      <c r="E2219" s="107" t="str">
        <f>VLOOKUP(B2219&amp;C2219,Divipola!$C$2:$F$1138,4,FALSE)</f>
        <v>47570</v>
      </c>
      <c r="F2219" s="333"/>
      <c r="G2219" s="221"/>
      <c r="H2219" s="157"/>
      <c r="I2219" s="157"/>
      <c r="J2219" s="157">
        <f>22935-6000</f>
        <v>16935</v>
      </c>
      <c r="K2219" s="157">
        <f>4587-1200</f>
        <v>3387</v>
      </c>
      <c r="L2219" s="157"/>
      <c r="M2219" s="157">
        <v>553</v>
      </c>
      <c r="N2219" s="157"/>
      <c r="O2219" s="157"/>
      <c r="P2219" s="157"/>
      <c r="Q2219" s="157"/>
      <c r="R2219" s="157"/>
      <c r="S2219" s="157"/>
      <c r="T2219" s="157"/>
      <c r="U2219" s="157"/>
      <c r="V2219" s="158"/>
      <c r="W2219" s="182"/>
      <c r="X2219" s="1"/>
      <c r="Y2219" s="78">
        <f t="shared" si="271"/>
        <v>0</v>
      </c>
      <c r="Z2219" s="78">
        <f t="shared" si="272"/>
        <v>0</v>
      </c>
      <c r="AA2219" s="78">
        <f t="shared" si="270"/>
        <v>0</v>
      </c>
      <c r="AB2219" s="78">
        <f t="shared" si="273"/>
        <v>0</v>
      </c>
      <c r="AC2219" s="78"/>
      <c r="AD2219" s="78">
        <v>0</v>
      </c>
      <c r="AE2219" s="80">
        <f t="shared" si="276"/>
        <v>0</v>
      </c>
      <c r="AF2219" s="82">
        <v>0</v>
      </c>
      <c r="AG2219" s="69">
        <v>40527</v>
      </c>
      <c r="AH2219" s="84"/>
      <c r="AI2219" s="69" t="s">
        <v>1984</v>
      </c>
      <c r="AJ2219" s="25" t="s">
        <v>1985</v>
      </c>
      <c r="AK2219" s="65"/>
      <c r="AL2219" s="176" t="s">
        <v>1257</v>
      </c>
      <c r="AM2219" s="173" t="s">
        <v>56</v>
      </c>
      <c r="AN2219" s="159"/>
      <c r="AO2219" s="160"/>
      <c r="AP2219" s="161"/>
      <c r="AQ2219" s="160"/>
      <c r="AR2219" s="160"/>
      <c r="AS2219" s="160"/>
      <c r="AT2219" s="160"/>
      <c r="AU2219" s="160"/>
      <c r="AV2219" s="160"/>
      <c r="AW2219" s="160"/>
      <c r="AX2219" s="160"/>
      <c r="AY2219" s="160"/>
      <c r="AZ2219" s="160"/>
      <c r="BA2219" s="160"/>
      <c r="BB2219" s="160"/>
      <c r="BC2219" s="160"/>
      <c r="BD2219" s="160"/>
      <c r="BE2219" s="160"/>
      <c r="BF2219" s="160"/>
      <c r="BG2219" s="160"/>
      <c r="BH2219" s="160"/>
      <c r="BI2219" s="160"/>
      <c r="BJ2219" s="160"/>
      <c r="BK2219" s="160"/>
      <c r="BL2219" s="160"/>
      <c r="BM2219" s="160"/>
      <c r="BN2219" s="160"/>
      <c r="BO2219" s="160"/>
      <c r="BP2219" s="160"/>
      <c r="BQ2219" s="160"/>
      <c r="BR2219" s="160"/>
      <c r="BS2219" s="160"/>
      <c r="BT2219" s="160"/>
      <c r="BU2219" s="160"/>
      <c r="BV2219" s="160"/>
      <c r="BW2219" s="160"/>
      <c r="BX2219" s="160"/>
      <c r="BY2219" s="160"/>
      <c r="BZ2219" s="160"/>
      <c r="CA2219" s="160"/>
      <c r="CB2219" s="160"/>
      <c r="CC2219" s="160"/>
      <c r="CD2219" s="160"/>
      <c r="CE2219" s="160"/>
      <c r="CF2219" s="160"/>
      <c r="CG2219" s="160"/>
      <c r="CH2219" s="160"/>
      <c r="CI2219" s="160"/>
      <c r="CJ2219" s="160"/>
      <c r="CK2219" s="160"/>
      <c r="CL2219" s="160"/>
      <c r="CM2219" s="160"/>
      <c r="CN2219" s="160"/>
      <c r="CO2219" s="160"/>
      <c r="CP2219" s="162"/>
      <c r="CQ2219" s="163"/>
      <c r="CR2219" s="162"/>
      <c r="CS2219" s="163"/>
      <c r="CT2219" s="162"/>
      <c r="CU2219" s="163"/>
      <c r="CV2219" s="164">
        <f t="shared" si="274"/>
        <v>0</v>
      </c>
      <c r="CW2219" s="165"/>
      <c r="CX2219" s="166"/>
      <c r="CY2219" s="167"/>
      <c r="CZ2219" s="168"/>
      <c r="DA2219" s="169"/>
      <c r="DB2219" s="168"/>
      <c r="DC2219" s="165"/>
      <c r="DD2219" s="166"/>
      <c r="DE2219" s="71"/>
      <c r="DF2219" s="170"/>
      <c r="EO2219" s="375" t="str">
        <f t="shared" si="275"/>
        <v>MAGDALENA_PUEBLOVIEJO</v>
      </c>
      <c r="EP2219" s="376"/>
      <c r="EQ2219" s="376"/>
      <c r="ER2219" s="377"/>
      <c r="ES2219" s="376"/>
      <c r="ET2219" s="376"/>
      <c r="EU2219" s="376"/>
    </row>
    <row r="2220" spans="1:151" s="171" customFormat="1" ht="38.25" x14ac:dyDescent="0.2">
      <c r="A2220" s="242">
        <v>40527</v>
      </c>
      <c r="B2220" s="222" t="s">
        <v>708</v>
      </c>
      <c r="C2220" s="222" t="s">
        <v>1347</v>
      </c>
      <c r="D2220" s="430" t="s">
        <v>837</v>
      </c>
      <c r="E2220" s="107" t="str">
        <f>VLOOKUP(B2220&amp;C2220,Divipola!$C$2:$F$1138,4,FALSE)</f>
        <v>50150</v>
      </c>
      <c r="F2220" s="333"/>
      <c r="G2220" s="221">
        <v>1</v>
      </c>
      <c r="H2220" s="157"/>
      <c r="I2220" s="157"/>
      <c r="J2220" s="157">
        <v>46</v>
      </c>
      <c r="K2220" s="157">
        <v>10</v>
      </c>
      <c r="L2220" s="157"/>
      <c r="M2220" s="157"/>
      <c r="N2220" s="157"/>
      <c r="O2220" s="157"/>
      <c r="P2220" s="157"/>
      <c r="Q2220" s="157"/>
      <c r="R2220" s="157"/>
      <c r="S2220" s="157"/>
      <c r="T2220" s="157"/>
      <c r="U2220" s="157"/>
      <c r="V2220" s="158"/>
      <c r="W2220" s="182"/>
      <c r="X2220" s="1"/>
      <c r="Y2220" s="78">
        <f t="shared" si="271"/>
        <v>0</v>
      </c>
      <c r="Z2220" s="78">
        <f t="shared" si="272"/>
        <v>0</v>
      </c>
      <c r="AA2220" s="78">
        <f t="shared" si="270"/>
        <v>0</v>
      </c>
      <c r="AB2220" s="78">
        <f t="shared" si="273"/>
        <v>0</v>
      </c>
      <c r="AC2220" s="78"/>
      <c r="AD2220" s="78">
        <v>0</v>
      </c>
      <c r="AE2220" s="80">
        <f t="shared" si="276"/>
        <v>0</v>
      </c>
      <c r="AF2220" s="82">
        <v>0</v>
      </c>
      <c r="AG2220" s="69">
        <v>40624</v>
      </c>
      <c r="AH2220" s="84"/>
      <c r="AI2220" s="69" t="s">
        <v>1984</v>
      </c>
      <c r="AJ2220" s="25" t="s">
        <v>1985</v>
      </c>
      <c r="AK2220" s="65"/>
      <c r="AL2220" s="176" t="s">
        <v>1257</v>
      </c>
      <c r="AM2220" s="173" t="s">
        <v>457</v>
      </c>
      <c r="AN2220" s="159"/>
      <c r="AO2220" s="160"/>
      <c r="AP2220" s="161"/>
      <c r="AQ2220" s="160"/>
      <c r="AR2220" s="160"/>
      <c r="AS2220" s="160"/>
      <c r="AT2220" s="160"/>
      <c r="AU2220" s="160"/>
      <c r="AV2220" s="160"/>
      <c r="AW2220" s="160"/>
      <c r="AX2220" s="160"/>
      <c r="AY2220" s="160"/>
      <c r="AZ2220" s="160"/>
      <c r="BA2220" s="160"/>
      <c r="BB2220" s="160"/>
      <c r="BC2220" s="160"/>
      <c r="BD2220" s="160"/>
      <c r="BE2220" s="160"/>
      <c r="BF2220" s="160"/>
      <c r="BG2220" s="160"/>
      <c r="BH2220" s="160"/>
      <c r="BI2220" s="160"/>
      <c r="BJ2220" s="160"/>
      <c r="BK2220" s="160"/>
      <c r="BL2220" s="160"/>
      <c r="BM2220" s="160"/>
      <c r="BN2220" s="160"/>
      <c r="BO2220" s="160"/>
      <c r="BP2220" s="160"/>
      <c r="BQ2220" s="160"/>
      <c r="BR2220" s="160"/>
      <c r="BS2220" s="160"/>
      <c r="BT2220" s="160"/>
      <c r="BU2220" s="160"/>
      <c r="BV2220" s="160"/>
      <c r="BW2220" s="160"/>
      <c r="BX2220" s="160"/>
      <c r="BY2220" s="160"/>
      <c r="BZ2220" s="160"/>
      <c r="CA2220" s="160"/>
      <c r="CB2220" s="160"/>
      <c r="CC2220" s="160"/>
      <c r="CD2220" s="160"/>
      <c r="CE2220" s="160"/>
      <c r="CF2220" s="160"/>
      <c r="CG2220" s="160"/>
      <c r="CH2220" s="160"/>
      <c r="CI2220" s="160"/>
      <c r="CJ2220" s="160"/>
      <c r="CK2220" s="160"/>
      <c r="CL2220" s="160"/>
      <c r="CM2220" s="160"/>
      <c r="CN2220" s="160"/>
      <c r="CO2220" s="160"/>
      <c r="CP2220" s="162"/>
      <c r="CQ2220" s="163"/>
      <c r="CR2220" s="162"/>
      <c r="CS2220" s="163"/>
      <c r="CT2220" s="162"/>
      <c r="CU2220" s="163"/>
      <c r="CV2220" s="164">
        <f t="shared" si="274"/>
        <v>0</v>
      </c>
      <c r="CW2220" s="165"/>
      <c r="CX2220" s="166"/>
      <c r="CY2220" s="167"/>
      <c r="CZ2220" s="168"/>
      <c r="DA2220" s="169"/>
      <c r="DB2220" s="168"/>
      <c r="DC2220" s="165"/>
      <c r="DD2220" s="166"/>
      <c r="DE2220" s="71"/>
      <c r="DF2220" s="170"/>
      <c r="EO2220" s="375" t="str">
        <f t="shared" si="275"/>
        <v>META_CASTILLA LA NUEVA</v>
      </c>
      <c r="EP2220" s="376"/>
      <c r="EQ2220" s="376"/>
      <c r="ER2220" s="377"/>
      <c r="ES2220" s="376"/>
      <c r="ET2220" s="376"/>
      <c r="EU2220" s="376"/>
    </row>
    <row r="2221" spans="1:151" s="171" customFormat="1" ht="36" x14ac:dyDescent="0.2">
      <c r="A2221" s="242">
        <v>40527</v>
      </c>
      <c r="B2221" s="222" t="s">
        <v>708</v>
      </c>
      <c r="C2221" s="222" t="s">
        <v>438</v>
      </c>
      <c r="D2221" s="430" t="s">
        <v>2307</v>
      </c>
      <c r="E2221" s="107" t="str">
        <f>VLOOKUP(B2221&amp;C2221,Divipola!$C$2:$F$1138,4,FALSE)</f>
        <v>50270</v>
      </c>
      <c r="F2221" s="333"/>
      <c r="G2221" s="221"/>
      <c r="H2221" s="157"/>
      <c r="I2221" s="157"/>
      <c r="J2221" s="157"/>
      <c r="K2221" s="157"/>
      <c r="L2221" s="157"/>
      <c r="M2221" s="157"/>
      <c r="N2221" s="157">
        <v>1</v>
      </c>
      <c r="O2221" s="157"/>
      <c r="P2221" s="157"/>
      <c r="Q2221" s="157"/>
      <c r="R2221" s="157"/>
      <c r="S2221" s="157"/>
      <c r="T2221" s="157"/>
      <c r="U2221" s="157"/>
      <c r="V2221" s="158"/>
      <c r="W2221" s="182"/>
      <c r="X2221" s="1"/>
      <c r="Y2221" s="78">
        <f t="shared" si="271"/>
        <v>0</v>
      </c>
      <c r="Z2221" s="78">
        <f t="shared" si="272"/>
        <v>0</v>
      </c>
      <c r="AA2221" s="78">
        <f t="shared" si="270"/>
        <v>0</v>
      </c>
      <c r="AB2221" s="78">
        <f t="shared" si="273"/>
        <v>0</v>
      </c>
      <c r="AC2221" s="78"/>
      <c r="AD2221" s="78">
        <v>0</v>
      </c>
      <c r="AE2221" s="80">
        <f t="shared" si="276"/>
        <v>0</v>
      </c>
      <c r="AF2221" s="82">
        <v>0</v>
      </c>
      <c r="AG2221" s="69">
        <v>40597</v>
      </c>
      <c r="AH2221" s="84"/>
      <c r="AI2221" s="69" t="s">
        <v>1984</v>
      </c>
      <c r="AJ2221" s="25" t="s">
        <v>1985</v>
      </c>
      <c r="AK2221" s="65"/>
      <c r="AL2221" s="176" t="s">
        <v>1257</v>
      </c>
      <c r="AM2221" s="173" t="s">
        <v>440</v>
      </c>
      <c r="AN2221" s="159"/>
      <c r="AO2221" s="160"/>
      <c r="AP2221" s="161"/>
      <c r="AQ2221" s="160"/>
      <c r="AR2221" s="160"/>
      <c r="AS2221" s="160"/>
      <c r="AT2221" s="160"/>
      <c r="AU2221" s="160"/>
      <c r="AV2221" s="160"/>
      <c r="AW2221" s="160"/>
      <c r="AX2221" s="160"/>
      <c r="AY2221" s="160"/>
      <c r="AZ2221" s="160"/>
      <c r="BA2221" s="160"/>
      <c r="BB2221" s="160"/>
      <c r="BC2221" s="160"/>
      <c r="BD2221" s="160"/>
      <c r="BE2221" s="160"/>
      <c r="BF2221" s="160"/>
      <c r="BG2221" s="160"/>
      <c r="BH2221" s="160"/>
      <c r="BI2221" s="160"/>
      <c r="BJ2221" s="160"/>
      <c r="BK2221" s="160"/>
      <c r="BL2221" s="160"/>
      <c r="BM2221" s="160"/>
      <c r="BN2221" s="160"/>
      <c r="BO2221" s="160"/>
      <c r="BP2221" s="160"/>
      <c r="BQ2221" s="160"/>
      <c r="BR2221" s="160"/>
      <c r="BS2221" s="160"/>
      <c r="BT2221" s="160"/>
      <c r="BU2221" s="160"/>
      <c r="BV2221" s="160"/>
      <c r="BW2221" s="160"/>
      <c r="BX2221" s="160"/>
      <c r="BY2221" s="160"/>
      <c r="BZ2221" s="160"/>
      <c r="CA2221" s="160"/>
      <c r="CB2221" s="160"/>
      <c r="CC2221" s="160"/>
      <c r="CD2221" s="160"/>
      <c r="CE2221" s="160"/>
      <c r="CF2221" s="160"/>
      <c r="CG2221" s="160"/>
      <c r="CH2221" s="160"/>
      <c r="CI2221" s="160"/>
      <c r="CJ2221" s="160"/>
      <c r="CK2221" s="160"/>
      <c r="CL2221" s="160"/>
      <c r="CM2221" s="160"/>
      <c r="CN2221" s="160"/>
      <c r="CO2221" s="160"/>
      <c r="CP2221" s="162"/>
      <c r="CQ2221" s="163"/>
      <c r="CR2221" s="162"/>
      <c r="CS2221" s="163"/>
      <c r="CT2221" s="162"/>
      <c r="CU2221" s="163"/>
      <c r="CV2221" s="164">
        <f t="shared" si="274"/>
        <v>0</v>
      </c>
      <c r="CW2221" s="165"/>
      <c r="CX2221" s="166"/>
      <c r="CY2221" s="167"/>
      <c r="CZ2221" s="168"/>
      <c r="DA2221" s="169"/>
      <c r="DB2221" s="168"/>
      <c r="DC2221" s="165"/>
      <c r="DD2221" s="166"/>
      <c r="DE2221" s="71"/>
      <c r="DF2221" s="170"/>
      <c r="EO2221" s="375" t="str">
        <f t="shared" si="275"/>
        <v>META_EL DORADO</v>
      </c>
      <c r="EP2221" s="376"/>
      <c r="EQ2221" s="376"/>
      <c r="ER2221" s="377"/>
      <c r="ES2221" s="376"/>
      <c r="ET2221" s="376"/>
      <c r="EU2221" s="376"/>
    </row>
    <row r="2222" spans="1:151" s="171" customFormat="1" ht="48" x14ac:dyDescent="0.2">
      <c r="A2222" s="242">
        <v>40527</v>
      </c>
      <c r="B2222" s="222" t="s">
        <v>708</v>
      </c>
      <c r="C2222" s="222" t="s">
        <v>4472</v>
      </c>
      <c r="D2222" s="430" t="s">
        <v>837</v>
      </c>
      <c r="E2222" s="107" t="str">
        <f>VLOOKUP(B2222&amp;C2222,Divipola!$C$2:$F$1138,4,FALSE)</f>
        <v>50287</v>
      </c>
      <c r="F2222" s="333"/>
      <c r="G2222" s="221"/>
      <c r="H2222" s="157"/>
      <c r="I2222" s="157"/>
      <c r="J2222" s="157">
        <f>196*5</f>
        <v>980</v>
      </c>
      <c r="K2222" s="157">
        <v>196</v>
      </c>
      <c r="L2222" s="157"/>
      <c r="M2222" s="157">
        <v>196</v>
      </c>
      <c r="N2222" s="157">
        <v>2</v>
      </c>
      <c r="O2222" s="157"/>
      <c r="P2222" s="157"/>
      <c r="Q2222" s="157"/>
      <c r="R2222" s="157"/>
      <c r="S2222" s="157"/>
      <c r="T2222" s="157"/>
      <c r="U2222" s="157"/>
      <c r="V2222" s="158">
        <v>358</v>
      </c>
      <c r="W2222" s="182" t="s">
        <v>449</v>
      </c>
      <c r="X2222" s="1"/>
      <c r="Y2222" s="78">
        <f t="shared" si="271"/>
        <v>0</v>
      </c>
      <c r="Z2222" s="78">
        <f t="shared" si="272"/>
        <v>0</v>
      </c>
      <c r="AA2222" s="78">
        <f t="shared" si="270"/>
        <v>0</v>
      </c>
      <c r="AB2222" s="78">
        <f t="shared" si="273"/>
        <v>0</v>
      </c>
      <c r="AC2222" s="78"/>
      <c r="AD2222" s="78">
        <v>0</v>
      </c>
      <c r="AE2222" s="80">
        <f t="shared" si="276"/>
        <v>0</v>
      </c>
      <c r="AF2222" s="82">
        <v>0</v>
      </c>
      <c r="AG2222" s="69">
        <v>40597</v>
      </c>
      <c r="AH2222" s="84"/>
      <c r="AI2222" s="69" t="s">
        <v>1984</v>
      </c>
      <c r="AJ2222" s="25" t="s">
        <v>1985</v>
      </c>
      <c r="AK2222" s="65"/>
      <c r="AL2222" s="176" t="s">
        <v>1257</v>
      </c>
      <c r="AM2222" s="173" t="s">
        <v>448</v>
      </c>
      <c r="AN2222" s="159"/>
      <c r="AO2222" s="160"/>
      <c r="AP2222" s="161"/>
      <c r="AQ2222" s="160"/>
      <c r="AR2222" s="160"/>
      <c r="AS2222" s="160"/>
      <c r="AT2222" s="160"/>
      <c r="AU2222" s="160"/>
      <c r="AV2222" s="160"/>
      <c r="AW2222" s="160"/>
      <c r="AX2222" s="160"/>
      <c r="AY2222" s="160"/>
      <c r="AZ2222" s="160"/>
      <c r="BA2222" s="160"/>
      <c r="BB2222" s="160"/>
      <c r="BC2222" s="160"/>
      <c r="BD2222" s="160"/>
      <c r="BE2222" s="160"/>
      <c r="BF2222" s="160"/>
      <c r="BG2222" s="160"/>
      <c r="BH2222" s="160"/>
      <c r="BI2222" s="160"/>
      <c r="BJ2222" s="160"/>
      <c r="BK2222" s="160"/>
      <c r="BL2222" s="160"/>
      <c r="BM2222" s="160"/>
      <c r="BN2222" s="160"/>
      <c r="BO2222" s="160"/>
      <c r="BP2222" s="160"/>
      <c r="BQ2222" s="160"/>
      <c r="BR2222" s="160"/>
      <c r="BS2222" s="160"/>
      <c r="BT2222" s="160"/>
      <c r="BU2222" s="160"/>
      <c r="BV2222" s="160"/>
      <c r="BW2222" s="160"/>
      <c r="BX2222" s="160"/>
      <c r="BY2222" s="160"/>
      <c r="BZ2222" s="160"/>
      <c r="CA2222" s="160"/>
      <c r="CB2222" s="160"/>
      <c r="CC2222" s="160"/>
      <c r="CD2222" s="160"/>
      <c r="CE2222" s="160"/>
      <c r="CF2222" s="160"/>
      <c r="CG2222" s="160"/>
      <c r="CH2222" s="160"/>
      <c r="CI2222" s="160"/>
      <c r="CJ2222" s="160"/>
      <c r="CK2222" s="160"/>
      <c r="CL2222" s="160"/>
      <c r="CM2222" s="160"/>
      <c r="CN2222" s="160"/>
      <c r="CO2222" s="160"/>
      <c r="CP2222" s="162"/>
      <c r="CQ2222" s="163"/>
      <c r="CR2222" s="162"/>
      <c r="CS2222" s="163"/>
      <c r="CT2222" s="162"/>
      <c r="CU2222" s="163"/>
      <c r="CV2222" s="164">
        <f t="shared" si="274"/>
        <v>0</v>
      </c>
      <c r="CW2222" s="165"/>
      <c r="CX2222" s="166"/>
      <c r="CY2222" s="167"/>
      <c r="CZ2222" s="168"/>
      <c r="DA2222" s="169"/>
      <c r="DB2222" s="168"/>
      <c r="DC2222" s="165"/>
      <c r="DD2222" s="166"/>
      <c r="DE2222" s="71"/>
      <c r="DF2222" s="170"/>
      <c r="EO2222" s="375" t="str">
        <f t="shared" si="275"/>
        <v>META_FUENTE DE ORO</v>
      </c>
      <c r="EP2222" s="376"/>
      <c r="EQ2222" s="376"/>
      <c r="ER2222" s="377"/>
      <c r="ES2222" s="376"/>
      <c r="ET2222" s="376"/>
      <c r="EU2222" s="376"/>
    </row>
    <row r="2223" spans="1:151" s="171" customFormat="1" ht="25.5" x14ac:dyDescent="0.2">
      <c r="A2223" s="242">
        <v>40527</v>
      </c>
      <c r="B2223" s="222" t="s">
        <v>708</v>
      </c>
      <c r="C2223" s="222" t="s">
        <v>1882</v>
      </c>
      <c r="D2223" s="430" t="s">
        <v>837</v>
      </c>
      <c r="E2223" s="107" t="str">
        <f>VLOOKUP(B2223&amp;C2223,Divipola!$C$2:$F$1138,4,FALSE)</f>
        <v>50318</v>
      </c>
      <c r="F2223" s="333"/>
      <c r="G2223" s="221">
        <v>1</v>
      </c>
      <c r="H2223" s="157"/>
      <c r="I2223" s="157"/>
      <c r="J2223" s="157">
        <v>5</v>
      </c>
      <c r="K2223" s="157">
        <v>1</v>
      </c>
      <c r="L2223" s="157"/>
      <c r="M2223" s="157">
        <v>1</v>
      </c>
      <c r="N2223" s="157"/>
      <c r="O2223" s="157"/>
      <c r="P2223" s="157"/>
      <c r="Q2223" s="157"/>
      <c r="R2223" s="157"/>
      <c r="S2223" s="157"/>
      <c r="T2223" s="157"/>
      <c r="U2223" s="157"/>
      <c r="V2223" s="158"/>
      <c r="W2223" s="182"/>
      <c r="X2223" s="1"/>
      <c r="Y2223" s="78">
        <f t="shared" si="271"/>
        <v>0</v>
      </c>
      <c r="Z2223" s="78">
        <f t="shared" si="272"/>
        <v>0</v>
      </c>
      <c r="AA2223" s="78">
        <f t="shared" si="270"/>
        <v>0</v>
      </c>
      <c r="AB2223" s="78">
        <f t="shared" si="273"/>
        <v>0</v>
      </c>
      <c r="AC2223" s="78"/>
      <c r="AD2223" s="78">
        <v>0</v>
      </c>
      <c r="AE2223" s="80">
        <f t="shared" si="276"/>
        <v>0</v>
      </c>
      <c r="AF2223" s="82">
        <v>0</v>
      </c>
      <c r="AG2223" s="69">
        <v>40618</v>
      </c>
      <c r="AH2223" s="84"/>
      <c r="AI2223" s="69" t="s">
        <v>1984</v>
      </c>
      <c r="AJ2223" s="25" t="s">
        <v>1985</v>
      </c>
      <c r="AK2223" s="65"/>
      <c r="AL2223" s="176" t="s">
        <v>1257</v>
      </c>
      <c r="AM2223" s="173" t="s">
        <v>5786</v>
      </c>
      <c r="AN2223" s="159"/>
      <c r="AO2223" s="160"/>
      <c r="AP2223" s="161"/>
      <c r="AQ2223" s="160"/>
      <c r="AR2223" s="160"/>
      <c r="AS2223" s="160"/>
      <c r="AT2223" s="160"/>
      <c r="AU2223" s="160"/>
      <c r="AV2223" s="160"/>
      <c r="AW2223" s="160"/>
      <c r="AX2223" s="160"/>
      <c r="AY2223" s="160"/>
      <c r="AZ2223" s="160"/>
      <c r="BA2223" s="160"/>
      <c r="BB2223" s="160"/>
      <c r="BC2223" s="160"/>
      <c r="BD2223" s="160"/>
      <c r="BE2223" s="160"/>
      <c r="BF2223" s="160"/>
      <c r="BG2223" s="160"/>
      <c r="BH2223" s="160"/>
      <c r="BI2223" s="160"/>
      <c r="BJ2223" s="160"/>
      <c r="BK2223" s="160"/>
      <c r="BL2223" s="160"/>
      <c r="BM2223" s="160"/>
      <c r="BN2223" s="160"/>
      <c r="BO2223" s="160"/>
      <c r="BP2223" s="160"/>
      <c r="BQ2223" s="160"/>
      <c r="BR2223" s="160"/>
      <c r="BS2223" s="160"/>
      <c r="BT2223" s="160"/>
      <c r="BU2223" s="160"/>
      <c r="BV2223" s="160"/>
      <c r="BW2223" s="160"/>
      <c r="BX2223" s="160"/>
      <c r="BY2223" s="160"/>
      <c r="BZ2223" s="160"/>
      <c r="CA2223" s="160"/>
      <c r="CB2223" s="160"/>
      <c r="CC2223" s="160"/>
      <c r="CD2223" s="160"/>
      <c r="CE2223" s="160"/>
      <c r="CF2223" s="160"/>
      <c r="CG2223" s="160"/>
      <c r="CH2223" s="160"/>
      <c r="CI2223" s="160"/>
      <c r="CJ2223" s="160"/>
      <c r="CK2223" s="160"/>
      <c r="CL2223" s="160"/>
      <c r="CM2223" s="160"/>
      <c r="CN2223" s="160"/>
      <c r="CO2223" s="160"/>
      <c r="CP2223" s="162"/>
      <c r="CQ2223" s="163"/>
      <c r="CR2223" s="162"/>
      <c r="CS2223" s="163"/>
      <c r="CT2223" s="162"/>
      <c r="CU2223" s="163"/>
      <c r="CV2223" s="164">
        <f t="shared" si="274"/>
        <v>0</v>
      </c>
      <c r="CW2223" s="165"/>
      <c r="CX2223" s="166"/>
      <c r="CY2223" s="167"/>
      <c r="CZ2223" s="168"/>
      <c r="DA2223" s="169"/>
      <c r="DB2223" s="168"/>
      <c r="DC2223" s="165"/>
      <c r="DD2223" s="166"/>
      <c r="DE2223" s="71"/>
      <c r="DF2223" s="170"/>
      <c r="EO2223" s="375" t="str">
        <f t="shared" si="275"/>
        <v>META_GUAMAL</v>
      </c>
      <c r="EP2223" s="376"/>
      <c r="EQ2223" s="376"/>
      <c r="ER2223" s="377"/>
      <c r="ES2223" s="376"/>
      <c r="ET2223" s="376"/>
      <c r="EU2223" s="376"/>
    </row>
    <row r="2224" spans="1:151" s="171" customFormat="1" ht="48" x14ac:dyDescent="0.2">
      <c r="A2224" s="242">
        <v>40527</v>
      </c>
      <c r="B2224" s="222" t="s">
        <v>708</v>
      </c>
      <c r="C2224" s="222" t="s">
        <v>4474</v>
      </c>
      <c r="D2224" s="430" t="s">
        <v>2307</v>
      </c>
      <c r="E2224" s="107" t="str">
        <f>VLOOKUP(B2224&amp;C2224,Divipola!$C$2:$F$1138,4,FALSE)</f>
        <v>50350</v>
      </c>
      <c r="F2224" s="333"/>
      <c r="G2224" s="221"/>
      <c r="H2224" s="157"/>
      <c r="I2224" s="157"/>
      <c r="J2224" s="157"/>
      <c r="K2224" s="157"/>
      <c r="L2224" s="157"/>
      <c r="M2224" s="157"/>
      <c r="N2224" s="157">
        <v>2</v>
      </c>
      <c r="O2224" s="157"/>
      <c r="P2224" s="157"/>
      <c r="Q2224" s="157"/>
      <c r="R2224" s="157"/>
      <c r="S2224" s="157"/>
      <c r="T2224" s="157"/>
      <c r="U2224" s="157"/>
      <c r="V2224" s="158"/>
      <c r="W2224" s="182"/>
      <c r="X2224" s="1"/>
      <c r="Y2224" s="78">
        <f t="shared" si="271"/>
        <v>0</v>
      </c>
      <c r="Z2224" s="78">
        <f t="shared" si="272"/>
        <v>0</v>
      </c>
      <c r="AA2224" s="78">
        <f t="shared" si="270"/>
        <v>0</v>
      </c>
      <c r="AB2224" s="78">
        <f t="shared" si="273"/>
        <v>0</v>
      </c>
      <c r="AC2224" s="78"/>
      <c r="AD2224" s="78">
        <v>0</v>
      </c>
      <c r="AE2224" s="80">
        <f t="shared" si="276"/>
        <v>0</v>
      </c>
      <c r="AF2224" s="82">
        <v>0</v>
      </c>
      <c r="AG2224" s="69">
        <v>40597</v>
      </c>
      <c r="AH2224" s="84"/>
      <c r="AI2224" s="69" t="s">
        <v>1984</v>
      </c>
      <c r="AJ2224" s="25" t="s">
        <v>1985</v>
      </c>
      <c r="AK2224" s="65"/>
      <c r="AL2224" s="176" t="s">
        <v>1257</v>
      </c>
      <c r="AM2224" s="173" t="s">
        <v>445</v>
      </c>
      <c r="AN2224" s="159"/>
      <c r="AO2224" s="160"/>
      <c r="AP2224" s="161"/>
      <c r="AQ2224" s="160"/>
      <c r="AR2224" s="160"/>
      <c r="AS2224" s="160"/>
      <c r="AT2224" s="160"/>
      <c r="AU2224" s="160"/>
      <c r="AV2224" s="160"/>
      <c r="AW2224" s="160"/>
      <c r="AX2224" s="160"/>
      <c r="AY2224" s="160"/>
      <c r="AZ2224" s="160"/>
      <c r="BA2224" s="160"/>
      <c r="BB2224" s="160"/>
      <c r="BC2224" s="160"/>
      <c r="BD2224" s="160"/>
      <c r="BE2224" s="160"/>
      <c r="BF2224" s="160"/>
      <c r="BG2224" s="160"/>
      <c r="BH2224" s="160"/>
      <c r="BI2224" s="160"/>
      <c r="BJ2224" s="160"/>
      <c r="BK2224" s="160"/>
      <c r="BL2224" s="160"/>
      <c r="BM2224" s="160"/>
      <c r="BN2224" s="160"/>
      <c r="BO2224" s="160"/>
      <c r="BP2224" s="160"/>
      <c r="BQ2224" s="160"/>
      <c r="BR2224" s="160"/>
      <c r="BS2224" s="160"/>
      <c r="BT2224" s="160"/>
      <c r="BU2224" s="160"/>
      <c r="BV2224" s="160"/>
      <c r="BW2224" s="160"/>
      <c r="BX2224" s="160"/>
      <c r="BY2224" s="160"/>
      <c r="BZ2224" s="160"/>
      <c r="CA2224" s="160"/>
      <c r="CB2224" s="160"/>
      <c r="CC2224" s="160"/>
      <c r="CD2224" s="160"/>
      <c r="CE2224" s="160"/>
      <c r="CF2224" s="160"/>
      <c r="CG2224" s="160"/>
      <c r="CH2224" s="160"/>
      <c r="CI2224" s="160"/>
      <c r="CJ2224" s="160"/>
      <c r="CK2224" s="160"/>
      <c r="CL2224" s="160"/>
      <c r="CM2224" s="160"/>
      <c r="CN2224" s="160"/>
      <c r="CO2224" s="160"/>
      <c r="CP2224" s="162"/>
      <c r="CQ2224" s="163"/>
      <c r="CR2224" s="162"/>
      <c r="CS2224" s="163"/>
      <c r="CT2224" s="162"/>
      <c r="CU2224" s="163"/>
      <c r="CV2224" s="164">
        <f t="shared" si="274"/>
        <v>0</v>
      </c>
      <c r="CW2224" s="165"/>
      <c r="CX2224" s="166"/>
      <c r="CY2224" s="167"/>
      <c r="CZ2224" s="168"/>
      <c r="DA2224" s="169"/>
      <c r="DB2224" s="168"/>
      <c r="DC2224" s="165"/>
      <c r="DD2224" s="166"/>
      <c r="DE2224" s="71"/>
      <c r="DF2224" s="170"/>
      <c r="EO2224" s="375" t="str">
        <f t="shared" si="275"/>
        <v>META_LA MACARENA</v>
      </c>
      <c r="EP2224" s="376"/>
      <c r="EQ2224" s="376"/>
      <c r="ER2224" s="377"/>
      <c r="ES2224" s="376"/>
      <c r="ET2224" s="376"/>
      <c r="EU2224" s="376"/>
    </row>
    <row r="2225" spans="1:151" s="171" customFormat="1" ht="51" x14ac:dyDescent="0.2">
      <c r="A2225" s="242">
        <v>40527</v>
      </c>
      <c r="B2225" s="222" t="s">
        <v>708</v>
      </c>
      <c r="C2225" s="222" t="s">
        <v>437</v>
      </c>
      <c r="D2225" s="430" t="s">
        <v>837</v>
      </c>
      <c r="E2225" s="107" t="str">
        <f>VLOOKUP(B2225&amp;C2225,Divipola!$C$2:$F$1138,4,FALSE)</f>
        <v>50450</v>
      </c>
      <c r="F2225" s="333"/>
      <c r="G2225" s="221"/>
      <c r="H2225" s="157"/>
      <c r="I2225" s="157"/>
      <c r="J2225" s="157">
        <v>847</v>
      </c>
      <c r="K2225" s="157">
        <v>197</v>
      </c>
      <c r="L2225" s="157"/>
      <c r="M2225" s="157">
        <v>197</v>
      </c>
      <c r="N2225" s="157">
        <v>2</v>
      </c>
      <c r="O2225" s="157"/>
      <c r="P2225" s="157"/>
      <c r="Q2225" s="157"/>
      <c r="R2225" s="157"/>
      <c r="S2225" s="157"/>
      <c r="T2225" s="157"/>
      <c r="U2225" s="157"/>
      <c r="V2225" s="158"/>
      <c r="W2225" s="182" t="s">
        <v>2180</v>
      </c>
      <c r="X2225" s="1"/>
      <c r="Y2225" s="78">
        <f t="shared" si="271"/>
        <v>0</v>
      </c>
      <c r="Z2225" s="78">
        <f t="shared" si="272"/>
        <v>0</v>
      </c>
      <c r="AA2225" s="78">
        <f t="shared" si="270"/>
        <v>0</v>
      </c>
      <c r="AB2225" s="78">
        <f t="shared" si="273"/>
        <v>0</v>
      </c>
      <c r="AC2225" s="78"/>
      <c r="AD2225" s="78">
        <v>0</v>
      </c>
      <c r="AE2225" s="80">
        <f t="shared" si="276"/>
        <v>0</v>
      </c>
      <c r="AF2225" s="82">
        <v>0</v>
      </c>
      <c r="AG2225" s="69">
        <v>40597</v>
      </c>
      <c r="AH2225" s="84"/>
      <c r="AI2225" s="69" t="s">
        <v>1984</v>
      </c>
      <c r="AJ2225" s="25" t="s">
        <v>1985</v>
      </c>
      <c r="AK2225" s="65"/>
      <c r="AL2225" s="176" t="s">
        <v>1257</v>
      </c>
      <c r="AM2225" s="173" t="s">
        <v>439</v>
      </c>
      <c r="AN2225" s="159"/>
      <c r="AO2225" s="160"/>
      <c r="AP2225" s="161"/>
      <c r="AQ2225" s="160"/>
      <c r="AR2225" s="160"/>
      <c r="AS2225" s="160"/>
      <c r="AT2225" s="160"/>
      <c r="AU2225" s="160"/>
      <c r="AV2225" s="160"/>
      <c r="AW2225" s="160"/>
      <c r="AX2225" s="160"/>
      <c r="AY2225" s="160"/>
      <c r="AZ2225" s="160"/>
      <c r="BA2225" s="160"/>
      <c r="BB2225" s="160"/>
      <c r="BC2225" s="160"/>
      <c r="BD2225" s="160"/>
      <c r="BE2225" s="160"/>
      <c r="BF2225" s="160"/>
      <c r="BG2225" s="160"/>
      <c r="BH2225" s="160"/>
      <c r="BI2225" s="160"/>
      <c r="BJ2225" s="160"/>
      <c r="BK2225" s="160"/>
      <c r="BL2225" s="160"/>
      <c r="BM2225" s="160"/>
      <c r="BN2225" s="160"/>
      <c r="BO2225" s="160"/>
      <c r="BP2225" s="160"/>
      <c r="BQ2225" s="160"/>
      <c r="BR2225" s="160"/>
      <c r="BS2225" s="160"/>
      <c r="BT2225" s="160"/>
      <c r="BU2225" s="160"/>
      <c r="BV2225" s="160"/>
      <c r="BW2225" s="160"/>
      <c r="BX2225" s="160"/>
      <c r="BY2225" s="160"/>
      <c r="BZ2225" s="160"/>
      <c r="CA2225" s="160"/>
      <c r="CB2225" s="160"/>
      <c r="CC2225" s="160"/>
      <c r="CD2225" s="160"/>
      <c r="CE2225" s="160"/>
      <c r="CF2225" s="160"/>
      <c r="CG2225" s="160"/>
      <c r="CH2225" s="160"/>
      <c r="CI2225" s="160"/>
      <c r="CJ2225" s="160"/>
      <c r="CK2225" s="160"/>
      <c r="CL2225" s="160"/>
      <c r="CM2225" s="160"/>
      <c r="CN2225" s="160"/>
      <c r="CO2225" s="160"/>
      <c r="CP2225" s="162"/>
      <c r="CQ2225" s="163"/>
      <c r="CR2225" s="162"/>
      <c r="CS2225" s="163"/>
      <c r="CT2225" s="162"/>
      <c r="CU2225" s="163"/>
      <c r="CV2225" s="164">
        <f t="shared" si="274"/>
        <v>0</v>
      </c>
      <c r="CW2225" s="165"/>
      <c r="CX2225" s="166"/>
      <c r="CY2225" s="167"/>
      <c r="CZ2225" s="168"/>
      <c r="DA2225" s="169"/>
      <c r="DB2225" s="168"/>
      <c r="DC2225" s="165"/>
      <c r="DD2225" s="166"/>
      <c r="DE2225" s="71"/>
      <c r="DF2225" s="170"/>
      <c r="EO2225" s="375" t="str">
        <f t="shared" si="275"/>
        <v>META_PUERTO CONCORDIA</v>
      </c>
      <c r="EP2225" s="376"/>
      <c r="EQ2225" s="376"/>
      <c r="ER2225" s="377"/>
      <c r="ES2225" s="376"/>
      <c r="ET2225" s="376"/>
      <c r="EU2225" s="376"/>
    </row>
    <row r="2226" spans="1:151" s="171" customFormat="1" ht="25.5" x14ac:dyDescent="0.2">
      <c r="A2226" s="246">
        <v>40527</v>
      </c>
      <c r="B2226" s="280" t="s">
        <v>2245</v>
      </c>
      <c r="C2226" s="280" t="s">
        <v>556</v>
      </c>
      <c r="D2226" s="432" t="s">
        <v>837</v>
      </c>
      <c r="E2226" s="107" t="str">
        <f>VLOOKUP(B2226&amp;C2226,Divipola!$C$2:$F$1138,4,FALSE)</f>
        <v>52019</v>
      </c>
      <c r="F2226" s="337"/>
      <c r="G2226" s="325"/>
      <c r="H2226" s="299"/>
      <c r="I2226" s="299"/>
      <c r="J2226" s="299">
        <v>3222</v>
      </c>
      <c r="K2226" s="299">
        <v>3222</v>
      </c>
      <c r="L2226" s="299"/>
      <c r="M2226" s="299"/>
      <c r="N2226" s="299"/>
      <c r="O2226" s="299"/>
      <c r="P2226" s="299"/>
      <c r="Q2226" s="299"/>
      <c r="R2226" s="299"/>
      <c r="S2226" s="299"/>
      <c r="T2226" s="299"/>
      <c r="U2226" s="299"/>
      <c r="V2226" s="300">
        <v>3301.4</v>
      </c>
      <c r="W2226" s="301" t="s">
        <v>3879</v>
      </c>
      <c r="X2226" s="302"/>
      <c r="Y2226" s="303">
        <f t="shared" si="271"/>
        <v>0</v>
      </c>
      <c r="Z2226" s="303">
        <f t="shared" si="272"/>
        <v>0</v>
      </c>
      <c r="AA2226" s="303">
        <f t="shared" si="270"/>
        <v>0</v>
      </c>
      <c r="AB2226" s="303">
        <f t="shared" si="273"/>
        <v>0</v>
      </c>
      <c r="AC2226" s="303"/>
      <c r="AD2226" s="303">
        <v>0</v>
      </c>
      <c r="AE2226" s="304">
        <f t="shared" si="276"/>
        <v>0</v>
      </c>
      <c r="AF2226" s="305">
        <v>0</v>
      </c>
      <c r="AG2226" s="306">
        <v>40617</v>
      </c>
      <c r="AH2226" s="307"/>
      <c r="AI2226" s="306" t="s">
        <v>1984</v>
      </c>
      <c r="AJ2226" s="308" t="s">
        <v>1985</v>
      </c>
      <c r="AK2226" s="309"/>
      <c r="AL2226" s="310" t="s">
        <v>1257</v>
      </c>
      <c r="AM2226" s="311" t="s">
        <v>3880</v>
      </c>
      <c r="AN2226" s="312"/>
      <c r="AO2226" s="313"/>
      <c r="AP2226" s="314"/>
      <c r="AQ2226" s="313"/>
      <c r="AR2226" s="313"/>
      <c r="AS2226" s="313"/>
      <c r="AT2226" s="313"/>
      <c r="AU2226" s="313"/>
      <c r="AV2226" s="313"/>
      <c r="AW2226" s="313"/>
      <c r="AX2226" s="313"/>
      <c r="AY2226" s="313"/>
      <c r="AZ2226" s="313"/>
      <c r="BA2226" s="313"/>
      <c r="BB2226" s="313"/>
      <c r="BC2226" s="313"/>
      <c r="BD2226" s="313"/>
      <c r="BE2226" s="313"/>
      <c r="BF2226" s="313"/>
      <c r="BG2226" s="313"/>
      <c r="BH2226" s="313"/>
      <c r="BI2226" s="313"/>
      <c r="BJ2226" s="313"/>
      <c r="BK2226" s="313"/>
      <c r="BL2226" s="313"/>
      <c r="BM2226" s="313"/>
      <c r="BN2226" s="313"/>
      <c r="BO2226" s="313"/>
      <c r="BP2226" s="313"/>
      <c r="BQ2226" s="313"/>
      <c r="BR2226" s="313"/>
      <c r="BS2226" s="313"/>
      <c r="BT2226" s="313"/>
      <c r="BU2226" s="313"/>
      <c r="BV2226" s="313"/>
      <c r="BW2226" s="313"/>
      <c r="BX2226" s="313"/>
      <c r="BY2226" s="313"/>
      <c r="BZ2226" s="313"/>
      <c r="CA2226" s="313"/>
      <c r="CB2226" s="313"/>
      <c r="CC2226" s="313"/>
      <c r="CD2226" s="313"/>
      <c r="CE2226" s="313"/>
      <c r="CF2226" s="313"/>
      <c r="CG2226" s="313"/>
      <c r="CH2226" s="313"/>
      <c r="CI2226" s="313"/>
      <c r="CJ2226" s="313"/>
      <c r="CK2226" s="313"/>
      <c r="CL2226" s="313"/>
      <c r="CM2226" s="313"/>
      <c r="CN2226" s="313"/>
      <c r="CO2226" s="313"/>
      <c r="CP2226" s="315"/>
      <c r="CQ2226" s="316"/>
      <c r="CR2226" s="315"/>
      <c r="CS2226" s="316"/>
      <c r="CT2226" s="315"/>
      <c r="CU2226" s="316"/>
      <c r="CV2226" s="317">
        <f t="shared" si="274"/>
        <v>0</v>
      </c>
      <c r="CW2226" s="318"/>
      <c r="CX2226" s="319"/>
      <c r="CY2226" s="320"/>
      <c r="CZ2226" s="321"/>
      <c r="DA2226" s="322"/>
      <c r="DB2226" s="321"/>
      <c r="DC2226" s="318"/>
      <c r="DD2226" s="319"/>
      <c r="DE2226" s="323"/>
      <c r="DF2226" s="324"/>
      <c r="EO2226" s="375" t="str">
        <f t="shared" si="275"/>
        <v>NARIÑO_ALBAN</v>
      </c>
      <c r="EP2226" s="376"/>
      <c r="EQ2226" s="376"/>
      <c r="ER2226" s="377"/>
      <c r="ES2226" s="376"/>
      <c r="ET2226" s="376"/>
      <c r="EU2226" s="376"/>
    </row>
    <row r="2227" spans="1:151" s="171" customFormat="1" ht="25.5" x14ac:dyDescent="0.2">
      <c r="A2227" s="242">
        <v>40527</v>
      </c>
      <c r="B2227" s="222" t="s">
        <v>2245</v>
      </c>
      <c r="C2227" s="222" t="s">
        <v>2501</v>
      </c>
      <c r="D2227" s="430" t="s">
        <v>837</v>
      </c>
      <c r="E2227" s="107" t="str">
        <f>VLOOKUP(B2227&amp;C2227,Divipola!$C$2:$F$1138,4,FALSE)</f>
        <v>52036</v>
      </c>
      <c r="F2227" s="333"/>
      <c r="G2227" s="221"/>
      <c r="H2227" s="157"/>
      <c r="I2227" s="157"/>
      <c r="J2227" s="157">
        <v>335</v>
      </c>
      <c r="K2227" s="157">
        <v>335</v>
      </c>
      <c r="L2227" s="157"/>
      <c r="M2227" s="157"/>
      <c r="N2227" s="157"/>
      <c r="O2227" s="157"/>
      <c r="P2227" s="157"/>
      <c r="Q2227" s="157"/>
      <c r="R2227" s="157"/>
      <c r="S2227" s="157"/>
      <c r="T2227" s="157"/>
      <c r="U2227" s="157"/>
      <c r="V2227" s="158">
        <v>413.45</v>
      </c>
      <c r="W2227" s="301" t="s">
        <v>3879</v>
      </c>
      <c r="X2227" s="1"/>
      <c r="Y2227" s="78">
        <f t="shared" si="271"/>
        <v>0</v>
      </c>
      <c r="Z2227" s="78">
        <f t="shared" si="272"/>
        <v>0</v>
      </c>
      <c r="AA2227" s="78">
        <f t="shared" si="270"/>
        <v>0</v>
      </c>
      <c r="AB2227" s="78">
        <f t="shared" si="273"/>
        <v>0</v>
      </c>
      <c r="AC2227" s="78"/>
      <c r="AD2227" s="78">
        <v>0</v>
      </c>
      <c r="AE2227" s="80">
        <f t="shared" si="276"/>
        <v>0</v>
      </c>
      <c r="AF2227" s="82">
        <v>0</v>
      </c>
      <c r="AG2227" s="295">
        <v>40617</v>
      </c>
      <c r="AH2227" s="296"/>
      <c r="AI2227" s="295" t="s">
        <v>1984</v>
      </c>
      <c r="AJ2227" s="297" t="s">
        <v>1985</v>
      </c>
      <c r="AK2227" s="298"/>
      <c r="AL2227" s="310" t="s">
        <v>1257</v>
      </c>
      <c r="AM2227" s="311" t="s">
        <v>3880</v>
      </c>
      <c r="AN2227" s="159"/>
      <c r="AO2227" s="160"/>
      <c r="AP2227" s="161"/>
      <c r="AQ2227" s="160"/>
      <c r="AR2227" s="160"/>
      <c r="AS2227" s="160"/>
      <c r="AT2227" s="160"/>
      <c r="AU2227" s="160"/>
      <c r="AV2227" s="160"/>
      <c r="AW2227" s="160"/>
      <c r="AX2227" s="160"/>
      <c r="AY2227" s="160"/>
      <c r="AZ2227" s="160"/>
      <c r="BA2227" s="160"/>
      <c r="BB2227" s="160"/>
      <c r="BC2227" s="160"/>
      <c r="BD2227" s="160"/>
      <c r="BE2227" s="160"/>
      <c r="BF2227" s="160"/>
      <c r="BG2227" s="160"/>
      <c r="BH2227" s="160"/>
      <c r="BI2227" s="160"/>
      <c r="BJ2227" s="160"/>
      <c r="BK2227" s="160"/>
      <c r="BL2227" s="160"/>
      <c r="BM2227" s="160"/>
      <c r="BN2227" s="160"/>
      <c r="BO2227" s="160"/>
      <c r="BP2227" s="160"/>
      <c r="BQ2227" s="160"/>
      <c r="BR2227" s="160"/>
      <c r="BS2227" s="160"/>
      <c r="BT2227" s="160"/>
      <c r="BU2227" s="160"/>
      <c r="BV2227" s="160"/>
      <c r="BW2227" s="160"/>
      <c r="BX2227" s="160"/>
      <c r="BY2227" s="160"/>
      <c r="BZ2227" s="160"/>
      <c r="CA2227" s="160"/>
      <c r="CB2227" s="160"/>
      <c r="CC2227" s="160"/>
      <c r="CD2227" s="160"/>
      <c r="CE2227" s="160"/>
      <c r="CF2227" s="160"/>
      <c r="CG2227" s="160"/>
      <c r="CH2227" s="160"/>
      <c r="CI2227" s="160"/>
      <c r="CJ2227" s="160"/>
      <c r="CK2227" s="160"/>
      <c r="CL2227" s="160"/>
      <c r="CM2227" s="160"/>
      <c r="CN2227" s="160"/>
      <c r="CO2227" s="160"/>
      <c r="CP2227" s="162"/>
      <c r="CQ2227" s="163"/>
      <c r="CR2227" s="162"/>
      <c r="CS2227" s="163"/>
      <c r="CT2227" s="162"/>
      <c r="CU2227" s="163"/>
      <c r="CV2227" s="164">
        <f t="shared" si="274"/>
        <v>0</v>
      </c>
      <c r="CW2227" s="165"/>
      <c r="CX2227" s="166"/>
      <c r="CY2227" s="167"/>
      <c r="CZ2227" s="168"/>
      <c r="DA2227" s="169"/>
      <c r="DB2227" s="168"/>
      <c r="DC2227" s="165"/>
      <c r="DD2227" s="166"/>
      <c r="DE2227" s="71"/>
      <c r="DF2227" s="170"/>
      <c r="EO2227" s="375" t="str">
        <f t="shared" si="275"/>
        <v>NARIÑO_ANCUYA</v>
      </c>
      <c r="EP2227" s="376"/>
      <c r="EQ2227" s="376"/>
      <c r="ER2227" s="377"/>
      <c r="ES2227" s="376"/>
      <c r="ET2227" s="376"/>
      <c r="EU2227" s="376"/>
    </row>
    <row r="2228" spans="1:151" s="171" customFormat="1" ht="25.5" x14ac:dyDescent="0.2">
      <c r="A2228" s="242">
        <v>40527</v>
      </c>
      <c r="B2228" s="222" t="s">
        <v>2245</v>
      </c>
      <c r="C2228" s="222" t="s">
        <v>2919</v>
      </c>
      <c r="D2228" s="430" t="s">
        <v>837</v>
      </c>
      <c r="E2228" s="107" t="str">
        <f>VLOOKUP(B2228&amp;C2228,Divipola!$C$2:$F$1138,4,FALSE)</f>
        <v>52051</v>
      </c>
      <c r="F2228" s="333"/>
      <c r="G2228" s="221"/>
      <c r="H2228" s="157"/>
      <c r="I2228" s="157"/>
      <c r="J2228" s="157">
        <v>1102</v>
      </c>
      <c r="K2228" s="157">
        <v>1102</v>
      </c>
      <c r="L2228" s="157"/>
      <c r="M2228" s="157"/>
      <c r="N2228" s="157"/>
      <c r="O2228" s="157"/>
      <c r="P2228" s="157"/>
      <c r="Q2228" s="157"/>
      <c r="R2228" s="157"/>
      <c r="S2228" s="157"/>
      <c r="T2228" s="157"/>
      <c r="U2228" s="157"/>
      <c r="V2228" s="158">
        <v>1684</v>
      </c>
      <c r="W2228" s="301" t="s">
        <v>3879</v>
      </c>
      <c r="X2228" s="1"/>
      <c r="Y2228" s="78">
        <f t="shared" si="271"/>
        <v>0</v>
      </c>
      <c r="Z2228" s="78">
        <f t="shared" si="272"/>
        <v>0</v>
      </c>
      <c r="AA2228" s="78">
        <f t="shared" si="270"/>
        <v>0</v>
      </c>
      <c r="AB2228" s="78">
        <f t="shared" si="273"/>
        <v>0</v>
      </c>
      <c r="AC2228" s="78"/>
      <c r="AD2228" s="78">
        <v>0</v>
      </c>
      <c r="AE2228" s="80">
        <f t="shared" si="276"/>
        <v>0</v>
      </c>
      <c r="AF2228" s="82">
        <v>0</v>
      </c>
      <c r="AG2228" s="295">
        <v>40617</v>
      </c>
      <c r="AH2228" s="296"/>
      <c r="AI2228" s="295" t="s">
        <v>1984</v>
      </c>
      <c r="AJ2228" s="297" t="s">
        <v>1985</v>
      </c>
      <c r="AK2228" s="298"/>
      <c r="AL2228" s="310" t="s">
        <v>1257</v>
      </c>
      <c r="AM2228" s="311" t="s">
        <v>3880</v>
      </c>
      <c r="AN2228" s="159"/>
      <c r="AO2228" s="160"/>
      <c r="AP2228" s="161"/>
      <c r="AQ2228" s="160"/>
      <c r="AR2228" s="160"/>
      <c r="AS2228" s="160"/>
      <c r="AT2228" s="160"/>
      <c r="AU2228" s="160"/>
      <c r="AV2228" s="160"/>
      <c r="AW2228" s="160"/>
      <c r="AX2228" s="160"/>
      <c r="AY2228" s="160"/>
      <c r="AZ2228" s="160"/>
      <c r="BA2228" s="160"/>
      <c r="BB2228" s="160"/>
      <c r="BC2228" s="160"/>
      <c r="BD2228" s="160"/>
      <c r="BE2228" s="160"/>
      <c r="BF2228" s="160"/>
      <c r="BG2228" s="160"/>
      <c r="BH2228" s="160"/>
      <c r="BI2228" s="160"/>
      <c r="BJ2228" s="160"/>
      <c r="BK2228" s="160"/>
      <c r="BL2228" s="160"/>
      <c r="BM2228" s="160"/>
      <c r="BN2228" s="160"/>
      <c r="BO2228" s="160"/>
      <c r="BP2228" s="160"/>
      <c r="BQ2228" s="160"/>
      <c r="BR2228" s="160"/>
      <c r="BS2228" s="160"/>
      <c r="BT2228" s="160"/>
      <c r="BU2228" s="160"/>
      <c r="BV2228" s="160"/>
      <c r="BW2228" s="160"/>
      <c r="BX2228" s="160"/>
      <c r="BY2228" s="160"/>
      <c r="BZ2228" s="160"/>
      <c r="CA2228" s="160"/>
      <c r="CB2228" s="160"/>
      <c r="CC2228" s="160"/>
      <c r="CD2228" s="160"/>
      <c r="CE2228" s="160"/>
      <c r="CF2228" s="160"/>
      <c r="CG2228" s="160"/>
      <c r="CH2228" s="160"/>
      <c r="CI2228" s="160"/>
      <c r="CJ2228" s="160"/>
      <c r="CK2228" s="160"/>
      <c r="CL2228" s="160"/>
      <c r="CM2228" s="160"/>
      <c r="CN2228" s="160"/>
      <c r="CO2228" s="160"/>
      <c r="CP2228" s="162"/>
      <c r="CQ2228" s="163"/>
      <c r="CR2228" s="162"/>
      <c r="CS2228" s="163"/>
      <c r="CT2228" s="162"/>
      <c r="CU2228" s="163"/>
      <c r="CV2228" s="164">
        <f t="shared" si="274"/>
        <v>0</v>
      </c>
      <c r="CW2228" s="165"/>
      <c r="CX2228" s="166"/>
      <c r="CY2228" s="167"/>
      <c r="CZ2228" s="168"/>
      <c r="DA2228" s="169"/>
      <c r="DB2228" s="168"/>
      <c r="DC2228" s="165"/>
      <c r="DD2228" s="166"/>
      <c r="DE2228" s="71"/>
      <c r="DF2228" s="170"/>
      <c r="EO2228" s="375" t="str">
        <f t="shared" si="275"/>
        <v>NARIÑO_ARBOLEDA</v>
      </c>
      <c r="EP2228" s="376"/>
      <c r="EQ2228" s="376"/>
      <c r="ER2228" s="377"/>
      <c r="ES2228" s="376"/>
      <c r="ET2228" s="376"/>
      <c r="EU2228" s="376"/>
    </row>
    <row r="2229" spans="1:151" s="171" customFormat="1" ht="25.5" x14ac:dyDescent="0.2">
      <c r="A2229" s="242">
        <v>40527</v>
      </c>
      <c r="B2229" s="222" t="s">
        <v>2245</v>
      </c>
      <c r="C2229" s="222" t="s">
        <v>893</v>
      </c>
      <c r="D2229" s="430" t="s">
        <v>837</v>
      </c>
      <c r="E2229" s="107" t="str">
        <f>VLOOKUP(B2229&amp;C2229,Divipola!$C$2:$F$1138,4,FALSE)</f>
        <v>52079</v>
      </c>
      <c r="F2229" s="333"/>
      <c r="G2229" s="221"/>
      <c r="H2229" s="157"/>
      <c r="I2229" s="157"/>
      <c r="J2229" s="157">
        <v>388</v>
      </c>
      <c r="K2229" s="157">
        <v>388</v>
      </c>
      <c r="L2229" s="157"/>
      <c r="M2229" s="157"/>
      <c r="N2229" s="157"/>
      <c r="O2229" s="157"/>
      <c r="P2229" s="157"/>
      <c r="Q2229" s="157"/>
      <c r="R2229" s="157"/>
      <c r="S2229" s="157"/>
      <c r="T2229" s="157"/>
      <c r="U2229" s="157"/>
      <c r="V2229" s="158">
        <v>447.3</v>
      </c>
      <c r="W2229" s="301" t="s">
        <v>3879</v>
      </c>
      <c r="X2229" s="1"/>
      <c r="Y2229" s="78">
        <f t="shared" si="271"/>
        <v>0</v>
      </c>
      <c r="Z2229" s="78">
        <f t="shared" si="272"/>
        <v>0</v>
      </c>
      <c r="AA2229" s="78">
        <f t="shared" ref="AA2229:AA2292" si="277">DB2229+DD2229</f>
        <v>0</v>
      </c>
      <c r="AB2229" s="78">
        <f t="shared" si="273"/>
        <v>0</v>
      </c>
      <c r="AC2229" s="78"/>
      <c r="AD2229" s="78">
        <v>0</v>
      </c>
      <c r="AE2229" s="80">
        <f t="shared" si="276"/>
        <v>0</v>
      </c>
      <c r="AF2229" s="82">
        <v>0</v>
      </c>
      <c r="AG2229" s="295">
        <v>40617</v>
      </c>
      <c r="AH2229" s="296"/>
      <c r="AI2229" s="295" t="s">
        <v>1984</v>
      </c>
      <c r="AJ2229" s="297" t="s">
        <v>1985</v>
      </c>
      <c r="AK2229" s="298"/>
      <c r="AL2229" s="310" t="s">
        <v>1257</v>
      </c>
      <c r="AM2229" s="311" t="s">
        <v>3880</v>
      </c>
      <c r="AN2229" s="159"/>
      <c r="AO2229" s="160"/>
      <c r="AP2229" s="161"/>
      <c r="AQ2229" s="160"/>
      <c r="AR2229" s="160"/>
      <c r="AS2229" s="160"/>
      <c r="AT2229" s="160"/>
      <c r="AU2229" s="160"/>
      <c r="AV2229" s="160"/>
      <c r="AW2229" s="160"/>
      <c r="AX2229" s="160"/>
      <c r="AY2229" s="160"/>
      <c r="AZ2229" s="160"/>
      <c r="BA2229" s="160"/>
      <c r="BB2229" s="160"/>
      <c r="BC2229" s="160"/>
      <c r="BD2229" s="160"/>
      <c r="BE2229" s="160"/>
      <c r="BF2229" s="160"/>
      <c r="BG2229" s="160"/>
      <c r="BH2229" s="160"/>
      <c r="BI2229" s="160"/>
      <c r="BJ2229" s="160"/>
      <c r="BK2229" s="160"/>
      <c r="BL2229" s="160"/>
      <c r="BM2229" s="160"/>
      <c r="BN2229" s="160"/>
      <c r="BO2229" s="160"/>
      <c r="BP2229" s="160"/>
      <c r="BQ2229" s="160"/>
      <c r="BR2229" s="160"/>
      <c r="BS2229" s="160"/>
      <c r="BT2229" s="160"/>
      <c r="BU2229" s="160"/>
      <c r="BV2229" s="160"/>
      <c r="BW2229" s="160"/>
      <c r="BX2229" s="160"/>
      <c r="BY2229" s="160"/>
      <c r="BZ2229" s="160"/>
      <c r="CA2229" s="160"/>
      <c r="CB2229" s="160"/>
      <c r="CC2229" s="160"/>
      <c r="CD2229" s="160"/>
      <c r="CE2229" s="160"/>
      <c r="CF2229" s="160"/>
      <c r="CG2229" s="160"/>
      <c r="CH2229" s="160"/>
      <c r="CI2229" s="160"/>
      <c r="CJ2229" s="160"/>
      <c r="CK2229" s="160"/>
      <c r="CL2229" s="160"/>
      <c r="CM2229" s="160"/>
      <c r="CN2229" s="160"/>
      <c r="CO2229" s="160"/>
      <c r="CP2229" s="162"/>
      <c r="CQ2229" s="163"/>
      <c r="CR2229" s="162"/>
      <c r="CS2229" s="163"/>
      <c r="CT2229" s="162"/>
      <c r="CU2229" s="163"/>
      <c r="CV2229" s="164">
        <f t="shared" si="274"/>
        <v>0</v>
      </c>
      <c r="CW2229" s="165"/>
      <c r="CX2229" s="166"/>
      <c r="CY2229" s="167"/>
      <c r="CZ2229" s="168"/>
      <c r="DA2229" s="169"/>
      <c r="DB2229" s="168"/>
      <c r="DC2229" s="165"/>
      <c r="DD2229" s="166"/>
      <c r="DE2229" s="71"/>
      <c r="DF2229" s="170"/>
      <c r="EO2229" s="375" t="str">
        <f t="shared" si="275"/>
        <v>NARIÑO_BARBACOAS</v>
      </c>
      <c r="EP2229" s="376"/>
      <c r="EQ2229" s="376"/>
      <c r="ER2229" s="377"/>
      <c r="ES2229" s="376"/>
      <c r="ET2229" s="376"/>
      <c r="EU2229" s="376"/>
    </row>
    <row r="2230" spans="1:151" s="171" customFormat="1" ht="25.5" x14ac:dyDescent="0.2">
      <c r="A2230" s="242">
        <v>40527</v>
      </c>
      <c r="B2230" s="222" t="s">
        <v>2245</v>
      </c>
      <c r="C2230" s="222" t="s">
        <v>2531</v>
      </c>
      <c r="D2230" s="430" t="s">
        <v>837</v>
      </c>
      <c r="E2230" s="107" t="str">
        <f>VLOOKUP(B2230&amp;C2230,Divipola!$C$2:$F$1138,4,FALSE)</f>
        <v>52083</v>
      </c>
      <c r="F2230" s="333"/>
      <c r="G2230" s="221"/>
      <c r="H2230" s="157"/>
      <c r="I2230" s="157"/>
      <c r="J2230" s="157">
        <v>765</v>
      </c>
      <c r="K2230" s="157">
        <v>765</v>
      </c>
      <c r="L2230" s="157"/>
      <c r="M2230" s="157"/>
      <c r="N2230" s="157"/>
      <c r="O2230" s="157"/>
      <c r="P2230" s="157"/>
      <c r="Q2230" s="157"/>
      <c r="R2230" s="157"/>
      <c r="S2230" s="157"/>
      <c r="T2230" s="157"/>
      <c r="U2230" s="157"/>
      <c r="V2230" s="158">
        <v>1021</v>
      </c>
      <c r="W2230" s="301" t="s">
        <v>3879</v>
      </c>
      <c r="X2230" s="1"/>
      <c r="Y2230" s="78">
        <f t="shared" si="271"/>
        <v>0</v>
      </c>
      <c r="Z2230" s="78">
        <f t="shared" si="272"/>
        <v>0</v>
      </c>
      <c r="AA2230" s="78">
        <f t="shared" si="277"/>
        <v>0</v>
      </c>
      <c r="AB2230" s="78">
        <f t="shared" si="273"/>
        <v>0</v>
      </c>
      <c r="AC2230" s="78"/>
      <c r="AD2230" s="78">
        <v>0</v>
      </c>
      <c r="AE2230" s="80">
        <f t="shared" si="276"/>
        <v>0</v>
      </c>
      <c r="AF2230" s="82">
        <v>0</v>
      </c>
      <c r="AG2230" s="295">
        <v>40617</v>
      </c>
      <c r="AH2230" s="296"/>
      <c r="AI2230" s="295" t="s">
        <v>1984</v>
      </c>
      <c r="AJ2230" s="297" t="s">
        <v>1985</v>
      </c>
      <c r="AK2230" s="298"/>
      <c r="AL2230" s="310" t="s">
        <v>1257</v>
      </c>
      <c r="AM2230" s="311" t="s">
        <v>3880</v>
      </c>
      <c r="AN2230" s="159"/>
      <c r="AO2230" s="160"/>
      <c r="AP2230" s="161"/>
      <c r="AQ2230" s="160"/>
      <c r="AR2230" s="160"/>
      <c r="AS2230" s="160"/>
      <c r="AT2230" s="160"/>
      <c r="AU2230" s="160"/>
      <c r="AV2230" s="160"/>
      <c r="AW2230" s="160"/>
      <c r="AX2230" s="160"/>
      <c r="AY2230" s="160"/>
      <c r="AZ2230" s="160"/>
      <c r="BA2230" s="160"/>
      <c r="BB2230" s="160"/>
      <c r="BC2230" s="160"/>
      <c r="BD2230" s="160"/>
      <c r="BE2230" s="160"/>
      <c r="BF2230" s="160"/>
      <c r="BG2230" s="160"/>
      <c r="BH2230" s="160"/>
      <c r="BI2230" s="160"/>
      <c r="BJ2230" s="160"/>
      <c r="BK2230" s="160"/>
      <c r="BL2230" s="160"/>
      <c r="BM2230" s="160"/>
      <c r="BN2230" s="160"/>
      <c r="BO2230" s="160"/>
      <c r="BP2230" s="160"/>
      <c r="BQ2230" s="160"/>
      <c r="BR2230" s="160"/>
      <c r="BS2230" s="160"/>
      <c r="BT2230" s="160"/>
      <c r="BU2230" s="160"/>
      <c r="BV2230" s="160"/>
      <c r="BW2230" s="160"/>
      <c r="BX2230" s="160"/>
      <c r="BY2230" s="160"/>
      <c r="BZ2230" s="160"/>
      <c r="CA2230" s="160"/>
      <c r="CB2230" s="160"/>
      <c r="CC2230" s="160"/>
      <c r="CD2230" s="160"/>
      <c r="CE2230" s="160"/>
      <c r="CF2230" s="160"/>
      <c r="CG2230" s="160"/>
      <c r="CH2230" s="160"/>
      <c r="CI2230" s="160"/>
      <c r="CJ2230" s="160"/>
      <c r="CK2230" s="160"/>
      <c r="CL2230" s="160"/>
      <c r="CM2230" s="160"/>
      <c r="CN2230" s="160"/>
      <c r="CO2230" s="160"/>
      <c r="CP2230" s="162"/>
      <c r="CQ2230" s="163"/>
      <c r="CR2230" s="162"/>
      <c r="CS2230" s="163"/>
      <c r="CT2230" s="162"/>
      <c r="CU2230" s="163"/>
      <c r="CV2230" s="164">
        <f t="shared" si="274"/>
        <v>0</v>
      </c>
      <c r="CW2230" s="165"/>
      <c r="CX2230" s="166"/>
      <c r="CY2230" s="167"/>
      <c r="CZ2230" s="168"/>
      <c r="DA2230" s="169"/>
      <c r="DB2230" s="168"/>
      <c r="DC2230" s="165"/>
      <c r="DD2230" s="166"/>
      <c r="DE2230" s="71"/>
      <c r="DF2230" s="170"/>
      <c r="EO2230" s="375" t="str">
        <f t="shared" si="275"/>
        <v>NARIÑO_BELEN</v>
      </c>
      <c r="EP2230" s="376"/>
      <c r="EQ2230" s="376"/>
      <c r="ER2230" s="377"/>
      <c r="ES2230" s="376"/>
      <c r="ET2230" s="376"/>
      <c r="EU2230" s="376"/>
    </row>
    <row r="2231" spans="1:151" s="171" customFormat="1" ht="25.5" x14ac:dyDescent="0.2">
      <c r="A2231" s="242">
        <v>40527</v>
      </c>
      <c r="B2231" s="222" t="s">
        <v>2245</v>
      </c>
      <c r="C2231" s="222" t="s">
        <v>551</v>
      </c>
      <c r="D2231" s="430" t="s">
        <v>837</v>
      </c>
      <c r="E2231" s="107" t="str">
        <f>VLOOKUP(B2231&amp;C2231,Divipola!$C$2:$F$1138,4,FALSE)</f>
        <v>52110</v>
      </c>
      <c r="F2231" s="333"/>
      <c r="G2231" s="221"/>
      <c r="H2231" s="157"/>
      <c r="I2231" s="157"/>
      <c r="J2231" s="157">
        <v>419</v>
      </c>
      <c r="K2231" s="157">
        <v>419</v>
      </c>
      <c r="L2231" s="157"/>
      <c r="M2231" s="157"/>
      <c r="N2231" s="157"/>
      <c r="O2231" s="157"/>
      <c r="P2231" s="157"/>
      <c r="Q2231" s="157"/>
      <c r="R2231" s="157"/>
      <c r="S2231" s="157"/>
      <c r="T2231" s="157"/>
      <c r="U2231" s="157"/>
      <c r="V2231" s="158">
        <v>744.5</v>
      </c>
      <c r="W2231" s="301" t="s">
        <v>3879</v>
      </c>
      <c r="X2231" s="1"/>
      <c r="Y2231" s="78">
        <f t="shared" si="271"/>
        <v>0</v>
      </c>
      <c r="Z2231" s="78">
        <f t="shared" si="272"/>
        <v>0</v>
      </c>
      <c r="AA2231" s="78">
        <f t="shared" si="277"/>
        <v>0</v>
      </c>
      <c r="AB2231" s="78">
        <f t="shared" si="273"/>
        <v>0</v>
      </c>
      <c r="AC2231" s="78"/>
      <c r="AD2231" s="78">
        <v>0</v>
      </c>
      <c r="AE2231" s="80">
        <f t="shared" si="276"/>
        <v>0</v>
      </c>
      <c r="AF2231" s="82">
        <v>0</v>
      </c>
      <c r="AG2231" s="295">
        <v>40617</v>
      </c>
      <c r="AH2231" s="296"/>
      <c r="AI2231" s="295" t="s">
        <v>1984</v>
      </c>
      <c r="AJ2231" s="297" t="s">
        <v>1985</v>
      </c>
      <c r="AK2231" s="298"/>
      <c r="AL2231" s="310" t="s">
        <v>1257</v>
      </c>
      <c r="AM2231" s="311" t="s">
        <v>3880</v>
      </c>
      <c r="AN2231" s="159"/>
      <c r="AO2231" s="160"/>
      <c r="AP2231" s="161"/>
      <c r="AQ2231" s="160"/>
      <c r="AR2231" s="160"/>
      <c r="AS2231" s="160"/>
      <c r="AT2231" s="160"/>
      <c r="AU2231" s="160"/>
      <c r="AV2231" s="160"/>
      <c r="AW2231" s="160"/>
      <c r="AX2231" s="160"/>
      <c r="AY2231" s="160"/>
      <c r="AZ2231" s="160"/>
      <c r="BA2231" s="160"/>
      <c r="BB2231" s="160"/>
      <c r="BC2231" s="160"/>
      <c r="BD2231" s="160"/>
      <c r="BE2231" s="160"/>
      <c r="BF2231" s="160"/>
      <c r="BG2231" s="160"/>
      <c r="BH2231" s="160"/>
      <c r="BI2231" s="160"/>
      <c r="BJ2231" s="160"/>
      <c r="BK2231" s="160"/>
      <c r="BL2231" s="160"/>
      <c r="BM2231" s="160"/>
      <c r="BN2231" s="160"/>
      <c r="BO2231" s="160"/>
      <c r="BP2231" s="160"/>
      <c r="BQ2231" s="160"/>
      <c r="BR2231" s="160"/>
      <c r="BS2231" s="160"/>
      <c r="BT2231" s="160"/>
      <c r="BU2231" s="160"/>
      <c r="BV2231" s="160"/>
      <c r="BW2231" s="160"/>
      <c r="BX2231" s="160"/>
      <c r="BY2231" s="160"/>
      <c r="BZ2231" s="160"/>
      <c r="CA2231" s="160"/>
      <c r="CB2231" s="160"/>
      <c r="CC2231" s="160"/>
      <c r="CD2231" s="160"/>
      <c r="CE2231" s="160"/>
      <c r="CF2231" s="160"/>
      <c r="CG2231" s="160"/>
      <c r="CH2231" s="160"/>
      <c r="CI2231" s="160"/>
      <c r="CJ2231" s="160"/>
      <c r="CK2231" s="160"/>
      <c r="CL2231" s="160"/>
      <c r="CM2231" s="160"/>
      <c r="CN2231" s="160"/>
      <c r="CO2231" s="160"/>
      <c r="CP2231" s="162"/>
      <c r="CQ2231" s="163"/>
      <c r="CR2231" s="162"/>
      <c r="CS2231" s="163"/>
      <c r="CT2231" s="162"/>
      <c r="CU2231" s="163"/>
      <c r="CV2231" s="164">
        <f t="shared" si="274"/>
        <v>0</v>
      </c>
      <c r="CW2231" s="165"/>
      <c r="CX2231" s="166"/>
      <c r="CY2231" s="167"/>
      <c r="CZ2231" s="168"/>
      <c r="DA2231" s="169"/>
      <c r="DB2231" s="168"/>
      <c r="DC2231" s="165"/>
      <c r="DD2231" s="166"/>
      <c r="DE2231" s="71"/>
      <c r="DF2231" s="170"/>
      <c r="EO2231" s="375" t="str">
        <f t="shared" si="275"/>
        <v>NARIÑO_BUESACO</v>
      </c>
      <c r="EP2231" s="376"/>
      <c r="EQ2231" s="376"/>
      <c r="ER2231" s="377"/>
      <c r="ES2231" s="376"/>
      <c r="ET2231" s="376"/>
      <c r="EU2231" s="376"/>
    </row>
    <row r="2232" spans="1:151" s="171" customFormat="1" ht="25.5" x14ac:dyDescent="0.2">
      <c r="A2232" s="242">
        <v>40527</v>
      </c>
      <c r="B2232" s="222" t="s">
        <v>2245</v>
      </c>
      <c r="C2232" s="222" t="s">
        <v>559</v>
      </c>
      <c r="D2232" s="430" t="s">
        <v>837</v>
      </c>
      <c r="E2232" s="107" t="str">
        <f>VLOOKUP(B2232&amp;C2232,Divipola!$C$2:$F$1138,4,FALSE)</f>
        <v>52240</v>
      </c>
      <c r="F2232" s="333"/>
      <c r="G2232" s="221"/>
      <c r="H2232" s="157"/>
      <c r="I2232" s="157"/>
      <c r="J2232" s="157">
        <v>99</v>
      </c>
      <c r="K2232" s="157">
        <v>99</v>
      </c>
      <c r="L2232" s="157"/>
      <c r="M2232" s="157"/>
      <c r="N2232" s="157"/>
      <c r="O2232" s="157"/>
      <c r="P2232" s="157"/>
      <c r="Q2232" s="157"/>
      <c r="R2232" s="157"/>
      <c r="S2232" s="157"/>
      <c r="T2232" s="157"/>
      <c r="U2232" s="157"/>
      <c r="V2232" s="158"/>
      <c r="W2232" s="301" t="s">
        <v>3879</v>
      </c>
      <c r="X2232" s="1"/>
      <c r="Y2232" s="78">
        <f t="shared" si="271"/>
        <v>0</v>
      </c>
      <c r="Z2232" s="78">
        <f t="shared" si="272"/>
        <v>0</v>
      </c>
      <c r="AA2232" s="78">
        <f t="shared" si="277"/>
        <v>0</v>
      </c>
      <c r="AB2232" s="78">
        <f t="shared" si="273"/>
        <v>0</v>
      </c>
      <c r="AC2232" s="78"/>
      <c r="AD2232" s="78">
        <v>0</v>
      </c>
      <c r="AE2232" s="80">
        <f t="shared" si="276"/>
        <v>0</v>
      </c>
      <c r="AF2232" s="82">
        <v>0</v>
      </c>
      <c r="AG2232" s="295">
        <v>40617</v>
      </c>
      <c r="AH2232" s="296"/>
      <c r="AI2232" s="295" t="s">
        <v>1984</v>
      </c>
      <c r="AJ2232" s="297" t="s">
        <v>1985</v>
      </c>
      <c r="AK2232" s="298"/>
      <c r="AL2232" s="310" t="s">
        <v>1257</v>
      </c>
      <c r="AM2232" s="311" t="s">
        <v>3880</v>
      </c>
      <c r="AN2232" s="159"/>
      <c r="AO2232" s="160"/>
      <c r="AP2232" s="161"/>
      <c r="AQ2232" s="160"/>
      <c r="AR2232" s="160"/>
      <c r="AS2232" s="160"/>
      <c r="AT2232" s="160"/>
      <c r="AU2232" s="160"/>
      <c r="AV2232" s="160"/>
      <c r="AW2232" s="160"/>
      <c r="AX2232" s="160"/>
      <c r="AY2232" s="160"/>
      <c r="AZ2232" s="160"/>
      <c r="BA2232" s="160"/>
      <c r="BB2232" s="160"/>
      <c r="BC2232" s="160"/>
      <c r="BD2232" s="160"/>
      <c r="BE2232" s="160"/>
      <c r="BF2232" s="160"/>
      <c r="BG2232" s="160"/>
      <c r="BH2232" s="160"/>
      <c r="BI2232" s="160"/>
      <c r="BJ2232" s="160"/>
      <c r="BK2232" s="160"/>
      <c r="BL2232" s="160"/>
      <c r="BM2232" s="160"/>
      <c r="BN2232" s="160"/>
      <c r="BO2232" s="160"/>
      <c r="BP2232" s="160"/>
      <c r="BQ2232" s="160"/>
      <c r="BR2232" s="160"/>
      <c r="BS2232" s="160"/>
      <c r="BT2232" s="160"/>
      <c r="BU2232" s="160"/>
      <c r="BV2232" s="160"/>
      <c r="BW2232" s="160"/>
      <c r="BX2232" s="160"/>
      <c r="BY2232" s="160"/>
      <c r="BZ2232" s="160"/>
      <c r="CA2232" s="160"/>
      <c r="CB2232" s="160"/>
      <c r="CC2232" s="160"/>
      <c r="CD2232" s="160"/>
      <c r="CE2232" s="160"/>
      <c r="CF2232" s="160"/>
      <c r="CG2232" s="160"/>
      <c r="CH2232" s="160"/>
      <c r="CI2232" s="160"/>
      <c r="CJ2232" s="160"/>
      <c r="CK2232" s="160"/>
      <c r="CL2232" s="160"/>
      <c r="CM2232" s="160"/>
      <c r="CN2232" s="160"/>
      <c r="CO2232" s="160"/>
      <c r="CP2232" s="162"/>
      <c r="CQ2232" s="163"/>
      <c r="CR2232" s="162"/>
      <c r="CS2232" s="163"/>
      <c r="CT2232" s="162"/>
      <c r="CU2232" s="163"/>
      <c r="CV2232" s="164">
        <f t="shared" si="274"/>
        <v>0</v>
      </c>
      <c r="CW2232" s="165"/>
      <c r="CX2232" s="166"/>
      <c r="CY2232" s="167"/>
      <c r="CZ2232" s="168"/>
      <c r="DA2232" s="169"/>
      <c r="DB2232" s="168"/>
      <c r="DC2232" s="165"/>
      <c r="DD2232" s="166"/>
      <c r="DE2232" s="71"/>
      <c r="DF2232" s="170"/>
      <c r="EO2232" s="375" t="str">
        <f t="shared" si="275"/>
        <v>NARIÑO_CHACHAGUI</v>
      </c>
      <c r="EP2232" s="376"/>
      <c r="EQ2232" s="376"/>
      <c r="ER2232" s="377"/>
      <c r="ES2232" s="376"/>
      <c r="ET2232" s="376"/>
      <c r="EU2232" s="376"/>
    </row>
    <row r="2233" spans="1:151" s="171" customFormat="1" ht="36" x14ac:dyDescent="0.2">
      <c r="A2233" s="242">
        <v>40527</v>
      </c>
      <c r="B2233" s="222" t="s">
        <v>2245</v>
      </c>
      <c r="C2233" s="222" t="s">
        <v>388</v>
      </c>
      <c r="D2233" s="430" t="s">
        <v>837</v>
      </c>
      <c r="E2233" s="107" t="str">
        <f>VLOOKUP(B2233&amp;C2233,Divipola!$C$2:$F$1138,4,FALSE)</f>
        <v>52203</v>
      </c>
      <c r="F2233" s="333"/>
      <c r="G2233" s="221"/>
      <c r="H2233" s="157"/>
      <c r="I2233" s="157"/>
      <c r="J2233" s="157">
        <v>2589</v>
      </c>
      <c r="K2233" s="157">
        <v>2589</v>
      </c>
      <c r="L2233" s="157"/>
      <c r="M2233" s="157"/>
      <c r="N2233" s="157"/>
      <c r="O2233" s="157"/>
      <c r="P2233" s="157"/>
      <c r="Q2233" s="157"/>
      <c r="R2233" s="157"/>
      <c r="S2233" s="157"/>
      <c r="T2233" s="157"/>
      <c r="U2233" s="157"/>
      <c r="V2233" s="158">
        <v>5570</v>
      </c>
      <c r="W2233" s="301" t="s">
        <v>3879</v>
      </c>
      <c r="X2233" s="1"/>
      <c r="Y2233" s="78">
        <f t="shared" si="271"/>
        <v>0</v>
      </c>
      <c r="Z2233" s="78">
        <f t="shared" si="272"/>
        <v>0</v>
      </c>
      <c r="AA2233" s="78">
        <f t="shared" si="277"/>
        <v>0</v>
      </c>
      <c r="AB2233" s="78">
        <f t="shared" si="273"/>
        <v>0</v>
      </c>
      <c r="AC2233" s="78"/>
      <c r="AD2233" s="78">
        <v>0</v>
      </c>
      <c r="AE2233" s="80">
        <f t="shared" si="276"/>
        <v>0</v>
      </c>
      <c r="AF2233" s="82">
        <v>0</v>
      </c>
      <c r="AG2233" s="295">
        <v>40617</v>
      </c>
      <c r="AH2233" s="296"/>
      <c r="AI2233" s="295" t="s">
        <v>1984</v>
      </c>
      <c r="AJ2233" s="297" t="s">
        <v>1985</v>
      </c>
      <c r="AK2233" s="298"/>
      <c r="AL2233" s="310" t="s">
        <v>1257</v>
      </c>
      <c r="AM2233" s="311" t="s">
        <v>207</v>
      </c>
      <c r="AN2233" s="159"/>
      <c r="AO2233" s="160"/>
      <c r="AP2233" s="161"/>
      <c r="AQ2233" s="160"/>
      <c r="AR2233" s="160"/>
      <c r="AS2233" s="160"/>
      <c r="AT2233" s="160"/>
      <c r="AU2233" s="160"/>
      <c r="AV2233" s="160"/>
      <c r="AW2233" s="160"/>
      <c r="AX2233" s="160"/>
      <c r="AY2233" s="160"/>
      <c r="AZ2233" s="160"/>
      <c r="BA2233" s="160"/>
      <c r="BB2233" s="160"/>
      <c r="BC2233" s="160"/>
      <c r="BD2233" s="160"/>
      <c r="BE2233" s="160"/>
      <c r="BF2233" s="160"/>
      <c r="BG2233" s="160"/>
      <c r="BH2233" s="160"/>
      <c r="BI2233" s="160"/>
      <c r="BJ2233" s="160"/>
      <c r="BK2233" s="160"/>
      <c r="BL2233" s="160"/>
      <c r="BM2233" s="160"/>
      <c r="BN2233" s="160"/>
      <c r="BO2233" s="160"/>
      <c r="BP2233" s="160"/>
      <c r="BQ2233" s="160"/>
      <c r="BR2233" s="160"/>
      <c r="BS2233" s="160"/>
      <c r="BT2233" s="160"/>
      <c r="BU2233" s="160"/>
      <c r="BV2233" s="160"/>
      <c r="BW2233" s="160"/>
      <c r="BX2233" s="160"/>
      <c r="BY2233" s="160"/>
      <c r="BZ2233" s="160"/>
      <c r="CA2233" s="160"/>
      <c r="CB2233" s="160"/>
      <c r="CC2233" s="160"/>
      <c r="CD2233" s="160"/>
      <c r="CE2233" s="160"/>
      <c r="CF2233" s="160"/>
      <c r="CG2233" s="160"/>
      <c r="CH2233" s="160"/>
      <c r="CI2233" s="160"/>
      <c r="CJ2233" s="160"/>
      <c r="CK2233" s="160"/>
      <c r="CL2233" s="160"/>
      <c r="CM2233" s="160"/>
      <c r="CN2233" s="160"/>
      <c r="CO2233" s="160"/>
      <c r="CP2233" s="162"/>
      <c r="CQ2233" s="163"/>
      <c r="CR2233" s="162"/>
      <c r="CS2233" s="163"/>
      <c r="CT2233" s="162"/>
      <c r="CU2233" s="163"/>
      <c r="CV2233" s="164">
        <f t="shared" si="274"/>
        <v>0</v>
      </c>
      <c r="CW2233" s="165"/>
      <c r="CX2233" s="166"/>
      <c r="CY2233" s="167"/>
      <c r="CZ2233" s="168"/>
      <c r="DA2233" s="169"/>
      <c r="DB2233" s="168"/>
      <c r="DC2233" s="165"/>
      <c r="DD2233" s="166"/>
      <c r="DE2233" s="71"/>
      <c r="DF2233" s="170"/>
      <c r="EO2233" s="375" t="str">
        <f t="shared" si="275"/>
        <v>NARIÑO_COLON</v>
      </c>
      <c r="EP2233" s="376"/>
      <c r="EQ2233" s="376"/>
      <c r="ER2233" s="377"/>
      <c r="ES2233" s="376"/>
      <c r="ET2233" s="376"/>
      <c r="EU2233" s="376"/>
    </row>
    <row r="2234" spans="1:151" s="171" customFormat="1" ht="25.5" x14ac:dyDescent="0.2">
      <c r="A2234" s="242">
        <v>40527</v>
      </c>
      <c r="B2234" s="222" t="s">
        <v>2245</v>
      </c>
      <c r="C2234" s="222" t="s">
        <v>389</v>
      </c>
      <c r="D2234" s="430" t="s">
        <v>837</v>
      </c>
      <c r="E2234" s="107" t="str">
        <f>VLOOKUP(B2234&amp;C2234,Divipola!$C$2:$F$1138,4,FALSE)</f>
        <v>52207</v>
      </c>
      <c r="F2234" s="333"/>
      <c r="G2234" s="221"/>
      <c r="H2234" s="157"/>
      <c r="I2234" s="157"/>
      <c r="J2234" s="157">
        <v>2458</v>
      </c>
      <c r="K2234" s="157">
        <v>2458</v>
      </c>
      <c r="L2234" s="157"/>
      <c r="M2234" s="157"/>
      <c r="N2234" s="157"/>
      <c r="O2234" s="157"/>
      <c r="P2234" s="157"/>
      <c r="Q2234" s="157"/>
      <c r="R2234" s="157"/>
      <c r="S2234" s="157"/>
      <c r="T2234" s="157"/>
      <c r="U2234" s="157"/>
      <c r="V2234" s="158"/>
      <c r="W2234" s="301" t="s">
        <v>3879</v>
      </c>
      <c r="X2234" s="1"/>
      <c r="Y2234" s="78">
        <f t="shared" si="271"/>
        <v>0</v>
      </c>
      <c r="Z2234" s="78">
        <f t="shared" si="272"/>
        <v>0</v>
      </c>
      <c r="AA2234" s="78">
        <f t="shared" si="277"/>
        <v>0</v>
      </c>
      <c r="AB2234" s="78">
        <f t="shared" si="273"/>
        <v>0</v>
      </c>
      <c r="AC2234" s="78"/>
      <c r="AD2234" s="78">
        <v>0</v>
      </c>
      <c r="AE2234" s="80">
        <f t="shared" si="276"/>
        <v>0</v>
      </c>
      <c r="AF2234" s="82">
        <v>0</v>
      </c>
      <c r="AG2234" s="295">
        <v>40617</v>
      </c>
      <c r="AH2234" s="296"/>
      <c r="AI2234" s="295" t="s">
        <v>1984</v>
      </c>
      <c r="AJ2234" s="297" t="s">
        <v>1985</v>
      </c>
      <c r="AK2234" s="298"/>
      <c r="AL2234" s="310" t="s">
        <v>1257</v>
      </c>
      <c r="AM2234" s="311" t="s">
        <v>3880</v>
      </c>
      <c r="AN2234" s="159"/>
      <c r="AO2234" s="160"/>
      <c r="AP2234" s="161"/>
      <c r="AQ2234" s="160"/>
      <c r="AR2234" s="160"/>
      <c r="AS2234" s="160"/>
      <c r="AT2234" s="160"/>
      <c r="AU2234" s="160"/>
      <c r="AV2234" s="160"/>
      <c r="AW2234" s="160"/>
      <c r="AX2234" s="160"/>
      <c r="AY2234" s="160"/>
      <c r="AZ2234" s="160"/>
      <c r="BA2234" s="160"/>
      <c r="BB2234" s="160"/>
      <c r="BC2234" s="160"/>
      <c r="BD2234" s="160"/>
      <c r="BE2234" s="160"/>
      <c r="BF2234" s="160"/>
      <c r="BG2234" s="160"/>
      <c r="BH2234" s="160"/>
      <c r="BI2234" s="160"/>
      <c r="BJ2234" s="160"/>
      <c r="BK2234" s="160"/>
      <c r="BL2234" s="160"/>
      <c r="BM2234" s="160"/>
      <c r="BN2234" s="160"/>
      <c r="BO2234" s="160"/>
      <c r="BP2234" s="160"/>
      <c r="BQ2234" s="160"/>
      <c r="BR2234" s="160"/>
      <c r="BS2234" s="160"/>
      <c r="BT2234" s="160"/>
      <c r="BU2234" s="160"/>
      <c r="BV2234" s="160"/>
      <c r="BW2234" s="160"/>
      <c r="BX2234" s="160"/>
      <c r="BY2234" s="160"/>
      <c r="BZ2234" s="160"/>
      <c r="CA2234" s="160"/>
      <c r="CB2234" s="160"/>
      <c r="CC2234" s="160"/>
      <c r="CD2234" s="160"/>
      <c r="CE2234" s="160"/>
      <c r="CF2234" s="160"/>
      <c r="CG2234" s="160"/>
      <c r="CH2234" s="160"/>
      <c r="CI2234" s="160"/>
      <c r="CJ2234" s="160"/>
      <c r="CK2234" s="160"/>
      <c r="CL2234" s="160"/>
      <c r="CM2234" s="160"/>
      <c r="CN2234" s="160"/>
      <c r="CO2234" s="160"/>
      <c r="CP2234" s="162"/>
      <c r="CQ2234" s="163"/>
      <c r="CR2234" s="162"/>
      <c r="CS2234" s="163"/>
      <c r="CT2234" s="162"/>
      <c r="CU2234" s="163"/>
      <c r="CV2234" s="164">
        <f t="shared" si="274"/>
        <v>0</v>
      </c>
      <c r="CW2234" s="165"/>
      <c r="CX2234" s="166"/>
      <c r="CY2234" s="167"/>
      <c r="CZ2234" s="168"/>
      <c r="DA2234" s="169"/>
      <c r="DB2234" s="168"/>
      <c r="DC2234" s="165"/>
      <c r="DD2234" s="166"/>
      <c r="DE2234" s="71"/>
      <c r="DF2234" s="170"/>
      <c r="EO2234" s="375" t="str">
        <f t="shared" si="275"/>
        <v>NARIÑO_CONSACA</v>
      </c>
      <c r="EP2234" s="376"/>
      <c r="EQ2234" s="376"/>
      <c r="ER2234" s="377"/>
      <c r="ES2234" s="376"/>
      <c r="ET2234" s="376"/>
      <c r="EU2234" s="376"/>
    </row>
    <row r="2235" spans="1:151" s="171" customFormat="1" ht="51" x14ac:dyDescent="0.2">
      <c r="A2235" s="242">
        <v>40527</v>
      </c>
      <c r="B2235" s="222" t="s">
        <v>2245</v>
      </c>
      <c r="C2235" s="222" t="s">
        <v>6308</v>
      </c>
      <c r="D2235" s="430" t="s">
        <v>837</v>
      </c>
      <c r="E2235" s="107" t="str">
        <f>VLOOKUP(B2235&amp;C2235,Divipola!$C$2:$F$1138,4,FALSE)</f>
        <v>52210</v>
      </c>
      <c r="F2235" s="333"/>
      <c r="G2235" s="221"/>
      <c r="H2235" s="157"/>
      <c r="I2235" s="157"/>
      <c r="J2235" s="157">
        <v>8</v>
      </c>
      <c r="K2235" s="157">
        <v>8</v>
      </c>
      <c r="L2235" s="157"/>
      <c r="M2235" s="157"/>
      <c r="N2235" s="157"/>
      <c r="O2235" s="157"/>
      <c r="P2235" s="157"/>
      <c r="Q2235" s="157"/>
      <c r="R2235" s="157"/>
      <c r="S2235" s="157"/>
      <c r="T2235" s="157"/>
      <c r="U2235" s="157"/>
      <c r="V2235" s="158">
        <v>14</v>
      </c>
      <c r="W2235" s="301" t="s">
        <v>3879</v>
      </c>
      <c r="X2235" s="1"/>
      <c r="Y2235" s="78">
        <f t="shared" si="271"/>
        <v>0</v>
      </c>
      <c r="Z2235" s="78">
        <f t="shared" si="272"/>
        <v>0</v>
      </c>
      <c r="AA2235" s="78">
        <f t="shared" si="277"/>
        <v>0</v>
      </c>
      <c r="AB2235" s="78">
        <f t="shared" si="273"/>
        <v>0</v>
      </c>
      <c r="AC2235" s="78"/>
      <c r="AD2235" s="78">
        <v>0</v>
      </c>
      <c r="AE2235" s="80">
        <f t="shared" si="276"/>
        <v>0</v>
      </c>
      <c r="AF2235" s="82">
        <v>0</v>
      </c>
      <c r="AG2235" s="295">
        <v>40617</v>
      </c>
      <c r="AH2235" s="296"/>
      <c r="AI2235" s="295" t="s">
        <v>1984</v>
      </c>
      <c r="AJ2235" s="297" t="s">
        <v>1985</v>
      </c>
      <c r="AK2235" s="298"/>
      <c r="AL2235" s="310" t="s">
        <v>1257</v>
      </c>
      <c r="AM2235" s="311" t="s">
        <v>3880</v>
      </c>
      <c r="AN2235" s="159"/>
      <c r="AO2235" s="160"/>
      <c r="AP2235" s="161"/>
      <c r="AQ2235" s="160"/>
      <c r="AR2235" s="160"/>
      <c r="AS2235" s="160"/>
      <c r="AT2235" s="160"/>
      <c r="AU2235" s="160"/>
      <c r="AV2235" s="160"/>
      <c r="AW2235" s="160"/>
      <c r="AX2235" s="160"/>
      <c r="AY2235" s="160"/>
      <c r="AZ2235" s="160"/>
      <c r="BA2235" s="160"/>
      <c r="BB2235" s="160"/>
      <c r="BC2235" s="160"/>
      <c r="BD2235" s="160"/>
      <c r="BE2235" s="160"/>
      <c r="BF2235" s="160"/>
      <c r="BG2235" s="160"/>
      <c r="BH2235" s="160"/>
      <c r="BI2235" s="160"/>
      <c r="BJ2235" s="160"/>
      <c r="BK2235" s="160"/>
      <c r="BL2235" s="160"/>
      <c r="BM2235" s="160"/>
      <c r="BN2235" s="160"/>
      <c r="BO2235" s="160"/>
      <c r="BP2235" s="160"/>
      <c r="BQ2235" s="160"/>
      <c r="BR2235" s="160"/>
      <c r="BS2235" s="160"/>
      <c r="BT2235" s="160"/>
      <c r="BU2235" s="160"/>
      <c r="BV2235" s="160"/>
      <c r="BW2235" s="160"/>
      <c r="BX2235" s="160"/>
      <c r="BY2235" s="160"/>
      <c r="BZ2235" s="160"/>
      <c r="CA2235" s="160"/>
      <c r="CB2235" s="160"/>
      <c r="CC2235" s="160"/>
      <c r="CD2235" s="160"/>
      <c r="CE2235" s="160"/>
      <c r="CF2235" s="160"/>
      <c r="CG2235" s="160"/>
      <c r="CH2235" s="160"/>
      <c r="CI2235" s="160"/>
      <c r="CJ2235" s="160"/>
      <c r="CK2235" s="160"/>
      <c r="CL2235" s="160"/>
      <c r="CM2235" s="160"/>
      <c r="CN2235" s="160"/>
      <c r="CO2235" s="160"/>
      <c r="CP2235" s="162"/>
      <c r="CQ2235" s="163"/>
      <c r="CR2235" s="162"/>
      <c r="CS2235" s="163"/>
      <c r="CT2235" s="162"/>
      <c r="CU2235" s="163"/>
      <c r="CV2235" s="164">
        <f t="shared" si="274"/>
        <v>0</v>
      </c>
      <c r="CW2235" s="165"/>
      <c r="CX2235" s="166"/>
      <c r="CY2235" s="167"/>
      <c r="CZ2235" s="168"/>
      <c r="DA2235" s="169"/>
      <c r="DB2235" s="168"/>
      <c r="DC2235" s="165"/>
      <c r="DD2235" s="166"/>
      <c r="DE2235" s="71"/>
      <c r="DF2235" s="170"/>
      <c r="EO2235" s="375" t="str">
        <f t="shared" si="275"/>
        <v>NARIÑO_EL CONTADERO</v>
      </c>
      <c r="EP2235" s="376"/>
      <c r="EQ2235" s="376"/>
      <c r="ER2235" s="377"/>
      <c r="ES2235" s="376"/>
      <c r="ET2235" s="376"/>
      <c r="EU2235" s="376"/>
    </row>
    <row r="2236" spans="1:151" s="171" customFormat="1" ht="25.5" x14ac:dyDescent="0.2">
      <c r="A2236" s="242">
        <v>40527</v>
      </c>
      <c r="B2236" s="222" t="s">
        <v>2245</v>
      </c>
      <c r="C2236" s="222" t="s">
        <v>1700</v>
      </c>
      <c r="D2236" s="430" t="s">
        <v>837</v>
      </c>
      <c r="E2236" s="107" t="str">
        <f>VLOOKUP(B2236&amp;C2236,Divipola!$C$2:$F$1138,4,FALSE)</f>
        <v>52215</v>
      </c>
      <c r="F2236" s="333"/>
      <c r="G2236" s="221"/>
      <c r="H2236" s="157"/>
      <c r="I2236" s="157"/>
      <c r="J2236" s="157">
        <v>443</v>
      </c>
      <c r="K2236" s="157">
        <v>443</v>
      </c>
      <c r="L2236" s="157"/>
      <c r="M2236" s="157"/>
      <c r="N2236" s="157"/>
      <c r="O2236" s="157"/>
      <c r="P2236" s="157"/>
      <c r="Q2236" s="157"/>
      <c r="R2236" s="157"/>
      <c r="S2236" s="157"/>
      <c r="T2236" s="157"/>
      <c r="U2236" s="157"/>
      <c r="V2236" s="158">
        <v>74</v>
      </c>
      <c r="W2236" s="301" t="s">
        <v>3879</v>
      </c>
      <c r="X2236" s="1"/>
      <c r="Y2236" s="78">
        <f t="shared" si="271"/>
        <v>0</v>
      </c>
      <c r="Z2236" s="78">
        <f t="shared" si="272"/>
        <v>0</v>
      </c>
      <c r="AA2236" s="78">
        <f t="shared" si="277"/>
        <v>0</v>
      </c>
      <c r="AB2236" s="78">
        <f t="shared" si="273"/>
        <v>0</v>
      </c>
      <c r="AC2236" s="78"/>
      <c r="AD2236" s="78">
        <v>0</v>
      </c>
      <c r="AE2236" s="80">
        <f t="shared" si="276"/>
        <v>0</v>
      </c>
      <c r="AF2236" s="82">
        <v>0</v>
      </c>
      <c r="AG2236" s="295">
        <v>40617</v>
      </c>
      <c r="AH2236" s="296"/>
      <c r="AI2236" s="295" t="s">
        <v>1984</v>
      </c>
      <c r="AJ2236" s="297" t="s">
        <v>1985</v>
      </c>
      <c r="AK2236" s="298"/>
      <c r="AL2236" s="310" t="s">
        <v>1257</v>
      </c>
      <c r="AM2236" s="311" t="s">
        <v>3880</v>
      </c>
      <c r="AN2236" s="159"/>
      <c r="AO2236" s="160"/>
      <c r="AP2236" s="161"/>
      <c r="AQ2236" s="160"/>
      <c r="AR2236" s="160"/>
      <c r="AS2236" s="160"/>
      <c r="AT2236" s="160"/>
      <c r="AU2236" s="160"/>
      <c r="AV2236" s="160"/>
      <c r="AW2236" s="160"/>
      <c r="AX2236" s="160"/>
      <c r="AY2236" s="160"/>
      <c r="AZ2236" s="160"/>
      <c r="BA2236" s="160"/>
      <c r="BB2236" s="160"/>
      <c r="BC2236" s="160"/>
      <c r="BD2236" s="160"/>
      <c r="BE2236" s="160"/>
      <c r="BF2236" s="160"/>
      <c r="BG2236" s="160"/>
      <c r="BH2236" s="160"/>
      <c r="BI2236" s="160"/>
      <c r="BJ2236" s="160"/>
      <c r="BK2236" s="160"/>
      <c r="BL2236" s="160"/>
      <c r="BM2236" s="160"/>
      <c r="BN2236" s="160"/>
      <c r="BO2236" s="160"/>
      <c r="BP2236" s="160"/>
      <c r="BQ2236" s="160"/>
      <c r="BR2236" s="160"/>
      <c r="BS2236" s="160"/>
      <c r="BT2236" s="160"/>
      <c r="BU2236" s="160"/>
      <c r="BV2236" s="160"/>
      <c r="BW2236" s="160"/>
      <c r="BX2236" s="160"/>
      <c r="BY2236" s="160"/>
      <c r="BZ2236" s="160"/>
      <c r="CA2236" s="160"/>
      <c r="CB2236" s="160"/>
      <c r="CC2236" s="160"/>
      <c r="CD2236" s="160"/>
      <c r="CE2236" s="160"/>
      <c r="CF2236" s="160"/>
      <c r="CG2236" s="160"/>
      <c r="CH2236" s="160"/>
      <c r="CI2236" s="160"/>
      <c r="CJ2236" s="160"/>
      <c r="CK2236" s="160"/>
      <c r="CL2236" s="160"/>
      <c r="CM2236" s="160"/>
      <c r="CN2236" s="160"/>
      <c r="CO2236" s="160"/>
      <c r="CP2236" s="162"/>
      <c r="CQ2236" s="163"/>
      <c r="CR2236" s="162"/>
      <c r="CS2236" s="163"/>
      <c r="CT2236" s="162"/>
      <c r="CU2236" s="163"/>
      <c r="CV2236" s="164">
        <f t="shared" si="274"/>
        <v>0</v>
      </c>
      <c r="CW2236" s="165"/>
      <c r="CX2236" s="166"/>
      <c r="CY2236" s="167"/>
      <c r="CZ2236" s="168"/>
      <c r="DA2236" s="169"/>
      <c r="DB2236" s="168"/>
      <c r="DC2236" s="165"/>
      <c r="DD2236" s="166"/>
      <c r="DE2236" s="71"/>
      <c r="DF2236" s="170"/>
      <c r="EO2236" s="375" t="str">
        <f t="shared" si="275"/>
        <v>NARIÑO_CORDOBA</v>
      </c>
      <c r="EP2236" s="376"/>
      <c r="EQ2236" s="376"/>
      <c r="ER2236" s="377"/>
      <c r="ES2236" s="376"/>
      <c r="ET2236" s="376"/>
      <c r="EU2236" s="376"/>
    </row>
    <row r="2237" spans="1:151" s="171" customFormat="1" ht="25.5" x14ac:dyDescent="0.2">
      <c r="A2237" s="242">
        <v>40527</v>
      </c>
      <c r="B2237" s="222" t="s">
        <v>2245</v>
      </c>
      <c r="C2237" s="222" t="s">
        <v>2515</v>
      </c>
      <c r="D2237" s="430" t="s">
        <v>837</v>
      </c>
      <c r="E2237" s="107" t="str">
        <f>VLOOKUP(B2237&amp;C2237,Divipola!$C$2:$F$1138,4,FALSE)</f>
        <v>52227</v>
      </c>
      <c r="F2237" s="333"/>
      <c r="G2237" s="221"/>
      <c r="H2237" s="157"/>
      <c r="I2237" s="157"/>
      <c r="J2237" s="157">
        <v>2454</v>
      </c>
      <c r="K2237" s="157">
        <v>2454</v>
      </c>
      <c r="L2237" s="157"/>
      <c r="M2237" s="157"/>
      <c r="N2237" s="157"/>
      <c r="O2237" s="157"/>
      <c r="P2237" s="157"/>
      <c r="Q2237" s="157"/>
      <c r="R2237" s="157"/>
      <c r="S2237" s="157"/>
      <c r="T2237" s="157"/>
      <c r="U2237" s="157"/>
      <c r="V2237" s="158">
        <v>3255</v>
      </c>
      <c r="W2237" s="301" t="s">
        <v>3879</v>
      </c>
      <c r="X2237" s="1"/>
      <c r="Y2237" s="78">
        <f t="shared" si="271"/>
        <v>0</v>
      </c>
      <c r="Z2237" s="78">
        <f t="shared" si="272"/>
        <v>0</v>
      </c>
      <c r="AA2237" s="78">
        <f t="shared" si="277"/>
        <v>0</v>
      </c>
      <c r="AB2237" s="78">
        <f t="shared" si="273"/>
        <v>0</v>
      </c>
      <c r="AC2237" s="78"/>
      <c r="AD2237" s="78">
        <v>0</v>
      </c>
      <c r="AE2237" s="80">
        <f t="shared" si="276"/>
        <v>0</v>
      </c>
      <c r="AF2237" s="82">
        <v>0</v>
      </c>
      <c r="AG2237" s="295">
        <v>40617</v>
      </c>
      <c r="AH2237" s="296"/>
      <c r="AI2237" s="295" t="s">
        <v>1984</v>
      </c>
      <c r="AJ2237" s="297" t="s">
        <v>1985</v>
      </c>
      <c r="AK2237" s="298"/>
      <c r="AL2237" s="310" t="s">
        <v>1257</v>
      </c>
      <c r="AM2237" s="311" t="s">
        <v>3880</v>
      </c>
      <c r="AN2237" s="159"/>
      <c r="AO2237" s="160"/>
      <c r="AP2237" s="161"/>
      <c r="AQ2237" s="160"/>
      <c r="AR2237" s="160"/>
      <c r="AS2237" s="160"/>
      <c r="AT2237" s="160"/>
      <c r="AU2237" s="160"/>
      <c r="AV2237" s="160"/>
      <c r="AW2237" s="160"/>
      <c r="AX2237" s="160"/>
      <c r="AY2237" s="160"/>
      <c r="AZ2237" s="160"/>
      <c r="BA2237" s="160"/>
      <c r="BB2237" s="160"/>
      <c r="BC2237" s="160"/>
      <c r="BD2237" s="160"/>
      <c r="BE2237" s="160"/>
      <c r="BF2237" s="160"/>
      <c r="BG2237" s="160"/>
      <c r="BH2237" s="160"/>
      <c r="BI2237" s="160"/>
      <c r="BJ2237" s="160"/>
      <c r="BK2237" s="160"/>
      <c r="BL2237" s="160"/>
      <c r="BM2237" s="160"/>
      <c r="BN2237" s="160"/>
      <c r="BO2237" s="160"/>
      <c r="BP2237" s="160"/>
      <c r="BQ2237" s="160"/>
      <c r="BR2237" s="160"/>
      <c r="BS2237" s="160"/>
      <c r="BT2237" s="160"/>
      <c r="BU2237" s="160"/>
      <c r="BV2237" s="160"/>
      <c r="BW2237" s="160"/>
      <c r="BX2237" s="160"/>
      <c r="BY2237" s="160"/>
      <c r="BZ2237" s="160"/>
      <c r="CA2237" s="160"/>
      <c r="CB2237" s="160"/>
      <c r="CC2237" s="160"/>
      <c r="CD2237" s="160"/>
      <c r="CE2237" s="160"/>
      <c r="CF2237" s="160"/>
      <c r="CG2237" s="160"/>
      <c r="CH2237" s="160"/>
      <c r="CI2237" s="160"/>
      <c r="CJ2237" s="160"/>
      <c r="CK2237" s="160"/>
      <c r="CL2237" s="160"/>
      <c r="CM2237" s="160"/>
      <c r="CN2237" s="160"/>
      <c r="CO2237" s="160"/>
      <c r="CP2237" s="162"/>
      <c r="CQ2237" s="163"/>
      <c r="CR2237" s="162"/>
      <c r="CS2237" s="163"/>
      <c r="CT2237" s="162"/>
      <c r="CU2237" s="163"/>
      <c r="CV2237" s="164">
        <f t="shared" si="274"/>
        <v>0</v>
      </c>
      <c r="CW2237" s="165"/>
      <c r="CX2237" s="166"/>
      <c r="CY2237" s="167"/>
      <c r="CZ2237" s="168"/>
      <c r="DA2237" s="169"/>
      <c r="DB2237" s="168"/>
      <c r="DC2237" s="165"/>
      <c r="DD2237" s="166"/>
      <c r="DE2237" s="71"/>
      <c r="DF2237" s="170"/>
      <c r="EO2237" s="375" t="str">
        <f t="shared" si="275"/>
        <v>NARIÑO_CUMBAL</v>
      </c>
      <c r="EP2237" s="376"/>
      <c r="EQ2237" s="376"/>
      <c r="ER2237" s="377"/>
      <c r="ES2237" s="376"/>
      <c r="ET2237" s="376"/>
      <c r="EU2237" s="376"/>
    </row>
    <row r="2238" spans="1:151" s="171" customFormat="1" ht="25.5" x14ac:dyDescent="0.2">
      <c r="A2238" s="242">
        <v>40527</v>
      </c>
      <c r="B2238" s="222" t="s">
        <v>2245</v>
      </c>
      <c r="C2238" s="222" t="s">
        <v>578</v>
      </c>
      <c r="D2238" s="430" t="s">
        <v>837</v>
      </c>
      <c r="E2238" s="107" t="str">
        <f>VLOOKUP(B2238&amp;C2238,Divipola!$C$2:$F$1138,4,FALSE)</f>
        <v>52233</v>
      </c>
      <c r="F2238" s="333"/>
      <c r="G2238" s="221"/>
      <c r="H2238" s="157"/>
      <c r="I2238" s="157"/>
      <c r="J2238" s="157">
        <v>183</v>
      </c>
      <c r="K2238" s="157">
        <v>183</v>
      </c>
      <c r="L2238" s="157"/>
      <c r="M2238" s="157"/>
      <c r="N2238" s="157"/>
      <c r="O2238" s="157"/>
      <c r="P2238" s="157"/>
      <c r="Q2238" s="157"/>
      <c r="R2238" s="157"/>
      <c r="S2238" s="157"/>
      <c r="T2238" s="157"/>
      <c r="U2238" s="157"/>
      <c r="V2238" s="158">
        <v>445.9</v>
      </c>
      <c r="W2238" s="301" t="s">
        <v>3879</v>
      </c>
      <c r="X2238" s="1"/>
      <c r="Y2238" s="78">
        <f t="shared" si="271"/>
        <v>0</v>
      </c>
      <c r="Z2238" s="78">
        <f t="shared" si="272"/>
        <v>0</v>
      </c>
      <c r="AA2238" s="78">
        <f t="shared" si="277"/>
        <v>0</v>
      </c>
      <c r="AB2238" s="78">
        <f t="shared" si="273"/>
        <v>0</v>
      </c>
      <c r="AC2238" s="78"/>
      <c r="AD2238" s="78">
        <v>0</v>
      </c>
      <c r="AE2238" s="80">
        <f t="shared" si="276"/>
        <v>0</v>
      </c>
      <c r="AF2238" s="82">
        <v>0</v>
      </c>
      <c r="AG2238" s="295">
        <v>40617</v>
      </c>
      <c r="AH2238" s="296"/>
      <c r="AI2238" s="295" t="s">
        <v>1984</v>
      </c>
      <c r="AJ2238" s="297" t="s">
        <v>1985</v>
      </c>
      <c r="AK2238" s="298"/>
      <c r="AL2238" s="310" t="s">
        <v>1257</v>
      </c>
      <c r="AM2238" s="311" t="s">
        <v>3880</v>
      </c>
      <c r="AN2238" s="159"/>
      <c r="AO2238" s="160"/>
      <c r="AP2238" s="161"/>
      <c r="AQ2238" s="160"/>
      <c r="AR2238" s="160"/>
      <c r="AS2238" s="160"/>
      <c r="AT2238" s="160"/>
      <c r="AU2238" s="160"/>
      <c r="AV2238" s="160"/>
      <c r="AW2238" s="160"/>
      <c r="AX2238" s="160"/>
      <c r="AY2238" s="160"/>
      <c r="AZ2238" s="160"/>
      <c r="BA2238" s="160"/>
      <c r="BB2238" s="160"/>
      <c r="BC2238" s="160"/>
      <c r="BD2238" s="160"/>
      <c r="BE2238" s="160"/>
      <c r="BF2238" s="160"/>
      <c r="BG2238" s="160"/>
      <c r="BH2238" s="160"/>
      <c r="BI2238" s="160"/>
      <c r="BJ2238" s="160"/>
      <c r="BK2238" s="160"/>
      <c r="BL2238" s="160"/>
      <c r="BM2238" s="160"/>
      <c r="BN2238" s="160"/>
      <c r="BO2238" s="160"/>
      <c r="BP2238" s="160"/>
      <c r="BQ2238" s="160"/>
      <c r="BR2238" s="160"/>
      <c r="BS2238" s="160"/>
      <c r="BT2238" s="160"/>
      <c r="BU2238" s="160"/>
      <c r="BV2238" s="160"/>
      <c r="BW2238" s="160"/>
      <c r="BX2238" s="160"/>
      <c r="BY2238" s="160"/>
      <c r="BZ2238" s="160"/>
      <c r="CA2238" s="160"/>
      <c r="CB2238" s="160"/>
      <c r="CC2238" s="160"/>
      <c r="CD2238" s="160"/>
      <c r="CE2238" s="160"/>
      <c r="CF2238" s="160"/>
      <c r="CG2238" s="160"/>
      <c r="CH2238" s="160"/>
      <c r="CI2238" s="160"/>
      <c r="CJ2238" s="160"/>
      <c r="CK2238" s="160"/>
      <c r="CL2238" s="160"/>
      <c r="CM2238" s="160"/>
      <c r="CN2238" s="160"/>
      <c r="CO2238" s="160"/>
      <c r="CP2238" s="162"/>
      <c r="CQ2238" s="163"/>
      <c r="CR2238" s="162"/>
      <c r="CS2238" s="163"/>
      <c r="CT2238" s="162"/>
      <c r="CU2238" s="163"/>
      <c r="CV2238" s="164">
        <f t="shared" si="274"/>
        <v>0</v>
      </c>
      <c r="CW2238" s="165"/>
      <c r="CX2238" s="166"/>
      <c r="CY2238" s="167"/>
      <c r="CZ2238" s="168"/>
      <c r="DA2238" s="169"/>
      <c r="DB2238" s="168"/>
      <c r="DC2238" s="165"/>
      <c r="DD2238" s="166"/>
      <c r="DE2238" s="71"/>
      <c r="DF2238" s="170"/>
      <c r="EO2238" s="375" t="str">
        <f t="shared" si="275"/>
        <v>NARIÑO_CUMBITARA</v>
      </c>
      <c r="EP2238" s="376"/>
      <c r="EQ2238" s="376"/>
      <c r="ER2238" s="377"/>
      <c r="ES2238" s="376"/>
      <c r="ET2238" s="376"/>
      <c r="EU2238" s="376"/>
    </row>
    <row r="2239" spans="1:151" s="171" customFormat="1" ht="25.5" x14ac:dyDescent="0.2">
      <c r="A2239" s="242">
        <v>40527</v>
      </c>
      <c r="B2239" s="222" t="s">
        <v>2245</v>
      </c>
      <c r="C2239" s="222" t="s">
        <v>375</v>
      </c>
      <c r="D2239" s="430" t="s">
        <v>2307</v>
      </c>
      <c r="E2239" s="107" t="str">
        <f>VLOOKUP(B2239&amp;C2239,Divipola!$C$2:$F$1138,4,FALSE)</f>
        <v>52254</v>
      </c>
      <c r="F2239" s="333"/>
      <c r="G2239" s="221"/>
      <c r="H2239" s="157"/>
      <c r="I2239" s="157"/>
      <c r="J2239" s="157">
        <v>922</v>
      </c>
      <c r="K2239" s="157">
        <v>254</v>
      </c>
      <c r="L2239" s="157">
        <v>4</v>
      </c>
      <c r="M2239" s="157"/>
      <c r="N2239" s="157">
        <v>13</v>
      </c>
      <c r="O2239" s="157"/>
      <c r="P2239" s="157"/>
      <c r="Q2239" s="157"/>
      <c r="R2239" s="157"/>
      <c r="S2239" s="157"/>
      <c r="T2239" s="157"/>
      <c r="U2239" s="157"/>
      <c r="V2239" s="158"/>
      <c r="W2239" s="182"/>
      <c r="X2239" s="1"/>
      <c r="Y2239" s="78">
        <f t="shared" si="271"/>
        <v>0</v>
      </c>
      <c r="Z2239" s="78">
        <f t="shared" si="272"/>
        <v>0</v>
      </c>
      <c r="AA2239" s="78">
        <f t="shared" si="277"/>
        <v>0</v>
      </c>
      <c r="AB2239" s="78">
        <f t="shared" si="273"/>
        <v>0</v>
      </c>
      <c r="AC2239" s="78"/>
      <c r="AD2239" s="78">
        <v>0</v>
      </c>
      <c r="AE2239" s="80">
        <f t="shared" si="276"/>
        <v>0</v>
      </c>
      <c r="AF2239" s="82">
        <v>0</v>
      </c>
      <c r="AG2239" s="69">
        <v>40581</v>
      </c>
      <c r="AH2239" s="84"/>
      <c r="AI2239" s="69" t="s">
        <v>1984</v>
      </c>
      <c r="AJ2239" s="25" t="s">
        <v>1985</v>
      </c>
      <c r="AK2239" s="65"/>
      <c r="AL2239" s="176" t="s">
        <v>1257</v>
      </c>
      <c r="AM2239" s="173" t="s">
        <v>349</v>
      </c>
      <c r="AN2239" s="159"/>
      <c r="AO2239" s="160"/>
      <c r="AP2239" s="161"/>
      <c r="AQ2239" s="160"/>
      <c r="AR2239" s="160"/>
      <c r="AS2239" s="160"/>
      <c r="AT2239" s="160"/>
      <c r="AU2239" s="160"/>
      <c r="AV2239" s="160"/>
      <c r="AW2239" s="160"/>
      <c r="AX2239" s="160"/>
      <c r="AY2239" s="160"/>
      <c r="AZ2239" s="160"/>
      <c r="BA2239" s="160"/>
      <c r="BB2239" s="160"/>
      <c r="BC2239" s="160"/>
      <c r="BD2239" s="160"/>
      <c r="BE2239" s="160"/>
      <c r="BF2239" s="160"/>
      <c r="BG2239" s="160"/>
      <c r="BH2239" s="160"/>
      <c r="BI2239" s="160"/>
      <c r="BJ2239" s="160"/>
      <c r="BK2239" s="160"/>
      <c r="BL2239" s="160"/>
      <c r="BM2239" s="160"/>
      <c r="BN2239" s="160"/>
      <c r="BO2239" s="160"/>
      <c r="BP2239" s="160"/>
      <c r="BQ2239" s="160"/>
      <c r="BR2239" s="160"/>
      <c r="BS2239" s="160"/>
      <c r="BT2239" s="160"/>
      <c r="BU2239" s="160"/>
      <c r="BV2239" s="160"/>
      <c r="BW2239" s="160"/>
      <c r="BX2239" s="160"/>
      <c r="BY2239" s="160"/>
      <c r="BZ2239" s="160"/>
      <c r="CA2239" s="160"/>
      <c r="CB2239" s="160"/>
      <c r="CC2239" s="160"/>
      <c r="CD2239" s="160"/>
      <c r="CE2239" s="160"/>
      <c r="CF2239" s="160"/>
      <c r="CG2239" s="160"/>
      <c r="CH2239" s="160"/>
      <c r="CI2239" s="160"/>
      <c r="CJ2239" s="160"/>
      <c r="CK2239" s="160"/>
      <c r="CL2239" s="160"/>
      <c r="CM2239" s="160"/>
      <c r="CN2239" s="160"/>
      <c r="CO2239" s="160"/>
      <c r="CP2239" s="162"/>
      <c r="CQ2239" s="163"/>
      <c r="CR2239" s="162"/>
      <c r="CS2239" s="163"/>
      <c r="CT2239" s="162"/>
      <c r="CU2239" s="163"/>
      <c r="CV2239" s="164">
        <f t="shared" si="274"/>
        <v>0</v>
      </c>
      <c r="CW2239" s="165"/>
      <c r="CX2239" s="166"/>
      <c r="CY2239" s="167"/>
      <c r="CZ2239" s="168"/>
      <c r="DA2239" s="169"/>
      <c r="DB2239" s="168"/>
      <c r="DC2239" s="165"/>
      <c r="DD2239" s="166"/>
      <c r="DE2239" s="71"/>
      <c r="DF2239" s="170"/>
      <c r="EO2239" s="375" t="str">
        <f t="shared" si="275"/>
        <v>NARIÑO_EL PEÑOL</v>
      </c>
      <c r="EP2239" s="376"/>
      <c r="EQ2239" s="376"/>
      <c r="ER2239" s="377"/>
      <c r="ES2239" s="376"/>
      <c r="ET2239" s="376"/>
      <c r="EU2239" s="376"/>
    </row>
    <row r="2240" spans="1:151" s="171" customFormat="1" ht="25.5" x14ac:dyDescent="0.2">
      <c r="A2240" s="242">
        <v>40527</v>
      </c>
      <c r="B2240" s="222" t="s">
        <v>2245</v>
      </c>
      <c r="C2240" s="222" t="s">
        <v>375</v>
      </c>
      <c r="D2240" s="430" t="s">
        <v>837</v>
      </c>
      <c r="E2240" s="107" t="str">
        <f>VLOOKUP(B2240&amp;C2240,Divipola!$C$2:$F$1138,4,FALSE)</f>
        <v>52254</v>
      </c>
      <c r="F2240" s="333"/>
      <c r="G2240" s="221"/>
      <c r="H2240" s="157"/>
      <c r="I2240" s="157"/>
      <c r="J2240" s="157">
        <v>618</v>
      </c>
      <c r="K2240" s="157">
        <v>618</v>
      </c>
      <c r="L2240" s="157"/>
      <c r="M2240" s="157"/>
      <c r="N2240" s="157"/>
      <c r="O2240" s="157"/>
      <c r="P2240" s="157"/>
      <c r="Q2240" s="157"/>
      <c r="R2240" s="157"/>
      <c r="S2240" s="157"/>
      <c r="T2240" s="157"/>
      <c r="U2240" s="157"/>
      <c r="V2240" s="158">
        <v>530</v>
      </c>
      <c r="W2240" s="301" t="s">
        <v>3879</v>
      </c>
      <c r="X2240" s="1"/>
      <c r="Y2240" s="78">
        <f t="shared" si="271"/>
        <v>0</v>
      </c>
      <c r="Z2240" s="78">
        <f t="shared" si="272"/>
        <v>0</v>
      </c>
      <c r="AA2240" s="78">
        <f t="shared" si="277"/>
        <v>0</v>
      </c>
      <c r="AB2240" s="78">
        <f t="shared" si="273"/>
        <v>0</v>
      </c>
      <c r="AC2240" s="78"/>
      <c r="AD2240" s="78">
        <v>0</v>
      </c>
      <c r="AE2240" s="80">
        <f t="shared" si="276"/>
        <v>0</v>
      </c>
      <c r="AF2240" s="82">
        <v>0</v>
      </c>
      <c r="AG2240" s="295">
        <v>40617</v>
      </c>
      <c r="AH2240" s="296"/>
      <c r="AI2240" s="295" t="s">
        <v>1984</v>
      </c>
      <c r="AJ2240" s="297" t="s">
        <v>1985</v>
      </c>
      <c r="AK2240" s="298"/>
      <c r="AL2240" s="310" t="s">
        <v>1257</v>
      </c>
      <c r="AM2240" s="311" t="s">
        <v>3880</v>
      </c>
      <c r="AN2240" s="159"/>
      <c r="AO2240" s="160"/>
      <c r="AP2240" s="161"/>
      <c r="AQ2240" s="160"/>
      <c r="AR2240" s="160"/>
      <c r="AS2240" s="160"/>
      <c r="AT2240" s="160"/>
      <c r="AU2240" s="160"/>
      <c r="AV2240" s="160"/>
      <c r="AW2240" s="160"/>
      <c r="AX2240" s="160"/>
      <c r="AY2240" s="160"/>
      <c r="AZ2240" s="160"/>
      <c r="BA2240" s="160"/>
      <c r="BB2240" s="160"/>
      <c r="BC2240" s="160"/>
      <c r="BD2240" s="160"/>
      <c r="BE2240" s="160"/>
      <c r="BF2240" s="160"/>
      <c r="BG2240" s="160"/>
      <c r="BH2240" s="160"/>
      <c r="BI2240" s="160"/>
      <c r="BJ2240" s="160"/>
      <c r="BK2240" s="160"/>
      <c r="BL2240" s="160"/>
      <c r="BM2240" s="160"/>
      <c r="BN2240" s="160"/>
      <c r="BO2240" s="160"/>
      <c r="BP2240" s="160"/>
      <c r="BQ2240" s="160"/>
      <c r="BR2240" s="160"/>
      <c r="BS2240" s="160"/>
      <c r="BT2240" s="160"/>
      <c r="BU2240" s="160"/>
      <c r="BV2240" s="160"/>
      <c r="BW2240" s="160"/>
      <c r="BX2240" s="160"/>
      <c r="BY2240" s="160"/>
      <c r="BZ2240" s="160"/>
      <c r="CA2240" s="160"/>
      <c r="CB2240" s="160"/>
      <c r="CC2240" s="160"/>
      <c r="CD2240" s="160"/>
      <c r="CE2240" s="160"/>
      <c r="CF2240" s="160"/>
      <c r="CG2240" s="160"/>
      <c r="CH2240" s="160"/>
      <c r="CI2240" s="160"/>
      <c r="CJ2240" s="160"/>
      <c r="CK2240" s="160"/>
      <c r="CL2240" s="160"/>
      <c r="CM2240" s="160"/>
      <c r="CN2240" s="160"/>
      <c r="CO2240" s="160"/>
      <c r="CP2240" s="162"/>
      <c r="CQ2240" s="163"/>
      <c r="CR2240" s="162"/>
      <c r="CS2240" s="163"/>
      <c r="CT2240" s="162"/>
      <c r="CU2240" s="163"/>
      <c r="CV2240" s="164">
        <f t="shared" si="274"/>
        <v>0</v>
      </c>
      <c r="CW2240" s="165"/>
      <c r="CX2240" s="166"/>
      <c r="CY2240" s="167"/>
      <c r="CZ2240" s="168"/>
      <c r="DA2240" s="169"/>
      <c r="DB2240" s="168"/>
      <c r="DC2240" s="165"/>
      <c r="DD2240" s="166"/>
      <c r="DE2240" s="71"/>
      <c r="DF2240" s="170"/>
      <c r="EO2240" s="375" t="str">
        <f t="shared" si="275"/>
        <v>NARIÑO_EL PEÑOL</v>
      </c>
      <c r="EP2240" s="376"/>
      <c r="EQ2240" s="376"/>
      <c r="ER2240" s="377"/>
      <c r="ES2240" s="376"/>
      <c r="ET2240" s="376"/>
      <c r="EU2240" s="376"/>
    </row>
    <row r="2241" spans="1:151" s="171" customFormat="1" ht="25.5" x14ac:dyDescent="0.2">
      <c r="A2241" s="242">
        <v>40527</v>
      </c>
      <c r="B2241" s="222" t="s">
        <v>2245</v>
      </c>
      <c r="C2241" s="222" t="s">
        <v>460</v>
      </c>
      <c r="D2241" s="430" t="s">
        <v>837</v>
      </c>
      <c r="E2241" s="107" t="str">
        <f>VLOOKUP(B2241&amp;C2241,Divipola!$C$2:$F$1138,4,FALSE)</f>
        <v>52256</v>
      </c>
      <c r="F2241" s="333"/>
      <c r="G2241" s="221"/>
      <c r="H2241" s="157"/>
      <c r="I2241" s="157"/>
      <c r="J2241" s="157">
        <v>215</v>
      </c>
      <c r="K2241" s="157">
        <v>215</v>
      </c>
      <c r="L2241" s="157"/>
      <c r="M2241" s="157"/>
      <c r="N2241" s="157"/>
      <c r="O2241" s="157"/>
      <c r="P2241" s="157"/>
      <c r="Q2241" s="157"/>
      <c r="R2241" s="157"/>
      <c r="S2241" s="157"/>
      <c r="T2241" s="157"/>
      <c r="U2241" s="157"/>
      <c r="V2241" s="158">
        <v>369.9</v>
      </c>
      <c r="W2241" s="301" t="s">
        <v>3879</v>
      </c>
      <c r="X2241" s="1"/>
      <c r="Y2241" s="78">
        <f t="shared" si="271"/>
        <v>0</v>
      </c>
      <c r="Z2241" s="78">
        <f t="shared" si="272"/>
        <v>0</v>
      </c>
      <c r="AA2241" s="78">
        <f t="shared" si="277"/>
        <v>0</v>
      </c>
      <c r="AB2241" s="78">
        <f t="shared" si="273"/>
        <v>0</v>
      </c>
      <c r="AC2241" s="78"/>
      <c r="AD2241" s="78">
        <v>0</v>
      </c>
      <c r="AE2241" s="80">
        <f t="shared" si="276"/>
        <v>0</v>
      </c>
      <c r="AF2241" s="82">
        <v>0</v>
      </c>
      <c r="AG2241" s="295">
        <v>40617</v>
      </c>
      <c r="AH2241" s="296"/>
      <c r="AI2241" s="295" t="s">
        <v>1984</v>
      </c>
      <c r="AJ2241" s="297" t="s">
        <v>1985</v>
      </c>
      <c r="AK2241" s="298"/>
      <c r="AL2241" s="310" t="s">
        <v>1257</v>
      </c>
      <c r="AM2241" s="311" t="s">
        <v>3880</v>
      </c>
      <c r="AN2241" s="159"/>
      <c r="AO2241" s="160"/>
      <c r="AP2241" s="161"/>
      <c r="AQ2241" s="160"/>
      <c r="AR2241" s="160"/>
      <c r="AS2241" s="160"/>
      <c r="AT2241" s="160"/>
      <c r="AU2241" s="160"/>
      <c r="AV2241" s="160"/>
      <c r="AW2241" s="160"/>
      <c r="AX2241" s="160"/>
      <c r="AY2241" s="160"/>
      <c r="AZ2241" s="160"/>
      <c r="BA2241" s="160"/>
      <c r="BB2241" s="160"/>
      <c r="BC2241" s="160"/>
      <c r="BD2241" s="160"/>
      <c r="BE2241" s="160"/>
      <c r="BF2241" s="160"/>
      <c r="BG2241" s="160"/>
      <c r="BH2241" s="160"/>
      <c r="BI2241" s="160"/>
      <c r="BJ2241" s="160"/>
      <c r="BK2241" s="160"/>
      <c r="BL2241" s="160"/>
      <c r="BM2241" s="160"/>
      <c r="BN2241" s="160"/>
      <c r="BO2241" s="160"/>
      <c r="BP2241" s="160"/>
      <c r="BQ2241" s="160"/>
      <c r="BR2241" s="160"/>
      <c r="BS2241" s="160"/>
      <c r="BT2241" s="160"/>
      <c r="BU2241" s="160"/>
      <c r="BV2241" s="160"/>
      <c r="BW2241" s="160"/>
      <c r="BX2241" s="160"/>
      <c r="BY2241" s="160"/>
      <c r="BZ2241" s="160"/>
      <c r="CA2241" s="160"/>
      <c r="CB2241" s="160"/>
      <c r="CC2241" s="160"/>
      <c r="CD2241" s="160"/>
      <c r="CE2241" s="160"/>
      <c r="CF2241" s="160"/>
      <c r="CG2241" s="160"/>
      <c r="CH2241" s="160"/>
      <c r="CI2241" s="160"/>
      <c r="CJ2241" s="160"/>
      <c r="CK2241" s="160"/>
      <c r="CL2241" s="160"/>
      <c r="CM2241" s="160"/>
      <c r="CN2241" s="160"/>
      <c r="CO2241" s="160"/>
      <c r="CP2241" s="162"/>
      <c r="CQ2241" s="163"/>
      <c r="CR2241" s="162"/>
      <c r="CS2241" s="163"/>
      <c r="CT2241" s="162"/>
      <c r="CU2241" s="163"/>
      <c r="CV2241" s="164">
        <f t="shared" si="274"/>
        <v>0</v>
      </c>
      <c r="CW2241" s="165"/>
      <c r="CX2241" s="166"/>
      <c r="CY2241" s="167"/>
      <c r="CZ2241" s="168"/>
      <c r="DA2241" s="169"/>
      <c r="DB2241" s="168"/>
      <c r="DC2241" s="165"/>
      <c r="DD2241" s="166"/>
      <c r="DE2241" s="71"/>
      <c r="DF2241" s="170"/>
      <c r="EO2241" s="375" t="str">
        <f t="shared" si="275"/>
        <v>NARIÑO_EL ROSARIO</v>
      </c>
      <c r="EP2241" s="376"/>
      <c r="EQ2241" s="376"/>
      <c r="ER2241" s="377"/>
      <c r="ES2241" s="376"/>
      <c r="ET2241" s="376"/>
      <c r="EU2241" s="376"/>
    </row>
    <row r="2242" spans="1:151" s="171" customFormat="1" ht="38.25" x14ac:dyDescent="0.2">
      <c r="A2242" s="242">
        <v>40527</v>
      </c>
      <c r="B2242" s="222" t="s">
        <v>2245</v>
      </c>
      <c r="C2242" s="222" t="s">
        <v>4495</v>
      </c>
      <c r="D2242" s="430" t="s">
        <v>837</v>
      </c>
      <c r="E2242" s="107" t="str">
        <f>VLOOKUP(B2242&amp;C2242,Divipola!$C$2:$F$1138,4,FALSE)</f>
        <v>52258</v>
      </c>
      <c r="F2242" s="333"/>
      <c r="G2242" s="221"/>
      <c r="H2242" s="157"/>
      <c r="I2242" s="157"/>
      <c r="J2242" s="157">
        <v>98</v>
      </c>
      <c r="K2242" s="157">
        <v>98</v>
      </c>
      <c r="L2242" s="157"/>
      <c r="M2242" s="157"/>
      <c r="N2242" s="157"/>
      <c r="O2242" s="157"/>
      <c r="P2242" s="157"/>
      <c r="Q2242" s="157"/>
      <c r="R2242" s="157"/>
      <c r="S2242" s="157"/>
      <c r="T2242" s="157"/>
      <c r="U2242" s="157"/>
      <c r="V2242" s="158">
        <v>172.55</v>
      </c>
      <c r="W2242" s="301" t="s">
        <v>3879</v>
      </c>
      <c r="X2242" s="1"/>
      <c r="Y2242" s="78">
        <f t="shared" si="271"/>
        <v>0</v>
      </c>
      <c r="Z2242" s="78">
        <f t="shared" si="272"/>
        <v>0</v>
      </c>
      <c r="AA2242" s="78">
        <f t="shared" si="277"/>
        <v>0</v>
      </c>
      <c r="AB2242" s="78">
        <f t="shared" si="273"/>
        <v>0</v>
      </c>
      <c r="AC2242" s="78"/>
      <c r="AD2242" s="78">
        <v>0</v>
      </c>
      <c r="AE2242" s="80">
        <f t="shared" si="276"/>
        <v>0</v>
      </c>
      <c r="AF2242" s="82">
        <v>0</v>
      </c>
      <c r="AG2242" s="295">
        <v>40617</v>
      </c>
      <c r="AH2242" s="296"/>
      <c r="AI2242" s="295" t="s">
        <v>1984</v>
      </c>
      <c r="AJ2242" s="297" t="s">
        <v>1985</v>
      </c>
      <c r="AK2242" s="298"/>
      <c r="AL2242" s="306" t="s">
        <v>1257</v>
      </c>
      <c r="AM2242" s="311" t="s">
        <v>3880</v>
      </c>
      <c r="AN2242" s="159"/>
      <c r="AO2242" s="160"/>
      <c r="AP2242" s="161"/>
      <c r="AQ2242" s="160"/>
      <c r="AR2242" s="160"/>
      <c r="AS2242" s="160"/>
      <c r="AT2242" s="160"/>
      <c r="AU2242" s="160"/>
      <c r="AV2242" s="160"/>
      <c r="AW2242" s="160"/>
      <c r="AX2242" s="160"/>
      <c r="AY2242" s="160"/>
      <c r="AZ2242" s="160"/>
      <c r="BA2242" s="160"/>
      <c r="BB2242" s="160"/>
      <c r="BC2242" s="160"/>
      <c r="BD2242" s="160"/>
      <c r="BE2242" s="160"/>
      <c r="BF2242" s="160"/>
      <c r="BG2242" s="160"/>
      <c r="BH2242" s="160"/>
      <c r="BI2242" s="160"/>
      <c r="BJ2242" s="160"/>
      <c r="BK2242" s="160"/>
      <c r="BL2242" s="160"/>
      <c r="BM2242" s="160"/>
      <c r="BN2242" s="160"/>
      <c r="BO2242" s="160"/>
      <c r="BP2242" s="160"/>
      <c r="BQ2242" s="160"/>
      <c r="BR2242" s="160"/>
      <c r="BS2242" s="160"/>
      <c r="BT2242" s="160"/>
      <c r="BU2242" s="160"/>
      <c r="BV2242" s="160"/>
      <c r="BW2242" s="160"/>
      <c r="BX2242" s="160"/>
      <c r="BY2242" s="160"/>
      <c r="BZ2242" s="160"/>
      <c r="CA2242" s="160"/>
      <c r="CB2242" s="160"/>
      <c r="CC2242" s="160"/>
      <c r="CD2242" s="160"/>
      <c r="CE2242" s="160"/>
      <c r="CF2242" s="160"/>
      <c r="CG2242" s="160"/>
      <c r="CH2242" s="160"/>
      <c r="CI2242" s="160"/>
      <c r="CJ2242" s="160"/>
      <c r="CK2242" s="160"/>
      <c r="CL2242" s="160"/>
      <c r="CM2242" s="160"/>
      <c r="CN2242" s="160"/>
      <c r="CO2242" s="160"/>
      <c r="CP2242" s="162"/>
      <c r="CQ2242" s="163"/>
      <c r="CR2242" s="162"/>
      <c r="CS2242" s="163"/>
      <c r="CT2242" s="162"/>
      <c r="CU2242" s="163"/>
      <c r="CV2242" s="164">
        <f t="shared" si="274"/>
        <v>0</v>
      </c>
      <c r="CW2242" s="165"/>
      <c r="CX2242" s="166"/>
      <c r="CY2242" s="167"/>
      <c r="CZ2242" s="168"/>
      <c r="DA2242" s="169"/>
      <c r="DB2242" s="168"/>
      <c r="DC2242" s="165"/>
      <c r="DD2242" s="166"/>
      <c r="DE2242" s="71"/>
      <c r="DF2242" s="170"/>
      <c r="EO2242" s="375" t="str">
        <f t="shared" si="275"/>
        <v>NARIÑO_EL TABLON DE GOMEZ</v>
      </c>
      <c r="EP2242" s="376"/>
      <c r="EQ2242" s="376"/>
      <c r="ER2242" s="377"/>
      <c r="ES2242" s="376"/>
      <c r="ET2242" s="376"/>
      <c r="EU2242" s="376"/>
    </row>
    <row r="2243" spans="1:151" s="287" customFormat="1" ht="25.5" x14ac:dyDescent="0.2">
      <c r="A2243" s="242">
        <v>40527</v>
      </c>
      <c r="B2243" s="222" t="s">
        <v>2245</v>
      </c>
      <c r="C2243" s="222" t="s">
        <v>170</v>
      </c>
      <c r="D2243" s="430" t="s">
        <v>837</v>
      </c>
      <c r="E2243" s="107" t="str">
        <f>VLOOKUP(B2243&amp;C2243,Divipola!$C$2:$F$1138,4,FALSE)</f>
        <v>52260</v>
      </c>
      <c r="F2243" s="333"/>
      <c r="G2243" s="221"/>
      <c r="H2243" s="157"/>
      <c r="I2243" s="157"/>
      <c r="J2243" s="157">
        <v>279</v>
      </c>
      <c r="K2243" s="157">
        <v>279</v>
      </c>
      <c r="L2243" s="157"/>
      <c r="M2243" s="157"/>
      <c r="N2243" s="157"/>
      <c r="O2243" s="157"/>
      <c r="P2243" s="157"/>
      <c r="Q2243" s="157"/>
      <c r="R2243" s="157"/>
      <c r="S2243" s="157"/>
      <c r="T2243" s="157"/>
      <c r="U2243" s="157"/>
      <c r="V2243" s="158">
        <v>293.77</v>
      </c>
      <c r="W2243" s="301" t="s">
        <v>3879</v>
      </c>
      <c r="X2243" s="1"/>
      <c r="Y2243" s="78">
        <f t="shared" ref="Y2243:Y2306" si="278">CV2243</f>
        <v>0</v>
      </c>
      <c r="Z2243" s="78">
        <f t="shared" ref="Z2243:Z2306" si="279">CZ2243</f>
        <v>0</v>
      </c>
      <c r="AA2243" s="78">
        <f t="shared" si="277"/>
        <v>0</v>
      </c>
      <c r="AB2243" s="78">
        <f t="shared" ref="AB2243:AB2306" si="280">CX2243</f>
        <v>0</v>
      </c>
      <c r="AC2243" s="78"/>
      <c r="AD2243" s="78">
        <v>0</v>
      </c>
      <c r="AE2243" s="80">
        <f t="shared" si="276"/>
        <v>0</v>
      </c>
      <c r="AF2243" s="82">
        <v>0</v>
      </c>
      <c r="AG2243" s="295">
        <v>40617</v>
      </c>
      <c r="AH2243" s="296"/>
      <c r="AI2243" s="295" t="s">
        <v>1984</v>
      </c>
      <c r="AJ2243" s="297" t="s">
        <v>1985</v>
      </c>
      <c r="AK2243" s="298"/>
      <c r="AL2243" s="310" t="s">
        <v>1257</v>
      </c>
      <c r="AM2243" s="311" t="s">
        <v>3880</v>
      </c>
      <c r="AN2243" s="159"/>
      <c r="AO2243" s="160"/>
      <c r="AP2243" s="161"/>
      <c r="AQ2243" s="160"/>
      <c r="AR2243" s="160"/>
      <c r="AS2243" s="160"/>
      <c r="AT2243" s="160"/>
      <c r="AU2243" s="160"/>
      <c r="AV2243" s="160"/>
      <c r="AW2243" s="160"/>
      <c r="AX2243" s="160"/>
      <c r="AY2243" s="160"/>
      <c r="AZ2243" s="160"/>
      <c r="BA2243" s="160"/>
      <c r="BB2243" s="160"/>
      <c r="BC2243" s="160"/>
      <c r="BD2243" s="160"/>
      <c r="BE2243" s="160"/>
      <c r="BF2243" s="160"/>
      <c r="BG2243" s="160"/>
      <c r="BH2243" s="160"/>
      <c r="BI2243" s="160"/>
      <c r="BJ2243" s="160"/>
      <c r="BK2243" s="160"/>
      <c r="BL2243" s="160"/>
      <c r="BM2243" s="160"/>
      <c r="BN2243" s="160"/>
      <c r="BO2243" s="160"/>
      <c r="BP2243" s="160"/>
      <c r="BQ2243" s="160"/>
      <c r="BR2243" s="160"/>
      <c r="BS2243" s="160"/>
      <c r="BT2243" s="160"/>
      <c r="BU2243" s="160"/>
      <c r="BV2243" s="160"/>
      <c r="BW2243" s="160"/>
      <c r="BX2243" s="160"/>
      <c r="BY2243" s="160"/>
      <c r="BZ2243" s="160"/>
      <c r="CA2243" s="160"/>
      <c r="CB2243" s="160"/>
      <c r="CC2243" s="160"/>
      <c r="CD2243" s="160"/>
      <c r="CE2243" s="160"/>
      <c r="CF2243" s="160"/>
      <c r="CG2243" s="160"/>
      <c r="CH2243" s="160"/>
      <c r="CI2243" s="160"/>
      <c r="CJ2243" s="160"/>
      <c r="CK2243" s="160"/>
      <c r="CL2243" s="160"/>
      <c r="CM2243" s="160"/>
      <c r="CN2243" s="160"/>
      <c r="CO2243" s="160"/>
      <c r="CP2243" s="162"/>
      <c r="CQ2243" s="163"/>
      <c r="CR2243" s="162"/>
      <c r="CS2243" s="163"/>
      <c r="CT2243" s="162"/>
      <c r="CU2243" s="163"/>
      <c r="CV2243" s="164">
        <f t="shared" ref="CV2243:CV2306" si="281">AO2243+AQ2243+AS2243+AU2243+AW2243+AY2243+BA2243+BC2243+BE2243+BG2243+BI2243+BK2243+BM2243+BO2243+BQ2243+BS2243+BU2243+BW2243+BY2243+CA2243+CC2243+CE2243+CG2243+CI2243+CK2243+CM2243+CO2243+CQ2243+CS2243+CU2243</f>
        <v>0</v>
      </c>
      <c r="CW2243" s="165"/>
      <c r="CX2243" s="166"/>
      <c r="CY2243" s="167"/>
      <c r="CZ2243" s="168"/>
      <c r="DA2243" s="169"/>
      <c r="DB2243" s="168"/>
      <c r="DC2243" s="165"/>
      <c r="DD2243" s="166"/>
      <c r="DE2243" s="71"/>
      <c r="DF2243" s="170"/>
      <c r="EO2243" s="375" t="str">
        <f t="shared" ref="EO2243:EO2306" si="282">B2243&amp;"_"&amp;C2243</f>
        <v>NARIÑO_EL TAMBO</v>
      </c>
      <c r="EP2243" s="376"/>
      <c r="EQ2243" s="376"/>
      <c r="ER2243" s="377"/>
      <c r="ES2243" s="376"/>
      <c r="ET2243" s="376"/>
      <c r="EU2243" s="376"/>
    </row>
    <row r="2244" spans="1:151" s="287" customFormat="1" ht="38.25" x14ac:dyDescent="0.2">
      <c r="A2244" s="242">
        <v>40527</v>
      </c>
      <c r="B2244" s="222" t="s">
        <v>2245</v>
      </c>
      <c r="C2244" s="222" t="s">
        <v>336</v>
      </c>
      <c r="D2244" s="430" t="s">
        <v>837</v>
      </c>
      <c r="E2244" s="107" t="str">
        <f>VLOOKUP(B2244&amp;C2244,Divipola!$C$2:$F$1138,4,FALSE)</f>
        <v>52520</v>
      </c>
      <c r="F2244" s="333"/>
      <c r="G2244" s="221"/>
      <c r="H2244" s="157"/>
      <c r="I2244" s="157"/>
      <c r="J2244" s="157">
        <v>686</v>
      </c>
      <c r="K2244" s="157">
        <v>686</v>
      </c>
      <c r="L2244" s="157"/>
      <c r="M2244" s="157"/>
      <c r="N2244" s="157"/>
      <c r="O2244" s="157"/>
      <c r="P2244" s="157"/>
      <c r="Q2244" s="157"/>
      <c r="R2244" s="157"/>
      <c r="S2244" s="157"/>
      <c r="T2244" s="157"/>
      <c r="U2244" s="157"/>
      <c r="V2244" s="158">
        <v>1238</v>
      </c>
      <c r="W2244" s="301" t="s">
        <v>3879</v>
      </c>
      <c r="X2244" s="1"/>
      <c r="Y2244" s="78">
        <f t="shared" si="278"/>
        <v>0</v>
      </c>
      <c r="Z2244" s="78">
        <f t="shared" si="279"/>
        <v>0</v>
      </c>
      <c r="AA2244" s="78">
        <f t="shared" si="277"/>
        <v>0</v>
      </c>
      <c r="AB2244" s="78">
        <f t="shared" si="280"/>
        <v>0</v>
      </c>
      <c r="AC2244" s="78"/>
      <c r="AD2244" s="78">
        <v>0</v>
      </c>
      <c r="AE2244" s="80">
        <f t="shared" si="276"/>
        <v>0</v>
      </c>
      <c r="AF2244" s="82">
        <v>0</v>
      </c>
      <c r="AG2244" s="295">
        <v>40617</v>
      </c>
      <c r="AH2244" s="296"/>
      <c r="AI2244" s="295" t="s">
        <v>1984</v>
      </c>
      <c r="AJ2244" s="297" t="s">
        <v>1985</v>
      </c>
      <c r="AK2244" s="298"/>
      <c r="AL2244" s="310" t="s">
        <v>1257</v>
      </c>
      <c r="AM2244" s="311" t="s">
        <v>3880</v>
      </c>
      <c r="AN2244" s="159"/>
      <c r="AO2244" s="160"/>
      <c r="AP2244" s="161"/>
      <c r="AQ2244" s="160"/>
      <c r="AR2244" s="160"/>
      <c r="AS2244" s="160"/>
      <c r="AT2244" s="160"/>
      <c r="AU2244" s="160"/>
      <c r="AV2244" s="160"/>
      <c r="AW2244" s="160"/>
      <c r="AX2244" s="160"/>
      <c r="AY2244" s="160"/>
      <c r="AZ2244" s="160"/>
      <c r="BA2244" s="160"/>
      <c r="BB2244" s="160"/>
      <c r="BC2244" s="160"/>
      <c r="BD2244" s="160"/>
      <c r="BE2244" s="160"/>
      <c r="BF2244" s="160"/>
      <c r="BG2244" s="160"/>
      <c r="BH2244" s="160"/>
      <c r="BI2244" s="160"/>
      <c r="BJ2244" s="160"/>
      <c r="BK2244" s="160"/>
      <c r="BL2244" s="160"/>
      <c r="BM2244" s="160"/>
      <c r="BN2244" s="160"/>
      <c r="BO2244" s="160"/>
      <c r="BP2244" s="160"/>
      <c r="BQ2244" s="160"/>
      <c r="BR2244" s="160"/>
      <c r="BS2244" s="160"/>
      <c r="BT2244" s="160"/>
      <c r="BU2244" s="160"/>
      <c r="BV2244" s="160"/>
      <c r="BW2244" s="160"/>
      <c r="BX2244" s="160"/>
      <c r="BY2244" s="160"/>
      <c r="BZ2244" s="160"/>
      <c r="CA2244" s="160"/>
      <c r="CB2244" s="160"/>
      <c r="CC2244" s="160"/>
      <c r="CD2244" s="160"/>
      <c r="CE2244" s="160"/>
      <c r="CF2244" s="160"/>
      <c r="CG2244" s="160"/>
      <c r="CH2244" s="160"/>
      <c r="CI2244" s="160"/>
      <c r="CJ2244" s="160"/>
      <c r="CK2244" s="160"/>
      <c r="CL2244" s="160"/>
      <c r="CM2244" s="160"/>
      <c r="CN2244" s="160"/>
      <c r="CO2244" s="160"/>
      <c r="CP2244" s="162"/>
      <c r="CQ2244" s="163"/>
      <c r="CR2244" s="162"/>
      <c r="CS2244" s="163"/>
      <c r="CT2244" s="162"/>
      <c r="CU2244" s="163"/>
      <c r="CV2244" s="164">
        <f t="shared" si="281"/>
        <v>0</v>
      </c>
      <c r="CW2244" s="165"/>
      <c r="CX2244" s="166"/>
      <c r="CY2244" s="167"/>
      <c r="CZ2244" s="168"/>
      <c r="DA2244" s="169"/>
      <c r="DB2244" s="168"/>
      <c r="DC2244" s="165"/>
      <c r="DD2244" s="166"/>
      <c r="DE2244" s="71"/>
      <c r="DF2244" s="170"/>
      <c r="EO2244" s="375" t="str">
        <f t="shared" si="282"/>
        <v>NARIÑO_FRANCISCO PIZARRO</v>
      </c>
      <c r="EP2244" s="376"/>
      <c r="EQ2244" s="376"/>
      <c r="ER2244" s="377"/>
      <c r="ES2244" s="376"/>
      <c r="ET2244" s="376"/>
      <c r="EU2244" s="376"/>
    </row>
    <row r="2245" spans="1:151" s="171" customFormat="1" ht="108" x14ac:dyDescent="0.2">
      <c r="A2245" s="242">
        <v>40527</v>
      </c>
      <c r="B2245" s="222" t="s">
        <v>2245</v>
      </c>
      <c r="C2245" s="222" t="s">
        <v>2999</v>
      </c>
      <c r="D2245" s="430" t="s">
        <v>2307</v>
      </c>
      <c r="E2245" s="107" t="str">
        <f>VLOOKUP(B2245&amp;C2245,Divipola!$C$2:$F$1138,4,FALSE)</f>
        <v>52287</v>
      </c>
      <c r="F2245" s="333"/>
      <c r="G2245" s="221"/>
      <c r="H2245" s="157"/>
      <c r="I2245" s="157"/>
      <c r="J2245" s="157">
        <v>389</v>
      </c>
      <c r="K2245" s="157">
        <v>103</v>
      </c>
      <c r="L2245" s="157">
        <v>2</v>
      </c>
      <c r="M2245" s="157">
        <v>91</v>
      </c>
      <c r="N2245" s="157">
        <v>10</v>
      </c>
      <c r="O2245" s="157"/>
      <c r="P2245" s="157"/>
      <c r="Q2245" s="157">
        <v>1</v>
      </c>
      <c r="R2245" s="157"/>
      <c r="S2245" s="157"/>
      <c r="T2245" s="157">
        <v>3</v>
      </c>
      <c r="U2245" s="157"/>
      <c r="V2245" s="158"/>
      <c r="W2245" s="182"/>
      <c r="X2245" s="1"/>
      <c r="Y2245" s="78">
        <f t="shared" si="278"/>
        <v>0</v>
      </c>
      <c r="Z2245" s="78">
        <f t="shared" si="279"/>
        <v>0</v>
      </c>
      <c r="AA2245" s="78">
        <f t="shared" si="277"/>
        <v>0</v>
      </c>
      <c r="AB2245" s="78">
        <f t="shared" si="280"/>
        <v>0</v>
      </c>
      <c r="AC2245" s="78"/>
      <c r="AD2245" s="78">
        <v>0</v>
      </c>
      <c r="AE2245" s="80">
        <f t="shared" si="276"/>
        <v>0</v>
      </c>
      <c r="AF2245" s="82">
        <v>0</v>
      </c>
      <c r="AG2245" s="69">
        <v>40527</v>
      </c>
      <c r="AH2245" s="84"/>
      <c r="AI2245" s="69" t="s">
        <v>1984</v>
      </c>
      <c r="AJ2245" s="25" t="s">
        <v>1985</v>
      </c>
      <c r="AK2245" s="65"/>
      <c r="AL2245" s="176" t="s">
        <v>1257</v>
      </c>
      <c r="AM2245" s="173" t="s">
        <v>3877</v>
      </c>
      <c r="AN2245" s="159"/>
      <c r="AO2245" s="160"/>
      <c r="AP2245" s="161"/>
      <c r="AQ2245" s="160"/>
      <c r="AR2245" s="160"/>
      <c r="AS2245" s="160"/>
      <c r="AT2245" s="160"/>
      <c r="AU2245" s="160"/>
      <c r="AV2245" s="160"/>
      <c r="AW2245" s="160"/>
      <c r="AX2245" s="160"/>
      <c r="AY2245" s="160"/>
      <c r="AZ2245" s="160"/>
      <c r="BA2245" s="160"/>
      <c r="BB2245" s="160"/>
      <c r="BC2245" s="160"/>
      <c r="BD2245" s="160"/>
      <c r="BE2245" s="160"/>
      <c r="BF2245" s="160"/>
      <c r="BG2245" s="160"/>
      <c r="BH2245" s="160"/>
      <c r="BI2245" s="160"/>
      <c r="BJ2245" s="160"/>
      <c r="BK2245" s="160"/>
      <c r="BL2245" s="160"/>
      <c r="BM2245" s="160"/>
      <c r="BN2245" s="160"/>
      <c r="BO2245" s="160"/>
      <c r="BP2245" s="160"/>
      <c r="BQ2245" s="160"/>
      <c r="BR2245" s="160"/>
      <c r="BS2245" s="160"/>
      <c r="BT2245" s="160"/>
      <c r="BU2245" s="160"/>
      <c r="BV2245" s="160"/>
      <c r="BW2245" s="160"/>
      <c r="BX2245" s="160"/>
      <c r="BY2245" s="160"/>
      <c r="BZ2245" s="160"/>
      <c r="CA2245" s="160"/>
      <c r="CB2245" s="160"/>
      <c r="CC2245" s="160"/>
      <c r="CD2245" s="160"/>
      <c r="CE2245" s="160"/>
      <c r="CF2245" s="160"/>
      <c r="CG2245" s="160"/>
      <c r="CH2245" s="160"/>
      <c r="CI2245" s="160"/>
      <c r="CJ2245" s="160"/>
      <c r="CK2245" s="160"/>
      <c r="CL2245" s="160"/>
      <c r="CM2245" s="160"/>
      <c r="CN2245" s="160"/>
      <c r="CO2245" s="160"/>
      <c r="CP2245" s="162"/>
      <c r="CQ2245" s="163"/>
      <c r="CR2245" s="162"/>
      <c r="CS2245" s="163"/>
      <c r="CT2245" s="162"/>
      <c r="CU2245" s="163"/>
      <c r="CV2245" s="164">
        <f t="shared" si="281"/>
        <v>0</v>
      </c>
      <c r="CW2245" s="165"/>
      <c r="CX2245" s="166"/>
      <c r="CY2245" s="167"/>
      <c r="CZ2245" s="168"/>
      <c r="DA2245" s="169"/>
      <c r="DB2245" s="168"/>
      <c r="DC2245" s="165"/>
      <c r="DD2245" s="166"/>
      <c r="DE2245" s="71"/>
      <c r="DF2245" s="170"/>
      <c r="EO2245" s="375" t="str">
        <f t="shared" si="282"/>
        <v>NARIÑO_FUNES</v>
      </c>
      <c r="EP2245" s="376"/>
      <c r="EQ2245" s="376"/>
      <c r="ER2245" s="377"/>
      <c r="ES2245" s="376"/>
      <c r="ET2245" s="376"/>
      <c r="EU2245" s="376"/>
    </row>
    <row r="2246" spans="1:151" s="171" customFormat="1" ht="25.5" x14ac:dyDescent="0.2">
      <c r="A2246" s="242">
        <v>40527</v>
      </c>
      <c r="B2246" s="222" t="s">
        <v>2245</v>
      </c>
      <c r="C2246" s="222" t="s">
        <v>2999</v>
      </c>
      <c r="D2246" s="430" t="s">
        <v>837</v>
      </c>
      <c r="E2246" s="107" t="str">
        <f>VLOOKUP(B2246&amp;C2246,Divipola!$C$2:$F$1138,4,FALSE)</f>
        <v>52287</v>
      </c>
      <c r="F2246" s="333"/>
      <c r="G2246" s="221"/>
      <c r="H2246" s="157"/>
      <c r="I2246" s="157"/>
      <c r="J2246" s="157">
        <v>666</v>
      </c>
      <c r="K2246" s="157">
        <v>666</v>
      </c>
      <c r="L2246" s="157"/>
      <c r="M2246" s="157"/>
      <c r="N2246" s="157"/>
      <c r="O2246" s="157"/>
      <c r="P2246" s="157"/>
      <c r="Q2246" s="157"/>
      <c r="R2246" s="157"/>
      <c r="S2246" s="157"/>
      <c r="T2246" s="157"/>
      <c r="U2246" s="157"/>
      <c r="V2246" s="158">
        <v>1131.3499999999999</v>
      </c>
      <c r="W2246" s="301" t="s">
        <v>3879</v>
      </c>
      <c r="X2246" s="1"/>
      <c r="Y2246" s="78">
        <f t="shared" si="278"/>
        <v>0</v>
      </c>
      <c r="Z2246" s="78">
        <f t="shared" si="279"/>
        <v>0</v>
      </c>
      <c r="AA2246" s="78">
        <f t="shared" si="277"/>
        <v>0</v>
      </c>
      <c r="AB2246" s="78">
        <f t="shared" si="280"/>
        <v>0</v>
      </c>
      <c r="AC2246" s="78"/>
      <c r="AD2246" s="78">
        <v>0</v>
      </c>
      <c r="AE2246" s="80">
        <f t="shared" si="276"/>
        <v>0</v>
      </c>
      <c r="AF2246" s="82">
        <v>0</v>
      </c>
      <c r="AG2246" s="295">
        <v>40617</v>
      </c>
      <c r="AH2246" s="296"/>
      <c r="AI2246" s="295" t="s">
        <v>1984</v>
      </c>
      <c r="AJ2246" s="297" t="s">
        <v>1985</v>
      </c>
      <c r="AK2246" s="298"/>
      <c r="AL2246" s="310" t="s">
        <v>1257</v>
      </c>
      <c r="AM2246" s="311" t="s">
        <v>3880</v>
      </c>
      <c r="AN2246" s="159"/>
      <c r="AO2246" s="160"/>
      <c r="AP2246" s="161"/>
      <c r="AQ2246" s="160"/>
      <c r="AR2246" s="160"/>
      <c r="AS2246" s="160"/>
      <c r="AT2246" s="160"/>
      <c r="AU2246" s="160"/>
      <c r="AV2246" s="160"/>
      <c r="AW2246" s="160"/>
      <c r="AX2246" s="160"/>
      <c r="AY2246" s="160"/>
      <c r="AZ2246" s="160"/>
      <c r="BA2246" s="160"/>
      <c r="BB2246" s="160"/>
      <c r="BC2246" s="160"/>
      <c r="BD2246" s="160"/>
      <c r="BE2246" s="160"/>
      <c r="BF2246" s="160"/>
      <c r="BG2246" s="160"/>
      <c r="BH2246" s="160"/>
      <c r="BI2246" s="160"/>
      <c r="BJ2246" s="160"/>
      <c r="BK2246" s="160"/>
      <c r="BL2246" s="160"/>
      <c r="BM2246" s="160"/>
      <c r="BN2246" s="160"/>
      <c r="BO2246" s="160"/>
      <c r="BP2246" s="160"/>
      <c r="BQ2246" s="160"/>
      <c r="BR2246" s="160"/>
      <c r="BS2246" s="160"/>
      <c r="BT2246" s="160"/>
      <c r="BU2246" s="160"/>
      <c r="BV2246" s="160"/>
      <c r="BW2246" s="160"/>
      <c r="BX2246" s="160"/>
      <c r="BY2246" s="160"/>
      <c r="BZ2246" s="160"/>
      <c r="CA2246" s="160"/>
      <c r="CB2246" s="160"/>
      <c r="CC2246" s="160"/>
      <c r="CD2246" s="160"/>
      <c r="CE2246" s="160"/>
      <c r="CF2246" s="160"/>
      <c r="CG2246" s="160"/>
      <c r="CH2246" s="160"/>
      <c r="CI2246" s="160"/>
      <c r="CJ2246" s="160"/>
      <c r="CK2246" s="160"/>
      <c r="CL2246" s="160"/>
      <c r="CM2246" s="160"/>
      <c r="CN2246" s="160"/>
      <c r="CO2246" s="160"/>
      <c r="CP2246" s="162"/>
      <c r="CQ2246" s="163"/>
      <c r="CR2246" s="162"/>
      <c r="CS2246" s="163"/>
      <c r="CT2246" s="162"/>
      <c r="CU2246" s="163"/>
      <c r="CV2246" s="164">
        <f t="shared" si="281"/>
        <v>0</v>
      </c>
      <c r="CW2246" s="165"/>
      <c r="CX2246" s="166"/>
      <c r="CY2246" s="167"/>
      <c r="CZ2246" s="168"/>
      <c r="DA2246" s="169"/>
      <c r="DB2246" s="168"/>
      <c r="DC2246" s="165"/>
      <c r="DD2246" s="166"/>
      <c r="DE2246" s="71"/>
      <c r="DF2246" s="170"/>
      <c r="EO2246" s="375" t="str">
        <f t="shared" si="282"/>
        <v>NARIÑO_FUNES</v>
      </c>
      <c r="EP2246" s="376"/>
      <c r="EQ2246" s="376"/>
      <c r="ER2246" s="377"/>
      <c r="ES2246" s="376"/>
      <c r="ET2246" s="376"/>
      <c r="EU2246" s="376"/>
    </row>
    <row r="2247" spans="1:151" s="171" customFormat="1" ht="25.5" x14ac:dyDescent="0.2">
      <c r="A2247" s="242">
        <v>40527</v>
      </c>
      <c r="B2247" s="222" t="s">
        <v>2245</v>
      </c>
      <c r="C2247" s="222" t="s">
        <v>3818</v>
      </c>
      <c r="D2247" s="430" t="s">
        <v>837</v>
      </c>
      <c r="E2247" s="107" t="str">
        <f>VLOOKUP(B2247&amp;C2247,Divipola!$C$2:$F$1138,4,FALSE)</f>
        <v>52317</v>
      </c>
      <c r="F2247" s="333"/>
      <c r="G2247" s="221"/>
      <c r="H2247" s="157"/>
      <c r="I2247" s="157"/>
      <c r="J2247" s="157">
        <v>800</v>
      </c>
      <c r="K2247" s="157">
        <v>800</v>
      </c>
      <c r="L2247" s="157"/>
      <c r="M2247" s="157"/>
      <c r="N2247" s="157"/>
      <c r="O2247" s="157"/>
      <c r="P2247" s="157"/>
      <c r="Q2247" s="157"/>
      <c r="R2247" s="157"/>
      <c r="S2247" s="157"/>
      <c r="T2247" s="157"/>
      <c r="U2247" s="157"/>
      <c r="V2247" s="158">
        <v>7578</v>
      </c>
      <c r="W2247" s="301" t="s">
        <v>3879</v>
      </c>
      <c r="X2247" s="1"/>
      <c r="Y2247" s="78">
        <f t="shared" si="278"/>
        <v>0</v>
      </c>
      <c r="Z2247" s="78">
        <f t="shared" si="279"/>
        <v>0</v>
      </c>
      <c r="AA2247" s="78">
        <f t="shared" si="277"/>
        <v>0</v>
      </c>
      <c r="AB2247" s="78">
        <f t="shared" si="280"/>
        <v>0</v>
      </c>
      <c r="AC2247" s="78"/>
      <c r="AD2247" s="78">
        <v>0</v>
      </c>
      <c r="AE2247" s="80">
        <f t="shared" si="276"/>
        <v>0</v>
      </c>
      <c r="AF2247" s="82">
        <v>0</v>
      </c>
      <c r="AG2247" s="295">
        <v>40617</v>
      </c>
      <c r="AH2247" s="296"/>
      <c r="AI2247" s="295" t="s">
        <v>1984</v>
      </c>
      <c r="AJ2247" s="297" t="s">
        <v>1985</v>
      </c>
      <c r="AK2247" s="298"/>
      <c r="AL2247" s="310" t="s">
        <v>1257</v>
      </c>
      <c r="AM2247" s="311" t="s">
        <v>3880</v>
      </c>
      <c r="AN2247" s="159"/>
      <c r="AO2247" s="160"/>
      <c r="AP2247" s="161"/>
      <c r="AQ2247" s="160"/>
      <c r="AR2247" s="160"/>
      <c r="AS2247" s="160"/>
      <c r="AT2247" s="160"/>
      <c r="AU2247" s="160"/>
      <c r="AV2247" s="160"/>
      <c r="AW2247" s="160"/>
      <c r="AX2247" s="160"/>
      <c r="AY2247" s="160"/>
      <c r="AZ2247" s="160"/>
      <c r="BA2247" s="160"/>
      <c r="BB2247" s="160"/>
      <c r="BC2247" s="160"/>
      <c r="BD2247" s="160"/>
      <c r="BE2247" s="160"/>
      <c r="BF2247" s="160"/>
      <c r="BG2247" s="160"/>
      <c r="BH2247" s="160"/>
      <c r="BI2247" s="160"/>
      <c r="BJ2247" s="160"/>
      <c r="BK2247" s="160"/>
      <c r="BL2247" s="160"/>
      <c r="BM2247" s="160"/>
      <c r="BN2247" s="160"/>
      <c r="BO2247" s="160"/>
      <c r="BP2247" s="160"/>
      <c r="BQ2247" s="160"/>
      <c r="BR2247" s="160"/>
      <c r="BS2247" s="160"/>
      <c r="BT2247" s="160"/>
      <c r="BU2247" s="160"/>
      <c r="BV2247" s="160"/>
      <c r="BW2247" s="160"/>
      <c r="BX2247" s="160"/>
      <c r="BY2247" s="160"/>
      <c r="BZ2247" s="160"/>
      <c r="CA2247" s="160"/>
      <c r="CB2247" s="160"/>
      <c r="CC2247" s="160"/>
      <c r="CD2247" s="160"/>
      <c r="CE2247" s="160"/>
      <c r="CF2247" s="160"/>
      <c r="CG2247" s="160"/>
      <c r="CH2247" s="160"/>
      <c r="CI2247" s="160"/>
      <c r="CJ2247" s="160"/>
      <c r="CK2247" s="160"/>
      <c r="CL2247" s="160"/>
      <c r="CM2247" s="160"/>
      <c r="CN2247" s="160"/>
      <c r="CO2247" s="160"/>
      <c r="CP2247" s="162"/>
      <c r="CQ2247" s="163"/>
      <c r="CR2247" s="162"/>
      <c r="CS2247" s="163"/>
      <c r="CT2247" s="162"/>
      <c r="CU2247" s="163"/>
      <c r="CV2247" s="164">
        <f t="shared" si="281"/>
        <v>0</v>
      </c>
      <c r="CW2247" s="165"/>
      <c r="CX2247" s="166"/>
      <c r="CY2247" s="167"/>
      <c r="CZ2247" s="168"/>
      <c r="DA2247" s="169"/>
      <c r="DB2247" s="168"/>
      <c r="DC2247" s="165"/>
      <c r="DD2247" s="166"/>
      <c r="DE2247" s="71"/>
      <c r="DF2247" s="170"/>
      <c r="EO2247" s="375" t="str">
        <f t="shared" si="282"/>
        <v>NARIÑO_GUACHUCAL</v>
      </c>
      <c r="EP2247" s="376"/>
      <c r="EQ2247" s="376"/>
      <c r="ER2247" s="377"/>
      <c r="ES2247" s="376"/>
      <c r="ET2247" s="376"/>
      <c r="EU2247" s="376"/>
    </row>
    <row r="2248" spans="1:151" s="171" customFormat="1" ht="25.5" x14ac:dyDescent="0.2">
      <c r="A2248" s="242">
        <v>40527</v>
      </c>
      <c r="B2248" s="222" t="s">
        <v>2245</v>
      </c>
      <c r="C2248" s="222" t="s">
        <v>2511</v>
      </c>
      <c r="D2248" s="430" t="s">
        <v>837</v>
      </c>
      <c r="E2248" s="107" t="str">
        <f>VLOOKUP(B2248&amp;C2248,Divipola!$C$2:$F$1138,4,FALSE)</f>
        <v>52320</v>
      </c>
      <c r="F2248" s="333"/>
      <c r="G2248" s="221"/>
      <c r="H2248" s="157"/>
      <c r="I2248" s="157"/>
      <c r="J2248" s="157">
        <v>13</v>
      </c>
      <c r="K2248" s="157">
        <v>13</v>
      </c>
      <c r="L2248" s="157"/>
      <c r="M2248" s="157"/>
      <c r="N2248" s="157"/>
      <c r="O2248" s="157"/>
      <c r="P2248" s="157"/>
      <c r="Q2248" s="157"/>
      <c r="R2248" s="157"/>
      <c r="S2248" s="157"/>
      <c r="T2248" s="157"/>
      <c r="U2248" s="157"/>
      <c r="V2248" s="158">
        <v>30.4</v>
      </c>
      <c r="W2248" s="301" t="s">
        <v>3879</v>
      </c>
      <c r="X2248" s="1"/>
      <c r="Y2248" s="78">
        <f t="shared" si="278"/>
        <v>0</v>
      </c>
      <c r="Z2248" s="78">
        <f t="shared" si="279"/>
        <v>0</v>
      </c>
      <c r="AA2248" s="78">
        <f t="shared" si="277"/>
        <v>0</v>
      </c>
      <c r="AB2248" s="78">
        <f t="shared" si="280"/>
        <v>0</v>
      </c>
      <c r="AC2248" s="78"/>
      <c r="AD2248" s="78">
        <v>0</v>
      </c>
      <c r="AE2248" s="80">
        <f t="shared" si="276"/>
        <v>0</v>
      </c>
      <c r="AF2248" s="82">
        <v>0</v>
      </c>
      <c r="AG2248" s="295">
        <v>40617</v>
      </c>
      <c r="AH2248" s="296"/>
      <c r="AI2248" s="295" t="s">
        <v>1984</v>
      </c>
      <c r="AJ2248" s="297" t="s">
        <v>1985</v>
      </c>
      <c r="AK2248" s="298"/>
      <c r="AL2248" s="310" t="s">
        <v>1257</v>
      </c>
      <c r="AM2248" s="311" t="s">
        <v>3880</v>
      </c>
      <c r="AN2248" s="159"/>
      <c r="AO2248" s="160"/>
      <c r="AP2248" s="161"/>
      <c r="AQ2248" s="160"/>
      <c r="AR2248" s="160"/>
      <c r="AS2248" s="160"/>
      <c r="AT2248" s="160"/>
      <c r="AU2248" s="160"/>
      <c r="AV2248" s="160"/>
      <c r="AW2248" s="160"/>
      <c r="AX2248" s="160"/>
      <c r="AY2248" s="160"/>
      <c r="AZ2248" s="160"/>
      <c r="BA2248" s="160"/>
      <c r="BB2248" s="160"/>
      <c r="BC2248" s="160"/>
      <c r="BD2248" s="160"/>
      <c r="BE2248" s="160"/>
      <c r="BF2248" s="160"/>
      <c r="BG2248" s="160"/>
      <c r="BH2248" s="160"/>
      <c r="BI2248" s="160"/>
      <c r="BJ2248" s="160"/>
      <c r="BK2248" s="160"/>
      <c r="BL2248" s="160"/>
      <c r="BM2248" s="160"/>
      <c r="BN2248" s="160"/>
      <c r="BO2248" s="160"/>
      <c r="BP2248" s="160"/>
      <c r="BQ2248" s="160"/>
      <c r="BR2248" s="160"/>
      <c r="BS2248" s="160"/>
      <c r="BT2248" s="160"/>
      <c r="BU2248" s="160"/>
      <c r="BV2248" s="160"/>
      <c r="BW2248" s="160"/>
      <c r="BX2248" s="160"/>
      <c r="BY2248" s="160"/>
      <c r="BZ2248" s="160"/>
      <c r="CA2248" s="160"/>
      <c r="CB2248" s="160"/>
      <c r="CC2248" s="160"/>
      <c r="CD2248" s="160"/>
      <c r="CE2248" s="160"/>
      <c r="CF2248" s="160"/>
      <c r="CG2248" s="160"/>
      <c r="CH2248" s="160"/>
      <c r="CI2248" s="160"/>
      <c r="CJ2248" s="160"/>
      <c r="CK2248" s="160"/>
      <c r="CL2248" s="160"/>
      <c r="CM2248" s="160"/>
      <c r="CN2248" s="160"/>
      <c r="CO2248" s="160"/>
      <c r="CP2248" s="162"/>
      <c r="CQ2248" s="163"/>
      <c r="CR2248" s="162"/>
      <c r="CS2248" s="163"/>
      <c r="CT2248" s="162"/>
      <c r="CU2248" s="163"/>
      <c r="CV2248" s="164">
        <f t="shared" si="281"/>
        <v>0</v>
      </c>
      <c r="CW2248" s="165"/>
      <c r="CX2248" s="166"/>
      <c r="CY2248" s="167"/>
      <c r="CZ2248" s="168"/>
      <c r="DA2248" s="169"/>
      <c r="DB2248" s="168"/>
      <c r="DC2248" s="165"/>
      <c r="DD2248" s="166"/>
      <c r="DE2248" s="71"/>
      <c r="DF2248" s="170"/>
      <c r="EO2248" s="375" t="str">
        <f t="shared" si="282"/>
        <v>NARIÑO_GUAITARILLA</v>
      </c>
      <c r="EP2248" s="376"/>
      <c r="EQ2248" s="376"/>
      <c r="ER2248" s="377"/>
      <c r="ES2248" s="376"/>
      <c r="ET2248" s="376"/>
      <c r="EU2248" s="376"/>
    </row>
    <row r="2249" spans="1:151" s="287" customFormat="1" ht="25.5" x14ac:dyDescent="0.2">
      <c r="A2249" s="242">
        <v>40527</v>
      </c>
      <c r="B2249" s="222" t="s">
        <v>2245</v>
      </c>
      <c r="C2249" s="222" t="s">
        <v>376</v>
      </c>
      <c r="D2249" s="430" t="s">
        <v>837</v>
      </c>
      <c r="E2249" s="107" t="str">
        <f>VLOOKUP(B2249&amp;C2249,Divipola!$C$2:$F$1138,4,FALSE)</f>
        <v>52354</v>
      </c>
      <c r="F2249" s="333"/>
      <c r="G2249" s="221"/>
      <c r="H2249" s="157"/>
      <c r="I2249" s="157"/>
      <c r="J2249" s="157">
        <v>1716</v>
      </c>
      <c r="K2249" s="157">
        <v>1716</v>
      </c>
      <c r="L2249" s="157"/>
      <c r="M2249" s="157"/>
      <c r="N2249" s="157"/>
      <c r="O2249" s="157"/>
      <c r="P2249" s="157"/>
      <c r="Q2249" s="157"/>
      <c r="R2249" s="157"/>
      <c r="S2249" s="157"/>
      <c r="T2249" s="157"/>
      <c r="U2249" s="157"/>
      <c r="V2249" s="158">
        <v>5216.5</v>
      </c>
      <c r="W2249" s="301" t="s">
        <v>3879</v>
      </c>
      <c r="X2249" s="1"/>
      <c r="Y2249" s="78">
        <f t="shared" si="278"/>
        <v>0</v>
      </c>
      <c r="Z2249" s="78">
        <f t="shared" si="279"/>
        <v>0</v>
      </c>
      <c r="AA2249" s="78">
        <f t="shared" si="277"/>
        <v>0</v>
      </c>
      <c r="AB2249" s="78">
        <f t="shared" si="280"/>
        <v>0</v>
      </c>
      <c r="AC2249" s="78"/>
      <c r="AD2249" s="78">
        <v>0</v>
      </c>
      <c r="AE2249" s="80">
        <f t="shared" ref="AE2249:AE2312" si="283">Y2249+Z2249+AA2249+AB2249+AC2249+AD2249</f>
        <v>0</v>
      </c>
      <c r="AF2249" s="82">
        <v>0</v>
      </c>
      <c r="AG2249" s="295">
        <v>40617</v>
      </c>
      <c r="AH2249" s="296"/>
      <c r="AI2249" s="295" t="s">
        <v>1984</v>
      </c>
      <c r="AJ2249" s="297" t="s">
        <v>1985</v>
      </c>
      <c r="AK2249" s="298"/>
      <c r="AL2249" s="310" t="s">
        <v>1257</v>
      </c>
      <c r="AM2249" s="311" t="s">
        <v>3880</v>
      </c>
      <c r="AN2249" s="159"/>
      <c r="AO2249" s="160"/>
      <c r="AP2249" s="161"/>
      <c r="AQ2249" s="160"/>
      <c r="AR2249" s="160"/>
      <c r="AS2249" s="160"/>
      <c r="AT2249" s="160"/>
      <c r="AU2249" s="160"/>
      <c r="AV2249" s="160"/>
      <c r="AW2249" s="160"/>
      <c r="AX2249" s="160"/>
      <c r="AY2249" s="160"/>
      <c r="AZ2249" s="160"/>
      <c r="BA2249" s="160"/>
      <c r="BB2249" s="160"/>
      <c r="BC2249" s="160"/>
      <c r="BD2249" s="160"/>
      <c r="BE2249" s="160"/>
      <c r="BF2249" s="160"/>
      <c r="BG2249" s="160"/>
      <c r="BH2249" s="160"/>
      <c r="BI2249" s="160"/>
      <c r="BJ2249" s="160"/>
      <c r="BK2249" s="160"/>
      <c r="BL2249" s="160"/>
      <c r="BM2249" s="160"/>
      <c r="BN2249" s="160"/>
      <c r="BO2249" s="160"/>
      <c r="BP2249" s="160"/>
      <c r="BQ2249" s="160"/>
      <c r="BR2249" s="160"/>
      <c r="BS2249" s="160"/>
      <c r="BT2249" s="160"/>
      <c r="BU2249" s="160"/>
      <c r="BV2249" s="160"/>
      <c r="BW2249" s="160"/>
      <c r="BX2249" s="160"/>
      <c r="BY2249" s="160"/>
      <c r="BZ2249" s="160"/>
      <c r="CA2249" s="160"/>
      <c r="CB2249" s="160"/>
      <c r="CC2249" s="160"/>
      <c r="CD2249" s="160"/>
      <c r="CE2249" s="160"/>
      <c r="CF2249" s="160"/>
      <c r="CG2249" s="160"/>
      <c r="CH2249" s="160"/>
      <c r="CI2249" s="160"/>
      <c r="CJ2249" s="160"/>
      <c r="CK2249" s="160"/>
      <c r="CL2249" s="160"/>
      <c r="CM2249" s="160"/>
      <c r="CN2249" s="160"/>
      <c r="CO2249" s="160"/>
      <c r="CP2249" s="162"/>
      <c r="CQ2249" s="163"/>
      <c r="CR2249" s="162"/>
      <c r="CS2249" s="163"/>
      <c r="CT2249" s="162"/>
      <c r="CU2249" s="163"/>
      <c r="CV2249" s="164">
        <f t="shared" si="281"/>
        <v>0</v>
      </c>
      <c r="CW2249" s="165"/>
      <c r="CX2249" s="166"/>
      <c r="CY2249" s="167"/>
      <c r="CZ2249" s="168"/>
      <c r="DA2249" s="169"/>
      <c r="DB2249" s="168"/>
      <c r="DC2249" s="165"/>
      <c r="DD2249" s="166"/>
      <c r="DE2249" s="71"/>
      <c r="DF2249" s="170"/>
      <c r="EO2249" s="375" t="str">
        <f t="shared" si="282"/>
        <v>NARIÑO_IMUES</v>
      </c>
      <c r="EP2249" s="376"/>
      <c r="EQ2249" s="376"/>
      <c r="ER2249" s="377"/>
      <c r="ES2249" s="376"/>
      <c r="ET2249" s="376"/>
      <c r="EU2249" s="376"/>
    </row>
    <row r="2250" spans="1:151" s="287" customFormat="1" ht="25.5" x14ac:dyDescent="0.2">
      <c r="A2250" s="242">
        <v>40527</v>
      </c>
      <c r="B2250" s="222" t="s">
        <v>2245</v>
      </c>
      <c r="C2250" s="222" t="s">
        <v>554</v>
      </c>
      <c r="D2250" s="430" t="s">
        <v>837</v>
      </c>
      <c r="E2250" s="107" t="str">
        <f>VLOOKUP(B2250&amp;C2250,Divipola!$C$2:$F$1138,4,FALSE)</f>
        <v>52378</v>
      </c>
      <c r="F2250" s="333"/>
      <c r="G2250" s="221"/>
      <c r="H2250" s="157"/>
      <c r="I2250" s="157"/>
      <c r="J2250" s="157">
        <v>1341</v>
      </c>
      <c r="K2250" s="157">
        <v>1341</v>
      </c>
      <c r="L2250" s="157"/>
      <c r="M2250" s="157"/>
      <c r="N2250" s="157"/>
      <c r="O2250" s="157"/>
      <c r="P2250" s="157"/>
      <c r="Q2250" s="157"/>
      <c r="R2250" s="157"/>
      <c r="S2250" s="157"/>
      <c r="T2250" s="157"/>
      <c r="U2250" s="157"/>
      <c r="V2250" s="158">
        <v>1379.5</v>
      </c>
      <c r="W2250" s="301" t="s">
        <v>3879</v>
      </c>
      <c r="X2250" s="1"/>
      <c r="Y2250" s="78">
        <f t="shared" si="278"/>
        <v>0</v>
      </c>
      <c r="Z2250" s="78">
        <f t="shared" si="279"/>
        <v>0</v>
      </c>
      <c r="AA2250" s="78">
        <f t="shared" si="277"/>
        <v>0</v>
      </c>
      <c r="AB2250" s="78">
        <f t="shared" si="280"/>
        <v>0</v>
      </c>
      <c r="AC2250" s="78"/>
      <c r="AD2250" s="78">
        <v>0</v>
      </c>
      <c r="AE2250" s="80">
        <f t="shared" si="283"/>
        <v>0</v>
      </c>
      <c r="AF2250" s="82">
        <v>0</v>
      </c>
      <c r="AG2250" s="295">
        <v>40617</v>
      </c>
      <c r="AH2250" s="296"/>
      <c r="AI2250" s="295" t="s">
        <v>1984</v>
      </c>
      <c r="AJ2250" s="297" t="s">
        <v>1985</v>
      </c>
      <c r="AK2250" s="298"/>
      <c r="AL2250" s="310" t="s">
        <v>1257</v>
      </c>
      <c r="AM2250" s="311" t="s">
        <v>3880</v>
      </c>
      <c r="AN2250" s="159"/>
      <c r="AO2250" s="160"/>
      <c r="AP2250" s="161"/>
      <c r="AQ2250" s="160"/>
      <c r="AR2250" s="160"/>
      <c r="AS2250" s="160"/>
      <c r="AT2250" s="160"/>
      <c r="AU2250" s="160"/>
      <c r="AV2250" s="160"/>
      <c r="AW2250" s="160"/>
      <c r="AX2250" s="160"/>
      <c r="AY2250" s="160"/>
      <c r="AZ2250" s="160"/>
      <c r="BA2250" s="160"/>
      <c r="BB2250" s="160"/>
      <c r="BC2250" s="160"/>
      <c r="BD2250" s="160"/>
      <c r="BE2250" s="160"/>
      <c r="BF2250" s="160"/>
      <c r="BG2250" s="160"/>
      <c r="BH2250" s="160"/>
      <c r="BI2250" s="160"/>
      <c r="BJ2250" s="160"/>
      <c r="BK2250" s="160"/>
      <c r="BL2250" s="160"/>
      <c r="BM2250" s="160"/>
      <c r="BN2250" s="160"/>
      <c r="BO2250" s="160"/>
      <c r="BP2250" s="160"/>
      <c r="BQ2250" s="160"/>
      <c r="BR2250" s="160"/>
      <c r="BS2250" s="160"/>
      <c r="BT2250" s="160"/>
      <c r="BU2250" s="160"/>
      <c r="BV2250" s="160"/>
      <c r="BW2250" s="160"/>
      <c r="BX2250" s="160"/>
      <c r="BY2250" s="160"/>
      <c r="BZ2250" s="160"/>
      <c r="CA2250" s="160"/>
      <c r="CB2250" s="160"/>
      <c r="CC2250" s="160"/>
      <c r="CD2250" s="160"/>
      <c r="CE2250" s="160"/>
      <c r="CF2250" s="160"/>
      <c r="CG2250" s="160"/>
      <c r="CH2250" s="160"/>
      <c r="CI2250" s="160"/>
      <c r="CJ2250" s="160"/>
      <c r="CK2250" s="160"/>
      <c r="CL2250" s="160"/>
      <c r="CM2250" s="160"/>
      <c r="CN2250" s="160"/>
      <c r="CO2250" s="160"/>
      <c r="CP2250" s="162"/>
      <c r="CQ2250" s="163"/>
      <c r="CR2250" s="162"/>
      <c r="CS2250" s="163"/>
      <c r="CT2250" s="162"/>
      <c r="CU2250" s="163"/>
      <c r="CV2250" s="164">
        <f t="shared" si="281"/>
        <v>0</v>
      </c>
      <c r="CW2250" s="165"/>
      <c r="CX2250" s="166"/>
      <c r="CY2250" s="167"/>
      <c r="CZ2250" s="168"/>
      <c r="DA2250" s="169"/>
      <c r="DB2250" s="168"/>
      <c r="DC2250" s="165"/>
      <c r="DD2250" s="166"/>
      <c r="DE2250" s="71"/>
      <c r="DF2250" s="170"/>
      <c r="EO2250" s="375" t="str">
        <f t="shared" si="282"/>
        <v>NARIÑO_LA CRUZ</v>
      </c>
      <c r="EP2250" s="376"/>
      <c r="EQ2250" s="376"/>
      <c r="ER2250" s="377"/>
      <c r="ES2250" s="376"/>
      <c r="ET2250" s="376"/>
      <c r="EU2250" s="376"/>
    </row>
    <row r="2251" spans="1:151" s="171" customFormat="1" ht="25.5" x14ac:dyDescent="0.2">
      <c r="A2251" s="242">
        <v>40527</v>
      </c>
      <c r="B2251" s="222" t="s">
        <v>2245</v>
      </c>
      <c r="C2251" s="222" t="s">
        <v>461</v>
      </c>
      <c r="D2251" s="430" t="s">
        <v>837</v>
      </c>
      <c r="E2251" s="107" t="str">
        <f>VLOOKUP(B2251&amp;C2251,Divipola!$C$2:$F$1138,4,FALSE)</f>
        <v>52381</v>
      </c>
      <c r="F2251" s="333"/>
      <c r="G2251" s="221"/>
      <c r="H2251" s="157"/>
      <c r="I2251" s="157"/>
      <c r="J2251" s="157">
        <v>30</v>
      </c>
      <c r="K2251" s="157">
        <v>30</v>
      </c>
      <c r="L2251" s="157"/>
      <c r="M2251" s="157"/>
      <c r="N2251" s="157"/>
      <c r="O2251" s="157"/>
      <c r="P2251" s="157"/>
      <c r="Q2251" s="157"/>
      <c r="R2251" s="157"/>
      <c r="S2251" s="157"/>
      <c r="T2251" s="157"/>
      <c r="U2251" s="157"/>
      <c r="V2251" s="158">
        <v>21.25</v>
      </c>
      <c r="W2251" s="301" t="s">
        <v>3879</v>
      </c>
      <c r="X2251" s="1"/>
      <c r="Y2251" s="78">
        <f t="shared" si="278"/>
        <v>0</v>
      </c>
      <c r="Z2251" s="78">
        <f t="shared" si="279"/>
        <v>0</v>
      </c>
      <c r="AA2251" s="78">
        <f t="shared" si="277"/>
        <v>0</v>
      </c>
      <c r="AB2251" s="78">
        <f t="shared" si="280"/>
        <v>0</v>
      </c>
      <c r="AC2251" s="78"/>
      <c r="AD2251" s="78">
        <v>0</v>
      </c>
      <c r="AE2251" s="80">
        <f t="shared" si="283"/>
        <v>0</v>
      </c>
      <c r="AF2251" s="82">
        <v>0</v>
      </c>
      <c r="AG2251" s="295">
        <v>40617</v>
      </c>
      <c r="AH2251" s="296"/>
      <c r="AI2251" s="295" t="s">
        <v>1984</v>
      </c>
      <c r="AJ2251" s="297" t="s">
        <v>1985</v>
      </c>
      <c r="AK2251" s="298"/>
      <c r="AL2251" s="310" t="s">
        <v>1257</v>
      </c>
      <c r="AM2251" s="311" t="s">
        <v>3880</v>
      </c>
      <c r="AN2251" s="159"/>
      <c r="AO2251" s="160"/>
      <c r="AP2251" s="161"/>
      <c r="AQ2251" s="160"/>
      <c r="AR2251" s="160"/>
      <c r="AS2251" s="160"/>
      <c r="AT2251" s="160"/>
      <c r="AU2251" s="160"/>
      <c r="AV2251" s="160"/>
      <c r="AW2251" s="160"/>
      <c r="AX2251" s="160"/>
      <c r="AY2251" s="160"/>
      <c r="AZ2251" s="160"/>
      <c r="BA2251" s="160"/>
      <c r="BB2251" s="160"/>
      <c r="BC2251" s="160"/>
      <c r="BD2251" s="160"/>
      <c r="BE2251" s="160"/>
      <c r="BF2251" s="160"/>
      <c r="BG2251" s="160"/>
      <c r="BH2251" s="160"/>
      <c r="BI2251" s="160"/>
      <c r="BJ2251" s="160"/>
      <c r="BK2251" s="160"/>
      <c r="BL2251" s="160"/>
      <c r="BM2251" s="160"/>
      <c r="BN2251" s="160"/>
      <c r="BO2251" s="160"/>
      <c r="BP2251" s="160"/>
      <c r="BQ2251" s="160"/>
      <c r="BR2251" s="160"/>
      <c r="BS2251" s="160"/>
      <c r="BT2251" s="160"/>
      <c r="BU2251" s="160"/>
      <c r="BV2251" s="160"/>
      <c r="BW2251" s="160"/>
      <c r="BX2251" s="160"/>
      <c r="BY2251" s="160"/>
      <c r="BZ2251" s="160"/>
      <c r="CA2251" s="160"/>
      <c r="CB2251" s="160"/>
      <c r="CC2251" s="160"/>
      <c r="CD2251" s="160"/>
      <c r="CE2251" s="160"/>
      <c r="CF2251" s="160"/>
      <c r="CG2251" s="160"/>
      <c r="CH2251" s="160"/>
      <c r="CI2251" s="160"/>
      <c r="CJ2251" s="160"/>
      <c r="CK2251" s="160"/>
      <c r="CL2251" s="160"/>
      <c r="CM2251" s="160"/>
      <c r="CN2251" s="160"/>
      <c r="CO2251" s="160"/>
      <c r="CP2251" s="162"/>
      <c r="CQ2251" s="163"/>
      <c r="CR2251" s="162"/>
      <c r="CS2251" s="163"/>
      <c r="CT2251" s="162"/>
      <c r="CU2251" s="163"/>
      <c r="CV2251" s="164">
        <f t="shared" si="281"/>
        <v>0</v>
      </c>
      <c r="CW2251" s="165"/>
      <c r="CX2251" s="166"/>
      <c r="CY2251" s="167"/>
      <c r="CZ2251" s="168"/>
      <c r="DA2251" s="169"/>
      <c r="DB2251" s="168"/>
      <c r="DC2251" s="165"/>
      <c r="DD2251" s="166"/>
      <c r="DE2251" s="71"/>
      <c r="DF2251" s="170"/>
      <c r="EO2251" s="375" t="str">
        <f t="shared" si="282"/>
        <v>NARIÑO_LA FLORIDA</v>
      </c>
      <c r="EP2251" s="376"/>
      <c r="EQ2251" s="376"/>
      <c r="ER2251" s="377"/>
      <c r="ES2251" s="376"/>
      <c r="ET2251" s="376"/>
      <c r="EU2251" s="376"/>
    </row>
    <row r="2252" spans="1:151" s="171" customFormat="1" ht="25.5" x14ac:dyDescent="0.2">
      <c r="A2252" s="242">
        <v>40527</v>
      </c>
      <c r="B2252" s="222" t="s">
        <v>2245</v>
      </c>
      <c r="C2252" s="222" t="s">
        <v>110</v>
      </c>
      <c r="D2252" s="430" t="s">
        <v>837</v>
      </c>
      <c r="E2252" s="107" t="str">
        <f>VLOOKUP(B2252&amp;C2252,Divipola!$C$2:$F$1138,4,FALSE)</f>
        <v>52385</v>
      </c>
      <c r="F2252" s="333"/>
      <c r="G2252" s="221"/>
      <c r="H2252" s="157"/>
      <c r="I2252" s="157"/>
      <c r="J2252" s="157">
        <v>159</v>
      </c>
      <c r="K2252" s="157">
        <v>159</v>
      </c>
      <c r="L2252" s="157"/>
      <c r="M2252" s="157"/>
      <c r="N2252" s="157"/>
      <c r="O2252" s="157"/>
      <c r="P2252" s="157"/>
      <c r="Q2252" s="157"/>
      <c r="R2252" s="157"/>
      <c r="S2252" s="157"/>
      <c r="T2252" s="157"/>
      <c r="U2252" s="157"/>
      <c r="V2252" s="158">
        <v>147.69999999999999</v>
      </c>
      <c r="W2252" s="301" t="s">
        <v>3879</v>
      </c>
      <c r="X2252" s="1"/>
      <c r="Y2252" s="78">
        <f t="shared" si="278"/>
        <v>0</v>
      </c>
      <c r="Z2252" s="78">
        <f t="shared" si="279"/>
        <v>0</v>
      </c>
      <c r="AA2252" s="78">
        <f t="shared" si="277"/>
        <v>0</v>
      </c>
      <c r="AB2252" s="78">
        <f t="shared" si="280"/>
        <v>0</v>
      </c>
      <c r="AC2252" s="78"/>
      <c r="AD2252" s="78">
        <v>0</v>
      </c>
      <c r="AE2252" s="80">
        <f t="shared" si="283"/>
        <v>0</v>
      </c>
      <c r="AF2252" s="82">
        <v>0</v>
      </c>
      <c r="AG2252" s="295">
        <v>40617</v>
      </c>
      <c r="AH2252" s="296"/>
      <c r="AI2252" s="295" t="s">
        <v>1984</v>
      </c>
      <c r="AJ2252" s="297" t="s">
        <v>1985</v>
      </c>
      <c r="AK2252" s="298"/>
      <c r="AL2252" s="310" t="s">
        <v>1257</v>
      </c>
      <c r="AM2252" s="311" t="s">
        <v>3880</v>
      </c>
      <c r="AN2252" s="159"/>
      <c r="AO2252" s="160"/>
      <c r="AP2252" s="161"/>
      <c r="AQ2252" s="160"/>
      <c r="AR2252" s="160"/>
      <c r="AS2252" s="160"/>
      <c r="AT2252" s="160"/>
      <c r="AU2252" s="160"/>
      <c r="AV2252" s="160"/>
      <c r="AW2252" s="160"/>
      <c r="AX2252" s="160"/>
      <c r="AY2252" s="160"/>
      <c r="AZ2252" s="160"/>
      <c r="BA2252" s="160"/>
      <c r="BB2252" s="160"/>
      <c r="BC2252" s="160"/>
      <c r="BD2252" s="160"/>
      <c r="BE2252" s="160"/>
      <c r="BF2252" s="160"/>
      <c r="BG2252" s="160"/>
      <c r="BH2252" s="160"/>
      <c r="BI2252" s="160"/>
      <c r="BJ2252" s="160"/>
      <c r="BK2252" s="160"/>
      <c r="BL2252" s="160"/>
      <c r="BM2252" s="160"/>
      <c r="BN2252" s="160"/>
      <c r="BO2252" s="160"/>
      <c r="BP2252" s="160"/>
      <c r="BQ2252" s="160"/>
      <c r="BR2252" s="160"/>
      <c r="BS2252" s="160"/>
      <c r="BT2252" s="160"/>
      <c r="BU2252" s="160"/>
      <c r="BV2252" s="160"/>
      <c r="BW2252" s="160"/>
      <c r="BX2252" s="160"/>
      <c r="BY2252" s="160"/>
      <c r="BZ2252" s="160"/>
      <c r="CA2252" s="160"/>
      <c r="CB2252" s="160"/>
      <c r="CC2252" s="160"/>
      <c r="CD2252" s="160"/>
      <c r="CE2252" s="160"/>
      <c r="CF2252" s="160"/>
      <c r="CG2252" s="160"/>
      <c r="CH2252" s="160"/>
      <c r="CI2252" s="160"/>
      <c r="CJ2252" s="160"/>
      <c r="CK2252" s="160"/>
      <c r="CL2252" s="160"/>
      <c r="CM2252" s="160"/>
      <c r="CN2252" s="160"/>
      <c r="CO2252" s="160"/>
      <c r="CP2252" s="162"/>
      <c r="CQ2252" s="163"/>
      <c r="CR2252" s="162"/>
      <c r="CS2252" s="163"/>
      <c r="CT2252" s="162"/>
      <c r="CU2252" s="163"/>
      <c r="CV2252" s="164">
        <f t="shared" si="281"/>
        <v>0</v>
      </c>
      <c r="CW2252" s="165"/>
      <c r="CX2252" s="166"/>
      <c r="CY2252" s="167"/>
      <c r="CZ2252" s="168"/>
      <c r="DA2252" s="169"/>
      <c r="DB2252" s="168"/>
      <c r="DC2252" s="165"/>
      <c r="DD2252" s="166"/>
      <c r="DE2252" s="71"/>
      <c r="DF2252" s="170"/>
      <c r="EO2252" s="375" t="str">
        <f t="shared" si="282"/>
        <v>NARIÑO_LA LLANADA</v>
      </c>
      <c r="EP2252" s="376"/>
      <c r="EQ2252" s="376"/>
      <c r="ER2252" s="377"/>
      <c r="ES2252" s="376"/>
      <c r="ET2252" s="376"/>
      <c r="EU2252" s="376"/>
    </row>
    <row r="2253" spans="1:151" s="287" customFormat="1" ht="25.5" x14ac:dyDescent="0.2">
      <c r="A2253" s="242">
        <v>40527</v>
      </c>
      <c r="B2253" s="222" t="s">
        <v>2245</v>
      </c>
      <c r="C2253" s="222" t="s">
        <v>113</v>
      </c>
      <c r="D2253" s="430" t="s">
        <v>837</v>
      </c>
      <c r="E2253" s="107" t="str">
        <f>VLOOKUP(B2253&amp;C2253,Divipola!$C$2:$F$1138,4,FALSE)</f>
        <v>52399</v>
      </c>
      <c r="F2253" s="333"/>
      <c r="G2253" s="221"/>
      <c r="H2253" s="157"/>
      <c r="I2253" s="157"/>
      <c r="J2253" s="157">
        <v>3065</v>
      </c>
      <c r="K2253" s="157">
        <v>3065</v>
      </c>
      <c r="L2253" s="157"/>
      <c r="M2253" s="157"/>
      <c r="N2253" s="157"/>
      <c r="O2253" s="157"/>
      <c r="P2253" s="157"/>
      <c r="Q2253" s="157"/>
      <c r="R2253" s="157"/>
      <c r="S2253" s="157"/>
      <c r="T2253" s="157"/>
      <c r="U2253" s="157"/>
      <c r="V2253" s="158">
        <v>4498.5</v>
      </c>
      <c r="W2253" s="301" t="s">
        <v>3879</v>
      </c>
      <c r="X2253" s="1"/>
      <c r="Y2253" s="78">
        <f t="shared" si="278"/>
        <v>0</v>
      </c>
      <c r="Z2253" s="78">
        <f t="shared" si="279"/>
        <v>0</v>
      </c>
      <c r="AA2253" s="78">
        <f t="shared" si="277"/>
        <v>0</v>
      </c>
      <c r="AB2253" s="78">
        <f t="shared" si="280"/>
        <v>0</v>
      </c>
      <c r="AC2253" s="78"/>
      <c r="AD2253" s="78">
        <v>0</v>
      </c>
      <c r="AE2253" s="80">
        <f t="shared" si="283"/>
        <v>0</v>
      </c>
      <c r="AF2253" s="82">
        <v>0</v>
      </c>
      <c r="AG2253" s="295">
        <v>40617</v>
      </c>
      <c r="AH2253" s="296"/>
      <c r="AI2253" s="295" t="s">
        <v>1984</v>
      </c>
      <c r="AJ2253" s="297" t="s">
        <v>1985</v>
      </c>
      <c r="AK2253" s="298"/>
      <c r="AL2253" s="310" t="s">
        <v>1257</v>
      </c>
      <c r="AM2253" s="311" t="s">
        <v>3880</v>
      </c>
      <c r="AN2253" s="159"/>
      <c r="AO2253" s="160"/>
      <c r="AP2253" s="161"/>
      <c r="AQ2253" s="160"/>
      <c r="AR2253" s="160"/>
      <c r="AS2253" s="160"/>
      <c r="AT2253" s="160"/>
      <c r="AU2253" s="160"/>
      <c r="AV2253" s="160"/>
      <c r="AW2253" s="160"/>
      <c r="AX2253" s="160"/>
      <c r="AY2253" s="160"/>
      <c r="AZ2253" s="160"/>
      <c r="BA2253" s="160"/>
      <c r="BB2253" s="160"/>
      <c r="BC2253" s="160"/>
      <c r="BD2253" s="160"/>
      <c r="BE2253" s="160"/>
      <c r="BF2253" s="160"/>
      <c r="BG2253" s="160"/>
      <c r="BH2253" s="160"/>
      <c r="BI2253" s="160"/>
      <c r="BJ2253" s="160"/>
      <c r="BK2253" s="160"/>
      <c r="BL2253" s="160"/>
      <c r="BM2253" s="160"/>
      <c r="BN2253" s="160"/>
      <c r="BO2253" s="160"/>
      <c r="BP2253" s="160"/>
      <c r="BQ2253" s="160"/>
      <c r="BR2253" s="160"/>
      <c r="BS2253" s="160"/>
      <c r="BT2253" s="160"/>
      <c r="BU2253" s="160"/>
      <c r="BV2253" s="160"/>
      <c r="BW2253" s="160"/>
      <c r="BX2253" s="160"/>
      <c r="BY2253" s="160"/>
      <c r="BZ2253" s="160"/>
      <c r="CA2253" s="160"/>
      <c r="CB2253" s="160"/>
      <c r="CC2253" s="160"/>
      <c r="CD2253" s="160"/>
      <c r="CE2253" s="160"/>
      <c r="CF2253" s="160"/>
      <c r="CG2253" s="160"/>
      <c r="CH2253" s="160"/>
      <c r="CI2253" s="160"/>
      <c r="CJ2253" s="160"/>
      <c r="CK2253" s="160"/>
      <c r="CL2253" s="160"/>
      <c r="CM2253" s="160"/>
      <c r="CN2253" s="160"/>
      <c r="CO2253" s="160"/>
      <c r="CP2253" s="162"/>
      <c r="CQ2253" s="163"/>
      <c r="CR2253" s="162"/>
      <c r="CS2253" s="163"/>
      <c r="CT2253" s="162"/>
      <c r="CU2253" s="163"/>
      <c r="CV2253" s="164">
        <f t="shared" si="281"/>
        <v>0</v>
      </c>
      <c r="CW2253" s="165"/>
      <c r="CX2253" s="166"/>
      <c r="CY2253" s="167"/>
      <c r="CZ2253" s="168"/>
      <c r="DA2253" s="169"/>
      <c r="DB2253" s="168"/>
      <c r="DC2253" s="165"/>
      <c r="DD2253" s="166"/>
      <c r="DE2253" s="71"/>
      <c r="DF2253" s="170"/>
      <c r="EO2253" s="375" t="str">
        <f t="shared" si="282"/>
        <v>NARIÑO_LA UNION</v>
      </c>
      <c r="EP2253" s="376"/>
      <c r="EQ2253" s="376"/>
      <c r="ER2253" s="377"/>
      <c r="ES2253" s="376"/>
      <c r="ET2253" s="376"/>
      <c r="EU2253" s="376"/>
    </row>
    <row r="2254" spans="1:151" s="287" customFormat="1" ht="25.5" x14ac:dyDescent="0.2">
      <c r="A2254" s="242">
        <v>40527</v>
      </c>
      <c r="B2254" s="222" t="s">
        <v>2245</v>
      </c>
      <c r="C2254" s="222" t="s">
        <v>2894</v>
      </c>
      <c r="D2254" s="430" t="s">
        <v>837</v>
      </c>
      <c r="E2254" s="107" t="str">
        <f>VLOOKUP(B2254&amp;C2254,Divipola!$C$2:$F$1138,4,FALSE)</f>
        <v>52405</v>
      </c>
      <c r="F2254" s="333"/>
      <c r="G2254" s="221"/>
      <c r="H2254" s="157"/>
      <c r="I2254" s="157"/>
      <c r="J2254" s="157">
        <v>1322</v>
      </c>
      <c r="K2254" s="157">
        <v>1322</v>
      </c>
      <c r="L2254" s="157"/>
      <c r="M2254" s="157"/>
      <c r="N2254" s="157"/>
      <c r="O2254" s="157"/>
      <c r="P2254" s="157"/>
      <c r="Q2254" s="157"/>
      <c r="R2254" s="157"/>
      <c r="S2254" s="157"/>
      <c r="T2254" s="157"/>
      <c r="U2254" s="157"/>
      <c r="V2254" s="158">
        <v>2453.0500000000002</v>
      </c>
      <c r="W2254" s="301" t="s">
        <v>3879</v>
      </c>
      <c r="X2254" s="1"/>
      <c r="Y2254" s="78">
        <f t="shared" si="278"/>
        <v>0</v>
      </c>
      <c r="Z2254" s="78">
        <f t="shared" si="279"/>
        <v>0</v>
      </c>
      <c r="AA2254" s="78">
        <f t="shared" si="277"/>
        <v>0</v>
      </c>
      <c r="AB2254" s="78">
        <f t="shared" si="280"/>
        <v>0</v>
      </c>
      <c r="AC2254" s="78"/>
      <c r="AD2254" s="78">
        <v>0</v>
      </c>
      <c r="AE2254" s="80">
        <f t="shared" si="283"/>
        <v>0</v>
      </c>
      <c r="AF2254" s="82">
        <v>0</v>
      </c>
      <c r="AG2254" s="295">
        <v>40617</v>
      </c>
      <c r="AH2254" s="296"/>
      <c r="AI2254" s="295" t="s">
        <v>1984</v>
      </c>
      <c r="AJ2254" s="297" t="s">
        <v>1985</v>
      </c>
      <c r="AK2254" s="298"/>
      <c r="AL2254" s="310" t="s">
        <v>1257</v>
      </c>
      <c r="AM2254" s="311" t="s">
        <v>3880</v>
      </c>
      <c r="AN2254" s="159"/>
      <c r="AO2254" s="160"/>
      <c r="AP2254" s="161"/>
      <c r="AQ2254" s="160"/>
      <c r="AR2254" s="160"/>
      <c r="AS2254" s="160"/>
      <c r="AT2254" s="160"/>
      <c r="AU2254" s="160"/>
      <c r="AV2254" s="160"/>
      <c r="AW2254" s="160"/>
      <c r="AX2254" s="160"/>
      <c r="AY2254" s="160"/>
      <c r="AZ2254" s="160"/>
      <c r="BA2254" s="160"/>
      <c r="BB2254" s="160"/>
      <c r="BC2254" s="160"/>
      <c r="BD2254" s="160"/>
      <c r="BE2254" s="160"/>
      <c r="BF2254" s="160"/>
      <c r="BG2254" s="160"/>
      <c r="BH2254" s="160"/>
      <c r="BI2254" s="160"/>
      <c r="BJ2254" s="160"/>
      <c r="BK2254" s="160"/>
      <c r="BL2254" s="160"/>
      <c r="BM2254" s="160"/>
      <c r="BN2254" s="160"/>
      <c r="BO2254" s="160"/>
      <c r="BP2254" s="160"/>
      <c r="BQ2254" s="160"/>
      <c r="BR2254" s="160"/>
      <c r="BS2254" s="160"/>
      <c r="BT2254" s="160"/>
      <c r="BU2254" s="160"/>
      <c r="BV2254" s="160"/>
      <c r="BW2254" s="160"/>
      <c r="BX2254" s="160"/>
      <c r="BY2254" s="160"/>
      <c r="BZ2254" s="160"/>
      <c r="CA2254" s="160"/>
      <c r="CB2254" s="160"/>
      <c r="CC2254" s="160"/>
      <c r="CD2254" s="160"/>
      <c r="CE2254" s="160"/>
      <c r="CF2254" s="160"/>
      <c r="CG2254" s="160"/>
      <c r="CH2254" s="160"/>
      <c r="CI2254" s="160"/>
      <c r="CJ2254" s="160"/>
      <c r="CK2254" s="160"/>
      <c r="CL2254" s="160"/>
      <c r="CM2254" s="160"/>
      <c r="CN2254" s="160"/>
      <c r="CO2254" s="160"/>
      <c r="CP2254" s="162"/>
      <c r="CQ2254" s="163"/>
      <c r="CR2254" s="162"/>
      <c r="CS2254" s="163"/>
      <c r="CT2254" s="162"/>
      <c r="CU2254" s="163"/>
      <c r="CV2254" s="164">
        <f t="shared" si="281"/>
        <v>0</v>
      </c>
      <c r="CW2254" s="165"/>
      <c r="CX2254" s="166"/>
      <c r="CY2254" s="167"/>
      <c r="CZ2254" s="168"/>
      <c r="DA2254" s="169"/>
      <c r="DB2254" s="168"/>
      <c r="DC2254" s="165"/>
      <c r="DD2254" s="166"/>
      <c r="DE2254" s="71"/>
      <c r="DF2254" s="170"/>
      <c r="EO2254" s="375" t="str">
        <f t="shared" si="282"/>
        <v>NARIÑO_LEIVA</v>
      </c>
      <c r="EP2254" s="376"/>
      <c r="EQ2254" s="376"/>
      <c r="ER2254" s="377"/>
      <c r="ES2254" s="376"/>
      <c r="ET2254" s="376"/>
      <c r="EU2254" s="376"/>
    </row>
    <row r="2255" spans="1:151" s="287" customFormat="1" ht="25.5" x14ac:dyDescent="0.2">
      <c r="A2255" s="242">
        <v>40527</v>
      </c>
      <c r="B2255" s="222" t="s">
        <v>2245</v>
      </c>
      <c r="C2255" s="222" t="s">
        <v>3815</v>
      </c>
      <c r="D2255" s="430" t="s">
        <v>837</v>
      </c>
      <c r="E2255" s="107" t="str">
        <f>VLOOKUP(B2255&amp;C2255,Divipola!$C$2:$F$1138,4,FALSE)</f>
        <v>52411</v>
      </c>
      <c r="F2255" s="333"/>
      <c r="G2255" s="221"/>
      <c r="H2255" s="157"/>
      <c r="I2255" s="157"/>
      <c r="J2255" s="157">
        <v>1162</v>
      </c>
      <c r="K2255" s="157">
        <v>1162</v>
      </c>
      <c r="L2255" s="157"/>
      <c r="M2255" s="157"/>
      <c r="N2255" s="157"/>
      <c r="O2255" s="157"/>
      <c r="P2255" s="157"/>
      <c r="Q2255" s="157"/>
      <c r="R2255" s="157"/>
      <c r="S2255" s="157"/>
      <c r="T2255" s="157"/>
      <c r="U2255" s="157"/>
      <c r="V2255" s="158">
        <v>2178.5</v>
      </c>
      <c r="W2255" s="301" t="s">
        <v>3879</v>
      </c>
      <c r="X2255" s="1"/>
      <c r="Y2255" s="78">
        <f t="shared" si="278"/>
        <v>0</v>
      </c>
      <c r="Z2255" s="78">
        <f t="shared" si="279"/>
        <v>0</v>
      </c>
      <c r="AA2255" s="78">
        <f t="shared" si="277"/>
        <v>0</v>
      </c>
      <c r="AB2255" s="78">
        <f t="shared" si="280"/>
        <v>0</v>
      </c>
      <c r="AC2255" s="78"/>
      <c r="AD2255" s="78">
        <v>0</v>
      </c>
      <c r="AE2255" s="80">
        <f t="shared" si="283"/>
        <v>0</v>
      </c>
      <c r="AF2255" s="82">
        <v>0</v>
      </c>
      <c r="AG2255" s="295">
        <v>40617</v>
      </c>
      <c r="AH2255" s="296"/>
      <c r="AI2255" s="295" t="s">
        <v>1984</v>
      </c>
      <c r="AJ2255" s="297" t="s">
        <v>1985</v>
      </c>
      <c r="AK2255" s="298"/>
      <c r="AL2255" s="310" t="s">
        <v>1257</v>
      </c>
      <c r="AM2255" s="311" t="s">
        <v>3880</v>
      </c>
      <c r="AN2255" s="159"/>
      <c r="AO2255" s="160"/>
      <c r="AP2255" s="161"/>
      <c r="AQ2255" s="160"/>
      <c r="AR2255" s="160"/>
      <c r="AS2255" s="160"/>
      <c r="AT2255" s="160"/>
      <c r="AU2255" s="160"/>
      <c r="AV2255" s="160"/>
      <c r="AW2255" s="160"/>
      <c r="AX2255" s="160"/>
      <c r="AY2255" s="160"/>
      <c r="AZ2255" s="160"/>
      <c r="BA2255" s="160"/>
      <c r="BB2255" s="160"/>
      <c r="BC2255" s="160"/>
      <c r="BD2255" s="160"/>
      <c r="BE2255" s="160"/>
      <c r="BF2255" s="160"/>
      <c r="BG2255" s="160"/>
      <c r="BH2255" s="160"/>
      <c r="BI2255" s="160"/>
      <c r="BJ2255" s="160"/>
      <c r="BK2255" s="160"/>
      <c r="BL2255" s="160"/>
      <c r="BM2255" s="160"/>
      <c r="BN2255" s="160"/>
      <c r="BO2255" s="160"/>
      <c r="BP2255" s="160"/>
      <c r="BQ2255" s="160"/>
      <c r="BR2255" s="160"/>
      <c r="BS2255" s="160"/>
      <c r="BT2255" s="160"/>
      <c r="BU2255" s="160"/>
      <c r="BV2255" s="160"/>
      <c r="BW2255" s="160"/>
      <c r="BX2255" s="160"/>
      <c r="BY2255" s="160"/>
      <c r="BZ2255" s="160"/>
      <c r="CA2255" s="160"/>
      <c r="CB2255" s="160"/>
      <c r="CC2255" s="160"/>
      <c r="CD2255" s="160"/>
      <c r="CE2255" s="160"/>
      <c r="CF2255" s="160"/>
      <c r="CG2255" s="160"/>
      <c r="CH2255" s="160"/>
      <c r="CI2255" s="160"/>
      <c r="CJ2255" s="160"/>
      <c r="CK2255" s="160"/>
      <c r="CL2255" s="160"/>
      <c r="CM2255" s="160"/>
      <c r="CN2255" s="160"/>
      <c r="CO2255" s="160"/>
      <c r="CP2255" s="162"/>
      <c r="CQ2255" s="163"/>
      <c r="CR2255" s="162"/>
      <c r="CS2255" s="163"/>
      <c r="CT2255" s="162"/>
      <c r="CU2255" s="163"/>
      <c r="CV2255" s="164">
        <f t="shared" si="281"/>
        <v>0</v>
      </c>
      <c r="CW2255" s="165"/>
      <c r="CX2255" s="166"/>
      <c r="CY2255" s="167"/>
      <c r="CZ2255" s="168"/>
      <c r="DA2255" s="169"/>
      <c r="DB2255" s="168"/>
      <c r="DC2255" s="165"/>
      <c r="DD2255" s="166"/>
      <c r="DE2255" s="71"/>
      <c r="DF2255" s="170"/>
      <c r="EO2255" s="375" t="str">
        <f t="shared" si="282"/>
        <v>NARIÑO_LINARES</v>
      </c>
      <c r="EP2255" s="376"/>
      <c r="EQ2255" s="376"/>
      <c r="ER2255" s="377"/>
      <c r="ES2255" s="376"/>
      <c r="ET2255" s="376"/>
      <c r="EU2255" s="376"/>
    </row>
    <row r="2256" spans="1:151" s="287" customFormat="1" ht="25.5" x14ac:dyDescent="0.2">
      <c r="A2256" s="242">
        <v>40527</v>
      </c>
      <c r="B2256" s="222" t="s">
        <v>2245</v>
      </c>
      <c r="C2256" s="222" t="s">
        <v>335</v>
      </c>
      <c r="D2256" s="430" t="s">
        <v>837</v>
      </c>
      <c r="E2256" s="107" t="str">
        <f>VLOOKUP(B2256&amp;C2256,Divipola!$C$2:$F$1138,4,FALSE)</f>
        <v>52418</v>
      </c>
      <c r="F2256" s="333"/>
      <c r="G2256" s="221"/>
      <c r="H2256" s="157"/>
      <c r="I2256" s="157"/>
      <c r="J2256" s="157">
        <v>541</v>
      </c>
      <c r="K2256" s="157">
        <v>541</v>
      </c>
      <c r="L2256" s="157"/>
      <c r="M2256" s="157"/>
      <c r="N2256" s="157"/>
      <c r="O2256" s="157"/>
      <c r="P2256" s="157"/>
      <c r="Q2256" s="157"/>
      <c r="R2256" s="157"/>
      <c r="S2256" s="157"/>
      <c r="T2256" s="157"/>
      <c r="U2256" s="157"/>
      <c r="V2256" s="158">
        <v>509.65</v>
      </c>
      <c r="W2256" s="301" t="s">
        <v>3879</v>
      </c>
      <c r="X2256" s="1"/>
      <c r="Y2256" s="78">
        <f t="shared" si="278"/>
        <v>0</v>
      </c>
      <c r="Z2256" s="78">
        <f t="shared" si="279"/>
        <v>0</v>
      </c>
      <c r="AA2256" s="78">
        <f t="shared" si="277"/>
        <v>0</v>
      </c>
      <c r="AB2256" s="78">
        <f t="shared" si="280"/>
        <v>0</v>
      </c>
      <c r="AC2256" s="78"/>
      <c r="AD2256" s="78">
        <v>0</v>
      </c>
      <c r="AE2256" s="80">
        <f t="shared" si="283"/>
        <v>0</v>
      </c>
      <c r="AF2256" s="82">
        <v>0</v>
      </c>
      <c r="AG2256" s="295">
        <v>40617</v>
      </c>
      <c r="AH2256" s="296"/>
      <c r="AI2256" s="295" t="s">
        <v>1984</v>
      </c>
      <c r="AJ2256" s="297" t="s">
        <v>1985</v>
      </c>
      <c r="AK2256" s="298"/>
      <c r="AL2256" s="310" t="s">
        <v>1257</v>
      </c>
      <c r="AM2256" s="311" t="s">
        <v>3880</v>
      </c>
      <c r="AN2256" s="159"/>
      <c r="AO2256" s="160"/>
      <c r="AP2256" s="161"/>
      <c r="AQ2256" s="160"/>
      <c r="AR2256" s="160"/>
      <c r="AS2256" s="160"/>
      <c r="AT2256" s="160"/>
      <c r="AU2256" s="160"/>
      <c r="AV2256" s="160"/>
      <c r="AW2256" s="160"/>
      <c r="AX2256" s="160"/>
      <c r="AY2256" s="160"/>
      <c r="AZ2256" s="160"/>
      <c r="BA2256" s="160"/>
      <c r="BB2256" s="160"/>
      <c r="BC2256" s="160"/>
      <c r="BD2256" s="160"/>
      <c r="BE2256" s="160"/>
      <c r="BF2256" s="160"/>
      <c r="BG2256" s="160"/>
      <c r="BH2256" s="160"/>
      <c r="BI2256" s="160"/>
      <c r="BJ2256" s="160"/>
      <c r="BK2256" s="160"/>
      <c r="BL2256" s="160"/>
      <c r="BM2256" s="160"/>
      <c r="BN2256" s="160"/>
      <c r="BO2256" s="160"/>
      <c r="BP2256" s="160"/>
      <c r="BQ2256" s="160"/>
      <c r="BR2256" s="160"/>
      <c r="BS2256" s="160"/>
      <c r="BT2256" s="160"/>
      <c r="BU2256" s="160"/>
      <c r="BV2256" s="160"/>
      <c r="BW2256" s="160"/>
      <c r="BX2256" s="160"/>
      <c r="BY2256" s="160"/>
      <c r="BZ2256" s="160"/>
      <c r="CA2256" s="160"/>
      <c r="CB2256" s="160"/>
      <c r="CC2256" s="160"/>
      <c r="CD2256" s="160"/>
      <c r="CE2256" s="160"/>
      <c r="CF2256" s="160"/>
      <c r="CG2256" s="160"/>
      <c r="CH2256" s="160"/>
      <c r="CI2256" s="160"/>
      <c r="CJ2256" s="160"/>
      <c r="CK2256" s="160"/>
      <c r="CL2256" s="160"/>
      <c r="CM2256" s="160"/>
      <c r="CN2256" s="160"/>
      <c r="CO2256" s="160"/>
      <c r="CP2256" s="162"/>
      <c r="CQ2256" s="163"/>
      <c r="CR2256" s="162"/>
      <c r="CS2256" s="163"/>
      <c r="CT2256" s="162"/>
      <c r="CU2256" s="163"/>
      <c r="CV2256" s="164">
        <f t="shared" si="281"/>
        <v>0</v>
      </c>
      <c r="CW2256" s="165"/>
      <c r="CX2256" s="166"/>
      <c r="CY2256" s="167"/>
      <c r="CZ2256" s="168"/>
      <c r="DA2256" s="169"/>
      <c r="DB2256" s="168"/>
      <c r="DC2256" s="165"/>
      <c r="DD2256" s="166"/>
      <c r="DE2256" s="71"/>
      <c r="DF2256" s="170"/>
      <c r="EO2256" s="375" t="str">
        <f t="shared" si="282"/>
        <v>NARIÑO_LOS ANDES</v>
      </c>
      <c r="EP2256" s="376"/>
      <c r="EQ2256" s="376"/>
      <c r="ER2256" s="377"/>
      <c r="ES2256" s="376"/>
      <c r="ET2256" s="376"/>
      <c r="EU2256" s="376"/>
    </row>
    <row r="2257" spans="1:151" s="171" customFormat="1" ht="38.25" x14ac:dyDescent="0.2">
      <c r="A2257" s="242">
        <v>40527</v>
      </c>
      <c r="B2257" s="222" t="s">
        <v>2245</v>
      </c>
      <c r="C2257" s="107" t="s">
        <v>6309</v>
      </c>
      <c r="D2257" s="430" t="s">
        <v>837</v>
      </c>
      <c r="E2257" s="107" t="str">
        <f>VLOOKUP(B2257&amp;C2257,Divipola!$C$2:$F$1138,4,FALSE)</f>
        <v>52427</v>
      </c>
      <c r="F2257" s="333"/>
      <c r="G2257" s="221"/>
      <c r="H2257" s="157"/>
      <c r="I2257" s="157"/>
      <c r="J2257" s="157">
        <v>2607</v>
      </c>
      <c r="K2257" s="157">
        <v>2607</v>
      </c>
      <c r="L2257" s="157"/>
      <c r="M2257" s="157"/>
      <c r="N2257" s="157"/>
      <c r="O2257" s="157"/>
      <c r="P2257" s="157"/>
      <c r="Q2257" s="157"/>
      <c r="R2257" s="157"/>
      <c r="S2257" s="157"/>
      <c r="T2257" s="157"/>
      <c r="U2257" s="157"/>
      <c r="V2257" s="158">
        <v>2607.3000000000002</v>
      </c>
      <c r="W2257" s="301" t="s">
        <v>3879</v>
      </c>
      <c r="X2257" s="1"/>
      <c r="Y2257" s="78">
        <f t="shared" si="278"/>
        <v>0</v>
      </c>
      <c r="Z2257" s="78">
        <f t="shared" si="279"/>
        <v>0</v>
      </c>
      <c r="AA2257" s="78">
        <f t="shared" si="277"/>
        <v>0</v>
      </c>
      <c r="AB2257" s="78">
        <f t="shared" si="280"/>
        <v>0</v>
      </c>
      <c r="AC2257" s="78"/>
      <c r="AD2257" s="78">
        <v>0</v>
      </c>
      <c r="AE2257" s="80">
        <f t="shared" si="283"/>
        <v>0</v>
      </c>
      <c r="AF2257" s="82">
        <v>0</v>
      </c>
      <c r="AG2257" s="295">
        <v>40617</v>
      </c>
      <c r="AH2257" s="296"/>
      <c r="AI2257" s="295" t="s">
        <v>1984</v>
      </c>
      <c r="AJ2257" s="297" t="s">
        <v>1985</v>
      </c>
      <c r="AK2257" s="298"/>
      <c r="AL2257" s="310" t="s">
        <v>1257</v>
      </c>
      <c r="AM2257" s="311" t="s">
        <v>3880</v>
      </c>
      <c r="AN2257" s="159"/>
      <c r="AO2257" s="160"/>
      <c r="AP2257" s="161"/>
      <c r="AQ2257" s="160"/>
      <c r="AR2257" s="160"/>
      <c r="AS2257" s="160"/>
      <c r="AT2257" s="160"/>
      <c r="AU2257" s="160"/>
      <c r="AV2257" s="160"/>
      <c r="AW2257" s="160"/>
      <c r="AX2257" s="160"/>
      <c r="AY2257" s="160"/>
      <c r="AZ2257" s="160"/>
      <c r="BA2257" s="160"/>
      <c r="BB2257" s="160"/>
      <c r="BC2257" s="160"/>
      <c r="BD2257" s="160"/>
      <c r="BE2257" s="160"/>
      <c r="BF2257" s="160"/>
      <c r="BG2257" s="160"/>
      <c r="BH2257" s="160"/>
      <c r="BI2257" s="160"/>
      <c r="BJ2257" s="160"/>
      <c r="BK2257" s="160"/>
      <c r="BL2257" s="160"/>
      <c r="BM2257" s="160"/>
      <c r="BN2257" s="160"/>
      <c r="BO2257" s="160"/>
      <c r="BP2257" s="160"/>
      <c r="BQ2257" s="160"/>
      <c r="BR2257" s="160"/>
      <c r="BS2257" s="160"/>
      <c r="BT2257" s="160"/>
      <c r="BU2257" s="160"/>
      <c r="BV2257" s="160"/>
      <c r="BW2257" s="160"/>
      <c r="BX2257" s="160"/>
      <c r="BY2257" s="160"/>
      <c r="BZ2257" s="160"/>
      <c r="CA2257" s="160"/>
      <c r="CB2257" s="160"/>
      <c r="CC2257" s="160"/>
      <c r="CD2257" s="160"/>
      <c r="CE2257" s="160"/>
      <c r="CF2257" s="160"/>
      <c r="CG2257" s="160"/>
      <c r="CH2257" s="160"/>
      <c r="CI2257" s="160"/>
      <c r="CJ2257" s="160"/>
      <c r="CK2257" s="160"/>
      <c r="CL2257" s="160"/>
      <c r="CM2257" s="160"/>
      <c r="CN2257" s="160"/>
      <c r="CO2257" s="160"/>
      <c r="CP2257" s="162"/>
      <c r="CQ2257" s="163"/>
      <c r="CR2257" s="162"/>
      <c r="CS2257" s="163"/>
      <c r="CT2257" s="162"/>
      <c r="CU2257" s="163"/>
      <c r="CV2257" s="164">
        <f t="shared" si="281"/>
        <v>0</v>
      </c>
      <c r="CW2257" s="165"/>
      <c r="CX2257" s="166"/>
      <c r="CY2257" s="167"/>
      <c r="CZ2257" s="168"/>
      <c r="DA2257" s="169"/>
      <c r="DB2257" s="168"/>
      <c r="DC2257" s="165"/>
      <c r="DD2257" s="166"/>
      <c r="DE2257" s="71"/>
      <c r="DF2257" s="170"/>
      <c r="EO2257" s="375" t="str">
        <f t="shared" si="282"/>
        <v>NARIÑO_MAGUI PAYAN</v>
      </c>
      <c r="EP2257" s="376"/>
      <c r="EQ2257" s="376"/>
      <c r="ER2257" s="377"/>
      <c r="ES2257" s="376"/>
      <c r="ET2257" s="376"/>
      <c r="EU2257" s="376"/>
    </row>
    <row r="2258" spans="1:151" s="287" customFormat="1" ht="25.5" x14ac:dyDescent="0.2">
      <c r="A2258" s="242">
        <v>40527</v>
      </c>
      <c r="B2258" s="222" t="s">
        <v>2245</v>
      </c>
      <c r="C2258" s="222" t="s">
        <v>3829</v>
      </c>
      <c r="D2258" s="430" t="s">
        <v>837</v>
      </c>
      <c r="E2258" s="107" t="str">
        <f>VLOOKUP(B2258&amp;C2258,Divipola!$C$2:$F$1138,4,FALSE)</f>
        <v>52435</v>
      </c>
      <c r="F2258" s="333"/>
      <c r="G2258" s="221"/>
      <c r="H2258" s="157"/>
      <c r="I2258" s="157"/>
      <c r="J2258" s="157">
        <v>781</v>
      </c>
      <c r="K2258" s="157">
        <v>781</v>
      </c>
      <c r="L2258" s="157"/>
      <c r="M2258" s="157"/>
      <c r="N2258" s="157"/>
      <c r="O2258" s="157"/>
      <c r="P2258" s="157"/>
      <c r="Q2258" s="157"/>
      <c r="R2258" s="157"/>
      <c r="S2258" s="157"/>
      <c r="T2258" s="157"/>
      <c r="U2258" s="157"/>
      <c r="V2258" s="158">
        <v>1245.8599999999999</v>
      </c>
      <c r="W2258" s="301" t="s">
        <v>3879</v>
      </c>
      <c r="X2258" s="1"/>
      <c r="Y2258" s="78">
        <f t="shared" si="278"/>
        <v>0</v>
      </c>
      <c r="Z2258" s="78">
        <f t="shared" si="279"/>
        <v>0</v>
      </c>
      <c r="AA2258" s="78">
        <f t="shared" si="277"/>
        <v>0</v>
      </c>
      <c r="AB2258" s="78">
        <f t="shared" si="280"/>
        <v>0</v>
      </c>
      <c r="AC2258" s="78"/>
      <c r="AD2258" s="78">
        <v>0</v>
      </c>
      <c r="AE2258" s="80">
        <f t="shared" si="283"/>
        <v>0</v>
      </c>
      <c r="AF2258" s="82">
        <v>0</v>
      </c>
      <c r="AG2258" s="295">
        <v>40617</v>
      </c>
      <c r="AH2258" s="296"/>
      <c r="AI2258" s="295" t="s">
        <v>1984</v>
      </c>
      <c r="AJ2258" s="297" t="s">
        <v>1985</v>
      </c>
      <c r="AK2258" s="298"/>
      <c r="AL2258" s="310" t="s">
        <v>1257</v>
      </c>
      <c r="AM2258" s="311" t="s">
        <v>3880</v>
      </c>
      <c r="AN2258" s="159"/>
      <c r="AO2258" s="160"/>
      <c r="AP2258" s="161"/>
      <c r="AQ2258" s="160"/>
      <c r="AR2258" s="160"/>
      <c r="AS2258" s="160"/>
      <c r="AT2258" s="160"/>
      <c r="AU2258" s="160"/>
      <c r="AV2258" s="160"/>
      <c r="AW2258" s="160"/>
      <c r="AX2258" s="160"/>
      <c r="AY2258" s="160"/>
      <c r="AZ2258" s="160"/>
      <c r="BA2258" s="160"/>
      <c r="BB2258" s="160"/>
      <c r="BC2258" s="160"/>
      <c r="BD2258" s="160"/>
      <c r="BE2258" s="160"/>
      <c r="BF2258" s="160"/>
      <c r="BG2258" s="160"/>
      <c r="BH2258" s="160"/>
      <c r="BI2258" s="160"/>
      <c r="BJ2258" s="160"/>
      <c r="BK2258" s="160"/>
      <c r="BL2258" s="160"/>
      <c r="BM2258" s="160"/>
      <c r="BN2258" s="160"/>
      <c r="BO2258" s="160"/>
      <c r="BP2258" s="160"/>
      <c r="BQ2258" s="160"/>
      <c r="BR2258" s="160"/>
      <c r="BS2258" s="160"/>
      <c r="BT2258" s="160"/>
      <c r="BU2258" s="160"/>
      <c r="BV2258" s="160"/>
      <c r="BW2258" s="160"/>
      <c r="BX2258" s="160"/>
      <c r="BY2258" s="160"/>
      <c r="BZ2258" s="160"/>
      <c r="CA2258" s="160"/>
      <c r="CB2258" s="160"/>
      <c r="CC2258" s="160"/>
      <c r="CD2258" s="160"/>
      <c r="CE2258" s="160"/>
      <c r="CF2258" s="160"/>
      <c r="CG2258" s="160"/>
      <c r="CH2258" s="160"/>
      <c r="CI2258" s="160"/>
      <c r="CJ2258" s="160"/>
      <c r="CK2258" s="160"/>
      <c r="CL2258" s="160"/>
      <c r="CM2258" s="160"/>
      <c r="CN2258" s="160"/>
      <c r="CO2258" s="160"/>
      <c r="CP2258" s="162"/>
      <c r="CQ2258" s="163"/>
      <c r="CR2258" s="162"/>
      <c r="CS2258" s="163"/>
      <c r="CT2258" s="162"/>
      <c r="CU2258" s="163"/>
      <c r="CV2258" s="164">
        <f t="shared" si="281"/>
        <v>0</v>
      </c>
      <c r="CW2258" s="165"/>
      <c r="CX2258" s="166"/>
      <c r="CY2258" s="167"/>
      <c r="CZ2258" s="168"/>
      <c r="DA2258" s="169"/>
      <c r="DB2258" s="168"/>
      <c r="DC2258" s="165"/>
      <c r="DD2258" s="166"/>
      <c r="DE2258" s="71"/>
      <c r="DF2258" s="170"/>
      <c r="EO2258" s="375" t="str">
        <f t="shared" si="282"/>
        <v>NARIÑO_MALLAMA</v>
      </c>
      <c r="EP2258" s="376"/>
      <c r="EQ2258" s="376"/>
      <c r="ER2258" s="377"/>
      <c r="ES2258" s="376"/>
      <c r="ET2258" s="376"/>
      <c r="EU2258" s="376"/>
    </row>
    <row r="2259" spans="1:151" s="287" customFormat="1" ht="25.5" x14ac:dyDescent="0.2">
      <c r="A2259" s="242">
        <v>40527</v>
      </c>
      <c r="B2259" s="107" t="s">
        <v>2245</v>
      </c>
      <c r="C2259" s="107" t="s">
        <v>1586</v>
      </c>
      <c r="D2259" s="427" t="s">
        <v>837</v>
      </c>
      <c r="E2259" s="107" t="str">
        <f>VLOOKUP(B2259&amp;C2259,Divipola!$C$2:$F$1138,4,FALSE)</f>
        <v>52473</v>
      </c>
      <c r="F2259" s="330"/>
      <c r="G2259" s="224"/>
      <c r="H2259" s="75"/>
      <c r="I2259" s="75"/>
      <c r="J2259" s="75">
        <v>270</v>
      </c>
      <c r="K2259" s="75">
        <v>45</v>
      </c>
      <c r="L2259" s="75">
        <v>10</v>
      </c>
      <c r="M2259" s="75">
        <v>35</v>
      </c>
      <c r="N2259" s="75"/>
      <c r="O2259" s="75"/>
      <c r="P2259" s="75"/>
      <c r="Q2259" s="75"/>
      <c r="R2259" s="75"/>
      <c r="S2259" s="75"/>
      <c r="T2259" s="75"/>
      <c r="U2259" s="75"/>
      <c r="V2259" s="76"/>
      <c r="W2259" s="205"/>
      <c r="X2259" s="1"/>
      <c r="Y2259" s="78">
        <f t="shared" si="278"/>
        <v>0</v>
      </c>
      <c r="Z2259" s="78">
        <f t="shared" si="279"/>
        <v>0</v>
      </c>
      <c r="AA2259" s="78">
        <f t="shared" si="277"/>
        <v>0</v>
      </c>
      <c r="AB2259" s="78">
        <f t="shared" si="280"/>
        <v>0</v>
      </c>
      <c r="AC2259" s="78"/>
      <c r="AD2259" s="78">
        <v>0</v>
      </c>
      <c r="AE2259" s="80">
        <f t="shared" si="283"/>
        <v>0</v>
      </c>
      <c r="AF2259" s="82">
        <v>0</v>
      </c>
      <c r="AG2259" s="69">
        <v>40377</v>
      </c>
      <c r="AH2259" s="84"/>
      <c r="AI2259" s="69" t="s">
        <v>1984</v>
      </c>
      <c r="AJ2259" s="25" t="s">
        <v>1985</v>
      </c>
      <c r="AK2259" s="65"/>
      <c r="AL2259" s="185" t="s">
        <v>1257</v>
      </c>
      <c r="AM2259" s="85" t="s">
        <v>1587</v>
      </c>
      <c r="AN2259" s="3"/>
      <c r="AO2259" s="4"/>
      <c r="AP2259" s="5"/>
      <c r="AQ2259" s="4"/>
      <c r="AR2259" s="4"/>
      <c r="AS2259" s="4"/>
      <c r="AT2259" s="4"/>
      <c r="AU2259" s="4"/>
      <c r="AV2259" s="4"/>
      <c r="AW2259" s="4"/>
      <c r="AX2259" s="4"/>
      <c r="AY2259" s="4"/>
      <c r="AZ2259" s="4"/>
      <c r="BA2259" s="4"/>
      <c r="BB2259" s="4"/>
      <c r="BC2259" s="4"/>
      <c r="BD2259" s="4"/>
      <c r="BE2259" s="4"/>
      <c r="BF2259" s="4"/>
      <c r="BG2259" s="4"/>
      <c r="BH2259" s="4"/>
      <c r="BI2259" s="4"/>
      <c r="BJ2259" s="4"/>
      <c r="BK2259" s="4"/>
      <c r="BL2259" s="4"/>
      <c r="BM2259" s="4"/>
      <c r="BN2259" s="4"/>
      <c r="BO2259" s="4"/>
      <c r="BP2259" s="4"/>
      <c r="BQ2259" s="4"/>
      <c r="BR2259" s="4"/>
      <c r="BS2259" s="4"/>
      <c r="BT2259" s="4"/>
      <c r="BU2259" s="4"/>
      <c r="BV2259" s="4"/>
      <c r="BW2259" s="4"/>
      <c r="BX2259" s="4"/>
      <c r="BY2259" s="4"/>
      <c r="BZ2259" s="4"/>
      <c r="CA2259" s="4"/>
      <c r="CB2259" s="4"/>
      <c r="CC2259" s="4"/>
      <c r="CD2259" s="4"/>
      <c r="CE2259" s="4"/>
      <c r="CF2259" s="4"/>
      <c r="CG2259" s="4"/>
      <c r="CH2259" s="4"/>
      <c r="CI2259" s="4"/>
      <c r="CJ2259" s="4"/>
      <c r="CK2259" s="4"/>
      <c r="CL2259" s="4"/>
      <c r="CM2259" s="4"/>
      <c r="CN2259" s="4"/>
      <c r="CO2259" s="4"/>
      <c r="CP2259" s="6"/>
      <c r="CQ2259" s="7"/>
      <c r="CR2259" s="6"/>
      <c r="CS2259" s="7"/>
      <c r="CT2259" s="6"/>
      <c r="CU2259" s="7"/>
      <c r="CV2259" s="8">
        <f t="shared" si="281"/>
        <v>0</v>
      </c>
      <c r="CW2259" s="9"/>
      <c r="CX2259" s="10"/>
      <c r="CY2259" s="11"/>
      <c r="CZ2259" s="12"/>
      <c r="DA2259" s="29"/>
      <c r="DB2259" s="12"/>
      <c r="DC2259" s="9"/>
      <c r="DD2259" s="10"/>
      <c r="DE2259" s="71"/>
      <c r="DF2259" s="23"/>
      <c r="EO2259" s="375" t="str">
        <f t="shared" si="282"/>
        <v>NARIÑO_MOSQUERA</v>
      </c>
      <c r="EP2259" s="376"/>
      <c r="EQ2259" s="376"/>
      <c r="ER2259" s="377"/>
      <c r="ES2259" s="376"/>
      <c r="ET2259" s="376"/>
      <c r="EU2259" s="376"/>
    </row>
    <row r="2260" spans="1:151" s="287" customFormat="1" ht="25.5" x14ac:dyDescent="0.2">
      <c r="A2260" s="242">
        <v>40527</v>
      </c>
      <c r="B2260" s="222" t="s">
        <v>2245</v>
      </c>
      <c r="C2260" s="222" t="s">
        <v>1586</v>
      </c>
      <c r="D2260" s="430" t="s">
        <v>837</v>
      </c>
      <c r="E2260" s="107" t="str">
        <f>VLOOKUP(B2260&amp;C2260,Divipola!$C$2:$F$1138,4,FALSE)</f>
        <v>52473</v>
      </c>
      <c r="F2260" s="333"/>
      <c r="G2260" s="221"/>
      <c r="H2260" s="157"/>
      <c r="I2260" s="157"/>
      <c r="J2260" s="157">
        <v>119</v>
      </c>
      <c r="K2260" s="157">
        <v>119</v>
      </c>
      <c r="L2260" s="157"/>
      <c r="M2260" s="157"/>
      <c r="N2260" s="157"/>
      <c r="O2260" s="157"/>
      <c r="P2260" s="157"/>
      <c r="Q2260" s="157"/>
      <c r="R2260" s="157"/>
      <c r="S2260" s="157"/>
      <c r="T2260" s="157"/>
      <c r="U2260" s="157"/>
      <c r="V2260" s="158"/>
      <c r="W2260" s="301" t="s">
        <v>3879</v>
      </c>
      <c r="X2260" s="1"/>
      <c r="Y2260" s="78">
        <f t="shared" si="278"/>
        <v>0</v>
      </c>
      <c r="Z2260" s="78">
        <f t="shared" si="279"/>
        <v>0</v>
      </c>
      <c r="AA2260" s="78">
        <f t="shared" si="277"/>
        <v>0</v>
      </c>
      <c r="AB2260" s="78">
        <f t="shared" si="280"/>
        <v>0</v>
      </c>
      <c r="AC2260" s="78"/>
      <c r="AD2260" s="78">
        <v>0</v>
      </c>
      <c r="AE2260" s="80">
        <f t="shared" si="283"/>
        <v>0</v>
      </c>
      <c r="AF2260" s="82">
        <v>0</v>
      </c>
      <c r="AG2260" s="295">
        <v>40617</v>
      </c>
      <c r="AH2260" s="296"/>
      <c r="AI2260" s="295" t="s">
        <v>1984</v>
      </c>
      <c r="AJ2260" s="297" t="s">
        <v>1985</v>
      </c>
      <c r="AK2260" s="298"/>
      <c r="AL2260" s="310" t="s">
        <v>1257</v>
      </c>
      <c r="AM2260" s="311" t="s">
        <v>3880</v>
      </c>
      <c r="AN2260" s="159"/>
      <c r="AO2260" s="160"/>
      <c r="AP2260" s="161"/>
      <c r="AQ2260" s="160"/>
      <c r="AR2260" s="160"/>
      <c r="AS2260" s="160"/>
      <c r="AT2260" s="160"/>
      <c r="AU2260" s="160"/>
      <c r="AV2260" s="160"/>
      <c r="AW2260" s="160"/>
      <c r="AX2260" s="160"/>
      <c r="AY2260" s="160"/>
      <c r="AZ2260" s="160"/>
      <c r="BA2260" s="160"/>
      <c r="BB2260" s="160"/>
      <c r="BC2260" s="160"/>
      <c r="BD2260" s="160"/>
      <c r="BE2260" s="160"/>
      <c r="BF2260" s="160"/>
      <c r="BG2260" s="160"/>
      <c r="BH2260" s="160"/>
      <c r="BI2260" s="160"/>
      <c r="BJ2260" s="160"/>
      <c r="BK2260" s="160"/>
      <c r="BL2260" s="160"/>
      <c r="BM2260" s="160"/>
      <c r="BN2260" s="160"/>
      <c r="BO2260" s="160"/>
      <c r="BP2260" s="160"/>
      <c r="BQ2260" s="160"/>
      <c r="BR2260" s="160"/>
      <c r="BS2260" s="160"/>
      <c r="BT2260" s="160"/>
      <c r="BU2260" s="160"/>
      <c r="BV2260" s="160"/>
      <c r="BW2260" s="160"/>
      <c r="BX2260" s="160"/>
      <c r="BY2260" s="160"/>
      <c r="BZ2260" s="160"/>
      <c r="CA2260" s="160"/>
      <c r="CB2260" s="160"/>
      <c r="CC2260" s="160"/>
      <c r="CD2260" s="160"/>
      <c r="CE2260" s="160"/>
      <c r="CF2260" s="160"/>
      <c r="CG2260" s="160"/>
      <c r="CH2260" s="160"/>
      <c r="CI2260" s="160"/>
      <c r="CJ2260" s="160"/>
      <c r="CK2260" s="160"/>
      <c r="CL2260" s="160"/>
      <c r="CM2260" s="160"/>
      <c r="CN2260" s="160"/>
      <c r="CO2260" s="160"/>
      <c r="CP2260" s="162"/>
      <c r="CQ2260" s="163"/>
      <c r="CR2260" s="162"/>
      <c r="CS2260" s="163"/>
      <c r="CT2260" s="162"/>
      <c r="CU2260" s="163"/>
      <c r="CV2260" s="164">
        <f t="shared" si="281"/>
        <v>0</v>
      </c>
      <c r="CW2260" s="165"/>
      <c r="CX2260" s="166"/>
      <c r="CY2260" s="167"/>
      <c r="CZ2260" s="168"/>
      <c r="DA2260" s="169"/>
      <c r="DB2260" s="168"/>
      <c r="DC2260" s="165"/>
      <c r="DD2260" s="166"/>
      <c r="DE2260" s="71"/>
      <c r="DF2260" s="170"/>
      <c r="EO2260" s="375" t="str">
        <f t="shared" si="282"/>
        <v>NARIÑO_MOSQUERA</v>
      </c>
      <c r="EP2260" s="376"/>
      <c r="EQ2260" s="376"/>
      <c r="ER2260" s="377"/>
      <c r="ES2260" s="376"/>
      <c r="ET2260" s="376"/>
      <c r="EU2260" s="376"/>
    </row>
    <row r="2261" spans="1:151" s="171" customFormat="1" ht="38.25" x14ac:dyDescent="0.2">
      <c r="A2261" s="242">
        <v>40527</v>
      </c>
      <c r="B2261" s="222" t="s">
        <v>2245</v>
      </c>
      <c r="C2261" s="222" t="s">
        <v>2484</v>
      </c>
      <c r="D2261" s="430" t="s">
        <v>837</v>
      </c>
      <c r="E2261" s="107" t="str">
        <f>VLOOKUP(B2261&amp;C2261,Divipola!$C$2:$F$1138,4,FALSE)</f>
        <v>52490</v>
      </c>
      <c r="F2261" s="333"/>
      <c r="G2261" s="221"/>
      <c r="H2261" s="157"/>
      <c r="I2261" s="157"/>
      <c r="J2261" s="157">
        <v>2800</v>
      </c>
      <c r="K2261" s="157">
        <v>2800</v>
      </c>
      <c r="L2261" s="157"/>
      <c r="M2261" s="157"/>
      <c r="N2261" s="157"/>
      <c r="O2261" s="157"/>
      <c r="P2261" s="157"/>
      <c r="Q2261" s="157"/>
      <c r="R2261" s="157"/>
      <c r="S2261" s="157"/>
      <c r="T2261" s="157"/>
      <c r="U2261" s="157"/>
      <c r="V2261" s="158">
        <v>2525</v>
      </c>
      <c r="W2261" s="301" t="s">
        <v>3879</v>
      </c>
      <c r="X2261" s="1"/>
      <c r="Y2261" s="78">
        <f t="shared" si="278"/>
        <v>0</v>
      </c>
      <c r="Z2261" s="78">
        <f t="shared" si="279"/>
        <v>0</v>
      </c>
      <c r="AA2261" s="78">
        <f t="shared" si="277"/>
        <v>0</v>
      </c>
      <c r="AB2261" s="78">
        <f t="shared" si="280"/>
        <v>0</v>
      </c>
      <c r="AC2261" s="78"/>
      <c r="AD2261" s="78">
        <v>0</v>
      </c>
      <c r="AE2261" s="80">
        <f t="shared" si="283"/>
        <v>0</v>
      </c>
      <c r="AF2261" s="82">
        <v>0</v>
      </c>
      <c r="AG2261" s="295">
        <v>40617</v>
      </c>
      <c r="AH2261" s="296"/>
      <c r="AI2261" s="295" t="s">
        <v>1984</v>
      </c>
      <c r="AJ2261" s="297" t="s">
        <v>1985</v>
      </c>
      <c r="AK2261" s="298"/>
      <c r="AL2261" s="310" t="s">
        <v>1257</v>
      </c>
      <c r="AM2261" s="311" t="s">
        <v>3880</v>
      </c>
      <c r="AN2261" s="159"/>
      <c r="AO2261" s="160"/>
      <c r="AP2261" s="161"/>
      <c r="AQ2261" s="160"/>
      <c r="AR2261" s="160"/>
      <c r="AS2261" s="160"/>
      <c r="AT2261" s="160"/>
      <c r="AU2261" s="160"/>
      <c r="AV2261" s="160"/>
      <c r="AW2261" s="160"/>
      <c r="AX2261" s="160"/>
      <c r="AY2261" s="160"/>
      <c r="AZ2261" s="160"/>
      <c r="BA2261" s="160"/>
      <c r="BB2261" s="160"/>
      <c r="BC2261" s="160"/>
      <c r="BD2261" s="160"/>
      <c r="BE2261" s="160"/>
      <c r="BF2261" s="160"/>
      <c r="BG2261" s="160"/>
      <c r="BH2261" s="160"/>
      <c r="BI2261" s="160"/>
      <c r="BJ2261" s="160"/>
      <c r="BK2261" s="160"/>
      <c r="BL2261" s="160"/>
      <c r="BM2261" s="160"/>
      <c r="BN2261" s="160"/>
      <c r="BO2261" s="160"/>
      <c r="BP2261" s="160"/>
      <c r="BQ2261" s="160"/>
      <c r="BR2261" s="160"/>
      <c r="BS2261" s="160"/>
      <c r="BT2261" s="160"/>
      <c r="BU2261" s="160"/>
      <c r="BV2261" s="160"/>
      <c r="BW2261" s="160"/>
      <c r="BX2261" s="160"/>
      <c r="BY2261" s="160"/>
      <c r="BZ2261" s="160"/>
      <c r="CA2261" s="160"/>
      <c r="CB2261" s="160"/>
      <c r="CC2261" s="160"/>
      <c r="CD2261" s="160"/>
      <c r="CE2261" s="160"/>
      <c r="CF2261" s="160"/>
      <c r="CG2261" s="160"/>
      <c r="CH2261" s="160"/>
      <c r="CI2261" s="160"/>
      <c r="CJ2261" s="160"/>
      <c r="CK2261" s="160"/>
      <c r="CL2261" s="160"/>
      <c r="CM2261" s="160"/>
      <c r="CN2261" s="160"/>
      <c r="CO2261" s="160"/>
      <c r="CP2261" s="162"/>
      <c r="CQ2261" s="163"/>
      <c r="CR2261" s="162"/>
      <c r="CS2261" s="163"/>
      <c r="CT2261" s="162"/>
      <c r="CU2261" s="163"/>
      <c r="CV2261" s="164">
        <f t="shared" si="281"/>
        <v>0</v>
      </c>
      <c r="CW2261" s="165"/>
      <c r="CX2261" s="166"/>
      <c r="CY2261" s="167"/>
      <c r="CZ2261" s="168"/>
      <c r="DA2261" s="169"/>
      <c r="DB2261" s="168"/>
      <c r="DC2261" s="165"/>
      <c r="DD2261" s="166"/>
      <c r="DE2261" s="71"/>
      <c r="DF2261" s="170"/>
      <c r="EO2261" s="375" t="str">
        <f t="shared" si="282"/>
        <v>NARIÑO_OLAYA HERRERA</v>
      </c>
      <c r="EP2261" s="376"/>
      <c r="EQ2261" s="376"/>
      <c r="ER2261" s="377"/>
      <c r="ES2261" s="376"/>
      <c r="ET2261" s="376"/>
      <c r="EU2261" s="376"/>
    </row>
    <row r="2262" spans="1:151" s="171" customFormat="1" ht="25.5" x14ac:dyDescent="0.2">
      <c r="A2262" s="242">
        <v>40527</v>
      </c>
      <c r="B2262" s="222" t="s">
        <v>2245</v>
      </c>
      <c r="C2262" s="222" t="s">
        <v>3002</v>
      </c>
      <c r="D2262" s="430" t="s">
        <v>837</v>
      </c>
      <c r="E2262" s="107" t="str">
        <f>VLOOKUP(B2262&amp;C2262,Divipola!$C$2:$F$1138,4,FALSE)</f>
        <v>52560</v>
      </c>
      <c r="F2262" s="333"/>
      <c r="G2262" s="221"/>
      <c r="H2262" s="157"/>
      <c r="I2262" s="157"/>
      <c r="J2262" s="157">
        <v>14</v>
      </c>
      <c r="K2262" s="157">
        <v>14</v>
      </c>
      <c r="L2262" s="157"/>
      <c r="M2262" s="157"/>
      <c r="N2262" s="157"/>
      <c r="O2262" s="157"/>
      <c r="P2262" s="157"/>
      <c r="Q2262" s="157"/>
      <c r="R2262" s="157"/>
      <c r="S2262" s="157"/>
      <c r="T2262" s="157"/>
      <c r="U2262" s="157"/>
      <c r="V2262" s="158">
        <v>19.5</v>
      </c>
      <c r="W2262" s="301" t="s">
        <v>3879</v>
      </c>
      <c r="X2262" s="1"/>
      <c r="Y2262" s="78">
        <f t="shared" si="278"/>
        <v>0</v>
      </c>
      <c r="Z2262" s="78">
        <f t="shared" si="279"/>
        <v>0</v>
      </c>
      <c r="AA2262" s="78">
        <f t="shared" si="277"/>
        <v>0</v>
      </c>
      <c r="AB2262" s="78">
        <f t="shared" si="280"/>
        <v>0</v>
      </c>
      <c r="AC2262" s="78"/>
      <c r="AD2262" s="78">
        <v>0</v>
      </c>
      <c r="AE2262" s="80">
        <f t="shared" si="283"/>
        <v>0</v>
      </c>
      <c r="AF2262" s="82">
        <v>0</v>
      </c>
      <c r="AG2262" s="295">
        <v>40617</v>
      </c>
      <c r="AH2262" s="296"/>
      <c r="AI2262" s="295" t="s">
        <v>1984</v>
      </c>
      <c r="AJ2262" s="297" t="s">
        <v>1985</v>
      </c>
      <c r="AK2262" s="298"/>
      <c r="AL2262" s="310" t="s">
        <v>1257</v>
      </c>
      <c r="AM2262" s="311" t="s">
        <v>3880</v>
      </c>
      <c r="AN2262" s="159"/>
      <c r="AO2262" s="160"/>
      <c r="AP2262" s="161"/>
      <c r="AQ2262" s="160"/>
      <c r="AR2262" s="160"/>
      <c r="AS2262" s="160"/>
      <c r="AT2262" s="160"/>
      <c r="AU2262" s="160"/>
      <c r="AV2262" s="160"/>
      <c r="AW2262" s="160"/>
      <c r="AX2262" s="160"/>
      <c r="AY2262" s="160"/>
      <c r="AZ2262" s="160"/>
      <c r="BA2262" s="160"/>
      <c r="BB2262" s="160"/>
      <c r="BC2262" s="160"/>
      <c r="BD2262" s="160"/>
      <c r="BE2262" s="160"/>
      <c r="BF2262" s="160"/>
      <c r="BG2262" s="160"/>
      <c r="BH2262" s="160"/>
      <c r="BI2262" s="160"/>
      <c r="BJ2262" s="160"/>
      <c r="BK2262" s="160"/>
      <c r="BL2262" s="160"/>
      <c r="BM2262" s="160"/>
      <c r="BN2262" s="160"/>
      <c r="BO2262" s="160"/>
      <c r="BP2262" s="160"/>
      <c r="BQ2262" s="160"/>
      <c r="BR2262" s="160"/>
      <c r="BS2262" s="160"/>
      <c r="BT2262" s="160"/>
      <c r="BU2262" s="160"/>
      <c r="BV2262" s="160"/>
      <c r="BW2262" s="160"/>
      <c r="BX2262" s="160"/>
      <c r="BY2262" s="160"/>
      <c r="BZ2262" s="160"/>
      <c r="CA2262" s="160"/>
      <c r="CB2262" s="160"/>
      <c r="CC2262" s="160"/>
      <c r="CD2262" s="160"/>
      <c r="CE2262" s="160"/>
      <c r="CF2262" s="160"/>
      <c r="CG2262" s="160"/>
      <c r="CH2262" s="160"/>
      <c r="CI2262" s="160"/>
      <c r="CJ2262" s="160"/>
      <c r="CK2262" s="160"/>
      <c r="CL2262" s="160"/>
      <c r="CM2262" s="160"/>
      <c r="CN2262" s="160"/>
      <c r="CO2262" s="160"/>
      <c r="CP2262" s="162"/>
      <c r="CQ2262" s="163"/>
      <c r="CR2262" s="162"/>
      <c r="CS2262" s="163"/>
      <c r="CT2262" s="162"/>
      <c r="CU2262" s="163"/>
      <c r="CV2262" s="164">
        <f t="shared" si="281"/>
        <v>0</v>
      </c>
      <c r="CW2262" s="165"/>
      <c r="CX2262" s="166"/>
      <c r="CY2262" s="167"/>
      <c r="CZ2262" s="168"/>
      <c r="DA2262" s="169"/>
      <c r="DB2262" s="168"/>
      <c r="DC2262" s="165"/>
      <c r="DD2262" s="166"/>
      <c r="DE2262" s="71"/>
      <c r="DF2262" s="170"/>
      <c r="EO2262" s="375" t="str">
        <f t="shared" si="282"/>
        <v>NARIÑO_POTOSI</v>
      </c>
      <c r="EP2262" s="376"/>
      <c r="EQ2262" s="376"/>
      <c r="ER2262" s="377"/>
      <c r="ES2262" s="376"/>
      <c r="ET2262" s="376"/>
      <c r="EU2262" s="376"/>
    </row>
    <row r="2263" spans="1:151" s="287" customFormat="1" ht="38.25" x14ac:dyDescent="0.2">
      <c r="A2263" s="242">
        <v>40527</v>
      </c>
      <c r="B2263" s="222" t="s">
        <v>2245</v>
      </c>
      <c r="C2263" s="222" t="s">
        <v>2419</v>
      </c>
      <c r="D2263" s="430" t="s">
        <v>837</v>
      </c>
      <c r="E2263" s="107" t="str">
        <f>VLOOKUP(B2263&amp;C2263,Divipola!$C$2:$F$1138,4,FALSE)</f>
        <v>52565</v>
      </c>
      <c r="F2263" s="333"/>
      <c r="G2263" s="221"/>
      <c r="H2263" s="157"/>
      <c r="I2263" s="157"/>
      <c r="J2263" s="157">
        <v>1986</v>
      </c>
      <c r="K2263" s="157">
        <v>1986</v>
      </c>
      <c r="L2263" s="157"/>
      <c r="M2263" s="157"/>
      <c r="N2263" s="157"/>
      <c r="O2263" s="157"/>
      <c r="P2263" s="157"/>
      <c r="Q2263" s="157"/>
      <c r="R2263" s="157"/>
      <c r="S2263" s="157"/>
      <c r="T2263" s="157"/>
      <c r="U2263" s="157"/>
      <c r="V2263" s="158">
        <v>5700</v>
      </c>
      <c r="W2263" s="301" t="s">
        <v>3879</v>
      </c>
      <c r="X2263" s="1"/>
      <c r="Y2263" s="78">
        <f t="shared" si="278"/>
        <v>0</v>
      </c>
      <c r="Z2263" s="78">
        <f t="shared" si="279"/>
        <v>0</v>
      </c>
      <c r="AA2263" s="78">
        <f t="shared" si="277"/>
        <v>0</v>
      </c>
      <c r="AB2263" s="78">
        <f t="shared" si="280"/>
        <v>0</v>
      </c>
      <c r="AC2263" s="78"/>
      <c r="AD2263" s="78">
        <v>0</v>
      </c>
      <c r="AE2263" s="80">
        <f t="shared" si="283"/>
        <v>0</v>
      </c>
      <c r="AF2263" s="82">
        <v>0</v>
      </c>
      <c r="AG2263" s="295">
        <v>40617</v>
      </c>
      <c r="AH2263" s="296"/>
      <c r="AI2263" s="295" t="s">
        <v>1984</v>
      </c>
      <c r="AJ2263" s="297" t="s">
        <v>1985</v>
      </c>
      <c r="AK2263" s="298"/>
      <c r="AL2263" s="310" t="s">
        <v>1257</v>
      </c>
      <c r="AM2263" s="311" t="s">
        <v>3880</v>
      </c>
      <c r="AN2263" s="159"/>
      <c r="AO2263" s="160"/>
      <c r="AP2263" s="161"/>
      <c r="AQ2263" s="160"/>
      <c r="AR2263" s="160"/>
      <c r="AS2263" s="160"/>
      <c r="AT2263" s="160"/>
      <c r="AU2263" s="160"/>
      <c r="AV2263" s="160"/>
      <c r="AW2263" s="160"/>
      <c r="AX2263" s="160"/>
      <c r="AY2263" s="160"/>
      <c r="AZ2263" s="160"/>
      <c r="BA2263" s="160"/>
      <c r="BB2263" s="160"/>
      <c r="BC2263" s="160"/>
      <c r="BD2263" s="160"/>
      <c r="BE2263" s="160"/>
      <c r="BF2263" s="160"/>
      <c r="BG2263" s="160"/>
      <c r="BH2263" s="160"/>
      <c r="BI2263" s="160"/>
      <c r="BJ2263" s="160"/>
      <c r="BK2263" s="160"/>
      <c r="BL2263" s="160"/>
      <c r="BM2263" s="160"/>
      <c r="BN2263" s="160"/>
      <c r="BO2263" s="160"/>
      <c r="BP2263" s="160"/>
      <c r="BQ2263" s="160"/>
      <c r="BR2263" s="160"/>
      <c r="BS2263" s="160"/>
      <c r="BT2263" s="160"/>
      <c r="BU2263" s="160"/>
      <c r="BV2263" s="160"/>
      <c r="BW2263" s="160"/>
      <c r="BX2263" s="160"/>
      <c r="BY2263" s="160"/>
      <c r="BZ2263" s="160"/>
      <c r="CA2263" s="160"/>
      <c r="CB2263" s="160"/>
      <c r="CC2263" s="160"/>
      <c r="CD2263" s="160"/>
      <c r="CE2263" s="160"/>
      <c r="CF2263" s="160"/>
      <c r="CG2263" s="160"/>
      <c r="CH2263" s="160"/>
      <c r="CI2263" s="160"/>
      <c r="CJ2263" s="160"/>
      <c r="CK2263" s="160"/>
      <c r="CL2263" s="160"/>
      <c r="CM2263" s="160"/>
      <c r="CN2263" s="160"/>
      <c r="CO2263" s="160"/>
      <c r="CP2263" s="162"/>
      <c r="CQ2263" s="163"/>
      <c r="CR2263" s="162"/>
      <c r="CS2263" s="163"/>
      <c r="CT2263" s="162"/>
      <c r="CU2263" s="163"/>
      <c r="CV2263" s="164">
        <f t="shared" si="281"/>
        <v>0</v>
      </c>
      <c r="CW2263" s="165"/>
      <c r="CX2263" s="166"/>
      <c r="CY2263" s="167"/>
      <c r="CZ2263" s="168"/>
      <c r="DA2263" s="169"/>
      <c r="DB2263" s="168"/>
      <c r="DC2263" s="165"/>
      <c r="DD2263" s="166"/>
      <c r="DE2263" s="71"/>
      <c r="DF2263" s="170"/>
      <c r="EO2263" s="375" t="str">
        <f t="shared" si="282"/>
        <v>NARIÑO_PROVIDENCIA</v>
      </c>
      <c r="EP2263" s="376"/>
      <c r="EQ2263" s="376"/>
      <c r="ER2263" s="377"/>
      <c r="ES2263" s="376"/>
      <c r="ET2263" s="376"/>
      <c r="EU2263" s="376"/>
    </row>
    <row r="2264" spans="1:151" s="287" customFormat="1" ht="25.5" x14ac:dyDescent="0.2">
      <c r="A2264" s="242">
        <v>40527</v>
      </c>
      <c r="B2264" s="222" t="s">
        <v>2245</v>
      </c>
      <c r="C2264" s="222" t="s">
        <v>377</v>
      </c>
      <c r="D2264" s="430" t="s">
        <v>837</v>
      </c>
      <c r="E2264" s="107" t="str">
        <f>VLOOKUP(B2264&amp;C2264,Divipola!$C$2:$F$1138,4,FALSE)</f>
        <v>52585</v>
      </c>
      <c r="F2264" s="333"/>
      <c r="G2264" s="221"/>
      <c r="H2264" s="157"/>
      <c r="I2264" s="157"/>
      <c r="J2264" s="157">
        <v>100</v>
      </c>
      <c r="K2264" s="157">
        <v>100</v>
      </c>
      <c r="L2264" s="157"/>
      <c r="M2264" s="157"/>
      <c r="N2264" s="157"/>
      <c r="O2264" s="157"/>
      <c r="P2264" s="157"/>
      <c r="Q2264" s="157"/>
      <c r="R2264" s="157"/>
      <c r="S2264" s="157"/>
      <c r="T2264" s="157"/>
      <c r="U2264" s="157"/>
      <c r="V2264" s="158">
        <v>5269</v>
      </c>
      <c r="W2264" s="301" t="s">
        <v>3879</v>
      </c>
      <c r="X2264" s="1"/>
      <c r="Y2264" s="78">
        <f t="shared" si="278"/>
        <v>0</v>
      </c>
      <c r="Z2264" s="78">
        <f t="shared" si="279"/>
        <v>0</v>
      </c>
      <c r="AA2264" s="78">
        <f t="shared" si="277"/>
        <v>0</v>
      </c>
      <c r="AB2264" s="78">
        <f t="shared" si="280"/>
        <v>0</v>
      </c>
      <c r="AC2264" s="78"/>
      <c r="AD2264" s="78">
        <v>0</v>
      </c>
      <c r="AE2264" s="80">
        <f t="shared" si="283"/>
        <v>0</v>
      </c>
      <c r="AF2264" s="82">
        <v>0</v>
      </c>
      <c r="AG2264" s="295">
        <v>40617</v>
      </c>
      <c r="AH2264" s="296"/>
      <c r="AI2264" s="295" t="s">
        <v>1984</v>
      </c>
      <c r="AJ2264" s="297" t="s">
        <v>1985</v>
      </c>
      <c r="AK2264" s="298"/>
      <c r="AL2264" s="310" t="s">
        <v>1257</v>
      </c>
      <c r="AM2264" s="311" t="s">
        <v>3880</v>
      </c>
      <c r="AN2264" s="159"/>
      <c r="AO2264" s="160"/>
      <c r="AP2264" s="161"/>
      <c r="AQ2264" s="160"/>
      <c r="AR2264" s="160"/>
      <c r="AS2264" s="160"/>
      <c r="AT2264" s="160"/>
      <c r="AU2264" s="160"/>
      <c r="AV2264" s="160"/>
      <c r="AW2264" s="160"/>
      <c r="AX2264" s="160"/>
      <c r="AY2264" s="160"/>
      <c r="AZ2264" s="160"/>
      <c r="BA2264" s="160"/>
      <c r="BB2264" s="160"/>
      <c r="BC2264" s="160"/>
      <c r="BD2264" s="160"/>
      <c r="BE2264" s="160"/>
      <c r="BF2264" s="160"/>
      <c r="BG2264" s="160"/>
      <c r="BH2264" s="160"/>
      <c r="BI2264" s="160"/>
      <c r="BJ2264" s="160"/>
      <c r="BK2264" s="160"/>
      <c r="BL2264" s="160"/>
      <c r="BM2264" s="160"/>
      <c r="BN2264" s="160"/>
      <c r="BO2264" s="160"/>
      <c r="BP2264" s="160"/>
      <c r="BQ2264" s="160"/>
      <c r="BR2264" s="160"/>
      <c r="BS2264" s="160"/>
      <c r="BT2264" s="160"/>
      <c r="BU2264" s="160"/>
      <c r="BV2264" s="160"/>
      <c r="BW2264" s="160"/>
      <c r="BX2264" s="160"/>
      <c r="BY2264" s="160"/>
      <c r="BZ2264" s="160"/>
      <c r="CA2264" s="160"/>
      <c r="CB2264" s="160"/>
      <c r="CC2264" s="160"/>
      <c r="CD2264" s="160"/>
      <c r="CE2264" s="160"/>
      <c r="CF2264" s="160"/>
      <c r="CG2264" s="160"/>
      <c r="CH2264" s="160"/>
      <c r="CI2264" s="160"/>
      <c r="CJ2264" s="160"/>
      <c r="CK2264" s="160"/>
      <c r="CL2264" s="160"/>
      <c r="CM2264" s="160"/>
      <c r="CN2264" s="160"/>
      <c r="CO2264" s="160"/>
      <c r="CP2264" s="162"/>
      <c r="CQ2264" s="163"/>
      <c r="CR2264" s="162"/>
      <c r="CS2264" s="163"/>
      <c r="CT2264" s="162"/>
      <c r="CU2264" s="163"/>
      <c r="CV2264" s="164">
        <f t="shared" si="281"/>
        <v>0</v>
      </c>
      <c r="CW2264" s="165"/>
      <c r="CX2264" s="166"/>
      <c r="CY2264" s="167"/>
      <c r="CZ2264" s="168"/>
      <c r="DA2264" s="169"/>
      <c r="DB2264" s="168"/>
      <c r="DC2264" s="165"/>
      <c r="DD2264" s="166"/>
      <c r="DE2264" s="71"/>
      <c r="DF2264" s="170"/>
      <c r="EO2264" s="375" t="str">
        <f t="shared" si="282"/>
        <v>NARIÑO_PUPIALES</v>
      </c>
      <c r="EP2264" s="376"/>
      <c r="EQ2264" s="376"/>
      <c r="ER2264" s="377"/>
      <c r="ES2264" s="376"/>
      <c r="ET2264" s="376"/>
      <c r="EU2264" s="376"/>
    </row>
    <row r="2265" spans="1:151" s="171" customFormat="1" ht="38.25" x14ac:dyDescent="0.2">
      <c r="A2265" s="242">
        <v>40527</v>
      </c>
      <c r="B2265" s="222" t="s">
        <v>2245</v>
      </c>
      <c r="C2265" s="222" t="s">
        <v>2993</v>
      </c>
      <c r="D2265" s="430" t="s">
        <v>837</v>
      </c>
      <c r="E2265" s="107" t="str">
        <f>VLOOKUP(B2265&amp;C2265,Divipola!$C$2:$F$1138,4,FALSE)</f>
        <v>52621</v>
      </c>
      <c r="F2265" s="333"/>
      <c r="G2265" s="221"/>
      <c r="H2265" s="157"/>
      <c r="I2265" s="157"/>
      <c r="J2265" s="157">
        <v>1655</v>
      </c>
      <c r="K2265" s="157">
        <v>1655</v>
      </c>
      <c r="L2265" s="157"/>
      <c r="M2265" s="157"/>
      <c r="N2265" s="157"/>
      <c r="O2265" s="157"/>
      <c r="P2265" s="157"/>
      <c r="Q2265" s="157"/>
      <c r="R2265" s="157"/>
      <c r="S2265" s="157"/>
      <c r="T2265" s="157"/>
      <c r="U2265" s="157"/>
      <c r="V2265" s="158">
        <v>3440.4</v>
      </c>
      <c r="W2265" s="301" t="s">
        <v>3879</v>
      </c>
      <c r="X2265" s="1"/>
      <c r="Y2265" s="78">
        <f t="shared" si="278"/>
        <v>0</v>
      </c>
      <c r="Z2265" s="78">
        <f t="shared" si="279"/>
        <v>0</v>
      </c>
      <c r="AA2265" s="78">
        <f t="shared" si="277"/>
        <v>0</v>
      </c>
      <c r="AB2265" s="78">
        <f t="shared" si="280"/>
        <v>0</v>
      </c>
      <c r="AC2265" s="78"/>
      <c r="AD2265" s="78">
        <v>0</v>
      </c>
      <c r="AE2265" s="80">
        <f t="shared" si="283"/>
        <v>0</v>
      </c>
      <c r="AF2265" s="82">
        <v>0</v>
      </c>
      <c r="AG2265" s="295">
        <v>40617</v>
      </c>
      <c r="AH2265" s="296"/>
      <c r="AI2265" s="295" t="s">
        <v>1984</v>
      </c>
      <c r="AJ2265" s="297" t="s">
        <v>1985</v>
      </c>
      <c r="AK2265" s="298"/>
      <c r="AL2265" s="310" t="s">
        <v>1257</v>
      </c>
      <c r="AM2265" s="311" t="s">
        <v>3880</v>
      </c>
      <c r="AN2265" s="159"/>
      <c r="AO2265" s="160"/>
      <c r="AP2265" s="161"/>
      <c r="AQ2265" s="160"/>
      <c r="AR2265" s="160"/>
      <c r="AS2265" s="160"/>
      <c r="AT2265" s="160"/>
      <c r="AU2265" s="160"/>
      <c r="AV2265" s="160"/>
      <c r="AW2265" s="160"/>
      <c r="AX2265" s="160"/>
      <c r="AY2265" s="160"/>
      <c r="AZ2265" s="160"/>
      <c r="BA2265" s="160"/>
      <c r="BB2265" s="160"/>
      <c r="BC2265" s="160"/>
      <c r="BD2265" s="160"/>
      <c r="BE2265" s="160"/>
      <c r="BF2265" s="160"/>
      <c r="BG2265" s="160"/>
      <c r="BH2265" s="160"/>
      <c r="BI2265" s="160"/>
      <c r="BJ2265" s="160"/>
      <c r="BK2265" s="160"/>
      <c r="BL2265" s="160"/>
      <c r="BM2265" s="160"/>
      <c r="BN2265" s="160"/>
      <c r="BO2265" s="160"/>
      <c r="BP2265" s="160"/>
      <c r="BQ2265" s="160"/>
      <c r="BR2265" s="160"/>
      <c r="BS2265" s="160"/>
      <c r="BT2265" s="160"/>
      <c r="BU2265" s="160"/>
      <c r="BV2265" s="160"/>
      <c r="BW2265" s="160"/>
      <c r="BX2265" s="160"/>
      <c r="BY2265" s="160"/>
      <c r="BZ2265" s="160"/>
      <c r="CA2265" s="160"/>
      <c r="CB2265" s="160"/>
      <c r="CC2265" s="160"/>
      <c r="CD2265" s="160"/>
      <c r="CE2265" s="160"/>
      <c r="CF2265" s="160"/>
      <c r="CG2265" s="160"/>
      <c r="CH2265" s="160"/>
      <c r="CI2265" s="160"/>
      <c r="CJ2265" s="160"/>
      <c r="CK2265" s="160"/>
      <c r="CL2265" s="160"/>
      <c r="CM2265" s="160"/>
      <c r="CN2265" s="160"/>
      <c r="CO2265" s="160"/>
      <c r="CP2265" s="162"/>
      <c r="CQ2265" s="163"/>
      <c r="CR2265" s="162"/>
      <c r="CS2265" s="163"/>
      <c r="CT2265" s="162"/>
      <c r="CU2265" s="163"/>
      <c r="CV2265" s="164">
        <f t="shared" si="281"/>
        <v>0</v>
      </c>
      <c r="CW2265" s="165"/>
      <c r="CX2265" s="166"/>
      <c r="CY2265" s="167"/>
      <c r="CZ2265" s="168"/>
      <c r="DA2265" s="169"/>
      <c r="DB2265" s="168"/>
      <c r="DC2265" s="165"/>
      <c r="DD2265" s="166"/>
      <c r="DE2265" s="71"/>
      <c r="DF2265" s="170"/>
      <c r="EO2265" s="375" t="str">
        <f t="shared" si="282"/>
        <v>NARIÑO_ROBERTO PAYAN</v>
      </c>
      <c r="EP2265" s="376"/>
      <c r="EQ2265" s="376"/>
      <c r="ER2265" s="377"/>
      <c r="ES2265" s="376"/>
      <c r="ET2265" s="376"/>
      <c r="EU2265" s="376"/>
    </row>
    <row r="2266" spans="1:151" s="171" customFormat="1" ht="25.5" x14ac:dyDescent="0.2">
      <c r="A2266" s="242">
        <v>40527</v>
      </c>
      <c r="B2266" s="222" t="s">
        <v>2245</v>
      </c>
      <c r="C2266" s="222" t="s">
        <v>2923</v>
      </c>
      <c r="D2266" s="430" t="s">
        <v>837</v>
      </c>
      <c r="E2266" s="107" t="str">
        <f>VLOOKUP(B2266&amp;C2266,Divipola!$C$2:$F$1138,4,FALSE)</f>
        <v>52678</v>
      </c>
      <c r="F2266" s="333"/>
      <c r="G2266" s="221"/>
      <c r="H2266" s="157"/>
      <c r="I2266" s="157"/>
      <c r="J2266" s="157">
        <v>174</v>
      </c>
      <c r="K2266" s="157">
        <v>174</v>
      </c>
      <c r="L2266" s="157"/>
      <c r="M2266" s="157"/>
      <c r="N2266" s="157"/>
      <c r="O2266" s="157"/>
      <c r="P2266" s="157"/>
      <c r="Q2266" s="157"/>
      <c r="R2266" s="157"/>
      <c r="S2266" s="157"/>
      <c r="T2266" s="157"/>
      <c r="U2266" s="157"/>
      <c r="V2266" s="158">
        <v>92.75</v>
      </c>
      <c r="W2266" s="301" t="s">
        <v>3879</v>
      </c>
      <c r="X2266" s="1"/>
      <c r="Y2266" s="78">
        <f t="shared" si="278"/>
        <v>0</v>
      </c>
      <c r="Z2266" s="78">
        <f t="shared" si="279"/>
        <v>0</v>
      </c>
      <c r="AA2266" s="78">
        <f t="shared" si="277"/>
        <v>0</v>
      </c>
      <c r="AB2266" s="78">
        <f t="shared" si="280"/>
        <v>0</v>
      </c>
      <c r="AC2266" s="78"/>
      <c r="AD2266" s="78">
        <v>0</v>
      </c>
      <c r="AE2266" s="80">
        <f t="shared" si="283"/>
        <v>0</v>
      </c>
      <c r="AF2266" s="82">
        <v>0</v>
      </c>
      <c r="AG2266" s="295">
        <v>40617</v>
      </c>
      <c r="AH2266" s="296"/>
      <c r="AI2266" s="295" t="s">
        <v>1984</v>
      </c>
      <c r="AJ2266" s="297" t="s">
        <v>1985</v>
      </c>
      <c r="AK2266" s="298"/>
      <c r="AL2266" s="310" t="s">
        <v>1257</v>
      </c>
      <c r="AM2266" s="311" t="s">
        <v>3880</v>
      </c>
      <c r="AN2266" s="159"/>
      <c r="AO2266" s="160"/>
      <c r="AP2266" s="161"/>
      <c r="AQ2266" s="160"/>
      <c r="AR2266" s="160"/>
      <c r="AS2266" s="160"/>
      <c r="AT2266" s="160"/>
      <c r="AU2266" s="160"/>
      <c r="AV2266" s="160"/>
      <c r="AW2266" s="160"/>
      <c r="AX2266" s="160"/>
      <c r="AY2266" s="160"/>
      <c r="AZ2266" s="160"/>
      <c r="BA2266" s="160"/>
      <c r="BB2266" s="160"/>
      <c r="BC2266" s="160"/>
      <c r="BD2266" s="160"/>
      <c r="BE2266" s="160"/>
      <c r="BF2266" s="160"/>
      <c r="BG2266" s="160"/>
      <c r="BH2266" s="160"/>
      <c r="BI2266" s="160"/>
      <c r="BJ2266" s="160"/>
      <c r="BK2266" s="160"/>
      <c r="BL2266" s="160"/>
      <c r="BM2266" s="160"/>
      <c r="BN2266" s="160"/>
      <c r="BO2266" s="160"/>
      <c r="BP2266" s="160"/>
      <c r="BQ2266" s="160"/>
      <c r="BR2266" s="160"/>
      <c r="BS2266" s="160"/>
      <c r="BT2266" s="160"/>
      <c r="BU2266" s="160"/>
      <c r="BV2266" s="160"/>
      <c r="BW2266" s="160"/>
      <c r="BX2266" s="160"/>
      <c r="BY2266" s="160"/>
      <c r="BZ2266" s="160"/>
      <c r="CA2266" s="160"/>
      <c r="CB2266" s="160"/>
      <c r="CC2266" s="160"/>
      <c r="CD2266" s="160"/>
      <c r="CE2266" s="160"/>
      <c r="CF2266" s="160"/>
      <c r="CG2266" s="160"/>
      <c r="CH2266" s="160"/>
      <c r="CI2266" s="160"/>
      <c r="CJ2266" s="160"/>
      <c r="CK2266" s="160"/>
      <c r="CL2266" s="160"/>
      <c r="CM2266" s="160"/>
      <c r="CN2266" s="160"/>
      <c r="CO2266" s="160"/>
      <c r="CP2266" s="162"/>
      <c r="CQ2266" s="163"/>
      <c r="CR2266" s="162"/>
      <c r="CS2266" s="163"/>
      <c r="CT2266" s="162"/>
      <c r="CU2266" s="163"/>
      <c r="CV2266" s="164">
        <f t="shared" si="281"/>
        <v>0</v>
      </c>
      <c r="CW2266" s="165"/>
      <c r="CX2266" s="166"/>
      <c r="CY2266" s="167"/>
      <c r="CZ2266" s="168"/>
      <c r="DA2266" s="169"/>
      <c r="DB2266" s="168"/>
      <c r="DC2266" s="165"/>
      <c r="DD2266" s="166"/>
      <c r="DE2266" s="71"/>
      <c r="DF2266" s="170"/>
      <c r="EO2266" s="375" t="str">
        <f t="shared" si="282"/>
        <v>NARIÑO_SAMANIEGO</v>
      </c>
      <c r="EP2266" s="376"/>
      <c r="EQ2266" s="376"/>
      <c r="ER2266" s="377"/>
      <c r="ES2266" s="376"/>
      <c r="ET2266" s="376"/>
      <c r="EU2266" s="376"/>
    </row>
    <row r="2267" spans="1:151" s="171" customFormat="1" ht="38.25" x14ac:dyDescent="0.2">
      <c r="A2267" s="242">
        <v>40527</v>
      </c>
      <c r="B2267" s="222" t="s">
        <v>2245</v>
      </c>
      <c r="C2267" s="222" t="s">
        <v>1325</v>
      </c>
      <c r="D2267" s="430" t="s">
        <v>2307</v>
      </c>
      <c r="E2267" s="107" t="str">
        <f>VLOOKUP(B2267&amp;C2267,Divipola!$C$2:$F$1138,4,FALSE)</f>
        <v>52685</v>
      </c>
      <c r="F2267" s="333"/>
      <c r="G2267" s="221"/>
      <c r="H2267" s="157"/>
      <c r="I2267" s="157"/>
      <c r="J2267" s="157">
        <v>2900</v>
      </c>
      <c r="K2267" s="157">
        <v>730</v>
      </c>
      <c r="L2267" s="157">
        <v>53</v>
      </c>
      <c r="M2267" s="157">
        <v>677</v>
      </c>
      <c r="N2267" s="157">
        <v>3</v>
      </c>
      <c r="O2267" s="157"/>
      <c r="P2267" s="157"/>
      <c r="Q2267" s="157"/>
      <c r="R2267" s="157"/>
      <c r="S2267" s="157"/>
      <c r="T2267" s="157"/>
      <c r="U2267" s="157"/>
      <c r="V2267" s="158"/>
      <c r="W2267" s="182"/>
      <c r="X2267" s="1"/>
      <c r="Y2267" s="78">
        <f t="shared" si="278"/>
        <v>0</v>
      </c>
      <c r="Z2267" s="78">
        <f t="shared" si="279"/>
        <v>0</v>
      </c>
      <c r="AA2267" s="78">
        <f t="shared" si="277"/>
        <v>0</v>
      </c>
      <c r="AB2267" s="78">
        <f t="shared" si="280"/>
        <v>0</v>
      </c>
      <c r="AC2267" s="78"/>
      <c r="AD2267" s="78">
        <v>0</v>
      </c>
      <c r="AE2267" s="80">
        <f t="shared" si="283"/>
        <v>0</v>
      </c>
      <c r="AF2267" s="82">
        <v>0</v>
      </c>
      <c r="AG2267" s="69">
        <v>40527</v>
      </c>
      <c r="AH2267" s="84"/>
      <c r="AI2267" s="69" t="s">
        <v>1984</v>
      </c>
      <c r="AJ2267" s="25" t="s">
        <v>1985</v>
      </c>
      <c r="AK2267" s="65"/>
      <c r="AL2267" s="176" t="s">
        <v>1257</v>
      </c>
      <c r="AM2267" s="173" t="s">
        <v>3813</v>
      </c>
      <c r="AN2267" s="159"/>
      <c r="AO2267" s="160"/>
      <c r="AP2267" s="161"/>
      <c r="AQ2267" s="160"/>
      <c r="AR2267" s="160"/>
      <c r="AS2267" s="160"/>
      <c r="AT2267" s="160"/>
      <c r="AU2267" s="160"/>
      <c r="AV2267" s="160"/>
      <c r="AW2267" s="160"/>
      <c r="AX2267" s="160"/>
      <c r="AY2267" s="160"/>
      <c r="AZ2267" s="160"/>
      <c r="BA2267" s="160"/>
      <c r="BB2267" s="160"/>
      <c r="BC2267" s="160"/>
      <c r="BD2267" s="160"/>
      <c r="BE2267" s="160"/>
      <c r="BF2267" s="160"/>
      <c r="BG2267" s="160"/>
      <c r="BH2267" s="160"/>
      <c r="BI2267" s="160"/>
      <c r="BJ2267" s="160"/>
      <c r="BK2267" s="160"/>
      <c r="BL2267" s="160"/>
      <c r="BM2267" s="160"/>
      <c r="BN2267" s="160"/>
      <c r="BO2267" s="160"/>
      <c r="BP2267" s="160"/>
      <c r="BQ2267" s="160"/>
      <c r="BR2267" s="160"/>
      <c r="BS2267" s="160"/>
      <c r="BT2267" s="160"/>
      <c r="BU2267" s="160"/>
      <c r="BV2267" s="160"/>
      <c r="BW2267" s="160"/>
      <c r="BX2267" s="160"/>
      <c r="BY2267" s="160"/>
      <c r="BZ2267" s="160"/>
      <c r="CA2267" s="160"/>
      <c r="CB2267" s="160"/>
      <c r="CC2267" s="160"/>
      <c r="CD2267" s="160"/>
      <c r="CE2267" s="160"/>
      <c r="CF2267" s="160"/>
      <c r="CG2267" s="160"/>
      <c r="CH2267" s="160"/>
      <c r="CI2267" s="160"/>
      <c r="CJ2267" s="160"/>
      <c r="CK2267" s="160"/>
      <c r="CL2267" s="160"/>
      <c r="CM2267" s="160"/>
      <c r="CN2267" s="160"/>
      <c r="CO2267" s="160"/>
      <c r="CP2267" s="162"/>
      <c r="CQ2267" s="163"/>
      <c r="CR2267" s="162"/>
      <c r="CS2267" s="163"/>
      <c r="CT2267" s="162"/>
      <c r="CU2267" s="163"/>
      <c r="CV2267" s="164">
        <f t="shared" si="281"/>
        <v>0</v>
      </c>
      <c r="CW2267" s="165"/>
      <c r="CX2267" s="166"/>
      <c r="CY2267" s="167"/>
      <c r="CZ2267" s="168"/>
      <c r="DA2267" s="169"/>
      <c r="DB2267" s="168"/>
      <c r="DC2267" s="165"/>
      <c r="DD2267" s="166"/>
      <c r="DE2267" s="71"/>
      <c r="DF2267" s="170"/>
      <c r="EO2267" s="375" t="str">
        <f t="shared" si="282"/>
        <v>NARIÑO_SAN BERNARDO</v>
      </c>
      <c r="EP2267" s="376"/>
      <c r="EQ2267" s="376"/>
      <c r="ER2267" s="377"/>
      <c r="ES2267" s="376"/>
      <c r="ET2267" s="376"/>
      <c r="EU2267" s="376"/>
    </row>
    <row r="2268" spans="1:151" s="171" customFormat="1" ht="38.25" x14ac:dyDescent="0.2">
      <c r="A2268" s="242">
        <v>40527</v>
      </c>
      <c r="B2268" s="222" t="s">
        <v>2245</v>
      </c>
      <c r="C2268" s="222" t="s">
        <v>1325</v>
      </c>
      <c r="D2268" s="430" t="s">
        <v>837</v>
      </c>
      <c r="E2268" s="107" t="str">
        <f>VLOOKUP(B2268&amp;C2268,Divipola!$C$2:$F$1138,4,FALSE)</f>
        <v>52685</v>
      </c>
      <c r="F2268" s="333"/>
      <c r="G2268" s="221"/>
      <c r="H2268" s="157"/>
      <c r="I2268" s="157"/>
      <c r="J2268" s="157">
        <v>1223</v>
      </c>
      <c r="K2268" s="157">
        <v>1223</v>
      </c>
      <c r="L2268" s="157"/>
      <c r="M2268" s="157"/>
      <c r="N2268" s="157"/>
      <c r="O2268" s="157"/>
      <c r="P2268" s="157"/>
      <c r="Q2268" s="157"/>
      <c r="R2268" s="157"/>
      <c r="S2268" s="157"/>
      <c r="T2268" s="157"/>
      <c r="U2268" s="157"/>
      <c r="V2268" s="158">
        <v>451.1</v>
      </c>
      <c r="W2268" s="301" t="s">
        <v>3879</v>
      </c>
      <c r="X2268" s="1"/>
      <c r="Y2268" s="78">
        <f t="shared" si="278"/>
        <v>0</v>
      </c>
      <c r="Z2268" s="78">
        <f t="shared" si="279"/>
        <v>0</v>
      </c>
      <c r="AA2268" s="78">
        <f t="shared" si="277"/>
        <v>0</v>
      </c>
      <c r="AB2268" s="78">
        <f t="shared" si="280"/>
        <v>0</v>
      </c>
      <c r="AC2268" s="78"/>
      <c r="AD2268" s="78">
        <v>0</v>
      </c>
      <c r="AE2268" s="80">
        <f t="shared" si="283"/>
        <v>0</v>
      </c>
      <c r="AF2268" s="82">
        <v>0</v>
      </c>
      <c r="AG2268" s="295">
        <v>40617</v>
      </c>
      <c r="AH2268" s="296"/>
      <c r="AI2268" s="295" t="s">
        <v>1984</v>
      </c>
      <c r="AJ2268" s="297" t="s">
        <v>1985</v>
      </c>
      <c r="AK2268" s="298"/>
      <c r="AL2268" s="310" t="s">
        <v>1257</v>
      </c>
      <c r="AM2268" s="311" t="s">
        <v>208</v>
      </c>
      <c r="AN2268" s="159"/>
      <c r="AO2268" s="160"/>
      <c r="AP2268" s="161"/>
      <c r="AQ2268" s="160"/>
      <c r="AR2268" s="160"/>
      <c r="AS2268" s="160"/>
      <c r="AT2268" s="160"/>
      <c r="AU2268" s="160"/>
      <c r="AV2268" s="160"/>
      <c r="AW2268" s="160"/>
      <c r="AX2268" s="160"/>
      <c r="AY2268" s="160"/>
      <c r="AZ2268" s="160"/>
      <c r="BA2268" s="160"/>
      <c r="BB2268" s="160"/>
      <c r="BC2268" s="160"/>
      <c r="BD2268" s="160"/>
      <c r="BE2268" s="160"/>
      <c r="BF2268" s="160"/>
      <c r="BG2268" s="160"/>
      <c r="BH2268" s="160"/>
      <c r="BI2268" s="160"/>
      <c r="BJ2268" s="160"/>
      <c r="BK2268" s="160"/>
      <c r="BL2268" s="160"/>
      <c r="BM2268" s="160"/>
      <c r="BN2268" s="160"/>
      <c r="BO2268" s="160"/>
      <c r="BP2268" s="160"/>
      <c r="BQ2268" s="160"/>
      <c r="BR2268" s="160"/>
      <c r="BS2268" s="160"/>
      <c r="BT2268" s="160"/>
      <c r="BU2268" s="160"/>
      <c r="BV2268" s="160"/>
      <c r="BW2268" s="160"/>
      <c r="BX2268" s="160"/>
      <c r="BY2268" s="160"/>
      <c r="BZ2268" s="160"/>
      <c r="CA2268" s="160"/>
      <c r="CB2268" s="160"/>
      <c r="CC2268" s="160"/>
      <c r="CD2268" s="160"/>
      <c r="CE2268" s="160"/>
      <c r="CF2268" s="160"/>
      <c r="CG2268" s="160"/>
      <c r="CH2268" s="160"/>
      <c r="CI2268" s="160"/>
      <c r="CJ2268" s="160"/>
      <c r="CK2268" s="160"/>
      <c r="CL2268" s="160"/>
      <c r="CM2268" s="160"/>
      <c r="CN2268" s="160"/>
      <c r="CO2268" s="160"/>
      <c r="CP2268" s="162"/>
      <c r="CQ2268" s="163"/>
      <c r="CR2268" s="162"/>
      <c r="CS2268" s="163"/>
      <c r="CT2268" s="162"/>
      <c r="CU2268" s="163"/>
      <c r="CV2268" s="164">
        <f t="shared" si="281"/>
        <v>0</v>
      </c>
      <c r="CW2268" s="165"/>
      <c r="CX2268" s="166"/>
      <c r="CY2268" s="167"/>
      <c r="CZ2268" s="168"/>
      <c r="DA2268" s="169"/>
      <c r="DB2268" s="168"/>
      <c r="DC2268" s="165"/>
      <c r="DD2268" s="166"/>
      <c r="DE2268" s="71"/>
      <c r="DF2268" s="170"/>
      <c r="EO2268" s="375" t="str">
        <f t="shared" si="282"/>
        <v>NARIÑO_SAN BERNARDO</v>
      </c>
      <c r="EP2268" s="376"/>
      <c r="EQ2268" s="376"/>
      <c r="ER2268" s="377"/>
      <c r="ES2268" s="376"/>
      <c r="ET2268" s="376"/>
      <c r="EU2268" s="376"/>
    </row>
    <row r="2269" spans="1:151" s="171" customFormat="1" ht="38.25" x14ac:dyDescent="0.2">
      <c r="A2269" s="242">
        <v>40527</v>
      </c>
      <c r="B2269" s="222" t="s">
        <v>2245</v>
      </c>
      <c r="C2269" s="222" t="s">
        <v>696</v>
      </c>
      <c r="D2269" s="430" t="s">
        <v>837</v>
      </c>
      <c r="E2269" s="107" t="str">
        <f>VLOOKUP(B2269&amp;C2269,Divipola!$C$2:$F$1138,4,FALSE)</f>
        <v>52687</v>
      </c>
      <c r="F2269" s="333"/>
      <c r="G2269" s="221"/>
      <c r="H2269" s="157"/>
      <c r="I2269" s="157"/>
      <c r="J2269" s="157">
        <v>650</v>
      </c>
      <c r="K2269" s="157">
        <v>650</v>
      </c>
      <c r="L2269" s="157"/>
      <c r="M2269" s="157"/>
      <c r="N2269" s="157"/>
      <c r="O2269" s="157"/>
      <c r="P2269" s="157"/>
      <c r="Q2269" s="157"/>
      <c r="R2269" s="157"/>
      <c r="S2269" s="157"/>
      <c r="T2269" s="157"/>
      <c r="U2269" s="157"/>
      <c r="V2269" s="158">
        <v>1087.1500000000001</v>
      </c>
      <c r="W2269" s="301" t="s">
        <v>3879</v>
      </c>
      <c r="X2269" s="1"/>
      <c r="Y2269" s="78">
        <f t="shared" si="278"/>
        <v>0</v>
      </c>
      <c r="Z2269" s="78">
        <f t="shared" si="279"/>
        <v>0</v>
      </c>
      <c r="AA2269" s="78">
        <f t="shared" si="277"/>
        <v>0</v>
      </c>
      <c r="AB2269" s="78">
        <f t="shared" si="280"/>
        <v>0</v>
      </c>
      <c r="AC2269" s="78"/>
      <c r="AD2269" s="78">
        <v>0</v>
      </c>
      <c r="AE2269" s="80">
        <f t="shared" si="283"/>
        <v>0</v>
      </c>
      <c r="AF2269" s="82">
        <v>0</v>
      </c>
      <c r="AG2269" s="295">
        <v>40617</v>
      </c>
      <c r="AH2269" s="296"/>
      <c r="AI2269" s="295" t="s">
        <v>1984</v>
      </c>
      <c r="AJ2269" s="297" t="s">
        <v>1985</v>
      </c>
      <c r="AK2269" s="298"/>
      <c r="AL2269" s="310" t="s">
        <v>1257</v>
      </c>
      <c r="AM2269" s="311" t="s">
        <v>3880</v>
      </c>
      <c r="AN2269" s="159"/>
      <c r="AO2269" s="160"/>
      <c r="AP2269" s="161"/>
      <c r="AQ2269" s="160"/>
      <c r="AR2269" s="160"/>
      <c r="AS2269" s="160"/>
      <c r="AT2269" s="160"/>
      <c r="AU2269" s="160"/>
      <c r="AV2269" s="160"/>
      <c r="AW2269" s="160"/>
      <c r="AX2269" s="160"/>
      <c r="AY2269" s="160"/>
      <c r="AZ2269" s="160"/>
      <c r="BA2269" s="160"/>
      <c r="BB2269" s="160"/>
      <c r="BC2269" s="160"/>
      <c r="BD2269" s="160"/>
      <c r="BE2269" s="160"/>
      <c r="BF2269" s="160"/>
      <c r="BG2269" s="160"/>
      <c r="BH2269" s="160"/>
      <c r="BI2269" s="160"/>
      <c r="BJ2269" s="160"/>
      <c r="BK2269" s="160"/>
      <c r="BL2269" s="160"/>
      <c r="BM2269" s="160"/>
      <c r="BN2269" s="160"/>
      <c r="BO2269" s="160"/>
      <c r="BP2269" s="160"/>
      <c r="BQ2269" s="160"/>
      <c r="BR2269" s="160"/>
      <c r="BS2269" s="160"/>
      <c r="BT2269" s="160"/>
      <c r="BU2269" s="160"/>
      <c r="BV2269" s="160"/>
      <c r="BW2269" s="160"/>
      <c r="BX2269" s="160"/>
      <c r="BY2269" s="160"/>
      <c r="BZ2269" s="160"/>
      <c r="CA2269" s="160"/>
      <c r="CB2269" s="160"/>
      <c r="CC2269" s="160"/>
      <c r="CD2269" s="160"/>
      <c r="CE2269" s="160"/>
      <c r="CF2269" s="160"/>
      <c r="CG2269" s="160"/>
      <c r="CH2269" s="160"/>
      <c r="CI2269" s="160"/>
      <c r="CJ2269" s="160"/>
      <c r="CK2269" s="160"/>
      <c r="CL2269" s="160"/>
      <c r="CM2269" s="160"/>
      <c r="CN2269" s="160"/>
      <c r="CO2269" s="160"/>
      <c r="CP2269" s="162"/>
      <c r="CQ2269" s="163"/>
      <c r="CR2269" s="162"/>
      <c r="CS2269" s="163"/>
      <c r="CT2269" s="162"/>
      <c r="CU2269" s="163"/>
      <c r="CV2269" s="164">
        <f t="shared" si="281"/>
        <v>0</v>
      </c>
      <c r="CW2269" s="165"/>
      <c r="CX2269" s="166"/>
      <c r="CY2269" s="167"/>
      <c r="CZ2269" s="168"/>
      <c r="DA2269" s="169"/>
      <c r="DB2269" s="168"/>
      <c r="DC2269" s="165"/>
      <c r="DD2269" s="166"/>
      <c r="DE2269" s="71"/>
      <c r="DF2269" s="170"/>
      <c r="EO2269" s="375" t="str">
        <f t="shared" si="282"/>
        <v>NARIÑO_SAN LORENZO</v>
      </c>
      <c r="EP2269" s="376"/>
      <c r="EQ2269" s="376"/>
      <c r="ER2269" s="377"/>
      <c r="ES2269" s="376"/>
      <c r="ET2269" s="376"/>
      <c r="EU2269" s="376"/>
    </row>
    <row r="2270" spans="1:151" s="171" customFormat="1" ht="25.5" x14ac:dyDescent="0.2">
      <c r="A2270" s="242">
        <v>40527</v>
      </c>
      <c r="B2270" s="222" t="s">
        <v>2245</v>
      </c>
      <c r="C2270" s="222" t="s">
        <v>2105</v>
      </c>
      <c r="D2270" s="430" t="s">
        <v>837</v>
      </c>
      <c r="E2270" s="107" t="str">
        <f>VLOOKUP(B2270&amp;C2270,Divipola!$C$2:$F$1138,4,FALSE)</f>
        <v>52693</v>
      </c>
      <c r="F2270" s="333"/>
      <c r="G2270" s="221"/>
      <c r="H2270" s="157"/>
      <c r="I2270" s="157"/>
      <c r="J2270" s="157">
        <v>1902</v>
      </c>
      <c r="K2270" s="157">
        <v>1902</v>
      </c>
      <c r="L2270" s="157"/>
      <c r="M2270" s="157"/>
      <c r="N2270" s="157"/>
      <c r="O2270" s="157"/>
      <c r="P2270" s="157"/>
      <c r="Q2270" s="157"/>
      <c r="R2270" s="157"/>
      <c r="S2270" s="157"/>
      <c r="T2270" s="157"/>
      <c r="U2270" s="157"/>
      <c r="V2270" s="158">
        <v>980.35</v>
      </c>
      <c r="W2270" s="301" t="s">
        <v>3879</v>
      </c>
      <c r="X2270" s="1"/>
      <c r="Y2270" s="78">
        <f t="shared" si="278"/>
        <v>0</v>
      </c>
      <c r="Z2270" s="78">
        <f t="shared" si="279"/>
        <v>0</v>
      </c>
      <c r="AA2270" s="78">
        <f t="shared" si="277"/>
        <v>0</v>
      </c>
      <c r="AB2270" s="78">
        <f t="shared" si="280"/>
        <v>0</v>
      </c>
      <c r="AC2270" s="78"/>
      <c r="AD2270" s="78">
        <v>0</v>
      </c>
      <c r="AE2270" s="80">
        <f t="shared" si="283"/>
        <v>0</v>
      </c>
      <c r="AF2270" s="82">
        <v>0</v>
      </c>
      <c r="AG2270" s="295">
        <v>40617</v>
      </c>
      <c r="AH2270" s="296"/>
      <c r="AI2270" s="295" t="s">
        <v>1984</v>
      </c>
      <c r="AJ2270" s="297" t="s">
        <v>1985</v>
      </c>
      <c r="AK2270" s="298"/>
      <c r="AL2270" s="310" t="s">
        <v>1257</v>
      </c>
      <c r="AM2270" s="311" t="s">
        <v>3880</v>
      </c>
      <c r="AN2270" s="159"/>
      <c r="AO2270" s="160"/>
      <c r="AP2270" s="161"/>
      <c r="AQ2270" s="160"/>
      <c r="AR2270" s="160"/>
      <c r="AS2270" s="160"/>
      <c r="AT2270" s="160"/>
      <c r="AU2270" s="160"/>
      <c r="AV2270" s="160"/>
      <c r="AW2270" s="160"/>
      <c r="AX2270" s="160"/>
      <c r="AY2270" s="160"/>
      <c r="AZ2270" s="160"/>
      <c r="BA2270" s="160"/>
      <c r="BB2270" s="160"/>
      <c r="BC2270" s="160"/>
      <c r="BD2270" s="160"/>
      <c r="BE2270" s="160"/>
      <c r="BF2270" s="160"/>
      <c r="BG2270" s="160"/>
      <c r="BH2270" s="160"/>
      <c r="BI2270" s="160"/>
      <c r="BJ2270" s="160"/>
      <c r="BK2270" s="160"/>
      <c r="BL2270" s="160"/>
      <c r="BM2270" s="160"/>
      <c r="BN2270" s="160"/>
      <c r="BO2270" s="160"/>
      <c r="BP2270" s="160"/>
      <c r="BQ2270" s="160"/>
      <c r="BR2270" s="160"/>
      <c r="BS2270" s="160"/>
      <c r="BT2270" s="160"/>
      <c r="BU2270" s="160"/>
      <c r="BV2270" s="160"/>
      <c r="BW2270" s="160"/>
      <c r="BX2270" s="160"/>
      <c r="BY2270" s="160"/>
      <c r="BZ2270" s="160"/>
      <c r="CA2270" s="160"/>
      <c r="CB2270" s="160"/>
      <c r="CC2270" s="160"/>
      <c r="CD2270" s="160"/>
      <c r="CE2270" s="160"/>
      <c r="CF2270" s="160"/>
      <c r="CG2270" s="160"/>
      <c r="CH2270" s="160"/>
      <c r="CI2270" s="160"/>
      <c r="CJ2270" s="160"/>
      <c r="CK2270" s="160"/>
      <c r="CL2270" s="160"/>
      <c r="CM2270" s="160"/>
      <c r="CN2270" s="160"/>
      <c r="CO2270" s="160"/>
      <c r="CP2270" s="162"/>
      <c r="CQ2270" s="163"/>
      <c r="CR2270" s="162"/>
      <c r="CS2270" s="163"/>
      <c r="CT2270" s="162"/>
      <c r="CU2270" s="163"/>
      <c r="CV2270" s="164">
        <f t="shared" si="281"/>
        <v>0</v>
      </c>
      <c r="CW2270" s="165"/>
      <c r="CX2270" s="166"/>
      <c r="CY2270" s="167"/>
      <c r="CZ2270" s="168"/>
      <c r="DA2270" s="169"/>
      <c r="DB2270" s="168"/>
      <c r="DC2270" s="165"/>
      <c r="DD2270" s="166"/>
      <c r="DE2270" s="71"/>
      <c r="DF2270" s="170"/>
      <c r="EO2270" s="375" t="str">
        <f t="shared" si="282"/>
        <v>NARIÑO_SAN PABLO</v>
      </c>
      <c r="EP2270" s="376"/>
      <c r="EQ2270" s="376"/>
      <c r="ER2270" s="377"/>
      <c r="ES2270" s="376"/>
      <c r="ET2270" s="376"/>
      <c r="EU2270" s="376"/>
    </row>
    <row r="2271" spans="1:151" s="171" customFormat="1" ht="25.5" x14ac:dyDescent="0.2">
      <c r="A2271" s="242">
        <v>40527</v>
      </c>
      <c r="B2271" s="222" t="s">
        <v>2245</v>
      </c>
      <c r="C2271" s="222" t="s">
        <v>2944</v>
      </c>
      <c r="D2271" s="430" t="s">
        <v>837</v>
      </c>
      <c r="E2271" s="107" t="str">
        <f>VLOOKUP(B2271&amp;C2271,Divipola!$C$2:$F$1138,4,FALSE)</f>
        <v>52683</v>
      </c>
      <c r="F2271" s="333"/>
      <c r="G2271" s="221"/>
      <c r="H2271" s="157"/>
      <c r="I2271" s="157"/>
      <c r="J2271" s="157">
        <v>1620</v>
      </c>
      <c r="K2271" s="157">
        <v>1620</v>
      </c>
      <c r="L2271" s="157"/>
      <c r="M2271" s="157"/>
      <c r="N2271" s="157"/>
      <c r="O2271" s="157"/>
      <c r="P2271" s="157"/>
      <c r="Q2271" s="157"/>
      <c r="R2271" s="157"/>
      <c r="S2271" s="157"/>
      <c r="T2271" s="157"/>
      <c r="U2271" s="157"/>
      <c r="V2271" s="158">
        <v>2904.7</v>
      </c>
      <c r="W2271" s="301" t="s">
        <v>3879</v>
      </c>
      <c r="X2271" s="1"/>
      <c r="Y2271" s="78">
        <f t="shared" si="278"/>
        <v>0</v>
      </c>
      <c r="Z2271" s="78">
        <f t="shared" si="279"/>
        <v>0</v>
      </c>
      <c r="AA2271" s="78">
        <f t="shared" si="277"/>
        <v>0</v>
      </c>
      <c r="AB2271" s="78">
        <f t="shared" si="280"/>
        <v>0</v>
      </c>
      <c r="AC2271" s="78"/>
      <c r="AD2271" s="78">
        <v>0</v>
      </c>
      <c r="AE2271" s="80">
        <f t="shared" si="283"/>
        <v>0</v>
      </c>
      <c r="AF2271" s="82">
        <v>0</v>
      </c>
      <c r="AG2271" s="295">
        <v>40617</v>
      </c>
      <c r="AH2271" s="296"/>
      <c r="AI2271" s="295" t="s">
        <v>1984</v>
      </c>
      <c r="AJ2271" s="297" t="s">
        <v>1985</v>
      </c>
      <c r="AK2271" s="298"/>
      <c r="AL2271" s="310" t="s">
        <v>1257</v>
      </c>
      <c r="AM2271" s="311" t="s">
        <v>3880</v>
      </c>
      <c r="AN2271" s="159"/>
      <c r="AO2271" s="160"/>
      <c r="AP2271" s="161"/>
      <c r="AQ2271" s="160"/>
      <c r="AR2271" s="160"/>
      <c r="AS2271" s="160"/>
      <c r="AT2271" s="160"/>
      <c r="AU2271" s="160"/>
      <c r="AV2271" s="160"/>
      <c r="AW2271" s="160"/>
      <c r="AX2271" s="160"/>
      <c r="AY2271" s="160"/>
      <c r="AZ2271" s="160"/>
      <c r="BA2271" s="160"/>
      <c r="BB2271" s="160"/>
      <c r="BC2271" s="160"/>
      <c r="BD2271" s="160"/>
      <c r="BE2271" s="160"/>
      <c r="BF2271" s="160"/>
      <c r="BG2271" s="160"/>
      <c r="BH2271" s="160"/>
      <c r="BI2271" s="160"/>
      <c r="BJ2271" s="160"/>
      <c r="BK2271" s="160"/>
      <c r="BL2271" s="160"/>
      <c r="BM2271" s="160"/>
      <c r="BN2271" s="160"/>
      <c r="BO2271" s="160"/>
      <c r="BP2271" s="160"/>
      <c r="BQ2271" s="160"/>
      <c r="BR2271" s="160"/>
      <c r="BS2271" s="160"/>
      <c r="BT2271" s="160"/>
      <c r="BU2271" s="160"/>
      <c r="BV2271" s="160"/>
      <c r="BW2271" s="160"/>
      <c r="BX2271" s="160"/>
      <c r="BY2271" s="160"/>
      <c r="BZ2271" s="160"/>
      <c r="CA2271" s="160"/>
      <c r="CB2271" s="160"/>
      <c r="CC2271" s="160"/>
      <c r="CD2271" s="160"/>
      <c r="CE2271" s="160"/>
      <c r="CF2271" s="160"/>
      <c r="CG2271" s="160"/>
      <c r="CH2271" s="160"/>
      <c r="CI2271" s="160"/>
      <c r="CJ2271" s="160"/>
      <c r="CK2271" s="160"/>
      <c r="CL2271" s="160"/>
      <c r="CM2271" s="160"/>
      <c r="CN2271" s="160"/>
      <c r="CO2271" s="160"/>
      <c r="CP2271" s="162"/>
      <c r="CQ2271" s="163"/>
      <c r="CR2271" s="162"/>
      <c r="CS2271" s="163"/>
      <c r="CT2271" s="162"/>
      <c r="CU2271" s="163"/>
      <c r="CV2271" s="164">
        <f t="shared" si="281"/>
        <v>0</v>
      </c>
      <c r="CW2271" s="165"/>
      <c r="CX2271" s="166"/>
      <c r="CY2271" s="167"/>
      <c r="CZ2271" s="168"/>
      <c r="DA2271" s="169"/>
      <c r="DB2271" s="168"/>
      <c r="DC2271" s="165"/>
      <c r="DD2271" s="166"/>
      <c r="DE2271" s="71"/>
      <c r="DF2271" s="170"/>
      <c r="EO2271" s="375" t="str">
        <f t="shared" si="282"/>
        <v>NARIÑO_SANDONA</v>
      </c>
      <c r="EP2271" s="376"/>
      <c r="EQ2271" s="376"/>
      <c r="ER2271" s="377"/>
      <c r="ES2271" s="376"/>
      <c r="ET2271" s="376"/>
      <c r="EU2271" s="376"/>
    </row>
    <row r="2272" spans="1:151" s="171" customFormat="1" ht="25.5" x14ac:dyDescent="0.2">
      <c r="A2272" s="242">
        <v>40527</v>
      </c>
      <c r="B2272" s="222" t="s">
        <v>2245</v>
      </c>
      <c r="C2272" s="222" t="s">
        <v>2507</v>
      </c>
      <c r="D2272" s="430" t="s">
        <v>837</v>
      </c>
      <c r="E2272" s="107" t="str">
        <f>VLOOKUP(B2272&amp;C2272,Divipola!$C$2:$F$1138,4,FALSE)</f>
        <v>52720</v>
      </c>
      <c r="F2272" s="333"/>
      <c r="G2272" s="221"/>
      <c r="H2272" s="157"/>
      <c r="I2272" s="157"/>
      <c r="J2272" s="157">
        <v>17</v>
      </c>
      <c r="K2272" s="157">
        <v>17</v>
      </c>
      <c r="L2272" s="157"/>
      <c r="M2272" s="157"/>
      <c r="N2272" s="157"/>
      <c r="O2272" s="157"/>
      <c r="P2272" s="157"/>
      <c r="Q2272" s="157"/>
      <c r="R2272" s="157"/>
      <c r="S2272" s="157"/>
      <c r="T2272" s="157"/>
      <c r="U2272" s="157"/>
      <c r="V2272" s="158">
        <v>65</v>
      </c>
      <c r="W2272" s="301" t="s">
        <v>3879</v>
      </c>
      <c r="X2272" s="1"/>
      <c r="Y2272" s="78">
        <f t="shared" si="278"/>
        <v>0</v>
      </c>
      <c r="Z2272" s="78">
        <f t="shared" si="279"/>
        <v>0</v>
      </c>
      <c r="AA2272" s="78">
        <f t="shared" si="277"/>
        <v>0</v>
      </c>
      <c r="AB2272" s="78">
        <f t="shared" si="280"/>
        <v>0</v>
      </c>
      <c r="AC2272" s="78"/>
      <c r="AD2272" s="78">
        <v>0</v>
      </c>
      <c r="AE2272" s="80">
        <f t="shared" si="283"/>
        <v>0</v>
      </c>
      <c r="AF2272" s="82">
        <v>0</v>
      </c>
      <c r="AG2272" s="295">
        <v>40617</v>
      </c>
      <c r="AH2272" s="296"/>
      <c r="AI2272" s="295" t="s">
        <v>1984</v>
      </c>
      <c r="AJ2272" s="297" t="s">
        <v>1985</v>
      </c>
      <c r="AK2272" s="298"/>
      <c r="AL2272" s="310" t="s">
        <v>1257</v>
      </c>
      <c r="AM2272" s="311" t="s">
        <v>3880</v>
      </c>
      <c r="AN2272" s="159"/>
      <c r="AO2272" s="160"/>
      <c r="AP2272" s="161"/>
      <c r="AQ2272" s="160"/>
      <c r="AR2272" s="160"/>
      <c r="AS2272" s="160"/>
      <c r="AT2272" s="160"/>
      <c r="AU2272" s="160"/>
      <c r="AV2272" s="160"/>
      <c r="AW2272" s="160"/>
      <c r="AX2272" s="160"/>
      <c r="AY2272" s="160"/>
      <c r="AZ2272" s="160"/>
      <c r="BA2272" s="160"/>
      <c r="BB2272" s="160"/>
      <c r="BC2272" s="160"/>
      <c r="BD2272" s="160"/>
      <c r="BE2272" s="160"/>
      <c r="BF2272" s="160"/>
      <c r="BG2272" s="160"/>
      <c r="BH2272" s="160"/>
      <c r="BI2272" s="160"/>
      <c r="BJ2272" s="160"/>
      <c r="BK2272" s="160"/>
      <c r="BL2272" s="160"/>
      <c r="BM2272" s="160"/>
      <c r="BN2272" s="160"/>
      <c r="BO2272" s="160"/>
      <c r="BP2272" s="160"/>
      <c r="BQ2272" s="160"/>
      <c r="BR2272" s="160"/>
      <c r="BS2272" s="160"/>
      <c r="BT2272" s="160"/>
      <c r="BU2272" s="160"/>
      <c r="BV2272" s="160"/>
      <c r="BW2272" s="160"/>
      <c r="BX2272" s="160"/>
      <c r="BY2272" s="160"/>
      <c r="BZ2272" s="160"/>
      <c r="CA2272" s="160"/>
      <c r="CB2272" s="160"/>
      <c r="CC2272" s="160"/>
      <c r="CD2272" s="160"/>
      <c r="CE2272" s="160"/>
      <c r="CF2272" s="160"/>
      <c r="CG2272" s="160"/>
      <c r="CH2272" s="160"/>
      <c r="CI2272" s="160"/>
      <c r="CJ2272" s="160"/>
      <c r="CK2272" s="160"/>
      <c r="CL2272" s="160"/>
      <c r="CM2272" s="160"/>
      <c r="CN2272" s="160"/>
      <c r="CO2272" s="160"/>
      <c r="CP2272" s="162"/>
      <c r="CQ2272" s="163"/>
      <c r="CR2272" s="162"/>
      <c r="CS2272" s="163"/>
      <c r="CT2272" s="162"/>
      <c r="CU2272" s="163"/>
      <c r="CV2272" s="164">
        <f t="shared" si="281"/>
        <v>0</v>
      </c>
      <c r="CW2272" s="165"/>
      <c r="CX2272" s="166"/>
      <c r="CY2272" s="167"/>
      <c r="CZ2272" s="168"/>
      <c r="DA2272" s="169"/>
      <c r="DB2272" s="168"/>
      <c r="DC2272" s="165"/>
      <c r="DD2272" s="166"/>
      <c r="DE2272" s="71"/>
      <c r="DF2272" s="170"/>
      <c r="EO2272" s="375" t="str">
        <f t="shared" si="282"/>
        <v>NARIÑO_SAPUYES</v>
      </c>
      <c r="EP2272" s="376"/>
      <c r="EQ2272" s="376"/>
      <c r="ER2272" s="377"/>
      <c r="ES2272" s="376"/>
      <c r="ET2272" s="376"/>
      <c r="EU2272" s="376"/>
    </row>
    <row r="2273" spans="1:151" s="171" customFormat="1" ht="60" x14ac:dyDescent="0.2">
      <c r="A2273" s="242">
        <v>40527</v>
      </c>
      <c r="B2273" s="222" t="s">
        <v>2245</v>
      </c>
      <c r="C2273" s="222" t="s">
        <v>1744</v>
      </c>
      <c r="D2273" s="430" t="s">
        <v>2307</v>
      </c>
      <c r="E2273" s="107" t="str">
        <f>VLOOKUP(B2273&amp;C2273,Divipola!$C$2:$F$1138,4,FALSE)</f>
        <v>52786</v>
      </c>
      <c r="F2273" s="333"/>
      <c r="G2273" s="221"/>
      <c r="H2273" s="157"/>
      <c r="I2273" s="157"/>
      <c r="J2273" s="157">
        <v>904</v>
      </c>
      <c r="K2273" s="157">
        <v>226</v>
      </c>
      <c r="L2273" s="157"/>
      <c r="M2273" s="157">
        <v>132</v>
      </c>
      <c r="N2273" s="157">
        <v>12</v>
      </c>
      <c r="O2273" s="157"/>
      <c r="P2273" s="157"/>
      <c r="Q2273" s="157"/>
      <c r="R2273" s="157"/>
      <c r="S2273" s="157"/>
      <c r="T2273" s="157"/>
      <c r="U2273" s="157"/>
      <c r="V2273" s="158"/>
      <c r="W2273" s="182"/>
      <c r="X2273" s="1"/>
      <c r="Y2273" s="78">
        <f t="shared" si="278"/>
        <v>0</v>
      </c>
      <c r="Z2273" s="78">
        <f t="shared" si="279"/>
        <v>0</v>
      </c>
      <c r="AA2273" s="78">
        <f t="shared" si="277"/>
        <v>0</v>
      </c>
      <c r="AB2273" s="78">
        <f t="shared" si="280"/>
        <v>0</v>
      </c>
      <c r="AC2273" s="78"/>
      <c r="AD2273" s="78">
        <v>0</v>
      </c>
      <c r="AE2273" s="80">
        <f t="shared" si="283"/>
        <v>0</v>
      </c>
      <c r="AF2273" s="82">
        <v>0</v>
      </c>
      <c r="AG2273" s="69">
        <v>40527</v>
      </c>
      <c r="AH2273" s="84"/>
      <c r="AI2273" s="69" t="s">
        <v>1984</v>
      </c>
      <c r="AJ2273" s="25" t="s">
        <v>1985</v>
      </c>
      <c r="AK2273" s="65"/>
      <c r="AL2273" s="176" t="s">
        <v>1257</v>
      </c>
      <c r="AM2273" s="173" t="s">
        <v>788</v>
      </c>
      <c r="AN2273" s="159"/>
      <c r="AO2273" s="160"/>
      <c r="AP2273" s="161"/>
      <c r="AQ2273" s="160"/>
      <c r="AR2273" s="160"/>
      <c r="AS2273" s="160"/>
      <c r="AT2273" s="160"/>
      <c r="AU2273" s="160"/>
      <c r="AV2273" s="160"/>
      <c r="AW2273" s="160"/>
      <c r="AX2273" s="160"/>
      <c r="AY2273" s="160"/>
      <c r="AZ2273" s="160"/>
      <c r="BA2273" s="160"/>
      <c r="BB2273" s="160"/>
      <c r="BC2273" s="160"/>
      <c r="BD2273" s="160"/>
      <c r="BE2273" s="160"/>
      <c r="BF2273" s="160"/>
      <c r="BG2273" s="160"/>
      <c r="BH2273" s="160"/>
      <c r="BI2273" s="160"/>
      <c r="BJ2273" s="160"/>
      <c r="BK2273" s="160"/>
      <c r="BL2273" s="160"/>
      <c r="BM2273" s="160"/>
      <c r="BN2273" s="160"/>
      <c r="BO2273" s="160"/>
      <c r="BP2273" s="160"/>
      <c r="BQ2273" s="160"/>
      <c r="BR2273" s="160"/>
      <c r="BS2273" s="160"/>
      <c r="BT2273" s="160"/>
      <c r="BU2273" s="160"/>
      <c r="BV2273" s="160"/>
      <c r="BW2273" s="160"/>
      <c r="BX2273" s="160"/>
      <c r="BY2273" s="160"/>
      <c r="BZ2273" s="160"/>
      <c r="CA2273" s="160"/>
      <c r="CB2273" s="160"/>
      <c r="CC2273" s="160"/>
      <c r="CD2273" s="160"/>
      <c r="CE2273" s="160"/>
      <c r="CF2273" s="160"/>
      <c r="CG2273" s="160"/>
      <c r="CH2273" s="160"/>
      <c r="CI2273" s="160"/>
      <c r="CJ2273" s="160"/>
      <c r="CK2273" s="160"/>
      <c r="CL2273" s="160"/>
      <c r="CM2273" s="160"/>
      <c r="CN2273" s="160"/>
      <c r="CO2273" s="160"/>
      <c r="CP2273" s="162"/>
      <c r="CQ2273" s="163"/>
      <c r="CR2273" s="162"/>
      <c r="CS2273" s="163"/>
      <c r="CT2273" s="162"/>
      <c r="CU2273" s="163"/>
      <c r="CV2273" s="164">
        <f t="shared" si="281"/>
        <v>0</v>
      </c>
      <c r="CW2273" s="165"/>
      <c r="CX2273" s="166"/>
      <c r="CY2273" s="167"/>
      <c r="CZ2273" s="168"/>
      <c r="DA2273" s="169"/>
      <c r="DB2273" s="168"/>
      <c r="DC2273" s="165"/>
      <c r="DD2273" s="166"/>
      <c r="DE2273" s="71"/>
      <c r="DF2273" s="170"/>
      <c r="EO2273" s="375" t="str">
        <f t="shared" si="282"/>
        <v>NARIÑO_TAMINANGO</v>
      </c>
      <c r="EP2273" s="376"/>
      <c r="EQ2273" s="376"/>
      <c r="ER2273" s="377"/>
      <c r="ES2273" s="376"/>
      <c r="ET2273" s="376"/>
      <c r="EU2273" s="376"/>
    </row>
    <row r="2274" spans="1:151" s="171" customFormat="1" ht="25.5" x14ac:dyDescent="0.2">
      <c r="A2274" s="242">
        <v>40527</v>
      </c>
      <c r="B2274" s="222" t="s">
        <v>2245</v>
      </c>
      <c r="C2274" s="222" t="s">
        <v>1744</v>
      </c>
      <c r="D2274" s="430" t="s">
        <v>837</v>
      </c>
      <c r="E2274" s="107" t="str">
        <f>VLOOKUP(B2274&amp;C2274,Divipola!$C$2:$F$1138,4,FALSE)</f>
        <v>52786</v>
      </c>
      <c r="F2274" s="333"/>
      <c r="G2274" s="221"/>
      <c r="H2274" s="157"/>
      <c r="I2274" s="157"/>
      <c r="J2274" s="157">
        <v>68</v>
      </c>
      <c r="K2274" s="157">
        <v>68</v>
      </c>
      <c r="L2274" s="157"/>
      <c r="M2274" s="157"/>
      <c r="N2274" s="157"/>
      <c r="O2274" s="157"/>
      <c r="P2274" s="157"/>
      <c r="Q2274" s="157"/>
      <c r="R2274" s="157"/>
      <c r="S2274" s="157"/>
      <c r="T2274" s="157"/>
      <c r="U2274" s="157"/>
      <c r="V2274" s="158"/>
      <c r="W2274" s="301" t="s">
        <v>3879</v>
      </c>
      <c r="X2274" s="1"/>
      <c r="Y2274" s="78">
        <f t="shared" si="278"/>
        <v>0</v>
      </c>
      <c r="Z2274" s="78">
        <f t="shared" si="279"/>
        <v>0</v>
      </c>
      <c r="AA2274" s="78">
        <f t="shared" si="277"/>
        <v>0</v>
      </c>
      <c r="AB2274" s="78">
        <f t="shared" si="280"/>
        <v>0</v>
      </c>
      <c r="AC2274" s="78"/>
      <c r="AD2274" s="78">
        <v>0</v>
      </c>
      <c r="AE2274" s="80">
        <f t="shared" si="283"/>
        <v>0</v>
      </c>
      <c r="AF2274" s="82">
        <v>0</v>
      </c>
      <c r="AG2274" s="295">
        <v>40617</v>
      </c>
      <c r="AH2274" s="296"/>
      <c r="AI2274" s="295" t="s">
        <v>1984</v>
      </c>
      <c r="AJ2274" s="297" t="s">
        <v>1985</v>
      </c>
      <c r="AK2274" s="298"/>
      <c r="AL2274" s="310" t="s">
        <v>1257</v>
      </c>
      <c r="AM2274" s="311" t="s">
        <v>3880</v>
      </c>
      <c r="AN2274" s="159"/>
      <c r="AO2274" s="160"/>
      <c r="AP2274" s="161"/>
      <c r="AQ2274" s="160"/>
      <c r="AR2274" s="160"/>
      <c r="AS2274" s="160"/>
      <c r="AT2274" s="160"/>
      <c r="AU2274" s="160"/>
      <c r="AV2274" s="160"/>
      <c r="AW2274" s="160"/>
      <c r="AX2274" s="160"/>
      <c r="AY2274" s="160"/>
      <c r="AZ2274" s="160"/>
      <c r="BA2274" s="160"/>
      <c r="BB2274" s="160"/>
      <c r="BC2274" s="160"/>
      <c r="BD2274" s="160"/>
      <c r="BE2274" s="160"/>
      <c r="BF2274" s="160"/>
      <c r="BG2274" s="160"/>
      <c r="BH2274" s="160"/>
      <c r="BI2274" s="160"/>
      <c r="BJ2274" s="160"/>
      <c r="BK2274" s="160"/>
      <c r="BL2274" s="160"/>
      <c r="BM2274" s="160"/>
      <c r="BN2274" s="160"/>
      <c r="BO2274" s="160"/>
      <c r="BP2274" s="160"/>
      <c r="BQ2274" s="160"/>
      <c r="BR2274" s="160"/>
      <c r="BS2274" s="160"/>
      <c r="BT2274" s="160"/>
      <c r="BU2274" s="160"/>
      <c r="BV2274" s="160"/>
      <c r="BW2274" s="160"/>
      <c r="BX2274" s="160"/>
      <c r="BY2274" s="160"/>
      <c r="BZ2274" s="160"/>
      <c r="CA2274" s="160"/>
      <c r="CB2274" s="160"/>
      <c r="CC2274" s="160"/>
      <c r="CD2274" s="160"/>
      <c r="CE2274" s="160"/>
      <c r="CF2274" s="160"/>
      <c r="CG2274" s="160"/>
      <c r="CH2274" s="160"/>
      <c r="CI2274" s="160"/>
      <c r="CJ2274" s="160"/>
      <c r="CK2274" s="160"/>
      <c r="CL2274" s="160"/>
      <c r="CM2274" s="160"/>
      <c r="CN2274" s="160"/>
      <c r="CO2274" s="160"/>
      <c r="CP2274" s="162"/>
      <c r="CQ2274" s="163"/>
      <c r="CR2274" s="162"/>
      <c r="CS2274" s="163"/>
      <c r="CT2274" s="162"/>
      <c r="CU2274" s="163"/>
      <c r="CV2274" s="164">
        <f t="shared" si="281"/>
        <v>0</v>
      </c>
      <c r="CW2274" s="165"/>
      <c r="CX2274" s="166"/>
      <c r="CY2274" s="167"/>
      <c r="CZ2274" s="168"/>
      <c r="DA2274" s="169"/>
      <c r="DB2274" s="168"/>
      <c r="DC2274" s="165"/>
      <c r="DD2274" s="166"/>
      <c r="DE2274" s="71"/>
      <c r="DF2274" s="170"/>
      <c r="EO2274" s="375" t="str">
        <f t="shared" si="282"/>
        <v>NARIÑO_TAMINANGO</v>
      </c>
      <c r="EP2274" s="376"/>
      <c r="EQ2274" s="376"/>
      <c r="ER2274" s="377"/>
      <c r="ES2274" s="376"/>
      <c r="ET2274" s="376"/>
      <c r="EU2274" s="376"/>
    </row>
    <row r="2275" spans="1:151" s="171" customFormat="1" ht="25.5" x14ac:dyDescent="0.2">
      <c r="A2275" s="242">
        <v>40527</v>
      </c>
      <c r="B2275" s="222" t="s">
        <v>2245</v>
      </c>
      <c r="C2275" s="222" t="s">
        <v>2921</v>
      </c>
      <c r="D2275" s="430" t="s">
        <v>837</v>
      </c>
      <c r="E2275" s="107" t="str">
        <f>VLOOKUP(B2275&amp;C2275,Divipola!$C$2:$F$1138,4,FALSE)</f>
        <v>52788</v>
      </c>
      <c r="F2275" s="333"/>
      <c r="G2275" s="221"/>
      <c r="H2275" s="157"/>
      <c r="I2275" s="157"/>
      <c r="J2275" s="157">
        <v>1400</v>
      </c>
      <c r="K2275" s="157">
        <v>1400</v>
      </c>
      <c r="L2275" s="157"/>
      <c r="M2275" s="157"/>
      <c r="N2275" s="157"/>
      <c r="O2275" s="157"/>
      <c r="P2275" s="157"/>
      <c r="Q2275" s="157"/>
      <c r="R2275" s="157"/>
      <c r="S2275" s="157"/>
      <c r="T2275" s="157"/>
      <c r="U2275" s="157"/>
      <c r="V2275" s="158">
        <v>1679</v>
      </c>
      <c r="W2275" s="301" t="s">
        <v>3879</v>
      </c>
      <c r="X2275" s="1"/>
      <c r="Y2275" s="78">
        <f t="shared" si="278"/>
        <v>0</v>
      </c>
      <c r="Z2275" s="78">
        <f t="shared" si="279"/>
        <v>0</v>
      </c>
      <c r="AA2275" s="78">
        <f t="shared" si="277"/>
        <v>0</v>
      </c>
      <c r="AB2275" s="78">
        <f t="shared" si="280"/>
        <v>0</v>
      </c>
      <c r="AC2275" s="78"/>
      <c r="AD2275" s="78">
        <v>0</v>
      </c>
      <c r="AE2275" s="80">
        <f t="shared" si="283"/>
        <v>0</v>
      </c>
      <c r="AF2275" s="82">
        <v>0</v>
      </c>
      <c r="AG2275" s="295">
        <v>40617</v>
      </c>
      <c r="AH2275" s="296"/>
      <c r="AI2275" s="295" t="s">
        <v>1984</v>
      </c>
      <c r="AJ2275" s="297" t="s">
        <v>1985</v>
      </c>
      <c r="AK2275" s="298"/>
      <c r="AL2275" s="310" t="s">
        <v>1257</v>
      </c>
      <c r="AM2275" s="311" t="s">
        <v>3880</v>
      </c>
      <c r="AN2275" s="159"/>
      <c r="AO2275" s="160"/>
      <c r="AP2275" s="161"/>
      <c r="AQ2275" s="160"/>
      <c r="AR2275" s="160"/>
      <c r="AS2275" s="160"/>
      <c r="AT2275" s="160"/>
      <c r="AU2275" s="160"/>
      <c r="AV2275" s="160"/>
      <c r="AW2275" s="160"/>
      <c r="AX2275" s="160"/>
      <c r="AY2275" s="160"/>
      <c r="AZ2275" s="160"/>
      <c r="BA2275" s="160"/>
      <c r="BB2275" s="160"/>
      <c r="BC2275" s="160"/>
      <c r="BD2275" s="160"/>
      <c r="BE2275" s="160"/>
      <c r="BF2275" s="160"/>
      <c r="BG2275" s="160"/>
      <c r="BH2275" s="160"/>
      <c r="BI2275" s="160"/>
      <c r="BJ2275" s="160"/>
      <c r="BK2275" s="160"/>
      <c r="BL2275" s="160"/>
      <c r="BM2275" s="160"/>
      <c r="BN2275" s="160"/>
      <c r="BO2275" s="160"/>
      <c r="BP2275" s="160"/>
      <c r="BQ2275" s="160"/>
      <c r="BR2275" s="160"/>
      <c r="BS2275" s="160"/>
      <c r="BT2275" s="160"/>
      <c r="BU2275" s="160"/>
      <c r="BV2275" s="160"/>
      <c r="BW2275" s="160"/>
      <c r="BX2275" s="160"/>
      <c r="BY2275" s="160"/>
      <c r="BZ2275" s="160"/>
      <c r="CA2275" s="160"/>
      <c r="CB2275" s="160"/>
      <c r="CC2275" s="160"/>
      <c r="CD2275" s="160"/>
      <c r="CE2275" s="160"/>
      <c r="CF2275" s="160"/>
      <c r="CG2275" s="160"/>
      <c r="CH2275" s="160"/>
      <c r="CI2275" s="160"/>
      <c r="CJ2275" s="160"/>
      <c r="CK2275" s="160"/>
      <c r="CL2275" s="160"/>
      <c r="CM2275" s="160"/>
      <c r="CN2275" s="160"/>
      <c r="CO2275" s="160"/>
      <c r="CP2275" s="162"/>
      <c r="CQ2275" s="163"/>
      <c r="CR2275" s="162"/>
      <c r="CS2275" s="163"/>
      <c r="CT2275" s="162"/>
      <c r="CU2275" s="163"/>
      <c r="CV2275" s="164">
        <f t="shared" si="281"/>
        <v>0</v>
      </c>
      <c r="CW2275" s="165"/>
      <c r="CX2275" s="166"/>
      <c r="CY2275" s="167"/>
      <c r="CZ2275" s="168"/>
      <c r="DA2275" s="169"/>
      <c r="DB2275" s="168"/>
      <c r="DC2275" s="165"/>
      <c r="DD2275" s="166"/>
      <c r="DE2275" s="71"/>
      <c r="DF2275" s="170"/>
      <c r="EO2275" s="375" t="str">
        <f t="shared" si="282"/>
        <v>NARIÑO_TANGUA</v>
      </c>
      <c r="EP2275" s="376"/>
      <c r="EQ2275" s="376"/>
      <c r="ER2275" s="377"/>
      <c r="ES2275" s="376"/>
      <c r="ET2275" s="376"/>
      <c r="EU2275" s="376"/>
    </row>
    <row r="2276" spans="1:151" s="171" customFormat="1" ht="51" x14ac:dyDescent="0.2">
      <c r="A2276" s="242">
        <v>40527</v>
      </c>
      <c r="B2276" s="222" t="s">
        <v>1336</v>
      </c>
      <c r="C2276" s="222" t="s">
        <v>4522</v>
      </c>
      <c r="D2276" s="430" t="s">
        <v>837</v>
      </c>
      <c r="E2276" s="107" t="str">
        <f>VLOOKUP(B2276&amp;C2276,Divipola!$C$2:$F$1138,4,FALSE)</f>
        <v>54377</v>
      </c>
      <c r="F2276" s="333"/>
      <c r="G2276" s="221"/>
      <c r="H2276" s="157"/>
      <c r="I2276" s="157"/>
      <c r="J2276" s="157">
        <v>513</v>
      </c>
      <c r="K2276" s="157">
        <v>100</v>
      </c>
      <c r="L2276" s="157"/>
      <c r="M2276" s="157"/>
      <c r="N2276" s="157"/>
      <c r="O2276" s="157"/>
      <c r="P2276" s="157"/>
      <c r="Q2276" s="157"/>
      <c r="R2276" s="157"/>
      <c r="S2276" s="157"/>
      <c r="T2276" s="157"/>
      <c r="U2276" s="157"/>
      <c r="V2276" s="158"/>
      <c r="W2276" s="182"/>
      <c r="X2276" s="1"/>
      <c r="Y2276" s="78">
        <f t="shared" si="278"/>
        <v>0</v>
      </c>
      <c r="Z2276" s="78">
        <f t="shared" si="279"/>
        <v>0</v>
      </c>
      <c r="AA2276" s="78">
        <f t="shared" si="277"/>
        <v>0</v>
      </c>
      <c r="AB2276" s="78">
        <f t="shared" si="280"/>
        <v>0</v>
      </c>
      <c r="AC2276" s="78"/>
      <c r="AD2276" s="78">
        <v>0</v>
      </c>
      <c r="AE2276" s="80">
        <f t="shared" si="283"/>
        <v>0</v>
      </c>
      <c r="AF2276" s="82">
        <v>0</v>
      </c>
      <c r="AG2276" s="69"/>
      <c r="AH2276" s="84"/>
      <c r="AI2276" s="69" t="s">
        <v>1984</v>
      </c>
      <c r="AJ2276" s="25" t="s">
        <v>1985</v>
      </c>
      <c r="AK2276" s="65"/>
      <c r="AL2276" s="176" t="s">
        <v>1257</v>
      </c>
      <c r="AM2276" s="173" t="s">
        <v>457</v>
      </c>
      <c r="AN2276" s="159"/>
      <c r="AO2276" s="160"/>
      <c r="AP2276" s="161"/>
      <c r="AQ2276" s="160"/>
      <c r="AR2276" s="160"/>
      <c r="AS2276" s="160"/>
      <c r="AT2276" s="160"/>
      <c r="AU2276" s="160"/>
      <c r="AV2276" s="160"/>
      <c r="AW2276" s="160"/>
      <c r="AX2276" s="160"/>
      <c r="AY2276" s="160"/>
      <c r="AZ2276" s="160"/>
      <c r="BA2276" s="160"/>
      <c r="BB2276" s="160"/>
      <c r="BC2276" s="160"/>
      <c r="BD2276" s="160"/>
      <c r="BE2276" s="160"/>
      <c r="BF2276" s="160"/>
      <c r="BG2276" s="160"/>
      <c r="BH2276" s="160"/>
      <c r="BI2276" s="160"/>
      <c r="BJ2276" s="160"/>
      <c r="BK2276" s="160"/>
      <c r="BL2276" s="160"/>
      <c r="BM2276" s="160"/>
      <c r="BN2276" s="160"/>
      <c r="BO2276" s="160"/>
      <c r="BP2276" s="160"/>
      <c r="BQ2276" s="160"/>
      <c r="BR2276" s="160"/>
      <c r="BS2276" s="160"/>
      <c r="BT2276" s="160"/>
      <c r="BU2276" s="160"/>
      <c r="BV2276" s="160"/>
      <c r="BW2276" s="160"/>
      <c r="BX2276" s="160"/>
      <c r="BY2276" s="160"/>
      <c r="BZ2276" s="160"/>
      <c r="CA2276" s="160"/>
      <c r="CB2276" s="160"/>
      <c r="CC2276" s="160"/>
      <c r="CD2276" s="160"/>
      <c r="CE2276" s="160"/>
      <c r="CF2276" s="160"/>
      <c r="CG2276" s="160"/>
      <c r="CH2276" s="160"/>
      <c r="CI2276" s="160"/>
      <c r="CJ2276" s="160"/>
      <c r="CK2276" s="160"/>
      <c r="CL2276" s="160"/>
      <c r="CM2276" s="160"/>
      <c r="CN2276" s="160"/>
      <c r="CO2276" s="160"/>
      <c r="CP2276" s="162"/>
      <c r="CQ2276" s="163"/>
      <c r="CR2276" s="162"/>
      <c r="CS2276" s="163"/>
      <c r="CT2276" s="162"/>
      <c r="CU2276" s="163"/>
      <c r="CV2276" s="164">
        <f t="shared" si="281"/>
        <v>0</v>
      </c>
      <c r="CW2276" s="165"/>
      <c r="CX2276" s="166"/>
      <c r="CY2276" s="167"/>
      <c r="CZ2276" s="168"/>
      <c r="DA2276" s="169"/>
      <c r="DB2276" s="168"/>
      <c r="DC2276" s="165"/>
      <c r="DD2276" s="166"/>
      <c r="DE2276" s="71"/>
      <c r="DF2276" s="170"/>
      <c r="EO2276" s="375" t="str">
        <f t="shared" si="282"/>
        <v>NORTE DE SANTANDER_LABATECA</v>
      </c>
      <c r="EP2276" s="376"/>
      <c r="EQ2276" s="376"/>
      <c r="ER2276" s="377"/>
      <c r="ES2276" s="376"/>
      <c r="ET2276" s="376"/>
      <c r="EU2276" s="376"/>
    </row>
    <row r="2277" spans="1:151" s="171" customFormat="1" ht="38.25" x14ac:dyDescent="0.2">
      <c r="A2277" s="242">
        <v>40527</v>
      </c>
      <c r="B2277" s="222" t="s">
        <v>832</v>
      </c>
      <c r="C2277" s="222" t="s">
        <v>4653</v>
      </c>
      <c r="D2277" s="430" t="s">
        <v>837</v>
      </c>
      <c r="E2277" s="107" t="str">
        <f>VLOOKUP(B2277&amp;C2277,Divipola!$C$2:$F$1138,4,FALSE)</f>
        <v>86573</v>
      </c>
      <c r="F2277" s="333"/>
      <c r="G2277" s="221"/>
      <c r="H2277" s="157"/>
      <c r="I2277" s="157"/>
      <c r="J2277" s="157">
        <f>1537*5</f>
        <v>7685</v>
      </c>
      <c r="K2277" s="157">
        <f>1541-4</f>
        <v>1537</v>
      </c>
      <c r="L2277" s="157"/>
      <c r="M2277" s="157"/>
      <c r="N2277" s="157"/>
      <c r="O2277" s="157"/>
      <c r="P2277" s="157"/>
      <c r="Q2277" s="157"/>
      <c r="R2277" s="157"/>
      <c r="S2277" s="157"/>
      <c r="T2277" s="157"/>
      <c r="U2277" s="157"/>
      <c r="V2277" s="158"/>
      <c r="W2277" s="182"/>
      <c r="X2277" s="1"/>
      <c r="Y2277" s="78">
        <f t="shared" si="278"/>
        <v>0</v>
      </c>
      <c r="Z2277" s="78">
        <f t="shared" si="279"/>
        <v>0</v>
      </c>
      <c r="AA2277" s="78">
        <f t="shared" si="277"/>
        <v>0</v>
      </c>
      <c r="AB2277" s="78">
        <f t="shared" si="280"/>
        <v>0</v>
      </c>
      <c r="AC2277" s="78"/>
      <c r="AD2277" s="78">
        <v>0</v>
      </c>
      <c r="AE2277" s="80">
        <f t="shared" si="283"/>
        <v>0</v>
      </c>
      <c r="AF2277" s="82">
        <v>0</v>
      </c>
      <c r="AG2277" s="69">
        <v>40616</v>
      </c>
      <c r="AH2277" s="84"/>
      <c r="AI2277" s="69" t="s">
        <v>1984</v>
      </c>
      <c r="AJ2277" s="25" t="s">
        <v>1985</v>
      </c>
      <c r="AK2277" s="65"/>
      <c r="AL2277" s="176" t="s">
        <v>1257</v>
      </c>
      <c r="AM2277" s="173" t="s">
        <v>457</v>
      </c>
      <c r="AN2277" s="159"/>
      <c r="AO2277" s="160"/>
      <c r="AP2277" s="161"/>
      <c r="AQ2277" s="160"/>
      <c r="AR2277" s="160"/>
      <c r="AS2277" s="160"/>
      <c r="AT2277" s="160"/>
      <c r="AU2277" s="160"/>
      <c r="AV2277" s="160"/>
      <c r="AW2277" s="160"/>
      <c r="AX2277" s="160"/>
      <c r="AY2277" s="160"/>
      <c r="AZ2277" s="160"/>
      <c r="BA2277" s="160"/>
      <c r="BB2277" s="160"/>
      <c r="BC2277" s="160"/>
      <c r="BD2277" s="160"/>
      <c r="BE2277" s="160"/>
      <c r="BF2277" s="160"/>
      <c r="BG2277" s="160"/>
      <c r="BH2277" s="160"/>
      <c r="BI2277" s="160"/>
      <c r="BJ2277" s="160"/>
      <c r="BK2277" s="160"/>
      <c r="BL2277" s="160"/>
      <c r="BM2277" s="160"/>
      <c r="BN2277" s="160"/>
      <c r="BO2277" s="160"/>
      <c r="BP2277" s="160"/>
      <c r="BQ2277" s="160"/>
      <c r="BR2277" s="160"/>
      <c r="BS2277" s="160"/>
      <c r="BT2277" s="160"/>
      <c r="BU2277" s="160"/>
      <c r="BV2277" s="160"/>
      <c r="BW2277" s="160"/>
      <c r="BX2277" s="160"/>
      <c r="BY2277" s="160"/>
      <c r="BZ2277" s="160"/>
      <c r="CA2277" s="160"/>
      <c r="CB2277" s="160"/>
      <c r="CC2277" s="160"/>
      <c r="CD2277" s="160"/>
      <c r="CE2277" s="160"/>
      <c r="CF2277" s="160"/>
      <c r="CG2277" s="160"/>
      <c r="CH2277" s="160"/>
      <c r="CI2277" s="160"/>
      <c r="CJ2277" s="160"/>
      <c r="CK2277" s="160"/>
      <c r="CL2277" s="160"/>
      <c r="CM2277" s="160"/>
      <c r="CN2277" s="160"/>
      <c r="CO2277" s="160"/>
      <c r="CP2277" s="162"/>
      <c r="CQ2277" s="163"/>
      <c r="CR2277" s="162"/>
      <c r="CS2277" s="163"/>
      <c r="CT2277" s="162"/>
      <c r="CU2277" s="163"/>
      <c r="CV2277" s="164">
        <f t="shared" si="281"/>
        <v>0</v>
      </c>
      <c r="CW2277" s="165"/>
      <c r="CX2277" s="166"/>
      <c r="CY2277" s="167"/>
      <c r="CZ2277" s="168"/>
      <c r="DA2277" s="169"/>
      <c r="DB2277" s="168"/>
      <c r="DC2277" s="165"/>
      <c r="DD2277" s="166"/>
      <c r="DE2277" s="71"/>
      <c r="DF2277" s="170"/>
      <c r="EO2277" s="375" t="str">
        <f t="shared" si="282"/>
        <v>PUTUMAYO_LEGUIZAMO</v>
      </c>
      <c r="EP2277" s="376"/>
      <c r="EQ2277" s="376"/>
      <c r="ER2277" s="377"/>
      <c r="ES2277" s="376"/>
      <c r="ET2277" s="376"/>
      <c r="EU2277" s="376"/>
    </row>
    <row r="2278" spans="1:151" s="171" customFormat="1" ht="38.25" x14ac:dyDescent="0.2">
      <c r="A2278" s="242">
        <v>40527</v>
      </c>
      <c r="B2278" s="222" t="s">
        <v>832</v>
      </c>
      <c r="C2278" s="222" t="s">
        <v>3875</v>
      </c>
      <c r="D2278" s="430" t="s">
        <v>837</v>
      </c>
      <c r="E2278" s="107" t="str">
        <f>VLOOKUP(B2278&amp;C2278,Divipola!$C$2:$F$1138,4,FALSE)</f>
        <v>86568</v>
      </c>
      <c r="F2278" s="333"/>
      <c r="G2278" s="221"/>
      <c r="H2278" s="157"/>
      <c r="I2278" s="157"/>
      <c r="J2278" s="157">
        <f>600*5</f>
        <v>3000</v>
      </c>
      <c r="K2278" s="157">
        <v>600</v>
      </c>
      <c r="L2278" s="157"/>
      <c r="M2278" s="157"/>
      <c r="N2278" s="157"/>
      <c r="O2278" s="157"/>
      <c r="P2278" s="157"/>
      <c r="Q2278" s="157"/>
      <c r="R2278" s="157"/>
      <c r="S2278" s="157"/>
      <c r="T2278" s="157"/>
      <c r="U2278" s="157"/>
      <c r="V2278" s="158"/>
      <c r="W2278" s="182"/>
      <c r="X2278" s="1"/>
      <c r="Y2278" s="78">
        <f t="shared" si="278"/>
        <v>0</v>
      </c>
      <c r="Z2278" s="78">
        <f t="shared" si="279"/>
        <v>0</v>
      </c>
      <c r="AA2278" s="78">
        <f t="shared" si="277"/>
        <v>0</v>
      </c>
      <c r="AB2278" s="78">
        <f t="shared" si="280"/>
        <v>0</v>
      </c>
      <c r="AC2278" s="78"/>
      <c r="AD2278" s="78">
        <v>0</v>
      </c>
      <c r="AE2278" s="80">
        <f t="shared" si="283"/>
        <v>0</v>
      </c>
      <c r="AF2278" s="82">
        <v>0</v>
      </c>
      <c r="AG2278" s="69">
        <v>40616</v>
      </c>
      <c r="AH2278" s="84"/>
      <c r="AI2278" s="69" t="s">
        <v>1984</v>
      </c>
      <c r="AJ2278" s="25" t="s">
        <v>1985</v>
      </c>
      <c r="AK2278" s="65"/>
      <c r="AL2278" s="176" t="s">
        <v>1257</v>
      </c>
      <c r="AM2278" s="173" t="s">
        <v>457</v>
      </c>
      <c r="AN2278" s="159"/>
      <c r="AO2278" s="160"/>
      <c r="AP2278" s="161"/>
      <c r="AQ2278" s="160"/>
      <c r="AR2278" s="160"/>
      <c r="AS2278" s="160"/>
      <c r="AT2278" s="160"/>
      <c r="AU2278" s="160"/>
      <c r="AV2278" s="160"/>
      <c r="AW2278" s="160"/>
      <c r="AX2278" s="160"/>
      <c r="AY2278" s="160"/>
      <c r="AZ2278" s="160"/>
      <c r="BA2278" s="160"/>
      <c r="BB2278" s="160"/>
      <c r="BC2278" s="160"/>
      <c r="BD2278" s="160"/>
      <c r="BE2278" s="160"/>
      <c r="BF2278" s="160"/>
      <c r="BG2278" s="160"/>
      <c r="BH2278" s="160"/>
      <c r="BI2278" s="160"/>
      <c r="BJ2278" s="160"/>
      <c r="BK2278" s="160"/>
      <c r="BL2278" s="160"/>
      <c r="BM2278" s="160"/>
      <c r="BN2278" s="160"/>
      <c r="BO2278" s="160"/>
      <c r="BP2278" s="160"/>
      <c r="BQ2278" s="160"/>
      <c r="BR2278" s="160"/>
      <c r="BS2278" s="160"/>
      <c r="BT2278" s="160"/>
      <c r="BU2278" s="160"/>
      <c r="BV2278" s="160"/>
      <c r="BW2278" s="160"/>
      <c r="BX2278" s="160"/>
      <c r="BY2278" s="160"/>
      <c r="BZ2278" s="160"/>
      <c r="CA2278" s="160"/>
      <c r="CB2278" s="160"/>
      <c r="CC2278" s="160"/>
      <c r="CD2278" s="160"/>
      <c r="CE2278" s="160"/>
      <c r="CF2278" s="160"/>
      <c r="CG2278" s="160"/>
      <c r="CH2278" s="160"/>
      <c r="CI2278" s="160"/>
      <c r="CJ2278" s="160"/>
      <c r="CK2278" s="160"/>
      <c r="CL2278" s="160"/>
      <c r="CM2278" s="160"/>
      <c r="CN2278" s="160"/>
      <c r="CO2278" s="160"/>
      <c r="CP2278" s="162"/>
      <c r="CQ2278" s="163"/>
      <c r="CR2278" s="162"/>
      <c r="CS2278" s="163"/>
      <c r="CT2278" s="162"/>
      <c r="CU2278" s="163"/>
      <c r="CV2278" s="164">
        <f t="shared" si="281"/>
        <v>0</v>
      </c>
      <c r="CW2278" s="165"/>
      <c r="CX2278" s="166"/>
      <c r="CY2278" s="167"/>
      <c r="CZ2278" s="168"/>
      <c r="DA2278" s="169"/>
      <c r="DB2278" s="168"/>
      <c r="DC2278" s="165"/>
      <c r="DD2278" s="166"/>
      <c r="DE2278" s="71"/>
      <c r="DF2278" s="170"/>
      <c r="EO2278" s="375" t="str">
        <f t="shared" si="282"/>
        <v>PUTUMAYO_PUERTO ASIS</v>
      </c>
      <c r="EP2278" s="376"/>
      <c r="EQ2278" s="376"/>
      <c r="ER2278" s="377"/>
      <c r="ES2278" s="376"/>
      <c r="ET2278" s="376"/>
      <c r="EU2278" s="376"/>
    </row>
    <row r="2279" spans="1:151" s="171" customFormat="1" ht="38.25" x14ac:dyDescent="0.2">
      <c r="A2279" s="242">
        <v>40527</v>
      </c>
      <c r="B2279" s="222" t="s">
        <v>832</v>
      </c>
      <c r="C2279" s="222" t="s">
        <v>3874</v>
      </c>
      <c r="D2279" s="430" t="s">
        <v>2209</v>
      </c>
      <c r="E2279" s="107" t="str">
        <f>VLOOKUP(B2279&amp;C2279,Divipola!$C$2:$F$1138,4,FALSE)</f>
        <v>86571</v>
      </c>
      <c r="F2279" s="333"/>
      <c r="G2279" s="221"/>
      <c r="H2279" s="157"/>
      <c r="I2279" s="157"/>
      <c r="J2279" s="157">
        <f>37*5</f>
        <v>185</v>
      </c>
      <c r="K2279" s="157">
        <v>37</v>
      </c>
      <c r="L2279" s="157"/>
      <c r="M2279" s="157">
        <v>37</v>
      </c>
      <c r="N2279" s="157"/>
      <c r="O2279" s="157"/>
      <c r="P2279" s="157"/>
      <c r="Q2279" s="157"/>
      <c r="R2279" s="157"/>
      <c r="S2279" s="157"/>
      <c r="T2279" s="157"/>
      <c r="U2279" s="157"/>
      <c r="V2279" s="158"/>
      <c r="W2279" s="182"/>
      <c r="X2279" s="1"/>
      <c r="Y2279" s="78">
        <f t="shared" si="278"/>
        <v>0</v>
      </c>
      <c r="Z2279" s="78">
        <f t="shared" si="279"/>
        <v>0</v>
      </c>
      <c r="AA2279" s="78">
        <f t="shared" si="277"/>
        <v>0</v>
      </c>
      <c r="AB2279" s="78">
        <f t="shared" si="280"/>
        <v>0</v>
      </c>
      <c r="AC2279" s="78"/>
      <c r="AD2279" s="78">
        <v>0</v>
      </c>
      <c r="AE2279" s="80">
        <f t="shared" si="283"/>
        <v>0</v>
      </c>
      <c r="AF2279" s="82">
        <v>0</v>
      </c>
      <c r="AG2279" s="69">
        <v>40616</v>
      </c>
      <c r="AH2279" s="84"/>
      <c r="AI2279" s="69" t="s">
        <v>1984</v>
      </c>
      <c r="AJ2279" s="25" t="s">
        <v>1985</v>
      </c>
      <c r="AK2279" s="65"/>
      <c r="AL2279" s="176" t="s">
        <v>1257</v>
      </c>
      <c r="AM2279" s="173" t="s">
        <v>457</v>
      </c>
      <c r="AN2279" s="159"/>
      <c r="AO2279" s="160"/>
      <c r="AP2279" s="161"/>
      <c r="AQ2279" s="160"/>
      <c r="AR2279" s="160"/>
      <c r="AS2279" s="160"/>
      <c r="AT2279" s="160"/>
      <c r="AU2279" s="160"/>
      <c r="AV2279" s="160"/>
      <c r="AW2279" s="160"/>
      <c r="AX2279" s="160"/>
      <c r="AY2279" s="160"/>
      <c r="AZ2279" s="160"/>
      <c r="BA2279" s="160"/>
      <c r="BB2279" s="160"/>
      <c r="BC2279" s="160"/>
      <c r="BD2279" s="160"/>
      <c r="BE2279" s="160"/>
      <c r="BF2279" s="160"/>
      <c r="BG2279" s="160"/>
      <c r="BH2279" s="160"/>
      <c r="BI2279" s="160"/>
      <c r="BJ2279" s="160"/>
      <c r="BK2279" s="160"/>
      <c r="BL2279" s="160"/>
      <c r="BM2279" s="160"/>
      <c r="BN2279" s="160"/>
      <c r="BO2279" s="160"/>
      <c r="BP2279" s="160"/>
      <c r="BQ2279" s="160"/>
      <c r="BR2279" s="160"/>
      <c r="BS2279" s="160"/>
      <c r="BT2279" s="160"/>
      <c r="BU2279" s="160"/>
      <c r="BV2279" s="160"/>
      <c r="BW2279" s="160"/>
      <c r="BX2279" s="160"/>
      <c r="BY2279" s="160"/>
      <c r="BZ2279" s="160"/>
      <c r="CA2279" s="160"/>
      <c r="CB2279" s="160"/>
      <c r="CC2279" s="160"/>
      <c r="CD2279" s="160"/>
      <c r="CE2279" s="160"/>
      <c r="CF2279" s="160"/>
      <c r="CG2279" s="160"/>
      <c r="CH2279" s="160"/>
      <c r="CI2279" s="160"/>
      <c r="CJ2279" s="160"/>
      <c r="CK2279" s="160"/>
      <c r="CL2279" s="160"/>
      <c r="CM2279" s="160"/>
      <c r="CN2279" s="160"/>
      <c r="CO2279" s="160"/>
      <c r="CP2279" s="162"/>
      <c r="CQ2279" s="163"/>
      <c r="CR2279" s="162"/>
      <c r="CS2279" s="163"/>
      <c r="CT2279" s="162"/>
      <c r="CU2279" s="163"/>
      <c r="CV2279" s="164">
        <f t="shared" si="281"/>
        <v>0</v>
      </c>
      <c r="CW2279" s="165"/>
      <c r="CX2279" s="166"/>
      <c r="CY2279" s="167"/>
      <c r="CZ2279" s="168"/>
      <c r="DA2279" s="169"/>
      <c r="DB2279" s="168"/>
      <c r="DC2279" s="165"/>
      <c r="DD2279" s="166"/>
      <c r="DE2279" s="71"/>
      <c r="DF2279" s="170"/>
      <c r="EO2279" s="375" t="str">
        <f t="shared" si="282"/>
        <v>PUTUMAYO_PUERTO GUZMAN</v>
      </c>
      <c r="EP2279" s="376"/>
      <c r="EQ2279" s="376"/>
      <c r="ER2279" s="377"/>
      <c r="ES2279" s="376"/>
      <c r="ET2279" s="376"/>
      <c r="EU2279" s="376"/>
    </row>
    <row r="2280" spans="1:151" s="171" customFormat="1" ht="38.25" x14ac:dyDescent="0.2">
      <c r="A2280" s="242">
        <v>40527</v>
      </c>
      <c r="B2280" s="222" t="s">
        <v>832</v>
      </c>
      <c r="C2280" s="222" t="s">
        <v>353</v>
      </c>
      <c r="D2280" s="430" t="s">
        <v>2209</v>
      </c>
      <c r="E2280" s="107" t="str">
        <f>VLOOKUP(B2280&amp;C2280,Divipola!$C$2:$F$1138,4,FALSE)</f>
        <v>86757</v>
      </c>
      <c r="F2280" s="333"/>
      <c r="G2280" s="221"/>
      <c r="H2280" s="157"/>
      <c r="I2280" s="157"/>
      <c r="J2280" s="157">
        <f>29*5</f>
        <v>145</v>
      </c>
      <c r="K2280" s="157">
        <v>29</v>
      </c>
      <c r="L2280" s="157"/>
      <c r="M2280" s="157">
        <v>29</v>
      </c>
      <c r="N2280" s="157"/>
      <c r="O2280" s="157"/>
      <c r="P2280" s="157"/>
      <c r="Q2280" s="157"/>
      <c r="R2280" s="157"/>
      <c r="S2280" s="157"/>
      <c r="T2280" s="157"/>
      <c r="U2280" s="157"/>
      <c r="V2280" s="158"/>
      <c r="W2280" s="182"/>
      <c r="X2280" s="1"/>
      <c r="Y2280" s="78">
        <f t="shared" si="278"/>
        <v>0</v>
      </c>
      <c r="Z2280" s="78">
        <f t="shared" si="279"/>
        <v>0</v>
      </c>
      <c r="AA2280" s="78">
        <f t="shared" si="277"/>
        <v>0</v>
      </c>
      <c r="AB2280" s="78">
        <f t="shared" si="280"/>
        <v>0</v>
      </c>
      <c r="AC2280" s="78"/>
      <c r="AD2280" s="78">
        <v>0</v>
      </c>
      <c r="AE2280" s="80">
        <f t="shared" si="283"/>
        <v>0</v>
      </c>
      <c r="AF2280" s="82">
        <v>0</v>
      </c>
      <c r="AG2280" s="69">
        <v>40616</v>
      </c>
      <c r="AH2280" s="84"/>
      <c r="AI2280" s="69" t="s">
        <v>1984</v>
      </c>
      <c r="AJ2280" s="25" t="s">
        <v>1985</v>
      </c>
      <c r="AK2280" s="65"/>
      <c r="AL2280" s="176" t="s">
        <v>1257</v>
      </c>
      <c r="AM2280" s="173" t="s">
        <v>457</v>
      </c>
      <c r="AN2280" s="159"/>
      <c r="AO2280" s="160"/>
      <c r="AP2280" s="161"/>
      <c r="AQ2280" s="160"/>
      <c r="AR2280" s="160"/>
      <c r="AS2280" s="160"/>
      <c r="AT2280" s="160"/>
      <c r="AU2280" s="160"/>
      <c r="AV2280" s="160"/>
      <c r="AW2280" s="160"/>
      <c r="AX2280" s="160"/>
      <c r="AY2280" s="160"/>
      <c r="AZ2280" s="160"/>
      <c r="BA2280" s="160"/>
      <c r="BB2280" s="160"/>
      <c r="BC2280" s="160"/>
      <c r="BD2280" s="160"/>
      <c r="BE2280" s="160"/>
      <c r="BF2280" s="160"/>
      <c r="BG2280" s="160"/>
      <c r="BH2280" s="160"/>
      <c r="BI2280" s="160"/>
      <c r="BJ2280" s="160"/>
      <c r="BK2280" s="160"/>
      <c r="BL2280" s="160"/>
      <c r="BM2280" s="160"/>
      <c r="BN2280" s="160"/>
      <c r="BO2280" s="160"/>
      <c r="BP2280" s="160"/>
      <c r="BQ2280" s="160"/>
      <c r="BR2280" s="160"/>
      <c r="BS2280" s="160"/>
      <c r="BT2280" s="160"/>
      <c r="BU2280" s="160"/>
      <c r="BV2280" s="160"/>
      <c r="BW2280" s="160"/>
      <c r="BX2280" s="160"/>
      <c r="BY2280" s="160"/>
      <c r="BZ2280" s="160"/>
      <c r="CA2280" s="160"/>
      <c r="CB2280" s="160"/>
      <c r="CC2280" s="160"/>
      <c r="CD2280" s="160"/>
      <c r="CE2280" s="160"/>
      <c r="CF2280" s="160"/>
      <c r="CG2280" s="160"/>
      <c r="CH2280" s="160"/>
      <c r="CI2280" s="160"/>
      <c r="CJ2280" s="160"/>
      <c r="CK2280" s="160"/>
      <c r="CL2280" s="160"/>
      <c r="CM2280" s="160"/>
      <c r="CN2280" s="160"/>
      <c r="CO2280" s="160"/>
      <c r="CP2280" s="162"/>
      <c r="CQ2280" s="163"/>
      <c r="CR2280" s="162"/>
      <c r="CS2280" s="163"/>
      <c r="CT2280" s="162"/>
      <c r="CU2280" s="163"/>
      <c r="CV2280" s="164">
        <f t="shared" si="281"/>
        <v>0</v>
      </c>
      <c r="CW2280" s="165"/>
      <c r="CX2280" s="166"/>
      <c r="CY2280" s="167"/>
      <c r="CZ2280" s="168"/>
      <c r="DA2280" s="169"/>
      <c r="DB2280" s="168"/>
      <c r="DC2280" s="165"/>
      <c r="DD2280" s="166"/>
      <c r="DE2280" s="71"/>
      <c r="DF2280" s="170"/>
      <c r="EO2280" s="375" t="str">
        <f t="shared" si="282"/>
        <v>PUTUMAYO_SAN MIGUEL</v>
      </c>
      <c r="EP2280" s="376"/>
      <c r="EQ2280" s="376"/>
      <c r="ER2280" s="377"/>
      <c r="ES2280" s="376"/>
      <c r="ET2280" s="376"/>
      <c r="EU2280" s="376"/>
    </row>
    <row r="2281" spans="1:151" s="171" customFormat="1" ht="38.25" x14ac:dyDescent="0.2">
      <c r="A2281" s="242">
        <v>40527</v>
      </c>
      <c r="B2281" s="222" t="s">
        <v>2012</v>
      </c>
      <c r="C2281" s="222" t="s">
        <v>2183</v>
      </c>
      <c r="D2281" s="430" t="s">
        <v>2307</v>
      </c>
      <c r="E2281" s="107" t="str">
        <f>VLOOKUP(B2281&amp;C2281,Divipola!$C$2:$F$1138,4,FALSE)</f>
        <v>66088</v>
      </c>
      <c r="F2281" s="333"/>
      <c r="G2281" s="221"/>
      <c r="H2281" s="157"/>
      <c r="I2281" s="157"/>
      <c r="J2281" s="157">
        <v>50</v>
      </c>
      <c r="K2281" s="157">
        <v>10</v>
      </c>
      <c r="L2281" s="157"/>
      <c r="M2281" s="157">
        <v>10</v>
      </c>
      <c r="N2281" s="157"/>
      <c r="O2281" s="157"/>
      <c r="P2281" s="157"/>
      <c r="Q2281" s="157"/>
      <c r="R2281" s="157"/>
      <c r="S2281" s="157"/>
      <c r="T2281" s="157">
        <v>2</v>
      </c>
      <c r="U2281" s="157"/>
      <c r="V2281" s="158"/>
      <c r="W2281" s="182"/>
      <c r="X2281" s="1">
        <v>40536</v>
      </c>
      <c r="Y2281" s="78">
        <f t="shared" si="278"/>
        <v>0</v>
      </c>
      <c r="Z2281" s="78">
        <f t="shared" si="279"/>
        <v>0</v>
      </c>
      <c r="AA2281" s="78">
        <f t="shared" si="277"/>
        <v>0</v>
      </c>
      <c r="AB2281" s="78">
        <f t="shared" si="280"/>
        <v>0</v>
      </c>
      <c r="AC2281" s="78"/>
      <c r="AD2281" s="78">
        <v>68300000</v>
      </c>
      <c r="AE2281" s="80">
        <f t="shared" si="283"/>
        <v>68300000</v>
      </c>
      <c r="AF2281" s="82">
        <v>0</v>
      </c>
      <c r="AG2281" s="69"/>
      <c r="AH2281" s="84"/>
      <c r="AI2281" s="69" t="s">
        <v>2009</v>
      </c>
      <c r="AJ2281" s="25" t="s">
        <v>2010</v>
      </c>
      <c r="AK2281" s="65">
        <v>522</v>
      </c>
      <c r="AL2281" s="176"/>
      <c r="AM2281" s="177" t="s">
        <v>3860</v>
      </c>
      <c r="AN2281" s="159"/>
      <c r="AO2281" s="160"/>
      <c r="AP2281" s="161"/>
      <c r="AQ2281" s="160"/>
      <c r="AR2281" s="160"/>
      <c r="AS2281" s="160"/>
      <c r="AT2281" s="160"/>
      <c r="AU2281" s="160"/>
      <c r="AV2281" s="160"/>
      <c r="AW2281" s="160"/>
      <c r="AX2281" s="160"/>
      <c r="AY2281" s="160"/>
      <c r="AZ2281" s="160"/>
      <c r="BA2281" s="160"/>
      <c r="BB2281" s="160"/>
      <c r="BC2281" s="160"/>
      <c r="BD2281" s="160"/>
      <c r="BE2281" s="160"/>
      <c r="BF2281" s="160"/>
      <c r="BG2281" s="160"/>
      <c r="BH2281" s="160"/>
      <c r="BI2281" s="160"/>
      <c r="BJ2281" s="160"/>
      <c r="BK2281" s="160"/>
      <c r="BL2281" s="160"/>
      <c r="BM2281" s="160"/>
      <c r="BN2281" s="160"/>
      <c r="BO2281" s="160"/>
      <c r="BP2281" s="160"/>
      <c r="BQ2281" s="160"/>
      <c r="BR2281" s="160"/>
      <c r="BS2281" s="160"/>
      <c r="BT2281" s="160"/>
      <c r="BU2281" s="160"/>
      <c r="BV2281" s="160"/>
      <c r="BW2281" s="160"/>
      <c r="BX2281" s="160"/>
      <c r="BY2281" s="160"/>
      <c r="BZ2281" s="160"/>
      <c r="CA2281" s="160"/>
      <c r="CB2281" s="160"/>
      <c r="CC2281" s="160"/>
      <c r="CD2281" s="160"/>
      <c r="CE2281" s="160"/>
      <c r="CF2281" s="160"/>
      <c r="CG2281" s="160"/>
      <c r="CH2281" s="160"/>
      <c r="CI2281" s="160"/>
      <c r="CJ2281" s="160"/>
      <c r="CK2281" s="160"/>
      <c r="CL2281" s="160"/>
      <c r="CM2281" s="160"/>
      <c r="CN2281" s="160"/>
      <c r="CO2281" s="160"/>
      <c r="CP2281" s="162"/>
      <c r="CQ2281" s="163"/>
      <c r="CR2281" s="162"/>
      <c r="CS2281" s="163"/>
      <c r="CT2281" s="162"/>
      <c r="CU2281" s="163"/>
      <c r="CV2281" s="164">
        <f t="shared" si="281"/>
        <v>0</v>
      </c>
      <c r="CW2281" s="165"/>
      <c r="CX2281" s="166"/>
      <c r="CY2281" s="167"/>
      <c r="CZ2281" s="168"/>
      <c r="DA2281" s="169"/>
      <c r="DB2281" s="168"/>
      <c r="DC2281" s="165"/>
      <c r="DD2281" s="166"/>
      <c r="DE2281" s="71"/>
      <c r="DF2281" s="170"/>
      <c r="EO2281" s="375" t="str">
        <f t="shared" si="282"/>
        <v>RISARALDA_BELEN DE UMBRIA</v>
      </c>
      <c r="EP2281" s="376"/>
      <c r="EQ2281" s="376"/>
      <c r="ER2281" s="377"/>
      <c r="ES2281" s="376"/>
      <c r="ET2281" s="376"/>
      <c r="EU2281" s="376"/>
    </row>
    <row r="2282" spans="1:151" s="171" customFormat="1" ht="38.25" x14ac:dyDescent="0.2">
      <c r="A2282" s="242">
        <v>40527</v>
      </c>
      <c r="B2282" s="222" t="s">
        <v>2012</v>
      </c>
      <c r="C2282" s="222" t="s">
        <v>313</v>
      </c>
      <c r="D2282" s="430" t="s">
        <v>2307</v>
      </c>
      <c r="E2282" s="107" t="str">
        <f>VLOOKUP(B2282&amp;C2282,Divipola!$C$2:$F$1138,4,FALSE)</f>
        <v>66572</v>
      </c>
      <c r="F2282" s="333"/>
      <c r="G2282" s="221"/>
      <c r="H2282" s="157"/>
      <c r="I2282" s="157"/>
      <c r="J2282" s="157">
        <f>16*5</f>
        <v>80</v>
      </c>
      <c r="K2282" s="157">
        <v>16</v>
      </c>
      <c r="L2282" s="157"/>
      <c r="M2282" s="157"/>
      <c r="N2282" s="157"/>
      <c r="O2282" s="157"/>
      <c r="P2282" s="157"/>
      <c r="Q2282" s="157">
        <v>6</v>
      </c>
      <c r="R2282" s="157"/>
      <c r="S2282" s="157"/>
      <c r="T2282" s="157">
        <v>3</v>
      </c>
      <c r="U2282" s="157"/>
      <c r="V2282" s="158">
        <v>38</v>
      </c>
      <c r="W2282" s="182" t="s">
        <v>469</v>
      </c>
      <c r="X2282" s="1"/>
      <c r="Y2282" s="78">
        <f t="shared" si="278"/>
        <v>0</v>
      </c>
      <c r="Z2282" s="78">
        <f t="shared" si="279"/>
        <v>0</v>
      </c>
      <c r="AA2282" s="78">
        <f t="shared" si="277"/>
        <v>0</v>
      </c>
      <c r="AB2282" s="78">
        <f t="shared" si="280"/>
        <v>0</v>
      </c>
      <c r="AC2282" s="78"/>
      <c r="AD2282" s="78">
        <v>0</v>
      </c>
      <c r="AE2282" s="80">
        <f t="shared" si="283"/>
        <v>0</v>
      </c>
      <c r="AF2282" s="82">
        <v>0</v>
      </c>
      <c r="AG2282" s="69">
        <v>40527</v>
      </c>
      <c r="AH2282" s="84"/>
      <c r="AI2282" s="69" t="s">
        <v>1984</v>
      </c>
      <c r="AJ2282" s="25" t="s">
        <v>1985</v>
      </c>
      <c r="AK2282" s="65"/>
      <c r="AL2282" s="176" t="s">
        <v>1257</v>
      </c>
      <c r="AM2282" s="173" t="s">
        <v>314</v>
      </c>
      <c r="AN2282" s="159"/>
      <c r="AO2282" s="160"/>
      <c r="AP2282" s="161"/>
      <c r="AQ2282" s="160"/>
      <c r="AR2282" s="160"/>
      <c r="AS2282" s="160"/>
      <c r="AT2282" s="160"/>
      <c r="AU2282" s="160"/>
      <c r="AV2282" s="160"/>
      <c r="AW2282" s="160"/>
      <c r="AX2282" s="160"/>
      <c r="AY2282" s="160"/>
      <c r="AZ2282" s="160"/>
      <c r="BA2282" s="160"/>
      <c r="BB2282" s="160"/>
      <c r="BC2282" s="160"/>
      <c r="BD2282" s="160"/>
      <c r="BE2282" s="160"/>
      <c r="BF2282" s="160"/>
      <c r="BG2282" s="160"/>
      <c r="BH2282" s="160"/>
      <c r="BI2282" s="160"/>
      <c r="BJ2282" s="160"/>
      <c r="BK2282" s="160"/>
      <c r="BL2282" s="160"/>
      <c r="BM2282" s="160"/>
      <c r="BN2282" s="160"/>
      <c r="BO2282" s="160"/>
      <c r="BP2282" s="160"/>
      <c r="BQ2282" s="160"/>
      <c r="BR2282" s="160"/>
      <c r="BS2282" s="160"/>
      <c r="BT2282" s="160"/>
      <c r="BU2282" s="160"/>
      <c r="BV2282" s="160"/>
      <c r="BW2282" s="160"/>
      <c r="BX2282" s="160"/>
      <c r="BY2282" s="160"/>
      <c r="BZ2282" s="160"/>
      <c r="CA2282" s="160"/>
      <c r="CB2282" s="160"/>
      <c r="CC2282" s="160"/>
      <c r="CD2282" s="160"/>
      <c r="CE2282" s="160"/>
      <c r="CF2282" s="160"/>
      <c r="CG2282" s="160"/>
      <c r="CH2282" s="160"/>
      <c r="CI2282" s="160"/>
      <c r="CJ2282" s="160"/>
      <c r="CK2282" s="160"/>
      <c r="CL2282" s="160"/>
      <c r="CM2282" s="160"/>
      <c r="CN2282" s="160"/>
      <c r="CO2282" s="160"/>
      <c r="CP2282" s="162"/>
      <c r="CQ2282" s="163"/>
      <c r="CR2282" s="162"/>
      <c r="CS2282" s="163"/>
      <c r="CT2282" s="162"/>
      <c r="CU2282" s="163"/>
      <c r="CV2282" s="164">
        <f t="shared" si="281"/>
        <v>0</v>
      </c>
      <c r="CW2282" s="165"/>
      <c r="CX2282" s="166"/>
      <c r="CY2282" s="167"/>
      <c r="CZ2282" s="168"/>
      <c r="DA2282" s="169"/>
      <c r="DB2282" s="168"/>
      <c r="DC2282" s="165"/>
      <c r="DD2282" s="166"/>
      <c r="DE2282" s="71"/>
      <c r="DF2282" s="170"/>
      <c r="EO2282" s="375" t="str">
        <f t="shared" si="282"/>
        <v>RISARALDA_PUEBLO RICO</v>
      </c>
      <c r="EP2282" s="376"/>
      <c r="EQ2282" s="376"/>
      <c r="ER2282" s="377"/>
      <c r="ES2282" s="376"/>
      <c r="ET2282" s="376"/>
      <c r="EU2282" s="376"/>
    </row>
    <row r="2283" spans="1:151" s="171" customFormat="1" ht="38.25" x14ac:dyDescent="0.2">
      <c r="A2283" s="242">
        <v>40527</v>
      </c>
      <c r="B2283" s="222" t="s">
        <v>2012</v>
      </c>
      <c r="C2283" s="222" t="s">
        <v>1938</v>
      </c>
      <c r="D2283" s="430" t="s">
        <v>2307</v>
      </c>
      <c r="E2283" s="107" t="str">
        <f>VLOOKUP(B2283&amp;C2283,Divipola!$C$2:$F$1138,4,FALSE)</f>
        <v>66687</v>
      </c>
      <c r="F2283" s="333"/>
      <c r="G2283" s="221"/>
      <c r="H2283" s="157"/>
      <c r="I2283" s="157"/>
      <c r="J2283" s="157">
        <v>25</v>
      </c>
      <c r="K2283" s="157">
        <v>5</v>
      </c>
      <c r="L2283" s="157">
        <v>5</v>
      </c>
      <c r="M2283" s="157"/>
      <c r="N2283" s="157"/>
      <c r="O2283" s="157"/>
      <c r="P2283" s="157"/>
      <c r="Q2283" s="157"/>
      <c r="R2283" s="157"/>
      <c r="S2283" s="157"/>
      <c r="T2283" s="157"/>
      <c r="U2283" s="157"/>
      <c r="V2283" s="158"/>
      <c r="W2283" s="182"/>
      <c r="X2283" s="1"/>
      <c r="Y2283" s="78">
        <f t="shared" si="278"/>
        <v>0</v>
      </c>
      <c r="Z2283" s="78">
        <f t="shared" si="279"/>
        <v>0</v>
      </c>
      <c r="AA2283" s="78">
        <f t="shared" si="277"/>
        <v>0</v>
      </c>
      <c r="AB2283" s="78">
        <f t="shared" si="280"/>
        <v>0</v>
      </c>
      <c r="AC2283" s="78"/>
      <c r="AD2283" s="78">
        <v>0</v>
      </c>
      <c r="AE2283" s="80">
        <f t="shared" si="283"/>
        <v>0</v>
      </c>
      <c r="AF2283" s="82">
        <v>0</v>
      </c>
      <c r="AG2283" s="69">
        <v>40527</v>
      </c>
      <c r="AH2283" s="84"/>
      <c r="AI2283" s="69" t="s">
        <v>1984</v>
      </c>
      <c r="AJ2283" s="25" t="s">
        <v>1985</v>
      </c>
      <c r="AK2283" s="65"/>
      <c r="AL2283" s="176" t="s">
        <v>1257</v>
      </c>
      <c r="AM2283" s="173" t="s">
        <v>60</v>
      </c>
      <c r="AN2283" s="159"/>
      <c r="AO2283" s="160"/>
      <c r="AP2283" s="161"/>
      <c r="AQ2283" s="160"/>
      <c r="AR2283" s="160"/>
      <c r="AS2283" s="160"/>
      <c r="AT2283" s="160"/>
      <c r="AU2283" s="160"/>
      <c r="AV2283" s="160"/>
      <c r="AW2283" s="160"/>
      <c r="AX2283" s="160"/>
      <c r="AY2283" s="160"/>
      <c r="AZ2283" s="160"/>
      <c r="BA2283" s="160"/>
      <c r="BB2283" s="160"/>
      <c r="BC2283" s="160"/>
      <c r="BD2283" s="160"/>
      <c r="BE2283" s="160"/>
      <c r="BF2283" s="160"/>
      <c r="BG2283" s="160"/>
      <c r="BH2283" s="160"/>
      <c r="BI2283" s="160"/>
      <c r="BJ2283" s="160"/>
      <c r="BK2283" s="160"/>
      <c r="BL2283" s="160"/>
      <c r="BM2283" s="160"/>
      <c r="BN2283" s="160"/>
      <c r="BO2283" s="160"/>
      <c r="BP2283" s="160"/>
      <c r="BQ2283" s="160"/>
      <c r="BR2283" s="160"/>
      <c r="BS2283" s="160"/>
      <c r="BT2283" s="160"/>
      <c r="BU2283" s="160"/>
      <c r="BV2283" s="160"/>
      <c r="BW2283" s="160"/>
      <c r="BX2283" s="160"/>
      <c r="BY2283" s="160"/>
      <c r="BZ2283" s="160"/>
      <c r="CA2283" s="160"/>
      <c r="CB2283" s="160"/>
      <c r="CC2283" s="160"/>
      <c r="CD2283" s="160"/>
      <c r="CE2283" s="160"/>
      <c r="CF2283" s="160"/>
      <c r="CG2283" s="160"/>
      <c r="CH2283" s="160"/>
      <c r="CI2283" s="160"/>
      <c r="CJ2283" s="160"/>
      <c r="CK2283" s="160"/>
      <c r="CL2283" s="160"/>
      <c r="CM2283" s="160"/>
      <c r="CN2283" s="160"/>
      <c r="CO2283" s="160"/>
      <c r="CP2283" s="162"/>
      <c r="CQ2283" s="163"/>
      <c r="CR2283" s="162"/>
      <c r="CS2283" s="163"/>
      <c r="CT2283" s="162"/>
      <c r="CU2283" s="163"/>
      <c r="CV2283" s="164">
        <f t="shared" si="281"/>
        <v>0</v>
      </c>
      <c r="CW2283" s="165"/>
      <c r="CX2283" s="166"/>
      <c r="CY2283" s="167"/>
      <c r="CZ2283" s="168"/>
      <c r="DA2283" s="169"/>
      <c r="DB2283" s="168"/>
      <c r="DC2283" s="165"/>
      <c r="DD2283" s="166"/>
      <c r="DE2283" s="71"/>
      <c r="DF2283" s="170"/>
      <c r="EO2283" s="375" t="str">
        <f t="shared" si="282"/>
        <v>RISARALDA_SANTUARIO</v>
      </c>
      <c r="EP2283" s="376"/>
      <c r="EQ2283" s="376"/>
      <c r="ER2283" s="377"/>
      <c r="ES2283" s="376"/>
      <c r="ET2283" s="376"/>
      <c r="EU2283" s="376"/>
    </row>
    <row r="2284" spans="1:151" s="171" customFormat="1" ht="38.25" x14ac:dyDescent="0.2">
      <c r="A2284" s="242">
        <v>40527</v>
      </c>
      <c r="B2284" s="222" t="s">
        <v>2427</v>
      </c>
      <c r="C2284" s="222" t="s">
        <v>628</v>
      </c>
      <c r="D2284" s="430" t="s">
        <v>2307</v>
      </c>
      <c r="E2284" s="107" t="str">
        <f>VLOOKUP(B2284&amp;C2284,Divipola!$C$2:$F$1138,4,FALSE)</f>
        <v>68001</v>
      </c>
      <c r="F2284" s="333"/>
      <c r="G2284" s="275"/>
      <c r="H2284" s="157"/>
      <c r="I2284" s="157"/>
      <c r="J2284" s="157"/>
      <c r="K2284" s="157"/>
      <c r="L2284" s="157"/>
      <c r="M2284" s="157"/>
      <c r="N2284" s="157">
        <v>2</v>
      </c>
      <c r="O2284" s="157"/>
      <c r="P2284" s="157"/>
      <c r="Q2284" s="157"/>
      <c r="R2284" s="157"/>
      <c r="S2284" s="157"/>
      <c r="T2284" s="157"/>
      <c r="U2284" s="157"/>
      <c r="V2284" s="158"/>
      <c r="W2284" s="182"/>
      <c r="X2284" s="1"/>
      <c r="Y2284" s="78">
        <f t="shared" si="278"/>
        <v>0</v>
      </c>
      <c r="Z2284" s="78">
        <f t="shared" si="279"/>
        <v>0</v>
      </c>
      <c r="AA2284" s="78">
        <f t="shared" si="277"/>
        <v>0</v>
      </c>
      <c r="AB2284" s="78">
        <f t="shared" si="280"/>
        <v>0</v>
      </c>
      <c r="AC2284" s="78"/>
      <c r="AD2284" s="78">
        <v>0</v>
      </c>
      <c r="AE2284" s="80">
        <f t="shared" si="283"/>
        <v>0</v>
      </c>
      <c r="AF2284" s="82">
        <v>0</v>
      </c>
      <c r="AG2284" s="69"/>
      <c r="AH2284" s="84"/>
      <c r="AI2284" s="69" t="s">
        <v>2009</v>
      </c>
      <c r="AJ2284" s="25" t="s">
        <v>2010</v>
      </c>
      <c r="AK2284" s="65"/>
      <c r="AL2284" s="184" t="s">
        <v>3833</v>
      </c>
      <c r="AM2284" s="173" t="s">
        <v>62</v>
      </c>
      <c r="AN2284" s="159"/>
      <c r="AO2284" s="160"/>
      <c r="AP2284" s="161"/>
      <c r="AQ2284" s="160"/>
      <c r="AR2284" s="160"/>
      <c r="AS2284" s="160"/>
      <c r="AT2284" s="160"/>
      <c r="AU2284" s="160"/>
      <c r="AV2284" s="160"/>
      <c r="AW2284" s="160"/>
      <c r="AX2284" s="160"/>
      <c r="AY2284" s="160"/>
      <c r="AZ2284" s="160"/>
      <c r="BA2284" s="160"/>
      <c r="BB2284" s="160"/>
      <c r="BC2284" s="160"/>
      <c r="BD2284" s="160"/>
      <c r="BE2284" s="160"/>
      <c r="BF2284" s="160"/>
      <c r="BG2284" s="160"/>
      <c r="BH2284" s="160"/>
      <c r="BI2284" s="160"/>
      <c r="BJ2284" s="160"/>
      <c r="BK2284" s="160"/>
      <c r="BL2284" s="160"/>
      <c r="BM2284" s="160"/>
      <c r="BN2284" s="160"/>
      <c r="BO2284" s="160"/>
      <c r="BP2284" s="160"/>
      <c r="BQ2284" s="160"/>
      <c r="BR2284" s="160"/>
      <c r="BS2284" s="160"/>
      <c r="BT2284" s="160"/>
      <c r="BU2284" s="160"/>
      <c r="BV2284" s="160"/>
      <c r="BW2284" s="160"/>
      <c r="BX2284" s="160"/>
      <c r="BY2284" s="160"/>
      <c r="BZ2284" s="160"/>
      <c r="CA2284" s="160"/>
      <c r="CB2284" s="160"/>
      <c r="CC2284" s="160"/>
      <c r="CD2284" s="160"/>
      <c r="CE2284" s="160"/>
      <c r="CF2284" s="160"/>
      <c r="CG2284" s="160"/>
      <c r="CH2284" s="160"/>
      <c r="CI2284" s="160"/>
      <c r="CJ2284" s="160"/>
      <c r="CK2284" s="160"/>
      <c r="CL2284" s="160"/>
      <c r="CM2284" s="160"/>
      <c r="CN2284" s="160"/>
      <c r="CO2284" s="160"/>
      <c r="CP2284" s="162"/>
      <c r="CQ2284" s="163"/>
      <c r="CR2284" s="162"/>
      <c r="CS2284" s="163"/>
      <c r="CT2284" s="162"/>
      <c r="CU2284" s="163"/>
      <c r="CV2284" s="164">
        <f t="shared" si="281"/>
        <v>0</v>
      </c>
      <c r="CW2284" s="165"/>
      <c r="CX2284" s="166"/>
      <c r="CY2284" s="167"/>
      <c r="CZ2284" s="168"/>
      <c r="DA2284" s="169"/>
      <c r="DB2284" s="168"/>
      <c r="DC2284" s="165"/>
      <c r="DD2284" s="166"/>
      <c r="DE2284" s="71"/>
      <c r="DF2284" s="170"/>
      <c r="EO2284" s="375" t="str">
        <f t="shared" si="282"/>
        <v>SANTANDER_BUCARAMANGA</v>
      </c>
      <c r="EP2284" s="376"/>
      <c r="EQ2284" s="376"/>
      <c r="ER2284" s="377"/>
      <c r="ES2284" s="376"/>
      <c r="ET2284" s="376"/>
      <c r="EU2284" s="376"/>
    </row>
    <row r="2285" spans="1:151" s="171" customFormat="1" ht="38.25" x14ac:dyDescent="0.2">
      <c r="A2285" s="242">
        <v>40527</v>
      </c>
      <c r="B2285" s="222" t="s">
        <v>2427</v>
      </c>
      <c r="C2285" s="222" t="s">
        <v>1383</v>
      </c>
      <c r="D2285" s="430" t="s">
        <v>837</v>
      </c>
      <c r="E2285" s="107" t="str">
        <f>VLOOKUP(B2285&amp;C2285,Divipola!$C$2:$F$1138,4,FALSE)</f>
        <v>68121</v>
      </c>
      <c r="F2285" s="333"/>
      <c r="G2285" s="221"/>
      <c r="H2285" s="157"/>
      <c r="I2285" s="157"/>
      <c r="J2285" s="157">
        <v>120</v>
      </c>
      <c r="K2285" s="157">
        <v>30</v>
      </c>
      <c r="L2285" s="157"/>
      <c r="M2285" s="157"/>
      <c r="N2285" s="157"/>
      <c r="O2285" s="157"/>
      <c r="P2285" s="157"/>
      <c r="Q2285" s="157"/>
      <c r="R2285" s="157"/>
      <c r="S2285" s="157"/>
      <c r="T2285" s="157"/>
      <c r="U2285" s="157"/>
      <c r="V2285" s="158"/>
      <c r="W2285" s="182"/>
      <c r="X2285" s="1"/>
      <c r="Y2285" s="78">
        <f t="shared" si="278"/>
        <v>0</v>
      </c>
      <c r="Z2285" s="78">
        <f t="shared" si="279"/>
        <v>0</v>
      </c>
      <c r="AA2285" s="78">
        <f t="shared" si="277"/>
        <v>0</v>
      </c>
      <c r="AB2285" s="78">
        <f t="shared" si="280"/>
        <v>0</v>
      </c>
      <c r="AC2285" s="78"/>
      <c r="AD2285" s="78">
        <v>0</v>
      </c>
      <c r="AE2285" s="80">
        <f t="shared" si="283"/>
        <v>0</v>
      </c>
      <c r="AF2285" s="82">
        <v>0</v>
      </c>
      <c r="AG2285" s="69">
        <v>40624</v>
      </c>
      <c r="AH2285" s="84"/>
      <c r="AI2285" s="69" t="s">
        <v>1984</v>
      </c>
      <c r="AJ2285" s="25" t="s">
        <v>1985</v>
      </c>
      <c r="AK2285" s="65"/>
      <c r="AL2285" s="176" t="s">
        <v>1257</v>
      </c>
      <c r="AM2285" s="173" t="s">
        <v>457</v>
      </c>
      <c r="AN2285" s="159"/>
      <c r="AO2285" s="160"/>
      <c r="AP2285" s="161"/>
      <c r="AQ2285" s="160"/>
      <c r="AR2285" s="160"/>
      <c r="AS2285" s="160"/>
      <c r="AT2285" s="160"/>
      <c r="AU2285" s="160"/>
      <c r="AV2285" s="160"/>
      <c r="AW2285" s="160"/>
      <c r="AX2285" s="160"/>
      <c r="AY2285" s="160"/>
      <c r="AZ2285" s="160"/>
      <c r="BA2285" s="160"/>
      <c r="BB2285" s="160"/>
      <c r="BC2285" s="160"/>
      <c r="BD2285" s="160"/>
      <c r="BE2285" s="160"/>
      <c r="BF2285" s="160"/>
      <c r="BG2285" s="160"/>
      <c r="BH2285" s="160"/>
      <c r="BI2285" s="160"/>
      <c r="BJ2285" s="160"/>
      <c r="BK2285" s="160"/>
      <c r="BL2285" s="160"/>
      <c r="BM2285" s="160"/>
      <c r="BN2285" s="160"/>
      <c r="BO2285" s="160"/>
      <c r="BP2285" s="160"/>
      <c r="BQ2285" s="160"/>
      <c r="BR2285" s="160"/>
      <c r="BS2285" s="160"/>
      <c r="BT2285" s="160"/>
      <c r="BU2285" s="160"/>
      <c r="BV2285" s="160"/>
      <c r="BW2285" s="160"/>
      <c r="BX2285" s="160"/>
      <c r="BY2285" s="160"/>
      <c r="BZ2285" s="160"/>
      <c r="CA2285" s="160"/>
      <c r="CB2285" s="160"/>
      <c r="CC2285" s="160"/>
      <c r="CD2285" s="160"/>
      <c r="CE2285" s="160"/>
      <c r="CF2285" s="160"/>
      <c r="CG2285" s="160"/>
      <c r="CH2285" s="160"/>
      <c r="CI2285" s="160"/>
      <c r="CJ2285" s="160"/>
      <c r="CK2285" s="160"/>
      <c r="CL2285" s="160"/>
      <c r="CM2285" s="160"/>
      <c r="CN2285" s="160"/>
      <c r="CO2285" s="160"/>
      <c r="CP2285" s="162"/>
      <c r="CQ2285" s="163"/>
      <c r="CR2285" s="162"/>
      <c r="CS2285" s="163"/>
      <c r="CT2285" s="162"/>
      <c r="CU2285" s="163"/>
      <c r="CV2285" s="164">
        <f t="shared" si="281"/>
        <v>0</v>
      </c>
      <c r="CW2285" s="165"/>
      <c r="CX2285" s="166"/>
      <c r="CY2285" s="167"/>
      <c r="CZ2285" s="168"/>
      <c r="DA2285" s="169"/>
      <c r="DB2285" s="168"/>
      <c r="DC2285" s="165"/>
      <c r="DD2285" s="166"/>
      <c r="DE2285" s="71"/>
      <c r="DF2285" s="170">
        <v>1641</v>
      </c>
      <c r="EO2285" s="375" t="str">
        <f t="shared" si="282"/>
        <v>SANTANDER_CABRERA</v>
      </c>
      <c r="EP2285" s="376"/>
      <c r="EQ2285" s="376"/>
      <c r="ER2285" s="377"/>
      <c r="ES2285" s="376"/>
      <c r="ET2285" s="376"/>
      <c r="EU2285" s="376"/>
    </row>
    <row r="2286" spans="1:151" s="171" customFormat="1" ht="38.25" x14ac:dyDescent="0.2">
      <c r="A2286" s="242">
        <v>40527</v>
      </c>
      <c r="B2286" s="222" t="s">
        <v>2427</v>
      </c>
      <c r="C2286" s="222" t="s">
        <v>337</v>
      </c>
      <c r="D2286" s="430" t="s">
        <v>2307</v>
      </c>
      <c r="E2286" s="107" t="str">
        <f>VLOOKUP(B2286&amp;C2286,Divipola!$C$2:$F$1138,4,FALSE)</f>
        <v>68132</v>
      </c>
      <c r="F2286" s="333"/>
      <c r="G2286" s="275"/>
      <c r="H2286" s="157"/>
      <c r="I2286" s="157"/>
      <c r="J2286" s="157">
        <f>12*5</f>
        <v>60</v>
      </c>
      <c r="K2286" s="157">
        <v>12</v>
      </c>
      <c r="L2286" s="157">
        <v>6</v>
      </c>
      <c r="M2286" s="157">
        <v>6</v>
      </c>
      <c r="N2286" s="157">
        <v>3</v>
      </c>
      <c r="O2286" s="157"/>
      <c r="P2286" s="157"/>
      <c r="Q2286" s="157"/>
      <c r="R2286" s="157"/>
      <c r="S2286" s="157"/>
      <c r="T2286" s="157"/>
      <c r="U2286" s="157"/>
      <c r="V2286" s="158">
        <v>40</v>
      </c>
      <c r="W2286" s="182"/>
      <c r="X2286" s="1"/>
      <c r="Y2286" s="78">
        <f t="shared" si="278"/>
        <v>0</v>
      </c>
      <c r="Z2286" s="78">
        <f t="shared" si="279"/>
        <v>0</v>
      </c>
      <c r="AA2286" s="78">
        <f t="shared" si="277"/>
        <v>0</v>
      </c>
      <c r="AB2286" s="78">
        <f t="shared" si="280"/>
        <v>0</v>
      </c>
      <c r="AC2286" s="78"/>
      <c r="AD2286" s="78">
        <v>0</v>
      </c>
      <c r="AE2286" s="80">
        <f t="shared" si="283"/>
        <v>0</v>
      </c>
      <c r="AF2286" s="82">
        <v>0</v>
      </c>
      <c r="AG2286" s="69">
        <v>40575</v>
      </c>
      <c r="AH2286" s="84"/>
      <c r="AI2286" s="69" t="s">
        <v>1984</v>
      </c>
      <c r="AJ2286" s="25" t="s">
        <v>1985</v>
      </c>
      <c r="AK2286" s="65"/>
      <c r="AL2286" s="176" t="s">
        <v>1257</v>
      </c>
      <c r="AM2286" s="173" t="s">
        <v>349</v>
      </c>
      <c r="AN2286" s="159"/>
      <c r="AO2286" s="160"/>
      <c r="AP2286" s="161"/>
      <c r="AQ2286" s="160"/>
      <c r="AR2286" s="160"/>
      <c r="AS2286" s="160"/>
      <c r="AT2286" s="160"/>
      <c r="AU2286" s="160"/>
      <c r="AV2286" s="160"/>
      <c r="AW2286" s="160"/>
      <c r="AX2286" s="160"/>
      <c r="AY2286" s="160"/>
      <c r="AZ2286" s="160"/>
      <c r="BA2286" s="160"/>
      <c r="BB2286" s="160"/>
      <c r="BC2286" s="160"/>
      <c r="BD2286" s="160"/>
      <c r="BE2286" s="160"/>
      <c r="BF2286" s="160"/>
      <c r="BG2286" s="160"/>
      <c r="BH2286" s="160"/>
      <c r="BI2286" s="160"/>
      <c r="BJ2286" s="160"/>
      <c r="BK2286" s="160"/>
      <c r="BL2286" s="160"/>
      <c r="BM2286" s="160"/>
      <c r="BN2286" s="160"/>
      <c r="BO2286" s="160"/>
      <c r="BP2286" s="160"/>
      <c r="BQ2286" s="160"/>
      <c r="BR2286" s="160"/>
      <c r="BS2286" s="160"/>
      <c r="BT2286" s="160"/>
      <c r="BU2286" s="160"/>
      <c r="BV2286" s="160"/>
      <c r="BW2286" s="160"/>
      <c r="BX2286" s="160"/>
      <c r="BY2286" s="160"/>
      <c r="BZ2286" s="160"/>
      <c r="CA2286" s="160"/>
      <c r="CB2286" s="160"/>
      <c r="CC2286" s="160"/>
      <c r="CD2286" s="160"/>
      <c r="CE2286" s="160"/>
      <c r="CF2286" s="160"/>
      <c r="CG2286" s="160"/>
      <c r="CH2286" s="160"/>
      <c r="CI2286" s="160"/>
      <c r="CJ2286" s="160"/>
      <c r="CK2286" s="160"/>
      <c r="CL2286" s="160"/>
      <c r="CM2286" s="160"/>
      <c r="CN2286" s="160"/>
      <c r="CO2286" s="160"/>
      <c r="CP2286" s="162"/>
      <c r="CQ2286" s="163"/>
      <c r="CR2286" s="162"/>
      <c r="CS2286" s="163"/>
      <c r="CT2286" s="162"/>
      <c r="CU2286" s="163"/>
      <c r="CV2286" s="164">
        <f t="shared" si="281"/>
        <v>0</v>
      </c>
      <c r="CW2286" s="165"/>
      <c r="CX2286" s="166"/>
      <c r="CY2286" s="167"/>
      <c r="CZ2286" s="168"/>
      <c r="DA2286" s="169"/>
      <c r="DB2286" s="168"/>
      <c r="DC2286" s="165"/>
      <c r="DD2286" s="166"/>
      <c r="DE2286" s="71"/>
      <c r="DF2286" s="170"/>
      <c r="EO2286" s="375" t="str">
        <f t="shared" si="282"/>
        <v>SANTANDER_CALIFORNIA</v>
      </c>
      <c r="EP2286" s="376"/>
      <c r="EQ2286" s="376"/>
      <c r="ER2286" s="377"/>
      <c r="ES2286" s="376"/>
      <c r="ET2286" s="376"/>
      <c r="EU2286" s="376"/>
    </row>
    <row r="2287" spans="1:151" s="171" customFormat="1" ht="25.5" x14ac:dyDescent="0.2">
      <c r="A2287" s="242">
        <v>40527</v>
      </c>
      <c r="B2287" s="222" t="s">
        <v>2427</v>
      </c>
      <c r="C2287" s="222" t="s">
        <v>339</v>
      </c>
      <c r="D2287" s="430" t="s">
        <v>2307</v>
      </c>
      <c r="E2287" s="107" t="str">
        <f>VLOOKUP(B2287&amp;C2287,Divipola!$C$2:$F$1138,4,FALSE)</f>
        <v>68179</v>
      </c>
      <c r="F2287" s="333"/>
      <c r="G2287" s="275"/>
      <c r="H2287" s="157"/>
      <c r="I2287" s="157"/>
      <c r="J2287" s="157">
        <f>70*5</f>
        <v>350</v>
      </c>
      <c r="K2287" s="157">
        <v>70</v>
      </c>
      <c r="L2287" s="157"/>
      <c r="M2287" s="157">
        <v>40</v>
      </c>
      <c r="N2287" s="157">
        <v>4</v>
      </c>
      <c r="O2287" s="157">
        <v>1</v>
      </c>
      <c r="P2287" s="157"/>
      <c r="Q2287" s="157">
        <v>1</v>
      </c>
      <c r="R2287" s="157"/>
      <c r="S2287" s="157"/>
      <c r="T2287" s="157">
        <v>1</v>
      </c>
      <c r="U2287" s="157"/>
      <c r="V2287" s="158">
        <v>50</v>
      </c>
      <c r="W2287" s="182"/>
      <c r="X2287" s="1"/>
      <c r="Y2287" s="78">
        <f t="shared" si="278"/>
        <v>0</v>
      </c>
      <c r="Z2287" s="78">
        <f t="shared" si="279"/>
        <v>0</v>
      </c>
      <c r="AA2287" s="78">
        <f t="shared" si="277"/>
        <v>0</v>
      </c>
      <c r="AB2287" s="78">
        <f t="shared" si="280"/>
        <v>0</v>
      </c>
      <c r="AC2287" s="78"/>
      <c r="AD2287" s="78">
        <v>0</v>
      </c>
      <c r="AE2287" s="80">
        <f t="shared" si="283"/>
        <v>0</v>
      </c>
      <c r="AF2287" s="82">
        <v>0</v>
      </c>
      <c r="AG2287" s="69">
        <v>40575</v>
      </c>
      <c r="AH2287" s="84"/>
      <c r="AI2287" s="69" t="s">
        <v>1984</v>
      </c>
      <c r="AJ2287" s="25" t="s">
        <v>1985</v>
      </c>
      <c r="AK2287" s="65"/>
      <c r="AL2287" s="176" t="s">
        <v>1257</v>
      </c>
      <c r="AM2287" s="173" t="s">
        <v>349</v>
      </c>
      <c r="AN2287" s="159"/>
      <c r="AO2287" s="160"/>
      <c r="AP2287" s="161"/>
      <c r="AQ2287" s="160"/>
      <c r="AR2287" s="160"/>
      <c r="AS2287" s="160"/>
      <c r="AT2287" s="160"/>
      <c r="AU2287" s="160"/>
      <c r="AV2287" s="160"/>
      <c r="AW2287" s="160"/>
      <c r="AX2287" s="160"/>
      <c r="AY2287" s="160"/>
      <c r="AZ2287" s="160"/>
      <c r="BA2287" s="160"/>
      <c r="BB2287" s="160"/>
      <c r="BC2287" s="160"/>
      <c r="BD2287" s="160"/>
      <c r="BE2287" s="160"/>
      <c r="BF2287" s="160"/>
      <c r="BG2287" s="160"/>
      <c r="BH2287" s="160"/>
      <c r="BI2287" s="160"/>
      <c r="BJ2287" s="160"/>
      <c r="BK2287" s="160"/>
      <c r="BL2287" s="160"/>
      <c r="BM2287" s="160"/>
      <c r="BN2287" s="160"/>
      <c r="BO2287" s="160"/>
      <c r="BP2287" s="160"/>
      <c r="BQ2287" s="160"/>
      <c r="BR2287" s="160"/>
      <c r="BS2287" s="160"/>
      <c r="BT2287" s="160"/>
      <c r="BU2287" s="160"/>
      <c r="BV2287" s="160"/>
      <c r="BW2287" s="160"/>
      <c r="BX2287" s="160"/>
      <c r="BY2287" s="160"/>
      <c r="BZ2287" s="160"/>
      <c r="CA2287" s="160"/>
      <c r="CB2287" s="160"/>
      <c r="CC2287" s="160"/>
      <c r="CD2287" s="160"/>
      <c r="CE2287" s="160"/>
      <c r="CF2287" s="160"/>
      <c r="CG2287" s="160"/>
      <c r="CH2287" s="160"/>
      <c r="CI2287" s="160"/>
      <c r="CJ2287" s="160"/>
      <c r="CK2287" s="160"/>
      <c r="CL2287" s="160"/>
      <c r="CM2287" s="160"/>
      <c r="CN2287" s="160"/>
      <c r="CO2287" s="160"/>
      <c r="CP2287" s="162"/>
      <c r="CQ2287" s="163"/>
      <c r="CR2287" s="162"/>
      <c r="CS2287" s="163"/>
      <c r="CT2287" s="162"/>
      <c r="CU2287" s="163"/>
      <c r="CV2287" s="164">
        <f t="shared" si="281"/>
        <v>0</v>
      </c>
      <c r="CW2287" s="165"/>
      <c r="CX2287" s="166"/>
      <c r="CY2287" s="167"/>
      <c r="CZ2287" s="168"/>
      <c r="DA2287" s="169"/>
      <c r="DB2287" s="168"/>
      <c r="DC2287" s="165"/>
      <c r="DD2287" s="166"/>
      <c r="DE2287" s="71"/>
      <c r="DF2287" s="170"/>
      <c r="EO2287" s="375" t="str">
        <f t="shared" si="282"/>
        <v>SANTANDER_CHIPATA</v>
      </c>
      <c r="EP2287" s="376"/>
      <c r="EQ2287" s="376"/>
      <c r="ER2287" s="377"/>
      <c r="ES2287" s="376"/>
      <c r="ET2287" s="376"/>
      <c r="EU2287" s="376"/>
    </row>
    <row r="2288" spans="1:151" s="171" customFormat="1" ht="38.25" x14ac:dyDescent="0.2">
      <c r="A2288" s="242">
        <v>40527</v>
      </c>
      <c r="B2288" s="222" t="s">
        <v>2427</v>
      </c>
      <c r="C2288" s="222" t="s">
        <v>338</v>
      </c>
      <c r="D2288" s="430" t="s">
        <v>2307</v>
      </c>
      <c r="E2288" s="107" t="str">
        <f>VLOOKUP(B2288&amp;C2288,Divipola!$C$2:$F$1138,4,FALSE)</f>
        <v>68209</v>
      </c>
      <c r="F2288" s="333"/>
      <c r="G2288" s="275"/>
      <c r="H2288" s="157"/>
      <c r="I2288" s="157"/>
      <c r="J2288" s="157">
        <v>50</v>
      </c>
      <c r="K2288" s="157">
        <v>10</v>
      </c>
      <c r="L2288" s="157">
        <v>1</v>
      </c>
      <c r="M2288" s="157"/>
      <c r="N2288" s="157">
        <v>1</v>
      </c>
      <c r="O2288" s="157">
        <v>1</v>
      </c>
      <c r="P2288" s="157"/>
      <c r="Q2288" s="157"/>
      <c r="R2288" s="157"/>
      <c r="S2288" s="157"/>
      <c r="T2288" s="157">
        <v>1</v>
      </c>
      <c r="U2288" s="157"/>
      <c r="V2288" s="158">
        <v>230</v>
      </c>
      <c r="W2288" s="182"/>
      <c r="X2288" s="1"/>
      <c r="Y2288" s="78">
        <f t="shared" si="278"/>
        <v>0</v>
      </c>
      <c r="Z2288" s="78">
        <f t="shared" si="279"/>
        <v>0</v>
      </c>
      <c r="AA2288" s="78">
        <f t="shared" si="277"/>
        <v>0</v>
      </c>
      <c r="AB2288" s="78">
        <f t="shared" si="280"/>
        <v>0</v>
      </c>
      <c r="AC2288" s="78"/>
      <c r="AD2288" s="78">
        <v>0</v>
      </c>
      <c r="AE2288" s="80">
        <f t="shared" si="283"/>
        <v>0</v>
      </c>
      <c r="AF2288" s="82">
        <v>0</v>
      </c>
      <c r="AG2288" s="69">
        <v>40575</v>
      </c>
      <c r="AH2288" s="84"/>
      <c r="AI2288" s="69" t="s">
        <v>1984</v>
      </c>
      <c r="AJ2288" s="25" t="s">
        <v>1985</v>
      </c>
      <c r="AK2288" s="65"/>
      <c r="AL2288" s="176" t="s">
        <v>1257</v>
      </c>
      <c r="AM2288" s="173" t="s">
        <v>349</v>
      </c>
      <c r="AN2288" s="159"/>
      <c r="AO2288" s="160"/>
      <c r="AP2288" s="161"/>
      <c r="AQ2288" s="160"/>
      <c r="AR2288" s="160"/>
      <c r="AS2288" s="160"/>
      <c r="AT2288" s="160"/>
      <c r="AU2288" s="160"/>
      <c r="AV2288" s="160"/>
      <c r="AW2288" s="160"/>
      <c r="AX2288" s="160"/>
      <c r="AY2288" s="160"/>
      <c r="AZ2288" s="160"/>
      <c r="BA2288" s="160"/>
      <c r="BB2288" s="160"/>
      <c r="BC2288" s="160"/>
      <c r="BD2288" s="160"/>
      <c r="BE2288" s="160"/>
      <c r="BF2288" s="160"/>
      <c r="BG2288" s="160"/>
      <c r="BH2288" s="160"/>
      <c r="BI2288" s="160"/>
      <c r="BJ2288" s="160"/>
      <c r="BK2288" s="160"/>
      <c r="BL2288" s="160"/>
      <c r="BM2288" s="160"/>
      <c r="BN2288" s="160"/>
      <c r="BO2288" s="160"/>
      <c r="BP2288" s="160"/>
      <c r="BQ2288" s="160"/>
      <c r="BR2288" s="160"/>
      <c r="BS2288" s="160"/>
      <c r="BT2288" s="160"/>
      <c r="BU2288" s="160"/>
      <c r="BV2288" s="160"/>
      <c r="BW2288" s="160"/>
      <c r="BX2288" s="160"/>
      <c r="BY2288" s="160"/>
      <c r="BZ2288" s="160"/>
      <c r="CA2288" s="160"/>
      <c r="CB2288" s="160"/>
      <c r="CC2288" s="160"/>
      <c r="CD2288" s="160"/>
      <c r="CE2288" s="160"/>
      <c r="CF2288" s="160"/>
      <c r="CG2288" s="160"/>
      <c r="CH2288" s="160"/>
      <c r="CI2288" s="160"/>
      <c r="CJ2288" s="160"/>
      <c r="CK2288" s="160"/>
      <c r="CL2288" s="160"/>
      <c r="CM2288" s="160"/>
      <c r="CN2288" s="160"/>
      <c r="CO2288" s="160"/>
      <c r="CP2288" s="162"/>
      <c r="CQ2288" s="163"/>
      <c r="CR2288" s="162"/>
      <c r="CS2288" s="163"/>
      <c r="CT2288" s="162"/>
      <c r="CU2288" s="163"/>
      <c r="CV2288" s="164">
        <f t="shared" si="281"/>
        <v>0</v>
      </c>
      <c r="CW2288" s="165"/>
      <c r="CX2288" s="166"/>
      <c r="CY2288" s="167"/>
      <c r="CZ2288" s="168"/>
      <c r="DA2288" s="169"/>
      <c r="DB2288" s="168"/>
      <c r="DC2288" s="165"/>
      <c r="DD2288" s="166"/>
      <c r="DE2288" s="71"/>
      <c r="DF2288" s="170"/>
      <c r="EO2288" s="375" t="str">
        <f t="shared" si="282"/>
        <v>SANTANDER_CONFINES</v>
      </c>
      <c r="EP2288" s="376"/>
      <c r="EQ2288" s="376"/>
      <c r="ER2288" s="377"/>
      <c r="ES2288" s="376"/>
      <c r="ET2288" s="376"/>
      <c r="EU2288" s="376"/>
    </row>
    <row r="2289" spans="1:151" s="171" customFormat="1" ht="38.25" x14ac:dyDescent="0.2">
      <c r="A2289" s="242">
        <v>40527</v>
      </c>
      <c r="B2289" s="222" t="s">
        <v>2427</v>
      </c>
      <c r="C2289" s="222" t="s">
        <v>1841</v>
      </c>
      <c r="D2289" s="430" t="s">
        <v>2307</v>
      </c>
      <c r="E2289" s="107" t="str">
        <f>VLOOKUP(B2289&amp;C2289,Divipola!$C$2:$F$1138,4,FALSE)</f>
        <v>68250</v>
      </c>
      <c r="F2289" s="333"/>
      <c r="G2289" s="275"/>
      <c r="H2289" s="157"/>
      <c r="I2289" s="157"/>
      <c r="J2289" s="157">
        <f>50*5</f>
        <v>250</v>
      </c>
      <c r="K2289" s="157">
        <v>50</v>
      </c>
      <c r="L2289" s="157"/>
      <c r="M2289" s="157">
        <v>30</v>
      </c>
      <c r="N2289" s="157">
        <v>1</v>
      </c>
      <c r="O2289" s="157">
        <v>1</v>
      </c>
      <c r="P2289" s="157"/>
      <c r="Q2289" s="157">
        <v>1</v>
      </c>
      <c r="R2289" s="157"/>
      <c r="S2289" s="157"/>
      <c r="T2289" s="157">
        <v>1</v>
      </c>
      <c r="U2289" s="157"/>
      <c r="V2289" s="158">
        <v>20</v>
      </c>
      <c r="W2289" s="182"/>
      <c r="X2289" s="1"/>
      <c r="Y2289" s="78">
        <f t="shared" si="278"/>
        <v>0</v>
      </c>
      <c r="Z2289" s="78">
        <f t="shared" si="279"/>
        <v>0</v>
      </c>
      <c r="AA2289" s="78">
        <f t="shared" si="277"/>
        <v>0</v>
      </c>
      <c r="AB2289" s="78">
        <f t="shared" si="280"/>
        <v>0</v>
      </c>
      <c r="AC2289" s="78"/>
      <c r="AD2289" s="78">
        <v>0</v>
      </c>
      <c r="AE2289" s="80">
        <f t="shared" si="283"/>
        <v>0</v>
      </c>
      <c r="AF2289" s="82">
        <v>0</v>
      </c>
      <c r="AG2289" s="69">
        <v>40575</v>
      </c>
      <c r="AH2289" s="84"/>
      <c r="AI2289" s="69" t="s">
        <v>1984</v>
      </c>
      <c r="AJ2289" s="25" t="s">
        <v>1985</v>
      </c>
      <c r="AK2289" s="65"/>
      <c r="AL2289" s="176" t="s">
        <v>1257</v>
      </c>
      <c r="AM2289" s="173" t="s">
        <v>349</v>
      </c>
      <c r="AN2289" s="159"/>
      <c r="AO2289" s="160"/>
      <c r="AP2289" s="161"/>
      <c r="AQ2289" s="160"/>
      <c r="AR2289" s="160"/>
      <c r="AS2289" s="160"/>
      <c r="AT2289" s="160"/>
      <c r="AU2289" s="160"/>
      <c r="AV2289" s="160"/>
      <c r="AW2289" s="160"/>
      <c r="AX2289" s="160"/>
      <c r="AY2289" s="160"/>
      <c r="AZ2289" s="160"/>
      <c r="BA2289" s="160"/>
      <c r="BB2289" s="160"/>
      <c r="BC2289" s="160"/>
      <c r="BD2289" s="160"/>
      <c r="BE2289" s="160"/>
      <c r="BF2289" s="160"/>
      <c r="BG2289" s="160"/>
      <c r="BH2289" s="160"/>
      <c r="BI2289" s="160"/>
      <c r="BJ2289" s="160"/>
      <c r="BK2289" s="160"/>
      <c r="BL2289" s="160"/>
      <c r="BM2289" s="160"/>
      <c r="BN2289" s="160"/>
      <c r="BO2289" s="160"/>
      <c r="BP2289" s="160"/>
      <c r="BQ2289" s="160"/>
      <c r="BR2289" s="160"/>
      <c r="BS2289" s="160"/>
      <c r="BT2289" s="160"/>
      <c r="BU2289" s="160"/>
      <c r="BV2289" s="160"/>
      <c r="BW2289" s="160"/>
      <c r="BX2289" s="160"/>
      <c r="BY2289" s="160"/>
      <c r="BZ2289" s="160"/>
      <c r="CA2289" s="160"/>
      <c r="CB2289" s="160"/>
      <c r="CC2289" s="160"/>
      <c r="CD2289" s="160"/>
      <c r="CE2289" s="160"/>
      <c r="CF2289" s="160"/>
      <c r="CG2289" s="160"/>
      <c r="CH2289" s="160"/>
      <c r="CI2289" s="160"/>
      <c r="CJ2289" s="160"/>
      <c r="CK2289" s="160"/>
      <c r="CL2289" s="160"/>
      <c r="CM2289" s="160"/>
      <c r="CN2289" s="160"/>
      <c r="CO2289" s="160"/>
      <c r="CP2289" s="162"/>
      <c r="CQ2289" s="163"/>
      <c r="CR2289" s="162"/>
      <c r="CS2289" s="163"/>
      <c r="CT2289" s="162"/>
      <c r="CU2289" s="163"/>
      <c r="CV2289" s="164">
        <f t="shared" si="281"/>
        <v>0</v>
      </c>
      <c r="CW2289" s="165"/>
      <c r="CX2289" s="166"/>
      <c r="CY2289" s="167"/>
      <c r="CZ2289" s="168"/>
      <c r="DA2289" s="169"/>
      <c r="DB2289" s="168"/>
      <c r="DC2289" s="165"/>
      <c r="DD2289" s="166"/>
      <c r="DE2289" s="71"/>
      <c r="DF2289" s="170"/>
      <c r="EO2289" s="375" t="str">
        <f t="shared" si="282"/>
        <v>SANTANDER_EL PEÑON</v>
      </c>
      <c r="EP2289" s="376"/>
      <c r="EQ2289" s="376"/>
      <c r="ER2289" s="377"/>
      <c r="ES2289" s="376"/>
      <c r="ET2289" s="376"/>
      <c r="EU2289" s="376"/>
    </row>
    <row r="2290" spans="1:151" s="171" customFormat="1" ht="38.25" x14ac:dyDescent="0.2">
      <c r="A2290" s="242">
        <v>40527</v>
      </c>
      <c r="B2290" s="222" t="s">
        <v>2427</v>
      </c>
      <c r="C2290" s="222" t="s">
        <v>340</v>
      </c>
      <c r="D2290" s="430" t="s">
        <v>2307</v>
      </c>
      <c r="E2290" s="107" t="str">
        <f>VLOOKUP(B2290&amp;C2290,Divipola!$C$2:$F$1138,4,FALSE)</f>
        <v>68377</v>
      </c>
      <c r="F2290" s="333"/>
      <c r="G2290" s="275"/>
      <c r="H2290" s="157"/>
      <c r="I2290" s="157"/>
      <c r="J2290" s="157">
        <f>77*5</f>
        <v>385</v>
      </c>
      <c r="K2290" s="157">
        <v>77</v>
      </c>
      <c r="L2290" s="157">
        <v>15</v>
      </c>
      <c r="M2290" s="157">
        <v>45</v>
      </c>
      <c r="N2290" s="157">
        <v>1</v>
      </c>
      <c r="O2290" s="157">
        <v>1</v>
      </c>
      <c r="P2290" s="157"/>
      <c r="Q2290" s="157"/>
      <c r="R2290" s="157"/>
      <c r="S2290" s="157"/>
      <c r="T2290" s="157">
        <v>2</v>
      </c>
      <c r="U2290" s="157"/>
      <c r="V2290" s="158">
        <v>88</v>
      </c>
      <c r="W2290" s="182"/>
      <c r="X2290" s="1"/>
      <c r="Y2290" s="78">
        <f t="shared" si="278"/>
        <v>0</v>
      </c>
      <c r="Z2290" s="78">
        <f t="shared" si="279"/>
        <v>0</v>
      </c>
      <c r="AA2290" s="78">
        <f t="shared" si="277"/>
        <v>0</v>
      </c>
      <c r="AB2290" s="78">
        <f t="shared" si="280"/>
        <v>0</v>
      </c>
      <c r="AC2290" s="78"/>
      <c r="AD2290" s="78">
        <v>0</v>
      </c>
      <c r="AE2290" s="80">
        <f t="shared" si="283"/>
        <v>0</v>
      </c>
      <c r="AF2290" s="82">
        <v>0</v>
      </c>
      <c r="AG2290" s="69">
        <v>40575</v>
      </c>
      <c r="AH2290" s="84"/>
      <c r="AI2290" s="69" t="s">
        <v>1984</v>
      </c>
      <c r="AJ2290" s="25" t="s">
        <v>1985</v>
      </c>
      <c r="AK2290" s="65"/>
      <c r="AL2290" s="176" t="s">
        <v>1257</v>
      </c>
      <c r="AM2290" s="173" t="s">
        <v>349</v>
      </c>
      <c r="AN2290" s="159"/>
      <c r="AO2290" s="160"/>
      <c r="AP2290" s="161"/>
      <c r="AQ2290" s="160"/>
      <c r="AR2290" s="160"/>
      <c r="AS2290" s="160"/>
      <c r="AT2290" s="160"/>
      <c r="AU2290" s="160"/>
      <c r="AV2290" s="160"/>
      <c r="AW2290" s="160"/>
      <c r="AX2290" s="160"/>
      <c r="AY2290" s="160"/>
      <c r="AZ2290" s="160"/>
      <c r="BA2290" s="160"/>
      <c r="BB2290" s="160"/>
      <c r="BC2290" s="160"/>
      <c r="BD2290" s="160"/>
      <c r="BE2290" s="160"/>
      <c r="BF2290" s="160"/>
      <c r="BG2290" s="160"/>
      <c r="BH2290" s="160"/>
      <c r="BI2290" s="160"/>
      <c r="BJ2290" s="160"/>
      <c r="BK2290" s="160"/>
      <c r="BL2290" s="160"/>
      <c r="BM2290" s="160"/>
      <c r="BN2290" s="160"/>
      <c r="BO2290" s="160"/>
      <c r="BP2290" s="160"/>
      <c r="BQ2290" s="160"/>
      <c r="BR2290" s="160"/>
      <c r="BS2290" s="160"/>
      <c r="BT2290" s="160"/>
      <c r="BU2290" s="160"/>
      <c r="BV2290" s="160"/>
      <c r="BW2290" s="160"/>
      <c r="BX2290" s="160"/>
      <c r="BY2290" s="160"/>
      <c r="BZ2290" s="160"/>
      <c r="CA2290" s="160"/>
      <c r="CB2290" s="160"/>
      <c r="CC2290" s="160"/>
      <c r="CD2290" s="160"/>
      <c r="CE2290" s="160"/>
      <c r="CF2290" s="160"/>
      <c r="CG2290" s="160"/>
      <c r="CH2290" s="160"/>
      <c r="CI2290" s="160"/>
      <c r="CJ2290" s="160"/>
      <c r="CK2290" s="160"/>
      <c r="CL2290" s="160"/>
      <c r="CM2290" s="160"/>
      <c r="CN2290" s="160"/>
      <c r="CO2290" s="160"/>
      <c r="CP2290" s="162"/>
      <c r="CQ2290" s="163"/>
      <c r="CR2290" s="162"/>
      <c r="CS2290" s="163"/>
      <c r="CT2290" s="162"/>
      <c r="CU2290" s="163"/>
      <c r="CV2290" s="164">
        <f t="shared" si="281"/>
        <v>0</v>
      </c>
      <c r="CW2290" s="165"/>
      <c r="CX2290" s="166"/>
      <c r="CY2290" s="167"/>
      <c r="CZ2290" s="168"/>
      <c r="DA2290" s="169"/>
      <c r="DB2290" s="168"/>
      <c r="DC2290" s="165"/>
      <c r="DD2290" s="166"/>
      <c r="DE2290" s="71"/>
      <c r="DF2290" s="170"/>
      <c r="EO2290" s="375" t="str">
        <f t="shared" si="282"/>
        <v>SANTANDER_LA BELLEZA</v>
      </c>
      <c r="EP2290" s="376"/>
      <c r="EQ2290" s="376"/>
      <c r="ER2290" s="377"/>
      <c r="ES2290" s="376"/>
      <c r="ET2290" s="376"/>
      <c r="EU2290" s="376"/>
    </row>
    <row r="2291" spans="1:151" s="171" customFormat="1" ht="25.5" x14ac:dyDescent="0.2">
      <c r="A2291" s="242">
        <v>40527</v>
      </c>
      <c r="B2291" s="222" t="s">
        <v>2427</v>
      </c>
      <c r="C2291" s="222" t="s">
        <v>1227</v>
      </c>
      <c r="D2291" s="430" t="s">
        <v>2307</v>
      </c>
      <c r="E2291" s="107" t="str">
        <f>VLOOKUP(B2291&amp;C2291,Divipola!$C$2:$F$1138,4,FALSE)</f>
        <v>68397</v>
      </c>
      <c r="F2291" s="333"/>
      <c r="G2291" s="275"/>
      <c r="H2291" s="157"/>
      <c r="I2291" s="157"/>
      <c r="J2291" s="157">
        <f>50*5</f>
        <v>250</v>
      </c>
      <c r="K2291" s="157">
        <v>50</v>
      </c>
      <c r="L2291" s="157">
        <v>4</v>
      </c>
      <c r="M2291" s="157">
        <v>35</v>
      </c>
      <c r="N2291" s="157">
        <v>1</v>
      </c>
      <c r="O2291" s="157">
        <v>1</v>
      </c>
      <c r="P2291" s="157"/>
      <c r="Q2291" s="157"/>
      <c r="R2291" s="157"/>
      <c r="S2291" s="157"/>
      <c r="T2291" s="157">
        <v>1</v>
      </c>
      <c r="U2291" s="157"/>
      <c r="V2291" s="158">
        <v>36</v>
      </c>
      <c r="W2291" s="182"/>
      <c r="X2291" s="1"/>
      <c r="Y2291" s="78">
        <f t="shared" si="278"/>
        <v>0</v>
      </c>
      <c r="Z2291" s="78">
        <f t="shared" si="279"/>
        <v>0</v>
      </c>
      <c r="AA2291" s="78">
        <f t="shared" si="277"/>
        <v>0</v>
      </c>
      <c r="AB2291" s="78">
        <f t="shared" si="280"/>
        <v>0</v>
      </c>
      <c r="AC2291" s="78"/>
      <c r="AD2291" s="78">
        <v>0</v>
      </c>
      <c r="AE2291" s="80">
        <f t="shared" si="283"/>
        <v>0</v>
      </c>
      <c r="AF2291" s="82">
        <v>0</v>
      </c>
      <c r="AG2291" s="69">
        <v>40575</v>
      </c>
      <c r="AH2291" s="84"/>
      <c r="AI2291" s="69" t="s">
        <v>1984</v>
      </c>
      <c r="AJ2291" s="25" t="s">
        <v>1985</v>
      </c>
      <c r="AK2291" s="65"/>
      <c r="AL2291" s="176" t="s">
        <v>1257</v>
      </c>
      <c r="AM2291" s="173" t="s">
        <v>349</v>
      </c>
      <c r="AN2291" s="159"/>
      <c r="AO2291" s="160"/>
      <c r="AP2291" s="161"/>
      <c r="AQ2291" s="160"/>
      <c r="AR2291" s="160"/>
      <c r="AS2291" s="160"/>
      <c r="AT2291" s="160"/>
      <c r="AU2291" s="160"/>
      <c r="AV2291" s="160"/>
      <c r="AW2291" s="160"/>
      <c r="AX2291" s="160"/>
      <c r="AY2291" s="160"/>
      <c r="AZ2291" s="160"/>
      <c r="BA2291" s="160"/>
      <c r="BB2291" s="160"/>
      <c r="BC2291" s="160"/>
      <c r="BD2291" s="160"/>
      <c r="BE2291" s="160"/>
      <c r="BF2291" s="160"/>
      <c r="BG2291" s="160"/>
      <c r="BH2291" s="160"/>
      <c r="BI2291" s="160"/>
      <c r="BJ2291" s="160"/>
      <c r="BK2291" s="160"/>
      <c r="BL2291" s="160"/>
      <c r="BM2291" s="160"/>
      <c r="BN2291" s="160"/>
      <c r="BO2291" s="160"/>
      <c r="BP2291" s="160"/>
      <c r="BQ2291" s="160"/>
      <c r="BR2291" s="160"/>
      <c r="BS2291" s="160"/>
      <c r="BT2291" s="160"/>
      <c r="BU2291" s="160"/>
      <c r="BV2291" s="160"/>
      <c r="BW2291" s="160"/>
      <c r="BX2291" s="160"/>
      <c r="BY2291" s="160"/>
      <c r="BZ2291" s="160"/>
      <c r="CA2291" s="160"/>
      <c r="CB2291" s="160"/>
      <c r="CC2291" s="160"/>
      <c r="CD2291" s="160"/>
      <c r="CE2291" s="160"/>
      <c r="CF2291" s="160"/>
      <c r="CG2291" s="160"/>
      <c r="CH2291" s="160"/>
      <c r="CI2291" s="160"/>
      <c r="CJ2291" s="160"/>
      <c r="CK2291" s="160"/>
      <c r="CL2291" s="160"/>
      <c r="CM2291" s="160"/>
      <c r="CN2291" s="160"/>
      <c r="CO2291" s="160"/>
      <c r="CP2291" s="162"/>
      <c r="CQ2291" s="163"/>
      <c r="CR2291" s="162"/>
      <c r="CS2291" s="163"/>
      <c r="CT2291" s="162"/>
      <c r="CU2291" s="163"/>
      <c r="CV2291" s="164">
        <f t="shared" si="281"/>
        <v>0</v>
      </c>
      <c r="CW2291" s="165"/>
      <c r="CX2291" s="166"/>
      <c r="CY2291" s="167"/>
      <c r="CZ2291" s="168"/>
      <c r="DA2291" s="169"/>
      <c r="DB2291" s="168"/>
      <c r="DC2291" s="165"/>
      <c r="DD2291" s="166"/>
      <c r="DE2291" s="71"/>
      <c r="DF2291" s="170"/>
      <c r="EO2291" s="375" t="str">
        <f t="shared" si="282"/>
        <v>SANTANDER_LA PAZ</v>
      </c>
      <c r="EP2291" s="376"/>
      <c r="EQ2291" s="376"/>
      <c r="ER2291" s="377"/>
      <c r="ES2291" s="376"/>
      <c r="ET2291" s="376"/>
      <c r="EU2291" s="376"/>
    </row>
    <row r="2292" spans="1:151" s="171" customFormat="1" ht="38.25" x14ac:dyDescent="0.2">
      <c r="A2292" s="242">
        <v>40527</v>
      </c>
      <c r="B2292" s="222" t="s">
        <v>2427</v>
      </c>
      <c r="C2292" s="222" t="s">
        <v>2428</v>
      </c>
      <c r="D2292" s="430" t="s">
        <v>2307</v>
      </c>
      <c r="E2292" s="107" t="str">
        <f>VLOOKUP(B2292&amp;C2292,Divipola!$C$2:$F$1138,4,FALSE)</f>
        <v>68418</v>
      </c>
      <c r="F2292" s="333"/>
      <c r="G2292" s="275"/>
      <c r="H2292" s="157"/>
      <c r="I2292" s="157"/>
      <c r="J2292" s="157">
        <f>17*5</f>
        <v>85</v>
      </c>
      <c r="K2292" s="157">
        <v>17</v>
      </c>
      <c r="L2292" s="157"/>
      <c r="M2292" s="157">
        <v>10</v>
      </c>
      <c r="N2292" s="157">
        <v>4</v>
      </c>
      <c r="O2292" s="157"/>
      <c r="P2292" s="157"/>
      <c r="Q2292" s="157"/>
      <c r="R2292" s="157"/>
      <c r="S2292" s="157"/>
      <c r="T2292" s="157"/>
      <c r="U2292" s="157"/>
      <c r="V2292" s="158">
        <v>200</v>
      </c>
      <c r="W2292" s="182"/>
      <c r="X2292" s="1"/>
      <c r="Y2292" s="78">
        <f t="shared" si="278"/>
        <v>0</v>
      </c>
      <c r="Z2292" s="78">
        <f t="shared" si="279"/>
        <v>0</v>
      </c>
      <c r="AA2292" s="78">
        <f t="shared" si="277"/>
        <v>0</v>
      </c>
      <c r="AB2292" s="78">
        <f t="shared" si="280"/>
        <v>0</v>
      </c>
      <c r="AC2292" s="78"/>
      <c r="AD2292" s="78">
        <v>0</v>
      </c>
      <c r="AE2292" s="80">
        <f t="shared" si="283"/>
        <v>0</v>
      </c>
      <c r="AF2292" s="82">
        <v>0</v>
      </c>
      <c r="AG2292" s="69">
        <v>40575</v>
      </c>
      <c r="AH2292" s="84"/>
      <c r="AI2292" s="69" t="s">
        <v>1984</v>
      </c>
      <c r="AJ2292" s="25" t="s">
        <v>1985</v>
      </c>
      <c r="AK2292" s="65"/>
      <c r="AL2292" s="176" t="s">
        <v>1257</v>
      </c>
      <c r="AM2292" s="173" t="s">
        <v>349</v>
      </c>
      <c r="AN2292" s="159"/>
      <c r="AO2292" s="160"/>
      <c r="AP2292" s="161"/>
      <c r="AQ2292" s="160"/>
      <c r="AR2292" s="160"/>
      <c r="AS2292" s="160"/>
      <c r="AT2292" s="160"/>
      <c r="AU2292" s="160"/>
      <c r="AV2292" s="160"/>
      <c r="AW2292" s="160"/>
      <c r="AX2292" s="160"/>
      <c r="AY2292" s="160"/>
      <c r="AZ2292" s="160"/>
      <c r="BA2292" s="160"/>
      <c r="BB2292" s="160"/>
      <c r="BC2292" s="160"/>
      <c r="BD2292" s="160"/>
      <c r="BE2292" s="160"/>
      <c r="BF2292" s="160"/>
      <c r="BG2292" s="160"/>
      <c r="BH2292" s="160"/>
      <c r="BI2292" s="160"/>
      <c r="BJ2292" s="160"/>
      <c r="BK2292" s="160"/>
      <c r="BL2292" s="160"/>
      <c r="BM2292" s="160"/>
      <c r="BN2292" s="160"/>
      <c r="BO2292" s="160"/>
      <c r="BP2292" s="160"/>
      <c r="BQ2292" s="160"/>
      <c r="BR2292" s="160"/>
      <c r="BS2292" s="160"/>
      <c r="BT2292" s="160"/>
      <c r="BU2292" s="160"/>
      <c r="BV2292" s="160"/>
      <c r="BW2292" s="160"/>
      <c r="BX2292" s="160"/>
      <c r="BY2292" s="160"/>
      <c r="BZ2292" s="160"/>
      <c r="CA2292" s="160"/>
      <c r="CB2292" s="160"/>
      <c r="CC2292" s="160"/>
      <c r="CD2292" s="160"/>
      <c r="CE2292" s="160"/>
      <c r="CF2292" s="160"/>
      <c r="CG2292" s="160"/>
      <c r="CH2292" s="160"/>
      <c r="CI2292" s="160"/>
      <c r="CJ2292" s="160"/>
      <c r="CK2292" s="160"/>
      <c r="CL2292" s="160"/>
      <c r="CM2292" s="160"/>
      <c r="CN2292" s="160"/>
      <c r="CO2292" s="160"/>
      <c r="CP2292" s="162"/>
      <c r="CQ2292" s="163"/>
      <c r="CR2292" s="162"/>
      <c r="CS2292" s="163"/>
      <c r="CT2292" s="162"/>
      <c r="CU2292" s="163"/>
      <c r="CV2292" s="164">
        <f t="shared" si="281"/>
        <v>0</v>
      </c>
      <c r="CW2292" s="165"/>
      <c r="CX2292" s="166"/>
      <c r="CY2292" s="167"/>
      <c r="CZ2292" s="168"/>
      <c r="DA2292" s="169"/>
      <c r="DB2292" s="168"/>
      <c r="DC2292" s="165"/>
      <c r="DD2292" s="166"/>
      <c r="DE2292" s="71"/>
      <c r="DF2292" s="170"/>
      <c r="EO2292" s="375" t="str">
        <f t="shared" si="282"/>
        <v>SANTANDER_LOS SANTOS</v>
      </c>
      <c r="EP2292" s="376"/>
      <c r="EQ2292" s="376"/>
      <c r="ER2292" s="377"/>
      <c r="ES2292" s="376"/>
      <c r="ET2292" s="376"/>
      <c r="EU2292" s="376"/>
    </row>
    <row r="2293" spans="1:151" s="171" customFormat="1" ht="38.25" x14ac:dyDescent="0.2">
      <c r="A2293" s="242">
        <v>40527</v>
      </c>
      <c r="B2293" s="222" t="s">
        <v>2427</v>
      </c>
      <c r="C2293" s="222" t="s">
        <v>2655</v>
      </c>
      <c r="D2293" s="430" t="s">
        <v>2331</v>
      </c>
      <c r="E2293" s="107" t="str">
        <f>VLOOKUP(B2293&amp;C2293,Divipola!$C$2:$F$1138,4,FALSE)</f>
        <v>68615</v>
      </c>
      <c r="F2293" s="333"/>
      <c r="G2293" s="275">
        <v>3</v>
      </c>
      <c r="H2293" s="157"/>
      <c r="I2293" s="157"/>
      <c r="J2293" s="157"/>
      <c r="K2293" s="157"/>
      <c r="L2293" s="157"/>
      <c r="M2293" s="157"/>
      <c r="N2293" s="157"/>
      <c r="O2293" s="157"/>
      <c r="P2293" s="157"/>
      <c r="Q2293" s="157"/>
      <c r="R2293" s="157"/>
      <c r="S2293" s="157"/>
      <c r="T2293" s="157"/>
      <c r="U2293" s="157"/>
      <c r="V2293" s="158"/>
      <c r="W2293" s="182"/>
      <c r="X2293" s="1"/>
      <c r="Y2293" s="78">
        <f t="shared" si="278"/>
        <v>0</v>
      </c>
      <c r="Z2293" s="78">
        <f t="shared" si="279"/>
        <v>0</v>
      </c>
      <c r="AA2293" s="78">
        <f t="shared" ref="AA2293:AA2356" si="284">DB2293+DD2293</f>
        <v>0</v>
      </c>
      <c r="AB2293" s="78">
        <f t="shared" si="280"/>
        <v>0</v>
      </c>
      <c r="AC2293" s="78"/>
      <c r="AD2293" s="78">
        <v>0</v>
      </c>
      <c r="AE2293" s="80">
        <f t="shared" si="283"/>
        <v>0</v>
      </c>
      <c r="AF2293" s="82">
        <v>0</v>
      </c>
      <c r="AG2293" s="69"/>
      <c r="AH2293" s="84"/>
      <c r="AI2293" s="69" t="s">
        <v>2009</v>
      </c>
      <c r="AJ2293" s="25" t="s">
        <v>2010</v>
      </c>
      <c r="AK2293" s="65"/>
      <c r="AL2293" s="184" t="s">
        <v>3833</v>
      </c>
      <c r="AM2293" s="173" t="s">
        <v>801</v>
      </c>
      <c r="AN2293" s="159"/>
      <c r="AO2293" s="160"/>
      <c r="AP2293" s="161"/>
      <c r="AQ2293" s="160"/>
      <c r="AR2293" s="160"/>
      <c r="AS2293" s="160"/>
      <c r="AT2293" s="160"/>
      <c r="AU2293" s="160"/>
      <c r="AV2293" s="160"/>
      <c r="AW2293" s="160"/>
      <c r="AX2293" s="160"/>
      <c r="AY2293" s="160"/>
      <c r="AZ2293" s="160"/>
      <c r="BA2293" s="160"/>
      <c r="BB2293" s="160"/>
      <c r="BC2293" s="160"/>
      <c r="BD2293" s="160"/>
      <c r="BE2293" s="160"/>
      <c r="BF2293" s="160"/>
      <c r="BG2293" s="160"/>
      <c r="BH2293" s="160"/>
      <c r="BI2293" s="160"/>
      <c r="BJ2293" s="160"/>
      <c r="BK2293" s="160"/>
      <c r="BL2293" s="160"/>
      <c r="BM2293" s="160"/>
      <c r="BN2293" s="160"/>
      <c r="BO2293" s="160"/>
      <c r="BP2293" s="160"/>
      <c r="BQ2293" s="160"/>
      <c r="BR2293" s="160"/>
      <c r="BS2293" s="160"/>
      <c r="BT2293" s="160"/>
      <c r="BU2293" s="160"/>
      <c r="BV2293" s="160"/>
      <c r="BW2293" s="160"/>
      <c r="BX2293" s="160"/>
      <c r="BY2293" s="160"/>
      <c r="BZ2293" s="160"/>
      <c r="CA2293" s="160"/>
      <c r="CB2293" s="160"/>
      <c r="CC2293" s="160"/>
      <c r="CD2293" s="160"/>
      <c r="CE2293" s="160"/>
      <c r="CF2293" s="160"/>
      <c r="CG2293" s="160"/>
      <c r="CH2293" s="160"/>
      <c r="CI2293" s="160"/>
      <c r="CJ2293" s="160"/>
      <c r="CK2293" s="160"/>
      <c r="CL2293" s="160"/>
      <c r="CM2293" s="160"/>
      <c r="CN2293" s="160"/>
      <c r="CO2293" s="160"/>
      <c r="CP2293" s="162"/>
      <c r="CQ2293" s="163"/>
      <c r="CR2293" s="162"/>
      <c r="CS2293" s="163"/>
      <c r="CT2293" s="162"/>
      <c r="CU2293" s="163"/>
      <c r="CV2293" s="164">
        <f t="shared" si="281"/>
        <v>0</v>
      </c>
      <c r="CW2293" s="165"/>
      <c r="CX2293" s="166"/>
      <c r="CY2293" s="167"/>
      <c r="CZ2293" s="168"/>
      <c r="DA2293" s="169"/>
      <c r="DB2293" s="168"/>
      <c r="DC2293" s="165"/>
      <c r="DD2293" s="166"/>
      <c r="DE2293" s="71"/>
      <c r="DF2293" s="170"/>
      <c r="EO2293" s="375" t="str">
        <f t="shared" si="282"/>
        <v>SANTANDER_RIONEGRO</v>
      </c>
      <c r="EP2293" s="376"/>
      <c r="EQ2293" s="376"/>
      <c r="ER2293" s="377"/>
      <c r="ES2293" s="376"/>
      <c r="ET2293" s="376"/>
      <c r="EU2293" s="376"/>
    </row>
    <row r="2294" spans="1:151" s="171" customFormat="1" ht="38.25" x14ac:dyDescent="0.2">
      <c r="A2294" s="242">
        <v>40527</v>
      </c>
      <c r="B2294" s="222" t="s">
        <v>2427</v>
      </c>
      <c r="C2294" s="222" t="s">
        <v>1536</v>
      </c>
      <c r="D2294" s="430" t="s">
        <v>837</v>
      </c>
      <c r="E2294" s="107" t="str">
        <f>VLOOKUP(B2294&amp;C2294,Divipola!$C$2:$F$1138,4,FALSE)</f>
        <v>68705</v>
      </c>
      <c r="F2294" s="333"/>
      <c r="G2294" s="221">
        <v>1</v>
      </c>
      <c r="H2294" s="157"/>
      <c r="I2294" s="157"/>
      <c r="J2294" s="157">
        <v>68</v>
      </c>
      <c r="K2294" s="157">
        <v>15</v>
      </c>
      <c r="L2294" s="157"/>
      <c r="M2294" s="157"/>
      <c r="N2294" s="157"/>
      <c r="O2294" s="157"/>
      <c r="P2294" s="157"/>
      <c r="Q2294" s="157"/>
      <c r="R2294" s="157"/>
      <c r="S2294" s="157"/>
      <c r="T2294" s="157"/>
      <c r="U2294" s="157"/>
      <c r="V2294" s="158"/>
      <c r="W2294" s="182"/>
      <c r="X2294" s="1"/>
      <c r="Y2294" s="78">
        <f t="shared" si="278"/>
        <v>0</v>
      </c>
      <c r="Z2294" s="78">
        <f t="shared" si="279"/>
        <v>0</v>
      </c>
      <c r="AA2294" s="78">
        <f t="shared" si="284"/>
        <v>0</v>
      </c>
      <c r="AB2294" s="78">
        <f t="shared" si="280"/>
        <v>0</v>
      </c>
      <c r="AC2294" s="78"/>
      <c r="AD2294" s="78">
        <v>0</v>
      </c>
      <c r="AE2294" s="80">
        <f t="shared" si="283"/>
        <v>0</v>
      </c>
      <c r="AF2294" s="82">
        <v>0</v>
      </c>
      <c r="AG2294" s="69"/>
      <c r="AH2294" s="84"/>
      <c r="AI2294" s="69" t="s">
        <v>1984</v>
      </c>
      <c r="AJ2294" s="25" t="s">
        <v>1985</v>
      </c>
      <c r="AK2294" s="65"/>
      <c r="AL2294" s="176" t="s">
        <v>1257</v>
      </c>
      <c r="AM2294" s="173" t="s">
        <v>457</v>
      </c>
      <c r="AN2294" s="159"/>
      <c r="AO2294" s="160"/>
      <c r="AP2294" s="161"/>
      <c r="AQ2294" s="160"/>
      <c r="AR2294" s="160"/>
      <c r="AS2294" s="160"/>
      <c r="AT2294" s="160"/>
      <c r="AU2294" s="160"/>
      <c r="AV2294" s="160"/>
      <c r="AW2294" s="160"/>
      <c r="AX2294" s="160"/>
      <c r="AY2294" s="160"/>
      <c r="AZ2294" s="160"/>
      <c r="BA2294" s="160"/>
      <c r="BB2294" s="160"/>
      <c r="BC2294" s="160"/>
      <c r="BD2294" s="160"/>
      <c r="BE2294" s="160"/>
      <c r="BF2294" s="160"/>
      <c r="BG2294" s="160"/>
      <c r="BH2294" s="160"/>
      <c r="BI2294" s="160"/>
      <c r="BJ2294" s="160"/>
      <c r="BK2294" s="160"/>
      <c r="BL2294" s="160"/>
      <c r="BM2294" s="160"/>
      <c r="BN2294" s="160"/>
      <c r="BO2294" s="160"/>
      <c r="BP2294" s="160"/>
      <c r="BQ2294" s="160"/>
      <c r="BR2294" s="160"/>
      <c r="BS2294" s="160"/>
      <c r="BT2294" s="160"/>
      <c r="BU2294" s="160"/>
      <c r="BV2294" s="160"/>
      <c r="BW2294" s="160"/>
      <c r="BX2294" s="160"/>
      <c r="BY2294" s="160"/>
      <c r="BZ2294" s="160"/>
      <c r="CA2294" s="160"/>
      <c r="CB2294" s="160"/>
      <c r="CC2294" s="160"/>
      <c r="CD2294" s="160"/>
      <c r="CE2294" s="160"/>
      <c r="CF2294" s="160"/>
      <c r="CG2294" s="160"/>
      <c r="CH2294" s="160"/>
      <c r="CI2294" s="160"/>
      <c r="CJ2294" s="160"/>
      <c r="CK2294" s="160"/>
      <c r="CL2294" s="160"/>
      <c r="CM2294" s="160"/>
      <c r="CN2294" s="160"/>
      <c r="CO2294" s="160"/>
      <c r="CP2294" s="162"/>
      <c r="CQ2294" s="163"/>
      <c r="CR2294" s="162"/>
      <c r="CS2294" s="163"/>
      <c r="CT2294" s="162"/>
      <c r="CU2294" s="163"/>
      <c r="CV2294" s="164">
        <f t="shared" si="281"/>
        <v>0</v>
      </c>
      <c r="CW2294" s="165"/>
      <c r="CX2294" s="166"/>
      <c r="CY2294" s="167"/>
      <c r="CZ2294" s="168"/>
      <c r="DA2294" s="169"/>
      <c r="DB2294" s="168"/>
      <c r="DC2294" s="165"/>
      <c r="DD2294" s="166"/>
      <c r="DE2294" s="71"/>
      <c r="DF2294" s="170"/>
      <c r="EO2294" s="375" t="str">
        <f t="shared" si="282"/>
        <v>SANTANDER_SANTA BARBARA</v>
      </c>
      <c r="EP2294" s="376"/>
      <c r="EQ2294" s="376"/>
      <c r="ER2294" s="377"/>
      <c r="ES2294" s="376"/>
      <c r="ET2294" s="376"/>
      <c r="EU2294" s="376"/>
    </row>
    <row r="2295" spans="1:151" s="171" customFormat="1" ht="38.25" x14ac:dyDescent="0.2">
      <c r="A2295" s="242">
        <v>40527</v>
      </c>
      <c r="B2295" s="222" t="s">
        <v>2427</v>
      </c>
      <c r="C2295" s="222" t="s">
        <v>1953</v>
      </c>
      <c r="D2295" s="430" t="s">
        <v>837</v>
      </c>
      <c r="E2295" s="107" t="str">
        <f>VLOOKUP(B2295&amp;C2295,Divipola!$C$2:$F$1138,4,FALSE)</f>
        <v>68872</v>
      </c>
      <c r="F2295" s="333"/>
      <c r="G2295" s="221">
        <v>5</v>
      </c>
      <c r="H2295" s="157"/>
      <c r="I2295" s="157">
        <v>1</v>
      </c>
      <c r="J2295" s="157">
        <v>90</v>
      </c>
      <c r="K2295" s="157">
        <v>22</v>
      </c>
      <c r="L2295" s="157"/>
      <c r="M2295" s="157"/>
      <c r="N2295" s="157"/>
      <c r="O2295" s="157"/>
      <c r="P2295" s="157"/>
      <c r="Q2295" s="157"/>
      <c r="R2295" s="157"/>
      <c r="S2295" s="157"/>
      <c r="T2295" s="157"/>
      <c r="U2295" s="157"/>
      <c r="V2295" s="158"/>
      <c r="W2295" s="182"/>
      <c r="X2295" s="1"/>
      <c r="Y2295" s="78">
        <f t="shared" si="278"/>
        <v>0</v>
      </c>
      <c r="Z2295" s="78">
        <f t="shared" si="279"/>
        <v>0</v>
      </c>
      <c r="AA2295" s="78">
        <f t="shared" si="284"/>
        <v>0</v>
      </c>
      <c r="AB2295" s="78">
        <f t="shared" si="280"/>
        <v>0</v>
      </c>
      <c r="AC2295" s="78"/>
      <c r="AD2295" s="78">
        <v>0</v>
      </c>
      <c r="AE2295" s="80">
        <f t="shared" si="283"/>
        <v>0</v>
      </c>
      <c r="AF2295" s="82">
        <v>0</v>
      </c>
      <c r="AG2295" s="69"/>
      <c r="AH2295" s="84"/>
      <c r="AI2295" s="69" t="s">
        <v>1984</v>
      </c>
      <c r="AJ2295" s="25" t="s">
        <v>1985</v>
      </c>
      <c r="AK2295" s="65"/>
      <c r="AL2295" s="176" t="s">
        <v>1257</v>
      </c>
      <c r="AM2295" s="173" t="s">
        <v>457</v>
      </c>
      <c r="AN2295" s="159"/>
      <c r="AO2295" s="160"/>
      <c r="AP2295" s="161"/>
      <c r="AQ2295" s="160"/>
      <c r="AR2295" s="160"/>
      <c r="AS2295" s="160"/>
      <c r="AT2295" s="160"/>
      <c r="AU2295" s="160"/>
      <c r="AV2295" s="160"/>
      <c r="AW2295" s="160"/>
      <c r="AX2295" s="160"/>
      <c r="AY2295" s="160"/>
      <c r="AZ2295" s="160"/>
      <c r="BA2295" s="160"/>
      <c r="BB2295" s="160"/>
      <c r="BC2295" s="160"/>
      <c r="BD2295" s="160"/>
      <c r="BE2295" s="160"/>
      <c r="BF2295" s="160"/>
      <c r="BG2295" s="160"/>
      <c r="BH2295" s="160"/>
      <c r="BI2295" s="160"/>
      <c r="BJ2295" s="160"/>
      <c r="BK2295" s="160"/>
      <c r="BL2295" s="160"/>
      <c r="BM2295" s="160"/>
      <c r="BN2295" s="160"/>
      <c r="BO2295" s="160"/>
      <c r="BP2295" s="160"/>
      <c r="BQ2295" s="160"/>
      <c r="BR2295" s="160"/>
      <c r="BS2295" s="160"/>
      <c r="BT2295" s="160"/>
      <c r="BU2295" s="160"/>
      <c r="BV2295" s="160"/>
      <c r="BW2295" s="160"/>
      <c r="BX2295" s="160"/>
      <c r="BY2295" s="160"/>
      <c r="BZ2295" s="160"/>
      <c r="CA2295" s="160"/>
      <c r="CB2295" s="160"/>
      <c r="CC2295" s="160"/>
      <c r="CD2295" s="160"/>
      <c r="CE2295" s="160"/>
      <c r="CF2295" s="160"/>
      <c r="CG2295" s="160"/>
      <c r="CH2295" s="160"/>
      <c r="CI2295" s="160"/>
      <c r="CJ2295" s="160"/>
      <c r="CK2295" s="160"/>
      <c r="CL2295" s="160"/>
      <c r="CM2295" s="160"/>
      <c r="CN2295" s="160"/>
      <c r="CO2295" s="160"/>
      <c r="CP2295" s="162"/>
      <c r="CQ2295" s="163"/>
      <c r="CR2295" s="162"/>
      <c r="CS2295" s="163"/>
      <c r="CT2295" s="162"/>
      <c r="CU2295" s="163"/>
      <c r="CV2295" s="164">
        <f t="shared" si="281"/>
        <v>0</v>
      </c>
      <c r="CW2295" s="165"/>
      <c r="CX2295" s="166"/>
      <c r="CY2295" s="167"/>
      <c r="CZ2295" s="168"/>
      <c r="DA2295" s="169"/>
      <c r="DB2295" s="168"/>
      <c r="DC2295" s="165"/>
      <c r="DD2295" s="166"/>
      <c r="DE2295" s="71"/>
      <c r="DF2295" s="170"/>
      <c r="EO2295" s="375" t="str">
        <f t="shared" si="282"/>
        <v>SANTANDER_VILLANUEVA</v>
      </c>
      <c r="EP2295" s="376"/>
      <c r="EQ2295" s="376"/>
      <c r="ER2295" s="377"/>
      <c r="ES2295" s="376"/>
      <c r="ET2295" s="376"/>
      <c r="EU2295" s="376"/>
    </row>
    <row r="2296" spans="1:151" s="171" customFormat="1" ht="25.5" x14ac:dyDescent="0.2">
      <c r="A2296" s="242">
        <v>40527</v>
      </c>
      <c r="B2296" s="222" t="s">
        <v>2372</v>
      </c>
      <c r="C2296" s="222" t="s">
        <v>4573</v>
      </c>
      <c r="D2296" s="430" t="s">
        <v>837</v>
      </c>
      <c r="E2296" s="107" t="str">
        <f>VLOOKUP(B2296&amp;C2296,Divipola!$C$2:$F$1138,4,FALSE)</f>
        <v>70204</v>
      </c>
      <c r="F2296" s="333"/>
      <c r="G2296" s="221"/>
      <c r="H2296" s="157"/>
      <c r="I2296" s="157"/>
      <c r="J2296" s="157">
        <f>30*5</f>
        <v>150</v>
      </c>
      <c r="K2296" s="157">
        <v>30</v>
      </c>
      <c r="L2296" s="157"/>
      <c r="M2296" s="157"/>
      <c r="N2296" s="157"/>
      <c r="O2296" s="157"/>
      <c r="P2296" s="157"/>
      <c r="Q2296" s="157"/>
      <c r="R2296" s="157"/>
      <c r="S2296" s="157"/>
      <c r="T2296" s="157"/>
      <c r="U2296" s="157"/>
      <c r="V2296" s="158"/>
      <c r="W2296" s="182"/>
      <c r="X2296" s="1"/>
      <c r="Y2296" s="78">
        <f t="shared" si="278"/>
        <v>0</v>
      </c>
      <c r="Z2296" s="78">
        <f t="shared" si="279"/>
        <v>0</v>
      </c>
      <c r="AA2296" s="78">
        <f t="shared" si="284"/>
        <v>0</v>
      </c>
      <c r="AB2296" s="78">
        <f t="shared" si="280"/>
        <v>0</v>
      </c>
      <c r="AC2296" s="78"/>
      <c r="AD2296" s="78">
        <v>0</v>
      </c>
      <c r="AE2296" s="80">
        <f t="shared" si="283"/>
        <v>0</v>
      </c>
      <c r="AF2296" s="82">
        <v>0</v>
      </c>
      <c r="AG2296" s="69"/>
      <c r="AH2296" s="84"/>
      <c r="AI2296" s="69" t="s">
        <v>1984</v>
      </c>
      <c r="AJ2296" s="25" t="s">
        <v>1985</v>
      </c>
      <c r="AK2296" s="65"/>
      <c r="AL2296" s="176" t="s">
        <v>1257</v>
      </c>
      <c r="AM2296" s="173" t="s">
        <v>457</v>
      </c>
      <c r="AN2296" s="159"/>
      <c r="AO2296" s="160"/>
      <c r="AP2296" s="161"/>
      <c r="AQ2296" s="160"/>
      <c r="AR2296" s="160"/>
      <c r="AS2296" s="160"/>
      <c r="AT2296" s="160"/>
      <c r="AU2296" s="160"/>
      <c r="AV2296" s="160"/>
      <c r="AW2296" s="160"/>
      <c r="AX2296" s="160"/>
      <c r="AY2296" s="160"/>
      <c r="AZ2296" s="160"/>
      <c r="BA2296" s="160"/>
      <c r="BB2296" s="160"/>
      <c r="BC2296" s="160"/>
      <c r="BD2296" s="160"/>
      <c r="BE2296" s="160"/>
      <c r="BF2296" s="160"/>
      <c r="BG2296" s="160"/>
      <c r="BH2296" s="160"/>
      <c r="BI2296" s="160"/>
      <c r="BJ2296" s="160"/>
      <c r="BK2296" s="160"/>
      <c r="BL2296" s="160"/>
      <c r="BM2296" s="160"/>
      <c r="BN2296" s="160"/>
      <c r="BO2296" s="160"/>
      <c r="BP2296" s="160"/>
      <c r="BQ2296" s="160"/>
      <c r="BR2296" s="160"/>
      <c r="BS2296" s="160"/>
      <c r="BT2296" s="160"/>
      <c r="BU2296" s="160"/>
      <c r="BV2296" s="160"/>
      <c r="BW2296" s="160"/>
      <c r="BX2296" s="160"/>
      <c r="BY2296" s="160"/>
      <c r="BZ2296" s="160"/>
      <c r="CA2296" s="160"/>
      <c r="CB2296" s="160"/>
      <c r="CC2296" s="160"/>
      <c r="CD2296" s="160"/>
      <c r="CE2296" s="160"/>
      <c r="CF2296" s="160"/>
      <c r="CG2296" s="160"/>
      <c r="CH2296" s="160"/>
      <c r="CI2296" s="160"/>
      <c r="CJ2296" s="160"/>
      <c r="CK2296" s="160"/>
      <c r="CL2296" s="160"/>
      <c r="CM2296" s="160"/>
      <c r="CN2296" s="160"/>
      <c r="CO2296" s="160"/>
      <c r="CP2296" s="162"/>
      <c r="CQ2296" s="163"/>
      <c r="CR2296" s="162"/>
      <c r="CS2296" s="163"/>
      <c r="CT2296" s="162"/>
      <c r="CU2296" s="163"/>
      <c r="CV2296" s="164">
        <f t="shared" si="281"/>
        <v>0</v>
      </c>
      <c r="CW2296" s="165"/>
      <c r="CX2296" s="166"/>
      <c r="CY2296" s="167"/>
      <c r="CZ2296" s="168"/>
      <c r="DA2296" s="169"/>
      <c r="DB2296" s="168"/>
      <c r="DC2296" s="165"/>
      <c r="DD2296" s="166"/>
      <c r="DE2296" s="71"/>
      <c r="DF2296" s="170"/>
      <c r="EO2296" s="375" t="str">
        <f t="shared" si="282"/>
        <v>SUCRE_COLOSO</v>
      </c>
      <c r="EP2296" s="376"/>
      <c r="EQ2296" s="376"/>
      <c r="ER2296" s="377"/>
      <c r="ES2296" s="376"/>
      <c r="ET2296" s="376"/>
      <c r="EU2296" s="376"/>
    </row>
    <row r="2297" spans="1:151" s="171" customFormat="1" ht="25.5" x14ac:dyDescent="0.2">
      <c r="A2297" s="242">
        <v>40527</v>
      </c>
      <c r="B2297" s="222" t="s">
        <v>2372</v>
      </c>
      <c r="C2297" s="222" t="s">
        <v>1847</v>
      </c>
      <c r="D2297" s="430" t="s">
        <v>837</v>
      </c>
      <c r="E2297" s="107" t="str">
        <f>VLOOKUP(B2297&amp;C2297,Divipola!$C$2:$F$1138,4,FALSE)</f>
        <v>70221</v>
      </c>
      <c r="F2297" s="333"/>
      <c r="G2297" s="221"/>
      <c r="H2297" s="157"/>
      <c r="I2297" s="157"/>
      <c r="J2297" s="157"/>
      <c r="K2297" s="157"/>
      <c r="L2297" s="157"/>
      <c r="M2297" s="157"/>
      <c r="N2297" s="157"/>
      <c r="O2297" s="157"/>
      <c r="P2297" s="157"/>
      <c r="Q2297" s="157"/>
      <c r="R2297" s="157"/>
      <c r="S2297" s="157"/>
      <c r="T2297" s="157"/>
      <c r="U2297" s="157"/>
      <c r="V2297" s="158"/>
      <c r="W2297" s="182"/>
      <c r="X2297" s="1"/>
      <c r="Y2297" s="78">
        <f t="shared" si="278"/>
        <v>70945000</v>
      </c>
      <c r="Z2297" s="78">
        <f t="shared" si="279"/>
        <v>29750000</v>
      </c>
      <c r="AA2297" s="78">
        <f t="shared" si="284"/>
        <v>0</v>
      </c>
      <c r="AB2297" s="78">
        <f t="shared" si="280"/>
        <v>0</v>
      </c>
      <c r="AC2297" s="78"/>
      <c r="AD2297" s="78">
        <v>0</v>
      </c>
      <c r="AE2297" s="80">
        <f t="shared" si="283"/>
        <v>100695000</v>
      </c>
      <c r="AF2297" s="82">
        <v>0</v>
      </c>
      <c r="AG2297" s="69"/>
      <c r="AH2297" s="84"/>
      <c r="AI2297" s="69" t="s">
        <v>2009</v>
      </c>
      <c r="AJ2297" s="25" t="s">
        <v>2010</v>
      </c>
      <c r="AK2297" s="65"/>
      <c r="AL2297" s="176"/>
      <c r="AM2297" s="173"/>
      <c r="AN2297" s="159"/>
      <c r="AO2297" s="160"/>
      <c r="AP2297" s="161"/>
      <c r="AQ2297" s="160"/>
      <c r="AR2297" s="160"/>
      <c r="AS2297" s="160"/>
      <c r="AT2297" s="160"/>
      <c r="AU2297" s="160"/>
      <c r="AV2297" s="160"/>
      <c r="AW2297" s="160"/>
      <c r="AX2297" s="160"/>
      <c r="AY2297" s="160"/>
      <c r="AZ2297" s="160"/>
      <c r="BA2297" s="160"/>
      <c r="BB2297" s="160">
        <v>700</v>
      </c>
      <c r="BC2297" s="160">
        <f>700*56000</f>
        <v>39200000</v>
      </c>
      <c r="BD2297" s="160"/>
      <c r="BE2297" s="160"/>
      <c r="BF2297" s="160"/>
      <c r="BG2297" s="160"/>
      <c r="BH2297" s="160"/>
      <c r="BI2297" s="160"/>
      <c r="BJ2297" s="160"/>
      <c r="BK2297" s="160"/>
      <c r="BL2297" s="160">
        <v>700</v>
      </c>
      <c r="BM2297" s="160">
        <f>700*25500</f>
        <v>17850000</v>
      </c>
      <c r="BN2297" s="160"/>
      <c r="BO2297" s="160"/>
      <c r="BP2297" s="160"/>
      <c r="BQ2297" s="160"/>
      <c r="BR2297" s="160"/>
      <c r="BS2297" s="160"/>
      <c r="BT2297" s="160"/>
      <c r="BU2297" s="160"/>
      <c r="BV2297" s="160"/>
      <c r="BW2297" s="160"/>
      <c r="BX2297" s="160"/>
      <c r="BY2297" s="160"/>
      <c r="BZ2297" s="160"/>
      <c r="CA2297" s="160"/>
      <c r="CB2297" s="160"/>
      <c r="CC2297" s="160"/>
      <c r="CD2297" s="160"/>
      <c r="CE2297" s="160"/>
      <c r="CF2297" s="160"/>
      <c r="CG2297" s="160"/>
      <c r="CH2297" s="160"/>
      <c r="CI2297" s="160"/>
      <c r="CJ2297" s="160"/>
      <c r="CK2297" s="160"/>
      <c r="CL2297" s="160"/>
      <c r="CM2297" s="160"/>
      <c r="CN2297" s="160"/>
      <c r="CO2297" s="160"/>
      <c r="CP2297" s="162"/>
      <c r="CQ2297" s="163"/>
      <c r="CR2297" s="162">
        <v>350</v>
      </c>
      <c r="CS2297" s="163">
        <f>350*39700</f>
        <v>13895000</v>
      </c>
      <c r="CT2297" s="162"/>
      <c r="CU2297" s="163"/>
      <c r="CV2297" s="164">
        <f t="shared" si="281"/>
        <v>70945000</v>
      </c>
      <c r="CW2297" s="165"/>
      <c r="CX2297" s="166"/>
      <c r="CY2297" s="167">
        <v>350</v>
      </c>
      <c r="CZ2297" s="168">
        <f>350*85000</f>
        <v>29750000</v>
      </c>
      <c r="DA2297" s="169"/>
      <c r="DB2297" s="168"/>
      <c r="DC2297" s="165"/>
      <c r="DD2297" s="166"/>
      <c r="DE2297" s="71"/>
      <c r="DF2297" s="170"/>
      <c r="EO2297" s="375" t="str">
        <f t="shared" si="282"/>
        <v>SUCRE_COVEÑAS</v>
      </c>
      <c r="EP2297" s="376"/>
      <c r="EQ2297" s="376"/>
      <c r="ER2297" s="377"/>
      <c r="ES2297" s="376"/>
      <c r="ET2297" s="376"/>
      <c r="EU2297" s="376"/>
    </row>
    <row r="2298" spans="1:151" s="171" customFormat="1" ht="25.5" x14ac:dyDescent="0.2">
      <c r="A2298" s="242">
        <v>40527</v>
      </c>
      <c r="B2298" s="222" t="s">
        <v>2791</v>
      </c>
      <c r="C2298" s="222" t="s">
        <v>2703</v>
      </c>
      <c r="D2298" s="430" t="s">
        <v>2209</v>
      </c>
      <c r="E2298" s="107" t="str">
        <f>VLOOKUP(B2298&amp;C2298,Divipola!$C$2:$F$1138,4,FALSE)</f>
        <v>73270</v>
      </c>
      <c r="F2298" s="333"/>
      <c r="G2298" s="221"/>
      <c r="H2298" s="157"/>
      <c r="I2298" s="157"/>
      <c r="J2298" s="157">
        <v>158</v>
      </c>
      <c r="K2298" s="157">
        <v>35</v>
      </c>
      <c r="L2298" s="157"/>
      <c r="M2298" s="157">
        <v>35</v>
      </c>
      <c r="N2298" s="157"/>
      <c r="O2298" s="157"/>
      <c r="P2298" s="157"/>
      <c r="Q2298" s="157"/>
      <c r="R2298" s="157"/>
      <c r="S2298" s="157"/>
      <c r="T2298" s="157"/>
      <c r="U2298" s="157"/>
      <c r="V2298" s="158"/>
      <c r="W2298" s="182"/>
      <c r="X2298" s="1"/>
      <c r="Y2298" s="78">
        <f t="shared" si="278"/>
        <v>0</v>
      </c>
      <c r="Z2298" s="78">
        <f t="shared" si="279"/>
        <v>0</v>
      </c>
      <c r="AA2298" s="78">
        <f t="shared" si="284"/>
        <v>0</v>
      </c>
      <c r="AB2298" s="78">
        <f t="shared" si="280"/>
        <v>0</v>
      </c>
      <c r="AC2298" s="78"/>
      <c r="AD2298" s="78">
        <v>0</v>
      </c>
      <c r="AE2298" s="80">
        <f t="shared" si="283"/>
        <v>0</v>
      </c>
      <c r="AF2298" s="82">
        <v>0</v>
      </c>
      <c r="AG2298" s="69">
        <v>40575</v>
      </c>
      <c r="AH2298" s="84"/>
      <c r="AI2298" s="69" t="s">
        <v>1984</v>
      </c>
      <c r="AJ2298" s="25" t="s">
        <v>1985</v>
      </c>
      <c r="AK2298" s="65"/>
      <c r="AL2298" s="176" t="s">
        <v>1257</v>
      </c>
      <c r="AM2298" s="173" t="s">
        <v>3743</v>
      </c>
      <c r="AN2298" s="159"/>
      <c r="AO2298" s="160"/>
      <c r="AP2298" s="161"/>
      <c r="AQ2298" s="160"/>
      <c r="AR2298" s="160"/>
      <c r="AS2298" s="160"/>
      <c r="AT2298" s="160"/>
      <c r="AU2298" s="160"/>
      <c r="AV2298" s="160"/>
      <c r="AW2298" s="160"/>
      <c r="AX2298" s="160"/>
      <c r="AY2298" s="160"/>
      <c r="AZ2298" s="160"/>
      <c r="BA2298" s="160"/>
      <c r="BB2298" s="160"/>
      <c r="BC2298" s="160"/>
      <c r="BD2298" s="160"/>
      <c r="BE2298" s="160"/>
      <c r="BF2298" s="160"/>
      <c r="BG2298" s="160"/>
      <c r="BH2298" s="160"/>
      <c r="BI2298" s="160"/>
      <c r="BJ2298" s="160"/>
      <c r="BK2298" s="160"/>
      <c r="BL2298" s="160"/>
      <c r="BM2298" s="160"/>
      <c r="BN2298" s="160"/>
      <c r="BO2298" s="160"/>
      <c r="BP2298" s="160"/>
      <c r="BQ2298" s="160"/>
      <c r="BR2298" s="160"/>
      <c r="BS2298" s="160"/>
      <c r="BT2298" s="160"/>
      <c r="BU2298" s="160"/>
      <c r="BV2298" s="160"/>
      <c r="BW2298" s="160"/>
      <c r="BX2298" s="160"/>
      <c r="BY2298" s="160"/>
      <c r="BZ2298" s="160"/>
      <c r="CA2298" s="160"/>
      <c r="CB2298" s="160"/>
      <c r="CC2298" s="160"/>
      <c r="CD2298" s="160"/>
      <c r="CE2298" s="160"/>
      <c r="CF2298" s="160"/>
      <c r="CG2298" s="160"/>
      <c r="CH2298" s="160"/>
      <c r="CI2298" s="160"/>
      <c r="CJ2298" s="160"/>
      <c r="CK2298" s="160"/>
      <c r="CL2298" s="160"/>
      <c r="CM2298" s="160"/>
      <c r="CN2298" s="160"/>
      <c r="CO2298" s="160"/>
      <c r="CP2298" s="162"/>
      <c r="CQ2298" s="163"/>
      <c r="CR2298" s="162"/>
      <c r="CS2298" s="163"/>
      <c r="CT2298" s="162"/>
      <c r="CU2298" s="163"/>
      <c r="CV2298" s="164">
        <f t="shared" si="281"/>
        <v>0</v>
      </c>
      <c r="CW2298" s="165"/>
      <c r="CX2298" s="166"/>
      <c r="CY2298" s="167"/>
      <c r="CZ2298" s="168"/>
      <c r="DA2298" s="169"/>
      <c r="DB2298" s="168"/>
      <c r="DC2298" s="165"/>
      <c r="DD2298" s="166"/>
      <c r="DE2298" s="71"/>
      <c r="DF2298" s="170"/>
      <c r="EO2298" s="375" t="str">
        <f t="shared" si="282"/>
        <v>TOLIMA_FALAN</v>
      </c>
      <c r="EP2298" s="376"/>
      <c r="EQ2298" s="376"/>
      <c r="ER2298" s="377"/>
      <c r="ES2298" s="376"/>
      <c r="ET2298" s="376"/>
      <c r="EU2298" s="376"/>
    </row>
    <row r="2299" spans="1:151" s="171" customFormat="1" ht="25.5" x14ac:dyDescent="0.2">
      <c r="A2299" s="242">
        <v>40527</v>
      </c>
      <c r="B2299" s="222" t="s">
        <v>2791</v>
      </c>
      <c r="C2299" s="222" t="s">
        <v>1099</v>
      </c>
      <c r="D2299" s="430" t="s">
        <v>837</v>
      </c>
      <c r="E2299" s="107" t="str">
        <f>VLOOKUP(B2299&amp;C2299,Divipola!$C$2:$F$1138,4,FALSE)</f>
        <v>73283</v>
      </c>
      <c r="F2299" s="333"/>
      <c r="G2299" s="221"/>
      <c r="H2299" s="157"/>
      <c r="I2299" s="157"/>
      <c r="J2299" s="157">
        <v>995</v>
      </c>
      <c r="K2299" s="157">
        <v>321</v>
      </c>
      <c r="L2299" s="157">
        <v>2</v>
      </c>
      <c r="M2299" s="157">
        <v>15</v>
      </c>
      <c r="N2299" s="157"/>
      <c r="O2299" s="157"/>
      <c r="P2299" s="157"/>
      <c r="Q2299" s="157"/>
      <c r="R2299" s="157"/>
      <c r="S2299" s="157"/>
      <c r="T2299" s="157"/>
      <c r="U2299" s="157"/>
      <c r="V2299" s="158">
        <v>870.65</v>
      </c>
      <c r="W2299" s="182"/>
      <c r="X2299" s="1"/>
      <c r="Y2299" s="78">
        <f t="shared" si="278"/>
        <v>0</v>
      </c>
      <c r="Z2299" s="78">
        <f t="shared" si="279"/>
        <v>0</v>
      </c>
      <c r="AA2299" s="78">
        <f t="shared" si="284"/>
        <v>0</v>
      </c>
      <c r="AB2299" s="78">
        <f t="shared" si="280"/>
        <v>0</v>
      </c>
      <c r="AC2299" s="78"/>
      <c r="AD2299" s="78">
        <v>0</v>
      </c>
      <c r="AE2299" s="80">
        <f t="shared" si="283"/>
        <v>0</v>
      </c>
      <c r="AF2299" s="82">
        <v>0</v>
      </c>
      <c r="AG2299" s="69">
        <v>40575</v>
      </c>
      <c r="AH2299" s="84"/>
      <c r="AI2299" s="69" t="s">
        <v>1984</v>
      </c>
      <c r="AJ2299" s="25" t="s">
        <v>1985</v>
      </c>
      <c r="AK2299" s="65"/>
      <c r="AL2299" s="176" t="s">
        <v>1257</v>
      </c>
      <c r="AM2299" s="173" t="s">
        <v>457</v>
      </c>
      <c r="AN2299" s="159"/>
      <c r="AO2299" s="160"/>
      <c r="AP2299" s="161"/>
      <c r="AQ2299" s="160"/>
      <c r="AR2299" s="160"/>
      <c r="AS2299" s="160"/>
      <c r="AT2299" s="160"/>
      <c r="AU2299" s="160"/>
      <c r="AV2299" s="160"/>
      <c r="AW2299" s="160"/>
      <c r="AX2299" s="160"/>
      <c r="AY2299" s="160"/>
      <c r="AZ2299" s="160"/>
      <c r="BA2299" s="160"/>
      <c r="BB2299" s="160"/>
      <c r="BC2299" s="160"/>
      <c r="BD2299" s="160"/>
      <c r="BE2299" s="160"/>
      <c r="BF2299" s="160"/>
      <c r="BG2299" s="160"/>
      <c r="BH2299" s="160"/>
      <c r="BI2299" s="160"/>
      <c r="BJ2299" s="160"/>
      <c r="BK2299" s="160"/>
      <c r="BL2299" s="160"/>
      <c r="BM2299" s="160"/>
      <c r="BN2299" s="160"/>
      <c r="BO2299" s="160"/>
      <c r="BP2299" s="160"/>
      <c r="BQ2299" s="160"/>
      <c r="BR2299" s="160"/>
      <c r="BS2299" s="160"/>
      <c r="BT2299" s="160"/>
      <c r="BU2299" s="160"/>
      <c r="BV2299" s="160"/>
      <c r="BW2299" s="160"/>
      <c r="BX2299" s="160"/>
      <c r="BY2299" s="160"/>
      <c r="BZ2299" s="160"/>
      <c r="CA2299" s="160"/>
      <c r="CB2299" s="160"/>
      <c r="CC2299" s="160"/>
      <c r="CD2299" s="160"/>
      <c r="CE2299" s="160"/>
      <c r="CF2299" s="160"/>
      <c r="CG2299" s="160"/>
      <c r="CH2299" s="160"/>
      <c r="CI2299" s="160"/>
      <c r="CJ2299" s="160"/>
      <c r="CK2299" s="160"/>
      <c r="CL2299" s="160"/>
      <c r="CM2299" s="160"/>
      <c r="CN2299" s="160"/>
      <c r="CO2299" s="160"/>
      <c r="CP2299" s="162"/>
      <c r="CQ2299" s="163"/>
      <c r="CR2299" s="162"/>
      <c r="CS2299" s="163"/>
      <c r="CT2299" s="162"/>
      <c r="CU2299" s="163"/>
      <c r="CV2299" s="164">
        <f t="shared" si="281"/>
        <v>0</v>
      </c>
      <c r="CW2299" s="165"/>
      <c r="CX2299" s="166"/>
      <c r="CY2299" s="167"/>
      <c r="CZ2299" s="168"/>
      <c r="DA2299" s="169"/>
      <c r="DB2299" s="168"/>
      <c r="DC2299" s="165"/>
      <c r="DD2299" s="166"/>
      <c r="DE2299" s="71"/>
      <c r="DF2299" s="170"/>
      <c r="EO2299" s="375" t="str">
        <f t="shared" si="282"/>
        <v>TOLIMA_FRESNO</v>
      </c>
      <c r="EP2299" s="376"/>
      <c r="EQ2299" s="376"/>
      <c r="ER2299" s="377"/>
      <c r="ES2299" s="376"/>
      <c r="ET2299" s="376"/>
      <c r="EU2299" s="376"/>
    </row>
    <row r="2300" spans="1:151" s="171" customFormat="1" ht="25.5" x14ac:dyDescent="0.2">
      <c r="A2300" s="242">
        <v>40527</v>
      </c>
      <c r="B2300" s="222" t="s">
        <v>2791</v>
      </c>
      <c r="C2300" s="222" t="s">
        <v>3831</v>
      </c>
      <c r="D2300" s="430" t="s">
        <v>2209</v>
      </c>
      <c r="E2300" s="107" t="str">
        <f>VLOOKUP(B2300&amp;C2300,Divipola!$C$2:$F$1138,4,FALSE)</f>
        <v>73347</v>
      </c>
      <c r="F2300" s="333"/>
      <c r="G2300" s="221"/>
      <c r="H2300" s="157"/>
      <c r="I2300" s="157"/>
      <c r="J2300" s="157">
        <v>131</v>
      </c>
      <c r="K2300" s="157">
        <v>29</v>
      </c>
      <c r="L2300" s="157"/>
      <c r="M2300" s="157"/>
      <c r="N2300" s="157">
        <v>18</v>
      </c>
      <c r="O2300" s="157"/>
      <c r="P2300" s="157"/>
      <c r="Q2300" s="157"/>
      <c r="R2300" s="157"/>
      <c r="S2300" s="157"/>
      <c r="T2300" s="157"/>
      <c r="U2300" s="157"/>
      <c r="V2300" s="158"/>
      <c r="W2300" s="182"/>
      <c r="X2300" s="1"/>
      <c r="Y2300" s="78">
        <f t="shared" si="278"/>
        <v>0</v>
      </c>
      <c r="Z2300" s="78">
        <f t="shared" si="279"/>
        <v>0</v>
      </c>
      <c r="AA2300" s="78">
        <f t="shared" si="284"/>
        <v>0</v>
      </c>
      <c r="AB2300" s="78">
        <f t="shared" si="280"/>
        <v>0</v>
      </c>
      <c r="AC2300" s="78"/>
      <c r="AD2300" s="78">
        <v>0</v>
      </c>
      <c r="AE2300" s="80">
        <f t="shared" si="283"/>
        <v>0</v>
      </c>
      <c r="AF2300" s="82">
        <v>0</v>
      </c>
      <c r="AG2300" s="69">
        <v>40575</v>
      </c>
      <c r="AH2300" s="84"/>
      <c r="AI2300" s="69" t="s">
        <v>1984</v>
      </c>
      <c r="AJ2300" s="25" t="s">
        <v>1985</v>
      </c>
      <c r="AK2300" s="65"/>
      <c r="AL2300" s="176" t="s">
        <v>1257</v>
      </c>
      <c r="AM2300" s="173" t="s">
        <v>457</v>
      </c>
      <c r="AN2300" s="159"/>
      <c r="AO2300" s="160"/>
      <c r="AP2300" s="161"/>
      <c r="AQ2300" s="160"/>
      <c r="AR2300" s="160"/>
      <c r="AS2300" s="160"/>
      <c r="AT2300" s="160"/>
      <c r="AU2300" s="160"/>
      <c r="AV2300" s="160"/>
      <c r="AW2300" s="160"/>
      <c r="AX2300" s="160"/>
      <c r="AY2300" s="160"/>
      <c r="AZ2300" s="160"/>
      <c r="BA2300" s="160"/>
      <c r="BB2300" s="160"/>
      <c r="BC2300" s="160"/>
      <c r="BD2300" s="160"/>
      <c r="BE2300" s="160"/>
      <c r="BF2300" s="160"/>
      <c r="BG2300" s="160"/>
      <c r="BH2300" s="160"/>
      <c r="BI2300" s="160"/>
      <c r="BJ2300" s="160"/>
      <c r="BK2300" s="160"/>
      <c r="BL2300" s="160"/>
      <c r="BM2300" s="160"/>
      <c r="BN2300" s="160"/>
      <c r="BO2300" s="160"/>
      <c r="BP2300" s="160"/>
      <c r="BQ2300" s="160"/>
      <c r="BR2300" s="160"/>
      <c r="BS2300" s="160"/>
      <c r="BT2300" s="160"/>
      <c r="BU2300" s="160"/>
      <c r="BV2300" s="160"/>
      <c r="BW2300" s="160"/>
      <c r="BX2300" s="160"/>
      <c r="BY2300" s="160"/>
      <c r="BZ2300" s="160"/>
      <c r="CA2300" s="160"/>
      <c r="CB2300" s="160"/>
      <c r="CC2300" s="160"/>
      <c r="CD2300" s="160"/>
      <c r="CE2300" s="160"/>
      <c r="CF2300" s="160"/>
      <c r="CG2300" s="160"/>
      <c r="CH2300" s="160"/>
      <c r="CI2300" s="160"/>
      <c r="CJ2300" s="160"/>
      <c r="CK2300" s="160"/>
      <c r="CL2300" s="160"/>
      <c r="CM2300" s="160"/>
      <c r="CN2300" s="160"/>
      <c r="CO2300" s="160"/>
      <c r="CP2300" s="162"/>
      <c r="CQ2300" s="163"/>
      <c r="CR2300" s="162"/>
      <c r="CS2300" s="163"/>
      <c r="CT2300" s="162"/>
      <c r="CU2300" s="163"/>
      <c r="CV2300" s="164">
        <f t="shared" si="281"/>
        <v>0</v>
      </c>
      <c r="CW2300" s="165"/>
      <c r="CX2300" s="166"/>
      <c r="CY2300" s="167"/>
      <c r="CZ2300" s="168"/>
      <c r="DA2300" s="169"/>
      <c r="DB2300" s="168"/>
      <c r="DC2300" s="165"/>
      <c r="DD2300" s="166"/>
      <c r="DE2300" s="71"/>
      <c r="DF2300" s="170"/>
      <c r="EO2300" s="375" t="str">
        <f t="shared" si="282"/>
        <v>TOLIMA_HERVEO</v>
      </c>
      <c r="EP2300" s="376"/>
      <c r="EQ2300" s="376"/>
      <c r="ER2300" s="377"/>
      <c r="ES2300" s="376"/>
      <c r="ET2300" s="376"/>
      <c r="EU2300" s="376"/>
    </row>
    <row r="2301" spans="1:151" s="171" customFormat="1" ht="25.5" x14ac:dyDescent="0.2">
      <c r="A2301" s="242">
        <v>40527</v>
      </c>
      <c r="B2301" s="222" t="s">
        <v>2791</v>
      </c>
      <c r="C2301" s="222" t="s">
        <v>2216</v>
      </c>
      <c r="D2301" s="430" t="s">
        <v>2209</v>
      </c>
      <c r="E2301" s="107" t="str">
        <f>VLOOKUP(B2301&amp;C2301,Divipola!$C$2:$F$1138,4,FALSE)</f>
        <v>73411</v>
      </c>
      <c r="F2301" s="333"/>
      <c r="G2301" s="221"/>
      <c r="H2301" s="157"/>
      <c r="I2301" s="157"/>
      <c r="J2301" s="157">
        <f>827*5</f>
        <v>4135</v>
      </c>
      <c r="K2301" s="157">
        <f>1200-127-246</f>
        <v>827</v>
      </c>
      <c r="L2301" s="157">
        <v>7</v>
      </c>
      <c r="M2301" s="157">
        <v>187</v>
      </c>
      <c r="N2301" s="157"/>
      <c r="O2301" s="157"/>
      <c r="P2301" s="157">
        <v>3</v>
      </c>
      <c r="Q2301" s="157"/>
      <c r="R2301" s="157"/>
      <c r="S2301" s="157"/>
      <c r="T2301" s="157">
        <v>7</v>
      </c>
      <c r="U2301" s="157"/>
      <c r="V2301" s="158">
        <v>366.25</v>
      </c>
      <c r="W2301" s="182"/>
      <c r="X2301" s="1"/>
      <c r="Y2301" s="78">
        <f t="shared" si="278"/>
        <v>0</v>
      </c>
      <c r="Z2301" s="78">
        <f t="shared" si="279"/>
        <v>0</v>
      </c>
      <c r="AA2301" s="78">
        <f t="shared" si="284"/>
        <v>0</v>
      </c>
      <c r="AB2301" s="78">
        <f t="shared" si="280"/>
        <v>0</v>
      </c>
      <c r="AC2301" s="78"/>
      <c r="AD2301" s="78">
        <v>0</v>
      </c>
      <c r="AE2301" s="80">
        <f t="shared" si="283"/>
        <v>0</v>
      </c>
      <c r="AF2301" s="82">
        <v>0</v>
      </c>
      <c r="AG2301" s="69">
        <v>40575</v>
      </c>
      <c r="AH2301" s="84"/>
      <c r="AI2301" s="69" t="s">
        <v>1984</v>
      </c>
      <c r="AJ2301" s="25" t="s">
        <v>1985</v>
      </c>
      <c r="AK2301" s="65"/>
      <c r="AL2301" s="176" t="s">
        <v>1257</v>
      </c>
      <c r="AM2301" s="173" t="s">
        <v>457</v>
      </c>
      <c r="AN2301" s="159"/>
      <c r="AO2301" s="160"/>
      <c r="AP2301" s="161"/>
      <c r="AQ2301" s="160"/>
      <c r="AR2301" s="160"/>
      <c r="AS2301" s="160"/>
      <c r="AT2301" s="160"/>
      <c r="AU2301" s="160"/>
      <c r="AV2301" s="160"/>
      <c r="AW2301" s="160"/>
      <c r="AX2301" s="160"/>
      <c r="AY2301" s="160"/>
      <c r="AZ2301" s="160"/>
      <c r="BA2301" s="160"/>
      <c r="BB2301" s="160"/>
      <c r="BC2301" s="160"/>
      <c r="BD2301" s="160"/>
      <c r="BE2301" s="160"/>
      <c r="BF2301" s="160"/>
      <c r="BG2301" s="160"/>
      <c r="BH2301" s="160"/>
      <c r="BI2301" s="160"/>
      <c r="BJ2301" s="160"/>
      <c r="BK2301" s="160"/>
      <c r="BL2301" s="160"/>
      <c r="BM2301" s="160"/>
      <c r="BN2301" s="160"/>
      <c r="BO2301" s="160"/>
      <c r="BP2301" s="160"/>
      <c r="BQ2301" s="160"/>
      <c r="BR2301" s="160"/>
      <c r="BS2301" s="160"/>
      <c r="BT2301" s="160"/>
      <c r="BU2301" s="160"/>
      <c r="BV2301" s="160"/>
      <c r="BW2301" s="160"/>
      <c r="BX2301" s="160"/>
      <c r="BY2301" s="160"/>
      <c r="BZ2301" s="160"/>
      <c r="CA2301" s="160"/>
      <c r="CB2301" s="160"/>
      <c r="CC2301" s="160"/>
      <c r="CD2301" s="160"/>
      <c r="CE2301" s="160"/>
      <c r="CF2301" s="160"/>
      <c r="CG2301" s="160"/>
      <c r="CH2301" s="160"/>
      <c r="CI2301" s="160"/>
      <c r="CJ2301" s="160"/>
      <c r="CK2301" s="160"/>
      <c r="CL2301" s="160"/>
      <c r="CM2301" s="160"/>
      <c r="CN2301" s="160"/>
      <c r="CO2301" s="160"/>
      <c r="CP2301" s="162"/>
      <c r="CQ2301" s="163"/>
      <c r="CR2301" s="162"/>
      <c r="CS2301" s="163"/>
      <c r="CT2301" s="162"/>
      <c r="CU2301" s="163"/>
      <c r="CV2301" s="164">
        <f t="shared" si="281"/>
        <v>0</v>
      </c>
      <c r="CW2301" s="165"/>
      <c r="CX2301" s="166"/>
      <c r="CY2301" s="167"/>
      <c r="CZ2301" s="168"/>
      <c r="DA2301" s="169"/>
      <c r="DB2301" s="168"/>
      <c r="DC2301" s="165"/>
      <c r="DD2301" s="166"/>
      <c r="DE2301" s="71"/>
      <c r="DF2301" s="170"/>
      <c r="EO2301" s="375" t="str">
        <f t="shared" si="282"/>
        <v>TOLIMA_LIBANO</v>
      </c>
      <c r="EP2301" s="376"/>
      <c r="EQ2301" s="376"/>
      <c r="ER2301" s="377"/>
      <c r="ES2301" s="376"/>
      <c r="ET2301" s="376"/>
      <c r="EU2301" s="376"/>
    </row>
    <row r="2302" spans="1:151" s="171" customFormat="1" ht="25.5" x14ac:dyDescent="0.2">
      <c r="A2302" s="242">
        <v>40527</v>
      </c>
      <c r="B2302" s="222" t="s">
        <v>2791</v>
      </c>
      <c r="C2302" s="222" t="s">
        <v>2704</v>
      </c>
      <c r="D2302" s="430" t="s">
        <v>2209</v>
      </c>
      <c r="E2302" s="107" t="str">
        <f>VLOOKUP(B2302&amp;C2302,Divipola!$C$2:$F$1138,4,FALSE)</f>
        <v>73520</v>
      </c>
      <c r="F2302" s="333"/>
      <c r="G2302" s="221"/>
      <c r="H2302" s="157"/>
      <c r="I2302" s="157"/>
      <c r="J2302" s="157">
        <v>86</v>
      </c>
      <c r="K2302" s="157">
        <v>19</v>
      </c>
      <c r="L2302" s="157">
        <v>1</v>
      </c>
      <c r="M2302" s="157">
        <v>15</v>
      </c>
      <c r="N2302" s="157"/>
      <c r="O2302" s="157"/>
      <c r="P2302" s="157"/>
      <c r="Q2302" s="157"/>
      <c r="R2302" s="157"/>
      <c r="S2302" s="157"/>
      <c r="T2302" s="157"/>
      <c r="U2302" s="157"/>
      <c r="V2302" s="158">
        <v>5</v>
      </c>
      <c r="W2302" s="182"/>
      <c r="X2302" s="1"/>
      <c r="Y2302" s="78">
        <f t="shared" si="278"/>
        <v>0</v>
      </c>
      <c r="Z2302" s="78">
        <f t="shared" si="279"/>
        <v>0</v>
      </c>
      <c r="AA2302" s="78">
        <f t="shared" si="284"/>
        <v>0</v>
      </c>
      <c r="AB2302" s="78">
        <f t="shared" si="280"/>
        <v>0</v>
      </c>
      <c r="AC2302" s="78"/>
      <c r="AD2302" s="78">
        <v>0</v>
      </c>
      <c r="AE2302" s="80">
        <f t="shared" si="283"/>
        <v>0</v>
      </c>
      <c r="AF2302" s="82">
        <v>0</v>
      </c>
      <c r="AG2302" s="69">
        <v>40575</v>
      </c>
      <c r="AH2302" s="84"/>
      <c r="AI2302" s="69" t="s">
        <v>1984</v>
      </c>
      <c r="AJ2302" s="25" t="s">
        <v>1985</v>
      </c>
      <c r="AK2302" s="65"/>
      <c r="AL2302" s="176" t="s">
        <v>1257</v>
      </c>
      <c r="AM2302" s="173" t="s">
        <v>457</v>
      </c>
      <c r="AN2302" s="159"/>
      <c r="AO2302" s="160"/>
      <c r="AP2302" s="161"/>
      <c r="AQ2302" s="160"/>
      <c r="AR2302" s="160"/>
      <c r="AS2302" s="160"/>
      <c r="AT2302" s="160"/>
      <c r="AU2302" s="160"/>
      <c r="AV2302" s="160"/>
      <c r="AW2302" s="160"/>
      <c r="AX2302" s="160"/>
      <c r="AY2302" s="160"/>
      <c r="AZ2302" s="160"/>
      <c r="BA2302" s="160"/>
      <c r="BB2302" s="160"/>
      <c r="BC2302" s="160"/>
      <c r="BD2302" s="160"/>
      <c r="BE2302" s="160"/>
      <c r="BF2302" s="160"/>
      <c r="BG2302" s="160"/>
      <c r="BH2302" s="160"/>
      <c r="BI2302" s="160"/>
      <c r="BJ2302" s="160"/>
      <c r="BK2302" s="160"/>
      <c r="BL2302" s="160"/>
      <c r="BM2302" s="160"/>
      <c r="BN2302" s="160"/>
      <c r="BO2302" s="160"/>
      <c r="BP2302" s="160"/>
      <c r="BQ2302" s="160"/>
      <c r="BR2302" s="160"/>
      <c r="BS2302" s="160"/>
      <c r="BT2302" s="160"/>
      <c r="BU2302" s="160"/>
      <c r="BV2302" s="160"/>
      <c r="BW2302" s="160"/>
      <c r="BX2302" s="160"/>
      <c r="BY2302" s="160"/>
      <c r="BZ2302" s="160"/>
      <c r="CA2302" s="160"/>
      <c r="CB2302" s="160"/>
      <c r="CC2302" s="160"/>
      <c r="CD2302" s="160"/>
      <c r="CE2302" s="160"/>
      <c r="CF2302" s="160"/>
      <c r="CG2302" s="160"/>
      <c r="CH2302" s="160"/>
      <c r="CI2302" s="160"/>
      <c r="CJ2302" s="160"/>
      <c r="CK2302" s="160"/>
      <c r="CL2302" s="160"/>
      <c r="CM2302" s="160"/>
      <c r="CN2302" s="160"/>
      <c r="CO2302" s="160"/>
      <c r="CP2302" s="162"/>
      <c r="CQ2302" s="163"/>
      <c r="CR2302" s="162"/>
      <c r="CS2302" s="163"/>
      <c r="CT2302" s="162"/>
      <c r="CU2302" s="163"/>
      <c r="CV2302" s="164">
        <f t="shared" si="281"/>
        <v>0</v>
      </c>
      <c r="CW2302" s="165"/>
      <c r="CX2302" s="166"/>
      <c r="CY2302" s="167"/>
      <c r="CZ2302" s="168"/>
      <c r="DA2302" s="169"/>
      <c r="DB2302" s="168"/>
      <c r="DC2302" s="165"/>
      <c r="DD2302" s="166"/>
      <c r="DE2302" s="71"/>
      <c r="DF2302" s="170"/>
      <c r="EO2302" s="375" t="str">
        <f t="shared" si="282"/>
        <v>TOLIMA_PALOCABILDO</v>
      </c>
      <c r="EP2302" s="376"/>
      <c r="EQ2302" s="376"/>
      <c r="ER2302" s="377"/>
      <c r="ES2302" s="376"/>
      <c r="ET2302" s="376"/>
      <c r="EU2302" s="376"/>
    </row>
    <row r="2303" spans="1:151" s="171" customFormat="1" ht="25.5" x14ac:dyDescent="0.2">
      <c r="A2303" s="242">
        <v>40527</v>
      </c>
      <c r="B2303" s="222" t="s">
        <v>2791</v>
      </c>
      <c r="C2303" s="222" t="s">
        <v>2630</v>
      </c>
      <c r="D2303" s="430" t="s">
        <v>2209</v>
      </c>
      <c r="E2303" s="107" t="str">
        <f>VLOOKUP(B2303&amp;C2303,Divipola!$C$2:$F$1138,4,FALSE)</f>
        <v>73675</v>
      </c>
      <c r="F2303" s="333"/>
      <c r="G2303" s="221"/>
      <c r="H2303" s="157"/>
      <c r="I2303" s="157"/>
      <c r="J2303" s="157">
        <v>198</v>
      </c>
      <c r="K2303" s="157">
        <v>44</v>
      </c>
      <c r="L2303" s="157">
        <v>5</v>
      </c>
      <c r="M2303" s="157">
        <v>28</v>
      </c>
      <c r="N2303" s="157">
        <v>1</v>
      </c>
      <c r="O2303" s="157"/>
      <c r="P2303" s="157">
        <v>3</v>
      </c>
      <c r="Q2303" s="157"/>
      <c r="R2303" s="157"/>
      <c r="S2303" s="157"/>
      <c r="T2303" s="157"/>
      <c r="U2303" s="157"/>
      <c r="V2303" s="158">
        <v>30</v>
      </c>
      <c r="W2303" s="182"/>
      <c r="X2303" s="1"/>
      <c r="Y2303" s="78">
        <f t="shared" si="278"/>
        <v>0</v>
      </c>
      <c r="Z2303" s="78">
        <f t="shared" si="279"/>
        <v>0</v>
      </c>
      <c r="AA2303" s="78">
        <f t="shared" si="284"/>
        <v>0</v>
      </c>
      <c r="AB2303" s="78">
        <f t="shared" si="280"/>
        <v>0</v>
      </c>
      <c r="AC2303" s="78"/>
      <c r="AD2303" s="78">
        <v>0</v>
      </c>
      <c r="AE2303" s="80">
        <f t="shared" si="283"/>
        <v>0</v>
      </c>
      <c r="AF2303" s="82">
        <v>0</v>
      </c>
      <c r="AG2303" s="69">
        <v>40575</v>
      </c>
      <c r="AH2303" s="84"/>
      <c r="AI2303" s="69" t="s">
        <v>1984</v>
      </c>
      <c r="AJ2303" s="25" t="s">
        <v>1985</v>
      </c>
      <c r="AK2303" s="65"/>
      <c r="AL2303" s="176" t="s">
        <v>1257</v>
      </c>
      <c r="AM2303" s="173" t="s">
        <v>457</v>
      </c>
      <c r="AN2303" s="159"/>
      <c r="AO2303" s="160"/>
      <c r="AP2303" s="161"/>
      <c r="AQ2303" s="160"/>
      <c r="AR2303" s="160"/>
      <c r="AS2303" s="160"/>
      <c r="AT2303" s="160"/>
      <c r="AU2303" s="160"/>
      <c r="AV2303" s="160"/>
      <c r="AW2303" s="160"/>
      <c r="AX2303" s="160"/>
      <c r="AY2303" s="160"/>
      <c r="AZ2303" s="160"/>
      <c r="BA2303" s="160"/>
      <c r="BB2303" s="160"/>
      <c r="BC2303" s="160"/>
      <c r="BD2303" s="160"/>
      <c r="BE2303" s="160"/>
      <c r="BF2303" s="160"/>
      <c r="BG2303" s="160"/>
      <c r="BH2303" s="160"/>
      <c r="BI2303" s="160"/>
      <c r="BJ2303" s="160"/>
      <c r="BK2303" s="160"/>
      <c r="BL2303" s="160"/>
      <c r="BM2303" s="160"/>
      <c r="BN2303" s="160"/>
      <c r="BO2303" s="160"/>
      <c r="BP2303" s="160"/>
      <c r="BQ2303" s="160"/>
      <c r="BR2303" s="160"/>
      <c r="BS2303" s="160"/>
      <c r="BT2303" s="160"/>
      <c r="BU2303" s="160"/>
      <c r="BV2303" s="160"/>
      <c r="BW2303" s="160"/>
      <c r="BX2303" s="160"/>
      <c r="BY2303" s="160"/>
      <c r="BZ2303" s="160"/>
      <c r="CA2303" s="160"/>
      <c r="CB2303" s="160"/>
      <c r="CC2303" s="160"/>
      <c r="CD2303" s="160"/>
      <c r="CE2303" s="160"/>
      <c r="CF2303" s="160"/>
      <c r="CG2303" s="160"/>
      <c r="CH2303" s="160"/>
      <c r="CI2303" s="160"/>
      <c r="CJ2303" s="160"/>
      <c r="CK2303" s="160"/>
      <c r="CL2303" s="160"/>
      <c r="CM2303" s="160"/>
      <c r="CN2303" s="160"/>
      <c r="CO2303" s="160"/>
      <c r="CP2303" s="162"/>
      <c r="CQ2303" s="163"/>
      <c r="CR2303" s="162"/>
      <c r="CS2303" s="163"/>
      <c r="CT2303" s="162"/>
      <c r="CU2303" s="163"/>
      <c r="CV2303" s="164">
        <f t="shared" si="281"/>
        <v>0</v>
      </c>
      <c r="CW2303" s="165"/>
      <c r="CX2303" s="166"/>
      <c r="CY2303" s="167"/>
      <c r="CZ2303" s="168"/>
      <c r="DA2303" s="169"/>
      <c r="DB2303" s="168"/>
      <c r="DC2303" s="165"/>
      <c r="DD2303" s="166"/>
      <c r="DE2303" s="71"/>
      <c r="DF2303" s="170"/>
      <c r="EO2303" s="375" t="str">
        <f t="shared" si="282"/>
        <v>TOLIMA_SAN ANTONIO</v>
      </c>
      <c r="EP2303" s="376"/>
      <c r="EQ2303" s="376"/>
      <c r="ER2303" s="377"/>
      <c r="ES2303" s="376"/>
      <c r="ET2303" s="376"/>
      <c r="EU2303" s="376"/>
    </row>
    <row r="2304" spans="1:151" s="171" customFormat="1" ht="25.5" x14ac:dyDescent="0.2">
      <c r="A2304" s="242">
        <v>40527</v>
      </c>
      <c r="B2304" s="222" t="s">
        <v>2017</v>
      </c>
      <c r="C2304" s="222" t="s">
        <v>1965</v>
      </c>
      <c r="D2304" s="430" t="s">
        <v>837</v>
      </c>
      <c r="E2304" s="107" t="str">
        <f>VLOOKUP(B2304&amp;C2304,Divipola!$C$2:$F$1138,4,FALSE)</f>
        <v>13490</v>
      </c>
      <c r="F2304" s="333"/>
      <c r="G2304" s="221"/>
      <c r="H2304" s="157"/>
      <c r="I2304" s="157"/>
      <c r="J2304" s="157">
        <f>702*5</f>
        <v>3510</v>
      </c>
      <c r="K2304" s="157">
        <v>702</v>
      </c>
      <c r="L2304" s="157"/>
      <c r="M2304" s="157"/>
      <c r="N2304" s="157"/>
      <c r="O2304" s="157"/>
      <c r="P2304" s="157"/>
      <c r="Q2304" s="157"/>
      <c r="R2304" s="157"/>
      <c r="S2304" s="157"/>
      <c r="T2304" s="157"/>
      <c r="U2304" s="157"/>
      <c r="V2304" s="158"/>
      <c r="W2304" s="182"/>
      <c r="X2304" s="1"/>
      <c r="Y2304" s="78">
        <f t="shared" si="278"/>
        <v>0</v>
      </c>
      <c r="Z2304" s="78">
        <f t="shared" si="279"/>
        <v>0</v>
      </c>
      <c r="AA2304" s="78">
        <f t="shared" si="284"/>
        <v>0</v>
      </c>
      <c r="AB2304" s="78">
        <f t="shared" si="280"/>
        <v>0</v>
      </c>
      <c r="AC2304" s="78"/>
      <c r="AD2304" s="78">
        <v>0</v>
      </c>
      <c r="AE2304" s="80">
        <f t="shared" si="283"/>
        <v>0</v>
      </c>
      <c r="AF2304" s="82">
        <v>0</v>
      </c>
      <c r="AG2304" s="69"/>
      <c r="AH2304" s="84"/>
      <c r="AI2304" s="69" t="s">
        <v>1984</v>
      </c>
      <c r="AJ2304" s="25" t="s">
        <v>1985</v>
      </c>
      <c r="AK2304" s="65"/>
      <c r="AL2304" s="176" t="s">
        <v>1257</v>
      </c>
      <c r="AM2304" s="173" t="s">
        <v>3783</v>
      </c>
      <c r="AN2304" s="159"/>
      <c r="AO2304" s="160"/>
      <c r="AP2304" s="161"/>
      <c r="AQ2304" s="160"/>
      <c r="AR2304" s="160"/>
      <c r="AS2304" s="160"/>
      <c r="AT2304" s="160"/>
      <c r="AU2304" s="160"/>
      <c r="AV2304" s="160"/>
      <c r="AW2304" s="160"/>
      <c r="AX2304" s="160"/>
      <c r="AY2304" s="160"/>
      <c r="AZ2304" s="160"/>
      <c r="BA2304" s="160"/>
      <c r="BB2304" s="160"/>
      <c r="BC2304" s="160"/>
      <c r="BD2304" s="160"/>
      <c r="BE2304" s="160"/>
      <c r="BF2304" s="160"/>
      <c r="BG2304" s="160"/>
      <c r="BH2304" s="160"/>
      <c r="BI2304" s="160"/>
      <c r="BJ2304" s="160"/>
      <c r="BK2304" s="160"/>
      <c r="BL2304" s="160"/>
      <c r="BM2304" s="160"/>
      <c r="BN2304" s="160"/>
      <c r="BO2304" s="160"/>
      <c r="BP2304" s="160"/>
      <c r="BQ2304" s="160"/>
      <c r="BR2304" s="160"/>
      <c r="BS2304" s="160"/>
      <c r="BT2304" s="160"/>
      <c r="BU2304" s="160"/>
      <c r="BV2304" s="160"/>
      <c r="BW2304" s="160"/>
      <c r="BX2304" s="160"/>
      <c r="BY2304" s="160"/>
      <c r="BZ2304" s="160"/>
      <c r="CA2304" s="160"/>
      <c r="CB2304" s="160"/>
      <c r="CC2304" s="160"/>
      <c r="CD2304" s="160"/>
      <c r="CE2304" s="160"/>
      <c r="CF2304" s="160"/>
      <c r="CG2304" s="160"/>
      <c r="CH2304" s="160"/>
      <c r="CI2304" s="160"/>
      <c r="CJ2304" s="160"/>
      <c r="CK2304" s="160"/>
      <c r="CL2304" s="160"/>
      <c r="CM2304" s="160"/>
      <c r="CN2304" s="160"/>
      <c r="CO2304" s="160"/>
      <c r="CP2304" s="162"/>
      <c r="CQ2304" s="163"/>
      <c r="CR2304" s="162"/>
      <c r="CS2304" s="163"/>
      <c r="CT2304" s="162"/>
      <c r="CU2304" s="163"/>
      <c r="CV2304" s="164">
        <f t="shared" si="281"/>
        <v>0</v>
      </c>
      <c r="CW2304" s="165"/>
      <c r="CX2304" s="166"/>
      <c r="CY2304" s="167"/>
      <c r="CZ2304" s="168"/>
      <c r="DA2304" s="169"/>
      <c r="DB2304" s="168"/>
      <c r="DC2304" s="165"/>
      <c r="DD2304" s="166"/>
      <c r="DE2304" s="71"/>
      <c r="DF2304" s="170"/>
      <c r="EO2304" s="375" t="str">
        <f t="shared" si="282"/>
        <v>BOLIVAR_NOROSI</v>
      </c>
      <c r="EP2304" s="376"/>
      <c r="EQ2304" s="376"/>
      <c r="ER2304" s="377"/>
      <c r="ES2304" s="376"/>
      <c r="ET2304" s="376"/>
      <c r="EU2304" s="376"/>
    </row>
    <row r="2305" spans="1:151" s="171" customFormat="1" ht="25.5" x14ac:dyDescent="0.2">
      <c r="A2305" s="242">
        <v>40528</v>
      </c>
      <c r="B2305" s="222" t="s">
        <v>1700</v>
      </c>
      <c r="C2305" s="222" t="s">
        <v>2690</v>
      </c>
      <c r="D2305" s="430" t="s">
        <v>837</v>
      </c>
      <c r="E2305" s="107" t="str">
        <f>VLOOKUP(B2305&amp;C2305,Divipola!$C$2:$F$1138,4,FALSE)</f>
        <v>23417</v>
      </c>
      <c r="F2305" s="333"/>
      <c r="G2305" s="221"/>
      <c r="H2305" s="157"/>
      <c r="I2305" s="157"/>
      <c r="J2305" s="157">
        <f>486*5</f>
        <v>2430</v>
      </c>
      <c r="K2305" s="157">
        <f>6823-12-6325</f>
        <v>486</v>
      </c>
      <c r="L2305" s="157">
        <v>15</v>
      </c>
      <c r="M2305" s="157">
        <v>443</v>
      </c>
      <c r="N2305" s="157"/>
      <c r="O2305" s="157"/>
      <c r="P2305" s="157"/>
      <c r="Q2305" s="157"/>
      <c r="R2305" s="157"/>
      <c r="S2305" s="157"/>
      <c r="T2305" s="157"/>
      <c r="U2305" s="157"/>
      <c r="V2305" s="158"/>
      <c r="W2305" s="182"/>
      <c r="X2305" s="1"/>
      <c r="Y2305" s="78">
        <f t="shared" si="278"/>
        <v>0</v>
      </c>
      <c r="Z2305" s="78">
        <f t="shared" si="279"/>
        <v>579955000</v>
      </c>
      <c r="AA2305" s="78">
        <f t="shared" si="284"/>
        <v>0</v>
      </c>
      <c r="AB2305" s="78">
        <f t="shared" si="280"/>
        <v>0</v>
      </c>
      <c r="AC2305" s="78"/>
      <c r="AD2305" s="78">
        <v>0</v>
      </c>
      <c r="AE2305" s="80">
        <f t="shared" si="283"/>
        <v>579955000</v>
      </c>
      <c r="AF2305" s="82">
        <v>0</v>
      </c>
      <c r="AG2305" s="69"/>
      <c r="AH2305" s="84"/>
      <c r="AI2305" s="69" t="s">
        <v>2009</v>
      </c>
      <c r="AJ2305" s="25" t="s">
        <v>2010</v>
      </c>
      <c r="AK2305" s="65"/>
      <c r="AL2305" s="176"/>
      <c r="AM2305" s="173" t="s">
        <v>3796</v>
      </c>
      <c r="AN2305" s="159"/>
      <c r="AO2305" s="160"/>
      <c r="AP2305" s="161"/>
      <c r="AQ2305" s="160"/>
      <c r="AR2305" s="160"/>
      <c r="AS2305" s="160"/>
      <c r="AT2305" s="160"/>
      <c r="AU2305" s="160"/>
      <c r="AV2305" s="160"/>
      <c r="AW2305" s="160"/>
      <c r="AX2305" s="160"/>
      <c r="AY2305" s="160"/>
      <c r="AZ2305" s="160"/>
      <c r="BA2305" s="160"/>
      <c r="BB2305" s="160"/>
      <c r="BC2305" s="160"/>
      <c r="BD2305" s="160"/>
      <c r="BE2305" s="160"/>
      <c r="BF2305" s="160"/>
      <c r="BG2305" s="160"/>
      <c r="BH2305" s="160"/>
      <c r="BI2305" s="160"/>
      <c r="BJ2305" s="160"/>
      <c r="BK2305" s="160"/>
      <c r="BL2305" s="160"/>
      <c r="BM2305" s="160"/>
      <c r="BN2305" s="160"/>
      <c r="BO2305" s="160"/>
      <c r="BP2305" s="160"/>
      <c r="BQ2305" s="160"/>
      <c r="BR2305" s="160"/>
      <c r="BS2305" s="160"/>
      <c r="BT2305" s="160"/>
      <c r="BU2305" s="160"/>
      <c r="BV2305" s="160"/>
      <c r="BW2305" s="160"/>
      <c r="BX2305" s="160"/>
      <c r="BY2305" s="160"/>
      <c r="BZ2305" s="160"/>
      <c r="CA2305" s="160"/>
      <c r="CB2305" s="160"/>
      <c r="CC2305" s="160"/>
      <c r="CD2305" s="160"/>
      <c r="CE2305" s="160"/>
      <c r="CF2305" s="160"/>
      <c r="CG2305" s="160"/>
      <c r="CH2305" s="160"/>
      <c r="CI2305" s="160"/>
      <c r="CJ2305" s="160"/>
      <c r="CK2305" s="160"/>
      <c r="CL2305" s="160"/>
      <c r="CM2305" s="160"/>
      <c r="CN2305" s="160"/>
      <c r="CO2305" s="160"/>
      <c r="CP2305" s="162"/>
      <c r="CQ2305" s="163"/>
      <c r="CR2305" s="162"/>
      <c r="CS2305" s="163"/>
      <c r="CT2305" s="162"/>
      <c r="CU2305" s="163"/>
      <c r="CV2305" s="164">
        <f t="shared" si="281"/>
        <v>0</v>
      </c>
      <c r="CW2305" s="165"/>
      <c r="CX2305" s="166"/>
      <c r="CY2305" s="167">
        <v>6823</v>
      </c>
      <c r="CZ2305" s="168">
        <f>6823*85000</f>
        <v>579955000</v>
      </c>
      <c r="DA2305" s="169"/>
      <c r="DB2305" s="168"/>
      <c r="DC2305" s="165"/>
      <c r="DD2305" s="166"/>
      <c r="DE2305" s="71"/>
      <c r="DF2305" s="170"/>
      <c r="EO2305" s="375" t="str">
        <f t="shared" si="282"/>
        <v>CORDOBA_LORICA</v>
      </c>
      <c r="EP2305" s="376"/>
      <c r="EQ2305" s="376"/>
      <c r="ER2305" s="377"/>
      <c r="ES2305" s="376"/>
      <c r="ET2305" s="376"/>
      <c r="EU2305" s="376"/>
    </row>
    <row r="2306" spans="1:151" s="171" customFormat="1" ht="45" x14ac:dyDescent="0.2">
      <c r="A2306" s="242">
        <v>40528</v>
      </c>
      <c r="B2306" s="222" t="s">
        <v>1700</v>
      </c>
      <c r="C2306" s="222" t="s">
        <v>3825</v>
      </c>
      <c r="D2306" s="430" t="s">
        <v>837</v>
      </c>
      <c r="E2306" s="107" t="str">
        <f>VLOOKUP(B2306&amp;C2306,Divipola!$C$2:$F$1138,4,FALSE)</f>
        <v>23855</v>
      </c>
      <c r="F2306" s="333"/>
      <c r="G2306" s="221"/>
      <c r="H2306" s="157"/>
      <c r="I2306" s="157"/>
      <c r="J2306" s="157">
        <v>1200</v>
      </c>
      <c r="K2306" s="157">
        <v>280</v>
      </c>
      <c r="L2306" s="157"/>
      <c r="M2306" s="157">
        <v>213</v>
      </c>
      <c r="N2306" s="157"/>
      <c r="O2306" s="157"/>
      <c r="P2306" s="157"/>
      <c r="Q2306" s="157"/>
      <c r="R2306" s="157"/>
      <c r="S2306" s="157"/>
      <c r="T2306" s="157"/>
      <c r="U2306" s="157"/>
      <c r="V2306" s="158"/>
      <c r="W2306" s="182"/>
      <c r="X2306" s="1"/>
      <c r="Y2306" s="78">
        <f t="shared" si="278"/>
        <v>0</v>
      </c>
      <c r="Z2306" s="78">
        <f t="shared" si="279"/>
        <v>0</v>
      </c>
      <c r="AA2306" s="78">
        <f t="shared" si="284"/>
        <v>0</v>
      </c>
      <c r="AB2306" s="78">
        <f t="shared" si="280"/>
        <v>0</v>
      </c>
      <c r="AC2306" s="78"/>
      <c r="AD2306" s="78">
        <v>0</v>
      </c>
      <c r="AE2306" s="80">
        <f t="shared" si="283"/>
        <v>0</v>
      </c>
      <c r="AF2306" s="82">
        <v>0</v>
      </c>
      <c r="AG2306" s="69">
        <v>40528</v>
      </c>
      <c r="AH2306" s="84"/>
      <c r="AI2306" s="69" t="s">
        <v>2009</v>
      </c>
      <c r="AJ2306" s="276" t="s">
        <v>2010</v>
      </c>
      <c r="AK2306" s="65"/>
      <c r="AL2306" s="272" t="s">
        <v>311</v>
      </c>
      <c r="AM2306" s="173" t="s">
        <v>3852</v>
      </c>
      <c r="AN2306" s="159"/>
      <c r="AO2306" s="160"/>
      <c r="AP2306" s="161"/>
      <c r="AQ2306" s="160"/>
      <c r="AR2306" s="160"/>
      <c r="AS2306" s="160"/>
      <c r="AT2306" s="160"/>
      <c r="AU2306" s="160"/>
      <c r="AV2306" s="160"/>
      <c r="AW2306" s="160"/>
      <c r="AX2306" s="160"/>
      <c r="AY2306" s="160"/>
      <c r="AZ2306" s="160"/>
      <c r="BA2306" s="160"/>
      <c r="BB2306" s="160"/>
      <c r="BC2306" s="160"/>
      <c r="BD2306" s="160"/>
      <c r="BE2306" s="160"/>
      <c r="BF2306" s="160"/>
      <c r="BG2306" s="160"/>
      <c r="BH2306" s="160"/>
      <c r="BI2306" s="160"/>
      <c r="BJ2306" s="160"/>
      <c r="BK2306" s="160"/>
      <c r="BL2306" s="160"/>
      <c r="BM2306" s="160"/>
      <c r="BN2306" s="160"/>
      <c r="BO2306" s="160"/>
      <c r="BP2306" s="160"/>
      <c r="BQ2306" s="160"/>
      <c r="BR2306" s="160"/>
      <c r="BS2306" s="160"/>
      <c r="BT2306" s="160"/>
      <c r="BU2306" s="160"/>
      <c r="BV2306" s="160"/>
      <c r="BW2306" s="160"/>
      <c r="BX2306" s="160"/>
      <c r="BY2306" s="160"/>
      <c r="BZ2306" s="160"/>
      <c r="CA2306" s="160"/>
      <c r="CB2306" s="160"/>
      <c r="CC2306" s="160"/>
      <c r="CD2306" s="160"/>
      <c r="CE2306" s="160"/>
      <c r="CF2306" s="160"/>
      <c r="CG2306" s="160"/>
      <c r="CH2306" s="160"/>
      <c r="CI2306" s="160"/>
      <c r="CJ2306" s="160"/>
      <c r="CK2306" s="160"/>
      <c r="CL2306" s="160"/>
      <c r="CM2306" s="160"/>
      <c r="CN2306" s="160"/>
      <c r="CO2306" s="160"/>
      <c r="CP2306" s="162"/>
      <c r="CQ2306" s="163"/>
      <c r="CR2306" s="162"/>
      <c r="CS2306" s="163"/>
      <c r="CT2306" s="162"/>
      <c r="CU2306" s="163"/>
      <c r="CV2306" s="164">
        <f t="shared" si="281"/>
        <v>0</v>
      </c>
      <c r="CW2306" s="165"/>
      <c r="CX2306" s="166"/>
      <c r="CY2306" s="167"/>
      <c r="CZ2306" s="168"/>
      <c r="DA2306" s="169"/>
      <c r="DB2306" s="168"/>
      <c r="DC2306" s="165"/>
      <c r="DD2306" s="166"/>
      <c r="DE2306" s="71"/>
      <c r="DF2306" s="170"/>
      <c r="EO2306" s="375" t="str">
        <f t="shared" si="282"/>
        <v>CORDOBA_VALENCIA</v>
      </c>
      <c r="EP2306" s="376"/>
      <c r="EQ2306" s="376"/>
      <c r="ER2306" s="377"/>
      <c r="ES2306" s="376"/>
      <c r="ET2306" s="376"/>
      <c r="EU2306" s="376"/>
    </row>
    <row r="2307" spans="1:151" s="171" customFormat="1" ht="48" x14ac:dyDescent="0.2">
      <c r="A2307" s="242">
        <v>40528</v>
      </c>
      <c r="B2307" s="222" t="s">
        <v>2007</v>
      </c>
      <c r="C2307" s="222" t="s">
        <v>1356</v>
      </c>
      <c r="D2307" s="430" t="s">
        <v>837</v>
      </c>
      <c r="E2307" s="107" t="str">
        <f>VLOOKUP(B2307&amp;C2307,Divipola!$C$2:$F$1138,4,FALSE)</f>
        <v>25599</v>
      </c>
      <c r="F2307" s="333"/>
      <c r="G2307" s="221"/>
      <c r="H2307" s="157"/>
      <c r="I2307" s="157"/>
      <c r="J2307" s="157">
        <v>213</v>
      </c>
      <c r="K2307" s="157">
        <v>56</v>
      </c>
      <c r="L2307" s="157">
        <v>42</v>
      </c>
      <c r="M2307" s="157">
        <v>14</v>
      </c>
      <c r="N2307" s="157"/>
      <c r="O2307" s="157"/>
      <c r="P2307" s="157"/>
      <c r="Q2307" s="157"/>
      <c r="R2307" s="157"/>
      <c r="S2307" s="157"/>
      <c r="T2307" s="157"/>
      <c r="U2307" s="157"/>
      <c r="V2307" s="158"/>
      <c r="W2307" s="182"/>
      <c r="X2307" s="1"/>
      <c r="Y2307" s="78">
        <f t="shared" ref="Y2307:Y2370" si="285">CV2307</f>
        <v>0</v>
      </c>
      <c r="Z2307" s="78">
        <f t="shared" ref="Z2307:Z2370" si="286">CZ2307</f>
        <v>0</v>
      </c>
      <c r="AA2307" s="78">
        <f t="shared" si="284"/>
        <v>0</v>
      </c>
      <c r="AB2307" s="78">
        <f t="shared" ref="AB2307:AB2370" si="287">CX2307</f>
        <v>0</v>
      </c>
      <c r="AC2307" s="78"/>
      <c r="AD2307" s="78">
        <v>0</v>
      </c>
      <c r="AE2307" s="80">
        <f t="shared" si="283"/>
        <v>0</v>
      </c>
      <c r="AF2307" s="82">
        <v>0</v>
      </c>
      <c r="AG2307" s="69">
        <v>40528</v>
      </c>
      <c r="AH2307" s="84"/>
      <c r="AI2307" s="69" t="s">
        <v>1984</v>
      </c>
      <c r="AJ2307" s="25" t="s">
        <v>1985</v>
      </c>
      <c r="AK2307" s="65"/>
      <c r="AL2307" s="176" t="s">
        <v>1257</v>
      </c>
      <c r="AM2307" s="173" t="s">
        <v>63</v>
      </c>
      <c r="AN2307" s="159"/>
      <c r="AO2307" s="160"/>
      <c r="AP2307" s="161"/>
      <c r="AQ2307" s="160"/>
      <c r="AR2307" s="160"/>
      <c r="AS2307" s="160"/>
      <c r="AT2307" s="160"/>
      <c r="AU2307" s="160"/>
      <c r="AV2307" s="160"/>
      <c r="AW2307" s="160"/>
      <c r="AX2307" s="160"/>
      <c r="AY2307" s="160"/>
      <c r="AZ2307" s="160"/>
      <c r="BA2307" s="160"/>
      <c r="BB2307" s="160"/>
      <c r="BC2307" s="160"/>
      <c r="BD2307" s="160"/>
      <c r="BE2307" s="160"/>
      <c r="BF2307" s="160"/>
      <c r="BG2307" s="160"/>
      <c r="BH2307" s="160"/>
      <c r="BI2307" s="160"/>
      <c r="BJ2307" s="160"/>
      <c r="BK2307" s="160"/>
      <c r="BL2307" s="160"/>
      <c r="BM2307" s="160"/>
      <c r="BN2307" s="160"/>
      <c r="BO2307" s="160"/>
      <c r="BP2307" s="160"/>
      <c r="BQ2307" s="160"/>
      <c r="BR2307" s="160"/>
      <c r="BS2307" s="160"/>
      <c r="BT2307" s="160"/>
      <c r="BU2307" s="160"/>
      <c r="BV2307" s="160"/>
      <c r="BW2307" s="160"/>
      <c r="BX2307" s="160"/>
      <c r="BY2307" s="160"/>
      <c r="BZ2307" s="160"/>
      <c r="CA2307" s="160"/>
      <c r="CB2307" s="160"/>
      <c r="CC2307" s="160"/>
      <c r="CD2307" s="160"/>
      <c r="CE2307" s="160"/>
      <c r="CF2307" s="160"/>
      <c r="CG2307" s="160"/>
      <c r="CH2307" s="160"/>
      <c r="CI2307" s="160"/>
      <c r="CJ2307" s="160"/>
      <c r="CK2307" s="160"/>
      <c r="CL2307" s="160"/>
      <c r="CM2307" s="160"/>
      <c r="CN2307" s="160"/>
      <c r="CO2307" s="160"/>
      <c r="CP2307" s="162"/>
      <c r="CQ2307" s="163"/>
      <c r="CR2307" s="162"/>
      <c r="CS2307" s="163"/>
      <c r="CT2307" s="162"/>
      <c r="CU2307" s="163"/>
      <c r="CV2307" s="164">
        <f t="shared" ref="CV2307:CV2370" si="288">AO2307+AQ2307+AS2307+AU2307+AW2307+AY2307+BA2307+BC2307+BE2307+BG2307+BI2307+BK2307+BM2307+BO2307+BQ2307+BS2307+BU2307+BW2307+BY2307+CA2307+CC2307+CE2307+CG2307+CI2307+CK2307+CM2307+CO2307+CQ2307+CS2307+CU2307</f>
        <v>0</v>
      </c>
      <c r="CW2307" s="165"/>
      <c r="CX2307" s="166"/>
      <c r="CY2307" s="167"/>
      <c r="CZ2307" s="168"/>
      <c r="DA2307" s="169"/>
      <c r="DB2307" s="168"/>
      <c r="DC2307" s="165"/>
      <c r="DD2307" s="166"/>
      <c r="DE2307" s="71"/>
      <c r="DF2307" s="170"/>
      <c r="EO2307" s="375" t="str">
        <f t="shared" ref="EO2307:EO2368" si="289">B2307&amp;"_"&amp;C2307</f>
        <v>CUNDINAMARCA_APULO</v>
      </c>
      <c r="EP2307" s="376"/>
      <c r="EQ2307" s="376"/>
      <c r="ER2307" s="377"/>
      <c r="ES2307" s="376"/>
      <c r="ET2307" s="376"/>
      <c r="EU2307" s="376"/>
    </row>
    <row r="2308" spans="1:151" s="171" customFormat="1" ht="38.25" x14ac:dyDescent="0.2">
      <c r="A2308" s="242">
        <v>40528</v>
      </c>
      <c r="B2308" s="222" t="s">
        <v>2007</v>
      </c>
      <c r="C2308" s="222" t="s">
        <v>2386</v>
      </c>
      <c r="D2308" s="430" t="s">
        <v>2307</v>
      </c>
      <c r="E2308" s="107" t="str">
        <f>VLOOKUP(B2308&amp;C2308,Divipola!$C$2:$F$1138,4,FALSE)</f>
        <v>25386</v>
      </c>
      <c r="F2308" s="333"/>
      <c r="G2308" s="221"/>
      <c r="H2308" s="157"/>
      <c r="I2308" s="157"/>
      <c r="J2308" s="157">
        <v>5</v>
      </c>
      <c r="K2308" s="157">
        <v>1</v>
      </c>
      <c r="L2308" s="157"/>
      <c r="M2308" s="157">
        <v>1</v>
      </c>
      <c r="N2308" s="157"/>
      <c r="O2308" s="157"/>
      <c r="P2308" s="157"/>
      <c r="Q2308" s="157"/>
      <c r="R2308" s="157"/>
      <c r="S2308" s="157"/>
      <c r="T2308" s="157"/>
      <c r="U2308" s="157"/>
      <c r="V2308" s="158"/>
      <c r="W2308" s="182"/>
      <c r="X2308" s="1"/>
      <c r="Y2308" s="78">
        <f t="shared" si="285"/>
        <v>0</v>
      </c>
      <c r="Z2308" s="78">
        <f t="shared" si="286"/>
        <v>0</v>
      </c>
      <c r="AA2308" s="78">
        <f t="shared" si="284"/>
        <v>0</v>
      </c>
      <c r="AB2308" s="78">
        <f t="shared" si="287"/>
        <v>0</v>
      </c>
      <c r="AC2308" s="78"/>
      <c r="AD2308" s="78">
        <v>0</v>
      </c>
      <c r="AE2308" s="80">
        <f t="shared" si="283"/>
        <v>0</v>
      </c>
      <c r="AF2308" s="82">
        <v>0</v>
      </c>
      <c r="AG2308" s="69">
        <v>40528</v>
      </c>
      <c r="AH2308" s="84"/>
      <c r="AI2308" s="69" t="s">
        <v>1984</v>
      </c>
      <c r="AJ2308" s="25" t="s">
        <v>1985</v>
      </c>
      <c r="AK2308" s="65"/>
      <c r="AL2308" s="176" t="s">
        <v>1257</v>
      </c>
      <c r="AM2308" s="173" t="s">
        <v>64</v>
      </c>
      <c r="AN2308" s="159"/>
      <c r="AO2308" s="160"/>
      <c r="AP2308" s="161"/>
      <c r="AQ2308" s="160"/>
      <c r="AR2308" s="160"/>
      <c r="AS2308" s="160"/>
      <c r="AT2308" s="160"/>
      <c r="AU2308" s="160"/>
      <c r="AV2308" s="160"/>
      <c r="AW2308" s="160"/>
      <c r="AX2308" s="160"/>
      <c r="AY2308" s="160"/>
      <c r="AZ2308" s="160"/>
      <c r="BA2308" s="160"/>
      <c r="BB2308" s="160"/>
      <c r="BC2308" s="160"/>
      <c r="BD2308" s="160"/>
      <c r="BE2308" s="160"/>
      <c r="BF2308" s="160"/>
      <c r="BG2308" s="160"/>
      <c r="BH2308" s="160"/>
      <c r="BI2308" s="160"/>
      <c r="BJ2308" s="160"/>
      <c r="BK2308" s="160"/>
      <c r="BL2308" s="160"/>
      <c r="BM2308" s="160"/>
      <c r="BN2308" s="160"/>
      <c r="BO2308" s="160"/>
      <c r="BP2308" s="160"/>
      <c r="BQ2308" s="160"/>
      <c r="BR2308" s="160"/>
      <c r="BS2308" s="160"/>
      <c r="BT2308" s="160"/>
      <c r="BU2308" s="160"/>
      <c r="BV2308" s="160"/>
      <c r="BW2308" s="160"/>
      <c r="BX2308" s="160"/>
      <c r="BY2308" s="160"/>
      <c r="BZ2308" s="160"/>
      <c r="CA2308" s="160"/>
      <c r="CB2308" s="160"/>
      <c r="CC2308" s="160"/>
      <c r="CD2308" s="160"/>
      <c r="CE2308" s="160"/>
      <c r="CF2308" s="160"/>
      <c r="CG2308" s="160"/>
      <c r="CH2308" s="160"/>
      <c r="CI2308" s="160"/>
      <c r="CJ2308" s="160"/>
      <c r="CK2308" s="160"/>
      <c r="CL2308" s="160"/>
      <c r="CM2308" s="160"/>
      <c r="CN2308" s="160"/>
      <c r="CO2308" s="160"/>
      <c r="CP2308" s="162"/>
      <c r="CQ2308" s="163"/>
      <c r="CR2308" s="162"/>
      <c r="CS2308" s="163"/>
      <c r="CT2308" s="162"/>
      <c r="CU2308" s="163"/>
      <c r="CV2308" s="164">
        <f t="shared" si="288"/>
        <v>0</v>
      </c>
      <c r="CW2308" s="165"/>
      <c r="CX2308" s="166"/>
      <c r="CY2308" s="167"/>
      <c r="CZ2308" s="168"/>
      <c r="DA2308" s="169"/>
      <c r="DB2308" s="168"/>
      <c r="DC2308" s="165"/>
      <c r="DD2308" s="166"/>
      <c r="DE2308" s="71"/>
      <c r="DF2308" s="170"/>
      <c r="EO2308" s="375" t="str">
        <f t="shared" si="289"/>
        <v>CUNDINAMARCA_LA MESA</v>
      </c>
      <c r="EP2308" s="376"/>
      <c r="EQ2308" s="376"/>
      <c r="ER2308" s="377"/>
      <c r="ES2308" s="376"/>
      <c r="ET2308" s="376"/>
      <c r="EU2308" s="376"/>
    </row>
    <row r="2309" spans="1:151" s="171" customFormat="1" ht="38.25" x14ac:dyDescent="0.2">
      <c r="A2309" s="242">
        <v>40528</v>
      </c>
      <c r="B2309" s="222" t="s">
        <v>2007</v>
      </c>
      <c r="C2309" s="222" t="s">
        <v>3143</v>
      </c>
      <c r="D2309" s="430" t="s">
        <v>837</v>
      </c>
      <c r="E2309" s="107" t="str">
        <f>VLOOKUP(B2309&amp;C2309,Divipola!$C$2:$F$1138,4,FALSE)</f>
        <v>25402</v>
      </c>
      <c r="F2309" s="333"/>
      <c r="G2309" s="221"/>
      <c r="H2309" s="157"/>
      <c r="I2309" s="157"/>
      <c r="J2309" s="157">
        <v>207</v>
      </c>
      <c r="K2309" s="157">
        <v>50</v>
      </c>
      <c r="L2309" s="157"/>
      <c r="M2309" s="157">
        <v>50</v>
      </c>
      <c r="N2309" s="157"/>
      <c r="O2309" s="157"/>
      <c r="P2309" s="157"/>
      <c r="Q2309" s="157"/>
      <c r="R2309" s="157"/>
      <c r="S2309" s="157"/>
      <c r="T2309" s="157"/>
      <c r="U2309" s="157"/>
      <c r="V2309" s="158"/>
      <c r="W2309" s="182"/>
      <c r="X2309" s="1"/>
      <c r="Y2309" s="78">
        <f t="shared" si="285"/>
        <v>0</v>
      </c>
      <c r="Z2309" s="78">
        <f t="shared" si="286"/>
        <v>0</v>
      </c>
      <c r="AA2309" s="78">
        <f t="shared" si="284"/>
        <v>0</v>
      </c>
      <c r="AB2309" s="78">
        <f t="shared" si="287"/>
        <v>0</v>
      </c>
      <c r="AC2309" s="78"/>
      <c r="AD2309" s="78">
        <v>0</v>
      </c>
      <c r="AE2309" s="80">
        <f t="shared" si="283"/>
        <v>0</v>
      </c>
      <c r="AF2309" s="82">
        <v>0</v>
      </c>
      <c r="AG2309" s="69">
        <v>40528</v>
      </c>
      <c r="AH2309" s="84"/>
      <c r="AI2309" s="69" t="s">
        <v>1984</v>
      </c>
      <c r="AJ2309" s="25" t="s">
        <v>1985</v>
      </c>
      <c r="AK2309" s="65"/>
      <c r="AL2309" s="176" t="s">
        <v>1257</v>
      </c>
      <c r="AM2309" s="173" t="s">
        <v>67</v>
      </c>
      <c r="AN2309" s="159"/>
      <c r="AO2309" s="160"/>
      <c r="AP2309" s="161"/>
      <c r="AQ2309" s="160"/>
      <c r="AR2309" s="160"/>
      <c r="AS2309" s="160"/>
      <c r="AT2309" s="160"/>
      <c r="AU2309" s="160"/>
      <c r="AV2309" s="160"/>
      <c r="AW2309" s="160"/>
      <c r="AX2309" s="160"/>
      <c r="AY2309" s="160"/>
      <c r="AZ2309" s="160"/>
      <c r="BA2309" s="160"/>
      <c r="BB2309" s="160"/>
      <c r="BC2309" s="160"/>
      <c r="BD2309" s="160"/>
      <c r="BE2309" s="160"/>
      <c r="BF2309" s="160"/>
      <c r="BG2309" s="160"/>
      <c r="BH2309" s="160"/>
      <c r="BI2309" s="160"/>
      <c r="BJ2309" s="160"/>
      <c r="BK2309" s="160"/>
      <c r="BL2309" s="160"/>
      <c r="BM2309" s="160"/>
      <c r="BN2309" s="160"/>
      <c r="BO2309" s="160"/>
      <c r="BP2309" s="160"/>
      <c r="BQ2309" s="160"/>
      <c r="BR2309" s="160"/>
      <c r="BS2309" s="160"/>
      <c r="BT2309" s="160"/>
      <c r="BU2309" s="160"/>
      <c r="BV2309" s="160"/>
      <c r="BW2309" s="160"/>
      <c r="BX2309" s="160"/>
      <c r="BY2309" s="160"/>
      <c r="BZ2309" s="160"/>
      <c r="CA2309" s="160"/>
      <c r="CB2309" s="160"/>
      <c r="CC2309" s="160"/>
      <c r="CD2309" s="160"/>
      <c r="CE2309" s="160"/>
      <c r="CF2309" s="160"/>
      <c r="CG2309" s="160"/>
      <c r="CH2309" s="160"/>
      <c r="CI2309" s="160"/>
      <c r="CJ2309" s="160"/>
      <c r="CK2309" s="160"/>
      <c r="CL2309" s="160"/>
      <c r="CM2309" s="160"/>
      <c r="CN2309" s="160"/>
      <c r="CO2309" s="160"/>
      <c r="CP2309" s="162"/>
      <c r="CQ2309" s="163"/>
      <c r="CR2309" s="162"/>
      <c r="CS2309" s="163"/>
      <c r="CT2309" s="162"/>
      <c r="CU2309" s="163"/>
      <c r="CV2309" s="164">
        <f t="shared" si="288"/>
        <v>0</v>
      </c>
      <c r="CW2309" s="165"/>
      <c r="CX2309" s="166"/>
      <c r="CY2309" s="167"/>
      <c r="CZ2309" s="168"/>
      <c r="DA2309" s="169"/>
      <c r="DB2309" s="168"/>
      <c r="DC2309" s="165"/>
      <c r="DD2309" s="166"/>
      <c r="DE2309" s="71"/>
      <c r="DF2309" s="170"/>
      <c r="EO2309" s="375" t="str">
        <f t="shared" si="289"/>
        <v>CUNDINAMARCA_LA VEGA</v>
      </c>
      <c r="EP2309" s="376"/>
      <c r="EQ2309" s="376"/>
      <c r="ER2309" s="377"/>
      <c r="ES2309" s="376"/>
      <c r="ET2309" s="376"/>
      <c r="EU2309" s="376"/>
    </row>
    <row r="2310" spans="1:151" s="171" customFormat="1" ht="38.25" x14ac:dyDescent="0.2">
      <c r="A2310" s="242">
        <v>40528</v>
      </c>
      <c r="B2310" s="222" t="s">
        <v>2007</v>
      </c>
      <c r="C2310" s="222" t="s">
        <v>15</v>
      </c>
      <c r="D2310" s="430" t="s">
        <v>837</v>
      </c>
      <c r="E2310" s="107" t="str">
        <f>VLOOKUP(B2310&amp;C2310,Divipola!$C$2:$F$1138,4,FALSE)</f>
        <v>25797</v>
      </c>
      <c r="F2310" s="333"/>
      <c r="G2310" s="221"/>
      <c r="H2310" s="157"/>
      <c r="I2310" s="157"/>
      <c r="J2310" s="157">
        <v>75</v>
      </c>
      <c r="K2310" s="157">
        <v>22</v>
      </c>
      <c r="L2310" s="157"/>
      <c r="M2310" s="157"/>
      <c r="N2310" s="157"/>
      <c r="O2310" s="157"/>
      <c r="P2310" s="157"/>
      <c r="Q2310" s="157"/>
      <c r="R2310" s="157"/>
      <c r="S2310" s="157"/>
      <c r="T2310" s="157"/>
      <c r="U2310" s="157"/>
      <c r="V2310" s="158"/>
      <c r="W2310" s="182"/>
      <c r="X2310" s="1"/>
      <c r="Y2310" s="78">
        <f t="shared" si="285"/>
        <v>0</v>
      </c>
      <c r="Z2310" s="78">
        <f t="shared" si="286"/>
        <v>0</v>
      </c>
      <c r="AA2310" s="78">
        <f t="shared" si="284"/>
        <v>0</v>
      </c>
      <c r="AB2310" s="78">
        <f t="shared" si="287"/>
        <v>0</v>
      </c>
      <c r="AC2310" s="78"/>
      <c r="AD2310" s="78">
        <v>0</v>
      </c>
      <c r="AE2310" s="80">
        <f t="shared" si="283"/>
        <v>0</v>
      </c>
      <c r="AF2310" s="82">
        <v>0</v>
      </c>
      <c r="AG2310" s="69">
        <v>40612</v>
      </c>
      <c r="AH2310" s="84"/>
      <c r="AI2310" s="69" t="s">
        <v>1984</v>
      </c>
      <c r="AJ2310" s="25" t="s">
        <v>1985</v>
      </c>
      <c r="AK2310" s="65"/>
      <c r="AL2310" s="176" t="s">
        <v>1257</v>
      </c>
      <c r="AM2310" s="173" t="s">
        <v>457</v>
      </c>
      <c r="AN2310" s="159"/>
      <c r="AO2310" s="160"/>
      <c r="AP2310" s="161"/>
      <c r="AQ2310" s="160"/>
      <c r="AR2310" s="160"/>
      <c r="AS2310" s="160"/>
      <c r="AT2310" s="160"/>
      <c r="AU2310" s="160"/>
      <c r="AV2310" s="160"/>
      <c r="AW2310" s="160"/>
      <c r="AX2310" s="160"/>
      <c r="AY2310" s="160"/>
      <c r="AZ2310" s="160"/>
      <c r="BA2310" s="160"/>
      <c r="BB2310" s="160"/>
      <c r="BC2310" s="160"/>
      <c r="BD2310" s="160"/>
      <c r="BE2310" s="160"/>
      <c r="BF2310" s="160"/>
      <c r="BG2310" s="160"/>
      <c r="BH2310" s="160"/>
      <c r="BI2310" s="160"/>
      <c r="BJ2310" s="160"/>
      <c r="BK2310" s="160"/>
      <c r="BL2310" s="160"/>
      <c r="BM2310" s="160"/>
      <c r="BN2310" s="160"/>
      <c r="BO2310" s="160"/>
      <c r="BP2310" s="160"/>
      <c r="BQ2310" s="160"/>
      <c r="BR2310" s="160"/>
      <c r="BS2310" s="160"/>
      <c r="BT2310" s="160"/>
      <c r="BU2310" s="160"/>
      <c r="BV2310" s="160"/>
      <c r="BW2310" s="160"/>
      <c r="BX2310" s="160"/>
      <c r="BY2310" s="160"/>
      <c r="BZ2310" s="160"/>
      <c r="CA2310" s="160"/>
      <c r="CB2310" s="160"/>
      <c r="CC2310" s="160"/>
      <c r="CD2310" s="160"/>
      <c r="CE2310" s="160"/>
      <c r="CF2310" s="160"/>
      <c r="CG2310" s="160"/>
      <c r="CH2310" s="160"/>
      <c r="CI2310" s="160"/>
      <c r="CJ2310" s="160"/>
      <c r="CK2310" s="160"/>
      <c r="CL2310" s="160"/>
      <c r="CM2310" s="160"/>
      <c r="CN2310" s="160"/>
      <c r="CO2310" s="160"/>
      <c r="CP2310" s="162"/>
      <c r="CQ2310" s="163"/>
      <c r="CR2310" s="162"/>
      <c r="CS2310" s="163"/>
      <c r="CT2310" s="162"/>
      <c r="CU2310" s="163"/>
      <c r="CV2310" s="164">
        <f t="shared" si="288"/>
        <v>0</v>
      </c>
      <c r="CW2310" s="165"/>
      <c r="CX2310" s="166"/>
      <c r="CY2310" s="167"/>
      <c r="CZ2310" s="168"/>
      <c r="DA2310" s="169"/>
      <c r="DB2310" s="168"/>
      <c r="DC2310" s="165"/>
      <c r="DD2310" s="166"/>
      <c r="DE2310" s="71"/>
      <c r="DF2310" s="170"/>
      <c r="EO2310" s="375" t="str">
        <f t="shared" si="289"/>
        <v>CUNDINAMARCA_TENA</v>
      </c>
      <c r="EP2310" s="376"/>
      <c r="EQ2310" s="376"/>
      <c r="ER2310" s="377"/>
      <c r="ES2310" s="376"/>
      <c r="ET2310" s="376"/>
      <c r="EU2310" s="376"/>
    </row>
    <row r="2311" spans="1:151" s="171" customFormat="1" ht="38.25" x14ac:dyDescent="0.2">
      <c r="A2311" s="242">
        <v>40528</v>
      </c>
      <c r="B2311" s="222" t="s">
        <v>2007</v>
      </c>
      <c r="C2311" s="222" t="s">
        <v>1354</v>
      </c>
      <c r="D2311" s="430" t="s">
        <v>837</v>
      </c>
      <c r="E2311" s="107" t="str">
        <f>VLOOKUP(B2311&amp;C2311,Divipola!$C$2:$F$1138,4,FALSE)</f>
        <v>25815</v>
      </c>
      <c r="F2311" s="333"/>
      <c r="G2311" s="221"/>
      <c r="H2311" s="157"/>
      <c r="I2311" s="157"/>
      <c r="J2311" s="157"/>
      <c r="K2311" s="157"/>
      <c r="L2311" s="157"/>
      <c r="M2311" s="157"/>
      <c r="N2311" s="157"/>
      <c r="O2311" s="157"/>
      <c r="P2311" s="157"/>
      <c r="Q2311" s="157"/>
      <c r="R2311" s="157"/>
      <c r="S2311" s="157"/>
      <c r="T2311" s="157"/>
      <c r="U2311" s="157"/>
      <c r="V2311" s="158"/>
      <c r="W2311" s="182" t="s">
        <v>69</v>
      </c>
      <c r="X2311" s="1"/>
      <c r="Y2311" s="78">
        <f t="shared" si="285"/>
        <v>0</v>
      </c>
      <c r="Z2311" s="78">
        <f t="shared" si="286"/>
        <v>0</v>
      </c>
      <c r="AA2311" s="78">
        <f t="shared" si="284"/>
        <v>0</v>
      </c>
      <c r="AB2311" s="78">
        <f t="shared" si="287"/>
        <v>0</v>
      </c>
      <c r="AC2311" s="78"/>
      <c r="AD2311" s="78">
        <v>0</v>
      </c>
      <c r="AE2311" s="80">
        <f t="shared" si="283"/>
        <v>0</v>
      </c>
      <c r="AF2311" s="82">
        <v>0</v>
      </c>
      <c r="AG2311" s="69">
        <v>40528</v>
      </c>
      <c r="AH2311" s="84"/>
      <c r="AI2311" s="69" t="s">
        <v>1984</v>
      </c>
      <c r="AJ2311" s="25" t="s">
        <v>1985</v>
      </c>
      <c r="AK2311" s="65"/>
      <c r="AL2311" s="176" t="s">
        <v>1257</v>
      </c>
      <c r="AM2311" s="173" t="s">
        <v>68</v>
      </c>
      <c r="AN2311" s="159"/>
      <c r="AO2311" s="160"/>
      <c r="AP2311" s="161"/>
      <c r="AQ2311" s="160"/>
      <c r="AR2311" s="160"/>
      <c r="AS2311" s="160"/>
      <c r="AT2311" s="160"/>
      <c r="AU2311" s="160"/>
      <c r="AV2311" s="160"/>
      <c r="AW2311" s="160"/>
      <c r="AX2311" s="160"/>
      <c r="AY2311" s="160"/>
      <c r="AZ2311" s="160"/>
      <c r="BA2311" s="160"/>
      <c r="BB2311" s="160"/>
      <c r="BC2311" s="160"/>
      <c r="BD2311" s="160"/>
      <c r="BE2311" s="160"/>
      <c r="BF2311" s="160"/>
      <c r="BG2311" s="160"/>
      <c r="BH2311" s="160"/>
      <c r="BI2311" s="160"/>
      <c r="BJ2311" s="160"/>
      <c r="BK2311" s="160"/>
      <c r="BL2311" s="160"/>
      <c r="BM2311" s="160"/>
      <c r="BN2311" s="160"/>
      <c r="BO2311" s="160"/>
      <c r="BP2311" s="160"/>
      <c r="BQ2311" s="160"/>
      <c r="BR2311" s="160"/>
      <c r="BS2311" s="160"/>
      <c r="BT2311" s="160"/>
      <c r="BU2311" s="160"/>
      <c r="BV2311" s="160"/>
      <c r="BW2311" s="160"/>
      <c r="BX2311" s="160"/>
      <c r="BY2311" s="160"/>
      <c r="BZ2311" s="160"/>
      <c r="CA2311" s="160"/>
      <c r="CB2311" s="160"/>
      <c r="CC2311" s="160"/>
      <c r="CD2311" s="160"/>
      <c r="CE2311" s="160"/>
      <c r="CF2311" s="160"/>
      <c r="CG2311" s="160"/>
      <c r="CH2311" s="160"/>
      <c r="CI2311" s="160"/>
      <c r="CJ2311" s="160"/>
      <c r="CK2311" s="160"/>
      <c r="CL2311" s="160"/>
      <c r="CM2311" s="160"/>
      <c r="CN2311" s="160"/>
      <c r="CO2311" s="160"/>
      <c r="CP2311" s="162"/>
      <c r="CQ2311" s="163"/>
      <c r="CR2311" s="162"/>
      <c r="CS2311" s="163"/>
      <c r="CT2311" s="162"/>
      <c r="CU2311" s="163"/>
      <c r="CV2311" s="164">
        <f t="shared" si="288"/>
        <v>0</v>
      </c>
      <c r="CW2311" s="165"/>
      <c r="CX2311" s="166"/>
      <c r="CY2311" s="167"/>
      <c r="CZ2311" s="168"/>
      <c r="DA2311" s="169"/>
      <c r="DB2311" s="168"/>
      <c r="DC2311" s="165"/>
      <c r="DD2311" s="166"/>
      <c r="DE2311" s="71"/>
      <c r="DF2311" s="170"/>
      <c r="EO2311" s="375" t="str">
        <f t="shared" si="289"/>
        <v>CUNDINAMARCA_TOCAIMA</v>
      </c>
      <c r="EP2311" s="376"/>
      <c r="EQ2311" s="376"/>
      <c r="ER2311" s="377"/>
      <c r="ES2311" s="376"/>
      <c r="ET2311" s="376"/>
      <c r="EU2311" s="376"/>
    </row>
    <row r="2312" spans="1:151" s="171" customFormat="1" ht="25.5" x14ac:dyDescent="0.2">
      <c r="A2312" s="242">
        <v>40528</v>
      </c>
      <c r="B2312" s="222" t="s">
        <v>2012</v>
      </c>
      <c r="C2312" s="222" t="s">
        <v>2593</v>
      </c>
      <c r="D2312" s="430" t="s">
        <v>2307</v>
      </c>
      <c r="E2312" s="107" t="str">
        <f>VLOOKUP(B2312&amp;C2312,Divipola!$C$2:$F$1138,4,FALSE)</f>
        <v>66594</v>
      </c>
      <c r="F2312" s="333"/>
      <c r="G2312" s="221"/>
      <c r="H2312" s="157"/>
      <c r="I2312" s="157"/>
      <c r="J2312" s="157">
        <v>150</v>
      </c>
      <c r="K2312" s="157">
        <v>30</v>
      </c>
      <c r="L2312" s="157"/>
      <c r="M2312" s="157"/>
      <c r="N2312" s="157"/>
      <c r="O2312" s="157"/>
      <c r="P2312" s="157"/>
      <c r="Q2312" s="157"/>
      <c r="R2312" s="157"/>
      <c r="S2312" s="157"/>
      <c r="T2312" s="157"/>
      <c r="U2312" s="157"/>
      <c r="V2312" s="158"/>
      <c r="W2312" s="182"/>
      <c r="X2312" s="1"/>
      <c r="Y2312" s="78">
        <f t="shared" si="285"/>
        <v>0</v>
      </c>
      <c r="Z2312" s="78">
        <f t="shared" si="286"/>
        <v>0</v>
      </c>
      <c r="AA2312" s="78">
        <f t="shared" si="284"/>
        <v>0</v>
      </c>
      <c r="AB2312" s="78">
        <f t="shared" si="287"/>
        <v>0</v>
      </c>
      <c r="AC2312" s="78"/>
      <c r="AD2312" s="78">
        <v>0</v>
      </c>
      <c r="AE2312" s="80">
        <f t="shared" si="283"/>
        <v>0</v>
      </c>
      <c r="AF2312" s="82">
        <v>0</v>
      </c>
      <c r="AG2312" s="69">
        <v>40624</v>
      </c>
      <c r="AH2312" s="84"/>
      <c r="AI2312" s="69" t="s">
        <v>1984</v>
      </c>
      <c r="AJ2312" s="25" t="s">
        <v>1985</v>
      </c>
      <c r="AK2312" s="65"/>
      <c r="AL2312" s="176" t="s">
        <v>1257</v>
      </c>
      <c r="AM2312" s="173" t="s">
        <v>457</v>
      </c>
      <c r="AN2312" s="159"/>
      <c r="AO2312" s="160"/>
      <c r="AP2312" s="161"/>
      <c r="AQ2312" s="160"/>
      <c r="AR2312" s="160"/>
      <c r="AS2312" s="160"/>
      <c r="AT2312" s="160"/>
      <c r="AU2312" s="160"/>
      <c r="AV2312" s="160"/>
      <c r="AW2312" s="160"/>
      <c r="AX2312" s="160"/>
      <c r="AY2312" s="160"/>
      <c r="AZ2312" s="160"/>
      <c r="BA2312" s="160"/>
      <c r="BB2312" s="160"/>
      <c r="BC2312" s="160"/>
      <c r="BD2312" s="160"/>
      <c r="BE2312" s="160"/>
      <c r="BF2312" s="160"/>
      <c r="BG2312" s="160"/>
      <c r="BH2312" s="160"/>
      <c r="BI2312" s="160"/>
      <c r="BJ2312" s="160"/>
      <c r="BK2312" s="160"/>
      <c r="BL2312" s="160"/>
      <c r="BM2312" s="160"/>
      <c r="BN2312" s="160"/>
      <c r="BO2312" s="160"/>
      <c r="BP2312" s="160"/>
      <c r="BQ2312" s="160"/>
      <c r="BR2312" s="160"/>
      <c r="BS2312" s="160"/>
      <c r="BT2312" s="160"/>
      <c r="BU2312" s="160"/>
      <c r="BV2312" s="160"/>
      <c r="BW2312" s="160"/>
      <c r="BX2312" s="160"/>
      <c r="BY2312" s="160"/>
      <c r="BZ2312" s="160"/>
      <c r="CA2312" s="160"/>
      <c r="CB2312" s="160"/>
      <c r="CC2312" s="160"/>
      <c r="CD2312" s="160"/>
      <c r="CE2312" s="160"/>
      <c r="CF2312" s="160"/>
      <c r="CG2312" s="160"/>
      <c r="CH2312" s="160"/>
      <c r="CI2312" s="160"/>
      <c r="CJ2312" s="160"/>
      <c r="CK2312" s="160"/>
      <c r="CL2312" s="160"/>
      <c r="CM2312" s="160"/>
      <c r="CN2312" s="160"/>
      <c r="CO2312" s="160"/>
      <c r="CP2312" s="162"/>
      <c r="CQ2312" s="163"/>
      <c r="CR2312" s="162"/>
      <c r="CS2312" s="163"/>
      <c r="CT2312" s="162"/>
      <c r="CU2312" s="163"/>
      <c r="CV2312" s="164">
        <f t="shared" si="288"/>
        <v>0</v>
      </c>
      <c r="CW2312" s="165"/>
      <c r="CX2312" s="166"/>
      <c r="CY2312" s="167"/>
      <c r="CZ2312" s="168"/>
      <c r="DA2312" s="169"/>
      <c r="DB2312" s="168"/>
      <c r="DC2312" s="165"/>
      <c r="DD2312" s="166"/>
      <c r="DE2312" s="71"/>
      <c r="DF2312" s="170"/>
      <c r="EO2312" s="375" t="str">
        <f t="shared" si="289"/>
        <v>RISARALDA_QUINCHIA</v>
      </c>
      <c r="EP2312" s="376"/>
      <c r="EQ2312" s="376"/>
      <c r="ER2312" s="377"/>
      <c r="ES2312" s="376"/>
      <c r="ET2312" s="376"/>
      <c r="EU2312" s="376"/>
    </row>
    <row r="2313" spans="1:151" s="171" customFormat="1" ht="51" x14ac:dyDescent="0.2">
      <c r="A2313" s="242">
        <v>40528</v>
      </c>
      <c r="B2313" s="222" t="s">
        <v>1462</v>
      </c>
      <c r="C2313" s="222" t="s">
        <v>610</v>
      </c>
      <c r="D2313" s="430" t="s">
        <v>837</v>
      </c>
      <c r="E2313" s="107" t="str">
        <f>VLOOKUP(B2313&amp;C2313,Divipola!$C$2:$F$1138,4,FALSE)</f>
        <v>76520</v>
      </c>
      <c r="F2313" s="333"/>
      <c r="G2313" s="221"/>
      <c r="H2313" s="157"/>
      <c r="I2313" s="157"/>
      <c r="J2313" s="157">
        <f>44*5</f>
        <v>220</v>
      </c>
      <c r="K2313" s="157">
        <v>44</v>
      </c>
      <c r="L2313" s="157"/>
      <c r="M2313" s="157">
        <v>44</v>
      </c>
      <c r="N2313" s="157"/>
      <c r="O2313" s="157"/>
      <c r="P2313" s="157"/>
      <c r="Q2313" s="157"/>
      <c r="R2313" s="157"/>
      <c r="S2313" s="157"/>
      <c r="T2313" s="157"/>
      <c r="U2313" s="157"/>
      <c r="V2313" s="158"/>
      <c r="W2313" s="182"/>
      <c r="X2313" s="1"/>
      <c r="Y2313" s="78">
        <f t="shared" si="285"/>
        <v>0</v>
      </c>
      <c r="Z2313" s="78">
        <f t="shared" si="286"/>
        <v>0</v>
      </c>
      <c r="AA2313" s="78">
        <f t="shared" si="284"/>
        <v>0</v>
      </c>
      <c r="AB2313" s="78">
        <f t="shared" si="287"/>
        <v>0</v>
      </c>
      <c r="AC2313" s="78"/>
      <c r="AD2313" s="78">
        <v>0</v>
      </c>
      <c r="AE2313" s="80">
        <f t="shared" ref="AE2313:AE2376" si="290">Y2313+Z2313+AA2313+AB2313+AC2313+AD2313</f>
        <v>0</v>
      </c>
      <c r="AF2313" s="82">
        <v>0</v>
      </c>
      <c r="AG2313" s="69"/>
      <c r="AH2313" s="84"/>
      <c r="AI2313" s="69" t="s">
        <v>2009</v>
      </c>
      <c r="AJ2313" s="276" t="s">
        <v>2010</v>
      </c>
      <c r="AK2313" s="65"/>
      <c r="AL2313" s="272" t="s">
        <v>311</v>
      </c>
      <c r="AM2313" s="173" t="s">
        <v>3876</v>
      </c>
      <c r="AN2313" s="159"/>
      <c r="AO2313" s="160"/>
      <c r="AP2313" s="161"/>
      <c r="AQ2313" s="160"/>
      <c r="AR2313" s="160"/>
      <c r="AS2313" s="160"/>
      <c r="AT2313" s="160"/>
      <c r="AU2313" s="160"/>
      <c r="AV2313" s="160"/>
      <c r="AW2313" s="160"/>
      <c r="AX2313" s="160"/>
      <c r="AY2313" s="160"/>
      <c r="AZ2313" s="160"/>
      <c r="BA2313" s="160"/>
      <c r="BB2313" s="160"/>
      <c r="BC2313" s="160"/>
      <c r="BD2313" s="160"/>
      <c r="BE2313" s="160"/>
      <c r="BF2313" s="160"/>
      <c r="BG2313" s="160"/>
      <c r="BH2313" s="160"/>
      <c r="BI2313" s="160"/>
      <c r="BJ2313" s="160"/>
      <c r="BK2313" s="160"/>
      <c r="BL2313" s="160"/>
      <c r="BM2313" s="160"/>
      <c r="BN2313" s="160"/>
      <c r="BO2313" s="160"/>
      <c r="BP2313" s="160"/>
      <c r="BQ2313" s="160"/>
      <c r="BR2313" s="160"/>
      <c r="BS2313" s="160"/>
      <c r="BT2313" s="160"/>
      <c r="BU2313" s="160"/>
      <c r="BV2313" s="160"/>
      <c r="BW2313" s="160"/>
      <c r="BX2313" s="160"/>
      <c r="BY2313" s="160"/>
      <c r="BZ2313" s="160"/>
      <c r="CA2313" s="160"/>
      <c r="CB2313" s="160"/>
      <c r="CC2313" s="160"/>
      <c r="CD2313" s="160"/>
      <c r="CE2313" s="160"/>
      <c r="CF2313" s="160"/>
      <c r="CG2313" s="160"/>
      <c r="CH2313" s="160"/>
      <c r="CI2313" s="160"/>
      <c r="CJ2313" s="160"/>
      <c r="CK2313" s="160"/>
      <c r="CL2313" s="160"/>
      <c r="CM2313" s="160"/>
      <c r="CN2313" s="160"/>
      <c r="CO2313" s="160"/>
      <c r="CP2313" s="162"/>
      <c r="CQ2313" s="163"/>
      <c r="CR2313" s="162"/>
      <c r="CS2313" s="163"/>
      <c r="CT2313" s="162"/>
      <c r="CU2313" s="163"/>
      <c r="CV2313" s="164">
        <f t="shared" si="288"/>
        <v>0</v>
      </c>
      <c r="CW2313" s="165"/>
      <c r="CX2313" s="166"/>
      <c r="CY2313" s="167"/>
      <c r="CZ2313" s="168"/>
      <c r="DA2313" s="169"/>
      <c r="DB2313" s="168"/>
      <c r="DC2313" s="165"/>
      <c r="DD2313" s="166"/>
      <c r="DE2313" s="71"/>
      <c r="DF2313" s="170"/>
      <c r="EO2313" s="375" t="str">
        <f t="shared" si="289"/>
        <v>VALLE DEL CAUCA_PALMIRA</v>
      </c>
      <c r="EP2313" s="376"/>
      <c r="EQ2313" s="376"/>
      <c r="ER2313" s="377"/>
      <c r="ES2313" s="376"/>
      <c r="ET2313" s="376"/>
      <c r="EU2313" s="376"/>
    </row>
    <row r="2314" spans="1:151" s="171" customFormat="1" ht="45" x14ac:dyDescent="0.2">
      <c r="A2314" s="242">
        <v>40529</v>
      </c>
      <c r="B2314" s="222" t="s">
        <v>1719</v>
      </c>
      <c r="C2314" s="222" t="s">
        <v>2017</v>
      </c>
      <c r="D2314" s="430" t="s">
        <v>2307</v>
      </c>
      <c r="E2314" s="107" t="str">
        <f>VLOOKUP(B2314&amp;C2314,Divipola!$C$2:$F$1138,4,FALSE)</f>
        <v>19100</v>
      </c>
      <c r="F2314" s="333"/>
      <c r="G2314" s="221"/>
      <c r="H2314" s="157"/>
      <c r="I2314" s="157"/>
      <c r="J2314" s="157">
        <f>2726*5</f>
        <v>13630</v>
      </c>
      <c r="K2314" s="157">
        <v>2726</v>
      </c>
      <c r="L2314" s="157"/>
      <c r="M2314" s="157">
        <v>2726</v>
      </c>
      <c r="N2314" s="157"/>
      <c r="O2314" s="157"/>
      <c r="P2314" s="157"/>
      <c r="Q2314" s="157"/>
      <c r="R2314" s="157"/>
      <c r="S2314" s="157"/>
      <c r="T2314" s="157"/>
      <c r="U2314" s="157"/>
      <c r="V2314" s="158">
        <v>153</v>
      </c>
      <c r="W2314" s="182" t="s">
        <v>745</v>
      </c>
      <c r="X2314" s="1"/>
      <c r="Y2314" s="78">
        <f t="shared" si="285"/>
        <v>0</v>
      </c>
      <c r="Z2314" s="78">
        <f t="shared" si="286"/>
        <v>0</v>
      </c>
      <c r="AA2314" s="78">
        <f t="shared" si="284"/>
        <v>0</v>
      </c>
      <c r="AB2314" s="78">
        <f t="shared" si="287"/>
        <v>0</v>
      </c>
      <c r="AC2314" s="78"/>
      <c r="AD2314" s="78">
        <v>0</v>
      </c>
      <c r="AE2314" s="80">
        <f t="shared" si="290"/>
        <v>0</v>
      </c>
      <c r="AF2314" s="82">
        <v>0</v>
      </c>
      <c r="AG2314" s="69"/>
      <c r="AH2314" s="84"/>
      <c r="AI2314" s="69" t="s">
        <v>2009</v>
      </c>
      <c r="AJ2314" s="276" t="s">
        <v>2010</v>
      </c>
      <c r="AK2314" s="65"/>
      <c r="AL2314" s="272" t="s">
        <v>311</v>
      </c>
      <c r="AM2314" s="173" t="s">
        <v>3795</v>
      </c>
      <c r="AN2314" s="159"/>
      <c r="AO2314" s="160"/>
      <c r="AP2314" s="161"/>
      <c r="AQ2314" s="160"/>
      <c r="AR2314" s="160"/>
      <c r="AS2314" s="160"/>
      <c r="AT2314" s="160"/>
      <c r="AU2314" s="160"/>
      <c r="AV2314" s="160"/>
      <c r="AW2314" s="160"/>
      <c r="AX2314" s="160"/>
      <c r="AY2314" s="160"/>
      <c r="AZ2314" s="160"/>
      <c r="BA2314" s="160"/>
      <c r="BB2314" s="160"/>
      <c r="BC2314" s="160"/>
      <c r="BD2314" s="160"/>
      <c r="BE2314" s="160"/>
      <c r="BF2314" s="160"/>
      <c r="BG2314" s="160"/>
      <c r="BH2314" s="160"/>
      <c r="BI2314" s="160"/>
      <c r="BJ2314" s="160"/>
      <c r="BK2314" s="160"/>
      <c r="BL2314" s="160"/>
      <c r="BM2314" s="160"/>
      <c r="BN2314" s="160"/>
      <c r="BO2314" s="160"/>
      <c r="BP2314" s="160"/>
      <c r="BQ2314" s="160"/>
      <c r="BR2314" s="160"/>
      <c r="BS2314" s="160"/>
      <c r="BT2314" s="160"/>
      <c r="BU2314" s="160"/>
      <c r="BV2314" s="160"/>
      <c r="BW2314" s="160"/>
      <c r="BX2314" s="160"/>
      <c r="BY2314" s="160"/>
      <c r="BZ2314" s="160"/>
      <c r="CA2314" s="160"/>
      <c r="CB2314" s="160"/>
      <c r="CC2314" s="160"/>
      <c r="CD2314" s="160"/>
      <c r="CE2314" s="160"/>
      <c r="CF2314" s="160"/>
      <c r="CG2314" s="160"/>
      <c r="CH2314" s="160"/>
      <c r="CI2314" s="160"/>
      <c r="CJ2314" s="160"/>
      <c r="CK2314" s="160"/>
      <c r="CL2314" s="160"/>
      <c r="CM2314" s="160"/>
      <c r="CN2314" s="160"/>
      <c r="CO2314" s="160"/>
      <c r="CP2314" s="162"/>
      <c r="CQ2314" s="163"/>
      <c r="CR2314" s="162"/>
      <c r="CS2314" s="163"/>
      <c r="CT2314" s="162"/>
      <c r="CU2314" s="163"/>
      <c r="CV2314" s="164">
        <f t="shared" si="288"/>
        <v>0</v>
      </c>
      <c r="CW2314" s="165"/>
      <c r="CX2314" s="166"/>
      <c r="CY2314" s="167"/>
      <c r="CZ2314" s="168"/>
      <c r="DA2314" s="169"/>
      <c r="DB2314" s="168"/>
      <c r="DC2314" s="165"/>
      <c r="DD2314" s="166"/>
      <c r="DE2314" s="71"/>
      <c r="DF2314" s="170"/>
      <c r="EO2314" s="375" t="str">
        <f t="shared" si="289"/>
        <v>CAUCA_BOLIVAR</v>
      </c>
      <c r="EP2314" s="376"/>
      <c r="EQ2314" s="376"/>
      <c r="ER2314" s="377"/>
      <c r="ES2314" s="376"/>
      <c r="ET2314" s="376"/>
      <c r="EU2314" s="376"/>
    </row>
    <row r="2315" spans="1:151" s="171" customFormat="1" ht="45" x14ac:dyDescent="0.2">
      <c r="A2315" s="242">
        <v>40529</v>
      </c>
      <c r="B2315" s="222" t="s">
        <v>1719</v>
      </c>
      <c r="C2315" s="222" t="s">
        <v>2175</v>
      </c>
      <c r="D2315" s="430" t="s">
        <v>2307</v>
      </c>
      <c r="E2315" s="107" t="str">
        <f>VLOOKUP(B2315&amp;C2315,Divipola!$C$2:$F$1138,4,FALSE)</f>
        <v>19622</v>
      </c>
      <c r="F2315" s="333"/>
      <c r="G2315" s="221"/>
      <c r="H2315" s="157"/>
      <c r="I2315" s="157"/>
      <c r="J2315" s="157">
        <v>45</v>
      </c>
      <c r="K2315" s="157">
        <v>9</v>
      </c>
      <c r="L2315" s="157"/>
      <c r="M2315" s="157"/>
      <c r="N2315" s="157"/>
      <c r="O2315" s="157"/>
      <c r="P2315" s="157"/>
      <c r="Q2315" s="157"/>
      <c r="R2315" s="157"/>
      <c r="S2315" s="157"/>
      <c r="T2315" s="157"/>
      <c r="U2315" s="157"/>
      <c r="V2315" s="158"/>
      <c r="W2315" s="182"/>
      <c r="X2315" s="1"/>
      <c r="Y2315" s="78">
        <f t="shared" si="285"/>
        <v>0</v>
      </c>
      <c r="Z2315" s="78">
        <f t="shared" si="286"/>
        <v>0</v>
      </c>
      <c r="AA2315" s="78">
        <f t="shared" si="284"/>
        <v>0</v>
      </c>
      <c r="AB2315" s="78">
        <f t="shared" si="287"/>
        <v>0</v>
      </c>
      <c r="AC2315" s="78"/>
      <c r="AD2315" s="78">
        <v>0</v>
      </c>
      <c r="AE2315" s="80">
        <f t="shared" si="290"/>
        <v>0</v>
      </c>
      <c r="AF2315" s="82">
        <v>0</v>
      </c>
      <c r="AG2315" s="69"/>
      <c r="AH2315" s="84"/>
      <c r="AI2315" s="69" t="s">
        <v>2009</v>
      </c>
      <c r="AJ2315" s="276" t="s">
        <v>2010</v>
      </c>
      <c r="AK2315" s="65"/>
      <c r="AL2315" s="272" t="s">
        <v>311</v>
      </c>
      <c r="AM2315" s="173" t="s">
        <v>3794</v>
      </c>
      <c r="AN2315" s="159"/>
      <c r="AO2315" s="160"/>
      <c r="AP2315" s="161"/>
      <c r="AQ2315" s="160"/>
      <c r="AR2315" s="160"/>
      <c r="AS2315" s="160"/>
      <c r="AT2315" s="160"/>
      <c r="AU2315" s="160"/>
      <c r="AV2315" s="160"/>
      <c r="AW2315" s="160"/>
      <c r="AX2315" s="160"/>
      <c r="AY2315" s="160"/>
      <c r="AZ2315" s="160"/>
      <c r="BA2315" s="160"/>
      <c r="BB2315" s="160"/>
      <c r="BC2315" s="160"/>
      <c r="BD2315" s="160"/>
      <c r="BE2315" s="160"/>
      <c r="BF2315" s="160"/>
      <c r="BG2315" s="160"/>
      <c r="BH2315" s="160"/>
      <c r="BI2315" s="160"/>
      <c r="BJ2315" s="160"/>
      <c r="BK2315" s="160"/>
      <c r="BL2315" s="160"/>
      <c r="BM2315" s="160"/>
      <c r="BN2315" s="160"/>
      <c r="BO2315" s="160"/>
      <c r="BP2315" s="160"/>
      <c r="BQ2315" s="160"/>
      <c r="BR2315" s="160"/>
      <c r="BS2315" s="160"/>
      <c r="BT2315" s="160"/>
      <c r="BU2315" s="160"/>
      <c r="BV2315" s="160"/>
      <c r="BW2315" s="160"/>
      <c r="BX2315" s="160"/>
      <c r="BY2315" s="160"/>
      <c r="BZ2315" s="160"/>
      <c r="CA2315" s="160"/>
      <c r="CB2315" s="160"/>
      <c r="CC2315" s="160"/>
      <c r="CD2315" s="160"/>
      <c r="CE2315" s="160"/>
      <c r="CF2315" s="160"/>
      <c r="CG2315" s="160"/>
      <c r="CH2315" s="160"/>
      <c r="CI2315" s="160"/>
      <c r="CJ2315" s="160"/>
      <c r="CK2315" s="160"/>
      <c r="CL2315" s="160"/>
      <c r="CM2315" s="160"/>
      <c r="CN2315" s="160"/>
      <c r="CO2315" s="160"/>
      <c r="CP2315" s="162"/>
      <c r="CQ2315" s="163"/>
      <c r="CR2315" s="162"/>
      <c r="CS2315" s="163"/>
      <c r="CT2315" s="162"/>
      <c r="CU2315" s="163"/>
      <c r="CV2315" s="164">
        <f t="shared" si="288"/>
        <v>0</v>
      </c>
      <c r="CW2315" s="165"/>
      <c r="CX2315" s="166"/>
      <c r="CY2315" s="167"/>
      <c r="CZ2315" s="168"/>
      <c r="DA2315" s="169"/>
      <c r="DB2315" s="168"/>
      <c r="DC2315" s="165"/>
      <c r="DD2315" s="166"/>
      <c r="DE2315" s="71"/>
      <c r="DF2315" s="170"/>
      <c r="EO2315" s="375" t="str">
        <f t="shared" si="289"/>
        <v>CAUCA_ROSAS</v>
      </c>
      <c r="EP2315" s="376"/>
      <c r="EQ2315" s="376"/>
      <c r="ER2315" s="377"/>
      <c r="ES2315" s="376"/>
      <c r="ET2315" s="376"/>
      <c r="EU2315" s="376"/>
    </row>
    <row r="2316" spans="1:151" s="171" customFormat="1" ht="36" x14ac:dyDescent="0.2">
      <c r="A2316" s="242">
        <v>40529</v>
      </c>
      <c r="B2316" s="222" t="s">
        <v>1700</v>
      </c>
      <c r="C2316" s="222" t="s">
        <v>2134</v>
      </c>
      <c r="D2316" s="430" t="s">
        <v>837</v>
      </c>
      <c r="E2316" s="107" t="str">
        <f>VLOOKUP(B2316&amp;C2316,Divipola!$C$2:$F$1138,4,FALSE)</f>
        <v>23001</v>
      </c>
      <c r="F2316" s="333"/>
      <c r="G2316" s="221"/>
      <c r="H2316" s="157"/>
      <c r="I2316" s="157"/>
      <c r="J2316" s="157">
        <v>987</v>
      </c>
      <c r="K2316" s="157">
        <v>220</v>
      </c>
      <c r="L2316" s="157"/>
      <c r="M2316" s="157">
        <v>220</v>
      </c>
      <c r="N2316" s="157"/>
      <c r="O2316" s="157"/>
      <c r="P2316" s="157"/>
      <c r="Q2316" s="157"/>
      <c r="R2316" s="157"/>
      <c r="S2316" s="157"/>
      <c r="T2316" s="157"/>
      <c r="U2316" s="157"/>
      <c r="V2316" s="158"/>
      <c r="W2316" s="182"/>
      <c r="X2316" s="1"/>
      <c r="Y2316" s="78">
        <f t="shared" si="285"/>
        <v>0</v>
      </c>
      <c r="Z2316" s="78">
        <f t="shared" si="286"/>
        <v>255000000</v>
      </c>
      <c r="AA2316" s="78">
        <f t="shared" si="284"/>
        <v>0</v>
      </c>
      <c r="AB2316" s="78">
        <f t="shared" si="287"/>
        <v>0</v>
      </c>
      <c r="AC2316" s="78"/>
      <c r="AD2316" s="78">
        <v>0</v>
      </c>
      <c r="AE2316" s="80">
        <f t="shared" si="290"/>
        <v>255000000</v>
      </c>
      <c r="AF2316" s="82">
        <v>0</v>
      </c>
      <c r="AG2316" s="69"/>
      <c r="AH2316" s="84"/>
      <c r="AI2316" s="69" t="s">
        <v>2009</v>
      </c>
      <c r="AJ2316" s="25" t="s">
        <v>2010</v>
      </c>
      <c r="AK2316" s="65"/>
      <c r="AL2316" s="176"/>
      <c r="AM2316" s="173" t="s">
        <v>3792</v>
      </c>
      <c r="AN2316" s="159"/>
      <c r="AO2316" s="160"/>
      <c r="AP2316" s="161"/>
      <c r="AQ2316" s="160"/>
      <c r="AR2316" s="160"/>
      <c r="AS2316" s="160"/>
      <c r="AT2316" s="160"/>
      <c r="AU2316" s="160"/>
      <c r="AV2316" s="160"/>
      <c r="AW2316" s="160"/>
      <c r="AX2316" s="160"/>
      <c r="AY2316" s="160"/>
      <c r="AZ2316" s="160"/>
      <c r="BA2316" s="160"/>
      <c r="BB2316" s="160"/>
      <c r="BC2316" s="160"/>
      <c r="BD2316" s="160"/>
      <c r="BE2316" s="160"/>
      <c r="BF2316" s="160"/>
      <c r="BG2316" s="160"/>
      <c r="BH2316" s="160"/>
      <c r="BI2316" s="160"/>
      <c r="BJ2316" s="160"/>
      <c r="BK2316" s="160"/>
      <c r="BL2316" s="160"/>
      <c r="BM2316" s="160"/>
      <c r="BN2316" s="160"/>
      <c r="BO2316" s="160"/>
      <c r="BP2316" s="160"/>
      <c r="BQ2316" s="160"/>
      <c r="BR2316" s="160"/>
      <c r="BS2316" s="160"/>
      <c r="BT2316" s="160"/>
      <c r="BU2316" s="160"/>
      <c r="BV2316" s="160"/>
      <c r="BW2316" s="160"/>
      <c r="BX2316" s="160"/>
      <c r="BY2316" s="160"/>
      <c r="BZ2316" s="160"/>
      <c r="CA2316" s="160"/>
      <c r="CB2316" s="160"/>
      <c r="CC2316" s="160"/>
      <c r="CD2316" s="160"/>
      <c r="CE2316" s="160"/>
      <c r="CF2316" s="160"/>
      <c r="CG2316" s="160"/>
      <c r="CH2316" s="160"/>
      <c r="CI2316" s="160"/>
      <c r="CJ2316" s="160"/>
      <c r="CK2316" s="160"/>
      <c r="CL2316" s="160"/>
      <c r="CM2316" s="160"/>
      <c r="CN2316" s="160"/>
      <c r="CO2316" s="160"/>
      <c r="CP2316" s="162"/>
      <c r="CQ2316" s="163"/>
      <c r="CR2316" s="162"/>
      <c r="CS2316" s="163"/>
      <c r="CT2316" s="162"/>
      <c r="CU2316" s="163"/>
      <c r="CV2316" s="164">
        <f t="shared" si="288"/>
        <v>0</v>
      </c>
      <c r="CW2316" s="165"/>
      <c r="CX2316" s="166"/>
      <c r="CY2316" s="167">
        <v>3000</v>
      </c>
      <c r="CZ2316" s="168">
        <f>3000*85000</f>
        <v>255000000</v>
      </c>
      <c r="DA2316" s="169"/>
      <c r="DB2316" s="168"/>
      <c r="DC2316" s="165"/>
      <c r="DD2316" s="166"/>
      <c r="DE2316" s="71"/>
      <c r="DF2316" s="170"/>
      <c r="EO2316" s="375" t="str">
        <f t="shared" si="289"/>
        <v>CORDOBA_MONTERIA</v>
      </c>
      <c r="EP2316" s="376"/>
      <c r="EQ2316" s="376"/>
      <c r="ER2316" s="377"/>
      <c r="ES2316" s="376"/>
      <c r="ET2316" s="376"/>
      <c r="EU2316" s="376"/>
    </row>
    <row r="2317" spans="1:151" s="171" customFormat="1" ht="25.5" x14ac:dyDescent="0.2">
      <c r="A2317" s="242">
        <v>40529</v>
      </c>
      <c r="B2317" s="222" t="s">
        <v>1333</v>
      </c>
      <c r="C2317" s="222" t="s">
        <v>139</v>
      </c>
      <c r="D2317" s="430" t="s">
        <v>837</v>
      </c>
      <c r="E2317" s="107" t="str">
        <f>VLOOKUP(B2317&amp;C2317,Divipola!$C$2:$F$1138,4,FALSE)</f>
        <v>41518</v>
      </c>
      <c r="F2317" s="333"/>
      <c r="G2317" s="221"/>
      <c r="H2317" s="157"/>
      <c r="I2317" s="157"/>
      <c r="J2317" s="157">
        <v>50</v>
      </c>
      <c r="K2317" s="157">
        <v>10</v>
      </c>
      <c r="L2317" s="157"/>
      <c r="M2317" s="157"/>
      <c r="N2317" s="157">
        <v>6</v>
      </c>
      <c r="O2317" s="157"/>
      <c r="P2317" s="157"/>
      <c r="Q2317" s="157"/>
      <c r="R2317" s="157"/>
      <c r="S2317" s="157"/>
      <c r="T2317" s="157"/>
      <c r="U2317" s="157"/>
      <c r="V2317" s="158"/>
      <c r="W2317" s="182"/>
      <c r="X2317" s="1"/>
      <c r="Y2317" s="78">
        <f t="shared" si="285"/>
        <v>0</v>
      </c>
      <c r="Z2317" s="78">
        <f t="shared" si="286"/>
        <v>0</v>
      </c>
      <c r="AA2317" s="78">
        <f t="shared" si="284"/>
        <v>0</v>
      </c>
      <c r="AB2317" s="78">
        <f t="shared" si="287"/>
        <v>0</v>
      </c>
      <c r="AC2317" s="78"/>
      <c r="AD2317" s="78">
        <v>0</v>
      </c>
      <c r="AE2317" s="80">
        <f t="shared" si="290"/>
        <v>0</v>
      </c>
      <c r="AF2317" s="82">
        <v>0</v>
      </c>
      <c r="AG2317" s="69">
        <v>40581</v>
      </c>
      <c r="AH2317" s="84"/>
      <c r="AI2317" s="69" t="s">
        <v>1984</v>
      </c>
      <c r="AJ2317" s="25" t="s">
        <v>1985</v>
      </c>
      <c r="AK2317" s="65"/>
      <c r="AL2317" s="176" t="s">
        <v>1257</v>
      </c>
      <c r="AM2317" s="173" t="s">
        <v>349</v>
      </c>
      <c r="AN2317" s="159"/>
      <c r="AO2317" s="160"/>
      <c r="AP2317" s="161"/>
      <c r="AQ2317" s="160"/>
      <c r="AR2317" s="160"/>
      <c r="AS2317" s="160"/>
      <c r="AT2317" s="160"/>
      <c r="AU2317" s="160"/>
      <c r="AV2317" s="160"/>
      <c r="AW2317" s="160"/>
      <c r="AX2317" s="160"/>
      <c r="AY2317" s="160"/>
      <c r="AZ2317" s="160"/>
      <c r="BA2317" s="160"/>
      <c r="BB2317" s="160"/>
      <c r="BC2317" s="160"/>
      <c r="BD2317" s="160"/>
      <c r="BE2317" s="160"/>
      <c r="BF2317" s="160"/>
      <c r="BG2317" s="160"/>
      <c r="BH2317" s="160"/>
      <c r="BI2317" s="160"/>
      <c r="BJ2317" s="160"/>
      <c r="BK2317" s="160"/>
      <c r="BL2317" s="160"/>
      <c r="BM2317" s="160"/>
      <c r="BN2317" s="160"/>
      <c r="BO2317" s="160"/>
      <c r="BP2317" s="160"/>
      <c r="BQ2317" s="160"/>
      <c r="BR2317" s="160"/>
      <c r="BS2317" s="160"/>
      <c r="BT2317" s="160"/>
      <c r="BU2317" s="160"/>
      <c r="BV2317" s="160"/>
      <c r="BW2317" s="160"/>
      <c r="BX2317" s="160"/>
      <c r="BY2317" s="160"/>
      <c r="BZ2317" s="160"/>
      <c r="CA2317" s="160"/>
      <c r="CB2317" s="160"/>
      <c r="CC2317" s="160"/>
      <c r="CD2317" s="160"/>
      <c r="CE2317" s="160"/>
      <c r="CF2317" s="160"/>
      <c r="CG2317" s="160"/>
      <c r="CH2317" s="160"/>
      <c r="CI2317" s="160"/>
      <c r="CJ2317" s="160"/>
      <c r="CK2317" s="160"/>
      <c r="CL2317" s="160"/>
      <c r="CM2317" s="160"/>
      <c r="CN2317" s="160"/>
      <c r="CO2317" s="160"/>
      <c r="CP2317" s="162"/>
      <c r="CQ2317" s="163"/>
      <c r="CR2317" s="162"/>
      <c r="CS2317" s="163"/>
      <c r="CT2317" s="162"/>
      <c r="CU2317" s="163"/>
      <c r="CV2317" s="164">
        <f t="shared" si="288"/>
        <v>0</v>
      </c>
      <c r="CW2317" s="165"/>
      <c r="CX2317" s="166"/>
      <c r="CY2317" s="167"/>
      <c r="CZ2317" s="168"/>
      <c r="DA2317" s="169"/>
      <c r="DB2317" s="168"/>
      <c r="DC2317" s="165"/>
      <c r="DD2317" s="166"/>
      <c r="DE2317" s="71"/>
      <c r="DF2317" s="170"/>
      <c r="EO2317" s="375" t="str">
        <f t="shared" si="289"/>
        <v>HUILA_PAICOL</v>
      </c>
      <c r="EP2317" s="376"/>
      <c r="EQ2317" s="376"/>
      <c r="ER2317" s="377"/>
      <c r="ES2317" s="376"/>
      <c r="ET2317" s="376"/>
      <c r="EU2317" s="376"/>
    </row>
    <row r="2318" spans="1:151" s="171" customFormat="1" ht="56.25" x14ac:dyDescent="0.2">
      <c r="A2318" s="242">
        <v>40529</v>
      </c>
      <c r="B2318" s="222" t="s">
        <v>1836</v>
      </c>
      <c r="C2318" s="222" t="s">
        <v>996</v>
      </c>
      <c r="D2318" s="430" t="s">
        <v>837</v>
      </c>
      <c r="E2318" s="107" t="str">
        <f>VLOOKUP(B2318&amp;C2318,Divipola!$C$2:$F$1138,4,FALSE)</f>
        <v>47555</v>
      </c>
      <c r="F2318" s="333"/>
      <c r="G2318" s="221"/>
      <c r="H2318" s="157"/>
      <c r="I2318" s="157"/>
      <c r="J2318" s="157">
        <v>329</v>
      </c>
      <c r="K2318" s="157">
        <v>47</v>
      </c>
      <c r="L2318" s="157"/>
      <c r="M2318" s="157">
        <v>47</v>
      </c>
      <c r="N2318" s="157"/>
      <c r="O2318" s="157"/>
      <c r="P2318" s="157"/>
      <c r="Q2318" s="157"/>
      <c r="R2318" s="157"/>
      <c r="S2318" s="157"/>
      <c r="T2318" s="157"/>
      <c r="U2318" s="157"/>
      <c r="V2318" s="158"/>
      <c r="W2318" s="182"/>
      <c r="X2318" s="1"/>
      <c r="Y2318" s="78">
        <f t="shared" si="285"/>
        <v>0</v>
      </c>
      <c r="Z2318" s="78">
        <f t="shared" si="286"/>
        <v>0</v>
      </c>
      <c r="AA2318" s="78">
        <f t="shared" si="284"/>
        <v>0</v>
      </c>
      <c r="AB2318" s="78">
        <f t="shared" si="287"/>
        <v>0</v>
      </c>
      <c r="AC2318" s="78"/>
      <c r="AD2318" s="78">
        <v>0</v>
      </c>
      <c r="AE2318" s="80">
        <f t="shared" si="290"/>
        <v>0</v>
      </c>
      <c r="AF2318" s="82">
        <v>0</v>
      </c>
      <c r="AG2318" s="69"/>
      <c r="AH2318" s="84"/>
      <c r="AI2318" s="69" t="s">
        <v>2009</v>
      </c>
      <c r="AJ2318" s="25" t="s">
        <v>2010</v>
      </c>
      <c r="AK2318" s="65"/>
      <c r="AL2318" s="184" t="s">
        <v>348</v>
      </c>
      <c r="AM2318" s="173" t="s">
        <v>3788</v>
      </c>
      <c r="AN2318" s="159"/>
      <c r="AO2318" s="160"/>
      <c r="AP2318" s="161"/>
      <c r="AQ2318" s="160"/>
      <c r="AR2318" s="160"/>
      <c r="AS2318" s="160"/>
      <c r="AT2318" s="160"/>
      <c r="AU2318" s="160"/>
      <c r="AV2318" s="160"/>
      <c r="AW2318" s="160"/>
      <c r="AX2318" s="160"/>
      <c r="AY2318" s="160"/>
      <c r="AZ2318" s="160"/>
      <c r="BA2318" s="160"/>
      <c r="BB2318" s="160"/>
      <c r="BC2318" s="160"/>
      <c r="BD2318" s="160"/>
      <c r="BE2318" s="160"/>
      <c r="BF2318" s="160"/>
      <c r="BG2318" s="160"/>
      <c r="BH2318" s="160"/>
      <c r="BI2318" s="160"/>
      <c r="BJ2318" s="160"/>
      <c r="BK2318" s="160"/>
      <c r="BL2318" s="160"/>
      <c r="BM2318" s="160"/>
      <c r="BN2318" s="160"/>
      <c r="BO2318" s="160"/>
      <c r="BP2318" s="160"/>
      <c r="BQ2318" s="160"/>
      <c r="BR2318" s="160"/>
      <c r="BS2318" s="160"/>
      <c r="BT2318" s="160"/>
      <c r="BU2318" s="160"/>
      <c r="BV2318" s="160"/>
      <c r="BW2318" s="160"/>
      <c r="BX2318" s="160"/>
      <c r="BY2318" s="160"/>
      <c r="BZ2318" s="160"/>
      <c r="CA2318" s="160"/>
      <c r="CB2318" s="160"/>
      <c r="CC2318" s="160"/>
      <c r="CD2318" s="160"/>
      <c r="CE2318" s="160"/>
      <c r="CF2318" s="160"/>
      <c r="CG2318" s="160"/>
      <c r="CH2318" s="160"/>
      <c r="CI2318" s="160"/>
      <c r="CJ2318" s="160"/>
      <c r="CK2318" s="160"/>
      <c r="CL2318" s="160"/>
      <c r="CM2318" s="160"/>
      <c r="CN2318" s="160"/>
      <c r="CO2318" s="160"/>
      <c r="CP2318" s="162"/>
      <c r="CQ2318" s="163"/>
      <c r="CR2318" s="162"/>
      <c r="CS2318" s="163"/>
      <c r="CT2318" s="162"/>
      <c r="CU2318" s="163"/>
      <c r="CV2318" s="164">
        <f t="shared" si="288"/>
        <v>0</v>
      </c>
      <c r="CW2318" s="165"/>
      <c r="CX2318" s="166"/>
      <c r="CY2318" s="167"/>
      <c r="CZ2318" s="168"/>
      <c r="DA2318" s="169"/>
      <c r="DB2318" s="168"/>
      <c r="DC2318" s="165"/>
      <c r="DD2318" s="166"/>
      <c r="DE2318" s="71"/>
      <c r="DF2318" s="170"/>
      <c r="EO2318" s="375" t="str">
        <f t="shared" si="289"/>
        <v>MAGDALENA_PLATO</v>
      </c>
      <c r="EP2318" s="376"/>
      <c r="EQ2318" s="376"/>
      <c r="ER2318" s="377"/>
      <c r="ES2318" s="376"/>
      <c r="ET2318" s="376"/>
      <c r="EU2318" s="376"/>
    </row>
    <row r="2319" spans="1:151" s="171" customFormat="1" ht="60" x14ac:dyDescent="0.2">
      <c r="A2319" s="242">
        <v>40529</v>
      </c>
      <c r="B2319" s="222" t="s">
        <v>1836</v>
      </c>
      <c r="C2319" s="222" t="s">
        <v>1814</v>
      </c>
      <c r="D2319" s="430" t="s">
        <v>837</v>
      </c>
      <c r="E2319" s="107" t="str">
        <f>VLOOKUP(B2319&amp;C2319,Divipola!$C$2:$F$1138,4,FALSE)</f>
        <v>47001</v>
      </c>
      <c r="F2319" s="333"/>
      <c r="G2319" s="221"/>
      <c r="H2319" s="157"/>
      <c r="I2319" s="157"/>
      <c r="J2319" s="157">
        <v>1800</v>
      </c>
      <c r="K2319" s="157">
        <v>400</v>
      </c>
      <c r="L2319" s="157"/>
      <c r="M2319" s="157">
        <v>400</v>
      </c>
      <c r="N2319" s="157"/>
      <c r="O2319" s="157"/>
      <c r="P2319" s="157"/>
      <c r="Q2319" s="157"/>
      <c r="R2319" s="157"/>
      <c r="S2319" s="157"/>
      <c r="T2319" s="157"/>
      <c r="U2319" s="157"/>
      <c r="V2319" s="158"/>
      <c r="W2319" s="182"/>
      <c r="X2319" s="1"/>
      <c r="Y2319" s="78">
        <f t="shared" si="285"/>
        <v>41760000</v>
      </c>
      <c r="Z2319" s="78">
        <f t="shared" si="286"/>
        <v>0</v>
      </c>
      <c r="AA2319" s="78">
        <f t="shared" si="284"/>
        <v>0</v>
      </c>
      <c r="AB2319" s="78">
        <f t="shared" si="287"/>
        <v>95000000</v>
      </c>
      <c r="AC2319" s="78"/>
      <c r="AD2319" s="78">
        <v>0</v>
      </c>
      <c r="AE2319" s="80">
        <f t="shared" si="290"/>
        <v>136760000</v>
      </c>
      <c r="AF2319" s="82">
        <v>0</v>
      </c>
      <c r="AG2319" s="69"/>
      <c r="AH2319" s="84"/>
      <c r="AI2319" s="69" t="s">
        <v>2009</v>
      </c>
      <c r="AJ2319" s="25" t="s">
        <v>2010</v>
      </c>
      <c r="AK2319" s="65">
        <v>391</v>
      </c>
      <c r="AL2319" s="176"/>
      <c r="AM2319" s="173" t="s">
        <v>3787</v>
      </c>
      <c r="AN2319" s="159"/>
      <c r="AO2319" s="160"/>
      <c r="AP2319" s="161"/>
      <c r="AQ2319" s="160"/>
      <c r="AR2319" s="160"/>
      <c r="AS2319" s="160"/>
      <c r="AT2319" s="160"/>
      <c r="AU2319" s="160"/>
      <c r="AV2319" s="160"/>
      <c r="AW2319" s="160"/>
      <c r="AX2319" s="160"/>
      <c r="AY2319" s="160"/>
      <c r="AZ2319" s="160"/>
      <c r="BA2319" s="160"/>
      <c r="BB2319" s="160"/>
      <c r="BC2319" s="160"/>
      <c r="BD2319" s="160"/>
      <c r="BE2319" s="160"/>
      <c r="BF2319" s="160"/>
      <c r="BG2319" s="160"/>
      <c r="BH2319" s="160"/>
      <c r="BI2319" s="160"/>
      <c r="BJ2319" s="160"/>
      <c r="BK2319" s="160"/>
      <c r="BL2319" s="160"/>
      <c r="BM2319" s="160"/>
      <c r="BN2319" s="160"/>
      <c r="BO2319" s="160"/>
      <c r="BP2319" s="160"/>
      <c r="BQ2319" s="160"/>
      <c r="BR2319" s="160"/>
      <c r="BS2319" s="160"/>
      <c r="BT2319" s="160"/>
      <c r="BU2319" s="160"/>
      <c r="BV2319" s="160"/>
      <c r="BW2319" s="160"/>
      <c r="BX2319" s="160"/>
      <c r="BY2319" s="160"/>
      <c r="BZ2319" s="160">
        <v>80</v>
      </c>
      <c r="CA2319" s="160">
        <f>80*522000</f>
        <v>41760000</v>
      </c>
      <c r="CB2319" s="160"/>
      <c r="CC2319" s="160"/>
      <c r="CD2319" s="160"/>
      <c r="CE2319" s="160"/>
      <c r="CF2319" s="160"/>
      <c r="CG2319" s="160"/>
      <c r="CH2319" s="160"/>
      <c r="CI2319" s="160"/>
      <c r="CJ2319" s="160"/>
      <c r="CK2319" s="160"/>
      <c r="CL2319" s="160"/>
      <c r="CM2319" s="160"/>
      <c r="CN2319" s="160"/>
      <c r="CO2319" s="160"/>
      <c r="CP2319" s="162"/>
      <c r="CQ2319" s="163"/>
      <c r="CR2319" s="162"/>
      <c r="CS2319" s="163"/>
      <c r="CT2319" s="162"/>
      <c r="CU2319" s="163"/>
      <c r="CV2319" s="164">
        <f t="shared" si="288"/>
        <v>41760000</v>
      </c>
      <c r="CW2319" s="165">
        <v>100000</v>
      </c>
      <c r="CX2319" s="166">
        <f>100000*950</f>
        <v>95000000</v>
      </c>
      <c r="CY2319" s="167"/>
      <c r="CZ2319" s="168"/>
      <c r="DA2319" s="169"/>
      <c r="DB2319" s="168"/>
      <c r="DC2319" s="165"/>
      <c r="DD2319" s="166"/>
      <c r="DE2319" s="71"/>
      <c r="DF2319" s="170"/>
      <c r="EO2319" s="375" t="str">
        <f t="shared" si="289"/>
        <v>MAGDALENA_SANTA MARTA</v>
      </c>
      <c r="EP2319" s="376"/>
      <c r="EQ2319" s="376"/>
      <c r="ER2319" s="377"/>
      <c r="ES2319" s="376"/>
      <c r="ET2319" s="376"/>
      <c r="EU2319" s="376"/>
    </row>
    <row r="2320" spans="1:151" s="171" customFormat="1" ht="38.25" x14ac:dyDescent="0.2">
      <c r="A2320" s="242">
        <v>40529</v>
      </c>
      <c r="B2320" s="222" t="s">
        <v>2245</v>
      </c>
      <c r="C2320" s="222" t="s">
        <v>4495</v>
      </c>
      <c r="D2320" s="430" t="s">
        <v>2307</v>
      </c>
      <c r="E2320" s="107" t="str">
        <f>VLOOKUP(B2320&amp;C2320,Divipola!$C$2:$F$1138,4,FALSE)</f>
        <v>52258</v>
      </c>
      <c r="F2320" s="333"/>
      <c r="G2320" s="221"/>
      <c r="H2320" s="157"/>
      <c r="I2320" s="157"/>
      <c r="J2320" s="157">
        <f>1246-115</f>
        <v>1131</v>
      </c>
      <c r="K2320" s="157">
        <f>324-30</f>
        <v>294</v>
      </c>
      <c r="L2320" s="157">
        <v>36</v>
      </c>
      <c r="M2320" s="157">
        <v>162</v>
      </c>
      <c r="N2320" s="157"/>
      <c r="O2320" s="157"/>
      <c r="P2320" s="157"/>
      <c r="Q2320" s="157"/>
      <c r="R2320" s="157"/>
      <c r="S2320" s="157"/>
      <c r="T2320" s="157"/>
      <c r="U2320" s="157"/>
      <c r="V2320" s="158"/>
      <c r="W2320" s="182"/>
      <c r="X2320" s="1"/>
      <c r="Y2320" s="78">
        <f t="shared" si="285"/>
        <v>0</v>
      </c>
      <c r="Z2320" s="78">
        <f t="shared" si="286"/>
        <v>0</v>
      </c>
      <c r="AA2320" s="78">
        <f t="shared" si="284"/>
        <v>0</v>
      </c>
      <c r="AB2320" s="78">
        <f t="shared" si="287"/>
        <v>0</v>
      </c>
      <c r="AC2320" s="78"/>
      <c r="AD2320" s="78">
        <v>0</v>
      </c>
      <c r="AE2320" s="80">
        <f t="shared" si="290"/>
        <v>0</v>
      </c>
      <c r="AF2320" s="82">
        <v>0</v>
      </c>
      <c r="AG2320" s="69">
        <v>40529</v>
      </c>
      <c r="AH2320" s="84"/>
      <c r="AI2320" s="69" t="s">
        <v>1984</v>
      </c>
      <c r="AJ2320" s="25" t="s">
        <v>1985</v>
      </c>
      <c r="AK2320" s="65"/>
      <c r="AL2320" s="176" t="s">
        <v>1257</v>
      </c>
      <c r="AM2320" s="173" t="s">
        <v>787</v>
      </c>
      <c r="AN2320" s="159"/>
      <c r="AO2320" s="160"/>
      <c r="AP2320" s="161"/>
      <c r="AQ2320" s="160"/>
      <c r="AR2320" s="160"/>
      <c r="AS2320" s="160"/>
      <c r="AT2320" s="160"/>
      <c r="AU2320" s="160"/>
      <c r="AV2320" s="160"/>
      <c r="AW2320" s="160"/>
      <c r="AX2320" s="160"/>
      <c r="AY2320" s="160"/>
      <c r="AZ2320" s="160"/>
      <c r="BA2320" s="160"/>
      <c r="BB2320" s="160"/>
      <c r="BC2320" s="160"/>
      <c r="BD2320" s="160"/>
      <c r="BE2320" s="160"/>
      <c r="BF2320" s="160"/>
      <c r="BG2320" s="160"/>
      <c r="BH2320" s="160"/>
      <c r="BI2320" s="160"/>
      <c r="BJ2320" s="160"/>
      <c r="BK2320" s="160"/>
      <c r="BL2320" s="160"/>
      <c r="BM2320" s="160"/>
      <c r="BN2320" s="160"/>
      <c r="BO2320" s="160"/>
      <c r="BP2320" s="160"/>
      <c r="BQ2320" s="160"/>
      <c r="BR2320" s="160"/>
      <c r="BS2320" s="160"/>
      <c r="BT2320" s="160"/>
      <c r="BU2320" s="160"/>
      <c r="BV2320" s="160"/>
      <c r="BW2320" s="160"/>
      <c r="BX2320" s="160"/>
      <c r="BY2320" s="160"/>
      <c r="BZ2320" s="160"/>
      <c r="CA2320" s="160"/>
      <c r="CB2320" s="160"/>
      <c r="CC2320" s="160"/>
      <c r="CD2320" s="160"/>
      <c r="CE2320" s="160"/>
      <c r="CF2320" s="160"/>
      <c r="CG2320" s="160"/>
      <c r="CH2320" s="160"/>
      <c r="CI2320" s="160"/>
      <c r="CJ2320" s="160"/>
      <c r="CK2320" s="160"/>
      <c r="CL2320" s="160"/>
      <c r="CM2320" s="160"/>
      <c r="CN2320" s="160"/>
      <c r="CO2320" s="160"/>
      <c r="CP2320" s="162"/>
      <c r="CQ2320" s="163"/>
      <c r="CR2320" s="162"/>
      <c r="CS2320" s="163"/>
      <c r="CT2320" s="162"/>
      <c r="CU2320" s="163"/>
      <c r="CV2320" s="164">
        <f t="shared" si="288"/>
        <v>0</v>
      </c>
      <c r="CW2320" s="165"/>
      <c r="CX2320" s="166"/>
      <c r="CY2320" s="167"/>
      <c r="CZ2320" s="168"/>
      <c r="DA2320" s="169"/>
      <c r="DB2320" s="168"/>
      <c r="DC2320" s="165"/>
      <c r="DD2320" s="166"/>
      <c r="DE2320" s="71"/>
      <c r="DF2320" s="170"/>
      <c r="EO2320" s="375" t="str">
        <f t="shared" si="289"/>
        <v>NARIÑO_EL TABLON DE GOMEZ</v>
      </c>
      <c r="EP2320" s="376"/>
      <c r="EQ2320" s="376"/>
      <c r="ER2320" s="377"/>
      <c r="ES2320" s="376"/>
      <c r="ET2320" s="376"/>
      <c r="EU2320" s="376"/>
    </row>
    <row r="2321" spans="1:151" s="171" customFormat="1" ht="48" x14ac:dyDescent="0.2">
      <c r="A2321" s="242">
        <v>40529</v>
      </c>
      <c r="B2321" s="222" t="s">
        <v>2245</v>
      </c>
      <c r="C2321" s="222" t="s">
        <v>2944</v>
      </c>
      <c r="D2321" s="430" t="s">
        <v>2307</v>
      </c>
      <c r="E2321" s="107" t="str">
        <f>VLOOKUP(B2321&amp;C2321,Divipola!$C$2:$F$1138,4,FALSE)</f>
        <v>52683</v>
      </c>
      <c r="F2321" s="333"/>
      <c r="G2321" s="221"/>
      <c r="H2321" s="157">
        <v>1</v>
      </c>
      <c r="I2321" s="157"/>
      <c r="J2321" s="157">
        <f>2048-583</f>
        <v>1465</v>
      </c>
      <c r="K2321" s="157">
        <v>366</v>
      </c>
      <c r="L2321" s="157">
        <f>193-7</f>
        <v>186</v>
      </c>
      <c r="M2321" s="157">
        <f>671-352-145</f>
        <v>174</v>
      </c>
      <c r="N2321" s="157"/>
      <c r="O2321" s="157"/>
      <c r="P2321" s="157"/>
      <c r="Q2321" s="157">
        <v>5</v>
      </c>
      <c r="R2321" s="157"/>
      <c r="S2321" s="157"/>
      <c r="T2321" s="157">
        <v>2</v>
      </c>
      <c r="U2321" s="157"/>
      <c r="V2321" s="158"/>
      <c r="W2321" s="182"/>
      <c r="X2321" s="1"/>
      <c r="Y2321" s="78">
        <f t="shared" si="285"/>
        <v>0</v>
      </c>
      <c r="Z2321" s="78">
        <f t="shared" si="286"/>
        <v>0</v>
      </c>
      <c r="AA2321" s="78">
        <f t="shared" si="284"/>
        <v>0</v>
      </c>
      <c r="AB2321" s="78">
        <f t="shared" si="287"/>
        <v>0</v>
      </c>
      <c r="AC2321" s="78"/>
      <c r="AD2321" s="78">
        <v>0</v>
      </c>
      <c r="AE2321" s="80">
        <f t="shared" si="290"/>
        <v>0</v>
      </c>
      <c r="AF2321" s="82">
        <v>0</v>
      </c>
      <c r="AG2321" s="69">
        <v>40529</v>
      </c>
      <c r="AH2321" s="84"/>
      <c r="AI2321" s="69" t="s">
        <v>1984</v>
      </c>
      <c r="AJ2321" s="25" t="s">
        <v>1985</v>
      </c>
      <c r="AK2321" s="65"/>
      <c r="AL2321" s="176" t="s">
        <v>1257</v>
      </c>
      <c r="AM2321" s="173" t="s">
        <v>786</v>
      </c>
      <c r="AN2321" s="159"/>
      <c r="AO2321" s="160"/>
      <c r="AP2321" s="161"/>
      <c r="AQ2321" s="160"/>
      <c r="AR2321" s="160"/>
      <c r="AS2321" s="160"/>
      <c r="AT2321" s="160"/>
      <c r="AU2321" s="160"/>
      <c r="AV2321" s="160"/>
      <c r="AW2321" s="160"/>
      <c r="AX2321" s="160"/>
      <c r="AY2321" s="160"/>
      <c r="AZ2321" s="160"/>
      <c r="BA2321" s="160"/>
      <c r="BB2321" s="160"/>
      <c r="BC2321" s="160"/>
      <c r="BD2321" s="160"/>
      <c r="BE2321" s="160"/>
      <c r="BF2321" s="160"/>
      <c r="BG2321" s="160"/>
      <c r="BH2321" s="160"/>
      <c r="BI2321" s="160"/>
      <c r="BJ2321" s="160"/>
      <c r="BK2321" s="160"/>
      <c r="BL2321" s="160"/>
      <c r="BM2321" s="160"/>
      <c r="BN2321" s="160"/>
      <c r="BO2321" s="160"/>
      <c r="BP2321" s="160"/>
      <c r="BQ2321" s="160"/>
      <c r="BR2321" s="160"/>
      <c r="BS2321" s="160"/>
      <c r="BT2321" s="160"/>
      <c r="BU2321" s="160"/>
      <c r="BV2321" s="160"/>
      <c r="BW2321" s="160"/>
      <c r="BX2321" s="160"/>
      <c r="BY2321" s="160"/>
      <c r="BZ2321" s="160"/>
      <c r="CA2321" s="160"/>
      <c r="CB2321" s="160"/>
      <c r="CC2321" s="160"/>
      <c r="CD2321" s="160"/>
      <c r="CE2321" s="160"/>
      <c r="CF2321" s="160"/>
      <c r="CG2321" s="160"/>
      <c r="CH2321" s="160"/>
      <c r="CI2321" s="160"/>
      <c r="CJ2321" s="160"/>
      <c r="CK2321" s="160"/>
      <c r="CL2321" s="160"/>
      <c r="CM2321" s="160"/>
      <c r="CN2321" s="160"/>
      <c r="CO2321" s="160"/>
      <c r="CP2321" s="162"/>
      <c r="CQ2321" s="163"/>
      <c r="CR2321" s="162"/>
      <c r="CS2321" s="163"/>
      <c r="CT2321" s="162"/>
      <c r="CU2321" s="163"/>
      <c r="CV2321" s="164">
        <f t="shared" si="288"/>
        <v>0</v>
      </c>
      <c r="CW2321" s="165"/>
      <c r="CX2321" s="166"/>
      <c r="CY2321" s="167"/>
      <c r="CZ2321" s="168"/>
      <c r="DA2321" s="169"/>
      <c r="DB2321" s="168"/>
      <c r="DC2321" s="165"/>
      <c r="DD2321" s="166"/>
      <c r="DE2321" s="71"/>
      <c r="DF2321" s="170"/>
      <c r="EO2321" s="375" t="str">
        <f t="shared" si="289"/>
        <v>NARIÑO_SANDONA</v>
      </c>
      <c r="EP2321" s="376"/>
      <c r="EQ2321" s="376"/>
      <c r="ER2321" s="377"/>
      <c r="ES2321" s="376"/>
      <c r="ET2321" s="376"/>
      <c r="EU2321" s="376"/>
    </row>
    <row r="2322" spans="1:151" s="171" customFormat="1" ht="51" x14ac:dyDescent="0.2">
      <c r="A2322" s="242">
        <v>40529</v>
      </c>
      <c r="B2322" s="222" t="s">
        <v>1336</v>
      </c>
      <c r="C2322" s="222" t="s">
        <v>2448</v>
      </c>
      <c r="D2322" s="430" t="s">
        <v>2307</v>
      </c>
      <c r="E2322" s="107" t="str">
        <f>VLOOKUP(B2322&amp;C2322,Divipola!$C$2:$F$1138,4,FALSE)</f>
        <v>54313</v>
      </c>
      <c r="F2322" s="333"/>
      <c r="G2322" s="221"/>
      <c r="H2322" s="157"/>
      <c r="I2322" s="157"/>
      <c r="J2322" s="421">
        <f>1000*3.3</f>
        <v>3300</v>
      </c>
      <c r="K2322" s="157">
        <v>1000</v>
      </c>
      <c r="L2322" s="157">
        <v>100</v>
      </c>
      <c r="M2322" s="157">
        <v>900</v>
      </c>
      <c r="N2322" s="157"/>
      <c r="O2322" s="157"/>
      <c r="P2322" s="157"/>
      <c r="Q2322" s="157"/>
      <c r="R2322" s="157"/>
      <c r="S2322" s="157"/>
      <c r="T2322" s="157"/>
      <c r="U2322" s="157"/>
      <c r="V2322" s="158"/>
      <c r="W2322" s="182"/>
      <c r="X2322" s="1"/>
      <c r="Y2322" s="78">
        <f t="shared" si="285"/>
        <v>0</v>
      </c>
      <c r="Z2322" s="78">
        <f t="shared" si="286"/>
        <v>0</v>
      </c>
      <c r="AA2322" s="78">
        <f t="shared" si="284"/>
        <v>0</v>
      </c>
      <c r="AB2322" s="78">
        <f t="shared" si="287"/>
        <v>0</v>
      </c>
      <c r="AC2322" s="78"/>
      <c r="AD2322" s="78">
        <v>0</v>
      </c>
      <c r="AE2322" s="80">
        <f t="shared" si="290"/>
        <v>0</v>
      </c>
      <c r="AF2322" s="82">
        <v>0</v>
      </c>
      <c r="AG2322" s="69">
        <v>40529</v>
      </c>
      <c r="AH2322" s="84"/>
      <c r="AI2322" s="69" t="s">
        <v>2009</v>
      </c>
      <c r="AJ2322" s="276" t="s">
        <v>2010</v>
      </c>
      <c r="AK2322" s="65"/>
      <c r="AL2322" s="272" t="s">
        <v>311</v>
      </c>
      <c r="AM2322" s="173" t="s">
        <v>3789</v>
      </c>
      <c r="AN2322" s="159"/>
      <c r="AO2322" s="160"/>
      <c r="AP2322" s="161"/>
      <c r="AQ2322" s="160"/>
      <c r="AR2322" s="160"/>
      <c r="AS2322" s="160"/>
      <c r="AT2322" s="160"/>
      <c r="AU2322" s="160"/>
      <c r="AV2322" s="160"/>
      <c r="AW2322" s="160"/>
      <c r="AX2322" s="160"/>
      <c r="AY2322" s="160"/>
      <c r="AZ2322" s="160"/>
      <c r="BA2322" s="160"/>
      <c r="BB2322" s="160"/>
      <c r="BC2322" s="160"/>
      <c r="BD2322" s="160"/>
      <c r="BE2322" s="160"/>
      <c r="BF2322" s="160"/>
      <c r="BG2322" s="160"/>
      <c r="BH2322" s="160"/>
      <c r="BI2322" s="160"/>
      <c r="BJ2322" s="160"/>
      <c r="BK2322" s="160"/>
      <c r="BL2322" s="160"/>
      <c r="BM2322" s="160"/>
      <c r="BN2322" s="160"/>
      <c r="BO2322" s="160"/>
      <c r="BP2322" s="160"/>
      <c r="BQ2322" s="160"/>
      <c r="BR2322" s="160"/>
      <c r="BS2322" s="160"/>
      <c r="BT2322" s="160"/>
      <c r="BU2322" s="160"/>
      <c r="BV2322" s="160"/>
      <c r="BW2322" s="160"/>
      <c r="BX2322" s="160"/>
      <c r="BY2322" s="160"/>
      <c r="BZ2322" s="160"/>
      <c r="CA2322" s="160"/>
      <c r="CB2322" s="160"/>
      <c r="CC2322" s="160"/>
      <c r="CD2322" s="160"/>
      <c r="CE2322" s="160"/>
      <c r="CF2322" s="160"/>
      <c r="CG2322" s="160"/>
      <c r="CH2322" s="160"/>
      <c r="CI2322" s="160"/>
      <c r="CJ2322" s="160"/>
      <c r="CK2322" s="160"/>
      <c r="CL2322" s="160"/>
      <c r="CM2322" s="160"/>
      <c r="CN2322" s="160"/>
      <c r="CO2322" s="160"/>
      <c r="CP2322" s="162"/>
      <c r="CQ2322" s="163"/>
      <c r="CR2322" s="162"/>
      <c r="CS2322" s="163"/>
      <c r="CT2322" s="162"/>
      <c r="CU2322" s="163"/>
      <c r="CV2322" s="164">
        <f t="shared" si="288"/>
        <v>0</v>
      </c>
      <c r="CW2322" s="165"/>
      <c r="CX2322" s="166"/>
      <c r="CY2322" s="167"/>
      <c r="CZ2322" s="168"/>
      <c r="DA2322" s="169"/>
      <c r="DB2322" s="168"/>
      <c r="DC2322" s="165"/>
      <c r="DD2322" s="166"/>
      <c r="DE2322" s="71"/>
      <c r="DF2322" s="170"/>
      <c r="EO2322" s="375" t="str">
        <f t="shared" si="289"/>
        <v>NORTE DE SANTANDER_GRAMALOTE</v>
      </c>
      <c r="EP2322" s="376"/>
      <c r="EQ2322" s="376"/>
      <c r="ER2322" s="377"/>
      <c r="ES2322" s="376"/>
      <c r="ET2322" s="376"/>
      <c r="EU2322" s="376"/>
    </row>
    <row r="2323" spans="1:151" s="171" customFormat="1" ht="63.75" x14ac:dyDescent="0.2">
      <c r="A2323" s="242">
        <v>40529</v>
      </c>
      <c r="B2323" s="222" t="s">
        <v>1336</v>
      </c>
      <c r="C2323" s="222" t="s">
        <v>1733</v>
      </c>
      <c r="D2323" s="430" t="s">
        <v>2307</v>
      </c>
      <c r="E2323" s="107" t="str">
        <f>VLOOKUP(B2323&amp;C2323,Divipola!$C$2:$F$1138,4,FALSE)</f>
        <v>54874</v>
      </c>
      <c r="F2323" s="333"/>
      <c r="G2323" s="221"/>
      <c r="H2323" s="157"/>
      <c r="I2323" s="157"/>
      <c r="J2323" s="157">
        <v>40</v>
      </c>
      <c r="K2323" s="157">
        <v>8</v>
      </c>
      <c r="L2323" s="157"/>
      <c r="M2323" s="157">
        <v>8</v>
      </c>
      <c r="N2323" s="157"/>
      <c r="O2323" s="157"/>
      <c r="P2323" s="157"/>
      <c r="Q2323" s="157"/>
      <c r="R2323" s="157"/>
      <c r="S2323" s="157"/>
      <c r="T2323" s="157"/>
      <c r="U2323" s="157"/>
      <c r="V2323" s="158"/>
      <c r="W2323" s="182"/>
      <c r="X2323" s="1"/>
      <c r="Y2323" s="78">
        <f t="shared" si="285"/>
        <v>0</v>
      </c>
      <c r="Z2323" s="78">
        <f t="shared" si="286"/>
        <v>0</v>
      </c>
      <c r="AA2323" s="78">
        <f t="shared" si="284"/>
        <v>0</v>
      </c>
      <c r="AB2323" s="78">
        <f t="shared" si="287"/>
        <v>0</v>
      </c>
      <c r="AC2323" s="78"/>
      <c r="AD2323" s="78">
        <v>0</v>
      </c>
      <c r="AE2323" s="80">
        <f t="shared" si="290"/>
        <v>0</v>
      </c>
      <c r="AF2323" s="82">
        <v>0</v>
      </c>
      <c r="AG2323" s="69">
        <v>40529</v>
      </c>
      <c r="AH2323" s="84"/>
      <c r="AI2323" s="69" t="s">
        <v>2009</v>
      </c>
      <c r="AJ2323" s="276" t="s">
        <v>2010</v>
      </c>
      <c r="AK2323" s="65"/>
      <c r="AL2323" s="272" t="s">
        <v>311</v>
      </c>
      <c r="AM2323" s="173"/>
      <c r="AN2323" s="159"/>
      <c r="AO2323" s="160"/>
      <c r="AP2323" s="161"/>
      <c r="AQ2323" s="160"/>
      <c r="AR2323" s="160"/>
      <c r="AS2323" s="160"/>
      <c r="AT2323" s="160"/>
      <c r="AU2323" s="160"/>
      <c r="AV2323" s="160"/>
      <c r="AW2323" s="160"/>
      <c r="AX2323" s="160"/>
      <c r="AY2323" s="160"/>
      <c r="AZ2323" s="160"/>
      <c r="BA2323" s="160"/>
      <c r="BB2323" s="160"/>
      <c r="BC2323" s="160"/>
      <c r="BD2323" s="160"/>
      <c r="BE2323" s="160"/>
      <c r="BF2323" s="160"/>
      <c r="BG2323" s="160"/>
      <c r="BH2323" s="160"/>
      <c r="BI2323" s="160"/>
      <c r="BJ2323" s="160"/>
      <c r="BK2323" s="160"/>
      <c r="BL2323" s="160"/>
      <c r="BM2323" s="160"/>
      <c r="BN2323" s="160"/>
      <c r="BO2323" s="160"/>
      <c r="BP2323" s="160"/>
      <c r="BQ2323" s="160"/>
      <c r="BR2323" s="160"/>
      <c r="BS2323" s="160"/>
      <c r="BT2323" s="160"/>
      <c r="BU2323" s="160"/>
      <c r="BV2323" s="160"/>
      <c r="BW2323" s="160"/>
      <c r="BX2323" s="160"/>
      <c r="BY2323" s="160"/>
      <c r="BZ2323" s="160"/>
      <c r="CA2323" s="160"/>
      <c r="CB2323" s="160"/>
      <c r="CC2323" s="160"/>
      <c r="CD2323" s="160"/>
      <c r="CE2323" s="160"/>
      <c r="CF2323" s="160"/>
      <c r="CG2323" s="160"/>
      <c r="CH2323" s="160"/>
      <c r="CI2323" s="160"/>
      <c r="CJ2323" s="160"/>
      <c r="CK2323" s="160"/>
      <c r="CL2323" s="160"/>
      <c r="CM2323" s="160"/>
      <c r="CN2323" s="160"/>
      <c r="CO2323" s="160"/>
      <c r="CP2323" s="162"/>
      <c r="CQ2323" s="163"/>
      <c r="CR2323" s="162"/>
      <c r="CS2323" s="163"/>
      <c r="CT2323" s="162"/>
      <c r="CU2323" s="163"/>
      <c r="CV2323" s="164">
        <f t="shared" si="288"/>
        <v>0</v>
      </c>
      <c r="CW2323" s="165"/>
      <c r="CX2323" s="166"/>
      <c r="CY2323" s="167"/>
      <c r="CZ2323" s="168"/>
      <c r="DA2323" s="169"/>
      <c r="DB2323" s="168"/>
      <c r="DC2323" s="165"/>
      <c r="DD2323" s="166"/>
      <c r="DE2323" s="71"/>
      <c r="DF2323" s="170"/>
      <c r="EO2323" s="375" t="str">
        <f t="shared" si="289"/>
        <v>NORTE DE SANTANDER_VILLA DEL ROSARIO</v>
      </c>
      <c r="EP2323" s="376"/>
      <c r="EQ2323" s="376"/>
      <c r="ER2323" s="377"/>
      <c r="ES2323" s="376"/>
      <c r="ET2323" s="376"/>
      <c r="EU2323" s="376"/>
    </row>
    <row r="2324" spans="1:151" s="171" customFormat="1" ht="48" x14ac:dyDescent="0.2">
      <c r="A2324" s="242">
        <v>40529</v>
      </c>
      <c r="B2324" s="222" t="s">
        <v>2014</v>
      </c>
      <c r="C2324" s="222" t="s">
        <v>2015</v>
      </c>
      <c r="D2324" s="430" t="s">
        <v>2307</v>
      </c>
      <c r="E2324" s="107" t="str">
        <f>VLOOKUP(B2324&amp;C2324,Divipola!$C$2:$F$1138,4,FALSE)</f>
        <v>63001</v>
      </c>
      <c r="F2324" s="333"/>
      <c r="G2324" s="221"/>
      <c r="H2324" s="157"/>
      <c r="I2324" s="157"/>
      <c r="J2324" s="157">
        <v>25</v>
      </c>
      <c r="K2324" s="157">
        <v>5</v>
      </c>
      <c r="L2324" s="157"/>
      <c r="M2324" s="157">
        <v>5</v>
      </c>
      <c r="N2324" s="157">
        <v>1</v>
      </c>
      <c r="O2324" s="157"/>
      <c r="P2324" s="157"/>
      <c r="Q2324" s="157"/>
      <c r="R2324" s="157"/>
      <c r="S2324" s="157"/>
      <c r="T2324" s="157"/>
      <c r="U2324" s="157"/>
      <c r="V2324" s="158"/>
      <c r="W2324" s="182"/>
      <c r="X2324" s="1"/>
      <c r="Y2324" s="78">
        <f t="shared" si="285"/>
        <v>0</v>
      </c>
      <c r="Z2324" s="78">
        <f t="shared" si="286"/>
        <v>0</v>
      </c>
      <c r="AA2324" s="78">
        <f t="shared" si="284"/>
        <v>0</v>
      </c>
      <c r="AB2324" s="78">
        <f t="shared" si="287"/>
        <v>0</v>
      </c>
      <c r="AC2324" s="78"/>
      <c r="AD2324" s="78">
        <v>0</v>
      </c>
      <c r="AE2324" s="80">
        <f t="shared" si="290"/>
        <v>0</v>
      </c>
      <c r="AF2324" s="82">
        <v>0</v>
      </c>
      <c r="AG2324" s="69">
        <v>40533</v>
      </c>
      <c r="AH2324" s="84"/>
      <c r="AI2324" s="69" t="s">
        <v>1984</v>
      </c>
      <c r="AJ2324" s="25" t="s">
        <v>1985</v>
      </c>
      <c r="AK2324" s="65"/>
      <c r="AL2324" s="176" t="s">
        <v>1257</v>
      </c>
      <c r="AM2324" s="173" t="s">
        <v>3800</v>
      </c>
      <c r="AN2324" s="159"/>
      <c r="AO2324" s="160"/>
      <c r="AP2324" s="161"/>
      <c r="AQ2324" s="160"/>
      <c r="AR2324" s="160"/>
      <c r="AS2324" s="160"/>
      <c r="AT2324" s="160"/>
      <c r="AU2324" s="160"/>
      <c r="AV2324" s="160"/>
      <c r="AW2324" s="160"/>
      <c r="AX2324" s="160"/>
      <c r="AY2324" s="160"/>
      <c r="AZ2324" s="160"/>
      <c r="BA2324" s="160"/>
      <c r="BB2324" s="160"/>
      <c r="BC2324" s="160"/>
      <c r="BD2324" s="160"/>
      <c r="BE2324" s="160"/>
      <c r="BF2324" s="160"/>
      <c r="BG2324" s="160"/>
      <c r="BH2324" s="160"/>
      <c r="BI2324" s="160"/>
      <c r="BJ2324" s="160"/>
      <c r="BK2324" s="160"/>
      <c r="BL2324" s="160"/>
      <c r="BM2324" s="160"/>
      <c r="BN2324" s="160"/>
      <c r="BO2324" s="160"/>
      <c r="BP2324" s="160"/>
      <c r="BQ2324" s="160"/>
      <c r="BR2324" s="160"/>
      <c r="BS2324" s="160"/>
      <c r="BT2324" s="160"/>
      <c r="BU2324" s="160"/>
      <c r="BV2324" s="160"/>
      <c r="BW2324" s="160"/>
      <c r="BX2324" s="160"/>
      <c r="BY2324" s="160"/>
      <c r="BZ2324" s="160"/>
      <c r="CA2324" s="160"/>
      <c r="CB2324" s="160"/>
      <c r="CC2324" s="160"/>
      <c r="CD2324" s="160"/>
      <c r="CE2324" s="160"/>
      <c r="CF2324" s="160"/>
      <c r="CG2324" s="160"/>
      <c r="CH2324" s="160"/>
      <c r="CI2324" s="160"/>
      <c r="CJ2324" s="160"/>
      <c r="CK2324" s="160"/>
      <c r="CL2324" s="160"/>
      <c r="CM2324" s="160"/>
      <c r="CN2324" s="160"/>
      <c r="CO2324" s="160"/>
      <c r="CP2324" s="162"/>
      <c r="CQ2324" s="163"/>
      <c r="CR2324" s="162"/>
      <c r="CS2324" s="163"/>
      <c r="CT2324" s="162"/>
      <c r="CU2324" s="163"/>
      <c r="CV2324" s="164">
        <f t="shared" si="288"/>
        <v>0</v>
      </c>
      <c r="CW2324" s="165"/>
      <c r="CX2324" s="166"/>
      <c r="CY2324" s="167"/>
      <c r="CZ2324" s="168"/>
      <c r="DA2324" s="169"/>
      <c r="DB2324" s="168"/>
      <c r="DC2324" s="165"/>
      <c r="DD2324" s="166"/>
      <c r="DE2324" s="71"/>
      <c r="DF2324" s="170"/>
      <c r="EO2324" s="375" t="str">
        <f t="shared" si="289"/>
        <v>QUINDIO_ARMENIA</v>
      </c>
      <c r="EP2324" s="376"/>
      <c r="EQ2324" s="376"/>
      <c r="ER2324" s="377"/>
      <c r="ES2324" s="376"/>
      <c r="ET2324" s="376"/>
      <c r="EU2324" s="376"/>
    </row>
    <row r="2325" spans="1:151" s="171" customFormat="1" ht="51" x14ac:dyDescent="0.2">
      <c r="A2325" s="242">
        <v>40529</v>
      </c>
      <c r="B2325" s="222" t="s">
        <v>1462</v>
      </c>
      <c r="C2325" s="222" t="s">
        <v>609</v>
      </c>
      <c r="D2325" s="430" t="s">
        <v>837</v>
      </c>
      <c r="E2325" s="107" t="str">
        <f>VLOOKUP(B2325&amp;C2325,Divipola!$C$2:$F$1138,4,FALSE)</f>
        <v>76364</v>
      </c>
      <c r="F2325" s="333"/>
      <c r="G2325" s="221"/>
      <c r="H2325" s="157"/>
      <c r="I2325" s="157"/>
      <c r="J2325" s="157">
        <f>934*5</f>
        <v>4670</v>
      </c>
      <c r="K2325" s="157">
        <f>2386-12-150-120-1-118-851-200</f>
        <v>934</v>
      </c>
      <c r="L2325" s="157"/>
      <c r="M2325" s="157">
        <v>934</v>
      </c>
      <c r="N2325" s="157"/>
      <c r="O2325" s="157"/>
      <c r="P2325" s="157"/>
      <c r="Q2325" s="157"/>
      <c r="R2325" s="157"/>
      <c r="S2325" s="157"/>
      <c r="T2325" s="157"/>
      <c r="U2325" s="157"/>
      <c r="V2325" s="158"/>
      <c r="W2325" s="182"/>
      <c r="X2325" s="1"/>
      <c r="Y2325" s="78">
        <f t="shared" si="285"/>
        <v>0</v>
      </c>
      <c r="Z2325" s="78">
        <f t="shared" si="286"/>
        <v>0</v>
      </c>
      <c r="AA2325" s="78">
        <f t="shared" si="284"/>
        <v>0</v>
      </c>
      <c r="AB2325" s="78">
        <f t="shared" si="287"/>
        <v>0</v>
      </c>
      <c r="AC2325" s="78"/>
      <c r="AD2325" s="78">
        <v>0</v>
      </c>
      <c r="AE2325" s="80">
        <f t="shared" si="290"/>
        <v>0</v>
      </c>
      <c r="AF2325" s="82">
        <v>0</v>
      </c>
      <c r="AG2325" s="69"/>
      <c r="AH2325" s="84"/>
      <c r="AI2325" s="69" t="s">
        <v>2009</v>
      </c>
      <c r="AJ2325" s="276" t="s">
        <v>2010</v>
      </c>
      <c r="AK2325" s="65"/>
      <c r="AL2325" s="272" t="s">
        <v>311</v>
      </c>
      <c r="AM2325" s="173" t="s">
        <v>3793</v>
      </c>
      <c r="AN2325" s="159"/>
      <c r="AO2325" s="160"/>
      <c r="AP2325" s="161"/>
      <c r="AQ2325" s="160"/>
      <c r="AR2325" s="160"/>
      <c r="AS2325" s="160"/>
      <c r="AT2325" s="160"/>
      <c r="AU2325" s="160"/>
      <c r="AV2325" s="160"/>
      <c r="AW2325" s="160"/>
      <c r="AX2325" s="160"/>
      <c r="AY2325" s="160"/>
      <c r="AZ2325" s="160"/>
      <c r="BA2325" s="160"/>
      <c r="BB2325" s="160"/>
      <c r="BC2325" s="160"/>
      <c r="BD2325" s="160"/>
      <c r="BE2325" s="160"/>
      <c r="BF2325" s="160"/>
      <c r="BG2325" s="160"/>
      <c r="BH2325" s="160"/>
      <c r="BI2325" s="160"/>
      <c r="BJ2325" s="160"/>
      <c r="BK2325" s="160"/>
      <c r="BL2325" s="160"/>
      <c r="BM2325" s="160"/>
      <c r="BN2325" s="160"/>
      <c r="BO2325" s="160"/>
      <c r="BP2325" s="160"/>
      <c r="BQ2325" s="160"/>
      <c r="BR2325" s="160"/>
      <c r="BS2325" s="160"/>
      <c r="BT2325" s="160"/>
      <c r="BU2325" s="160"/>
      <c r="BV2325" s="160"/>
      <c r="BW2325" s="160"/>
      <c r="BX2325" s="160"/>
      <c r="BY2325" s="160"/>
      <c r="BZ2325" s="160"/>
      <c r="CA2325" s="160"/>
      <c r="CB2325" s="160"/>
      <c r="CC2325" s="160"/>
      <c r="CD2325" s="160"/>
      <c r="CE2325" s="160"/>
      <c r="CF2325" s="160"/>
      <c r="CG2325" s="160"/>
      <c r="CH2325" s="160"/>
      <c r="CI2325" s="160"/>
      <c r="CJ2325" s="160"/>
      <c r="CK2325" s="160"/>
      <c r="CL2325" s="160"/>
      <c r="CM2325" s="160"/>
      <c r="CN2325" s="160"/>
      <c r="CO2325" s="160"/>
      <c r="CP2325" s="162"/>
      <c r="CQ2325" s="163"/>
      <c r="CR2325" s="162"/>
      <c r="CS2325" s="163"/>
      <c r="CT2325" s="162"/>
      <c r="CU2325" s="163"/>
      <c r="CV2325" s="164">
        <f t="shared" si="288"/>
        <v>0</v>
      </c>
      <c r="CW2325" s="165"/>
      <c r="CX2325" s="166"/>
      <c r="CY2325" s="167"/>
      <c r="CZ2325" s="168"/>
      <c r="DA2325" s="169"/>
      <c r="DB2325" s="168"/>
      <c r="DC2325" s="165"/>
      <c r="DD2325" s="166"/>
      <c r="DE2325" s="71"/>
      <c r="DF2325" s="170"/>
      <c r="EO2325" s="375" t="str">
        <f t="shared" si="289"/>
        <v>VALLE DEL CAUCA_JAMUNDI</v>
      </c>
      <c r="EP2325" s="376"/>
      <c r="EQ2325" s="376"/>
      <c r="ER2325" s="377"/>
      <c r="ES2325" s="376"/>
      <c r="ET2325" s="376"/>
      <c r="EU2325" s="376"/>
    </row>
    <row r="2326" spans="1:151" s="171" customFormat="1" ht="60" x14ac:dyDescent="0.2">
      <c r="A2326" s="242">
        <v>40529</v>
      </c>
      <c r="B2326" s="222" t="s">
        <v>5778</v>
      </c>
      <c r="C2326" s="222" t="s">
        <v>4444</v>
      </c>
      <c r="D2326" s="430" t="s">
        <v>837</v>
      </c>
      <c r="E2326" s="107" t="str">
        <f>VLOOKUP(B2326&amp;C2326,Divipola!$C$2:$F$1138,4,FALSE)</f>
        <v>44378</v>
      </c>
      <c r="F2326" s="333"/>
      <c r="G2326" s="221"/>
      <c r="H2326" s="157"/>
      <c r="I2326" s="157"/>
      <c r="J2326" s="157">
        <f>318+180</f>
        <v>498</v>
      </c>
      <c r="K2326" s="157">
        <f>60+34</f>
        <v>94</v>
      </c>
      <c r="L2326" s="157"/>
      <c r="M2326" s="157"/>
      <c r="N2326" s="157"/>
      <c r="O2326" s="157"/>
      <c r="P2326" s="157"/>
      <c r="Q2326" s="157"/>
      <c r="R2326" s="157"/>
      <c r="S2326" s="157"/>
      <c r="T2326" s="157"/>
      <c r="U2326" s="157"/>
      <c r="V2326" s="158"/>
      <c r="W2326" s="182"/>
      <c r="X2326" s="1"/>
      <c r="Y2326" s="78">
        <f t="shared" si="285"/>
        <v>0</v>
      </c>
      <c r="Z2326" s="78">
        <f t="shared" si="286"/>
        <v>0</v>
      </c>
      <c r="AA2326" s="78">
        <f t="shared" si="284"/>
        <v>0</v>
      </c>
      <c r="AB2326" s="78">
        <f t="shared" si="287"/>
        <v>0</v>
      </c>
      <c r="AC2326" s="78"/>
      <c r="AD2326" s="78">
        <v>0</v>
      </c>
      <c r="AE2326" s="80">
        <f t="shared" si="290"/>
        <v>0</v>
      </c>
      <c r="AF2326" s="82">
        <v>0</v>
      </c>
      <c r="AG2326" s="69"/>
      <c r="AH2326" s="84"/>
      <c r="AI2326" s="69" t="s">
        <v>1984</v>
      </c>
      <c r="AJ2326" s="25" t="s">
        <v>1985</v>
      </c>
      <c r="AK2326" s="65"/>
      <c r="AL2326" s="185" t="s">
        <v>6316</v>
      </c>
      <c r="AM2326" s="173" t="s">
        <v>6315</v>
      </c>
      <c r="AN2326" s="159"/>
      <c r="AO2326" s="160"/>
      <c r="AP2326" s="161"/>
      <c r="AQ2326" s="160"/>
      <c r="AR2326" s="160"/>
      <c r="AS2326" s="160"/>
      <c r="AT2326" s="160"/>
      <c r="AU2326" s="160"/>
      <c r="AV2326" s="160"/>
      <c r="AW2326" s="160"/>
      <c r="AX2326" s="160"/>
      <c r="AY2326" s="160"/>
      <c r="AZ2326" s="160"/>
      <c r="BA2326" s="160"/>
      <c r="BB2326" s="160"/>
      <c r="BC2326" s="160"/>
      <c r="BD2326" s="160"/>
      <c r="BE2326" s="160"/>
      <c r="BF2326" s="160"/>
      <c r="BG2326" s="160"/>
      <c r="BH2326" s="160"/>
      <c r="BI2326" s="160"/>
      <c r="BJ2326" s="160"/>
      <c r="BK2326" s="160"/>
      <c r="BL2326" s="160"/>
      <c r="BM2326" s="160"/>
      <c r="BN2326" s="160"/>
      <c r="BO2326" s="160"/>
      <c r="BP2326" s="160"/>
      <c r="BQ2326" s="160"/>
      <c r="BR2326" s="160"/>
      <c r="BS2326" s="160"/>
      <c r="BT2326" s="160"/>
      <c r="BU2326" s="160"/>
      <c r="BV2326" s="160"/>
      <c r="BW2326" s="160"/>
      <c r="BX2326" s="160"/>
      <c r="BY2326" s="160"/>
      <c r="BZ2326" s="160"/>
      <c r="CA2326" s="160"/>
      <c r="CB2326" s="160"/>
      <c r="CC2326" s="160"/>
      <c r="CD2326" s="160"/>
      <c r="CE2326" s="160"/>
      <c r="CF2326" s="160"/>
      <c r="CG2326" s="160"/>
      <c r="CH2326" s="160"/>
      <c r="CI2326" s="160"/>
      <c r="CJ2326" s="160"/>
      <c r="CK2326" s="160"/>
      <c r="CL2326" s="160"/>
      <c r="CM2326" s="160"/>
      <c r="CN2326" s="160"/>
      <c r="CO2326" s="160"/>
      <c r="CP2326" s="162"/>
      <c r="CQ2326" s="163"/>
      <c r="CR2326" s="162"/>
      <c r="CS2326" s="163"/>
      <c r="CT2326" s="162"/>
      <c r="CU2326" s="163"/>
      <c r="CV2326" s="164">
        <f t="shared" si="288"/>
        <v>0</v>
      </c>
      <c r="CW2326" s="165"/>
      <c r="CX2326" s="166"/>
      <c r="CY2326" s="167"/>
      <c r="CZ2326" s="168"/>
      <c r="DA2326" s="169"/>
      <c r="DB2326" s="168"/>
      <c r="DC2326" s="165"/>
      <c r="DD2326" s="166"/>
      <c r="DE2326" s="71"/>
      <c r="DF2326" s="170"/>
      <c r="EO2326" s="375" t="str">
        <f t="shared" si="289"/>
        <v>LA GUAJIRA_HATONUEVO</v>
      </c>
      <c r="EP2326" s="376"/>
      <c r="EQ2326" s="376"/>
      <c r="ER2326" s="377"/>
      <c r="ES2326" s="376"/>
      <c r="ET2326" s="376"/>
      <c r="EU2326" s="376"/>
    </row>
    <row r="2327" spans="1:151" s="171" customFormat="1" ht="25.5" x14ac:dyDescent="0.2">
      <c r="A2327" s="242">
        <v>40530</v>
      </c>
      <c r="B2327" s="222" t="s">
        <v>2791</v>
      </c>
      <c r="C2327" s="222" t="s">
        <v>1945</v>
      </c>
      <c r="D2327" s="430" t="s">
        <v>2307</v>
      </c>
      <c r="E2327" s="107" t="str">
        <f>VLOOKUP(B2327&amp;C2327,Divipola!$C$2:$F$1138,4,FALSE)</f>
        <v>73001</v>
      </c>
      <c r="F2327" s="333"/>
      <c r="G2327" s="221"/>
      <c r="H2327" s="157"/>
      <c r="I2327" s="157"/>
      <c r="J2327" s="157">
        <v>10</v>
      </c>
      <c r="K2327" s="157">
        <v>2</v>
      </c>
      <c r="L2327" s="157"/>
      <c r="M2327" s="157">
        <v>2</v>
      </c>
      <c r="N2327" s="157"/>
      <c r="O2327" s="157"/>
      <c r="P2327" s="157"/>
      <c r="Q2327" s="157"/>
      <c r="R2327" s="157"/>
      <c r="S2327" s="157"/>
      <c r="T2327" s="157"/>
      <c r="U2327" s="157"/>
      <c r="V2327" s="158"/>
      <c r="W2327" s="182"/>
      <c r="X2327" s="1"/>
      <c r="Y2327" s="78">
        <f t="shared" si="285"/>
        <v>0</v>
      </c>
      <c r="Z2327" s="78">
        <f t="shared" si="286"/>
        <v>0</v>
      </c>
      <c r="AA2327" s="78">
        <f t="shared" si="284"/>
        <v>0</v>
      </c>
      <c r="AB2327" s="78">
        <f t="shared" si="287"/>
        <v>0</v>
      </c>
      <c r="AC2327" s="78"/>
      <c r="AD2327" s="78">
        <v>0</v>
      </c>
      <c r="AE2327" s="80">
        <f t="shared" si="290"/>
        <v>0</v>
      </c>
      <c r="AF2327" s="82">
        <v>0</v>
      </c>
      <c r="AG2327" s="69">
        <v>40533</v>
      </c>
      <c r="AH2327" s="84"/>
      <c r="AI2327" s="69" t="s">
        <v>1984</v>
      </c>
      <c r="AJ2327" s="25" t="s">
        <v>1985</v>
      </c>
      <c r="AK2327" s="65"/>
      <c r="AL2327" s="176" t="s">
        <v>1257</v>
      </c>
      <c r="AM2327" s="173" t="s">
        <v>3799</v>
      </c>
      <c r="AN2327" s="159"/>
      <c r="AO2327" s="160"/>
      <c r="AP2327" s="161"/>
      <c r="AQ2327" s="160"/>
      <c r="AR2327" s="160"/>
      <c r="AS2327" s="160"/>
      <c r="AT2327" s="160"/>
      <c r="AU2327" s="160"/>
      <c r="AV2327" s="160"/>
      <c r="AW2327" s="160"/>
      <c r="AX2327" s="160"/>
      <c r="AY2327" s="160"/>
      <c r="AZ2327" s="160"/>
      <c r="BA2327" s="160"/>
      <c r="BB2327" s="160"/>
      <c r="BC2327" s="160"/>
      <c r="BD2327" s="160"/>
      <c r="BE2327" s="160"/>
      <c r="BF2327" s="160"/>
      <c r="BG2327" s="160"/>
      <c r="BH2327" s="160"/>
      <c r="BI2327" s="160"/>
      <c r="BJ2327" s="160"/>
      <c r="BK2327" s="160"/>
      <c r="BL2327" s="160"/>
      <c r="BM2327" s="160"/>
      <c r="BN2327" s="160"/>
      <c r="BO2327" s="160"/>
      <c r="BP2327" s="160"/>
      <c r="BQ2327" s="160"/>
      <c r="BR2327" s="160"/>
      <c r="BS2327" s="160"/>
      <c r="BT2327" s="160"/>
      <c r="BU2327" s="160"/>
      <c r="BV2327" s="160"/>
      <c r="BW2327" s="160"/>
      <c r="BX2327" s="160"/>
      <c r="BY2327" s="160"/>
      <c r="BZ2327" s="160"/>
      <c r="CA2327" s="160"/>
      <c r="CB2327" s="160"/>
      <c r="CC2327" s="160"/>
      <c r="CD2327" s="160"/>
      <c r="CE2327" s="160"/>
      <c r="CF2327" s="160"/>
      <c r="CG2327" s="160"/>
      <c r="CH2327" s="160"/>
      <c r="CI2327" s="160"/>
      <c r="CJ2327" s="160"/>
      <c r="CK2327" s="160"/>
      <c r="CL2327" s="160"/>
      <c r="CM2327" s="160"/>
      <c r="CN2327" s="160"/>
      <c r="CO2327" s="160"/>
      <c r="CP2327" s="162"/>
      <c r="CQ2327" s="163"/>
      <c r="CR2327" s="162"/>
      <c r="CS2327" s="163"/>
      <c r="CT2327" s="162"/>
      <c r="CU2327" s="163"/>
      <c r="CV2327" s="164">
        <f t="shared" si="288"/>
        <v>0</v>
      </c>
      <c r="CW2327" s="165"/>
      <c r="CX2327" s="166"/>
      <c r="CY2327" s="167"/>
      <c r="CZ2327" s="168"/>
      <c r="DA2327" s="169"/>
      <c r="DB2327" s="168"/>
      <c r="DC2327" s="165"/>
      <c r="DD2327" s="166"/>
      <c r="DE2327" s="71"/>
      <c r="DF2327" s="170"/>
      <c r="EO2327" s="375" t="str">
        <f t="shared" si="289"/>
        <v>TOLIMA_IBAGUE</v>
      </c>
      <c r="EP2327" s="376"/>
      <c r="EQ2327" s="376"/>
      <c r="ER2327" s="377"/>
      <c r="ES2327" s="376"/>
      <c r="ET2327" s="376"/>
      <c r="EU2327" s="376"/>
    </row>
    <row r="2328" spans="1:151" s="171" customFormat="1" ht="51" x14ac:dyDescent="0.2">
      <c r="A2328" s="242">
        <v>40530</v>
      </c>
      <c r="B2328" s="222" t="s">
        <v>1462</v>
      </c>
      <c r="C2328" s="222" t="s">
        <v>2862</v>
      </c>
      <c r="D2328" s="430" t="s">
        <v>2331</v>
      </c>
      <c r="E2328" s="107" t="str">
        <f>VLOOKUP(B2328&amp;C2328,Divipola!$C$2:$F$1138,4,FALSE)</f>
        <v>76147</v>
      </c>
      <c r="F2328" s="333"/>
      <c r="G2328" s="221"/>
      <c r="H2328" s="157"/>
      <c r="I2328" s="157"/>
      <c r="J2328" s="157">
        <f>365*5</f>
        <v>1825</v>
      </c>
      <c r="K2328" s="157">
        <f>560-195</f>
        <v>365</v>
      </c>
      <c r="L2328" s="157"/>
      <c r="M2328" s="157">
        <f>540-195</f>
        <v>345</v>
      </c>
      <c r="N2328" s="157"/>
      <c r="O2328" s="157"/>
      <c r="P2328" s="157"/>
      <c r="Q2328" s="157"/>
      <c r="R2328" s="157"/>
      <c r="S2328" s="157"/>
      <c r="T2328" s="157"/>
      <c r="U2328" s="157"/>
      <c r="V2328" s="158"/>
      <c r="W2328" s="182"/>
      <c r="X2328" s="1"/>
      <c r="Y2328" s="78">
        <f t="shared" si="285"/>
        <v>7215000</v>
      </c>
      <c r="Z2328" s="78">
        <f t="shared" si="286"/>
        <v>16575000</v>
      </c>
      <c r="AA2328" s="78">
        <f t="shared" si="284"/>
        <v>0</v>
      </c>
      <c r="AB2328" s="78">
        <f t="shared" si="287"/>
        <v>0</v>
      </c>
      <c r="AC2328" s="78"/>
      <c r="AD2328" s="78">
        <v>0</v>
      </c>
      <c r="AE2328" s="80">
        <f t="shared" si="290"/>
        <v>23790000</v>
      </c>
      <c r="AF2328" s="82">
        <v>0</v>
      </c>
      <c r="AG2328" s="69"/>
      <c r="AH2328" s="84"/>
      <c r="AI2328" s="69" t="s">
        <v>2009</v>
      </c>
      <c r="AJ2328" s="25" t="s">
        <v>2010</v>
      </c>
      <c r="AK2328" s="65"/>
      <c r="AL2328" s="176"/>
      <c r="AM2328" s="173" t="s">
        <v>3801</v>
      </c>
      <c r="AN2328" s="159"/>
      <c r="AO2328" s="160"/>
      <c r="AP2328" s="161"/>
      <c r="AQ2328" s="160"/>
      <c r="AR2328" s="160"/>
      <c r="AS2328" s="160"/>
      <c r="AT2328" s="160"/>
      <c r="AU2328" s="160"/>
      <c r="AV2328" s="160"/>
      <c r="AW2328" s="160"/>
      <c r="AX2328" s="160"/>
      <c r="AY2328" s="160"/>
      <c r="AZ2328" s="160"/>
      <c r="BA2328" s="160"/>
      <c r="BB2328" s="160"/>
      <c r="BC2328" s="160"/>
      <c r="BD2328" s="160"/>
      <c r="BE2328" s="160"/>
      <c r="BF2328" s="160"/>
      <c r="BG2328" s="160"/>
      <c r="BH2328" s="160"/>
      <c r="BI2328" s="160"/>
      <c r="BJ2328" s="160"/>
      <c r="BK2328" s="160"/>
      <c r="BL2328" s="160"/>
      <c r="BM2328" s="160"/>
      <c r="BN2328" s="160"/>
      <c r="BO2328" s="160"/>
      <c r="BP2328" s="160"/>
      <c r="BQ2328" s="160"/>
      <c r="BR2328" s="160"/>
      <c r="BS2328" s="160"/>
      <c r="BT2328" s="160"/>
      <c r="BU2328" s="160"/>
      <c r="BV2328" s="160"/>
      <c r="BW2328" s="160"/>
      <c r="BX2328" s="160"/>
      <c r="BY2328" s="160"/>
      <c r="BZ2328" s="160"/>
      <c r="CA2328" s="160"/>
      <c r="CB2328" s="160"/>
      <c r="CC2328" s="160"/>
      <c r="CD2328" s="160"/>
      <c r="CE2328" s="160"/>
      <c r="CF2328" s="160"/>
      <c r="CG2328" s="160"/>
      <c r="CH2328" s="160"/>
      <c r="CI2328" s="160"/>
      <c r="CJ2328" s="160"/>
      <c r="CK2328" s="160"/>
      <c r="CL2328" s="160"/>
      <c r="CM2328" s="160"/>
      <c r="CN2328" s="160"/>
      <c r="CO2328" s="160"/>
      <c r="CP2328" s="162">
        <v>195</v>
      </c>
      <c r="CQ2328" s="163">
        <f>195*37000</f>
        <v>7215000</v>
      </c>
      <c r="CR2328" s="162"/>
      <c r="CS2328" s="163"/>
      <c r="CT2328" s="162"/>
      <c r="CU2328" s="163"/>
      <c r="CV2328" s="164">
        <f t="shared" si="288"/>
        <v>7215000</v>
      </c>
      <c r="CW2328" s="165"/>
      <c r="CX2328" s="166"/>
      <c r="CY2328" s="167">
        <v>195</v>
      </c>
      <c r="CZ2328" s="168">
        <f>195*85000</f>
        <v>16575000</v>
      </c>
      <c r="DA2328" s="169"/>
      <c r="DB2328" s="168"/>
      <c r="DC2328" s="165"/>
      <c r="DD2328" s="166"/>
      <c r="DE2328" s="71"/>
      <c r="DF2328" s="170"/>
      <c r="EO2328" s="375" t="str">
        <f t="shared" si="289"/>
        <v>VALLE DEL CAUCA_CARTAGO</v>
      </c>
      <c r="EP2328" s="376"/>
      <c r="EQ2328" s="376"/>
      <c r="ER2328" s="377"/>
      <c r="ES2328" s="376"/>
      <c r="ET2328" s="376"/>
      <c r="EU2328" s="376"/>
    </row>
    <row r="2329" spans="1:151" s="171" customFormat="1" ht="51" x14ac:dyDescent="0.2">
      <c r="A2329" s="242">
        <v>40530</v>
      </c>
      <c r="B2329" s="222" t="s">
        <v>1462</v>
      </c>
      <c r="C2329" s="222" t="s">
        <v>2942</v>
      </c>
      <c r="D2329" s="430" t="s">
        <v>2307</v>
      </c>
      <c r="E2329" s="107" t="str">
        <f>VLOOKUP(B2329&amp;C2329,Divipola!$C$2:$F$1138,4,FALSE)</f>
        <v>76233</v>
      </c>
      <c r="F2329" s="333"/>
      <c r="G2329" s="221"/>
      <c r="H2329" s="157"/>
      <c r="I2329" s="157"/>
      <c r="J2329" s="157">
        <v>65</v>
      </c>
      <c r="K2329" s="157">
        <v>13</v>
      </c>
      <c r="L2329" s="157"/>
      <c r="M2329" s="157">
        <v>13</v>
      </c>
      <c r="N2329" s="157"/>
      <c r="O2329" s="157"/>
      <c r="P2329" s="157"/>
      <c r="Q2329" s="157"/>
      <c r="R2329" s="157"/>
      <c r="S2329" s="157"/>
      <c r="T2329" s="157"/>
      <c r="U2329" s="157"/>
      <c r="V2329" s="158"/>
      <c r="W2329" s="182"/>
      <c r="X2329" s="1"/>
      <c r="Y2329" s="78">
        <f t="shared" si="285"/>
        <v>0</v>
      </c>
      <c r="Z2329" s="78">
        <f t="shared" si="286"/>
        <v>0</v>
      </c>
      <c r="AA2329" s="78">
        <f t="shared" si="284"/>
        <v>0</v>
      </c>
      <c r="AB2329" s="78">
        <f t="shared" si="287"/>
        <v>0</v>
      </c>
      <c r="AC2329" s="78"/>
      <c r="AD2329" s="78">
        <v>0</v>
      </c>
      <c r="AE2329" s="80">
        <f t="shared" si="290"/>
        <v>0</v>
      </c>
      <c r="AF2329" s="82">
        <v>0</v>
      </c>
      <c r="AG2329" s="69"/>
      <c r="AH2329" s="84"/>
      <c r="AI2329" s="69" t="s">
        <v>2009</v>
      </c>
      <c r="AJ2329" s="276" t="s">
        <v>2010</v>
      </c>
      <c r="AK2329" s="65"/>
      <c r="AL2329" s="272" t="s">
        <v>311</v>
      </c>
      <c r="AM2329" s="173" t="s">
        <v>3804</v>
      </c>
      <c r="AN2329" s="159"/>
      <c r="AO2329" s="160"/>
      <c r="AP2329" s="161"/>
      <c r="AQ2329" s="160"/>
      <c r="AR2329" s="160"/>
      <c r="AS2329" s="160"/>
      <c r="AT2329" s="160"/>
      <c r="AU2329" s="160"/>
      <c r="AV2329" s="160"/>
      <c r="AW2329" s="160"/>
      <c r="AX2329" s="160"/>
      <c r="AY2329" s="160"/>
      <c r="AZ2329" s="160"/>
      <c r="BA2329" s="160"/>
      <c r="BB2329" s="160"/>
      <c r="BC2329" s="160"/>
      <c r="BD2329" s="160"/>
      <c r="BE2329" s="160"/>
      <c r="BF2329" s="160"/>
      <c r="BG2329" s="160"/>
      <c r="BH2329" s="160"/>
      <c r="BI2329" s="160"/>
      <c r="BJ2329" s="160"/>
      <c r="BK2329" s="160"/>
      <c r="BL2329" s="160"/>
      <c r="BM2329" s="160"/>
      <c r="BN2329" s="160"/>
      <c r="BO2329" s="160"/>
      <c r="BP2329" s="160"/>
      <c r="BQ2329" s="160"/>
      <c r="BR2329" s="160"/>
      <c r="BS2329" s="160"/>
      <c r="BT2329" s="160"/>
      <c r="BU2329" s="160"/>
      <c r="BV2329" s="160"/>
      <c r="BW2329" s="160"/>
      <c r="BX2329" s="160"/>
      <c r="BY2329" s="160"/>
      <c r="BZ2329" s="160"/>
      <c r="CA2329" s="160"/>
      <c r="CB2329" s="160"/>
      <c r="CC2329" s="160"/>
      <c r="CD2329" s="160"/>
      <c r="CE2329" s="160"/>
      <c r="CF2329" s="160"/>
      <c r="CG2329" s="160"/>
      <c r="CH2329" s="160"/>
      <c r="CI2329" s="160"/>
      <c r="CJ2329" s="160"/>
      <c r="CK2329" s="160"/>
      <c r="CL2329" s="160"/>
      <c r="CM2329" s="160"/>
      <c r="CN2329" s="160"/>
      <c r="CO2329" s="160"/>
      <c r="CP2329" s="162"/>
      <c r="CQ2329" s="163"/>
      <c r="CR2329" s="162"/>
      <c r="CS2329" s="163"/>
      <c r="CT2329" s="162"/>
      <c r="CU2329" s="163"/>
      <c r="CV2329" s="164">
        <f t="shared" si="288"/>
        <v>0</v>
      </c>
      <c r="CW2329" s="165"/>
      <c r="CX2329" s="166"/>
      <c r="CY2329" s="167"/>
      <c r="CZ2329" s="168"/>
      <c r="DA2329" s="169"/>
      <c r="DB2329" s="168"/>
      <c r="DC2329" s="165"/>
      <c r="DD2329" s="166"/>
      <c r="DE2329" s="71"/>
      <c r="DF2329" s="170"/>
      <c r="EO2329" s="375" t="str">
        <f t="shared" si="289"/>
        <v>VALLE DEL CAUCA_DAGUA</v>
      </c>
      <c r="EP2329" s="376"/>
      <c r="EQ2329" s="376"/>
      <c r="ER2329" s="377"/>
      <c r="ES2329" s="376"/>
      <c r="ET2329" s="376"/>
      <c r="EU2329" s="376"/>
    </row>
    <row r="2330" spans="1:151" s="171" customFormat="1" ht="51" x14ac:dyDescent="0.2">
      <c r="A2330" s="242">
        <v>40530</v>
      </c>
      <c r="B2330" s="222" t="s">
        <v>1462</v>
      </c>
      <c r="C2330" s="222" t="s">
        <v>3156</v>
      </c>
      <c r="D2330" s="430" t="s">
        <v>837</v>
      </c>
      <c r="E2330" s="107" t="str">
        <f>VLOOKUP(B2330&amp;C2330,Divipola!$C$2:$F$1138,4,FALSE)</f>
        <v>76248</v>
      </c>
      <c r="F2330" s="333"/>
      <c r="G2330" s="221">
        <v>1</v>
      </c>
      <c r="H2330" s="157"/>
      <c r="I2330" s="157"/>
      <c r="J2330" s="157">
        <v>12</v>
      </c>
      <c r="K2330" s="157">
        <v>3</v>
      </c>
      <c r="L2330" s="157"/>
      <c r="M2330" s="157">
        <v>3</v>
      </c>
      <c r="N2330" s="157">
        <v>1</v>
      </c>
      <c r="O2330" s="157"/>
      <c r="P2330" s="157"/>
      <c r="Q2330" s="157"/>
      <c r="R2330" s="157"/>
      <c r="S2330" s="157"/>
      <c r="T2330" s="157"/>
      <c r="U2330" s="157"/>
      <c r="V2330" s="158"/>
      <c r="W2330" s="182"/>
      <c r="X2330" s="1"/>
      <c r="Y2330" s="78">
        <f t="shared" si="285"/>
        <v>0</v>
      </c>
      <c r="Z2330" s="78">
        <f t="shared" si="286"/>
        <v>0</v>
      </c>
      <c r="AA2330" s="78">
        <f t="shared" si="284"/>
        <v>0</v>
      </c>
      <c r="AB2330" s="78">
        <f t="shared" si="287"/>
        <v>0</v>
      </c>
      <c r="AC2330" s="78"/>
      <c r="AD2330" s="78">
        <v>0</v>
      </c>
      <c r="AE2330" s="80">
        <f t="shared" si="290"/>
        <v>0</v>
      </c>
      <c r="AF2330" s="82">
        <v>0</v>
      </c>
      <c r="AG2330" s="69"/>
      <c r="AH2330" s="84"/>
      <c r="AI2330" s="69" t="s">
        <v>2009</v>
      </c>
      <c r="AJ2330" s="276" t="s">
        <v>2010</v>
      </c>
      <c r="AK2330" s="65"/>
      <c r="AL2330" s="272" t="s">
        <v>311</v>
      </c>
      <c r="AM2330" s="173" t="s">
        <v>3802</v>
      </c>
      <c r="AN2330" s="159"/>
      <c r="AO2330" s="160"/>
      <c r="AP2330" s="161"/>
      <c r="AQ2330" s="160"/>
      <c r="AR2330" s="160"/>
      <c r="AS2330" s="160"/>
      <c r="AT2330" s="160"/>
      <c r="AU2330" s="160"/>
      <c r="AV2330" s="160"/>
      <c r="AW2330" s="160"/>
      <c r="AX2330" s="160"/>
      <c r="AY2330" s="160"/>
      <c r="AZ2330" s="160"/>
      <c r="BA2330" s="160"/>
      <c r="BB2330" s="160"/>
      <c r="BC2330" s="160"/>
      <c r="BD2330" s="160"/>
      <c r="BE2330" s="160"/>
      <c r="BF2330" s="160"/>
      <c r="BG2330" s="160"/>
      <c r="BH2330" s="160"/>
      <c r="BI2330" s="160"/>
      <c r="BJ2330" s="160"/>
      <c r="BK2330" s="160"/>
      <c r="BL2330" s="160"/>
      <c r="BM2330" s="160"/>
      <c r="BN2330" s="160"/>
      <c r="BO2330" s="160"/>
      <c r="BP2330" s="160"/>
      <c r="BQ2330" s="160"/>
      <c r="BR2330" s="160"/>
      <c r="BS2330" s="160"/>
      <c r="BT2330" s="160"/>
      <c r="BU2330" s="160"/>
      <c r="BV2330" s="160"/>
      <c r="BW2330" s="160"/>
      <c r="BX2330" s="160"/>
      <c r="BY2330" s="160"/>
      <c r="BZ2330" s="160"/>
      <c r="CA2330" s="160"/>
      <c r="CB2330" s="160"/>
      <c r="CC2330" s="160"/>
      <c r="CD2330" s="160"/>
      <c r="CE2330" s="160"/>
      <c r="CF2330" s="160"/>
      <c r="CG2330" s="160"/>
      <c r="CH2330" s="160"/>
      <c r="CI2330" s="160"/>
      <c r="CJ2330" s="160"/>
      <c r="CK2330" s="160"/>
      <c r="CL2330" s="160"/>
      <c r="CM2330" s="160"/>
      <c r="CN2330" s="160"/>
      <c r="CO2330" s="160"/>
      <c r="CP2330" s="162"/>
      <c r="CQ2330" s="163"/>
      <c r="CR2330" s="162"/>
      <c r="CS2330" s="163"/>
      <c r="CT2330" s="162"/>
      <c r="CU2330" s="163"/>
      <c r="CV2330" s="164">
        <f t="shared" si="288"/>
        <v>0</v>
      </c>
      <c r="CW2330" s="165"/>
      <c r="CX2330" s="166"/>
      <c r="CY2330" s="167"/>
      <c r="CZ2330" s="168"/>
      <c r="DA2330" s="169"/>
      <c r="DB2330" s="168"/>
      <c r="DC2330" s="165"/>
      <c r="DD2330" s="166"/>
      <c r="DE2330" s="71"/>
      <c r="DF2330" s="170"/>
      <c r="EO2330" s="375" t="str">
        <f t="shared" si="289"/>
        <v>VALLE DEL CAUCA_EL CERRITO</v>
      </c>
      <c r="EP2330" s="376"/>
      <c r="EQ2330" s="376"/>
      <c r="ER2330" s="377"/>
      <c r="ES2330" s="376"/>
      <c r="ET2330" s="376"/>
      <c r="EU2330" s="376"/>
    </row>
    <row r="2331" spans="1:151" s="171" customFormat="1" ht="51" x14ac:dyDescent="0.2">
      <c r="A2331" s="242">
        <v>40530</v>
      </c>
      <c r="B2331" s="222" t="s">
        <v>1462</v>
      </c>
      <c r="C2331" s="222" t="s">
        <v>2040</v>
      </c>
      <c r="D2331" s="430" t="s">
        <v>2307</v>
      </c>
      <c r="E2331" s="107" t="str">
        <f>VLOOKUP(B2331&amp;C2331,Divipola!$C$2:$F$1138,4,FALSE)</f>
        <v>76275</v>
      </c>
      <c r="F2331" s="333"/>
      <c r="G2331" s="221"/>
      <c r="H2331" s="157"/>
      <c r="I2331" s="157"/>
      <c r="J2331" s="157">
        <v>4</v>
      </c>
      <c r="K2331" s="157">
        <v>1</v>
      </c>
      <c r="L2331" s="157"/>
      <c r="M2331" s="157">
        <v>1</v>
      </c>
      <c r="N2331" s="157"/>
      <c r="O2331" s="157"/>
      <c r="P2331" s="157"/>
      <c r="Q2331" s="157"/>
      <c r="R2331" s="157"/>
      <c r="S2331" s="157"/>
      <c r="T2331" s="157"/>
      <c r="U2331" s="157"/>
      <c r="V2331" s="158"/>
      <c r="W2331" s="182"/>
      <c r="X2331" s="1"/>
      <c r="Y2331" s="78">
        <f t="shared" si="285"/>
        <v>0</v>
      </c>
      <c r="Z2331" s="78">
        <f t="shared" si="286"/>
        <v>0</v>
      </c>
      <c r="AA2331" s="78">
        <f t="shared" si="284"/>
        <v>0</v>
      </c>
      <c r="AB2331" s="78">
        <f t="shared" si="287"/>
        <v>0</v>
      </c>
      <c r="AC2331" s="78"/>
      <c r="AD2331" s="78">
        <v>0</v>
      </c>
      <c r="AE2331" s="80">
        <f t="shared" si="290"/>
        <v>0</v>
      </c>
      <c r="AF2331" s="82">
        <v>0</v>
      </c>
      <c r="AG2331" s="69"/>
      <c r="AH2331" s="84"/>
      <c r="AI2331" s="69" t="s">
        <v>2009</v>
      </c>
      <c r="AJ2331" s="276" t="s">
        <v>2010</v>
      </c>
      <c r="AK2331" s="65"/>
      <c r="AL2331" s="272" t="s">
        <v>311</v>
      </c>
      <c r="AM2331" s="173" t="s">
        <v>3803</v>
      </c>
      <c r="AN2331" s="159"/>
      <c r="AO2331" s="160"/>
      <c r="AP2331" s="161"/>
      <c r="AQ2331" s="160"/>
      <c r="AR2331" s="160"/>
      <c r="AS2331" s="160"/>
      <c r="AT2331" s="160"/>
      <c r="AU2331" s="160"/>
      <c r="AV2331" s="160"/>
      <c r="AW2331" s="160"/>
      <c r="AX2331" s="160"/>
      <c r="AY2331" s="160"/>
      <c r="AZ2331" s="160"/>
      <c r="BA2331" s="160"/>
      <c r="BB2331" s="160"/>
      <c r="BC2331" s="160"/>
      <c r="BD2331" s="160"/>
      <c r="BE2331" s="160"/>
      <c r="BF2331" s="160"/>
      <c r="BG2331" s="160"/>
      <c r="BH2331" s="160"/>
      <c r="BI2331" s="160"/>
      <c r="BJ2331" s="160"/>
      <c r="BK2331" s="160"/>
      <c r="BL2331" s="160"/>
      <c r="BM2331" s="160"/>
      <c r="BN2331" s="160"/>
      <c r="BO2331" s="160"/>
      <c r="BP2331" s="160"/>
      <c r="BQ2331" s="160"/>
      <c r="BR2331" s="160"/>
      <c r="BS2331" s="160"/>
      <c r="BT2331" s="160"/>
      <c r="BU2331" s="160"/>
      <c r="BV2331" s="160"/>
      <c r="BW2331" s="160"/>
      <c r="BX2331" s="160"/>
      <c r="BY2331" s="160"/>
      <c r="BZ2331" s="160"/>
      <c r="CA2331" s="160"/>
      <c r="CB2331" s="160"/>
      <c r="CC2331" s="160"/>
      <c r="CD2331" s="160"/>
      <c r="CE2331" s="160"/>
      <c r="CF2331" s="160"/>
      <c r="CG2331" s="160"/>
      <c r="CH2331" s="160"/>
      <c r="CI2331" s="160"/>
      <c r="CJ2331" s="160"/>
      <c r="CK2331" s="160"/>
      <c r="CL2331" s="160"/>
      <c r="CM2331" s="160"/>
      <c r="CN2331" s="160"/>
      <c r="CO2331" s="160"/>
      <c r="CP2331" s="162"/>
      <c r="CQ2331" s="163"/>
      <c r="CR2331" s="162"/>
      <c r="CS2331" s="163"/>
      <c r="CT2331" s="162"/>
      <c r="CU2331" s="163"/>
      <c r="CV2331" s="164">
        <f t="shared" si="288"/>
        <v>0</v>
      </c>
      <c r="CW2331" s="165"/>
      <c r="CX2331" s="166"/>
      <c r="CY2331" s="167"/>
      <c r="CZ2331" s="168"/>
      <c r="DA2331" s="169"/>
      <c r="DB2331" s="168"/>
      <c r="DC2331" s="165"/>
      <c r="DD2331" s="166"/>
      <c r="DE2331" s="71"/>
      <c r="DF2331" s="170"/>
      <c r="EO2331" s="375" t="str">
        <f t="shared" si="289"/>
        <v>VALLE DEL CAUCA_FLORIDA</v>
      </c>
      <c r="EP2331" s="376"/>
      <c r="EQ2331" s="376"/>
      <c r="ER2331" s="377"/>
      <c r="ES2331" s="376"/>
      <c r="ET2331" s="376"/>
      <c r="EU2331" s="376"/>
    </row>
    <row r="2332" spans="1:151" s="171" customFormat="1" ht="25.5" x14ac:dyDescent="0.2">
      <c r="A2332" s="242">
        <v>40531</v>
      </c>
      <c r="B2332" s="222" t="s">
        <v>1333</v>
      </c>
      <c r="C2332" s="222" t="s">
        <v>384</v>
      </c>
      <c r="D2332" s="430" t="s">
        <v>2209</v>
      </c>
      <c r="E2332" s="107" t="str">
        <f>VLOOKUP(B2332&amp;C2332,Divipola!$C$2:$F$1138,4,FALSE)</f>
        <v>41503</v>
      </c>
      <c r="F2332" s="333"/>
      <c r="G2332" s="221"/>
      <c r="H2332" s="157"/>
      <c r="I2332" s="157"/>
      <c r="J2332" s="157">
        <v>33</v>
      </c>
      <c r="K2332" s="157">
        <v>8</v>
      </c>
      <c r="L2332" s="157"/>
      <c r="M2332" s="157">
        <v>3</v>
      </c>
      <c r="N2332" s="157">
        <v>5</v>
      </c>
      <c r="O2332" s="157"/>
      <c r="P2332" s="157"/>
      <c r="Q2332" s="157"/>
      <c r="R2332" s="157"/>
      <c r="S2332" s="157"/>
      <c r="T2332" s="157"/>
      <c r="U2332" s="157"/>
      <c r="V2332" s="158"/>
      <c r="W2332" s="182"/>
      <c r="X2332" s="1"/>
      <c r="Y2332" s="78">
        <f t="shared" si="285"/>
        <v>0</v>
      </c>
      <c r="Z2332" s="78">
        <f t="shared" si="286"/>
        <v>0</v>
      </c>
      <c r="AA2332" s="78">
        <f t="shared" si="284"/>
        <v>0</v>
      </c>
      <c r="AB2332" s="78">
        <f t="shared" si="287"/>
        <v>0</v>
      </c>
      <c r="AC2332" s="78"/>
      <c r="AD2332" s="78">
        <v>0</v>
      </c>
      <c r="AE2332" s="80">
        <f t="shared" si="290"/>
        <v>0</v>
      </c>
      <c r="AF2332" s="82">
        <v>0</v>
      </c>
      <c r="AG2332" s="69">
        <v>40581</v>
      </c>
      <c r="AH2332" s="84"/>
      <c r="AI2332" s="69" t="s">
        <v>1984</v>
      </c>
      <c r="AJ2332" s="25" t="s">
        <v>1985</v>
      </c>
      <c r="AK2332" s="65"/>
      <c r="AL2332" s="176" t="s">
        <v>1257</v>
      </c>
      <c r="AM2332" s="173" t="s">
        <v>349</v>
      </c>
      <c r="AN2332" s="159"/>
      <c r="AO2332" s="160"/>
      <c r="AP2332" s="161"/>
      <c r="AQ2332" s="160"/>
      <c r="AR2332" s="160"/>
      <c r="AS2332" s="160"/>
      <c r="AT2332" s="160"/>
      <c r="AU2332" s="160"/>
      <c r="AV2332" s="160"/>
      <c r="AW2332" s="160"/>
      <c r="AX2332" s="160"/>
      <c r="AY2332" s="160"/>
      <c r="AZ2332" s="160"/>
      <c r="BA2332" s="160"/>
      <c r="BB2332" s="160"/>
      <c r="BC2332" s="160"/>
      <c r="BD2332" s="160"/>
      <c r="BE2332" s="160"/>
      <c r="BF2332" s="160"/>
      <c r="BG2332" s="160"/>
      <c r="BH2332" s="160"/>
      <c r="BI2332" s="160"/>
      <c r="BJ2332" s="160"/>
      <c r="BK2332" s="160"/>
      <c r="BL2332" s="160"/>
      <c r="BM2332" s="160"/>
      <c r="BN2332" s="160"/>
      <c r="BO2332" s="160"/>
      <c r="BP2332" s="160"/>
      <c r="BQ2332" s="160"/>
      <c r="BR2332" s="160"/>
      <c r="BS2332" s="160"/>
      <c r="BT2332" s="160"/>
      <c r="BU2332" s="160"/>
      <c r="BV2332" s="160"/>
      <c r="BW2332" s="160"/>
      <c r="BX2332" s="160"/>
      <c r="BY2332" s="160"/>
      <c r="BZ2332" s="160"/>
      <c r="CA2332" s="160"/>
      <c r="CB2332" s="160"/>
      <c r="CC2332" s="160"/>
      <c r="CD2332" s="160"/>
      <c r="CE2332" s="160"/>
      <c r="CF2332" s="160"/>
      <c r="CG2332" s="160"/>
      <c r="CH2332" s="160"/>
      <c r="CI2332" s="160"/>
      <c r="CJ2332" s="160"/>
      <c r="CK2332" s="160"/>
      <c r="CL2332" s="160"/>
      <c r="CM2332" s="160"/>
      <c r="CN2332" s="160"/>
      <c r="CO2332" s="160"/>
      <c r="CP2332" s="162"/>
      <c r="CQ2332" s="163"/>
      <c r="CR2332" s="162"/>
      <c r="CS2332" s="163"/>
      <c r="CT2332" s="162"/>
      <c r="CU2332" s="163"/>
      <c r="CV2332" s="164">
        <f t="shared" si="288"/>
        <v>0</v>
      </c>
      <c r="CW2332" s="165"/>
      <c r="CX2332" s="166"/>
      <c r="CY2332" s="167"/>
      <c r="CZ2332" s="168"/>
      <c r="DA2332" s="169"/>
      <c r="DB2332" s="168"/>
      <c r="DC2332" s="165"/>
      <c r="DD2332" s="166"/>
      <c r="DE2332" s="71"/>
      <c r="DF2332" s="170"/>
      <c r="EO2332" s="375" t="str">
        <f t="shared" si="289"/>
        <v>HUILA_OPORAPA</v>
      </c>
      <c r="EP2332" s="376"/>
      <c r="EQ2332" s="376"/>
      <c r="ER2332" s="377"/>
      <c r="ES2332" s="376"/>
      <c r="ET2332" s="376"/>
      <c r="EU2332" s="376"/>
    </row>
    <row r="2333" spans="1:151" s="171" customFormat="1" ht="48" x14ac:dyDescent="0.2">
      <c r="A2333" s="242">
        <v>40531</v>
      </c>
      <c r="B2333" s="222" t="s">
        <v>2427</v>
      </c>
      <c r="C2333" s="222" t="s">
        <v>1077</v>
      </c>
      <c r="D2333" s="430" t="s">
        <v>2331</v>
      </c>
      <c r="E2333" s="107" t="str">
        <f>VLOOKUP(B2333&amp;C2333,Divipola!$C$2:$F$1138,4,FALSE)</f>
        <v>68255</v>
      </c>
      <c r="F2333" s="333"/>
      <c r="G2333" s="275"/>
      <c r="H2333" s="183"/>
      <c r="I2333" s="183"/>
      <c r="J2333" s="183">
        <f>70*5</f>
        <v>350</v>
      </c>
      <c r="K2333" s="183">
        <f>250-180</f>
        <v>70</v>
      </c>
      <c r="L2333" s="157"/>
      <c r="M2333" s="157">
        <v>70</v>
      </c>
      <c r="N2333" s="157"/>
      <c r="O2333" s="157"/>
      <c r="P2333" s="157"/>
      <c r="Q2333" s="157"/>
      <c r="R2333" s="157"/>
      <c r="S2333" s="157"/>
      <c r="T2333" s="157"/>
      <c r="U2333" s="157"/>
      <c r="V2333" s="158"/>
      <c r="W2333" s="182"/>
      <c r="X2333" s="1">
        <v>40535</v>
      </c>
      <c r="Y2333" s="78">
        <f t="shared" si="285"/>
        <v>0</v>
      </c>
      <c r="Z2333" s="78">
        <f t="shared" si="286"/>
        <v>0</v>
      </c>
      <c r="AA2333" s="78">
        <f t="shared" si="284"/>
        <v>0</v>
      </c>
      <c r="AB2333" s="78">
        <f t="shared" si="287"/>
        <v>0</v>
      </c>
      <c r="AC2333" s="78"/>
      <c r="AD2333" s="78">
        <v>102400000</v>
      </c>
      <c r="AE2333" s="80">
        <f t="shared" si="290"/>
        <v>102400000</v>
      </c>
      <c r="AF2333" s="82">
        <v>0</v>
      </c>
      <c r="AG2333" s="69">
        <v>40526</v>
      </c>
      <c r="AH2333" s="84">
        <v>72382</v>
      </c>
      <c r="AI2333" s="69" t="s">
        <v>2009</v>
      </c>
      <c r="AJ2333" s="25" t="s">
        <v>2010</v>
      </c>
      <c r="AK2333" s="65">
        <v>518</v>
      </c>
      <c r="AL2333" s="176"/>
      <c r="AM2333" s="177" t="s">
        <v>803</v>
      </c>
      <c r="AN2333" s="159"/>
      <c r="AO2333" s="160"/>
      <c r="AP2333" s="161"/>
      <c r="AQ2333" s="160"/>
      <c r="AR2333" s="160"/>
      <c r="AS2333" s="160"/>
      <c r="AT2333" s="160"/>
      <c r="AU2333" s="160"/>
      <c r="AV2333" s="160"/>
      <c r="AW2333" s="160"/>
      <c r="AX2333" s="160"/>
      <c r="AY2333" s="160"/>
      <c r="AZ2333" s="160"/>
      <c r="BA2333" s="160"/>
      <c r="BB2333" s="160"/>
      <c r="BC2333" s="160"/>
      <c r="BD2333" s="160"/>
      <c r="BE2333" s="160"/>
      <c r="BF2333" s="160"/>
      <c r="BG2333" s="160"/>
      <c r="BH2333" s="160"/>
      <c r="BI2333" s="160"/>
      <c r="BJ2333" s="160"/>
      <c r="BK2333" s="160"/>
      <c r="BL2333" s="160"/>
      <c r="BM2333" s="160"/>
      <c r="BN2333" s="160"/>
      <c r="BO2333" s="160"/>
      <c r="BP2333" s="160"/>
      <c r="BQ2333" s="160"/>
      <c r="BR2333" s="160"/>
      <c r="BS2333" s="160"/>
      <c r="BT2333" s="160"/>
      <c r="BU2333" s="160"/>
      <c r="BV2333" s="160"/>
      <c r="BW2333" s="160"/>
      <c r="BX2333" s="160"/>
      <c r="BY2333" s="160"/>
      <c r="BZ2333" s="160"/>
      <c r="CA2333" s="160"/>
      <c r="CB2333" s="160"/>
      <c r="CC2333" s="160"/>
      <c r="CD2333" s="160"/>
      <c r="CE2333" s="160"/>
      <c r="CF2333" s="160"/>
      <c r="CG2333" s="160"/>
      <c r="CH2333" s="160"/>
      <c r="CI2333" s="160"/>
      <c r="CJ2333" s="160"/>
      <c r="CK2333" s="160"/>
      <c r="CL2333" s="160"/>
      <c r="CM2333" s="160"/>
      <c r="CN2333" s="160"/>
      <c r="CO2333" s="160"/>
      <c r="CP2333" s="162"/>
      <c r="CQ2333" s="163"/>
      <c r="CR2333" s="162"/>
      <c r="CS2333" s="163"/>
      <c r="CT2333" s="162"/>
      <c r="CU2333" s="163"/>
      <c r="CV2333" s="164">
        <f t="shared" si="288"/>
        <v>0</v>
      </c>
      <c r="CW2333" s="165"/>
      <c r="CX2333" s="166"/>
      <c r="CY2333" s="167"/>
      <c r="CZ2333" s="168"/>
      <c r="DA2333" s="169"/>
      <c r="DB2333" s="168"/>
      <c r="DC2333" s="165"/>
      <c r="DD2333" s="166"/>
      <c r="DE2333" s="71">
        <v>2</v>
      </c>
      <c r="DF2333" s="170"/>
      <c r="EO2333" s="375" t="str">
        <f t="shared" si="289"/>
        <v>SANTANDER_EL PLAYON</v>
      </c>
      <c r="EP2333" s="376"/>
      <c r="EQ2333" s="376"/>
      <c r="ER2333" s="377"/>
      <c r="ES2333" s="376"/>
      <c r="ET2333" s="376"/>
      <c r="EU2333" s="376"/>
    </row>
    <row r="2334" spans="1:151" s="171" customFormat="1" ht="18" customHeight="1" x14ac:dyDescent="0.2">
      <c r="A2334" s="242">
        <v>40531</v>
      </c>
      <c r="B2334" s="222" t="s">
        <v>2427</v>
      </c>
      <c r="C2334" s="222" t="s">
        <v>2655</v>
      </c>
      <c r="D2334" s="430" t="s">
        <v>2331</v>
      </c>
      <c r="E2334" s="107" t="str">
        <f>VLOOKUP(B2334&amp;C2334,Divipola!$C$2:$F$1138,4,FALSE)</f>
        <v>68615</v>
      </c>
      <c r="F2334" s="333"/>
      <c r="G2334" s="275">
        <v>3</v>
      </c>
      <c r="H2334" s="157"/>
      <c r="I2334" s="157">
        <v>3</v>
      </c>
      <c r="J2334" s="157"/>
      <c r="K2334" s="157"/>
      <c r="L2334" s="157"/>
      <c r="M2334" s="157"/>
      <c r="N2334" s="157"/>
      <c r="O2334" s="157"/>
      <c r="P2334" s="157"/>
      <c r="Q2334" s="157"/>
      <c r="R2334" s="157"/>
      <c r="S2334" s="157"/>
      <c r="T2334" s="157"/>
      <c r="U2334" s="157"/>
      <c r="V2334" s="158"/>
      <c r="W2334" s="182"/>
      <c r="X2334" s="1"/>
      <c r="Y2334" s="78">
        <f t="shared" si="285"/>
        <v>0</v>
      </c>
      <c r="Z2334" s="78">
        <f t="shared" si="286"/>
        <v>0</v>
      </c>
      <c r="AA2334" s="78">
        <f t="shared" si="284"/>
        <v>0</v>
      </c>
      <c r="AB2334" s="78">
        <f t="shared" si="287"/>
        <v>0</v>
      </c>
      <c r="AC2334" s="78"/>
      <c r="AD2334" s="78">
        <v>0</v>
      </c>
      <c r="AE2334" s="80">
        <f t="shared" si="290"/>
        <v>0</v>
      </c>
      <c r="AF2334" s="82">
        <v>0</v>
      </c>
      <c r="AG2334" s="69"/>
      <c r="AH2334" s="84"/>
      <c r="AI2334" s="69" t="s">
        <v>2009</v>
      </c>
      <c r="AJ2334" s="25" t="s">
        <v>2010</v>
      </c>
      <c r="AK2334" s="65"/>
      <c r="AL2334" s="184" t="s">
        <v>3833</v>
      </c>
      <c r="AM2334" s="173" t="s">
        <v>802</v>
      </c>
      <c r="AN2334" s="159"/>
      <c r="AO2334" s="160"/>
      <c r="AP2334" s="161"/>
      <c r="AQ2334" s="160"/>
      <c r="AR2334" s="160"/>
      <c r="AS2334" s="160"/>
      <c r="AT2334" s="160"/>
      <c r="AU2334" s="160"/>
      <c r="AV2334" s="160"/>
      <c r="AW2334" s="160"/>
      <c r="AX2334" s="160"/>
      <c r="AY2334" s="160"/>
      <c r="AZ2334" s="160"/>
      <c r="BA2334" s="160"/>
      <c r="BB2334" s="160"/>
      <c r="BC2334" s="160"/>
      <c r="BD2334" s="160"/>
      <c r="BE2334" s="160"/>
      <c r="BF2334" s="160"/>
      <c r="BG2334" s="160"/>
      <c r="BH2334" s="160"/>
      <c r="BI2334" s="160"/>
      <c r="BJ2334" s="160"/>
      <c r="BK2334" s="160"/>
      <c r="BL2334" s="160"/>
      <c r="BM2334" s="160"/>
      <c r="BN2334" s="160"/>
      <c r="BO2334" s="160"/>
      <c r="BP2334" s="160"/>
      <c r="BQ2334" s="160"/>
      <c r="BR2334" s="160"/>
      <c r="BS2334" s="160"/>
      <c r="BT2334" s="160"/>
      <c r="BU2334" s="160"/>
      <c r="BV2334" s="160"/>
      <c r="BW2334" s="160"/>
      <c r="BX2334" s="160"/>
      <c r="BY2334" s="160"/>
      <c r="BZ2334" s="160"/>
      <c r="CA2334" s="160"/>
      <c r="CB2334" s="160"/>
      <c r="CC2334" s="160"/>
      <c r="CD2334" s="160"/>
      <c r="CE2334" s="160"/>
      <c r="CF2334" s="160"/>
      <c r="CG2334" s="160"/>
      <c r="CH2334" s="160"/>
      <c r="CI2334" s="160"/>
      <c r="CJ2334" s="160"/>
      <c r="CK2334" s="160"/>
      <c r="CL2334" s="160"/>
      <c r="CM2334" s="160"/>
      <c r="CN2334" s="160"/>
      <c r="CO2334" s="160"/>
      <c r="CP2334" s="162"/>
      <c r="CQ2334" s="163"/>
      <c r="CR2334" s="162"/>
      <c r="CS2334" s="163"/>
      <c r="CT2334" s="162"/>
      <c r="CU2334" s="163"/>
      <c r="CV2334" s="164">
        <f t="shared" si="288"/>
        <v>0</v>
      </c>
      <c r="CW2334" s="165"/>
      <c r="CX2334" s="166"/>
      <c r="CY2334" s="167"/>
      <c r="CZ2334" s="168"/>
      <c r="DA2334" s="169"/>
      <c r="DB2334" s="168"/>
      <c r="DC2334" s="165"/>
      <c r="DD2334" s="166"/>
      <c r="DE2334" s="71"/>
      <c r="DF2334" s="170"/>
      <c r="EO2334" s="375" t="str">
        <f t="shared" si="289"/>
        <v>SANTANDER_RIONEGRO</v>
      </c>
      <c r="EP2334" s="376"/>
      <c r="EQ2334" s="376"/>
      <c r="ER2334" s="377"/>
      <c r="ES2334" s="376"/>
      <c r="ET2334" s="376"/>
      <c r="EU2334" s="376"/>
    </row>
    <row r="2335" spans="1:151" s="171" customFormat="1" ht="38.25" x14ac:dyDescent="0.2">
      <c r="A2335" s="246">
        <v>40532</v>
      </c>
      <c r="B2335" s="280" t="s">
        <v>2401</v>
      </c>
      <c r="C2335" s="280" t="s">
        <v>1583</v>
      </c>
      <c r="D2335" s="432" t="s">
        <v>2307</v>
      </c>
      <c r="E2335" s="107" t="str">
        <f>VLOOKUP(B2335&amp;C2335,Divipola!$C$2:$F$1138,4,FALSE)</f>
        <v>05390</v>
      </c>
      <c r="F2335" s="337"/>
      <c r="G2335" s="221"/>
      <c r="H2335" s="157"/>
      <c r="I2335" s="157"/>
      <c r="J2335" s="157">
        <v>75</v>
      </c>
      <c r="K2335" s="157">
        <v>15</v>
      </c>
      <c r="L2335" s="157">
        <v>15</v>
      </c>
      <c r="M2335" s="157"/>
      <c r="N2335" s="157"/>
      <c r="O2335" s="157"/>
      <c r="P2335" s="157"/>
      <c r="Q2335" s="157"/>
      <c r="R2335" s="157"/>
      <c r="S2335" s="157"/>
      <c r="T2335" s="157"/>
      <c r="U2335" s="157"/>
      <c r="V2335" s="158"/>
      <c r="W2335" s="182"/>
      <c r="X2335" s="1"/>
      <c r="Y2335" s="78">
        <f t="shared" si="285"/>
        <v>0</v>
      </c>
      <c r="Z2335" s="78">
        <f t="shared" si="286"/>
        <v>0</v>
      </c>
      <c r="AA2335" s="78">
        <f t="shared" si="284"/>
        <v>0</v>
      </c>
      <c r="AB2335" s="78">
        <f t="shared" si="287"/>
        <v>0</v>
      </c>
      <c r="AC2335" s="78"/>
      <c r="AD2335" s="78">
        <v>0</v>
      </c>
      <c r="AE2335" s="80">
        <f t="shared" si="290"/>
        <v>0</v>
      </c>
      <c r="AF2335" s="82">
        <v>0</v>
      </c>
      <c r="AG2335" s="69">
        <v>40532</v>
      </c>
      <c r="AH2335" s="84"/>
      <c r="AI2335" s="69" t="s">
        <v>2009</v>
      </c>
      <c r="AJ2335" s="25" t="s">
        <v>2010</v>
      </c>
      <c r="AK2335" s="65"/>
      <c r="AL2335" s="184" t="s">
        <v>805</v>
      </c>
      <c r="AM2335" s="173" t="s">
        <v>3826</v>
      </c>
      <c r="AN2335" s="159"/>
      <c r="AO2335" s="160"/>
      <c r="AP2335" s="161"/>
      <c r="AQ2335" s="160"/>
      <c r="AR2335" s="160"/>
      <c r="AS2335" s="160"/>
      <c r="AT2335" s="160"/>
      <c r="AU2335" s="160"/>
      <c r="AV2335" s="160"/>
      <c r="AW2335" s="160"/>
      <c r="AX2335" s="160"/>
      <c r="AY2335" s="160"/>
      <c r="AZ2335" s="160"/>
      <c r="BA2335" s="160"/>
      <c r="BB2335" s="160"/>
      <c r="BC2335" s="160"/>
      <c r="BD2335" s="160"/>
      <c r="BE2335" s="160"/>
      <c r="BF2335" s="160"/>
      <c r="BG2335" s="160"/>
      <c r="BH2335" s="160"/>
      <c r="BI2335" s="160"/>
      <c r="BJ2335" s="160"/>
      <c r="BK2335" s="160"/>
      <c r="BL2335" s="160"/>
      <c r="BM2335" s="160"/>
      <c r="BN2335" s="160"/>
      <c r="BO2335" s="160"/>
      <c r="BP2335" s="160"/>
      <c r="BQ2335" s="160"/>
      <c r="BR2335" s="160"/>
      <c r="BS2335" s="160"/>
      <c r="BT2335" s="160"/>
      <c r="BU2335" s="160"/>
      <c r="BV2335" s="160"/>
      <c r="BW2335" s="160"/>
      <c r="BX2335" s="160"/>
      <c r="BY2335" s="160"/>
      <c r="BZ2335" s="160"/>
      <c r="CA2335" s="160"/>
      <c r="CB2335" s="160"/>
      <c r="CC2335" s="160"/>
      <c r="CD2335" s="160"/>
      <c r="CE2335" s="160"/>
      <c r="CF2335" s="160"/>
      <c r="CG2335" s="160"/>
      <c r="CH2335" s="160"/>
      <c r="CI2335" s="160"/>
      <c r="CJ2335" s="160"/>
      <c r="CK2335" s="160"/>
      <c r="CL2335" s="160"/>
      <c r="CM2335" s="160"/>
      <c r="CN2335" s="160"/>
      <c r="CO2335" s="160"/>
      <c r="CP2335" s="162"/>
      <c r="CQ2335" s="163"/>
      <c r="CR2335" s="162"/>
      <c r="CS2335" s="163"/>
      <c r="CT2335" s="162"/>
      <c r="CU2335" s="163"/>
      <c r="CV2335" s="164">
        <f t="shared" si="288"/>
        <v>0</v>
      </c>
      <c r="CW2335" s="165"/>
      <c r="CX2335" s="166"/>
      <c r="CY2335" s="167"/>
      <c r="CZ2335" s="168"/>
      <c r="DA2335" s="169"/>
      <c r="DB2335" s="168"/>
      <c r="DC2335" s="165"/>
      <c r="DD2335" s="166"/>
      <c r="DE2335" s="71"/>
      <c r="DF2335" s="170"/>
      <c r="EO2335" s="375" t="str">
        <f t="shared" si="289"/>
        <v>ANTIOQUIA_LA PINTADA</v>
      </c>
      <c r="EP2335" s="376"/>
      <c r="EQ2335" s="376"/>
      <c r="ER2335" s="377"/>
      <c r="ES2335" s="376"/>
      <c r="ET2335" s="376"/>
      <c r="EU2335" s="376"/>
    </row>
    <row r="2336" spans="1:151" s="171" customFormat="1" ht="60" x14ac:dyDescent="0.2">
      <c r="A2336" s="242">
        <v>40532</v>
      </c>
      <c r="B2336" s="236" t="s">
        <v>828</v>
      </c>
      <c r="C2336" s="222" t="s">
        <v>876</v>
      </c>
      <c r="D2336" s="433" t="s">
        <v>837</v>
      </c>
      <c r="E2336" s="107" t="str">
        <f>VLOOKUP(B2336&amp;C2336,Divipola!$C$2:$F$1138,4,FALSE)</f>
        <v>15693</v>
      </c>
      <c r="F2336" s="335"/>
      <c r="G2336" s="221"/>
      <c r="H2336" s="157"/>
      <c r="I2336" s="157"/>
      <c r="J2336" s="157">
        <f>93*5</f>
        <v>465</v>
      </c>
      <c r="K2336" s="157">
        <v>93</v>
      </c>
      <c r="L2336" s="157"/>
      <c r="M2336" s="157">
        <v>93</v>
      </c>
      <c r="N2336" s="157"/>
      <c r="O2336" s="157"/>
      <c r="P2336" s="157"/>
      <c r="Q2336" s="157"/>
      <c r="R2336" s="157"/>
      <c r="S2336" s="157"/>
      <c r="T2336" s="157"/>
      <c r="U2336" s="157"/>
      <c r="V2336" s="158">
        <v>250</v>
      </c>
      <c r="W2336" s="182"/>
      <c r="X2336" s="1"/>
      <c r="Y2336" s="78">
        <f t="shared" si="285"/>
        <v>0</v>
      </c>
      <c r="Z2336" s="78">
        <f t="shared" si="286"/>
        <v>0</v>
      </c>
      <c r="AA2336" s="78">
        <f t="shared" si="284"/>
        <v>0</v>
      </c>
      <c r="AB2336" s="78">
        <f t="shared" si="287"/>
        <v>0</v>
      </c>
      <c r="AC2336" s="78"/>
      <c r="AD2336" s="78">
        <v>0</v>
      </c>
      <c r="AE2336" s="80">
        <f t="shared" si="290"/>
        <v>0</v>
      </c>
      <c r="AF2336" s="82">
        <v>0</v>
      </c>
      <c r="AG2336" s="69">
        <v>40578</v>
      </c>
      <c r="AH2336" s="84"/>
      <c r="AI2336" s="69" t="s">
        <v>1984</v>
      </c>
      <c r="AJ2336" s="25" t="s">
        <v>1985</v>
      </c>
      <c r="AK2336" s="65"/>
      <c r="AL2336" s="176" t="s">
        <v>1257</v>
      </c>
      <c r="AM2336" s="173" t="s">
        <v>357</v>
      </c>
      <c r="AN2336" s="159"/>
      <c r="AO2336" s="160"/>
      <c r="AP2336" s="161"/>
      <c r="AQ2336" s="160"/>
      <c r="AR2336" s="160"/>
      <c r="AS2336" s="160"/>
      <c r="AT2336" s="160"/>
      <c r="AU2336" s="160"/>
      <c r="AV2336" s="160"/>
      <c r="AW2336" s="160"/>
      <c r="AX2336" s="160"/>
      <c r="AY2336" s="160"/>
      <c r="AZ2336" s="160"/>
      <c r="BA2336" s="160"/>
      <c r="BB2336" s="160"/>
      <c r="BC2336" s="160"/>
      <c r="BD2336" s="160"/>
      <c r="BE2336" s="160"/>
      <c r="BF2336" s="160"/>
      <c r="BG2336" s="160"/>
      <c r="BH2336" s="160"/>
      <c r="BI2336" s="160"/>
      <c r="BJ2336" s="160"/>
      <c r="BK2336" s="160"/>
      <c r="BL2336" s="160"/>
      <c r="BM2336" s="160"/>
      <c r="BN2336" s="160"/>
      <c r="BO2336" s="160"/>
      <c r="BP2336" s="160"/>
      <c r="BQ2336" s="160"/>
      <c r="BR2336" s="160"/>
      <c r="BS2336" s="160"/>
      <c r="BT2336" s="160"/>
      <c r="BU2336" s="160"/>
      <c r="BV2336" s="160"/>
      <c r="BW2336" s="160"/>
      <c r="BX2336" s="160"/>
      <c r="BY2336" s="160"/>
      <c r="BZ2336" s="160"/>
      <c r="CA2336" s="160"/>
      <c r="CB2336" s="160"/>
      <c r="CC2336" s="160"/>
      <c r="CD2336" s="160"/>
      <c r="CE2336" s="160"/>
      <c r="CF2336" s="160"/>
      <c r="CG2336" s="160"/>
      <c r="CH2336" s="160"/>
      <c r="CI2336" s="160"/>
      <c r="CJ2336" s="160"/>
      <c r="CK2336" s="160"/>
      <c r="CL2336" s="160"/>
      <c r="CM2336" s="160"/>
      <c r="CN2336" s="160"/>
      <c r="CO2336" s="160"/>
      <c r="CP2336" s="162"/>
      <c r="CQ2336" s="163"/>
      <c r="CR2336" s="162"/>
      <c r="CS2336" s="163"/>
      <c r="CT2336" s="162"/>
      <c r="CU2336" s="163"/>
      <c r="CV2336" s="164">
        <f t="shared" si="288"/>
        <v>0</v>
      </c>
      <c r="CW2336" s="165"/>
      <c r="CX2336" s="166"/>
      <c r="CY2336" s="167"/>
      <c r="CZ2336" s="168"/>
      <c r="DA2336" s="169"/>
      <c r="DB2336" s="168"/>
      <c r="DC2336" s="165"/>
      <c r="DD2336" s="166"/>
      <c r="DE2336" s="71"/>
      <c r="DF2336" s="170"/>
      <c r="EO2336" s="375" t="str">
        <f t="shared" si="289"/>
        <v>BOYACA_SANTA ROSA DE VITERBO</v>
      </c>
      <c r="EP2336" s="376"/>
      <c r="EQ2336" s="376"/>
      <c r="ER2336" s="377"/>
      <c r="ES2336" s="376"/>
      <c r="ET2336" s="376"/>
      <c r="EU2336" s="376"/>
    </row>
    <row r="2337" spans="1:151" s="171" customFormat="1" ht="25.5" x14ac:dyDescent="0.2">
      <c r="A2337" s="242">
        <v>40532</v>
      </c>
      <c r="B2337" s="222" t="s">
        <v>2425</v>
      </c>
      <c r="C2337" s="222" t="s">
        <v>2374</v>
      </c>
      <c r="D2337" s="430" t="s">
        <v>837</v>
      </c>
      <c r="E2337" s="107" t="str">
        <f>VLOOKUP(B2337&amp;C2337,Divipola!$C$2:$F$1138,4,FALSE)</f>
        <v>27001</v>
      </c>
      <c r="F2337" s="333"/>
      <c r="G2337" s="221">
        <v>1</v>
      </c>
      <c r="H2337" s="157"/>
      <c r="I2337" s="157"/>
      <c r="J2337" s="157">
        <f>15480-1700-45-120</f>
        <v>13615</v>
      </c>
      <c r="K2337" s="157">
        <v>3322</v>
      </c>
      <c r="L2337" s="157"/>
      <c r="M2337" s="157"/>
      <c r="N2337" s="157"/>
      <c r="O2337" s="157"/>
      <c r="P2337" s="157"/>
      <c r="Q2337" s="157"/>
      <c r="R2337" s="157"/>
      <c r="S2337" s="157"/>
      <c r="T2337" s="157"/>
      <c r="U2337" s="157"/>
      <c r="V2337" s="158"/>
      <c r="W2337" s="182"/>
      <c r="X2337" s="1"/>
      <c r="Y2337" s="78">
        <f t="shared" si="285"/>
        <v>15660000</v>
      </c>
      <c r="Z2337" s="78">
        <f t="shared" si="286"/>
        <v>73950000</v>
      </c>
      <c r="AA2337" s="78">
        <f t="shared" si="284"/>
        <v>0</v>
      </c>
      <c r="AB2337" s="78">
        <f t="shared" si="287"/>
        <v>0</v>
      </c>
      <c r="AC2337" s="78"/>
      <c r="AD2337" s="78">
        <v>0</v>
      </c>
      <c r="AE2337" s="80">
        <f t="shared" si="290"/>
        <v>89610000</v>
      </c>
      <c r="AF2337" s="82">
        <v>0</v>
      </c>
      <c r="AG2337" s="69"/>
      <c r="AH2337" s="84"/>
      <c r="AI2337" s="69" t="s">
        <v>2009</v>
      </c>
      <c r="AJ2337" s="25" t="s">
        <v>2010</v>
      </c>
      <c r="AK2337" s="65"/>
      <c r="AL2337" s="176"/>
      <c r="AM2337" s="173" t="s">
        <v>3848</v>
      </c>
      <c r="AN2337" s="159"/>
      <c r="AO2337" s="160"/>
      <c r="AP2337" s="161"/>
      <c r="AQ2337" s="160"/>
      <c r="AR2337" s="160"/>
      <c r="AS2337" s="160"/>
      <c r="AT2337" s="160"/>
      <c r="AU2337" s="160"/>
      <c r="AV2337" s="160"/>
      <c r="AW2337" s="160"/>
      <c r="AX2337" s="160"/>
      <c r="AY2337" s="160"/>
      <c r="AZ2337" s="160"/>
      <c r="BA2337" s="160"/>
      <c r="BB2337" s="160"/>
      <c r="BC2337" s="160"/>
      <c r="BD2337" s="160"/>
      <c r="BE2337" s="160"/>
      <c r="BF2337" s="160"/>
      <c r="BG2337" s="160"/>
      <c r="BH2337" s="160"/>
      <c r="BI2337" s="160"/>
      <c r="BJ2337" s="160"/>
      <c r="BK2337" s="160"/>
      <c r="BL2337" s="160"/>
      <c r="BM2337" s="160"/>
      <c r="BN2337" s="160"/>
      <c r="BO2337" s="160"/>
      <c r="BP2337" s="160"/>
      <c r="BQ2337" s="160"/>
      <c r="BR2337" s="160"/>
      <c r="BS2337" s="160"/>
      <c r="BT2337" s="160"/>
      <c r="BU2337" s="160"/>
      <c r="BV2337" s="160"/>
      <c r="BW2337" s="160"/>
      <c r="BX2337" s="160"/>
      <c r="BY2337" s="160"/>
      <c r="BZ2337" s="160"/>
      <c r="CA2337" s="160"/>
      <c r="CB2337" s="160"/>
      <c r="CC2337" s="160"/>
      <c r="CD2337" s="160"/>
      <c r="CE2337" s="160"/>
      <c r="CF2337" s="160"/>
      <c r="CG2337" s="160"/>
      <c r="CH2337" s="160"/>
      <c r="CI2337" s="160"/>
      <c r="CJ2337" s="160"/>
      <c r="CK2337" s="160"/>
      <c r="CL2337" s="160"/>
      <c r="CM2337" s="160"/>
      <c r="CN2337" s="160">
        <v>870</v>
      </c>
      <c r="CO2337" s="160">
        <f>870*18000</f>
        <v>15660000</v>
      </c>
      <c r="CP2337" s="162"/>
      <c r="CQ2337" s="163"/>
      <c r="CR2337" s="162"/>
      <c r="CS2337" s="163"/>
      <c r="CT2337" s="162"/>
      <c r="CU2337" s="163"/>
      <c r="CV2337" s="164">
        <f t="shared" si="288"/>
        <v>15660000</v>
      </c>
      <c r="CW2337" s="165"/>
      <c r="CX2337" s="166"/>
      <c r="CY2337" s="167">
        <v>870</v>
      </c>
      <c r="CZ2337" s="168">
        <f>870*85000</f>
        <v>73950000</v>
      </c>
      <c r="DA2337" s="169"/>
      <c r="DB2337" s="168"/>
      <c r="DC2337" s="165"/>
      <c r="DD2337" s="166"/>
      <c r="DE2337" s="71"/>
      <c r="DF2337" s="170"/>
      <c r="EO2337" s="375" t="str">
        <f t="shared" si="289"/>
        <v>CHOCO_QUIBDO</v>
      </c>
      <c r="EP2337" s="376"/>
      <c r="EQ2337" s="376"/>
      <c r="ER2337" s="377"/>
      <c r="ES2337" s="376"/>
      <c r="ET2337" s="376"/>
      <c r="EU2337" s="376"/>
    </row>
    <row r="2338" spans="1:151" s="171" customFormat="1" ht="60" x14ac:dyDescent="0.2">
      <c r="A2338" s="242">
        <v>40532</v>
      </c>
      <c r="B2338" s="222" t="s">
        <v>1336</v>
      </c>
      <c r="C2338" s="222" t="s">
        <v>1732</v>
      </c>
      <c r="D2338" s="430" t="s">
        <v>2307</v>
      </c>
      <c r="E2338" s="107" t="str">
        <f>VLOOKUP(B2338&amp;C2338,Divipola!$C$2:$F$1138,4,FALSE)</f>
        <v>54001</v>
      </c>
      <c r="F2338" s="333"/>
      <c r="G2338" s="221">
        <v>1</v>
      </c>
      <c r="H2338" s="157"/>
      <c r="I2338" s="157"/>
      <c r="J2338" s="157">
        <v>532</v>
      </c>
      <c r="K2338" s="157">
        <v>241</v>
      </c>
      <c r="L2338" s="157">
        <v>221</v>
      </c>
      <c r="M2338" s="157">
        <v>20</v>
      </c>
      <c r="N2338" s="157"/>
      <c r="O2338" s="157"/>
      <c r="P2338" s="157"/>
      <c r="Q2338" s="157"/>
      <c r="R2338" s="157"/>
      <c r="S2338" s="157"/>
      <c r="T2338" s="157"/>
      <c r="U2338" s="157"/>
      <c r="V2338" s="158"/>
      <c r="W2338" s="182"/>
      <c r="X2338" s="1"/>
      <c r="Y2338" s="78">
        <f t="shared" si="285"/>
        <v>0</v>
      </c>
      <c r="Z2338" s="78">
        <f t="shared" si="286"/>
        <v>0</v>
      </c>
      <c r="AA2338" s="78">
        <f t="shared" si="284"/>
        <v>0</v>
      </c>
      <c r="AB2338" s="78">
        <f t="shared" si="287"/>
        <v>0</v>
      </c>
      <c r="AC2338" s="78"/>
      <c r="AD2338" s="78">
        <v>0</v>
      </c>
      <c r="AE2338" s="80">
        <f t="shared" si="290"/>
        <v>0</v>
      </c>
      <c r="AF2338" s="82">
        <v>0</v>
      </c>
      <c r="AG2338" s="69">
        <v>40529</v>
      </c>
      <c r="AH2338" s="84"/>
      <c r="AI2338" s="69" t="s">
        <v>2009</v>
      </c>
      <c r="AJ2338" s="276" t="s">
        <v>2010</v>
      </c>
      <c r="AK2338" s="65"/>
      <c r="AL2338" s="272" t="s">
        <v>311</v>
      </c>
      <c r="AM2338" s="173" t="s">
        <v>3851</v>
      </c>
      <c r="AN2338" s="159"/>
      <c r="AO2338" s="160"/>
      <c r="AP2338" s="161"/>
      <c r="AQ2338" s="160"/>
      <c r="AR2338" s="160"/>
      <c r="AS2338" s="160"/>
      <c r="AT2338" s="160"/>
      <c r="AU2338" s="160"/>
      <c r="AV2338" s="160"/>
      <c r="AW2338" s="160"/>
      <c r="AX2338" s="160"/>
      <c r="AY2338" s="160"/>
      <c r="AZ2338" s="160"/>
      <c r="BA2338" s="160"/>
      <c r="BB2338" s="160"/>
      <c r="BC2338" s="160"/>
      <c r="BD2338" s="160"/>
      <c r="BE2338" s="160"/>
      <c r="BF2338" s="160"/>
      <c r="BG2338" s="160"/>
      <c r="BH2338" s="160"/>
      <c r="BI2338" s="160"/>
      <c r="BJ2338" s="160"/>
      <c r="BK2338" s="160"/>
      <c r="BL2338" s="160"/>
      <c r="BM2338" s="160"/>
      <c r="BN2338" s="160"/>
      <c r="BO2338" s="160"/>
      <c r="BP2338" s="160"/>
      <c r="BQ2338" s="160"/>
      <c r="BR2338" s="160"/>
      <c r="BS2338" s="160"/>
      <c r="BT2338" s="160"/>
      <c r="BU2338" s="160"/>
      <c r="BV2338" s="160"/>
      <c r="BW2338" s="160"/>
      <c r="BX2338" s="160"/>
      <c r="BY2338" s="160"/>
      <c r="BZ2338" s="160"/>
      <c r="CA2338" s="160"/>
      <c r="CB2338" s="160"/>
      <c r="CC2338" s="160"/>
      <c r="CD2338" s="160"/>
      <c r="CE2338" s="160"/>
      <c r="CF2338" s="160"/>
      <c r="CG2338" s="160"/>
      <c r="CH2338" s="160"/>
      <c r="CI2338" s="160"/>
      <c r="CJ2338" s="160"/>
      <c r="CK2338" s="160"/>
      <c r="CL2338" s="160"/>
      <c r="CM2338" s="160"/>
      <c r="CN2338" s="160"/>
      <c r="CO2338" s="160"/>
      <c r="CP2338" s="162"/>
      <c r="CQ2338" s="163"/>
      <c r="CR2338" s="162"/>
      <c r="CS2338" s="163"/>
      <c r="CT2338" s="162"/>
      <c r="CU2338" s="163"/>
      <c r="CV2338" s="164">
        <f t="shared" si="288"/>
        <v>0</v>
      </c>
      <c r="CW2338" s="165"/>
      <c r="CX2338" s="166"/>
      <c r="CY2338" s="167"/>
      <c r="CZ2338" s="168"/>
      <c r="DA2338" s="169"/>
      <c r="DB2338" s="168"/>
      <c r="DC2338" s="165"/>
      <c r="DD2338" s="166"/>
      <c r="DE2338" s="71"/>
      <c r="DF2338" s="170"/>
      <c r="EO2338" s="375" t="str">
        <f t="shared" si="289"/>
        <v>NORTE DE SANTANDER_CUCUTA</v>
      </c>
      <c r="EP2338" s="376"/>
      <c r="EQ2338" s="376"/>
      <c r="ER2338" s="377"/>
      <c r="ES2338" s="376"/>
      <c r="ET2338" s="376"/>
      <c r="EU2338" s="376"/>
    </row>
    <row r="2339" spans="1:151" s="171" customFormat="1" ht="25.5" x14ac:dyDescent="0.2">
      <c r="A2339" s="242">
        <v>40532</v>
      </c>
      <c r="B2339" s="222" t="s">
        <v>832</v>
      </c>
      <c r="C2339" s="222" t="s">
        <v>1896</v>
      </c>
      <c r="D2339" s="430" t="s">
        <v>2209</v>
      </c>
      <c r="E2339" s="107" t="str">
        <f>VLOOKUP(B2339&amp;C2339,Divipola!$C$2:$F$1138,4,FALSE)</f>
        <v>86001</v>
      </c>
      <c r="F2339" s="333"/>
      <c r="G2339" s="221"/>
      <c r="H2339" s="157"/>
      <c r="I2339" s="157"/>
      <c r="J2339" s="157">
        <f>270*5</f>
        <v>1350</v>
      </c>
      <c r="K2339" s="157">
        <f>300-2-28</f>
        <v>270</v>
      </c>
      <c r="L2339" s="157"/>
      <c r="M2339" s="157">
        <v>10</v>
      </c>
      <c r="N2339" s="157"/>
      <c r="O2339" s="157"/>
      <c r="P2339" s="157"/>
      <c r="Q2339" s="157"/>
      <c r="R2339" s="157"/>
      <c r="S2339" s="157"/>
      <c r="T2339" s="157"/>
      <c r="U2339" s="157"/>
      <c r="V2339" s="158"/>
      <c r="W2339" s="182"/>
      <c r="X2339" s="1"/>
      <c r="Y2339" s="78">
        <f t="shared" si="285"/>
        <v>0</v>
      </c>
      <c r="Z2339" s="78">
        <f t="shared" si="286"/>
        <v>0</v>
      </c>
      <c r="AA2339" s="78">
        <f t="shared" si="284"/>
        <v>0</v>
      </c>
      <c r="AB2339" s="78">
        <f t="shared" si="287"/>
        <v>0</v>
      </c>
      <c r="AC2339" s="78"/>
      <c r="AD2339" s="78">
        <v>0</v>
      </c>
      <c r="AE2339" s="80">
        <f t="shared" si="290"/>
        <v>0</v>
      </c>
      <c r="AF2339" s="82">
        <v>0</v>
      </c>
      <c r="AG2339" s="69">
        <v>40533</v>
      </c>
      <c r="AH2339" s="84"/>
      <c r="AI2339" s="69" t="s">
        <v>1984</v>
      </c>
      <c r="AJ2339" s="25" t="s">
        <v>1985</v>
      </c>
      <c r="AK2339" s="65"/>
      <c r="AL2339" s="176" t="s">
        <v>1257</v>
      </c>
      <c r="AM2339" s="173" t="s">
        <v>3824</v>
      </c>
      <c r="AN2339" s="159"/>
      <c r="AO2339" s="160"/>
      <c r="AP2339" s="161"/>
      <c r="AQ2339" s="160"/>
      <c r="AR2339" s="160"/>
      <c r="AS2339" s="160"/>
      <c r="AT2339" s="160"/>
      <c r="AU2339" s="160"/>
      <c r="AV2339" s="160"/>
      <c r="AW2339" s="160"/>
      <c r="AX2339" s="160"/>
      <c r="AY2339" s="160"/>
      <c r="AZ2339" s="160"/>
      <c r="BA2339" s="160"/>
      <c r="BB2339" s="160"/>
      <c r="BC2339" s="160"/>
      <c r="BD2339" s="160"/>
      <c r="BE2339" s="160"/>
      <c r="BF2339" s="160"/>
      <c r="BG2339" s="160"/>
      <c r="BH2339" s="160"/>
      <c r="BI2339" s="160"/>
      <c r="BJ2339" s="160"/>
      <c r="BK2339" s="160"/>
      <c r="BL2339" s="160"/>
      <c r="BM2339" s="160"/>
      <c r="BN2339" s="160"/>
      <c r="BO2339" s="160"/>
      <c r="BP2339" s="160"/>
      <c r="BQ2339" s="160"/>
      <c r="BR2339" s="160"/>
      <c r="BS2339" s="160"/>
      <c r="BT2339" s="160"/>
      <c r="BU2339" s="160"/>
      <c r="BV2339" s="160"/>
      <c r="BW2339" s="160"/>
      <c r="BX2339" s="160"/>
      <c r="BY2339" s="160"/>
      <c r="BZ2339" s="160"/>
      <c r="CA2339" s="160"/>
      <c r="CB2339" s="160"/>
      <c r="CC2339" s="160"/>
      <c r="CD2339" s="160"/>
      <c r="CE2339" s="160"/>
      <c r="CF2339" s="160"/>
      <c r="CG2339" s="160"/>
      <c r="CH2339" s="160"/>
      <c r="CI2339" s="160"/>
      <c r="CJ2339" s="160"/>
      <c r="CK2339" s="160"/>
      <c r="CL2339" s="160"/>
      <c r="CM2339" s="160"/>
      <c r="CN2339" s="160"/>
      <c r="CO2339" s="160"/>
      <c r="CP2339" s="162"/>
      <c r="CQ2339" s="163"/>
      <c r="CR2339" s="162"/>
      <c r="CS2339" s="163"/>
      <c r="CT2339" s="162"/>
      <c r="CU2339" s="163"/>
      <c r="CV2339" s="164">
        <f t="shared" si="288"/>
        <v>0</v>
      </c>
      <c r="CW2339" s="165"/>
      <c r="CX2339" s="166"/>
      <c r="CY2339" s="167"/>
      <c r="CZ2339" s="168"/>
      <c r="DA2339" s="169"/>
      <c r="DB2339" s="168"/>
      <c r="DC2339" s="165"/>
      <c r="DD2339" s="166"/>
      <c r="DE2339" s="71"/>
      <c r="DF2339" s="170"/>
      <c r="EO2339" s="375" t="str">
        <f t="shared" si="289"/>
        <v>PUTUMAYO_MOCOA</v>
      </c>
      <c r="EP2339" s="376"/>
      <c r="EQ2339" s="376"/>
      <c r="ER2339" s="377"/>
      <c r="ES2339" s="376"/>
      <c r="ET2339" s="376"/>
      <c r="EU2339" s="376"/>
    </row>
    <row r="2340" spans="1:151" s="171" customFormat="1" ht="51" x14ac:dyDescent="0.2">
      <c r="A2340" s="242">
        <v>40532</v>
      </c>
      <c r="B2340" s="222" t="s">
        <v>1462</v>
      </c>
      <c r="C2340" s="222" t="s">
        <v>2942</v>
      </c>
      <c r="D2340" s="430" t="s">
        <v>2307</v>
      </c>
      <c r="E2340" s="107" t="str">
        <f>VLOOKUP(B2340&amp;C2340,Divipola!$C$2:$F$1138,4,FALSE)</f>
        <v>76233</v>
      </c>
      <c r="F2340" s="333"/>
      <c r="G2340" s="221"/>
      <c r="H2340" s="157"/>
      <c r="I2340" s="157"/>
      <c r="J2340" s="157">
        <v>65</v>
      </c>
      <c r="K2340" s="157">
        <v>13</v>
      </c>
      <c r="L2340" s="157"/>
      <c r="M2340" s="157">
        <v>13</v>
      </c>
      <c r="N2340" s="157"/>
      <c r="O2340" s="157"/>
      <c r="P2340" s="157"/>
      <c r="Q2340" s="157"/>
      <c r="R2340" s="157"/>
      <c r="S2340" s="157"/>
      <c r="T2340" s="157"/>
      <c r="U2340" s="157"/>
      <c r="V2340" s="158"/>
      <c r="W2340" s="182" t="s">
        <v>3845</v>
      </c>
      <c r="X2340" s="1"/>
      <c r="Y2340" s="78">
        <f t="shared" si="285"/>
        <v>0</v>
      </c>
      <c r="Z2340" s="78">
        <f t="shared" si="286"/>
        <v>0</v>
      </c>
      <c r="AA2340" s="78">
        <f t="shared" si="284"/>
        <v>0</v>
      </c>
      <c r="AB2340" s="78">
        <f t="shared" si="287"/>
        <v>0</v>
      </c>
      <c r="AC2340" s="78"/>
      <c r="AD2340" s="78">
        <v>0</v>
      </c>
      <c r="AE2340" s="80">
        <f t="shared" si="290"/>
        <v>0</v>
      </c>
      <c r="AF2340" s="82">
        <v>0</v>
      </c>
      <c r="AG2340" s="69"/>
      <c r="AH2340" s="84"/>
      <c r="AI2340" s="69" t="s">
        <v>2009</v>
      </c>
      <c r="AJ2340" s="276" t="s">
        <v>2010</v>
      </c>
      <c r="AK2340" s="65"/>
      <c r="AL2340" s="272" t="s">
        <v>311</v>
      </c>
      <c r="AM2340" s="173" t="s">
        <v>3846</v>
      </c>
      <c r="AN2340" s="159"/>
      <c r="AO2340" s="160"/>
      <c r="AP2340" s="161"/>
      <c r="AQ2340" s="160"/>
      <c r="AR2340" s="160"/>
      <c r="AS2340" s="160"/>
      <c r="AT2340" s="160"/>
      <c r="AU2340" s="160"/>
      <c r="AV2340" s="160"/>
      <c r="AW2340" s="160"/>
      <c r="AX2340" s="160"/>
      <c r="AY2340" s="160"/>
      <c r="AZ2340" s="160"/>
      <c r="BA2340" s="160"/>
      <c r="BB2340" s="160"/>
      <c r="BC2340" s="160"/>
      <c r="BD2340" s="160"/>
      <c r="BE2340" s="160"/>
      <c r="BF2340" s="160"/>
      <c r="BG2340" s="160"/>
      <c r="BH2340" s="160"/>
      <c r="BI2340" s="160"/>
      <c r="BJ2340" s="160"/>
      <c r="BK2340" s="160"/>
      <c r="BL2340" s="160"/>
      <c r="BM2340" s="160"/>
      <c r="BN2340" s="160"/>
      <c r="BO2340" s="160"/>
      <c r="BP2340" s="160"/>
      <c r="BQ2340" s="160"/>
      <c r="BR2340" s="160"/>
      <c r="BS2340" s="160"/>
      <c r="BT2340" s="160"/>
      <c r="BU2340" s="160"/>
      <c r="BV2340" s="160"/>
      <c r="BW2340" s="160"/>
      <c r="BX2340" s="160"/>
      <c r="BY2340" s="160"/>
      <c r="BZ2340" s="160"/>
      <c r="CA2340" s="160"/>
      <c r="CB2340" s="160"/>
      <c r="CC2340" s="160"/>
      <c r="CD2340" s="160"/>
      <c r="CE2340" s="160"/>
      <c r="CF2340" s="160"/>
      <c r="CG2340" s="160"/>
      <c r="CH2340" s="160"/>
      <c r="CI2340" s="160"/>
      <c r="CJ2340" s="160"/>
      <c r="CK2340" s="160"/>
      <c r="CL2340" s="160"/>
      <c r="CM2340" s="160"/>
      <c r="CN2340" s="160"/>
      <c r="CO2340" s="160"/>
      <c r="CP2340" s="162"/>
      <c r="CQ2340" s="163"/>
      <c r="CR2340" s="162"/>
      <c r="CS2340" s="163"/>
      <c r="CT2340" s="162"/>
      <c r="CU2340" s="163"/>
      <c r="CV2340" s="164">
        <f t="shared" si="288"/>
        <v>0</v>
      </c>
      <c r="CW2340" s="165"/>
      <c r="CX2340" s="166"/>
      <c r="CY2340" s="167"/>
      <c r="CZ2340" s="168"/>
      <c r="DA2340" s="169"/>
      <c r="DB2340" s="168"/>
      <c r="DC2340" s="165"/>
      <c r="DD2340" s="166"/>
      <c r="DE2340" s="71"/>
      <c r="DF2340" s="170"/>
      <c r="EO2340" s="375" t="str">
        <f t="shared" si="289"/>
        <v>VALLE DEL CAUCA_DAGUA</v>
      </c>
      <c r="EP2340" s="376"/>
      <c r="EQ2340" s="376"/>
      <c r="ER2340" s="377"/>
      <c r="ES2340" s="376"/>
      <c r="ET2340" s="376"/>
      <c r="EU2340" s="376"/>
    </row>
    <row r="2341" spans="1:151" s="171" customFormat="1" ht="51" x14ac:dyDescent="0.2">
      <c r="A2341" s="242">
        <v>40532</v>
      </c>
      <c r="B2341" s="222" t="s">
        <v>1462</v>
      </c>
      <c r="C2341" s="222" t="s">
        <v>3156</v>
      </c>
      <c r="D2341" s="430" t="s">
        <v>2307</v>
      </c>
      <c r="E2341" s="107" t="str">
        <f>VLOOKUP(B2341&amp;C2341,Divipola!$C$2:$F$1138,4,FALSE)</f>
        <v>76248</v>
      </c>
      <c r="F2341" s="333"/>
      <c r="G2341" s="221"/>
      <c r="H2341" s="157"/>
      <c r="I2341" s="157"/>
      <c r="J2341" s="157"/>
      <c r="K2341" s="157"/>
      <c r="L2341" s="157"/>
      <c r="M2341" s="157"/>
      <c r="N2341" s="157">
        <v>1</v>
      </c>
      <c r="O2341" s="157"/>
      <c r="P2341" s="157"/>
      <c r="Q2341" s="157"/>
      <c r="R2341" s="157"/>
      <c r="S2341" s="157"/>
      <c r="T2341" s="157"/>
      <c r="U2341" s="157"/>
      <c r="V2341" s="158"/>
      <c r="W2341" s="182"/>
      <c r="X2341" s="1"/>
      <c r="Y2341" s="78">
        <f t="shared" si="285"/>
        <v>0</v>
      </c>
      <c r="Z2341" s="78">
        <f t="shared" si="286"/>
        <v>0</v>
      </c>
      <c r="AA2341" s="78">
        <f t="shared" si="284"/>
        <v>0</v>
      </c>
      <c r="AB2341" s="78">
        <f t="shared" si="287"/>
        <v>0</v>
      </c>
      <c r="AC2341" s="78"/>
      <c r="AD2341" s="78">
        <v>0</v>
      </c>
      <c r="AE2341" s="80">
        <f t="shared" si="290"/>
        <v>0</v>
      </c>
      <c r="AF2341" s="82">
        <v>0</v>
      </c>
      <c r="AG2341" s="69">
        <v>40540</v>
      </c>
      <c r="AH2341" s="84"/>
      <c r="AI2341" s="69" t="s">
        <v>1984</v>
      </c>
      <c r="AJ2341" s="25" t="s">
        <v>1985</v>
      </c>
      <c r="AK2341" s="65"/>
      <c r="AL2341" s="176" t="s">
        <v>1257</v>
      </c>
      <c r="AM2341" s="173" t="s">
        <v>3847</v>
      </c>
      <c r="AN2341" s="159"/>
      <c r="AO2341" s="160"/>
      <c r="AP2341" s="161"/>
      <c r="AQ2341" s="160"/>
      <c r="AR2341" s="160"/>
      <c r="AS2341" s="160"/>
      <c r="AT2341" s="160"/>
      <c r="AU2341" s="160"/>
      <c r="AV2341" s="160"/>
      <c r="AW2341" s="160"/>
      <c r="AX2341" s="160"/>
      <c r="AY2341" s="160"/>
      <c r="AZ2341" s="160"/>
      <c r="BA2341" s="160"/>
      <c r="BB2341" s="160"/>
      <c r="BC2341" s="160"/>
      <c r="BD2341" s="160"/>
      <c r="BE2341" s="160"/>
      <c r="BF2341" s="160"/>
      <c r="BG2341" s="160"/>
      <c r="BH2341" s="160"/>
      <c r="BI2341" s="160"/>
      <c r="BJ2341" s="160"/>
      <c r="BK2341" s="160"/>
      <c r="BL2341" s="160"/>
      <c r="BM2341" s="160"/>
      <c r="BN2341" s="160"/>
      <c r="BO2341" s="160"/>
      <c r="BP2341" s="160"/>
      <c r="BQ2341" s="160"/>
      <c r="BR2341" s="160"/>
      <c r="BS2341" s="160"/>
      <c r="BT2341" s="160"/>
      <c r="BU2341" s="160"/>
      <c r="BV2341" s="160"/>
      <c r="BW2341" s="160"/>
      <c r="BX2341" s="160"/>
      <c r="BY2341" s="160"/>
      <c r="BZ2341" s="160"/>
      <c r="CA2341" s="160"/>
      <c r="CB2341" s="160"/>
      <c r="CC2341" s="160"/>
      <c r="CD2341" s="160"/>
      <c r="CE2341" s="160"/>
      <c r="CF2341" s="160"/>
      <c r="CG2341" s="160"/>
      <c r="CH2341" s="160"/>
      <c r="CI2341" s="160"/>
      <c r="CJ2341" s="160"/>
      <c r="CK2341" s="160"/>
      <c r="CL2341" s="160"/>
      <c r="CM2341" s="160"/>
      <c r="CN2341" s="160"/>
      <c r="CO2341" s="160"/>
      <c r="CP2341" s="162"/>
      <c r="CQ2341" s="163"/>
      <c r="CR2341" s="162"/>
      <c r="CS2341" s="163"/>
      <c r="CT2341" s="162"/>
      <c r="CU2341" s="163"/>
      <c r="CV2341" s="164">
        <f t="shared" si="288"/>
        <v>0</v>
      </c>
      <c r="CW2341" s="165"/>
      <c r="CX2341" s="166"/>
      <c r="CY2341" s="167"/>
      <c r="CZ2341" s="168"/>
      <c r="DA2341" s="169"/>
      <c r="DB2341" s="168"/>
      <c r="DC2341" s="165"/>
      <c r="DD2341" s="166"/>
      <c r="DE2341" s="71"/>
      <c r="DF2341" s="170"/>
      <c r="EO2341" s="375" t="str">
        <f t="shared" si="289"/>
        <v>VALLE DEL CAUCA_EL CERRITO</v>
      </c>
      <c r="EP2341" s="376"/>
      <c r="EQ2341" s="376"/>
      <c r="ER2341" s="377"/>
      <c r="ES2341" s="376"/>
      <c r="ET2341" s="376"/>
      <c r="EU2341" s="376"/>
    </row>
    <row r="2342" spans="1:151" s="171" customFormat="1" ht="96" x14ac:dyDescent="0.2">
      <c r="A2342" s="242">
        <v>40533</v>
      </c>
      <c r="B2342" s="222" t="s">
        <v>289</v>
      </c>
      <c r="C2342" s="222" t="s">
        <v>2008</v>
      </c>
      <c r="D2342" s="430" t="s">
        <v>837</v>
      </c>
      <c r="E2342" s="107">
        <f>VLOOKUP(B2342&amp;C2342,Divipola!$C$2:$F$1138,4,FALSE)</f>
        <v>17</v>
      </c>
      <c r="F2342" s="333"/>
      <c r="G2342" s="221"/>
      <c r="H2342" s="157"/>
      <c r="I2342" s="157"/>
      <c r="J2342" s="157"/>
      <c r="K2342" s="157"/>
      <c r="L2342" s="157"/>
      <c r="M2342" s="157"/>
      <c r="N2342" s="157"/>
      <c r="O2342" s="157"/>
      <c r="P2342" s="157"/>
      <c r="Q2342" s="157"/>
      <c r="R2342" s="157"/>
      <c r="S2342" s="157"/>
      <c r="T2342" s="157"/>
      <c r="U2342" s="157"/>
      <c r="V2342" s="158"/>
      <c r="W2342" s="182"/>
      <c r="X2342" s="1">
        <v>40533</v>
      </c>
      <c r="Y2342" s="78">
        <f t="shared" si="285"/>
        <v>34300000</v>
      </c>
      <c r="Z2342" s="78">
        <f t="shared" si="286"/>
        <v>0</v>
      </c>
      <c r="AA2342" s="78">
        <f t="shared" si="284"/>
        <v>0</v>
      </c>
      <c r="AB2342" s="78">
        <f t="shared" si="287"/>
        <v>0</v>
      </c>
      <c r="AC2342" s="78"/>
      <c r="AD2342" s="78">
        <v>600000000</v>
      </c>
      <c r="AE2342" s="80">
        <f t="shared" si="290"/>
        <v>634300000</v>
      </c>
      <c r="AF2342" s="82">
        <v>0</v>
      </c>
      <c r="AG2342" s="69">
        <v>40526</v>
      </c>
      <c r="AH2342" s="84">
        <v>71423</v>
      </c>
      <c r="AI2342" s="69" t="s">
        <v>2009</v>
      </c>
      <c r="AJ2342" s="25" t="s">
        <v>2010</v>
      </c>
      <c r="AK2342" s="65"/>
      <c r="AL2342" s="176" t="s">
        <v>3833</v>
      </c>
      <c r="AM2342" s="177" t="s">
        <v>3832</v>
      </c>
      <c r="AN2342" s="159"/>
      <c r="AO2342" s="160"/>
      <c r="AP2342" s="161"/>
      <c r="AQ2342" s="160"/>
      <c r="AR2342" s="160"/>
      <c r="AS2342" s="160"/>
      <c r="AT2342" s="160"/>
      <c r="AU2342" s="160"/>
      <c r="AV2342" s="160"/>
      <c r="AW2342" s="160"/>
      <c r="AX2342" s="160"/>
      <c r="AY2342" s="160"/>
      <c r="AZ2342" s="160">
        <v>500</v>
      </c>
      <c r="BA2342" s="160">
        <f>500*56000</f>
        <v>28000000</v>
      </c>
      <c r="BB2342" s="160"/>
      <c r="BC2342" s="160"/>
      <c r="BD2342" s="160"/>
      <c r="BE2342" s="160"/>
      <c r="BF2342" s="160"/>
      <c r="BG2342" s="160"/>
      <c r="BH2342" s="160"/>
      <c r="BI2342" s="160"/>
      <c r="BJ2342" s="160"/>
      <c r="BK2342" s="160"/>
      <c r="BL2342" s="160"/>
      <c r="BM2342" s="160"/>
      <c r="BN2342" s="160"/>
      <c r="BO2342" s="160"/>
      <c r="BP2342" s="160"/>
      <c r="BQ2342" s="160"/>
      <c r="BR2342" s="160"/>
      <c r="BS2342" s="160"/>
      <c r="BT2342" s="160"/>
      <c r="BU2342" s="160"/>
      <c r="BV2342" s="160"/>
      <c r="BW2342" s="160"/>
      <c r="BX2342" s="160"/>
      <c r="BY2342" s="160"/>
      <c r="BZ2342" s="160"/>
      <c r="CA2342" s="160"/>
      <c r="CB2342" s="160"/>
      <c r="CC2342" s="160"/>
      <c r="CD2342" s="160"/>
      <c r="CE2342" s="160"/>
      <c r="CF2342" s="160"/>
      <c r="CG2342" s="160"/>
      <c r="CH2342" s="160"/>
      <c r="CI2342" s="160"/>
      <c r="CJ2342" s="160">
        <v>300</v>
      </c>
      <c r="CK2342" s="160">
        <f>300*21000</f>
        <v>6300000</v>
      </c>
      <c r="CL2342" s="160"/>
      <c r="CM2342" s="160"/>
      <c r="CN2342" s="160"/>
      <c r="CO2342" s="160"/>
      <c r="CP2342" s="162"/>
      <c r="CQ2342" s="163"/>
      <c r="CR2342" s="162"/>
      <c r="CS2342" s="163"/>
      <c r="CT2342" s="162"/>
      <c r="CU2342" s="163"/>
      <c r="CV2342" s="164">
        <f t="shared" si="288"/>
        <v>34300000</v>
      </c>
      <c r="CW2342" s="165"/>
      <c r="CX2342" s="166"/>
      <c r="CY2342" s="167"/>
      <c r="CZ2342" s="168"/>
      <c r="DA2342" s="169"/>
      <c r="DB2342" s="168"/>
      <c r="DC2342" s="165"/>
      <c r="DD2342" s="166"/>
      <c r="DE2342" s="71"/>
      <c r="DF2342" s="170"/>
      <c r="EO2342" s="375" t="str">
        <f t="shared" si="289"/>
        <v>CALDAS_DEPARTAMENTO</v>
      </c>
      <c r="EP2342" s="376"/>
      <c r="EQ2342" s="376"/>
      <c r="ER2342" s="377"/>
      <c r="ES2342" s="376"/>
      <c r="ET2342" s="376"/>
      <c r="EU2342" s="376"/>
    </row>
    <row r="2343" spans="1:151" s="171" customFormat="1" ht="48" x14ac:dyDescent="0.2">
      <c r="A2343" s="242">
        <v>40533</v>
      </c>
      <c r="B2343" s="222" t="s">
        <v>2245</v>
      </c>
      <c r="C2343" s="222" t="s">
        <v>3829</v>
      </c>
      <c r="D2343" s="430" t="s">
        <v>2307</v>
      </c>
      <c r="E2343" s="107" t="str">
        <f>VLOOKUP(B2343&amp;C2343,Divipola!$C$2:$F$1138,4,FALSE)</f>
        <v>52435</v>
      </c>
      <c r="F2343" s="333"/>
      <c r="G2343" s="221"/>
      <c r="H2343" s="157"/>
      <c r="I2343" s="157"/>
      <c r="J2343" s="157">
        <v>859</v>
      </c>
      <c r="K2343" s="157">
        <v>211</v>
      </c>
      <c r="L2343" s="157">
        <v>4</v>
      </c>
      <c r="M2343" s="157">
        <v>26</v>
      </c>
      <c r="N2343" s="157">
        <v>1</v>
      </c>
      <c r="O2343" s="157"/>
      <c r="P2343" s="157"/>
      <c r="Q2343" s="157"/>
      <c r="R2343" s="157"/>
      <c r="S2343" s="157"/>
      <c r="T2343" s="157">
        <v>4</v>
      </c>
      <c r="U2343" s="157"/>
      <c r="V2343" s="158"/>
      <c r="W2343" s="182"/>
      <c r="X2343" s="1"/>
      <c r="Y2343" s="78">
        <f t="shared" si="285"/>
        <v>0</v>
      </c>
      <c r="Z2343" s="78">
        <f t="shared" si="286"/>
        <v>0</v>
      </c>
      <c r="AA2343" s="78">
        <f t="shared" si="284"/>
        <v>0</v>
      </c>
      <c r="AB2343" s="78">
        <f t="shared" si="287"/>
        <v>0</v>
      </c>
      <c r="AC2343" s="78"/>
      <c r="AD2343" s="78">
        <v>0</v>
      </c>
      <c r="AE2343" s="80">
        <f t="shared" si="290"/>
        <v>0</v>
      </c>
      <c r="AF2343" s="82">
        <v>0</v>
      </c>
      <c r="AG2343" s="69">
        <v>40533</v>
      </c>
      <c r="AH2343" s="84"/>
      <c r="AI2343" s="69" t="s">
        <v>1984</v>
      </c>
      <c r="AJ2343" s="25" t="s">
        <v>1985</v>
      </c>
      <c r="AK2343" s="65"/>
      <c r="AL2343" s="176" t="s">
        <v>1257</v>
      </c>
      <c r="AM2343" s="173" t="s">
        <v>3878</v>
      </c>
      <c r="AN2343" s="159"/>
      <c r="AO2343" s="160"/>
      <c r="AP2343" s="161"/>
      <c r="AQ2343" s="160"/>
      <c r="AR2343" s="160"/>
      <c r="AS2343" s="160"/>
      <c r="AT2343" s="160"/>
      <c r="AU2343" s="160"/>
      <c r="AV2343" s="160"/>
      <c r="AW2343" s="160"/>
      <c r="AX2343" s="160"/>
      <c r="AY2343" s="160"/>
      <c r="AZ2343" s="160"/>
      <c r="BA2343" s="160"/>
      <c r="BB2343" s="160"/>
      <c r="BC2343" s="160"/>
      <c r="BD2343" s="160"/>
      <c r="BE2343" s="160"/>
      <c r="BF2343" s="160"/>
      <c r="BG2343" s="160"/>
      <c r="BH2343" s="160"/>
      <c r="BI2343" s="160"/>
      <c r="BJ2343" s="160"/>
      <c r="BK2343" s="160"/>
      <c r="BL2343" s="160"/>
      <c r="BM2343" s="160"/>
      <c r="BN2343" s="160"/>
      <c r="BO2343" s="160"/>
      <c r="BP2343" s="160"/>
      <c r="BQ2343" s="160"/>
      <c r="BR2343" s="160"/>
      <c r="BS2343" s="160"/>
      <c r="BT2343" s="160"/>
      <c r="BU2343" s="160"/>
      <c r="BV2343" s="160"/>
      <c r="BW2343" s="160"/>
      <c r="BX2343" s="160"/>
      <c r="BY2343" s="160"/>
      <c r="BZ2343" s="160"/>
      <c r="CA2343" s="160"/>
      <c r="CB2343" s="160"/>
      <c r="CC2343" s="160"/>
      <c r="CD2343" s="160"/>
      <c r="CE2343" s="160"/>
      <c r="CF2343" s="160"/>
      <c r="CG2343" s="160"/>
      <c r="CH2343" s="160"/>
      <c r="CI2343" s="160"/>
      <c r="CJ2343" s="160"/>
      <c r="CK2343" s="160"/>
      <c r="CL2343" s="160"/>
      <c r="CM2343" s="160"/>
      <c r="CN2343" s="160"/>
      <c r="CO2343" s="160"/>
      <c r="CP2343" s="162"/>
      <c r="CQ2343" s="163"/>
      <c r="CR2343" s="162"/>
      <c r="CS2343" s="163"/>
      <c r="CT2343" s="162"/>
      <c r="CU2343" s="163"/>
      <c r="CV2343" s="164">
        <f t="shared" si="288"/>
        <v>0</v>
      </c>
      <c r="CW2343" s="165"/>
      <c r="CX2343" s="166"/>
      <c r="CY2343" s="167"/>
      <c r="CZ2343" s="168"/>
      <c r="DA2343" s="169"/>
      <c r="DB2343" s="168"/>
      <c r="DC2343" s="165"/>
      <c r="DD2343" s="166"/>
      <c r="DE2343" s="71"/>
      <c r="DF2343" s="170"/>
      <c r="EO2343" s="375" t="str">
        <f t="shared" si="289"/>
        <v>NARIÑO_MALLAMA</v>
      </c>
      <c r="EP2343" s="376"/>
      <c r="EQ2343" s="376"/>
      <c r="ER2343" s="377"/>
      <c r="ES2343" s="376"/>
      <c r="ET2343" s="376"/>
      <c r="EU2343" s="376"/>
    </row>
    <row r="2344" spans="1:151" s="171" customFormat="1" ht="51" x14ac:dyDescent="0.2">
      <c r="A2344" s="242">
        <v>40533</v>
      </c>
      <c r="B2344" s="222" t="s">
        <v>2245</v>
      </c>
      <c r="C2344" s="222" t="s">
        <v>2513</v>
      </c>
      <c r="D2344" s="430" t="s">
        <v>2307</v>
      </c>
      <c r="E2344" s="107" t="str">
        <f>VLOOKUP(B2344&amp;C2344,Divipola!$C$2:$F$1138,4,FALSE)</f>
        <v>52694</v>
      </c>
      <c r="F2344" s="333"/>
      <c r="G2344" s="221"/>
      <c r="H2344" s="157"/>
      <c r="I2344" s="157"/>
      <c r="J2344" s="157">
        <v>380</v>
      </c>
      <c r="K2344" s="157">
        <f>14+83</f>
        <v>97</v>
      </c>
      <c r="L2344" s="157">
        <v>14</v>
      </c>
      <c r="M2344" s="157">
        <v>83</v>
      </c>
      <c r="N2344" s="157">
        <v>4</v>
      </c>
      <c r="O2344" s="157"/>
      <c r="P2344" s="157"/>
      <c r="Q2344" s="157">
        <v>2</v>
      </c>
      <c r="R2344" s="157"/>
      <c r="S2344" s="157"/>
      <c r="T2344" s="157">
        <v>4</v>
      </c>
      <c r="U2344" s="157"/>
      <c r="V2344" s="158"/>
      <c r="W2344" s="182"/>
      <c r="X2344" s="1"/>
      <c r="Y2344" s="78">
        <f t="shared" si="285"/>
        <v>0</v>
      </c>
      <c r="Z2344" s="78">
        <f t="shared" si="286"/>
        <v>0</v>
      </c>
      <c r="AA2344" s="78">
        <f t="shared" si="284"/>
        <v>0</v>
      </c>
      <c r="AB2344" s="78">
        <f t="shared" si="287"/>
        <v>0</v>
      </c>
      <c r="AC2344" s="78"/>
      <c r="AD2344" s="78">
        <v>0</v>
      </c>
      <c r="AE2344" s="80">
        <f t="shared" si="290"/>
        <v>0</v>
      </c>
      <c r="AF2344" s="82">
        <v>0</v>
      </c>
      <c r="AG2344" s="69">
        <v>40533</v>
      </c>
      <c r="AH2344" s="84"/>
      <c r="AI2344" s="69" t="s">
        <v>1984</v>
      </c>
      <c r="AJ2344" s="25" t="s">
        <v>1985</v>
      </c>
      <c r="AK2344" s="65"/>
      <c r="AL2344" s="176" t="s">
        <v>1257</v>
      </c>
      <c r="AM2344" s="173" t="s">
        <v>789</v>
      </c>
      <c r="AN2344" s="159"/>
      <c r="AO2344" s="160"/>
      <c r="AP2344" s="161"/>
      <c r="AQ2344" s="160"/>
      <c r="AR2344" s="160"/>
      <c r="AS2344" s="160"/>
      <c r="AT2344" s="160"/>
      <c r="AU2344" s="160"/>
      <c r="AV2344" s="160"/>
      <c r="AW2344" s="160"/>
      <c r="AX2344" s="160"/>
      <c r="AY2344" s="160"/>
      <c r="AZ2344" s="160"/>
      <c r="BA2344" s="160"/>
      <c r="BB2344" s="160"/>
      <c r="BC2344" s="160"/>
      <c r="BD2344" s="160"/>
      <c r="BE2344" s="160"/>
      <c r="BF2344" s="160"/>
      <c r="BG2344" s="160"/>
      <c r="BH2344" s="160"/>
      <c r="BI2344" s="160"/>
      <c r="BJ2344" s="160"/>
      <c r="BK2344" s="160"/>
      <c r="BL2344" s="160"/>
      <c r="BM2344" s="160"/>
      <c r="BN2344" s="160"/>
      <c r="BO2344" s="160"/>
      <c r="BP2344" s="160"/>
      <c r="BQ2344" s="160"/>
      <c r="BR2344" s="160"/>
      <c r="BS2344" s="160"/>
      <c r="BT2344" s="160"/>
      <c r="BU2344" s="160"/>
      <c r="BV2344" s="160"/>
      <c r="BW2344" s="160"/>
      <c r="BX2344" s="160"/>
      <c r="BY2344" s="160"/>
      <c r="BZ2344" s="160"/>
      <c r="CA2344" s="160"/>
      <c r="CB2344" s="160"/>
      <c r="CC2344" s="160"/>
      <c r="CD2344" s="160"/>
      <c r="CE2344" s="160"/>
      <c r="CF2344" s="160"/>
      <c r="CG2344" s="160"/>
      <c r="CH2344" s="160"/>
      <c r="CI2344" s="160"/>
      <c r="CJ2344" s="160"/>
      <c r="CK2344" s="160"/>
      <c r="CL2344" s="160"/>
      <c r="CM2344" s="160"/>
      <c r="CN2344" s="160"/>
      <c r="CO2344" s="160"/>
      <c r="CP2344" s="162"/>
      <c r="CQ2344" s="163"/>
      <c r="CR2344" s="162"/>
      <c r="CS2344" s="163"/>
      <c r="CT2344" s="162"/>
      <c r="CU2344" s="163"/>
      <c r="CV2344" s="164">
        <f t="shared" si="288"/>
        <v>0</v>
      </c>
      <c r="CW2344" s="165"/>
      <c r="CX2344" s="166"/>
      <c r="CY2344" s="167"/>
      <c r="CZ2344" s="168"/>
      <c r="DA2344" s="169"/>
      <c r="DB2344" s="168"/>
      <c r="DC2344" s="165"/>
      <c r="DD2344" s="166"/>
      <c r="DE2344" s="71"/>
      <c r="DF2344" s="170"/>
      <c r="EO2344" s="375" t="str">
        <f t="shared" si="289"/>
        <v>NARIÑO_SAN PEDRO DE CARTAGO</v>
      </c>
      <c r="EP2344" s="376"/>
      <c r="EQ2344" s="376"/>
      <c r="ER2344" s="377"/>
      <c r="ES2344" s="376"/>
      <c r="ET2344" s="376"/>
      <c r="EU2344" s="376"/>
    </row>
    <row r="2345" spans="1:151" s="171" customFormat="1" ht="25.5" x14ac:dyDescent="0.2">
      <c r="A2345" s="242">
        <v>40534</v>
      </c>
      <c r="B2345" s="222" t="s">
        <v>828</v>
      </c>
      <c r="C2345" s="222" t="s">
        <v>917</v>
      </c>
      <c r="D2345" s="430" t="s">
        <v>837</v>
      </c>
      <c r="E2345" s="107" t="str">
        <f>VLOOKUP(B2345&amp;C2345,Divipola!$C$2:$F$1138,4,FALSE)</f>
        <v>15106</v>
      </c>
      <c r="F2345" s="333"/>
      <c r="G2345" s="221"/>
      <c r="H2345" s="157"/>
      <c r="I2345" s="157"/>
      <c r="J2345" s="157">
        <f>141*5</f>
        <v>705</v>
      </c>
      <c r="K2345" s="157">
        <v>141</v>
      </c>
      <c r="L2345" s="157"/>
      <c r="M2345" s="157">
        <v>141</v>
      </c>
      <c r="N2345" s="157"/>
      <c r="O2345" s="157"/>
      <c r="P2345" s="157"/>
      <c r="Q2345" s="157"/>
      <c r="R2345" s="157"/>
      <c r="S2345" s="157"/>
      <c r="T2345" s="157"/>
      <c r="U2345" s="157"/>
      <c r="V2345" s="158"/>
      <c r="W2345" s="182"/>
      <c r="X2345" s="1"/>
      <c r="Y2345" s="78">
        <f t="shared" si="285"/>
        <v>0</v>
      </c>
      <c r="Z2345" s="78">
        <f t="shared" si="286"/>
        <v>0</v>
      </c>
      <c r="AA2345" s="78">
        <f t="shared" si="284"/>
        <v>0</v>
      </c>
      <c r="AB2345" s="78">
        <f t="shared" si="287"/>
        <v>0</v>
      </c>
      <c r="AC2345" s="78"/>
      <c r="AD2345" s="78">
        <v>0</v>
      </c>
      <c r="AE2345" s="80">
        <f t="shared" si="290"/>
        <v>0</v>
      </c>
      <c r="AF2345" s="82">
        <v>0</v>
      </c>
      <c r="AG2345" s="69">
        <v>40578</v>
      </c>
      <c r="AH2345" s="84"/>
      <c r="AI2345" s="69" t="s">
        <v>1984</v>
      </c>
      <c r="AJ2345" s="25" t="s">
        <v>1985</v>
      </c>
      <c r="AK2345" s="65"/>
      <c r="AL2345" s="176" t="s">
        <v>1257</v>
      </c>
      <c r="AM2345" s="173" t="s">
        <v>349</v>
      </c>
      <c r="AN2345" s="159"/>
      <c r="AO2345" s="160"/>
      <c r="AP2345" s="161"/>
      <c r="AQ2345" s="160"/>
      <c r="AR2345" s="160"/>
      <c r="AS2345" s="160"/>
      <c r="AT2345" s="160"/>
      <c r="AU2345" s="160"/>
      <c r="AV2345" s="160"/>
      <c r="AW2345" s="160"/>
      <c r="AX2345" s="160"/>
      <c r="AY2345" s="160"/>
      <c r="AZ2345" s="160"/>
      <c r="BA2345" s="160"/>
      <c r="BB2345" s="160"/>
      <c r="BC2345" s="160"/>
      <c r="BD2345" s="160"/>
      <c r="BE2345" s="160"/>
      <c r="BF2345" s="160"/>
      <c r="BG2345" s="160"/>
      <c r="BH2345" s="160"/>
      <c r="BI2345" s="160"/>
      <c r="BJ2345" s="160"/>
      <c r="BK2345" s="160"/>
      <c r="BL2345" s="160"/>
      <c r="BM2345" s="160"/>
      <c r="BN2345" s="160"/>
      <c r="BO2345" s="160"/>
      <c r="BP2345" s="160"/>
      <c r="BQ2345" s="160"/>
      <c r="BR2345" s="160"/>
      <c r="BS2345" s="160"/>
      <c r="BT2345" s="160"/>
      <c r="BU2345" s="160"/>
      <c r="BV2345" s="160"/>
      <c r="BW2345" s="160"/>
      <c r="BX2345" s="160"/>
      <c r="BY2345" s="160"/>
      <c r="BZ2345" s="160"/>
      <c r="CA2345" s="160"/>
      <c r="CB2345" s="160"/>
      <c r="CC2345" s="160"/>
      <c r="CD2345" s="160"/>
      <c r="CE2345" s="160"/>
      <c r="CF2345" s="160"/>
      <c r="CG2345" s="160"/>
      <c r="CH2345" s="160"/>
      <c r="CI2345" s="160"/>
      <c r="CJ2345" s="160"/>
      <c r="CK2345" s="160"/>
      <c r="CL2345" s="160"/>
      <c r="CM2345" s="160"/>
      <c r="CN2345" s="160"/>
      <c r="CO2345" s="160"/>
      <c r="CP2345" s="162"/>
      <c r="CQ2345" s="163"/>
      <c r="CR2345" s="162"/>
      <c r="CS2345" s="163"/>
      <c r="CT2345" s="162"/>
      <c r="CU2345" s="163"/>
      <c r="CV2345" s="164">
        <f t="shared" si="288"/>
        <v>0</v>
      </c>
      <c r="CW2345" s="165"/>
      <c r="CX2345" s="166"/>
      <c r="CY2345" s="167"/>
      <c r="CZ2345" s="168"/>
      <c r="DA2345" s="169"/>
      <c r="DB2345" s="168"/>
      <c r="DC2345" s="165"/>
      <c r="DD2345" s="166"/>
      <c r="DE2345" s="71"/>
      <c r="DF2345" s="170"/>
      <c r="EO2345" s="375" t="str">
        <f t="shared" si="289"/>
        <v>BOYACA_BRICEÑO</v>
      </c>
      <c r="EP2345" s="376"/>
      <c r="EQ2345" s="376"/>
      <c r="ER2345" s="377"/>
      <c r="ES2345" s="376"/>
      <c r="ET2345" s="376"/>
      <c r="EU2345" s="376"/>
    </row>
    <row r="2346" spans="1:151" s="171" customFormat="1" ht="45" x14ac:dyDescent="0.2">
      <c r="A2346" s="242">
        <v>40534</v>
      </c>
      <c r="B2346" s="222" t="s">
        <v>1719</v>
      </c>
      <c r="C2346" s="222" t="s">
        <v>4267</v>
      </c>
      <c r="D2346" s="430" t="s">
        <v>1721</v>
      </c>
      <c r="E2346" s="107" t="str">
        <f>VLOOKUP(B2346&amp;C2346,Divipola!$C$2:$F$1138,4,FALSE)</f>
        <v>19418</v>
      </c>
      <c r="F2346" s="333"/>
      <c r="G2346" s="221"/>
      <c r="H2346" s="157">
        <v>1</v>
      </c>
      <c r="I2346" s="157"/>
      <c r="J2346" s="157">
        <v>5</v>
      </c>
      <c r="K2346" s="157">
        <v>1</v>
      </c>
      <c r="L2346" s="157">
        <v>1</v>
      </c>
      <c r="M2346" s="157"/>
      <c r="N2346" s="157"/>
      <c r="O2346" s="157"/>
      <c r="P2346" s="157"/>
      <c r="Q2346" s="157"/>
      <c r="R2346" s="157"/>
      <c r="S2346" s="157"/>
      <c r="T2346" s="157"/>
      <c r="U2346" s="157"/>
      <c r="V2346" s="158"/>
      <c r="W2346" s="182"/>
      <c r="X2346" s="1"/>
      <c r="Y2346" s="78">
        <f t="shared" si="285"/>
        <v>0</v>
      </c>
      <c r="Z2346" s="78">
        <f t="shared" si="286"/>
        <v>0</v>
      </c>
      <c r="AA2346" s="78">
        <f t="shared" si="284"/>
        <v>0</v>
      </c>
      <c r="AB2346" s="78">
        <f t="shared" si="287"/>
        <v>0</v>
      </c>
      <c r="AC2346" s="78"/>
      <c r="AD2346" s="78">
        <v>0</v>
      </c>
      <c r="AE2346" s="80">
        <f t="shared" si="290"/>
        <v>0</v>
      </c>
      <c r="AF2346" s="82">
        <v>0</v>
      </c>
      <c r="AG2346" s="69"/>
      <c r="AH2346" s="84"/>
      <c r="AI2346" s="69" t="s">
        <v>2009</v>
      </c>
      <c r="AJ2346" s="276" t="s">
        <v>2010</v>
      </c>
      <c r="AK2346" s="65"/>
      <c r="AL2346" s="272" t="s">
        <v>311</v>
      </c>
      <c r="AM2346" s="173" t="s">
        <v>3850</v>
      </c>
      <c r="AN2346" s="159"/>
      <c r="AO2346" s="160"/>
      <c r="AP2346" s="161"/>
      <c r="AQ2346" s="160"/>
      <c r="AR2346" s="160"/>
      <c r="AS2346" s="160"/>
      <c r="AT2346" s="160"/>
      <c r="AU2346" s="160"/>
      <c r="AV2346" s="160"/>
      <c r="AW2346" s="160"/>
      <c r="AX2346" s="160"/>
      <c r="AY2346" s="160"/>
      <c r="AZ2346" s="160"/>
      <c r="BA2346" s="160"/>
      <c r="BB2346" s="160"/>
      <c r="BC2346" s="160"/>
      <c r="BD2346" s="160"/>
      <c r="BE2346" s="160"/>
      <c r="BF2346" s="160"/>
      <c r="BG2346" s="160"/>
      <c r="BH2346" s="160"/>
      <c r="BI2346" s="160"/>
      <c r="BJ2346" s="160"/>
      <c r="BK2346" s="160"/>
      <c r="BL2346" s="160"/>
      <c r="BM2346" s="160"/>
      <c r="BN2346" s="160"/>
      <c r="BO2346" s="160"/>
      <c r="BP2346" s="160"/>
      <c r="BQ2346" s="160"/>
      <c r="BR2346" s="160"/>
      <c r="BS2346" s="160"/>
      <c r="BT2346" s="160"/>
      <c r="BU2346" s="160"/>
      <c r="BV2346" s="160"/>
      <c r="BW2346" s="160"/>
      <c r="BX2346" s="160"/>
      <c r="BY2346" s="160"/>
      <c r="BZ2346" s="160"/>
      <c r="CA2346" s="160"/>
      <c r="CB2346" s="160"/>
      <c r="CC2346" s="160"/>
      <c r="CD2346" s="160"/>
      <c r="CE2346" s="160"/>
      <c r="CF2346" s="160"/>
      <c r="CG2346" s="160"/>
      <c r="CH2346" s="160"/>
      <c r="CI2346" s="160"/>
      <c r="CJ2346" s="160"/>
      <c r="CK2346" s="160"/>
      <c r="CL2346" s="160"/>
      <c r="CM2346" s="160"/>
      <c r="CN2346" s="160"/>
      <c r="CO2346" s="160"/>
      <c r="CP2346" s="162"/>
      <c r="CQ2346" s="163"/>
      <c r="CR2346" s="162"/>
      <c r="CS2346" s="163"/>
      <c r="CT2346" s="162"/>
      <c r="CU2346" s="163"/>
      <c r="CV2346" s="164">
        <f t="shared" si="288"/>
        <v>0</v>
      </c>
      <c r="CW2346" s="165"/>
      <c r="CX2346" s="166"/>
      <c r="CY2346" s="167"/>
      <c r="CZ2346" s="168"/>
      <c r="DA2346" s="169"/>
      <c r="DB2346" s="168"/>
      <c r="DC2346" s="165"/>
      <c r="DD2346" s="166"/>
      <c r="DE2346" s="71"/>
      <c r="DF2346" s="170"/>
      <c r="EO2346" s="375" t="str">
        <f t="shared" si="289"/>
        <v>CAUCA_LOPEZ</v>
      </c>
      <c r="EP2346" s="376"/>
      <c r="EQ2346" s="376"/>
      <c r="ER2346" s="377"/>
      <c r="ES2346" s="376"/>
      <c r="ET2346" s="376"/>
      <c r="EU2346" s="376"/>
    </row>
    <row r="2347" spans="1:151" s="171" customFormat="1" ht="25.5" x14ac:dyDescent="0.2">
      <c r="A2347" s="242">
        <v>40534</v>
      </c>
      <c r="B2347" s="222" t="s">
        <v>2245</v>
      </c>
      <c r="C2347" s="222" t="s">
        <v>170</v>
      </c>
      <c r="D2347" s="430" t="s">
        <v>2307</v>
      </c>
      <c r="E2347" s="107" t="str">
        <f>VLOOKUP(B2347&amp;C2347,Divipola!$C$2:$F$1138,4,FALSE)</f>
        <v>52260</v>
      </c>
      <c r="F2347" s="333"/>
      <c r="G2347" s="221"/>
      <c r="H2347" s="157"/>
      <c r="I2347" s="157"/>
      <c r="J2347" s="157">
        <f>619-339</f>
        <v>280</v>
      </c>
      <c r="K2347" s="157">
        <f>159-89</f>
        <v>70</v>
      </c>
      <c r="L2347" s="157">
        <f>46-19</f>
        <v>27</v>
      </c>
      <c r="M2347" s="157"/>
      <c r="N2347" s="157">
        <v>1</v>
      </c>
      <c r="O2347" s="157"/>
      <c r="P2347" s="157"/>
      <c r="Q2347" s="157"/>
      <c r="R2347" s="157"/>
      <c r="S2347" s="157"/>
      <c r="T2347" s="157"/>
      <c r="U2347" s="157"/>
      <c r="V2347" s="158"/>
      <c r="W2347" s="182"/>
      <c r="X2347" s="1"/>
      <c r="Y2347" s="78">
        <f t="shared" si="285"/>
        <v>0</v>
      </c>
      <c r="Z2347" s="78">
        <f t="shared" si="286"/>
        <v>0</v>
      </c>
      <c r="AA2347" s="78">
        <f t="shared" si="284"/>
        <v>0</v>
      </c>
      <c r="AB2347" s="78">
        <f t="shared" si="287"/>
        <v>0</v>
      </c>
      <c r="AC2347" s="78"/>
      <c r="AD2347" s="78">
        <v>0</v>
      </c>
      <c r="AE2347" s="80">
        <f t="shared" si="290"/>
        <v>0</v>
      </c>
      <c r="AF2347" s="82">
        <v>0</v>
      </c>
      <c r="AG2347" s="69">
        <v>40534</v>
      </c>
      <c r="AH2347" s="84"/>
      <c r="AI2347" s="69" t="s">
        <v>1984</v>
      </c>
      <c r="AJ2347" s="25" t="s">
        <v>1985</v>
      </c>
      <c r="AK2347" s="65"/>
      <c r="AL2347" s="176" t="s">
        <v>1257</v>
      </c>
      <c r="AM2347" s="173" t="s">
        <v>790</v>
      </c>
      <c r="AN2347" s="159"/>
      <c r="AO2347" s="160"/>
      <c r="AP2347" s="161"/>
      <c r="AQ2347" s="160"/>
      <c r="AR2347" s="160"/>
      <c r="AS2347" s="160"/>
      <c r="AT2347" s="160"/>
      <c r="AU2347" s="160"/>
      <c r="AV2347" s="160"/>
      <c r="AW2347" s="160"/>
      <c r="AX2347" s="160"/>
      <c r="AY2347" s="160"/>
      <c r="AZ2347" s="160"/>
      <c r="BA2347" s="160"/>
      <c r="BB2347" s="160"/>
      <c r="BC2347" s="160"/>
      <c r="BD2347" s="160"/>
      <c r="BE2347" s="160"/>
      <c r="BF2347" s="160"/>
      <c r="BG2347" s="160"/>
      <c r="BH2347" s="160"/>
      <c r="BI2347" s="160"/>
      <c r="BJ2347" s="160"/>
      <c r="BK2347" s="160"/>
      <c r="BL2347" s="160"/>
      <c r="BM2347" s="160"/>
      <c r="BN2347" s="160"/>
      <c r="BO2347" s="160"/>
      <c r="BP2347" s="160"/>
      <c r="BQ2347" s="160"/>
      <c r="BR2347" s="160"/>
      <c r="BS2347" s="160"/>
      <c r="BT2347" s="160"/>
      <c r="BU2347" s="160"/>
      <c r="BV2347" s="160"/>
      <c r="BW2347" s="160"/>
      <c r="BX2347" s="160"/>
      <c r="BY2347" s="160"/>
      <c r="BZ2347" s="160"/>
      <c r="CA2347" s="160"/>
      <c r="CB2347" s="160"/>
      <c r="CC2347" s="160"/>
      <c r="CD2347" s="160"/>
      <c r="CE2347" s="160"/>
      <c r="CF2347" s="160"/>
      <c r="CG2347" s="160"/>
      <c r="CH2347" s="160"/>
      <c r="CI2347" s="160"/>
      <c r="CJ2347" s="160"/>
      <c r="CK2347" s="160"/>
      <c r="CL2347" s="160"/>
      <c r="CM2347" s="160"/>
      <c r="CN2347" s="160"/>
      <c r="CO2347" s="160"/>
      <c r="CP2347" s="162"/>
      <c r="CQ2347" s="163"/>
      <c r="CR2347" s="162"/>
      <c r="CS2347" s="163"/>
      <c r="CT2347" s="162"/>
      <c r="CU2347" s="163"/>
      <c r="CV2347" s="164">
        <f t="shared" si="288"/>
        <v>0</v>
      </c>
      <c r="CW2347" s="165"/>
      <c r="CX2347" s="166"/>
      <c r="CY2347" s="167"/>
      <c r="CZ2347" s="168"/>
      <c r="DA2347" s="169"/>
      <c r="DB2347" s="168"/>
      <c r="DC2347" s="165"/>
      <c r="DD2347" s="166"/>
      <c r="DE2347" s="71"/>
      <c r="DF2347" s="170"/>
      <c r="EO2347" s="375" t="str">
        <f t="shared" si="289"/>
        <v>NARIÑO_EL TAMBO</v>
      </c>
      <c r="EP2347" s="376"/>
      <c r="EQ2347" s="376"/>
      <c r="ER2347" s="377"/>
      <c r="ES2347" s="376"/>
      <c r="ET2347" s="376"/>
      <c r="EU2347" s="376"/>
    </row>
    <row r="2348" spans="1:151" s="171" customFormat="1" ht="51" x14ac:dyDescent="0.2">
      <c r="A2348" s="242">
        <v>40534</v>
      </c>
      <c r="B2348" s="222" t="s">
        <v>1336</v>
      </c>
      <c r="C2348" s="222" t="s">
        <v>1734</v>
      </c>
      <c r="D2348" s="430" t="s">
        <v>2307</v>
      </c>
      <c r="E2348" s="107" t="str">
        <f>VLOOKUP(B2348&amp;C2348,Divipola!$C$2:$F$1138,4,FALSE)</f>
        <v>54405</v>
      </c>
      <c r="F2348" s="333"/>
      <c r="G2348" s="221"/>
      <c r="H2348" s="157"/>
      <c r="I2348" s="157"/>
      <c r="J2348" s="157">
        <v>400</v>
      </c>
      <c r="K2348" s="157">
        <v>80</v>
      </c>
      <c r="L2348" s="157"/>
      <c r="M2348" s="157">
        <v>80</v>
      </c>
      <c r="N2348" s="157"/>
      <c r="O2348" s="157"/>
      <c r="P2348" s="157"/>
      <c r="Q2348" s="157"/>
      <c r="R2348" s="157"/>
      <c r="S2348" s="157"/>
      <c r="T2348" s="157"/>
      <c r="U2348" s="157"/>
      <c r="V2348" s="158"/>
      <c r="W2348" s="182"/>
      <c r="X2348" s="1"/>
      <c r="Y2348" s="78">
        <f t="shared" si="285"/>
        <v>0</v>
      </c>
      <c r="Z2348" s="78">
        <f t="shared" si="286"/>
        <v>0</v>
      </c>
      <c r="AA2348" s="78">
        <f t="shared" si="284"/>
        <v>0</v>
      </c>
      <c r="AB2348" s="78">
        <f t="shared" si="287"/>
        <v>0</v>
      </c>
      <c r="AC2348" s="78"/>
      <c r="AD2348" s="78">
        <v>0</v>
      </c>
      <c r="AE2348" s="80">
        <f t="shared" si="290"/>
        <v>0</v>
      </c>
      <c r="AF2348" s="82">
        <v>0</v>
      </c>
      <c r="AG2348" s="69">
        <v>40529</v>
      </c>
      <c r="AH2348" s="84"/>
      <c r="AI2348" s="69" t="s">
        <v>2009</v>
      </c>
      <c r="AJ2348" s="276" t="s">
        <v>2010</v>
      </c>
      <c r="AK2348" s="65"/>
      <c r="AL2348" s="272" t="s">
        <v>311</v>
      </c>
      <c r="AM2348" s="173" t="s">
        <v>3853</v>
      </c>
      <c r="AN2348" s="159"/>
      <c r="AO2348" s="160"/>
      <c r="AP2348" s="161"/>
      <c r="AQ2348" s="160"/>
      <c r="AR2348" s="160"/>
      <c r="AS2348" s="160"/>
      <c r="AT2348" s="160"/>
      <c r="AU2348" s="160"/>
      <c r="AV2348" s="160"/>
      <c r="AW2348" s="160"/>
      <c r="AX2348" s="160"/>
      <c r="AY2348" s="160"/>
      <c r="AZ2348" s="160"/>
      <c r="BA2348" s="160"/>
      <c r="BB2348" s="160"/>
      <c r="BC2348" s="160"/>
      <c r="BD2348" s="160"/>
      <c r="BE2348" s="160"/>
      <c r="BF2348" s="160"/>
      <c r="BG2348" s="160"/>
      <c r="BH2348" s="160"/>
      <c r="BI2348" s="160"/>
      <c r="BJ2348" s="160"/>
      <c r="BK2348" s="160"/>
      <c r="BL2348" s="160"/>
      <c r="BM2348" s="160"/>
      <c r="BN2348" s="160"/>
      <c r="BO2348" s="160"/>
      <c r="BP2348" s="160"/>
      <c r="BQ2348" s="160"/>
      <c r="BR2348" s="160"/>
      <c r="BS2348" s="160"/>
      <c r="BT2348" s="160"/>
      <c r="BU2348" s="160"/>
      <c r="BV2348" s="160"/>
      <c r="BW2348" s="160"/>
      <c r="BX2348" s="160"/>
      <c r="BY2348" s="160"/>
      <c r="BZ2348" s="160"/>
      <c r="CA2348" s="160"/>
      <c r="CB2348" s="160"/>
      <c r="CC2348" s="160"/>
      <c r="CD2348" s="160"/>
      <c r="CE2348" s="160"/>
      <c r="CF2348" s="160"/>
      <c r="CG2348" s="160"/>
      <c r="CH2348" s="160"/>
      <c r="CI2348" s="160"/>
      <c r="CJ2348" s="160"/>
      <c r="CK2348" s="160"/>
      <c r="CL2348" s="160"/>
      <c r="CM2348" s="160"/>
      <c r="CN2348" s="160"/>
      <c r="CO2348" s="160"/>
      <c r="CP2348" s="162"/>
      <c r="CQ2348" s="163"/>
      <c r="CR2348" s="162"/>
      <c r="CS2348" s="163"/>
      <c r="CT2348" s="162"/>
      <c r="CU2348" s="163"/>
      <c r="CV2348" s="164">
        <f t="shared" si="288"/>
        <v>0</v>
      </c>
      <c r="CW2348" s="165"/>
      <c r="CX2348" s="166"/>
      <c r="CY2348" s="167"/>
      <c r="CZ2348" s="168"/>
      <c r="DA2348" s="169"/>
      <c r="DB2348" s="168"/>
      <c r="DC2348" s="165"/>
      <c r="DD2348" s="166"/>
      <c r="DE2348" s="71"/>
      <c r="DF2348" s="170"/>
      <c r="EO2348" s="375" t="str">
        <f t="shared" si="289"/>
        <v>NORTE DE SANTANDER_LOS PATIOS</v>
      </c>
      <c r="EP2348" s="376"/>
      <c r="EQ2348" s="376"/>
      <c r="ER2348" s="377"/>
      <c r="ES2348" s="376"/>
      <c r="ET2348" s="376"/>
      <c r="EU2348" s="376"/>
    </row>
    <row r="2349" spans="1:151" s="171" customFormat="1" ht="25.5" x14ac:dyDescent="0.2">
      <c r="A2349" s="242">
        <v>40534</v>
      </c>
      <c r="B2349" s="222" t="s">
        <v>2014</v>
      </c>
      <c r="C2349" s="222" t="s">
        <v>1033</v>
      </c>
      <c r="D2349" s="430" t="s">
        <v>2307</v>
      </c>
      <c r="E2349" s="107" t="str">
        <f>VLOOKUP(B2349&amp;C2349,Divipola!$C$2:$F$1138,4,FALSE)</f>
        <v>63130</v>
      </c>
      <c r="F2349" s="333"/>
      <c r="G2349" s="221"/>
      <c r="H2349" s="157"/>
      <c r="I2349" s="157"/>
      <c r="J2349" s="157">
        <v>5</v>
      </c>
      <c r="K2349" s="157">
        <v>1</v>
      </c>
      <c r="L2349" s="157"/>
      <c r="M2349" s="157">
        <v>1</v>
      </c>
      <c r="N2349" s="157"/>
      <c r="O2349" s="157"/>
      <c r="P2349" s="157"/>
      <c r="Q2349" s="157"/>
      <c r="R2349" s="157"/>
      <c r="S2349" s="157"/>
      <c r="T2349" s="157"/>
      <c r="U2349" s="157"/>
      <c r="V2349" s="158"/>
      <c r="W2349" s="182"/>
      <c r="X2349" s="1"/>
      <c r="Y2349" s="78">
        <f t="shared" si="285"/>
        <v>0</v>
      </c>
      <c r="Z2349" s="78">
        <f t="shared" si="286"/>
        <v>0</v>
      </c>
      <c r="AA2349" s="78">
        <f t="shared" si="284"/>
        <v>0</v>
      </c>
      <c r="AB2349" s="78">
        <f t="shared" si="287"/>
        <v>0</v>
      </c>
      <c r="AC2349" s="78"/>
      <c r="AD2349" s="78">
        <v>0</v>
      </c>
      <c r="AE2349" s="80">
        <f t="shared" si="290"/>
        <v>0</v>
      </c>
      <c r="AF2349" s="82">
        <v>0</v>
      </c>
      <c r="AG2349" s="69">
        <v>40540</v>
      </c>
      <c r="AH2349" s="84"/>
      <c r="AI2349" s="69" t="s">
        <v>1984</v>
      </c>
      <c r="AJ2349" s="25" t="s">
        <v>1985</v>
      </c>
      <c r="AK2349" s="65"/>
      <c r="AL2349" s="176" t="s">
        <v>1257</v>
      </c>
      <c r="AM2349" s="173" t="s">
        <v>3849</v>
      </c>
      <c r="AN2349" s="159"/>
      <c r="AO2349" s="160"/>
      <c r="AP2349" s="161"/>
      <c r="AQ2349" s="160"/>
      <c r="AR2349" s="160"/>
      <c r="AS2349" s="160"/>
      <c r="AT2349" s="160"/>
      <c r="AU2349" s="160"/>
      <c r="AV2349" s="160"/>
      <c r="AW2349" s="160"/>
      <c r="AX2349" s="160"/>
      <c r="AY2349" s="160"/>
      <c r="AZ2349" s="160"/>
      <c r="BA2349" s="160"/>
      <c r="BB2349" s="160"/>
      <c r="BC2349" s="160"/>
      <c r="BD2349" s="160"/>
      <c r="BE2349" s="160"/>
      <c r="BF2349" s="160"/>
      <c r="BG2349" s="160"/>
      <c r="BH2349" s="160"/>
      <c r="BI2349" s="160"/>
      <c r="BJ2349" s="160"/>
      <c r="BK2349" s="160"/>
      <c r="BL2349" s="160"/>
      <c r="BM2349" s="160"/>
      <c r="BN2349" s="160"/>
      <c r="BO2349" s="160"/>
      <c r="BP2349" s="160"/>
      <c r="BQ2349" s="160"/>
      <c r="BR2349" s="160"/>
      <c r="BS2349" s="160"/>
      <c r="BT2349" s="160"/>
      <c r="BU2349" s="160"/>
      <c r="BV2349" s="160"/>
      <c r="BW2349" s="160"/>
      <c r="BX2349" s="160"/>
      <c r="BY2349" s="160"/>
      <c r="BZ2349" s="160"/>
      <c r="CA2349" s="160"/>
      <c r="CB2349" s="160"/>
      <c r="CC2349" s="160"/>
      <c r="CD2349" s="160"/>
      <c r="CE2349" s="160"/>
      <c r="CF2349" s="160"/>
      <c r="CG2349" s="160"/>
      <c r="CH2349" s="160"/>
      <c r="CI2349" s="160"/>
      <c r="CJ2349" s="160"/>
      <c r="CK2349" s="160"/>
      <c r="CL2349" s="160"/>
      <c r="CM2349" s="160"/>
      <c r="CN2349" s="160"/>
      <c r="CO2349" s="160"/>
      <c r="CP2349" s="162"/>
      <c r="CQ2349" s="163"/>
      <c r="CR2349" s="162"/>
      <c r="CS2349" s="163"/>
      <c r="CT2349" s="162"/>
      <c r="CU2349" s="163"/>
      <c r="CV2349" s="164">
        <f t="shared" si="288"/>
        <v>0</v>
      </c>
      <c r="CW2349" s="165"/>
      <c r="CX2349" s="166"/>
      <c r="CY2349" s="167"/>
      <c r="CZ2349" s="168"/>
      <c r="DA2349" s="169"/>
      <c r="DB2349" s="168"/>
      <c r="DC2349" s="165"/>
      <c r="DD2349" s="166"/>
      <c r="DE2349" s="71"/>
      <c r="DF2349" s="170"/>
      <c r="EO2349" s="375" t="str">
        <f t="shared" si="289"/>
        <v>QUINDIO_CALARCA</v>
      </c>
      <c r="EP2349" s="376"/>
      <c r="EQ2349" s="376"/>
      <c r="ER2349" s="377"/>
      <c r="ES2349" s="376"/>
      <c r="ET2349" s="376"/>
      <c r="EU2349" s="376"/>
    </row>
    <row r="2350" spans="1:151" s="171" customFormat="1" ht="38.25" x14ac:dyDescent="0.2">
      <c r="A2350" s="242">
        <v>40534</v>
      </c>
      <c r="B2350" s="222" t="s">
        <v>2012</v>
      </c>
      <c r="C2350" s="222" t="s">
        <v>313</v>
      </c>
      <c r="D2350" s="430" t="s">
        <v>2307</v>
      </c>
      <c r="E2350" s="107" t="str">
        <f>VLOOKUP(B2350&amp;C2350,Divipola!$C$2:$F$1138,4,FALSE)</f>
        <v>66572</v>
      </c>
      <c r="F2350" s="333"/>
      <c r="G2350" s="221"/>
      <c r="H2350" s="157"/>
      <c r="I2350" s="157"/>
      <c r="J2350" s="157">
        <v>225</v>
      </c>
      <c r="K2350" s="157">
        <v>45</v>
      </c>
      <c r="L2350" s="157"/>
      <c r="M2350" s="157"/>
      <c r="N2350" s="157"/>
      <c r="O2350" s="157"/>
      <c r="P2350" s="157"/>
      <c r="Q2350" s="157"/>
      <c r="R2350" s="157"/>
      <c r="S2350" s="157"/>
      <c r="T2350" s="157"/>
      <c r="U2350" s="157"/>
      <c r="V2350" s="158"/>
      <c r="W2350" s="182"/>
      <c r="X2350" s="1"/>
      <c r="Y2350" s="78">
        <f t="shared" si="285"/>
        <v>0</v>
      </c>
      <c r="Z2350" s="78">
        <f t="shared" si="286"/>
        <v>0</v>
      </c>
      <c r="AA2350" s="78">
        <f t="shared" si="284"/>
        <v>0</v>
      </c>
      <c r="AB2350" s="78">
        <f t="shared" si="287"/>
        <v>0</v>
      </c>
      <c r="AC2350" s="78"/>
      <c r="AD2350" s="78">
        <v>0</v>
      </c>
      <c r="AE2350" s="80">
        <f t="shared" si="290"/>
        <v>0</v>
      </c>
      <c r="AF2350" s="82">
        <v>0</v>
      </c>
      <c r="AG2350" s="69">
        <v>40624</v>
      </c>
      <c r="AH2350" s="84"/>
      <c r="AI2350" s="69" t="s">
        <v>1984</v>
      </c>
      <c r="AJ2350" s="25" t="s">
        <v>1985</v>
      </c>
      <c r="AK2350" s="65"/>
      <c r="AL2350" s="176" t="s">
        <v>1257</v>
      </c>
      <c r="AM2350" s="173" t="s">
        <v>457</v>
      </c>
      <c r="AN2350" s="159"/>
      <c r="AO2350" s="160"/>
      <c r="AP2350" s="161"/>
      <c r="AQ2350" s="160"/>
      <c r="AR2350" s="160"/>
      <c r="AS2350" s="160"/>
      <c r="AT2350" s="160"/>
      <c r="AU2350" s="160"/>
      <c r="AV2350" s="160"/>
      <c r="AW2350" s="160"/>
      <c r="AX2350" s="160"/>
      <c r="AY2350" s="160"/>
      <c r="AZ2350" s="160"/>
      <c r="BA2350" s="160"/>
      <c r="BB2350" s="160"/>
      <c r="BC2350" s="160"/>
      <c r="BD2350" s="160"/>
      <c r="BE2350" s="160"/>
      <c r="BF2350" s="160"/>
      <c r="BG2350" s="160"/>
      <c r="BH2350" s="160"/>
      <c r="BI2350" s="160"/>
      <c r="BJ2350" s="160"/>
      <c r="BK2350" s="160"/>
      <c r="BL2350" s="160"/>
      <c r="BM2350" s="160"/>
      <c r="BN2350" s="160"/>
      <c r="BO2350" s="160"/>
      <c r="BP2350" s="160"/>
      <c r="BQ2350" s="160"/>
      <c r="BR2350" s="160"/>
      <c r="BS2350" s="160"/>
      <c r="BT2350" s="160"/>
      <c r="BU2350" s="160"/>
      <c r="BV2350" s="160"/>
      <c r="BW2350" s="160"/>
      <c r="BX2350" s="160"/>
      <c r="BY2350" s="160"/>
      <c r="BZ2350" s="160"/>
      <c r="CA2350" s="160"/>
      <c r="CB2350" s="160"/>
      <c r="CC2350" s="160"/>
      <c r="CD2350" s="160"/>
      <c r="CE2350" s="160"/>
      <c r="CF2350" s="160"/>
      <c r="CG2350" s="160"/>
      <c r="CH2350" s="160"/>
      <c r="CI2350" s="160"/>
      <c r="CJ2350" s="160"/>
      <c r="CK2350" s="160"/>
      <c r="CL2350" s="160"/>
      <c r="CM2350" s="160"/>
      <c r="CN2350" s="160"/>
      <c r="CO2350" s="160"/>
      <c r="CP2350" s="162"/>
      <c r="CQ2350" s="163"/>
      <c r="CR2350" s="162"/>
      <c r="CS2350" s="163"/>
      <c r="CT2350" s="162"/>
      <c r="CU2350" s="163"/>
      <c r="CV2350" s="164">
        <f t="shared" si="288"/>
        <v>0</v>
      </c>
      <c r="CW2350" s="165"/>
      <c r="CX2350" s="166"/>
      <c r="CY2350" s="167"/>
      <c r="CZ2350" s="168"/>
      <c r="DA2350" s="169"/>
      <c r="DB2350" s="168"/>
      <c r="DC2350" s="165"/>
      <c r="DD2350" s="166"/>
      <c r="DE2350" s="71"/>
      <c r="DF2350" s="170"/>
      <c r="EO2350" s="375" t="str">
        <f t="shared" si="289"/>
        <v>RISARALDA_PUEBLO RICO</v>
      </c>
      <c r="EP2350" s="376"/>
      <c r="EQ2350" s="376"/>
      <c r="ER2350" s="377"/>
      <c r="ES2350" s="376"/>
      <c r="ET2350" s="376"/>
      <c r="EU2350" s="376"/>
    </row>
    <row r="2351" spans="1:151" s="171" customFormat="1" ht="45" x14ac:dyDescent="0.2">
      <c r="A2351" s="242">
        <v>40535</v>
      </c>
      <c r="B2351" s="222" t="s">
        <v>1719</v>
      </c>
      <c r="C2351" s="222" t="s">
        <v>1475</v>
      </c>
      <c r="D2351" s="430" t="s">
        <v>2331</v>
      </c>
      <c r="E2351" s="107" t="str">
        <f>VLOOKUP(B2351&amp;C2351,Divipola!$C$2:$F$1138,4,FALSE)</f>
        <v>19212</v>
      </c>
      <c r="F2351" s="333"/>
      <c r="G2351" s="221"/>
      <c r="H2351" s="157"/>
      <c r="I2351" s="157"/>
      <c r="J2351" s="157">
        <v>235</v>
      </c>
      <c r="K2351" s="157">
        <v>47</v>
      </c>
      <c r="L2351" s="157"/>
      <c r="M2351" s="157">
        <f>250-183-35</f>
        <v>32</v>
      </c>
      <c r="N2351" s="157"/>
      <c r="O2351" s="157"/>
      <c r="P2351" s="157"/>
      <c r="Q2351" s="157"/>
      <c r="R2351" s="157"/>
      <c r="S2351" s="157"/>
      <c r="T2351" s="157"/>
      <c r="U2351" s="157"/>
      <c r="V2351" s="158"/>
      <c r="W2351" s="182"/>
      <c r="X2351" s="1"/>
      <c r="Y2351" s="78">
        <f t="shared" si="285"/>
        <v>0</v>
      </c>
      <c r="Z2351" s="78">
        <f t="shared" si="286"/>
        <v>0</v>
      </c>
      <c r="AA2351" s="78">
        <f t="shared" si="284"/>
        <v>0</v>
      </c>
      <c r="AB2351" s="78">
        <f t="shared" si="287"/>
        <v>0</v>
      </c>
      <c r="AC2351" s="78"/>
      <c r="AD2351" s="78">
        <v>0</v>
      </c>
      <c r="AE2351" s="80">
        <f t="shared" si="290"/>
        <v>0</v>
      </c>
      <c r="AF2351" s="82">
        <v>0</v>
      </c>
      <c r="AG2351" s="69"/>
      <c r="AH2351" s="84"/>
      <c r="AI2351" s="69" t="s">
        <v>2009</v>
      </c>
      <c r="AJ2351" s="276" t="s">
        <v>2010</v>
      </c>
      <c r="AK2351" s="65"/>
      <c r="AL2351" s="272" t="s">
        <v>311</v>
      </c>
      <c r="AM2351" s="173" t="s">
        <v>3855</v>
      </c>
      <c r="AN2351" s="159"/>
      <c r="AO2351" s="160"/>
      <c r="AP2351" s="161"/>
      <c r="AQ2351" s="160"/>
      <c r="AR2351" s="160"/>
      <c r="AS2351" s="160"/>
      <c r="AT2351" s="160"/>
      <c r="AU2351" s="160"/>
      <c r="AV2351" s="160"/>
      <c r="AW2351" s="160"/>
      <c r="AX2351" s="160"/>
      <c r="AY2351" s="160"/>
      <c r="AZ2351" s="160"/>
      <c r="BA2351" s="160"/>
      <c r="BB2351" s="160"/>
      <c r="BC2351" s="160"/>
      <c r="BD2351" s="160"/>
      <c r="BE2351" s="160"/>
      <c r="BF2351" s="160"/>
      <c r="BG2351" s="160"/>
      <c r="BH2351" s="160"/>
      <c r="BI2351" s="160"/>
      <c r="BJ2351" s="160"/>
      <c r="BK2351" s="160"/>
      <c r="BL2351" s="160"/>
      <c r="BM2351" s="160"/>
      <c r="BN2351" s="160"/>
      <c r="BO2351" s="160"/>
      <c r="BP2351" s="160"/>
      <c r="BQ2351" s="160"/>
      <c r="BR2351" s="160"/>
      <c r="BS2351" s="160"/>
      <c r="BT2351" s="160"/>
      <c r="BU2351" s="160"/>
      <c r="BV2351" s="160"/>
      <c r="BW2351" s="160"/>
      <c r="BX2351" s="160"/>
      <c r="BY2351" s="160"/>
      <c r="BZ2351" s="160"/>
      <c r="CA2351" s="160"/>
      <c r="CB2351" s="160"/>
      <c r="CC2351" s="160"/>
      <c r="CD2351" s="160"/>
      <c r="CE2351" s="160"/>
      <c r="CF2351" s="160"/>
      <c r="CG2351" s="160"/>
      <c r="CH2351" s="160"/>
      <c r="CI2351" s="160"/>
      <c r="CJ2351" s="160"/>
      <c r="CK2351" s="160"/>
      <c r="CL2351" s="160"/>
      <c r="CM2351" s="160"/>
      <c r="CN2351" s="160"/>
      <c r="CO2351" s="160"/>
      <c r="CP2351" s="162"/>
      <c r="CQ2351" s="163"/>
      <c r="CR2351" s="162"/>
      <c r="CS2351" s="163"/>
      <c r="CT2351" s="162"/>
      <c r="CU2351" s="163"/>
      <c r="CV2351" s="164">
        <f t="shared" si="288"/>
        <v>0</v>
      </c>
      <c r="CW2351" s="165"/>
      <c r="CX2351" s="166"/>
      <c r="CY2351" s="167"/>
      <c r="CZ2351" s="168"/>
      <c r="DA2351" s="169"/>
      <c r="DB2351" s="168"/>
      <c r="DC2351" s="165"/>
      <c r="DD2351" s="166"/>
      <c r="DE2351" s="71"/>
      <c r="DF2351" s="170"/>
      <c r="EO2351" s="375" t="str">
        <f t="shared" si="289"/>
        <v>CAUCA_CORINTO</v>
      </c>
      <c r="EP2351" s="376"/>
      <c r="EQ2351" s="376"/>
      <c r="ER2351" s="377"/>
      <c r="ES2351" s="376"/>
      <c r="ET2351" s="376"/>
      <c r="EU2351" s="376"/>
    </row>
    <row r="2352" spans="1:151" s="171" customFormat="1" ht="36" x14ac:dyDescent="0.2">
      <c r="A2352" s="242">
        <v>40535</v>
      </c>
      <c r="B2352" s="222" t="s">
        <v>2245</v>
      </c>
      <c r="C2352" s="222" t="s">
        <v>2919</v>
      </c>
      <c r="D2352" s="430" t="s">
        <v>2307</v>
      </c>
      <c r="E2352" s="107" t="str">
        <f>VLOOKUP(B2352&amp;C2352,Divipola!$C$2:$F$1138,4,FALSE)</f>
        <v>52051</v>
      </c>
      <c r="F2352" s="333"/>
      <c r="G2352" s="221"/>
      <c r="H2352" s="157"/>
      <c r="I2352" s="157"/>
      <c r="J2352" s="157">
        <f>1148-193-320</f>
        <v>635</v>
      </c>
      <c r="K2352" s="157">
        <f>372-46-78</f>
        <v>248</v>
      </c>
      <c r="L2352" s="157">
        <v>5</v>
      </c>
      <c r="M2352" s="157">
        <f>336-47</f>
        <v>289</v>
      </c>
      <c r="N2352" s="157"/>
      <c r="O2352" s="157"/>
      <c r="P2352" s="157"/>
      <c r="Q2352" s="157"/>
      <c r="R2352" s="157"/>
      <c r="S2352" s="157"/>
      <c r="T2352" s="157">
        <v>3</v>
      </c>
      <c r="U2352" s="157"/>
      <c r="V2352" s="158"/>
      <c r="W2352" s="182"/>
      <c r="X2352" s="1"/>
      <c r="Y2352" s="78">
        <f t="shared" si="285"/>
        <v>0</v>
      </c>
      <c r="Z2352" s="78">
        <f t="shared" si="286"/>
        <v>0</v>
      </c>
      <c r="AA2352" s="78">
        <f t="shared" si="284"/>
        <v>0</v>
      </c>
      <c r="AB2352" s="78">
        <f t="shared" si="287"/>
        <v>0</v>
      </c>
      <c r="AC2352" s="78"/>
      <c r="AD2352" s="78">
        <v>0</v>
      </c>
      <c r="AE2352" s="80">
        <f t="shared" si="290"/>
        <v>0</v>
      </c>
      <c r="AF2352" s="82">
        <v>0</v>
      </c>
      <c r="AG2352" s="69">
        <v>40535</v>
      </c>
      <c r="AH2352" s="84"/>
      <c r="AI2352" s="69" t="s">
        <v>1984</v>
      </c>
      <c r="AJ2352" s="25" t="s">
        <v>1985</v>
      </c>
      <c r="AK2352" s="65"/>
      <c r="AL2352" s="176" t="s">
        <v>1257</v>
      </c>
      <c r="AM2352" s="173" t="s">
        <v>816</v>
      </c>
      <c r="AN2352" s="159"/>
      <c r="AO2352" s="160"/>
      <c r="AP2352" s="161"/>
      <c r="AQ2352" s="160"/>
      <c r="AR2352" s="160"/>
      <c r="AS2352" s="160"/>
      <c r="AT2352" s="160"/>
      <c r="AU2352" s="160"/>
      <c r="AV2352" s="160"/>
      <c r="AW2352" s="160"/>
      <c r="AX2352" s="160"/>
      <c r="AY2352" s="160"/>
      <c r="AZ2352" s="160"/>
      <c r="BA2352" s="160"/>
      <c r="BB2352" s="160"/>
      <c r="BC2352" s="160"/>
      <c r="BD2352" s="160"/>
      <c r="BE2352" s="160"/>
      <c r="BF2352" s="160"/>
      <c r="BG2352" s="160"/>
      <c r="BH2352" s="160"/>
      <c r="BI2352" s="160"/>
      <c r="BJ2352" s="160"/>
      <c r="BK2352" s="160"/>
      <c r="BL2352" s="160"/>
      <c r="BM2352" s="160"/>
      <c r="BN2352" s="160"/>
      <c r="BO2352" s="160"/>
      <c r="BP2352" s="160"/>
      <c r="BQ2352" s="160"/>
      <c r="BR2352" s="160"/>
      <c r="BS2352" s="160"/>
      <c r="BT2352" s="160"/>
      <c r="BU2352" s="160"/>
      <c r="BV2352" s="160"/>
      <c r="BW2352" s="160"/>
      <c r="BX2352" s="160"/>
      <c r="BY2352" s="160"/>
      <c r="BZ2352" s="160"/>
      <c r="CA2352" s="160"/>
      <c r="CB2352" s="160"/>
      <c r="CC2352" s="160"/>
      <c r="CD2352" s="160"/>
      <c r="CE2352" s="160"/>
      <c r="CF2352" s="160"/>
      <c r="CG2352" s="160"/>
      <c r="CH2352" s="160"/>
      <c r="CI2352" s="160"/>
      <c r="CJ2352" s="160"/>
      <c r="CK2352" s="160"/>
      <c r="CL2352" s="160"/>
      <c r="CM2352" s="160"/>
      <c r="CN2352" s="160"/>
      <c r="CO2352" s="160"/>
      <c r="CP2352" s="162"/>
      <c r="CQ2352" s="163"/>
      <c r="CR2352" s="162"/>
      <c r="CS2352" s="163"/>
      <c r="CT2352" s="162"/>
      <c r="CU2352" s="163"/>
      <c r="CV2352" s="164">
        <f t="shared" si="288"/>
        <v>0</v>
      </c>
      <c r="CW2352" s="165"/>
      <c r="CX2352" s="166"/>
      <c r="CY2352" s="167"/>
      <c r="CZ2352" s="168"/>
      <c r="DA2352" s="169"/>
      <c r="DB2352" s="168"/>
      <c r="DC2352" s="165"/>
      <c r="DD2352" s="166"/>
      <c r="DE2352" s="71"/>
      <c r="DF2352" s="170"/>
      <c r="EO2352" s="375" t="str">
        <f t="shared" si="289"/>
        <v>NARIÑO_ARBOLEDA</v>
      </c>
      <c r="EP2352" s="376"/>
      <c r="EQ2352" s="376"/>
      <c r="ER2352" s="377"/>
      <c r="ES2352" s="376"/>
      <c r="ET2352" s="376"/>
      <c r="EU2352" s="376"/>
    </row>
    <row r="2353" spans="1:151" s="171" customFormat="1" ht="48" x14ac:dyDescent="0.2">
      <c r="A2353" s="242">
        <v>40535</v>
      </c>
      <c r="B2353" s="222" t="s">
        <v>2245</v>
      </c>
      <c r="C2353" s="222" t="s">
        <v>2515</v>
      </c>
      <c r="D2353" s="430" t="s">
        <v>2307</v>
      </c>
      <c r="E2353" s="107" t="str">
        <f>VLOOKUP(B2353&amp;C2353,Divipola!$C$2:$F$1138,4,FALSE)</f>
        <v>52227</v>
      </c>
      <c r="F2353" s="333"/>
      <c r="G2353" s="221"/>
      <c r="H2353" s="157"/>
      <c r="I2353" s="157"/>
      <c r="J2353" s="157">
        <v>286</v>
      </c>
      <c r="K2353" s="157">
        <v>68</v>
      </c>
      <c r="L2353" s="157">
        <v>12</v>
      </c>
      <c r="M2353" s="157">
        <v>4</v>
      </c>
      <c r="N2353" s="157">
        <v>1</v>
      </c>
      <c r="O2353" s="157"/>
      <c r="P2353" s="157"/>
      <c r="Q2353" s="157">
        <v>1</v>
      </c>
      <c r="R2353" s="157"/>
      <c r="S2353" s="157"/>
      <c r="T2353" s="157">
        <v>1</v>
      </c>
      <c r="U2353" s="157"/>
      <c r="V2353" s="158"/>
      <c r="W2353" s="182"/>
      <c r="X2353" s="1"/>
      <c r="Y2353" s="78">
        <f t="shared" si="285"/>
        <v>0</v>
      </c>
      <c r="Z2353" s="78">
        <f t="shared" si="286"/>
        <v>0</v>
      </c>
      <c r="AA2353" s="78">
        <f t="shared" si="284"/>
        <v>0</v>
      </c>
      <c r="AB2353" s="78">
        <f t="shared" si="287"/>
        <v>0</v>
      </c>
      <c r="AC2353" s="78"/>
      <c r="AD2353" s="78">
        <v>0</v>
      </c>
      <c r="AE2353" s="80">
        <f t="shared" si="290"/>
        <v>0</v>
      </c>
      <c r="AF2353" s="82">
        <v>0</v>
      </c>
      <c r="AG2353" s="69">
        <v>40535</v>
      </c>
      <c r="AH2353" s="84"/>
      <c r="AI2353" s="69" t="s">
        <v>1984</v>
      </c>
      <c r="AJ2353" s="25" t="s">
        <v>1985</v>
      </c>
      <c r="AK2353" s="65"/>
      <c r="AL2353" s="176" t="s">
        <v>1257</v>
      </c>
      <c r="AM2353" s="173" t="s">
        <v>817</v>
      </c>
      <c r="AN2353" s="159"/>
      <c r="AO2353" s="160"/>
      <c r="AP2353" s="161"/>
      <c r="AQ2353" s="160"/>
      <c r="AR2353" s="160"/>
      <c r="AS2353" s="160"/>
      <c r="AT2353" s="160"/>
      <c r="AU2353" s="160"/>
      <c r="AV2353" s="160"/>
      <c r="AW2353" s="160"/>
      <c r="AX2353" s="160"/>
      <c r="AY2353" s="160"/>
      <c r="AZ2353" s="160"/>
      <c r="BA2353" s="160"/>
      <c r="BB2353" s="160"/>
      <c r="BC2353" s="160"/>
      <c r="BD2353" s="160"/>
      <c r="BE2353" s="160"/>
      <c r="BF2353" s="160"/>
      <c r="BG2353" s="160"/>
      <c r="BH2353" s="160"/>
      <c r="BI2353" s="160"/>
      <c r="BJ2353" s="160"/>
      <c r="BK2353" s="160"/>
      <c r="BL2353" s="160"/>
      <c r="BM2353" s="160"/>
      <c r="BN2353" s="160"/>
      <c r="BO2353" s="160"/>
      <c r="BP2353" s="160"/>
      <c r="BQ2353" s="160"/>
      <c r="BR2353" s="160"/>
      <c r="BS2353" s="160"/>
      <c r="BT2353" s="160"/>
      <c r="BU2353" s="160"/>
      <c r="BV2353" s="160"/>
      <c r="BW2353" s="160"/>
      <c r="BX2353" s="160"/>
      <c r="BY2353" s="160"/>
      <c r="BZ2353" s="160"/>
      <c r="CA2353" s="160"/>
      <c r="CB2353" s="160"/>
      <c r="CC2353" s="160"/>
      <c r="CD2353" s="160"/>
      <c r="CE2353" s="160"/>
      <c r="CF2353" s="160"/>
      <c r="CG2353" s="160"/>
      <c r="CH2353" s="160"/>
      <c r="CI2353" s="160"/>
      <c r="CJ2353" s="160"/>
      <c r="CK2353" s="160"/>
      <c r="CL2353" s="160"/>
      <c r="CM2353" s="160"/>
      <c r="CN2353" s="160"/>
      <c r="CO2353" s="160"/>
      <c r="CP2353" s="162"/>
      <c r="CQ2353" s="163"/>
      <c r="CR2353" s="162"/>
      <c r="CS2353" s="163"/>
      <c r="CT2353" s="162"/>
      <c r="CU2353" s="163"/>
      <c r="CV2353" s="164">
        <f t="shared" si="288"/>
        <v>0</v>
      </c>
      <c r="CW2353" s="165"/>
      <c r="CX2353" s="166"/>
      <c r="CY2353" s="167"/>
      <c r="CZ2353" s="168"/>
      <c r="DA2353" s="169"/>
      <c r="DB2353" s="168"/>
      <c r="DC2353" s="165"/>
      <c r="DD2353" s="166"/>
      <c r="DE2353" s="71"/>
      <c r="DF2353" s="170"/>
      <c r="EO2353" s="375" t="str">
        <f t="shared" si="289"/>
        <v>NARIÑO_CUMBAL</v>
      </c>
      <c r="EP2353" s="376"/>
      <c r="EQ2353" s="376"/>
      <c r="ER2353" s="377"/>
      <c r="ES2353" s="376"/>
      <c r="ET2353" s="376"/>
      <c r="EU2353" s="376"/>
    </row>
    <row r="2354" spans="1:151" s="171" customFormat="1" ht="25.5" x14ac:dyDescent="0.2">
      <c r="A2354" s="242">
        <v>40535</v>
      </c>
      <c r="B2354" s="222" t="s">
        <v>2245</v>
      </c>
      <c r="C2354" s="222" t="s">
        <v>554</v>
      </c>
      <c r="D2354" s="430" t="s">
        <v>2307</v>
      </c>
      <c r="E2354" s="107" t="str">
        <f>VLOOKUP(B2354&amp;C2354,Divipola!$C$2:$F$1138,4,FALSE)</f>
        <v>52378</v>
      </c>
      <c r="F2354" s="333"/>
      <c r="G2354" s="221">
        <v>13</v>
      </c>
      <c r="H2354" s="157">
        <v>35</v>
      </c>
      <c r="I2354" s="157"/>
      <c r="J2354" s="157">
        <v>25</v>
      </c>
      <c r="K2354" s="157">
        <v>5</v>
      </c>
      <c r="L2354" s="157">
        <v>5</v>
      </c>
      <c r="M2354" s="157"/>
      <c r="N2354" s="157"/>
      <c r="O2354" s="157"/>
      <c r="P2354" s="157"/>
      <c r="Q2354" s="157"/>
      <c r="R2354" s="157"/>
      <c r="S2354" s="157"/>
      <c r="T2354" s="157"/>
      <c r="U2354" s="157"/>
      <c r="V2354" s="158"/>
      <c r="W2354" s="182"/>
      <c r="X2354" s="1"/>
      <c r="Y2354" s="78">
        <f t="shared" si="285"/>
        <v>0</v>
      </c>
      <c r="Z2354" s="78">
        <f t="shared" si="286"/>
        <v>0</v>
      </c>
      <c r="AA2354" s="78">
        <f t="shared" si="284"/>
        <v>0</v>
      </c>
      <c r="AB2354" s="78">
        <f t="shared" si="287"/>
        <v>0</v>
      </c>
      <c r="AC2354" s="78"/>
      <c r="AD2354" s="78">
        <v>0</v>
      </c>
      <c r="AE2354" s="80">
        <f t="shared" si="290"/>
        <v>0</v>
      </c>
      <c r="AF2354" s="82">
        <v>0</v>
      </c>
      <c r="AG2354" s="69">
        <v>40535</v>
      </c>
      <c r="AH2354" s="84"/>
      <c r="AI2354" s="69" t="s">
        <v>1984</v>
      </c>
      <c r="AJ2354" s="25" t="s">
        <v>1985</v>
      </c>
      <c r="AK2354" s="65"/>
      <c r="AL2354" s="176" t="s">
        <v>1257</v>
      </c>
      <c r="AM2354" s="173" t="s">
        <v>3856</v>
      </c>
      <c r="AN2354" s="159"/>
      <c r="AO2354" s="160"/>
      <c r="AP2354" s="161"/>
      <c r="AQ2354" s="160"/>
      <c r="AR2354" s="160"/>
      <c r="AS2354" s="160"/>
      <c r="AT2354" s="160"/>
      <c r="AU2354" s="160"/>
      <c r="AV2354" s="160"/>
      <c r="AW2354" s="160"/>
      <c r="AX2354" s="160"/>
      <c r="AY2354" s="160"/>
      <c r="AZ2354" s="160"/>
      <c r="BA2354" s="160"/>
      <c r="BB2354" s="160"/>
      <c r="BC2354" s="160"/>
      <c r="BD2354" s="160"/>
      <c r="BE2354" s="160"/>
      <c r="BF2354" s="160"/>
      <c r="BG2354" s="160"/>
      <c r="BH2354" s="160"/>
      <c r="BI2354" s="160"/>
      <c r="BJ2354" s="160"/>
      <c r="BK2354" s="160"/>
      <c r="BL2354" s="160"/>
      <c r="BM2354" s="160"/>
      <c r="BN2354" s="160"/>
      <c r="BO2354" s="160"/>
      <c r="BP2354" s="160"/>
      <c r="BQ2354" s="160"/>
      <c r="BR2354" s="160"/>
      <c r="BS2354" s="160"/>
      <c r="BT2354" s="160"/>
      <c r="BU2354" s="160"/>
      <c r="BV2354" s="160"/>
      <c r="BW2354" s="160"/>
      <c r="BX2354" s="160"/>
      <c r="BY2354" s="160"/>
      <c r="BZ2354" s="160"/>
      <c r="CA2354" s="160"/>
      <c r="CB2354" s="160"/>
      <c r="CC2354" s="160"/>
      <c r="CD2354" s="160"/>
      <c r="CE2354" s="160"/>
      <c r="CF2354" s="160"/>
      <c r="CG2354" s="160"/>
      <c r="CH2354" s="160"/>
      <c r="CI2354" s="160"/>
      <c r="CJ2354" s="160"/>
      <c r="CK2354" s="160"/>
      <c r="CL2354" s="160"/>
      <c r="CM2354" s="160"/>
      <c r="CN2354" s="160"/>
      <c r="CO2354" s="160"/>
      <c r="CP2354" s="162"/>
      <c r="CQ2354" s="163"/>
      <c r="CR2354" s="162"/>
      <c r="CS2354" s="163"/>
      <c r="CT2354" s="162"/>
      <c r="CU2354" s="163"/>
      <c r="CV2354" s="164">
        <f t="shared" si="288"/>
        <v>0</v>
      </c>
      <c r="CW2354" s="165"/>
      <c r="CX2354" s="166"/>
      <c r="CY2354" s="167"/>
      <c r="CZ2354" s="168"/>
      <c r="DA2354" s="169"/>
      <c r="DB2354" s="168"/>
      <c r="DC2354" s="165"/>
      <c r="DD2354" s="166"/>
      <c r="DE2354" s="71"/>
      <c r="DF2354" s="170"/>
      <c r="EO2354" s="375" t="str">
        <f t="shared" si="289"/>
        <v>NARIÑO_LA CRUZ</v>
      </c>
      <c r="EP2354" s="376"/>
      <c r="EQ2354" s="376"/>
      <c r="ER2354" s="377"/>
      <c r="ES2354" s="376"/>
      <c r="ET2354" s="376"/>
      <c r="EU2354" s="376"/>
    </row>
    <row r="2355" spans="1:151" s="171" customFormat="1" ht="25.5" x14ac:dyDescent="0.2">
      <c r="A2355" s="242">
        <v>40536</v>
      </c>
      <c r="B2355" s="222" t="s">
        <v>2017</v>
      </c>
      <c r="C2355" s="222" t="s">
        <v>1952</v>
      </c>
      <c r="D2355" s="430" t="s">
        <v>837</v>
      </c>
      <c r="E2355" s="107" t="str">
        <f>VLOOKUP(B2355&amp;C2355,Divipola!$C$2:$F$1138,4,FALSE)</f>
        <v>13222</v>
      </c>
      <c r="F2355" s="333"/>
      <c r="G2355" s="221"/>
      <c r="H2355" s="157"/>
      <c r="I2355" s="157"/>
      <c r="J2355" s="157">
        <f>838*5</f>
        <v>4190</v>
      </c>
      <c r="K2355" s="157">
        <v>838</v>
      </c>
      <c r="L2355" s="157"/>
      <c r="M2355" s="157">
        <v>838</v>
      </c>
      <c r="N2355" s="157"/>
      <c r="O2355" s="157"/>
      <c r="P2355" s="157"/>
      <c r="Q2355" s="157"/>
      <c r="R2355" s="157"/>
      <c r="S2355" s="157"/>
      <c r="T2355" s="157"/>
      <c r="U2355" s="157"/>
      <c r="V2355" s="158"/>
      <c r="W2355" s="182"/>
      <c r="X2355" s="1"/>
      <c r="Y2355" s="78">
        <f t="shared" si="285"/>
        <v>0</v>
      </c>
      <c r="Z2355" s="78">
        <f t="shared" si="286"/>
        <v>0</v>
      </c>
      <c r="AA2355" s="78">
        <f t="shared" si="284"/>
        <v>0</v>
      </c>
      <c r="AB2355" s="78">
        <f t="shared" si="287"/>
        <v>0</v>
      </c>
      <c r="AC2355" s="78"/>
      <c r="AD2355" s="78">
        <v>0</v>
      </c>
      <c r="AE2355" s="80">
        <f t="shared" si="290"/>
        <v>0</v>
      </c>
      <c r="AF2355" s="82">
        <v>0</v>
      </c>
      <c r="AG2355" s="69">
        <v>40540</v>
      </c>
      <c r="AH2355" s="84"/>
      <c r="AI2355" s="69" t="s">
        <v>1984</v>
      </c>
      <c r="AJ2355" s="25" t="s">
        <v>1985</v>
      </c>
      <c r="AK2355" s="65"/>
      <c r="AL2355" s="176" t="s">
        <v>1257</v>
      </c>
      <c r="AM2355" s="173"/>
      <c r="AN2355" s="159"/>
      <c r="AO2355" s="160"/>
      <c r="AP2355" s="161"/>
      <c r="AQ2355" s="160"/>
      <c r="AR2355" s="160"/>
      <c r="AS2355" s="160"/>
      <c r="AT2355" s="160"/>
      <c r="AU2355" s="160"/>
      <c r="AV2355" s="160"/>
      <c r="AW2355" s="160"/>
      <c r="AX2355" s="160"/>
      <c r="AY2355" s="160"/>
      <c r="AZ2355" s="160"/>
      <c r="BA2355" s="160"/>
      <c r="BB2355" s="160"/>
      <c r="BC2355" s="160"/>
      <c r="BD2355" s="160"/>
      <c r="BE2355" s="160"/>
      <c r="BF2355" s="160"/>
      <c r="BG2355" s="160"/>
      <c r="BH2355" s="160"/>
      <c r="BI2355" s="160"/>
      <c r="BJ2355" s="160"/>
      <c r="BK2355" s="160"/>
      <c r="BL2355" s="160"/>
      <c r="BM2355" s="160"/>
      <c r="BN2355" s="160"/>
      <c r="BO2355" s="160"/>
      <c r="BP2355" s="160"/>
      <c r="BQ2355" s="160"/>
      <c r="BR2355" s="160"/>
      <c r="BS2355" s="160"/>
      <c r="BT2355" s="160"/>
      <c r="BU2355" s="160"/>
      <c r="BV2355" s="160"/>
      <c r="BW2355" s="160"/>
      <c r="BX2355" s="160"/>
      <c r="BY2355" s="160"/>
      <c r="BZ2355" s="160"/>
      <c r="CA2355" s="160"/>
      <c r="CB2355" s="160"/>
      <c r="CC2355" s="160"/>
      <c r="CD2355" s="160"/>
      <c r="CE2355" s="160"/>
      <c r="CF2355" s="160"/>
      <c r="CG2355" s="160"/>
      <c r="CH2355" s="160"/>
      <c r="CI2355" s="160"/>
      <c r="CJ2355" s="160"/>
      <c r="CK2355" s="160"/>
      <c r="CL2355" s="160"/>
      <c r="CM2355" s="160"/>
      <c r="CN2355" s="160"/>
      <c r="CO2355" s="160"/>
      <c r="CP2355" s="162"/>
      <c r="CQ2355" s="163"/>
      <c r="CR2355" s="162"/>
      <c r="CS2355" s="163"/>
      <c r="CT2355" s="162"/>
      <c r="CU2355" s="163"/>
      <c r="CV2355" s="164">
        <f t="shared" si="288"/>
        <v>0</v>
      </c>
      <c r="CW2355" s="165"/>
      <c r="CX2355" s="166"/>
      <c r="CY2355" s="167"/>
      <c r="CZ2355" s="168"/>
      <c r="DA2355" s="169"/>
      <c r="DB2355" s="168"/>
      <c r="DC2355" s="165"/>
      <c r="DD2355" s="166"/>
      <c r="DE2355" s="71"/>
      <c r="DF2355" s="170">
        <v>1499</v>
      </c>
      <c r="EO2355" s="375" t="str">
        <f t="shared" si="289"/>
        <v>BOLIVAR_CLEMENCIA</v>
      </c>
      <c r="EP2355" s="376"/>
      <c r="EQ2355" s="376"/>
      <c r="ER2355" s="377"/>
      <c r="ES2355" s="376"/>
      <c r="ET2355" s="376"/>
      <c r="EU2355" s="376"/>
    </row>
    <row r="2356" spans="1:151" s="171" customFormat="1" ht="25.5" x14ac:dyDescent="0.2">
      <c r="A2356" s="242">
        <v>40536</v>
      </c>
      <c r="B2356" s="222" t="s">
        <v>289</v>
      </c>
      <c r="C2356" s="222" t="s">
        <v>711</v>
      </c>
      <c r="D2356" s="430" t="s">
        <v>1721</v>
      </c>
      <c r="E2356" s="107" t="str">
        <f>VLOOKUP(B2356&amp;C2356,Divipola!$C$2:$F$1138,4,FALSE)</f>
        <v>17001</v>
      </c>
      <c r="F2356" s="333"/>
      <c r="G2356" s="221"/>
      <c r="H2356" s="157"/>
      <c r="I2356" s="157"/>
      <c r="J2356" s="157"/>
      <c r="K2356" s="157"/>
      <c r="L2356" s="157"/>
      <c r="M2356" s="157"/>
      <c r="N2356" s="157"/>
      <c r="O2356" s="157"/>
      <c r="P2356" s="157"/>
      <c r="Q2356" s="157"/>
      <c r="R2356" s="157"/>
      <c r="S2356" s="157"/>
      <c r="T2356" s="157"/>
      <c r="U2356" s="157">
        <v>1</v>
      </c>
      <c r="V2356" s="158"/>
      <c r="W2356" s="182"/>
      <c r="X2356" s="1"/>
      <c r="Y2356" s="78">
        <f t="shared" si="285"/>
        <v>0</v>
      </c>
      <c r="Z2356" s="78">
        <f t="shared" si="286"/>
        <v>0</v>
      </c>
      <c r="AA2356" s="78">
        <f t="shared" si="284"/>
        <v>0</v>
      </c>
      <c r="AB2356" s="78">
        <f t="shared" si="287"/>
        <v>0</v>
      </c>
      <c r="AC2356" s="78"/>
      <c r="AD2356" s="78">
        <v>0</v>
      </c>
      <c r="AE2356" s="80">
        <f t="shared" si="290"/>
        <v>0</v>
      </c>
      <c r="AF2356" s="82">
        <v>0</v>
      </c>
      <c r="AG2356" s="69">
        <v>40536</v>
      </c>
      <c r="AH2356" s="84"/>
      <c r="AI2356" s="69" t="s">
        <v>1984</v>
      </c>
      <c r="AJ2356" s="25" t="s">
        <v>1985</v>
      </c>
      <c r="AK2356" s="65"/>
      <c r="AL2356" s="176" t="s">
        <v>1257</v>
      </c>
      <c r="AM2356" s="173" t="s">
        <v>785</v>
      </c>
      <c r="AN2356" s="159"/>
      <c r="AO2356" s="160"/>
      <c r="AP2356" s="161"/>
      <c r="AQ2356" s="160"/>
      <c r="AR2356" s="160"/>
      <c r="AS2356" s="160"/>
      <c r="AT2356" s="160"/>
      <c r="AU2356" s="160"/>
      <c r="AV2356" s="160"/>
      <c r="AW2356" s="160"/>
      <c r="AX2356" s="160"/>
      <c r="AY2356" s="160"/>
      <c r="AZ2356" s="160"/>
      <c r="BA2356" s="160"/>
      <c r="BB2356" s="160"/>
      <c r="BC2356" s="160"/>
      <c r="BD2356" s="160"/>
      <c r="BE2356" s="160"/>
      <c r="BF2356" s="160"/>
      <c r="BG2356" s="160"/>
      <c r="BH2356" s="160"/>
      <c r="BI2356" s="160"/>
      <c r="BJ2356" s="160"/>
      <c r="BK2356" s="160"/>
      <c r="BL2356" s="160"/>
      <c r="BM2356" s="160"/>
      <c r="BN2356" s="160"/>
      <c r="BO2356" s="160"/>
      <c r="BP2356" s="160"/>
      <c r="BQ2356" s="160"/>
      <c r="BR2356" s="160"/>
      <c r="BS2356" s="160"/>
      <c r="BT2356" s="160"/>
      <c r="BU2356" s="160"/>
      <c r="BV2356" s="160"/>
      <c r="BW2356" s="160"/>
      <c r="BX2356" s="160"/>
      <c r="BY2356" s="160"/>
      <c r="BZ2356" s="160"/>
      <c r="CA2356" s="160"/>
      <c r="CB2356" s="160"/>
      <c r="CC2356" s="160"/>
      <c r="CD2356" s="160"/>
      <c r="CE2356" s="160"/>
      <c r="CF2356" s="160"/>
      <c r="CG2356" s="160"/>
      <c r="CH2356" s="160"/>
      <c r="CI2356" s="160"/>
      <c r="CJ2356" s="160"/>
      <c r="CK2356" s="160"/>
      <c r="CL2356" s="160"/>
      <c r="CM2356" s="160"/>
      <c r="CN2356" s="160"/>
      <c r="CO2356" s="160"/>
      <c r="CP2356" s="162"/>
      <c r="CQ2356" s="163"/>
      <c r="CR2356" s="162"/>
      <c r="CS2356" s="163"/>
      <c r="CT2356" s="162"/>
      <c r="CU2356" s="163"/>
      <c r="CV2356" s="164">
        <f t="shared" si="288"/>
        <v>0</v>
      </c>
      <c r="CW2356" s="165"/>
      <c r="CX2356" s="166"/>
      <c r="CY2356" s="167"/>
      <c r="CZ2356" s="168"/>
      <c r="DA2356" s="169"/>
      <c r="DB2356" s="168"/>
      <c r="DC2356" s="165"/>
      <c r="DD2356" s="166"/>
      <c r="DE2356" s="71"/>
      <c r="DF2356" s="170"/>
      <c r="EO2356" s="375" t="str">
        <f t="shared" si="289"/>
        <v>CALDAS_MANIZALES</v>
      </c>
      <c r="EP2356" s="376"/>
      <c r="EQ2356" s="376"/>
      <c r="ER2356" s="377"/>
      <c r="ES2356" s="376"/>
      <c r="ET2356" s="376"/>
      <c r="EU2356" s="376"/>
    </row>
    <row r="2357" spans="1:151" s="171" customFormat="1" ht="25.5" x14ac:dyDescent="0.2">
      <c r="A2357" s="246">
        <v>40537</v>
      </c>
      <c r="B2357" s="280" t="s">
        <v>2401</v>
      </c>
      <c r="C2357" s="280" t="s">
        <v>2747</v>
      </c>
      <c r="D2357" s="432" t="s">
        <v>837</v>
      </c>
      <c r="E2357" s="107" t="str">
        <f>VLOOKUP(B2357&amp;C2357,Divipola!$C$2:$F$1138,4,FALSE)</f>
        <v>05001</v>
      </c>
      <c r="F2357" s="337"/>
      <c r="G2357" s="221"/>
      <c r="H2357" s="157"/>
      <c r="I2357" s="157"/>
      <c r="J2357" s="157">
        <v>100</v>
      </c>
      <c r="K2357" s="157">
        <v>20</v>
      </c>
      <c r="L2357" s="157"/>
      <c r="M2357" s="157">
        <v>20</v>
      </c>
      <c r="N2357" s="157"/>
      <c r="O2357" s="157"/>
      <c r="P2357" s="157"/>
      <c r="Q2357" s="157"/>
      <c r="R2357" s="157"/>
      <c r="S2357" s="157"/>
      <c r="T2357" s="157"/>
      <c r="U2357" s="157"/>
      <c r="V2357" s="158"/>
      <c r="W2357" s="182"/>
      <c r="X2357" s="1"/>
      <c r="Y2357" s="78">
        <f t="shared" si="285"/>
        <v>0</v>
      </c>
      <c r="Z2357" s="78">
        <f t="shared" si="286"/>
        <v>0</v>
      </c>
      <c r="AA2357" s="78">
        <f t="shared" ref="AA2357:AA2420" si="291">DB2357+DD2357</f>
        <v>0</v>
      </c>
      <c r="AB2357" s="78">
        <f t="shared" si="287"/>
        <v>0</v>
      </c>
      <c r="AC2357" s="78"/>
      <c r="AD2357" s="78">
        <v>0</v>
      </c>
      <c r="AE2357" s="80">
        <f t="shared" si="290"/>
        <v>0</v>
      </c>
      <c r="AF2357" s="82">
        <v>0</v>
      </c>
      <c r="AG2357" s="69">
        <v>40537</v>
      </c>
      <c r="AH2357" s="84"/>
      <c r="AI2357" s="69" t="s">
        <v>1984</v>
      </c>
      <c r="AJ2357" s="25" t="s">
        <v>1985</v>
      </c>
      <c r="AK2357" s="65"/>
      <c r="AL2357" s="176" t="s">
        <v>1257</v>
      </c>
      <c r="AM2357" s="173" t="s">
        <v>1268</v>
      </c>
      <c r="AN2357" s="159"/>
      <c r="AO2357" s="160"/>
      <c r="AP2357" s="161"/>
      <c r="AQ2357" s="160"/>
      <c r="AR2357" s="160"/>
      <c r="AS2357" s="160"/>
      <c r="AT2357" s="160"/>
      <c r="AU2357" s="160"/>
      <c r="AV2357" s="160"/>
      <c r="AW2357" s="160"/>
      <c r="AX2357" s="160"/>
      <c r="AY2357" s="160"/>
      <c r="AZ2357" s="160"/>
      <c r="BA2357" s="160"/>
      <c r="BB2357" s="160"/>
      <c r="BC2357" s="160"/>
      <c r="BD2357" s="160"/>
      <c r="BE2357" s="160"/>
      <c r="BF2357" s="160"/>
      <c r="BG2357" s="160"/>
      <c r="BH2357" s="160"/>
      <c r="BI2357" s="160"/>
      <c r="BJ2357" s="160"/>
      <c r="BK2357" s="160"/>
      <c r="BL2357" s="160"/>
      <c r="BM2357" s="160"/>
      <c r="BN2357" s="160"/>
      <c r="BO2357" s="160"/>
      <c r="BP2357" s="160"/>
      <c r="BQ2357" s="160"/>
      <c r="BR2357" s="160"/>
      <c r="BS2357" s="160"/>
      <c r="BT2357" s="160"/>
      <c r="BU2357" s="160"/>
      <c r="BV2357" s="160"/>
      <c r="BW2357" s="160"/>
      <c r="BX2357" s="160"/>
      <c r="BY2357" s="160"/>
      <c r="BZ2357" s="160"/>
      <c r="CA2357" s="160"/>
      <c r="CB2357" s="160"/>
      <c r="CC2357" s="160"/>
      <c r="CD2357" s="160"/>
      <c r="CE2357" s="160"/>
      <c r="CF2357" s="160"/>
      <c r="CG2357" s="160"/>
      <c r="CH2357" s="160"/>
      <c r="CI2357" s="160"/>
      <c r="CJ2357" s="160"/>
      <c r="CK2357" s="160"/>
      <c r="CL2357" s="160"/>
      <c r="CM2357" s="160"/>
      <c r="CN2357" s="160"/>
      <c r="CO2357" s="160"/>
      <c r="CP2357" s="162"/>
      <c r="CQ2357" s="163"/>
      <c r="CR2357" s="162"/>
      <c r="CS2357" s="163"/>
      <c r="CT2357" s="162"/>
      <c r="CU2357" s="163"/>
      <c r="CV2357" s="164">
        <f t="shared" si="288"/>
        <v>0</v>
      </c>
      <c r="CW2357" s="165"/>
      <c r="CX2357" s="166"/>
      <c r="CY2357" s="167"/>
      <c r="CZ2357" s="168"/>
      <c r="DA2357" s="169"/>
      <c r="DB2357" s="168"/>
      <c r="DC2357" s="165"/>
      <c r="DD2357" s="166"/>
      <c r="DE2357" s="71"/>
      <c r="DF2357" s="170"/>
      <c r="EO2357" s="375" t="str">
        <f t="shared" si="289"/>
        <v>ANTIOQUIA_MEDELLIN</v>
      </c>
      <c r="EP2357" s="376"/>
      <c r="EQ2357" s="376"/>
      <c r="ER2357" s="377"/>
      <c r="ES2357" s="376"/>
      <c r="ET2357" s="376"/>
      <c r="EU2357" s="376"/>
    </row>
    <row r="2358" spans="1:151" s="171" customFormat="1" ht="36" x14ac:dyDescent="0.2">
      <c r="A2358" s="246">
        <v>40537</v>
      </c>
      <c r="B2358" s="280" t="s">
        <v>2401</v>
      </c>
      <c r="C2358" s="280" t="s">
        <v>2266</v>
      </c>
      <c r="D2358" s="432" t="s">
        <v>837</v>
      </c>
      <c r="E2358" s="107" t="str">
        <f>VLOOKUP(B2358&amp;C2358,Divipola!$C$2:$F$1138,4,FALSE)</f>
        <v>05490</v>
      </c>
      <c r="F2358" s="337"/>
      <c r="G2358" s="221"/>
      <c r="H2358" s="157"/>
      <c r="I2358" s="157"/>
      <c r="J2358" s="157">
        <v>6473</v>
      </c>
      <c r="K2358" s="157">
        <v>2538</v>
      </c>
      <c r="L2358" s="157">
        <v>261</v>
      </c>
      <c r="M2358" s="157">
        <v>57</v>
      </c>
      <c r="N2358" s="157"/>
      <c r="O2358" s="157"/>
      <c r="P2358" s="157"/>
      <c r="Q2358" s="157"/>
      <c r="R2358" s="157"/>
      <c r="S2358" s="157"/>
      <c r="T2358" s="157"/>
      <c r="U2358" s="157"/>
      <c r="V2358" s="158">
        <v>2571</v>
      </c>
      <c r="W2358" s="182"/>
      <c r="X2358" s="1"/>
      <c r="Y2358" s="78">
        <f t="shared" si="285"/>
        <v>0</v>
      </c>
      <c r="Z2358" s="78">
        <f t="shared" si="286"/>
        <v>0</v>
      </c>
      <c r="AA2358" s="78">
        <f t="shared" si="291"/>
        <v>0</v>
      </c>
      <c r="AB2358" s="78">
        <f t="shared" si="287"/>
        <v>0</v>
      </c>
      <c r="AC2358" s="78"/>
      <c r="AD2358" s="78">
        <v>0</v>
      </c>
      <c r="AE2358" s="80">
        <f t="shared" si="290"/>
        <v>0</v>
      </c>
      <c r="AF2358" s="82">
        <v>0</v>
      </c>
      <c r="AG2358" s="69">
        <v>40537</v>
      </c>
      <c r="AH2358" s="84"/>
      <c r="AI2358" s="69" t="s">
        <v>2009</v>
      </c>
      <c r="AJ2358" s="25" t="s">
        <v>2010</v>
      </c>
      <c r="AK2358" s="65"/>
      <c r="AL2358" s="184" t="s">
        <v>805</v>
      </c>
      <c r="AM2358" s="173" t="s">
        <v>792</v>
      </c>
      <c r="AN2358" s="159"/>
      <c r="AO2358" s="160"/>
      <c r="AP2358" s="161"/>
      <c r="AQ2358" s="160"/>
      <c r="AR2358" s="160"/>
      <c r="AS2358" s="160"/>
      <c r="AT2358" s="160"/>
      <c r="AU2358" s="160"/>
      <c r="AV2358" s="160"/>
      <c r="AW2358" s="160"/>
      <c r="AX2358" s="160"/>
      <c r="AY2358" s="160"/>
      <c r="AZ2358" s="160"/>
      <c r="BA2358" s="160"/>
      <c r="BB2358" s="160"/>
      <c r="BC2358" s="160"/>
      <c r="BD2358" s="160"/>
      <c r="BE2358" s="160"/>
      <c r="BF2358" s="160"/>
      <c r="BG2358" s="160"/>
      <c r="BH2358" s="160"/>
      <c r="BI2358" s="160"/>
      <c r="BJ2358" s="160"/>
      <c r="BK2358" s="160"/>
      <c r="BL2358" s="160"/>
      <c r="BM2358" s="160"/>
      <c r="BN2358" s="160"/>
      <c r="BO2358" s="160"/>
      <c r="BP2358" s="160"/>
      <c r="BQ2358" s="160"/>
      <c r="BR2358" s="160"/>
      <c r="BS2358" s="160"/>
      <c r="BT2358" s="160"/>
      <c r="BU2358" s="160"/>
      <c r="BV2358" s="160"/>
      <c r="BW2358" s="160"/>
      <c r="BX2358" s="160"/>
      <c r="BY2358" s="160"/>
      <c r="BZ2358" s="160"/>
      <c r="CA2358" s="160"/>
      <c r="CB2358" s="160"/>
      <c r="CC2358" s="160"/>
      <c r="CD2358" s="160"/>
      <c r="CE2358" s="160"/>
      <c r="CF2358" s="160"/>
      <c r="CG2358" s="160"/>
      <c r="CH2358" s="160"/>
      <c r="CI2358" s="160"/>
      <c r="CJ2358" s="160"/>
      <c r="CK2358" s="160"/>
      <c r="CL2358" s="160"/>
      <c r="CM2358" s="160"/>
      <c r="CN2358" s="160"/>
      <c r="CO2358" s="160"/>
      <c r="CP2358" s="162"/>
      <c r="CQ2358" s="163"/>
      <c r="CR2358" s="162"/>
      <c r="CS2358" s="163"/>
      <c r="CT2358" s="162"/>
      <c r="CU2358" s="163"/>
      <c r="CV2358" s="164">
        <f t="shared" si="288"/>
        <v>0</v>
      </c>
      <c r="CW2358" s="165"/>
      <c r="CX2358" s="166"/>
      <c r="CY2358" s="167"/>
      <c r="CZ2358" s="168"/>
      <c r="DA2358" s="169"/>
      <c r="DB2358" s="168"/>
      <c r="DC2358" s="165"/>
      <c r="DD2358" s="166"/>
      <c r="DE2358" s="71"/>
      <c r="DF2358" s="170"/>
      <c r="EO2358" s="375" t="str">
        <f t="shared" si="289"/>
        <v>ANTIOQUIA_NECOCLI</v>
      </c>
      <c r="EP2358" s="376"/>
      <c r="EQ2358" s="376"/>
      <c r="ER2358" s="377"/>
      <c r="ES2358" s="376"/>
      <c r="ET2358" s="376"/>
      <c r="EU2358" s="376"/>
    </row>
    <row r="2359" spans="1:151" s="171" customFormat="1" ht="48" x14ac:dyDescent="0.2">
      <c r="A2359" s="242">
        <v>40538</v>
      </c>
      <c r="B2359" s="222" t="s">
        <v>2242</v>
      </c>
      <c r="C2359" s="222" t="s">
        <v>3078</v>
      </c>
      <c r="D2359" s="430" t="s">
        <v>2331</v>
      </c>
      <c r="E2359" s="107" t="str">
        <f>VLOOKUP(B2359&amp;C2359,Divipola!$C$2:$F$1138,4,FALSE)</f>
        <v>20238</v>
      </c>
      <c r="F2359" s="333"/>
      <c r="G2359" s="221"/>
      <c r="H2359" s="157"/>
      <c r="I2359" s="157"/>
      <c r="J2359" s="157">
        <f>495*5</f>
        <v>2475</v>
      </c>
      <c r="K2359" s="157">
        <v>495</v>
      </c>
      <c r="L2359" s="157"/>
      <c r="M2359" s="157">
        <v>490</v>
      </c>
      <c r="N2359" s="157"/>
      <c r="O2359" s="157">
        <v>1</v>
      </c>
      <c r="P2359" s="157"/>
      <c r="Q2359" s="157">
        <v>1</v>
      </c>
      <c r="R2359" s="157"/>
      <c r="S2359" s="157"/>
      <c r="T2359" s="157"/>
      <c r="U2359" s="157"/>
      <c r="V2359" s="158"/>
      <c r="W2359" s="182"/>
      <c r="X2359" s="1"/>
      <c r="Y2359" s="78">
        <f t="shared" si="285"/>
        <v>0</v>
      </c>
      <c r="Z2359" s="78">
        <f t="shared" si="286"/>
        <v>0</v>
      </c>
      <c r="AA2359" s="78">
        <f t="shared" si="291"/>
        <v>0</v>
      </c>
      <c r="AB2359" s="78">
        <f t="shared" si="287"/>
        <v>0</v>
      </c>
      <c r="AC2359" s="78"/>
      <c r="AD2359" s="78">
        <v>0</v>
      </c>
      <c r="AE2359" s="80">
        <f t="shared" si="290"/>
        <v>0</v>
      </c>
      <c r="AF2359" s="82">
        <v>0</v>
      </c>
      <c r="AG2359" s="69">
        <v>40538</v>
      </c>
      <c r="AH2359" s="84"/>
      <c r="AI2359" s="69" t="s">
        <v>1984</v>
      </c>
      <c r="AJ2359" s="25" t="s">
        <v>1985</v>
      </c>
      <c r="AK2359" s="65"/>
      <c r="AL2359" s="176" t="s">
        <v>1257</v>
      </c>
      <c r="AM2359" s="173" t="s">
        <v>793</v>
      </c>
      <c r="AN2359" s="159"/>
      <c r="AO2359" s="160"/>
      <c r="AP2359" s="161"/>
      <c r="AQ2359" s="160"/>
      <c r="AR2359" s="160"/>
      <c r="AS2359" s="160"/>
      <c r="AT2359" s="160"/>
      <c r="AU2359" s="160"/>
      <c r="AV2359" s="160"/>
      <c r="AW2359" s="160"/>
      <c r="AX2359" s="160"/>
      <c r="AY2359" s="160"/>
      <c r="AZ2359" s="160"/>
      <c r="BA2359" s="160"/>
      <c r="BB2359" s="160"/>
      <c r="BC2359" s="160"/>
      <c r="BD2359" s="160"/>
      <c r="BE2359" s="160"/>
      <c r="BF2359" s="160"/>
      <c r="BG2359" s="160"/>
      <c r="BH2359" s="160"/>
      <c r="BI2359" s="160"/>
      <c r="BJ2359" s="160"/>
      <c r="BK2359" s="160"/>
      <c r="BL2359" s="160"/>
      <c r="BM2359" s="160"/>
      <c r="BN2359" s="160"/>
      <c r="BO2359" s="160"/>
      <c r="BP2359" s="160"/>
      <c r="BQ2359" s="160"/>
      <c r="BR2359" s="160"/>
      <c r="BS2359" s="160"/>
      <c r="BT2359" s="160"/>
      <c r="BU2359" s="160"/>
      <c r="BV2359" s="160"/>
      <c r="BW2359" s="160"/>
      <c r="BX2359" s="160"/>
      <c r="BY2359" s="160"/>
      <c r="BZ2359" s="160"/>
      <c r="CA2359" s="160"/>
      <c r="CB2359" s="160"/>
      <c r="CC2359" s="160"/>
      <c r="CD2359" s="160"/>
      <c r="CE2359" s="160"/>
      <c r="CF2359" s="160"/>
      <c r="CG2359" s="160"/>
      <c r="CH2359" s="160"/>
      <c r="CI2359" s="160"/>
      <c r="CJ2359" s="160"/>
      <c r="CK2359" s="160"/>
      <c r="CL2359" s="160"/>
      <c r="CM2359" s="160"/>
      <c r="CN2359" s="160"/>
      <c r="CO2359" s="160"/>
      <c r="CP2359" s="162"/>
      <c r="CQ2359" s="163"/>
      <c r="CR2359" s="162"/>
      <c r="CS2359" s="163"/>
      <c r="CT2359" s="162"/>
      <c r="CU2359" s="163"/>
      <c r="CV2359" s="164">
        <f t="shared" si="288"/>
        <v>0</v>
      </c>
      <c r="CW2359" s="165"/>
      <c r="CX2359" s="166"/>
      <c r="CY2359" s="167"/>
      <c r="CZ2359" s="168"/>
      <c r="DA2359" s="169"/>
      <c r="DB2359" s="168"/>
      <c r="DC2359" s="165"/>
      <c r="DD2359" s="166"/>
      <c r="DE2359" s="71"/>
      <c r="DF2359" s="170"/>
      <c r="EO2359" s="375" t="str">
        <f t="shared" si="289"/>
        <v>CESAR_EL COPEY</v>
      </c>
      <c r="EP2359" s="376"/>
      <c r="EQ2359" s="376"/>
      <c r="ER2359" s="377"/>
      <c r="ES2359" s="376"/>
      <c r="ET2359" s="376"/>
      <c r="EU2359" s="376"/>
    </row>
    <row r="2360" spans="1:151" s="171" customFormat="1" ht="48" x14ac:dyDescent="0.2">
      <c r="A2360" s="242">
        <v>40538</v>
      </c>
      <c r="B2360" s="222" t="s">
        <v>1836</v>
      </c>
      <c r="C2360" s="222" t="s">
        <v>1814</v>
      </c>
      <c r="D2360" s="430" t="s">
        <v>837</v>
      </c>
      <c r="E2360" s="107" t="str">
        <f>VLOOKUP(B2360&amp;C2360,Divipola!$C$2:$F$1138,4,FALSE)</f>
        <v>47001</v>
      </c>
      <c r="F2360" s="333"/>
      <c r="G2360" s="221"/>
      <c r="H2360" s="157"/>
      <c r="I2360" s="157"/>
      <c r="J2360" s="157">
        <v>370</v>
      </c>
      <c r="K2360" s="157">
        <v>94</v>
      </c>
      <c r="L2360" s="157">
        <v>1</v>
      </c>
      <c r="M2360" s="157">
        <v>93</v>
      </c>
      <c r="N2360" s="157"/>
      <c r="O2360" s="157"/>
      <c r="P2360" s="157"/>
      <c r="Q2360" s="157"/>
      <c r="R2360" s="157"/>
      <c r="S2360" s="157"/>
      <c r="T2360" s="157"/>
      <c r="U2360" s="157"/>
      <c r="V2360" s="158"/>
      <c r="W2360" s="182"/>
      <c r="X2360" s="1"/>
      <c r="Y2360" s="78">
        <f t="shared" si="285"/>
        <v>0</v>
      </c>
      <c r="Z2360" s="78">
        <f t="shared" si="286"/>
        <v>0</v>
      </c>
      <c r="AA2360" s="78">
        <f t="shared" si="291"/>
        <v>0</v>
      </c>
      <c r="AB2360" s="78">
        <f t="shared" si="287"/>
        <v>0</v>
      </c>
      <c r="AC2360" s="78"/>
      <c r="AD2360" s="78">
        <v>0</v>
      </c>
      <c r="AE2360" s="80">
        <f t="shared" si="290"/>
        <v>0</v>
      </c>
      <c r="AF2360" s="82">
        <v>0</v>
      </c>
      <c r="AG2360" s="69">
        <v>40538</v>
      </c>
      <c r="AH2360" s="84"/>
      <c r="AI2360" s="69" t="s">
        <v>1984</v>
      </c>
      <c r="AJ2360" s="25" t="s">
        <v>1985</v>
      </c>
      <c r="AK2360" s="65"/>
      <c r="AL2360" s="176" t="s">
        <v>1257</v>
      </c>
      <c r="AM2360" s="173" t="s">
        <v>791</v>
      </c>
      <c r="AN2360" s="159"/>
      <c r="AO2360" s="160"/>
      <c r="AP2360" s="161"/>
      <c r="AQ2360" s="160"/>
      <c r="AR2360" s="160"/>
      <c r="AS2360" s="160"/>
      <c r="AT2360" s="160"/>
      <c r="AU2360" s="160"/>
      <c r="AV2360" s="160"/>
      <c r="AW2360" s="160"/>
      <c r="AX2360" s="160"/>
      <c r="AY2360" s="160"/>
      <c r="AZ2360" s="160"/>
      <c r="BA2360" s="160"/>
      <c r="BB2360" s="160"/>
      <c r="BC2360" s="160"/>
      <c r="BD2360" s="160"/>
      <c r="BE2360" s="160"/>
      <c r="BF2360" s="160"/>
      <c r="BG2360" s="160"/>
      <c r="BH2360" s="160"/>
      <c r="BI2360" s="160"/>
      <c r="BJ2360" s="160"/>
      <c r="BK2360" s="160"/>
      <c r="BL2360" s="160"/>
      <c r="BM2360" s="160"/>
      <c r="BN2360" s="160"/>
      <c r="BO2360" s="160"/>
      <c r="BP2360" s="160"/>
      <c r="BQ2360" s="160"/>
      <c r="BR2360" s="160"/>
      <c r="BS2360" s="160"/>
      <c r="BT2360" s="160"/>
      <c r="BU2360" s="160"/>
      <c r="BV2360" s="160"/>
      <c r="BW2360" s="160"/>
      <c r="BX2360" s="160"/>
      <c r="BY2360" s="160"/>
      <c r="BZ2360" s="160"/>
      <c r="CA2360" s="160"/>
      <c r="CB2360" s="160"/>
      <c r="CC2360" s="160"/>
      <c r="CD2360" s="160"/>
      <c r="CE2360" s="160"/>
      <c r="CF2360" s="160"/>
      <c r="CG2360" s="160"/>
      <c r="CH2360" s="160"/>
      <c r="CI2360" s="160"/>
      <c r="CJ2360" s="160"/>
      <c r="CK2360" s="160"/>
      <c r="CL2360" s="160"/>
      <c r="CM2360" s="160"/>
      <c r="CN2360" s="160"/>
      <c r="CO2360" s="160"/>
      <c r="CP2360" s="162"/>
      <c r="CQ2360" s="163"/>
      <c r="CR2360" s="162"/>
      <c r="CS2360" s="163"/>
      <c r="CT2360" s="162"/>
      <c r="CU2360" s="163"/>
      <c r="CV2360" s="164">
        <f t="shared" si="288"/>
        <v>0</v>
      </c>
      <c r="CW2360" s="165"/>
      <c r="CX2360" s="166"/>
      <c r="CY2360" s="167"/>
      <c r="CZ2360" s="168"/>
      <c r="DA2360" s="169"/>
      <c r="DB2360" s="168"/>
      <c r="DC2360" s="165"/>
      <c r="DD2360" s="166"/>
      <c r="DE2360" s="71"/>
      <c r="DF2360" s="170"/>
      <c r="EO2360" s="375" t="str">
        <f t="shared" si="289"/>
        <v>MAGDALENA_SANTA MARTA</v>
      </c>
      <c r="EP2360" s="376"/>
      <c r="EQ2360" s="376"/>
      <c r="ER2360" s="377"/>
      <c r="ES2360" s="376"/>
      <c r="ET2360" s="376"/>
      <c r="EU2360" s="376"/>
    </row>
    <row r="2361" spans="1:151" s="171" customFormat="1" ht="60" customHeight="1" x14ac:dyDescent="0.2">
      <c r="A2361" s="242">
        <v>40538</v>
      </c>
      <c r="B2361" s="222" t="s">
        <v>708</v>
      </c>
      <c r="C2361" s="222" t="s">
        <v>2328</v>
      </c>
      <c r="D2361" s="430" t="s">
        <v>837</v>
      </c>
      <c r="E2361" s="107" t="str">
        <f>VLOOKUP(B2361&amp;C2361,Divipola!$C$2:$F$1138,4,FALSE)</f>
        <v>50001</v>
      </c>
      <c r="F2361" s="333"/>
      <c r="G2361" s="221"/>
      <c r="H2361" s="157"/>
      <c r="I2361" s="157"/>
      <c r="J2361" s="157">
        <v>9</v>
      </c>
      <c r="K2361" s="157">
        <v>1</v>
      </c>
      <c r="L2361" s="157"/>
      <c r="M2361" s="157">
        <v>1</v>
      </c>
      <c r="N2361" s="157"/>
      <c r="O2361" s="157"/>
      <c r="P2361" s="157"/>
      <c r="Q2361" s="157"/>
      <c r="R2361" s="157"/>
      <c r="S2361" s="157"/>
      <c r="T2361" s="157"/>
      <c r="U2361" s="157"/>
      <c r="V2361" s="158"/>
      <c r="W2361" s="182"/>
      <c r="X2361" s="1"/>
      <c r="Y2361" s="78">
        <f t="shared" si="285"/>
        <v>0</v>
      </c>
      <c r="Z2361" s="78">
        <f t="shared" si="286"/>
        <v>0</v>
      </c>
      <c r="AA2361" s="78">
        <f t="shared" si="291"/>
        <v>0</v>
      </c>
      <c r="AB2361" s="78">
        <f t="shared" si="287"/>
        <v>0</v>
      </c>
      <c r="AC2361" s="78"/>
      <c r="AD2361" s="78">
        <v>0</v>
      </c>
      <c r="AE2361" s="80">
        <f t="shared" si="290"/>
        <v>0</v>
      </c>
      <c r="AF2361" s="82">
        <v>0</v>
      </c>
      <c r="AG2361" s="69">
        <v>40538</v>
      </c>
      <c r="AH2361" s="84"/>
      <c r="AI2361" s="69" t="s">
        <v>1984</v>
      </c>
      <c r="AJ2361" s="25" t="s">
        <v>1985</v>
      </c>
      <c r="AK2361" s="65"/>
      <c r="AL2361" s="176" t="s">
        <v>1257</v>
      </c>
      <c r="AM2361" s="173" t="s">
        <v>794</v>
      </c>
      <c r="AN2361" s="159"/>
      <c r="AO2361" s="160"/>
      <c r="AP2361" s="161"/>
      <c r="AQ2361" s="160"/>
      <c r="AR2361" s="160"/>
      <c r="AS2361" s="160"/>
      <c r="AT2361" s="160"/>
      <c r="AU2361" s="160"/>
      <c r="AV2361" s="160"/>
      <c r="AW2361" s="160"/>
      <c r="AX2361" s="160"/>
      <c r="AY2361" s="160"/>
      <c r="AZ2361" s="160"/>
      <c r="BA2361" s="160"/>
      <c r="BB2361" s="160"/>
      <c r="BC2361" s="160"/>
      <c r="BD2361" s="160"/>
      <c r="BE2361" s="160"/>
      <c r="BF2361" s="160"/>
      <c r="BG2361" s="160"/>
      <c r="BH2361" s="160"/>
      <c r="BI2361" s="160"/>
      <c r="BJ2361" s="160"/>
      <c r="BK2361" s="160"/>
      <c r="BL2361" s="160"/>
      <c r="BM2361" s="160"/>
      <c r="BN2361" s="160"/>
      <c r="BO2361" s="160"/>
      <c r="BP2361" s="160"/>
      <c r="BQ2361" s="160"/>
      <c r="BR2361" s="160"/>
      <c r="BS2361" s="160"/>
      <c r="BT2361" s="160"/>
      <c r="BU2361" s="160"/>
      <c r="BV2361" s="160"/>
      <c r="BW2361" s="160"/>
      <c r="BX2361" s="160"/>
      <c r="BY2361" s="160"/>
      <c r="BZ2361" s="160"/>
      <c r="CA2361" s="160"/>
      <c r="CB2361" s="160"/>
      <c r="CC2361" s="160"/>
      <c r="CD2361" s="160"/>
      <c r="CE2361" s="160"/>
      <c r="CF2361" s="160"/>
      <c r="CG2361" s="160"/>
      <c r="CH2361" s="160"/>
      <c r="CI2361" s="160"/>
      <c r="CJ2361" s="160"/>
      <c r="CK2361" s="160"/>
      <c r="CL2361" s="160"/>
      <c r="CM2361" s="160"/>
      <c r="CN2361" s="160"/>
      <c r="CO2361" s="160"/>
      <c r="CP2361" s="162"/>
      <c r="CQ2361" s="163"/>
      <c r="CR2361" s="162"/>
      <c r="CS2361" s="163"/>
      <c r="CT2361" s="162"/>
      <c r="CU2361" s="163"/>
      <c r="CV2361" s="164">
        <f t="shared" si="288"/>
        <v>0</v>
      </c>
      <c r="CW2361" s="165"/>
      <c r="CX2361" s="166"/>
      <c r="CY2361" s="167"/>
      <c r="CZ2361" s="168"/>
      <c r="DA2361" s="169"/>
      <c r="DB2361" s="168"/>
      <c r="DC2361" s="165"/>
      <c r="DD2361" s="166"/>
      <c r="DE2361" s="71"/>
      <c r="DF2361" s="170"/>
      <c r="EO2361" s="375" t="str">
        <f t="shared" si="289"/>
        <v>META_VILLAVICENCIO</v>
      </c>
      <c r="EP2361" s="376"/>
      <c r="EQ2361" s="376"/>
      <c r="ER2361" s="377"/>
      <c r="ES2361" s="376"/>
      <c r="ET2361" s="376"/>
      <c r="EU2361" s="376"/>
    </row>
    <row r="2362" spans="1:151" s="171" customFormat="1" ht="38.25" x14ac:dyDescent="0.2">
      <c r="A2362" s="242">
        <v>40539</v>
      </c>
      <c r="B2362" s="222" t="s">
        <v>1951</v>
      </c>
      <c r="C2362" s="222" t="s">
        <v>1989</v>
      </c>
      <c r="D2362" s="430" t="s">
        <v>2307</v>
      </c>
      <c r="E2362" s="107" t="str">
        <f>VLOOKUP(B2362&amp;C2362,Divipola!$C$2:$F$1138,4,FALSE)</f>
        <v>08001</v>
      </c>
      <c r="F2362" s="333"/>
      <c r="G2362" s="221"/>
      <c r="H2362" s="157"/>
      <c r="I2362" s="157"/>
      <c r="J2362" s="157">
        <v>6</v>
      </c>
      <c r="K2362" s="157">
        <v>1</v>
      </c>
      <c r="L2362" s="157">
        <v>1</v>
      </c>
      <c r="M2362" s="157"/>
      <c r="N2362" s="157"/>
      <c r="O2362" s="157"/>
      <c r="P2362" s="157"/>
      <c r="Q2362" s="157"/>
      <c r="R2362" s="157"/>
      <c r="S2362" s="157"/>
      <c r="T2362" s="157"/>
      <c r="U2362" s="157"/>
      <c r="V2362" s="158"/>
      <c r="W2362" s="182"/>
      <c r="X2362" s="1"/>
      <c r="Y2362" s="78">
        <f t="shared" si="285"/>
        <v>0</v>
      </c>
      <c r="Z2362" s="78">
        <f t="shared" si="286"/>
        <v>0</v>
      </c>
      <c r="AA2362" s="78">
        <f t="shared" si="291"/>
        <v>0</v>
      </c>
      <c r="AB2362" s="78">
        <f t="shared" si="287"/>
        <v>0</v>
      </c>
      <c r="AC2362" s="78"/>
      <c r="AD2362" s="78">
        <v>0</v>
      </c>
      <c r="AE2362" s="80">
        <f t="shared" si="290"/>
        <v>0</v>
      </c>
      <c r="AF2362" s="82">
        <v>0</v>
      </c>
      <c r="AG2362" s="69">
        <v>40539</v>
      </c>
      <c r="AH2362" s="84"/>
      <c r="AI2362" s="69" t="s">
        <v>1984</v>
      </c>
      <c r="AJ2362" s="25" t="s">
        <v>1985</v>
      </c>
      <c r="AK2362" s="65"/>
      <c r="AL2362" s="176" t="s">
        <v>1257</v>
      </c>
      <c r="AM2362" s="173" t="s">
        <v>796</v>
      </c>
      <c r="AN2362" s="159"/>
      <c r="AO2362" s="160"/>
      <c r="AP2362" s="161"/>
      <c r="AQ2362" s="160"/>
      <c r="AR2362" s="160"/>
      <c r="AS2362" s="160"/>
      <c r="AT2362" s="160"/>
      <c r="AU2362" s="160"/>
      <c r="AV2362" s="160"/>
      <c r="AW2362" s="160"/>
      <c r="AX2362" s="160"/>
      <c r="AY2362" s="160"/>
      <c r="AZ2362" s="160"/>
      <c r="BA2362" s="160"/>
      <c r="BB2362" s="160"/>
      <c r="BC2362" s="160"/>
      <c r="BD2362" s="160"/>
      <c r="BE2362" s="160"/>
      <c r="BF2362" s="160"/>
      <c r="BG2362" s="160"/>
      <c r="BH2362" s="160"/>
      <c r="BI2362" s="160"/>
      <c r="BJ2362" s="160"/>
      <c r="BK2362" s="160"/>
      <c r="BL2362" s="160"/>
      <c r="BM2362" s="160"/>
      <c r="BN2362" s="160"/>
      <c r="BO2362" s="160"/>
      <c r="BP2362" s="160"/>
      <c r="BQ2362" s="160"/>
      <c r="BR2362" s="160"/>
      <c r="BS2362" s="160"/>
      <c r="BT2362" s="160"/>
      <c r="BU2362" s="160"/>
      <c r="BV2362" s="160"/>
      <c r="BW2362" s="160"/>
      <c r="BX2362" s="160"/>
      <c r="BY2362" s="160"/>
      <c r="BZ2362" s="160"/>
      <c r="CA2362" s="160"/>
      <c r="CB2362" s="160"/>
      <c r="CC2362" s="160"/>
      <c r="CD2362" s="160"/>
      <c r="CE2362" s="160"/>
      <c r="CF2362" s="160"/>
      <c r="CG2362" s="160"/>
      <c r="CH2362" s="160"/>
      <c r="CI2362" s="160"/>
      <c r="CJ2362" s="160"/>
      <c r="CK2362" s="160"/>
      <c r="CL2362" s="160"/>
      <c r="CM2362" s="160"/>
      <c r="CN2362" s="160"/>
      <c r="CO2362" s="160"/>
      <c r="CP2362" s="162"/>
      <c r="CQ2362" s="163"/>
      <c r="CR2362" s="162"/>
      <c r="CS2362" s="163"/>
      <c r="CT2362" s="162"/>
      <c r="CU2362" s="163"/>
      <c r="CV2362" s="164">
        <f t="shared" si="288"/>
        <v>0</v>
      </c>
      <c r="CW2362" s="165"/>
      <c r="CX2362" s="166"/>
      <c r="CY2362" s="167"/>
      <c r="CZ2362" s="168"/>
      <c r="DA2362" s="169"/>
      <c r="DB2362" s="168"/>
      <c r="DC2362" s="165"/>
      <c r="DD2362" s="166"/>
      <c r="DE2362" s="71"/>
      <c r="DF2362" s="170"/>
      <c r="EO2362" s="375" t="str">
        <f t="shared" si="289"/>
        <v>ATLANTICO_BARRANQUILLA</v>
      </c>
      <c r="EP2362" s="376"/>
      <c r="EQ2362" s="376"/>
      <c r="ER2362" s="377"/>
      <c r="ES2362" s="376"/>
      <c r="ET2362" s="376"/>
      <c r="EU2362" s="376"/>
    </row>
    <row r="2363" spans="1:151" s="171" customFormat="1" ht="38.25" x14ac:dyDescent="0.2">
      <c r="A2363" s="242">
        <v>40539</v>
      </c>
      <c r="B2363" s="107" t="s">
        <v>6305</v>
      </c>
      <c r="C2363" s="107" t="s">
        <v>6305</v>
      </c>
      <c r="D2363" s="430" t="s">
        <v>1721</v>
      </c>
      <c r="E2363" s="107" t="str">
        <f>VLOOKUP(B2363&amp;C2363,Divipola!$C$2:$F$1138,4,FALSE)</f>
        <v>11001</v>
      </c>
      <c r="F2363" s="333"/>
      <c r="G2363" s="221"/>
      <c r="H2363" s="157"/>
      <c r="I2363" s="157"/>
      <c r="J2363" s="157"/>
      <c r="K2363" s="157"/>
      <c r="L2363" s="157"/>
      <c r="M2363" s="157"/>
      <c r="N2363" s="157"/>
      <c r="O2363" s="157"/>
      <c r="P2363" s="157"/>
      <c r="Q2363" s="157"/>
      <c r="R2363" s="157"/>
      <c r="S2363" s="157"/>
      <c r="T2363" s="157"/>
      <c r="U2363" s="157"/>
      <c r="V2363" s="158"/>
      <c r="W2363" s="182"/>
      <c r="X2363" s="1"/>
      <c r="Y2363" s="78">
        <f t="shared" si="285"/>
        <v>0</v>
      </c>
      <c r="Z2363" s="78">
        <f t="shared" si="286"/>
        <v>0</v>
      </c>
      <c r="AA2363" s="78">
        <f t="shared" si="291"/>
        <v>0</v>
      </c>
      <c r="AB2363" s="78">
        <f t="shared" si="287"/>
        <v>0</v>
      </c>
      <c r="AC2363" s="78"/>
      <c r="AD2363" s="78">
        <v>0</v>
      </c>
      <c r="AE2363" s="80">
        <f t="shared" si="290"/>
        <v>0</v>
      </c>
      <c r="AF2363" s="82">
        <v>0</v>
      </c>
      <c r="AG2363" s="69">
        <v>40539</v>
      </c>
      <c r="AH2363" s="84"/>
      <c r="AI2363" s="69" t="s">
        <v>1984</v>
      </c>
      <c r="AJ2363" s="25" t="s">
        <v>1985</v>
      </c>
      <c r="AK2363" s="65"/>
      <c r="AL2363" s="176" t="s">
        <v>1257</v>
      </c>
      <c r="AM2363" s="173" t="s">
        <v>797</v>
      </c>
      <c r="AN2363" s="159"/>
      <c r="AO2363" s="160"/>
      <c r="AP2363" s="161"/>
      <c r="AQ2363" s="160"/>
      <c r="AR2363" s="160"/>
      <c r="AS2363" s="160"/>
      <c r="AT2363" s="160"/>
      <c r="AU2363" s="160"/>
      <c r="AV2363" s="160"/>
      <c r="AW2363" s="160"/>
      <c r="AX2363" s="160"/>
      <c r="AY2363" s="160"/>
      <c r="AZ2363" s="160"/>
      <c r="BA2363" s="160"/>
      <c r="BB2363" s="160"/>
      <c r="BC2363" s="160"/>
      <c r="BD2363" s="160"/>
      <c r="BE2363" s="160"/>
      <c r="BF2363" s="160"/>
      <c r="BG2363" s="160"/>
      <c r="BH2363" s="160"/>
      <c r="BI2363" s="160"/>
      <c r="BJ2363" s="160"/>
      <c r="BK2363" s="160"/>
      <c r="BL2363" s="160"/>
      <c r="BM2363" s="160"/>
      <c r="BN2363" s="160"/>
      <c r="BO2363" s="160"/>
      <c r="BP2363" s="160"/>
      <c r="BQ2363" s="160"/>
      <c r="BR2363" s="160"/>
      <c r="BS2363" s="160"/>
      <c r="BT2363" s="160"/>
      <c r="BU2363" s="160"/>
      <c r="BV2363" s="160"/>
      <c r="BW2363" s="160"/>
      <c r="BX2363" s="160"/>
      <c r="BY2363" s="160"/>
      <c r="BZ2363" s="160"/>
      <c r="CA2363" s="160"/>
      <c r="CB2363" s="160"/>
      <c r="CC2363" s="160"/>
      <c r="CD2363" s="160"/>
      <c r="CE2363" s="160"/>
      <c r="CF2363" s="160"/>
      <c r="CG2363" s="160"/>
      <c r="CH2363" s="160"/>
      <c r="CI2363" s="160"/>
      <c r="CJ2363" s="160"/>
      <c r="CK2363" s="160"/>
      <c r="CL2363" s="160"/>
      <c r="CM2363" s="160"/>
      <c r="CN2363" s="160"/>
      <c r="CO2363" s="160"/>
      <c r="CP2363" s="162"/>
      <c r="CQ2363" s="163"/>
      <c r="CR2363" s="162"/>
      <c r="CS2363" s="163"/>
      <c r="CT2363" s="162"/>
      <c r="CU2363" s="163"/>
      <c r="CV2363" s="164">
        <f t="shared" si="288"/>
        <v>0</v>
      </c>
      <c r="CW2363" s="165"/>
      <c r="CX2363" s="166"/>
      <c r="CY2363" s="167"/>
      <c r="CZ2363" s="168"/>
      <c r="DA2363" s="169"/>
      <c r="DB2363" s="168"/>
      <c r="DC2363" s="165"/>
      <c r="DD2363" s="166"/>
      <c r="DE2363" s="71"/>
      <c r="DF2363" s="170"/>
      <c r="EO2363" s="375" t="str">
        <f t="shared" si="289"/>
        <v>BOGOTA, D.C._BOGOTA, D.C.</v>
      </c>
      <c r="EP2363" s="376"/>
      <c r="EQ2363" s="376"/>
      <c r="ER2363" s="377"/>
      <c r="ES2363" s="376"/>
      <c r="ET2363" s="376"/>
      <c r="EU2363" s="376"/>
    </row>
    <row r="2364" spans="1:151" s="171" customFormat="1" ht="36" x14ac:dyDescent="0.2">
      <c r="A2364" s="242">
        <v>40539</v>
      </c>
      <c r="B2364" s="222" t="s">
        <v>2242</v>
      </c>
      <c r="C2364" s="222" t="s">
        <v>905</v>
      </c>
      <c r="D2364" s="430" t="s">
        <v>837</v>
      </c>
      <c r="E2364" s="107" t="str">
        <f>VLOOKUP(B2364&amp;C2364,Divipola!$C$2:$F$1138,4,FALSE)</f>
        <v>20750</v>
      </c>
      <c r="F2364" s="333"/>
      <c r="G2364" s="221"/>
      <c r="H2364" s="157"/>
      <c r="I2364" s="157">
        <v>1</v>
      </c>
      <c r="J2364" s="157"/>
      <c r="K2364" s="157"/>
      <c r="L2364" s="157"/>
      <c r="M2364" s="157"/>
      <c r="N2364" s="157"/>
      <c r="O2364" s="157"/>
      <c r="P2364" s="157"/>
      <c r="Q2364" s="157"/>
      <c r="R2364" s="157"/>
      <c r="S2364" s="157"/>
      <c r="T2364" s="157"/>
      <c r="U2364" s="157"/>
      <c r="V2364" s="158"/>
      <c r="W2364" s="182"/>
      <c r="X2364" s="1"/>
      <c r="Y2364" s="78">
        <f t="shared" si="285"/>
        <v>0</v>
      </c>
      <c r="Z2364" s="78">
        <f t="shared" si="286"/>
        <v>0</v>
      </c>
      <c r="AA2364" s="78">
        <f t="shared" si="291"/>
        <v>0</v>
      </c>
      <c r="AB2364" s="78">
        <f t="shared" si="287"/>
        <v>0</v>
      </c>
      <c r="AC2364" s="78"/>
      <c r="AD2364" s="78">
        <v>0</v>
      </c>
      <c r="AE2364" s="80">
        <f t="shared" si="290"/>
        <v>0</v>
      </c>
      <c r="AF2364" s="82">
        <v>0</v>
      </c>
      <c r="AG2364" s="69">
        <v>40539</v>
      </c>
      <c r="AH2364" s="84"/>
      <c r="AI2364" s="69" t="s">
        <v>1984</v>
      </c>
      <c r="AJ2364" s="25" t="s">
        <v>1985</v>
      </c>
      <c r="AK2364" s="65"/>
      <c r="AL2364" s="176" t="s">
        <v>1257</v>
      </c>
      <c r="AM2364" s="173" t="s">
        <v>795</v>
      </c>
      <c r="AN2364" s="159"/>
      <c r="AO2364" s="160"/>
      <c r="AP2364" s="161"/>
      <c r="AQ2364" s="160"/>
      <c r="AR2364" s="160"/>
      <c r="AS2364" s="160"/>
      <c r="AT2364" s="160"/>
      <c r="AU2364" s="160"/>
      <c r="AV2364" s="160"/>
      <c r="AW2364" s="160"/>
      <c r="AX2364" s="160"/>
      <c r="AY2364" s="160"/>
      <c r="AZ2364" s="160"/>
      <c r="BA2364" s="160"/>
      <c r="BB2364" s="160"/>
      <c r="BC2364" s="160"/>
      <c r="BD2364" s="160"/>
      <c r="BE2364" s="160"/>
      <c r="BF2364" s="160"/>
      <c r="BG2364" s="160"/>
      <c r="BH2364" s="160"/>
      <c r="BI2364" s="160"/>
      <c r="BJ2364" s="160"/>
      <c r="BK2364" s="160"/>
      <c r="BL2364" s="160"/>
      <c r="BM2364" s="160"/>
      <c r="BN2364" s="160"/>
      <c r="BO2364" s="160"/>
      <c r="BP2364" s="160"/>
      <c r="BQ2364" s="160"/>
      <c r="BR2364" s="160"/>
      <c r="BS2364" s="160"/>
      <c r="BT2364" s="160"/>
      <c r="BU2364" s="160"/>
      <c r="BV2364" s="160"/>
      <c r="BW2364" s="160"/>
      <c r="BX2364" s="160"/>
      <c r="BY2364" s="160"/>
      <c r="BZ2364" s="160"/>
      <c r="CA2364" s="160"/>
      <c r="CB2364" s="160"/>
      <c r="CC2364" s="160"/>
      <c r="CD2364" s="160"/>
      <c r="CE2364" s="160"/>
      <c r="CF2364" s="160"/>
      <c r="CG2364" s="160"/>
      <c r="CH2364" s="160"/>
      <c r="CI2364" s="160"/>
      <c r="CJ2364" s="160"/>
      <c r="CK2364" s="160"/>
      <c r="CL2364" s="160"/>
      <c r="CM2364" s="160"/>
      <c r="CN2364" s="160"/>
      <c r="CO2364" s="160"/>
      <c r="CP2364" s="162"/>
      <c r="CQ2364" s="163"/>
      <c r="CR2364" s="162"/>
      <c r="CS2364" s="163"/>
      <c r="CT2364" s="162"/>
      <c r="CU2364" s="163"/>
      <c r="CV2364" s="164">
        <f t="shared" si="288"/>
        <v>0</v>
      </c>
      <c r="CW2364" s="165"/>
      <c r="CX2364" s="166"/>
      <c r="CY2364" s="167"/>
      <c r="CZ2364" s="168"/>
      <c r="DA2364" s="169"/>
      <c r="DB2364" s="168"/>
      <c r="DC2364" s="165"/>
      <c r="DD2364" s="166"/>
      <c r="DE2364" s="71"/>
      <c r="DF2364" s="170"/>
      <c r="EO2364" s="375" t="str">
        <f t="shared" si="289"/>
        <v>CESAR_SAN DIEGO</v>
      </c>
      <c r="EP2364" s="376"/>
      <c r="EQ2364" s="376"/>
      <c r="ER2364" s="377"/>
      <c r="ES2364" s="376"/>
      <c r="ET2364" s="376"/>
      <c r="EU2364" s="376"/>
    </row>
    <row r="2365" spans="1:151" s="171" customFormat="1" ht="25.5" x14ac:dyDescent="0.2">
      <c r="A2365" s="242">
        <v>40539</v>
      </c>
      <c r="B2365" s="222" t="s">
        <v>2425</v>
      </c>
      <c r="C2365" s="222" t="s">
        <v>2374</v>
      </c>
      <c r="D2365" s="430" t="s">
        <v>2307</v>
      </c>
      <c r="E2365" s="107" t="str">
        <f>VLOOKUP(B2365&amp;C2365,Divipola!$C$2:$F$1138,4,FALSE)</f>
        <v>27001</v>
      </c>
      <c r="F2365" s="333"/>
      <c r="G2365" s="221"/>
      <c r="H2365" s="157"/>
      <c r="I2365" s="157"/>
      <c r="J2365" s="157">
        <v>5</v>
      </c>
      <c r="K2365" s="157">
        <v>1</v>
      </c>
      <c r="L2365" s="157"/>
      <c r="M2365" s="157"/>
      <c r="N2365" s="157"/>
      <c r="O2365" s="157"/>
      <c r="P2365" s="157"/>
      <c r="Q2365" s="157"/>
      <c r="R2365" s="157"/>
      <c r="S2365" s="157"/>
      <c r="T2365" s="157"/>
      <c r="U2365" s="157"/>
      <c r="V2365" s="158"/>
      <c r="W2365" s="182"/>
      <c r="X2365" s="1"/>
      <c r="Y2365" s="78">
        <f t="shared" si="285"/>
        <v>0</v>
      </c>
      <c r="Z2365" s="78">
        <f t="shared" si="286"/>
        <v>0</v>
      </c>
      <c r="AA2365" s="78">
        <f t="shared" si="291"/>
        <v>0</v>
      </c>
      <c r="AB2365" s="78">
        <f t="shared" si="287"/>
        <v>0</v>
      </c>
      <c r="AC2365" s="78"/>
      <c r="AD2365" s="78">
        <v>0</v>
      </c>
      <c r="AE2365" s="80">
        <f t="shared" si="290"/>
        <v>0</v>
      </c>
      <c r="AF2365" s="82">
        <v>0</v>
      </c>
      <c r="AG2365" s="69">
        <v>40539</v>
      </c>
      <c r="AH2365" s="84"/>
      <c r="AI2365" s="69" t="s">
        <v>1984</v>
      </c>
      <c r="AJ2365" s="25" t="s">
        <v>1985</v>
      </c>
      <c r="AK2365" s="65"/>
      <c r="AL2365" s="176" t="s">
        <v>1257</v>
      </c>
      <c r="AM2365" s="173" t="s">
        <v>807</v>
      </c>
      <c r="AN2365" s="159"/>
      <c r="AO2365" s="160"/>
      <c r="AP2365" s="161"/>
      <c r="AQ2365" s="160"/>
      <c r="AR2365" s="160"/>
      <c r="AS2365" s="160"/>
      <c r="AT2365" s="160"/>
      <c r="AU2365" s="160"/>
      <c r="AV2365" s="160"/>
      <c r="AW2365" s="160"/>
      <c r="AX2365" s="160"/>
      <c r="AY2365" s="160"/>
      <c r="AZ2365" s="160"/>
      <c r="BA2365" s="160"/>
      <c r="BB2365" s="160"/>
      <c r="BC2365" s="160"/>
      <c r="BD2365" s="160"/>
      <c r="BE2365" s="160"/>
      <c r="BF2365" s="160"/>
      <c r="BG2365" s="160"/>
      <c r="BH2365" s="160"/>
      <c r="BI2365" s="160"/>
      <c r="BJ2365" s="160"/>
      <c r="BK2365" s="160"/>
      <c r="BL2365" s="160"/>
      <c r="BM2365" s="160"/>
      <c r="BN2365" s="160"/>
      <c r="BO2365" s="160"/>
      <c r="BP2365" s="160"/>
      <c r="BQ2365" s="160"/>
      <c r="BR2365" s="160"/>
      <c r="BS2365" s="160"/>
      <c r="BT2365" s="160"/>
      <c r="BU2365" s="160"/>
      <c r="BV2365" s="160"/>
      <c r="BW2365" s="160"/>
      <c r="BX2365" s="160"/>
      <c r="BY2365" s="160"/>
      <c r="BZ2365" s="160"/>
      <c r="CA2365" s="160"/>
      <c r="CB2365" s="160"/>
      <c r="CC2365" s="160"/>
      <c r="CD2365" s="160"/>
      <c r="CE2365" s="160"/>
      <c r="CF2365" s="160"/>
      <c r="CG2365" s="160"/>
      <c r="CH2365" s="160"/>
      <c r="CI2365" s="160"/>
      <c r="CJ2365" s="160"/>
      <c r="CK2365" s="160"/>
      <c r="CL2365" s="160"/>
      <c r="CM2365" s="160"/>
      <c r="CN2365" s="160"/>
      <c r="CO2365" s="160"/>
      <c r="CP2365" s="162"/>
      <c r="CQ2365" s="163"/>
      <c r="CR2365" s="162"/>
      <c r="CS2365" s="163"/>
      <c r="CT2365" s="162"/>
      <c r="CU2365" s="163"/>
      <c r="CV2365" s="164">
        <f t="shared" si="288"/>
        <v>0</v>
      </c>
      <c r="CW2365" s="165"/>
      <c r="CX2365" s="166"/>
      <c r="CY2365" s="167"/>
      <c r="CZ2365" s="168"/>
      <c r="DA2365" s="169"/>
      <c r="DB2365" s="168"/>
      <c r="DC2365" s="165"/>
      <c r="DD2365" s="166"/>
      <c r="DE2365" s="71"/>
      <c r="DF2365" s="170"/>
      <c r="EO2365" s="375" t="str">
        <f t="shared" si="289"/>
        <v>CHOCO_QUIBDO</v>
      </c>
      <c r="EP2365" s="376"/>
      <c r="EQ2365" s="376"/>
      <c r="ER2365" s="377"/>
      <c r="ES2365" s="376"/>
      <c r="ET2365" s="376"/>
      <c r="EU2365" s="376"/>
    </row>
    <row r="2366" spans="1:151" s="171" customFormat="1" ht="60" x14ac:dyDescent="0.2">
      <c r="A2366" s="242">
        <v>40539</v>
      </c>
      <c r="B2366" s="222" t="s">
        <v>708</v>
      </c>
      <c r="C2366" s="222" t="s">
        <v>806</v>
      </c>
      <c r="D2366" s="430" t="s">
        <v>882</v>
      </c>
      <c r="E2366" s="107" t="str">
        <f>VLOOKUP(B2366&amp;C2366,Divipola!$C$2:$F$1138,4,FALSE)</f>
        <v>50325</v>
      </c>
      <c r="F2366" s="333"/>
      <c r="G2366" s="221"/>
      <c r="H2366" s="157"/>
      <c r="I2366" s="157"/>
      <c r="J2366" s="157"/>
      <c r="K2366" s="157"/>
      <c r="L2366" s="157"/>
      <c r="M2366" s="157"/>
      <c r="N2366" s="157">
        <v>1</v>
      </c>
      <c r="O2366" s="157">
        <v>1</v>
      </c>
      <c r="P2366" s="157"/>
      <c r="Q2366" s="157"/>
      <c r="R2366" s="157"/>
      <c r="S2366" s="157"/>
      <c r="T2366" s="157"/>
      <c r="U2366" s="157"/>
      <c r="V2366" s="158"/>
      <c r="W2366" s="182"/>
      <c r="X2366" s="1"/>
      <c r="Y2366" s="78">
        <f t="shared" si="285"/>
        <v>0</v>
      </c>
      <c r="Z2366" s="78">
        <f t="shared" si="286"/>
        <v>0</v>
      </c>
      <c r="AA2366" s="78">
        <f t="shared" si="291"/>
        <v>0</v>
      </c>
      <c r="AB2366" s="78">
        <f t="shared" si="287"/>
        <v>0</v>
      </c>
      <c r="AC2366" s="78"/>
      <c r="AD2366" s="78">
        <v>0</v>
      </c>
      <c r="AE2366" s="80">
        <f t="shared" si="290"/>
        <v>0</v>
      </c>
      <c r="AF2366" s="82">
        <v>0</v>
      </c>
      <c r="AG2366" s="69">
        <v>40539</v>
      </c>
      <c r="AH2366" s="84"/>
      <c r="AI2366" s="69" t="s">
        <v>1984</v>
      </c>
      <c r="AJ2366" s="25" t="s">
        <v>1985</v>
      </c>
      <c r="AK2366" s="65"/>
      <c r="AL2366" s="176" t="s">
        <v>1257</v>
      </c>
      <c r="AM2366" s="173" t="s">
        <v>446</v>
      </c>
      <c r="AN2366" s="159"/>
      <c r="AO2366" s="160"/>
      <c r="AP2366" s="161"/>
      <c r="AQ2366" s="160"/>
      <c r="AR2366" s="160"/>
      <c r="AS2366" s="160"/>
      <c r="AT2366" s="160"/>
      <c r="AU2366" s="160"/>
      <c r="AV2366" s="160"/>
      <c r="AW2366" s="160"/>
      <c r="AX2366" s="160"/>
      <c r="AY2366" s="160"/>
      <c r="AZ2366" s="160"/>
      <c r="BA2366" s="160"/>
      <c r="BB2366" s="160"/>
      <c r="BC2366" s="160"/>
      <c r="BD2366" s="160"/>
      <c r="BE2366" s="160"/>
      <c r="BF2366" s="160"/>
      <c r="BG2366" s="160"/>
      <c r="BH2366" s="160"/>
      <c r="BI2366" s="160"/>
      <c r="BJ2366" s="160"/>
      <c r="BK2366" s="160"/>
      <c r="BL2366" s="160"/>
      <c r="BM2366" s="160"/>
      <c r="BN2366" s="160"/>
      <c r="BO2366" s="160"/>
      <c r="BP2366" s="160"/>
      <c r="BQ2366" s="160"/>
      <c r="BR2366" s="160"/>
      <c r="BS2366" s="160"/>
      <c r="BT2366" s="160"/>
      <c r="BU2366" s="160"/>
      <c r="BV2366" s="160"/>
      <c r="BW2366" s="160"/>
      <c r="BX2366" s="160"/>
      <c r="BY2366" s="160"/>
      <c r="BZ2366" s="160"/>
      <c r="CA2366" s="160"/>
      <c r="CB2366" s="160"/>
      <c r="CC2366" s="160"/>
      <c r="CD2366" s="160"/>
      <c r="CE2366" s="160"/>
      <c r="CF2366" s="160"/>
      <c r="CG2366" s="160"/>
      <c r="CH2366" s="160"/>
      <c r="CI2366" s="160"/>
      <c r="CJ2366" s="160"/>
      <c r="CK2366" s="160"/>
      <c r="CL2366" s="160"/>
      <c r="CM2366" s="160"/>
      <c r="CN2366" s="160"/>
      <c r="CO2366" s="160"/>
      <c r="CP2366" s="162"/>
      <c r="CQ2366" s="163"/>
      <c r="CR2366" s="162"/>
      <c r="CS2366" s="163"/>
      <c r="CT2366" s="162"/>
      <c r="CU2366" s="163"/>
      <c r="CV2366" s="164">
        <f t="shared" si="288"/>
        <v>0</v>
      </c>
      <c r="CW2366" s="165"/>
      <c r="CX2366" s="166"/>
      <c r="CY2366" s="167"/>
      <c r="CZ2366" s="168"/>
      <c r="DA2366" s="169"/>
      <c r="DB2366" s="168"/>
      <c r="DC2366" s="165"/>
      <c r="DD2366" s="166"/>
      <c r="DE2366" s="71"/>
      <c r="DF2366" s="170"/>
      <c r="EO2366" s="375" t="str">
        <f t="shared" si="289"/>
        <v>META_MAPIRIPAN</v>
      </c>
      <c r="EP2366" s="376"/>
      <c r="EQ2366" s="376"/>
      <c r="ER2366" s="377"/>
      <c r="ES2366" s="376"/>
      <c r="ET2366" s="376"/>
      <c r="EU2366" s="376"/>
    </row>
    <row r="2367" spans="1:151" s="171" customFormat="1" ht="36" x14ac:dyDescent="0.2">
      <c r="A2367" s="242">
        <v>40539</v>
      </c>
      <c r="B2367" s="222" t="s">
        <v>2245</v>
      </c>
      <c r="C2367" s="222" t="s">
        <v>497</v>
      </c>
      <c r="D2367" s="430" t="s">
        <v>2307</v>
      </c>
      <c r="E2367" s="107" t="str">
        <f>VLOOKUP(B2367&amp;C2367,Divipola!$C$2:$F$1138,4,FALSE)</f>
        <v>52001</v>
      </c>
      <c r="F2367" s="333"/>
      <c r="G2367" s="221">
        <v>1</v>
      </c>
      <c r="H2367" s="157"/>
      <c r="I2367" s="157"/>
      <c r="J2367" s="157">
        <v>10</v>
      </c>
      <c r="K2367" s="157">
        <v>3</v>
      </c>
      <c r="L2367" s="157"/>
      <c r="M2367" s="157">
        <v>3</v>
      </c>
      <c r="N2367" s="157"/>
      <c r="O2367" s="157"/>
      <c r="P2367" s="157"/>
      <c r="Q2367" s="157"/>
      <c r="R2367" s="157"/>
      <c r="S2367" s="157"/>
      <c r="T2367" s="157"/>
      <c r="U2367" s="157"/>
      <c r="V2367" s="158"/>
      <c r="W2367" s="182"/>
      <c r="X2367" s="1"/>
      <c r="Y2367" s="78">
        <f t="shared" si="285"/>
        <v>0</v>
      </c>
      <c r="Z2367" s="78">
        <f t="shared" si="286"/>
        <v>0</v>
      </c>
      <c r="AA2367" s="78">
        <f t="shared" si="291"/>
        <v>0</v>
      </c>
      <c r="AB2367" s="78">
        <f t="shared" si="287"/>
        <v>0</v>
      </c>
      <c r="AC2367" s="78"/>
      <c r="AD2367" s="78">
        <v>0</v>
      </c>
      <c r="AE2367" s="80">
        <f t="shared" si="290"/>
        <v>0</v>
      </c>
      <c r="AF2367" s="82">
        <v>0</v>
      </c>
      <c r="AG2367" s="69">
        <v>40539</v>
      </c>
      <c r="AH2367" s="84"/>
      <c r="AI2367" s="69" t="s">
        <v>1984</v>
      </c>
      <c r="AJ2367" s="25" t="s">
        <v>1985</v>
      </c>
      <c r="AK2367" s="65"/>
      <c r="AL2367" s="176" t="s">
        <v>1257</v>
      </c>
      <c r="AM2367" s="173" t="s">
        <v>819</v>
      </c>
      <c r="AN2367" s="159"/>
      <c r="AO2367" s="160"/>
      <c r="AP2367" s="161"/>
      <c r="AQ2367" s="160"/>
      <c r="AR2367" s="160"/>
      <c r="AS2367" s="160"/>
      <c r="AT2367" s="160"/>
      <c r="AU2367" s="160"/>
      <c r="AV2367" s="160"/>
      <c r="AW2367" s="160"/>
      <c r="AX2367" s="160"/>
      <c r="AY2367" s="160"/>
      <c r="AZ2367" s="160"/>
      <c r="BA2367" s="160"/>
      <c r="BB2367" s="160"/>
      <c r="BC2367" s="160"/>
      <c r="BD2367" s="160"/>
      <c r="BE2367" s="160"/>
      <c r="BF2367" s="160"/>
      <c r="BG2367" s="160"/>
      <c r="BH2367" s="160"/>
      <c r="BI2367" s="160"/>
      <c r="BJ2367" s="160"/>
      <c r="BK2367" s="160"/>
      <c r="BL2367" s="160"/>
      <c r="BM2367" s="160"/>
      <c r="BN2367" s="160"/>
      <c r="BO2367" s="160"/>
      <c r="BP2367" s="160"/>
      <c r="BQ2367" s="160"/>
      <c r="BR2367" s="160"/>
      <c r="BS2367" s="160"/>
      <c r="BT2367" s="160"/>
      <c r="BU2367" s="160"/>
      <c r="BV2367" s="160"/>
      <c r="BW2367" s="160"/>
      <c r="BX2367" s="160"/>
      <c r="BY2367" s="160"/>
      <c r="BZ2367" s="160"/>
      <c r="CA2367" s="160"/>
      <c r="CB2367" s="160"/>
      <c r="CC2367" s="160"/>
      <c r="CD2367" s="160"/>
      <c r="CE2367" s="160"/>
      <c r="CF2367" s="160"/>
      <c r="CG2367" s="160"/>
      <c r="CH2367" s="160"/>
      <c r="CI2367" s="160"/>
      <c r="CJ2367" s="160"/>
      <c r="CK2367" s="160"/>
      <c r="CL2367" s="160"/>
      <c r="CM2367" s="160"/>
      <c r="CN2367" s="160"/>
      <c r="CO2367" s="160"/>
      <c r="CP2367" s="162"/>
      <c r="CQ2367" s="163"/>
      <c r="CR2367" s="162"/>
      <c r="CS2367" s="163"/>
      <c r="CT2367" s="162"/>
      <c r="CU2367" s="163"/>
      <c r="CV2367" s="164">
        <f t="shared" si="288"/>
        <v>0</v>
      </c>
      <c r="CW2367" s="165"/>
      <c r="CX2367" s="166"/>
      <c r="CY2367" s="167"/>
      <c r="CZ2367" s="168"/>
      <c r="DA2367" s="169"/>
      <c r="DB2367" s="168"/>
      <c r="DC2367" s="165"/>
      <c r="DD2367" s="166"/>
      <c r="DE2367" s="71"/>
      <c r="DF2367" s="170"/>
      <c r="EO2367" s="375" t="str">
        <f t="shared" si="289"/>
        <v>NARIÑO_PASTO</v>
      </c>
      <c r="EP2367" s="376"/>
      <c r="EQ2367" s="376"/>
      <c r="ER2367" s="377"/>
      <c r="ES2367" s="376"/>
      <c r="ET2367" s="376"/>
      <c r="EU2367" s="376"/>
    </row>
    <row r="2368" spans="1:151" s="171" customFormat="1" ht="60" x14ac:dyDescent="0.2">
      <c r="A2368" s="242">
        <v>40539</v>
      </c>
      <c r="B2368" s="222" t="s">
        <v>2245</v>
      </c>
      <c r="C2368" s="222" t="s">
        <v>2105</v>
      </c>
      <c r="D2368" s="430" t="s">
        <v>2307</v>
      </c>
      <c r="E2368" s="107" t="str">
        <f>VLOOKUP(B2368&amp;C2368,Divipola!$C$2:$F$1138,4,FALSE)</f>
        <v>52693</v>
      </c>
      <c r="F2368" s="333"/>
      <c r="G2368" s="221"/>
      <c r="H2368" s="157"/>
      <c r="I2368" s="157"/>
      <c r="J2368" s="157">
        <v>48</v>
      </c>
      <c r="K2368" s="157">
        <v>12</v>
      </c>
      <c r="L2368" s="157"/>
      <c r="M2368" s="157"/>
      <c r="N2368" s="157">
        <v>4</v>
      </c>
      <c r="O2368" s="157"/>
      <c r="P2368" s="157"/>
      <c r="Q2368" s="157"/>
      <c r="R2368" s="157"/>
      <c r="S2368" s="157"/>
      <c r="T2368" s="157"/>
      <c r="U2368" s="157"/>
      <c r="V2368" s="158"/>
      <c r="W2368" s="182"/>
      <c r="X2368" s="1"/>
      <c r="Y2368" s="78">
        <f t="shared" si="285"/>
        <v>0</v>
      </c>
      <c r="Z2368" s="78">
        <f t="shared" si="286"/>
        <v>0</v>
      </c>
      <c r="AA2368" s="78">
        <f t="shared" si="291"/>
        <v>0</v>
      </c>
      <c r="AB2368" s="78">
        <f t="shared" si="287"/>
        <v>0</v>
      </c>
      <c r="AC2368" s="78"/>
      <c r="AD2368" s="78">
        <v>0</v>
      </c>
      <c r="AE2368" s="80">
        <f t="shared" si="290"/>
        <v>0</v>
      </c>
      <c r="AF2368" s="82">
        <v>0</v>
      </c>
      <c r="AG2368" s="69">
        <v>40539</v>
      </c>
      <c r="AH2368" s="84"/>
      <c r="AI2368" s="69" t="s">
        <v>1984</v>
      </c>
      <c r="AJ2368" s="25" t="s">
        <v>1985</v>
      </c>
      <c r="AK2368" s="65"/>
      <c r="AL2368" s="176" t="s">
        <v>1257</v>
      </c>
      <c r="AM2368" s="173" t="s">
        <v>818</v>
      </c>
      <c r="AN2368" s="159"/>
      <c r="AO2368" s="160"/>
      <c r="AP2368" s="161"/>
      <c r="AQ2368" s="160"/>
      <c r="AR2368" s="160"/>
      <c r="AS2368" s="160"/>
      <c r="AT2368" s="160"/>
      <c r="AU2368" s="160"/>
      <c r="AV2368" s="160"/>
      <c r="AW2368" s="160"/>
      <c r="AX2368" s="160"/>
      <c r="AY2368" s="160"/>
      <c r="AZ2368" s="160"/>
      <c r="BA2368" s="160"/>
      <c r="BB2368" s="160"/>
      <c r="BC2368" s="160"/>
      <c r="BD2368" s="160"/>
      <c r="BE2368" s="160"/>
      <c r="BF2368" s="160"/>
      <c r="BG2368" s="160"/>
      <c r="BH2368" s="160"/>
      <c r="BI2368" s="160"/>
      <c r="BJ2368" s="160"/>
      <c r="BK2368" s="160"/>
      <c r="BL2368" s="160"/>
      <c r="BM2368" s="160"/>
      <c r="BN2368" s="160"/>
      <c r="BO2368" s="160"/>
      <c r="BP2368" s="160"/>
      <c r="BQ2368" s="160"/>
      <c r="BR2368" s="160"/>
      <c r="BS2368" s="160"/>
      <c r="BT2368" s="160"/>
      <c r="BU2368" s="160"/>
      <c r="BV2368" s="160"/>
      <c r="BW2368" s="160"/>
      <c r="BX2368" s="160"/>
      <c r="BY2368" s="160"/>
      <c r="BZ2368" s="160"/>
      <c r="CA2368" s="160"/>
      <c r="CB2368" s="160"/>
      <c r="CC2368" s="160"/>
      <c r="CD2368" s="160"/>
      <c r="CE2368" s="160"/>
      <c r="CF2368" s="160"/>
      <c r="CG2368" s="160"/>
      <c r="CH2368" s="160"/>
      <c r="CI2368" s="160"/>
      <c r="CJ2368" s="160"/>
      <c r="CK2368" s="160"/>
      <c r="CL2368" s="160"/>
      <c r="CM2368" s="160"/>
      <c r="CN2368" s="160"/>
      <c r="CO2368" s="160"/>
      <c r="CP2368" s="162"/>
      <c r="CQ2368" s="163"/>
      <c r="CR2368" s="162"/>
      <c r="CS2368" s="163"/>
      <c r="CT2368" s="162"/>
      <c r="CU2368" s="163"/>
      <c r="CV2368" s="164">
        <f t="shared" si="288"/>
        <v>0</v>
      </c>
      <c r="CW2368" s="165"/>
      <c r="CX2368" s="166"/>
      <c r="CY2368" s="167"/>
      <c r="CZ2368" s="168"/>
      <c r="DA2368" s="169"/>
      <c r="DB2368" s="168"/>
      <c r="DC2368" s="165"/>
      <c r="DD2368" s="166"/>
      <c r="DE2368" s="71"/>
      <c r="DF2368" s="170"/>
      <c r="EO2368" s="375" t="str">
        <f t="shared" si="289"/>
        <v>NARIÑO_SAN PABLO</v>
      </c>
      <c r="EP2368" s="376"/>
      <c r="EQ2368" s="376"/>
      <c r="ER2368" s="377"/>
      <c r="ES2368" s="376"/>
      <c r="ET2368" s="376"/>
      <c r="EU2368" s="376"/>
    </row>
    <row r="2369" spans="1:151" s="171" customFormat="1" ht="25.5" x14ac:dyDescent="0.2">
      <c r="A2369" s="242">
        <v>40540</v>
      </c>
      <c r="B2369" s="222" t="s">
        <v>828</v>
      </c>
      <c r="C2369" s="222" t="s">
        <v>3067</v>
      </c>
      <c r="D2369" s="430" t="s">
        <v>2307</v>
      </c>
      <c r="E2369" s="107" t="str">
        <f>VLOOKUP(B2369&amp;C2369,Divipola!$C$2:$F$1138,4,FALSE)</f>
        <v>15753</v>
      </c>
      <c r="F2369" s="333"/>
      <c r="G2369" s="221"/>
      <c r="H2369" s="157"/>
      <c r="I2369" s="157"/>
      <c r="J2369" s="157">
        <f>92*5</f>
        <v>460</v>
      </c>
      <c r="K2369" s="157">
        <v>92</v>
      </c>
      <c r="L2369" s="157">
        <v>11</v>
      </c>
      <c r="M2369" s="157">
        <v>81</v>
      </c>
      <c r="N2369" s="157"/>
      <c r="O2369" s="157"/>
      <c r="P2369" s="157"/>
      <c r="Q2369" s="157"/>
      <c r="R2369" s="157"/>
      <c r="S2369" s="157"/>
      <c r="T2369" s="157"/>
      <c r="U2369" s="157"/>
      <c r="V2369" s="158"/>
      <c r="W2369" s="182"/>
      <c r="X2369" s="1"/>
      <c r="Y2369" s="78">
        <f t="shared" si="285"/>
        <v>0</v>
      </c>
      <c r="Z2369" s="78">
        <f t="shared" si="286"/>
        <v>0</v>
      </c>
      <c r="AA2369" s="78">
        <f t="shared" si="291"/>
        <v>0</v>
      </c>
      <c r="AB2369" s="78">
        <f t="shared" si="287"/>
        <v>0</v>
      </c>
      <c r="AC2369" s="78"/>
      <c r="AD2369" s="78">
        <v>0</v>
      </c>
      <c r="AE2369" s="80">
        <f t="shared" si="290"/>
        <v>0</v>
      </c>
      <c r="AF2369" s="82">
        <v>0</v>
      </c>
      <c r="AG2369" s="69">
        <v>40540</v>
      </c>
      <c r="AH2369" s="84"/>
      <c r="AI2369" s="69" t="s">
        <v>1984</v>
      </c>
      <c r="AJ2369" s="25" t="s">
        <v>1985</v>
      </c>
      <c r="AK2369" s="65"/>
      <c r="AL2369" s="176" t="s">
        <v>1257</v>
      </c>
      <c r="AM2369" s="173" t="s">
        <v>798</v>
      </c>
      <c r="AN2369" s="159"/>
      <c r="AO2369" s="160"/>
      <c r="AP2369" s="161"/>
      <c r="AQ2369" s="160"/>
      <c r="AR2369" s="160"/>
      <c r="AS2369" s="160"/>
      <c r="AT2369" s="160"/>
      <c r="AU2369" s="160"/>
      <c r="AV2369" s="160"/>
      <c r="AW2369" s="160"/>
      <c r="AX2369" s="160"/>
      <c r="AY2369" s="160"/>
      <c r="AZ2369" s="160"/>
      <c r="BA2369" s="160"/>
      <c r="BB2369" s="160"/>
      <c r="BC2369" s="160"/>
      <c r="BD2369" s="160"/>
      <c r="BE2369" s="160"/>
      <c r="BF2369" s="160"/>
      <c r="BG2369" s="160"/>
      <c r="BH2369" s="160"/>
      <c r="BI2369" s="160"/>
      <c r="BJ2369" s="160"/>
      <c r="BK2369" s="160"/>
      <c r="BL2369" s="160"/>
      <c r="BM2369" s="160"/>
      <c r="BN2369" s="160"/>
      <c r="BO2369" s="160"/>
      <c r="BP2369" s="160"/>
      <c r="BQ2369" s="160"/>
      <c r="BR2369" s="160"/>
      <c r="BS2369" s="160"/>
      <c r="BT2369" s="160"/>
      <c r="BU2369" s="160"/>
      <c r="BV2369" s="160"/>
      <c r="BW2369" s="160"/>
      <c r="BX2369" s="160"/>
      <c r="BY2369" s="160"/>
      <c r="BZ2369" s="160"/>
      <c r="CA2369" s="160"/>
      <c r="CB2369" s="160"/>
      <c r="CC2369" s="160"/>
      <c r="CD2369" s="160"/>
      <c r="CE2369" s="160"/>
      <c r="CF2369" s="160"/>
      <c r="CG2369" s="160"/>
      <c r="CH2369" s="160"/>
      <c r="CI2369" s="160"/>
      <c r="CJ2369" s="160"/>
      <c r="CK2369" s="160"/>
      <c r="CL2369" s="160"/>
      <c r="CM2369" s="160"/>
      <c r="CN2369" s="160"/>
      <c r="CO2369" s="160"/>
      <c r="CP2369" s="162"/>
      <c r="CQ2369" s="163"/>
      <c r="CR2369" s="162"/>
      <c r="CS2369" s="163"/>
      <c r="CT2369" s="162"/>
      <c r="CU2369" s="163"/>
      <c r="CV2369" s="164">
        <f t="shared" si="288"/>
        <v>0</v>
      </c>
      <c r="CW2369" s="165"/>
      <c r="CX2369" s="166"/>
      <c r="CY2369" s="167"/>
      <c r="CZ2369" s="168"/>
      <c r="DA2369" s="169"/>
      <c r="DB2369" s="168"/>
      <c r="DC2369" s="165"/>
      <c r="DD2369" s="166"/>
      <c r="DE2369" s="71"/>
      <c r="DF2369" s="170"/>
      <c r="EO2369" s="375" t="str">
        <f t="shared" ref="EO2369:EO2444" si="292">B2369&amp;"_"&amp;C2369</f>
        <v>BOYACA_SOATA</v>
      </c>
      <c r="EP2369" s="376"/>
      <c r="EQ2369" s="376"/>
      <c r="ER2369" s="377"/>
      <c r="ES2369" s="376"/>
      <c r="ET2369" s="376"/>
      <c r="EU2369" s="376"/>
    </row>
    <row r="2370" spans="1:151" s="171" customFormat="1" ht="25.5" x14ac:dyDescent="0.2">
      <c r="A2370" s="242">
        <v>40540</v>
      </c>
      <c r="B2370" s="222" t="s">
        <v>828</v>
      </c>
      <c r="C2370" s="222" t="s">
        <v>621</v>
      </c>
      <c r="D2370" s="430" t="s">
        <v>2307</v>
      </c>
      <c r="E2370" s="107" t="str">
        <f>VLOOKUP(B2370&amp;C2370,Divipola!$C$2:$F$1138,4,FALSE)</f>
        <v>15001</v>
      </c>
      <c r="F2370" s="333"/>
      <c r="G2370" s="221"/>
      <c r="H2370" s="157"/>
      <c r="I2370" s="157"/>
      <c r="J2370" s="157"/>
      <c r="K2370" s="157"/>
      <c r="L2370" s="157"/>
      <c r="M2370" s="157"/>
      <c r="N2370" s="157">
        <v>1</v>
      </c>
      <c r="O2370" s="157"/>
      <c r="P2370" s="157"/>
      <c r="Q2370" s="157"/>
      <c r="R2370" s="157"/>
      <c r="S2370" s="157"/>
      <c r="T2370" s="157"/>
      <c r="U2370" s="157"/>
      <c r="V2370" s="158"/>
      <c r="W2370" s="182"/>
      <c r="X2370" s="1"/>
      <c r="Y2370" s="78">
        <f t="shared" si="285"/>
        <v>0</v>
      </c>
      <c r="Z2370" s="78">
        <f t="shared" si="286"/>
        <v>0</v>
      </c>
      <c r="AA2370" s="78">
        <f t="shared" si="291"/>
        <v>0</v>
      </c>
      <c r="AB2370" s="78">
        <f t="shared" si="287"/>
        <v>0</v>
      </c>
      <c r="AC2370" s="78"/>
      <c r="AD2370" s="78">
        <v>0</v>
      </c>
      <c r="AE2370" s="80">
        <f t="shared" si="290"/>
        <v>0</v>
      </c>
      <c r="AF2370" s="82">
        <v>0</v>
      </c>
      <c r="AG2370" s="69">
        <v>40540</v>
      </c>
      <c r="AH2370" s="84"/>
      <c r="AI2370" s="69" t="s">
        <v>1984</v>
      </c>
      <c r="AJ2370" s="25" t="s">
        <v>1985</v>
      </c>
      <c r="AK2370" s="65"/>
      <c r="AL2370" s="176" t="s">
        <v>1257</v>
      </c>
      <c r="AM2370" s="173" t="s">
        <v>799</v>
      </c>
      <c r="AN2370" s="159"/>
      <c r="AO2370" s="160"/>
      <c r="AP2370" s="161"/>
      <c r="AQ2370" s="160"/>
      <c r="AR2370" s="160"/>
      <c r="AS2370" s="160"/>
      <c r="AT2370" s="160"/>
      <c r="AU2370" s="160"/>
      <c r="AV2370" s="160"/>
      <c r="AW2370" s="160"/>
      <c r="AX2370" s="160"/>
      <c r="AY2370" s="160"/>
      <c r="AZ2370" s="160"/>
      <c r="BA2370" s="160"/>
      <c r="BB2370" s="160"/>
      <c r="BC2370" s="160"/>
      <c r="BD2370" s="160"/>
      <c r="BE2370" s="160"/>
      <c r="BF2370" s="160"/>
      <c r="BG2370" s="160"/>
      <c r="BH2370" s="160"/>
      <c r="BI2370" s="160"/>
      <c r="BJ2370" s="160"/>
      <c r="BK2370" s="160"/>
      <c r="BL2370" s="160"/>
      <c r="BM2370" s="160"/>
      <c r="BN2370" s="160"/>
      <c r="BO2370" s="160"/>
      <c r="BP2370" s="160"/>
      <c r="BQ2370" s="160"/>
      <c r="BR2370" s="160"/>
      <c r="BS2370" s="160"/>
      <c r="BT2370" s="160"/>
      <c r="BU2370" s="160"/>
      <c r="BV2370" s="160"/>
      <c r="BW2370" s="160"/>
      <c r="BX2370" s="160"/>
      <c r="BY2370" s="160"/>
      <c r="BZ2370" s="160"/>
      <c r="CA2370" s="160"/>
      <c r="CB2370" s="160"/>
      <c r="CC2370" s="160"/>
      <c r="CD2370" s="160"/>
      <c r="CE2370" s="160"/>
      <c r="CF2370" s="160"/>
      <c r="CG2370" s="160"/>
      <c r="CH2370" s="160"/>
      <c r="CI2370" s="160"/>
      <c r="CJ2370" s="160"/>
      <c r="CK2370" s="160"/>
      <c r="CL2370" s="160"/>
      <c r="CM2370" s="160"/>
      <c r="CN2370" s="160"/>
      <c r="CO2370" s="160"/>
      <c r="CP2370" s="162"/>
      <c r="CQ2370" s="163"/>
      <c r="CR2370" s="162"/>
      <c r="CS2370" s="163"/>
      <c r="CT2370" s="162"/>
      <c r="CU2370" s="163"/>
      <c r="CV2370" s="164">
        <f t="shared" si="288"/>
        <v>0</v>
      </c>
      <c r="CW2370" s="165"/>
      <c r="CX2370" s="166"/>
      <c r="CY2370" s="167"/>
      <c r="CZ2370" s="168"/>
      <c r="DA2370" s="169"/>
      <c r="DB2370" s="168"/>
      <c r="DC2370" s="165"/>
      <c r="DD2370" s="166"/>
      <c r="DE2370" s="71"/>
      <c r="DF2370" s="170"/>
      <c r="EO2370" s="375" t="str">
        <f t="shared" si="292"/>
        <v>BOYACA_TUNJA</v>
      </c>
      <c r="EP2370" s="376"/>
      <c r="EQ2370" s="376"/>
      <c r="ER2370" s="377"/>
      <c r="ES2370" s="376"/>
      <c r="ET2370" s="376"/>
      <c r="EU2370" s="376"/>
    </row>
    <row r="2371" spans="1:151" s="171" customFormat="1" ht="25.5" x14ac:dyDescent="0.2">
      <c r="A2371" s="242">
        <v>40540</v>
      </c>
      <c r="B2371" s="222" t="s">
        <v>2425</v>
      </c>
      <c r="C2371" s="222" t="s">
        <v>1311</v>
      </c>
      <c r="D2371" s="430" t="s">
        <v>837</v>
      </c>
      <c r="E2371" s="107" t="str">
        <f>VLOOKUP(B2371&amp;C2371,Divipola!$C$2:$F$1138,4,FALSE)</f>
        <v>27050</v>
      </c>
      <c r="F2371" s="333"/>
      <c r="G2371" s="221">
        <v>3</v>
      </c>
      <c r="H2371" s="157"/>
      <c r="I2371" s="157"/>
      <c r="J2371" s="183">
        <f>2324-1943</f>
        <v>381</v>
      </c>
      <c r="K2371" s="157">
        <f>452-281</f>
        <v>171</v>
      </c>
      <c r="L2371" s="157"/>
      <c r="M2371" s="157"/>
      <c r="N2371" s="157"/>
      <c r="O2371" s="157"/>
      <c r="P2371" s="157"/>
      <c r="Q2371" s="157"/>
      <c r="R2371" s="157"/>
      <c r="S2371" s="157"/>
      <c r="T2371" s="157"/>
      <c r="U2371" s="157"/>
      <c r="V2371" s="158"/>
      <c r="W2371" s="182"/>
      <c r="X2371" s="1"/>
      <c r="Y2371" s="78">
        <f t="shared" ref="Y2371:Y2434" si="293">CV2371</f>
        <v>0</v>
      </c>
      <c r="Z2371" s="78">
        <f t="shared" ref="Z2371:Z2434" si="294">CZ2371</f>
        <v>0</v>
      </c>
      <c r="AA2371" s="78">
        <f t="shared" si="291"/>
        <v>0</v>
      </c>
      <c r="AB2371" s="78">
        <f t="shared" ref="AB2371:AB2434" si="295">CX2371</f>
        <v>0</v>
      </c>
      <c r="AC2371" s="78"/>
      <c r="AD2371" s="78">
        <v>0</v>
      </c>
      <c r="AE2371" s="80">
        <f t="shared" si="290"/>
        <v>0</v>
      </c>
      <c r="AF2371" s="82">
        <v>0</v>
      </c>
      <c r="AG2371" s="69">
        <v>40540</v>
      </c>
      <c r="AH2371" s="84"/>
      <c r="AI2371" s="69" t="s">
        <v>1984</v>
      </c>
      <c r="AJ2371" s="25" t="s">
        <v>1985</v>
      </c>
      <c r="AK2371" s="65"/>
      <c r="AL2371" s="176" t="s">
        <v>1257</v>
      </c>
      <c r="AM2371" s="173" t="s">
        <v>804</v>
      </c>
      <c r="AN2371" s="159"/>
      <c r="AO2371" s="160"/>
      <c r="AP2371" s="161"/>
      <c r="AQ2371" s="160"/>
      <c r="AR2371" s="160"/>
      <c r="AS2371" s="160"/>
      <c r="AT2371" s="160"/>
      <c r="AU2371" s="160"/>
      <c r="AV2371" s="160"/>
      <c r="AW2371" s="160"/>
      <c r="AX2371" s="160"/>
      <c r="AY2371" s="160"/>
      <c r="AZ2371" s="160"/>
      <c r="BA2371" s="160"/>
      <c r="BB2371" s="160"/>
      <c r="BC2371" s="160"/>
      <c r="BD2371" s="160"/>
      <c r="BE2371" s="160"/>
      <c r="BF2371" s="160"/>
      <c r="BG2371" s="160"/>
      <c r="BH2371" s="160"/>
      <c r="BI2371" s="160"/>
      <c r="BJ2371" s="160"/>
      <c r="BK2371" s="160"/>
      <c r="BL2371" s="160"/>
      <c r="BM2371" s="160"/>
      <c r="BN2371" s="160"/>
      <c r="BO2371" s="160"/>
      <c r="BP2371" s="160"/>
      <c r="BQ2371" s="160"/>
      <c r="BR2371" s="160"/>
      <c r="BS2371" s="160"/>
      <c r="BT2371" s="160"/>
      <c r="BU2371" s="160"/>
      <c r="BV2371" s="160"/>
      <c r="BW2371" s="160"/>
      <c r="BX2371" s="160"/>
      <c r="BY2371" s="160"/>
      <c r="BZ2371" s="160"/>
      <c r="CA2371" s="160"/>
      <c r="CB2371" s="160"/>
      <c r="CC2371" s="160"/>
      <c r="CD2371" s="160"/>
      <c r="CE2371" s="160"/>
      <c r="CF2371" s="160"/>
      <c r="CG2371" s="160"/>
      <c r="CH2371" s="160"/>
      <c r="CI2371" s="160"/>
      <c r="CJ2371" s="160"/>
      <c r="CK2371" s="160"/>
      <c r="CL2371" s="160"/>
      <c r="CM2371" s="160"/>
      <c r="CN2371" s="160"/>
      <c r="CO2371" s="160"/>
      <c r="CP2371" s="162"/>
      <c r="CQ2371" s="163"/>
      <c r="CR2371" s="162"/>
      <c r="CS2371" s="163"/>
      <c r="CT2371" s="162"/>
      <c r="CU2371" s="163"/>
      <c r="CV2371" s="164">
        <f t="shared" ref="CV2371:CV2434" si="296">AO2371+AQ2371+AS2371+AU2371+AW2371+AY2371+BA2371+BC2371+BE2371+BG2371+BI2371+BK2371+BM2371+BO2371+BQ2371+BS2371+BU2371+BW2371+BY2371+CA2371+CC2371+CE2371+CG2371+CI2371+CK2371+CM2371+CO2371+CQ2371+CS2371+CU2371</f>
        <v>0</v>
      </c>
      <c r="CW2371" s="165"/>
      <c r="CX2371" s="166"/>
      <c r="CY2371" s="167"/>
      <c r="CZ2371" s="168"/>
      <c r="DA2371" s="169"/>
      <c r="DB2371" s="168"/>
      <c r="DC2371" s="165"/>
      <c r="DD2371" s="166"/>
      <c r="DE2371" s="71"/>
      <c r="DF2371" s="170"/>
      <c r="EO2371" s="375" t="str">
        <f t="shared" si="292"/>
        <v>CHOCO_ATRATO</v>
      </c>
      <c r="EP2371" s="376"/>
      <c r="EQ2371" s="376"/>
      <c r="ER2371" s="377"/>
      <c r="ES2371" s="376"/>
      <c r="ET2371" s="376"/>
      <c r="EU2371" s="376"/>
    </row>
    <row r="2372" spans="1:151" s="171" customFormat="1" ht="84" x14ac:dyDescent="0.2">
      <c r="A2372" s="242">
        <v>40540</v>
      </c>
      <c r="B2372" s="222" t="s">
        <v>1700</v>
      </c>
      <c r="C2372" s="222" t="s">
        <v>2134</v>
      </c>
      <c r="D2372" s="430" t="s">
        <v>837</v>
      </c>
      <c r="E2372" s="107" t="str">
        <f>VLOOKUP(B2372&amp;C2372,Divipola!$C$2:$F$1138,4,FALSE)</f>
        <v>23001</v>
      </c>
      <c r="F2372" s="333"/>
      <c r="G2372" s="221"/>
      <c r="H2372" s="157"/>
      <c r="I2372" s="157"/>
      <c r="J2372" s="157">
        <f>14895-987-5675</f>
        <v>8233</v>
      </c>
      <c r="K2372" s="157">
        <f>2979-220-1135</f>
        <v>1624</v>
      </c>
      <c r="L2372" s="157"/>
      <c r="M2372" s="157">
        <v>1624</v>
      </c>
      <c r="N2372" s="157"/>
      <c r="O2372" s="157"/>
      <c r="P2372" s="157"/>
      <c r="Q2372" s="157"/>
      <c r="R2372" s="157"/>
      <c r="S2372" s="157"/>
      <c r="T2372" s="157"/>
      <c r="U2372" s="157"/>
      <c r="V2372" s="158"/>
      <c r="W2372" s="182"/>
      <c r="X2372" s="1"/>
      <c r="Y2372" s="78">
        <f t="shared" si="293"/>
        <v>0</v>
      </c>
      <c r="Z2372" s="78">
        <f t="shared" si="294"/>
        <v>0</v>
      </c>
      <c r="AA2372" s="78">
        <f t="shared" si="291"/>
        <v>0</v>
      </c>
      <c r="AB2372" s="78">
        <f t="shared" si="295"/>
        <v>0</v>
      </c>
      <c r="AC2372" s="78"/>
      <c r="AD2372" s="78">
        <v>0</v>
      </c>
      <c r="AE2372" s="80">
        <f t="shared" si="290"/>
        <v>0</v>
      </c>
      <c r="AF2372" s="82">
        <v>0</v>
      </c>
      <c r="AG2372" s="69">
        <v>40540</v>
      </c>
      <c r="AH2372" s="84"/>
      <c r="AI2372" s="69" t="s">
        <v>2009</v>
      </c>
      <c r="AJ2372" s="276" t="s">
        <v>2010</v>
      </c>
      <c r="AK2372" s="65"/>
      <c r="AL2372" s="272" t="s">
        <v>311</v>
      </c>
      <c r="AM2372" s="173" t="s">
        <v>809</v>
      </c>
      <c r="AN2372" s="159"/>
      <c r="AO2372" s="160"/>
      <c r="AP2372" s="161"/>
      <c r="AQ2372" s="160"/>
      <c r="AR2372" s="160"/>
      <c r="AS2372" s="160"/>
      <c r="AT2372" s="160"/>
      <c r="AU2372" s="160"/>
      <c r="AV2372" s="160"/>
      <c r="AW2372" s="160"/>
      <c r="AX2372" s="160"/>
      <c r="AY2372" s="160"/>
      <c r="AZ2372" s="160"/>
      <c r="BA2372" s="160"/>
      <c r="BB2372" s="160"/>
      <c r="BC2372" s="160"/>
      <c r="BD2372" s="160"/>
      <c r="BE2372" s="160"/>
      <c r="BF2372" s="160"/>
      <c r="BG2372" s="160"/>
      <c r="BH2372" s="160"/>
      <c r="BI2372" s="160"/>
      <c r="BJ2372" s="160"/>
      <c r="BK2372" s="160"/>
      <c r="BL2372" s="160"/>
      <c r="BM2372" s="160"/>
      <c r="BN2372" s="160"/>
      <c r="BO2372" s="160"/>
      <c r="BP2372" s="160"/>
      <c r="BQ2372" s="160"/>
      <c r="BR2372" s="160"/>
      <c r="BS2372" s="160"/>
      <c r="BT2372" s="160"/>
      <c r="BU2372" s="160"/>
      <c r="BV2372" s="160"/>
      <c r="BW2372" s="160"/>
      <c r="BX2372" s="160"/>
      <c r="BY2372" s="160"/>
      <c r="BZ2372" s="160"/>
      <c r="CA2372" s="160"/>
      <c r="CB2372" s="160"/>
      <c r="CC2372" s="160"/>
      <c r="CD2372" s="160"/>
      <c r="CE2372" s="160"/>
      <c r="CF2372" s="160"/>
      <c r="CG2372" s="160"/>
      <c r="CH2372" s="160"/>
      <c r="CI2372" s="160"/>
      <c r="CJ2372" s="160"/>
      <c r="CK2372" s="160"/>
      <c r="CL2372" s="160"/>
      <c r="CM2372" s="160"/>
      <c r="CN2372" s="160"/>
      <c r="CO2372" s="160"/>
      <c r="CP2372" s="162"/>
      <c r="CQ2372" s="163"/>
      <c r="CR2372" s="162"/>
      <c r="CS2372" s="163"/>
      <c r="CT2372" s="162"/>
      <c r="CU2372" s="163"/>
      <c r="CV2372" s="164">
        <f t="shared" si="296"/>
        <v>0</v>
      </c>
      <c r="CW2372" s="165"/>
      <c r="CX2372" s="166"/>
      <c r="CY2372" s="167"/>
      <c r="CZ2372" s="168"/>
      <c r="DA2372" s="169"/>
      <c r="DB2372" s="168"/>
      <c r="DC2372" s="165"/>
      <c r="DD2372" s="166"/>
      <c r="DE2372" s="71"/>
      <c r="DF2372" s="170"/>
      <c r="EO2372" s="375" t="str">
        <f t="shared" si="292"/>
        <v>CORDOBA_MONTERIA</v>
      </c>
      <c r="EP2372" s="376"/>
      <c r="EQ2372" s="376"/>
      <c r="ER2372" s="377"/>
      <c r="ES2372" s="376"/>
      <c r="ET2372" s="376"/>
      <c r="EU2372" s="376"/>
    </row>
    <row r="2373" spans="1:151" s="171" customFormat="1" ht="36" x14ac:dyDescent="0.2">
      <c r="A2373" s="242">
        <v>40540</v>
      </c>
      <c r="B2373" s="222" t="s">
        <v>2245</v>
      </c>
      <c r="C2373" s="222" t="s">
        <v>556</v>
      </c>
      <c r="D2373" s="430" t="s">
        <v>2307</v>
      </c>
      <c r="E2373" s="107" t="str">
        <f>VLOOKUP(B2373&amp;C2373,Divipola!$C$2:$F$1138,4,FALSE)</f>
        <v>52019</v>
      </c>
      <c r="F2373" s="333"/>
      <c r="G2373" s="221"/>
      <c r="H2373" s="157"/>
      <c r="I2373" s="157"/>
      <c r="J2373" s="157">
        <f>3542-280</f>
        <v>3262</v>
      </c>
      <c r="K2373" s="157">
        <f>1064-56</f>
        <v>1008</v>
      </c>
      <c r="L2373" s="157">
        <v>69</v>
      </c>
      <c r="M2373" s="157">
        <f>825-56</f>
        <v>769</v>
      </c>
      <c r="N2373" s="157">
        <v>8</v>
      </c>
      <c r="O2373" s="157"/>
      <c r="P2373" s="157"/>
      <c r="Q2373" s="157">
        <v>1</v>
      </c>
      <c r="R2373" s="157"/>
      <c r="S2373" s="157"/>
      <c r="T2373" s="157"/>
      <c r="U2373" s="157"/>
      <c r="V2373" s="158"/>
      <c r="W2373" s="182"/>
      <c r="X2373" s="1"/>
      <c r="Y2373" s="78">
        <f t="shared" si="293"/>
        <v>0</v>
      </c>
      <c r="Z2373" s="78">
        <f t="shared" si="294"/>
        <v>0</v>
      </c>
      <c r="AA2373" s="78">
        <f t="shared" si="291"/>
        <v>0</v>
      </c>
      <c r="AB2373" s="78">
        <f t="shared" si="295"/>
        <v>0</v>
      </c>
      <c r="AC2373" s="78"/>
      <c r="AD2373" s="78">
        <v>0</v>
      </c>
      <c r="AE2373" s="80">
        <f t="shared" si="290"/>
        <v>0</v>
      </c>
      <c r="AF2373" s="82">
        <v>0</v>
      </c>
      <c r="AG2373" s="69">
        <v>40540</v>
      </c>
      <c r="AH2373" s="84"/>
      <c r="AI2373" s="69" t="s">
        <v>1984</v>
      </c>
      <c r="AJ2373" s="25" t="s">
        <v>1985</v>
      </c>
      <c r="AK2373" s="65"/>
      <c r="AL2373" s="176" t="s">
        <v>1257</v>
      </c>
      <c r="AM2373" s="173" t="s">
        <v>820</v>
      </c>
      <c r="AN2373" s="159"/>
      <c r="AO2373" s="160"/>
      <c r="AP2373" s="161"/>
      <c r="AQ2373" s="160"/>
      <c r="AR2373" s="160"/>
      <c r="AS2373" s="160"/>
      <c r="AT2373" s="160"/>
      <c r="AU2373" s="160"/>
      <c r="AV2373" s="160"/>
      <c r="AW2373" s="160"/>
      <c r="AX2373" s="160"/>
      <c r="AY2373" s="160"/>
      <c r="AZ2373" s="160"/>
      <c r="BA2373" s="160"/>
      <c r="BB2373" s="160"/>
      <c r="BC2373" s="160"/>
      <c r="BD2373" s="160"/>
      <c r="BE2373" s="160"/>
      <c r="BF2373" s="160"/>
      <c r="BG2373" s="160"/>
      <c r="BH2373" s="160"/>
      <c r="BI2373" s="160"/>
      <c r="BJ2373" s="160"/>
      <c r="BK2373" s="160"/>
      <c r="BL2373" s="160"/>
      <c r="BM2373" s="160"/>
      <c r="BN2373" s="160"/>
      <c r="BO2373" s="160"/>
      <c r="BP2373" s="160"/>
      <c r="BQ2373" s="160"/>
      <c r="BR2373" s="160"/>
      <c r="BS2373" s="160"/>
      <c r="BT2373" s="160"/>
      <c r="BU2373" s="160"/>
      <c r="BV2373" s="160"/>
      <c r="BW2373" s="160"/>
      <c r="BX2373" s="160"/>
      <c r="BY2373" s="160"/>
      <c r="BZ2373" s="160"/>
      <c r="CA2373" s="160"/>
      <c r="CB2373" s="160"/>
      <c r="CC2373" s="160"/>
      <c r="CD2373" s="160"/>
      <c r="CE2373" s="160"/>
      <c r="CF2373" s="160"/>
      <c r="CG2373" s="160"/>
      <c r="CH2373" s="160"/>
      <c r="CI2373" s="160"/>
      <c r="CJ2373" s="160"/>
      <c r="CK2373" s="160"/>
      <c r="CL2373" s="160"/>
      <c r="CM2373" s="160"/>
      <c r="CN2373" s="160"/>
      <c r="CO2373" s="160"/>
      <c r="CP2373" s="162"/>
      <c r="CQ2373" s="163"/>
      <c r="CR2373" s="162"/>
      <c r="CS2373" s="163"/>
      <c r="CT2373" s="162"/>
      <c r="CU2373" s="163"/>
      <c r="CV2373" s="164">
        <f t="shared" si="296"/>
        <v>0</v>
      </c>
      <c r="CW2373" s="165"/>
      <c r="CX2373" s="166"/>
      <c r="CY2373" s="167"/>
      <c r="CZ2373" s="168"/>
      <c r="DA2373" s="169"/>
      <c r="DB2373" s="168"/>
      <c r="DC2373" s="165"/>
      <c r="DD2373" s="166"/>
      <c r="DE2373" s="71"/>
      <c r="DF2373" s="170"/>
      <c r="EO2373" s="375" t="str">
        <f t="shared" si="292"/>
        <v>NARIÑO_ALBAN</v>
      </c>
      <c r="EP2373" s="376"/>
      <c r="EQ2373" s="376"/>
      <c r="ER2373" s="377"/>
      <c r="ES2373" s="376"/>
      <c r="ET2373" s="376"/>
      <c r="EU2373" s="376"/>
    </row>
    <row r="2374" spans="1:151" s="171" customFormat="1" ht="25.5" x14ac:dyDescent="0.2">
      <c r="A2374" s="242">
        <v>40540</v>
      </c>
      <c r="B2374" s="222" t="s">
        <v>2014</v>
      </c>
      <c r="C2374" s="222" t="s">
        <v>2015</v>
      </c>
      <c r="D2374" s="430" t="s">
        <v>1721</v>
      </c>
      <c r="E2374" s="107" t="str">
        <f>VLOOKUP(B2374&amp;C2374,Divipola!$C$2:$F$1138,4,FALSE)</f>
        <v>63001</v>
      </c>
      <c r="F2374" s="333"/>
      <c r="G2374" s="221"/>
      <c r="H2374" s="157"/>
      <c r="I2374" s="157"/>
      <c r="J2374" s="157">
        <v>5</v>
      </c>
      <c r="K2374" s="157">
        <v>1</v>
      </c>
      <c r="L2374" s="157"/>
      <c r="M2374" s="157">
        <v>1</v>
      </c>
      <c r="N2374" s="157"/>
      <c r="O2374" s="157"/>
      <c r="P2374" s="157"/>
      <c r="Q2374" s="157"/>
      <c r="R2374" s="157"/>
      <c r="S2374" s="157"/>
      <c r="T2374" s="157"/>
      <c r="U2374" s="157"/>
      <c r="V2374" s="158"/>
      <c r="W2374" s="182"/>
      <c r="X2374" s="1"/>
      <c r="Y2374" s="78">
        <f t="shared" si="293"/>
        <v>0</v>
      </c>
      <c r="Z2374" s="78">
        <f t="shared" si="294"/>
        <v>0</v>
      </c>
      <c r="AA2374" s="78">
        <f t="shared" si="291"/>
        <v>0</v>
      </c>
      <c r="AB2374" s="78">
        <f t="shared" si="295"/>
        <v>0</v>
      </c>
      <c r="AC2374" s="78"/>
      <c r="AD2374" s="78">
        <v>0</v>
      </c>
      <c r="AE2374" s="80">
        <f t="shared" si="290"/>
        <v>0</v>
      </c>
      <c r="AF2374" s="82">
        <v>0</v>
      </c>
      <c r="AG2374" s="69">
        <v>40540</v>
      </c>
      <c r="AH2374" s="84"/>
      <c r="AI2374" s="69" t="s">
        <v>1984</v>
      </c>
      <c r="AJ2374" s="25" t="s">
        <v>1985</v>
      </c>
      <c r="AK2374" s="65"/>
      <c r="AL2374" s="176" t="s">
        <v>1257</v>
      </c>
      <c r="AM2374" s="173" t="s">
        <v>800</v>
      </c>
      <c r="AN2374" s="159"/>
      <c r="AO2374" s="160"/>
      <c r="AP2374" s="161"/>
      <c r="AQ2374" s="160"/>
      <c r="AR2374" s="160"/>
      <c r="AS2374" s="160"/>
      <c r="AT2374" s="160"/>
      <c r="AU2374" s="160"/>
      <c r="AV2374" s="160"/>
      <c r="AW2374" s="160"/>
      <c r="AX2374" s="160"/>
      <c r="AY2374" s="160"/>
      <c r="AZ2374" s="160"/>
      <c r="BA2374" s="160"/>
      <c r="BB2374" s="160"/>
      <c r="BC2374" s="160"/>
      <c r="BD2374" s="160"/>
      <c r="BE2374" s="160"/>
      <c r="BF2374" s="160"/>
      <c r="BG2374" s="160"/>
      <c r="BH2374" s="160"/>
      <c r="BI2374" s="160"/>
      <c r="BJ2374" s="160"/>
      <c r="BK2374" s="160"/>
      <c r="BL2374" s="160"/>
      <c r="BM2374" s="160"/>
      <c r="BN2374" s="160"/>
      <c r="BO2374" s="160"/>
      <c r="BP2374" s="160"/>
      <c r="BQ2374" s="160"/>
      <c r="BR2374" s="160"/>
      <c r="BS2374" s="160"/>
      <c r="BT2374" s="160"/>
      <c r="BU2374" s="160"/>
      <c r="BV2374" s="160"/>
      <c r="BW2374" s="160"/>
      <c r="BX2374" s="160"/>
      <c r="BY2374" s="160"/>
      <c r="BZ2374" s="160"/>
      <c r="CA2374" s="160"/>
      <c r="CB2374" s="160"/>
      <c r="CC2374" s="160"/>
      <c r="CD2374" s="160"/>
      <c r="CE2374" s="160"/>
      <c r="CF2374" s="160"/>
      <c r="CG2374" s="160"/>
      <c r="CH2374" s="160"/>
      <c r="CI2374" s="160"/>
      <c r="CJ2374" s="160"/>
      <c r="CK2374" s="160"/>
      <c r="CL2374" s="160"/>
      <c r="CM2374" s="160"/>
      <c r="CN2374" s="160"/>
      <c r="CO2374" s="160"/>
      <c r="CP2374" s="162"/>
      <c r="CQ2374" s="163"/>
      <c r="CR2374" s="162"/>
      <c r="CS2374" s="163"/>
      <c r="CT2374" s="162"/>
      <c r="CU2374" s="163"/>
      <c r="CV2374" s="164">
        <f t="shared" si="296"/>
        <v>0</v>
      </c>
      <c r="CW2374" s="165"/>
      <c r="CX2374" s="166"/>
      <c r="CY2374" s="167"/>
      <c r="CZ2374" s="168"/>
      <c r="DA2374" s="169"/>
      <c r="DB2374" s="168"/>
      <c r="DC2374" s="165"/>
      <c r="DD2374" s="166"/>
      <c r="DE2374" s="71"/>
      <c r="DF2374" s="170"/>
      <c r="EO2374" s="375" t="str">
        <f t="shared" si="292"/>
        <v>QUINDIO_ARMENIA</v>
      </c>
      <c r="EP2374" s="376"/>
      <c r="EQ2374" s="376"/>
      <c r="ER2374" s="377"/>
      <c r="ES2374" s="376"/>
      <c r="ET2374" s="376"/>
      <c r="EU2374" s="376"/>
    </row>
    <row r="2375" spans="1:151" s="171" customFormat="1" ht="63.75" x14ac:dyDescent="0.2">
      <c r="A2375" s="242">
        <v>40540</v>
      </c>
      <c r="B2375" s="222" t="s">
        <v>1462</v>
      </c>
      <c r="C2375" s="222" t="s">
        <v>1944</v>
      </c>
      <c r="D2375" s="430" t="s">
        <v>1721</v>
      </c>
      <c r="E2375" s="107" t="str">
        <f>VLOOKUP(B2375&amp;C2375,Divipola!$C$2:$F$1138,4,FALSE)</f>
        <v>76109</v>
      </c>
      <c r="F2375" s="333"/>
      <c r="G2375" s="221"/>
      <c r="H2375" s="157"/>
      <c r="I2375" s="157"/>
      <c r="J2375" s="157">
        <v>68</v>
      </c>
      <c r="K2375" s="157">
        <v>14</v>
      </c>
      <c r="L2375" s="157">
        <v>7</v>
      </c>
      <c r="M2375" s="157">
        <v>2</v>
      </c>
      <c r="N2375" s="157"/>
      <c r="O2375" s="157"/>
      <c r="P2375" s="157"/>
      <c r="Q2375" s="157"/>
      <c r="R2375" s="157"/>
      <c r="S2375" s="157"/>
      <c r="T2375" s="157"/>
      <c r="U2375" s="157"/>
      <c r="V2375" s="158"/>
      <c r="W2375" s="182"/>
      <c r="X2375" s="1"/>
      <c r="Y2375" s="78">
        <f t="shared" si="293"/>
        <v>0</v>
      </c>
      <c r="Z2375" s="78">
        <f t="shared" si="294"/>
        <v>0</v>
      </c>
      <c r="AA2375" s="78">
        <f t="shared" si="291"/>
        <v>0</v>
      </c>
      <c r="AB2375" s="78">
        <f t="shared" si="295"/>
        <v>0</v>
      </c>
      <c r="AC2375" s="78"/>
      <c r="AD2375" s="78">
        <v>0</v>
      </c>
      <c r="AE2375" s="80">
        <f t="shared" si="290"/>
        <v>0</v>
      </c>
      <c r="AF2375" s="82">
        <v>0</v>
      </c>
      <c r="AG2375" s="69">
        <v>40540</v>
      </c>
      <c r="AH2375" s="84"/>
      <c r="AI2375" s="69" t="s">
        <v>1984</v>
      </c>
      <c r="AJ2375" s="25" t="s">
        <v>1985</v>
      </c>
      <c r="AK2375" s="65"/>
      <c r="AL2375" s="176" t="s">
        <v>1257</v>
      </c>
      <c r="AM2375" s="173" t="s">
        <v>808</v>
      </c>
      <c r="AN2375" s="159"/>
      <c r="AO2375" s="160"/>
      <c r="AP2375" s="161"/>
      <c r="AQ2375" s="160"/>
      <c r="AR2375" s="160"/>
      <c r="AS2375" s="160"/>
      <c r="AT2375" s="160"/>
      <c r="AU2375" s="160"/>
      <c r="AV2375" s="160"/>
      <c r="AW2375" s="160"/>
      <c r="AX2375" s="160"/>
      <c r="AY2375" s="160"/>
      <c r="AZ2375" s="160"/>
      <c r="BA2375" s="160"/>
      <c r="BB2375" s="160"/>
      <c r="BC2375" s="160"/>
      <c r="BD2375" s="160"/>
      <c r="BE2375" s="160"/>
      <c r="BF2375" s="160"/>
      <c r="BG2375" s="160"/>
      <c r="BH2375" s="160"/>
      <c r="BI2375" s="160"/>
      <c r="BJ2375" s="160"/>
      <c r="BK2375" s="160"/>
      <c r="BL2375" s="160"/>
      <c r="BM2375" s="160"/>
      <c r="BN2375" s="160"/>
      <c r="BO2375" s="160"/>
      <c r="BP2375" s="160"/>
      <c r="BQ2375" s="160"/>
      <c r="BR2375" s="160"/>
      <c r="BS2375" s="160"/>
      <c r="BT2375" s="160"/>
      <c r="BU2375" s="160"/>
      <c r="BV2375" s="160"/>
      <c r="BW2375" s="160"/>
      <c r="BX2375" s="160"/>
      <c r="BY2375" s="160"/>
      <c r="BZ2375" s="160"/>
      <c r="CA2375" s="160"/>
      <c r="CB2375" s="160"/>
      <c r="CC2375" s="160"/>
      <c r="CD2375" s="160"/>
      <c r="CE2375" s="160"/>
      <c r="CF2375" s="160"/>
      <c r="CG2375" s="160"/>
      <c r="CH2375" s="160"/>
      <c r="CI2375" s="160"/>
      <c r="CJ2375" s="160"/>
      <c r="CK2375" s="160"/>
      <c r="CL2375" s="160"/>
      <c r="CM2375" s="160"/>
      <c r="CN2375" s="160"/>
      <c r="CO2375" s="160"/>
      <c r="CP2375" s="162"/>
      <c r="CQ2375" s="163"/>
      <c r="CR2375" s="162"/>
      <c r="CS2375" s="163"/>
      <c r="CT2375" s="162"/>
      <c r="CU2375" s="163"/>
      <c r="CV2375" s="164">
        <f t="shared" si="296"/>
        <v>0</v>
      </c>
      <c r="CW2375" s="165"/>
      <c r="CX2375" s="166"/>
      <c r="CY2375" s="167"/>
      <c r="CZ2375" s="168"/>
      <c r="DA2375" s="169"/>
      <c r="DB2375" s="168"/>
      <c r="DC2375" s="165"/>
      <c r="DD2375" s="166"/>
      <c r="DE2375" s="71"/>
      <c r="DF2375" s="170"/>
      <c r="EO2375" s="375" t="str">
        <f t="shared" si="292"/>
        <v>VALLE DEL CAUCA_BUENAVENTURA</v>
      </c>
      <c r="EP2375" s="376"/>
      <c r="EQ2375" s="376"/>
      <c r="ER2375" s="377"/>
      <c r="ES2375" s="376"/>
      <c r="ET2375" s="376"/>
      <c r="EU2375" s="376"/>
    </row>
    <row r="2376" spans="1:151" s="171" customFormat="1" ht="25.5" x14ac:dyDescent="0.2">
      <c r="A2376" s="242">
        <v>40542</v>
      </c>
      <c r="B2376" s="222" t="s">
        <v>2425</v>
      </c>
      <c r="C2376" s="222" t="s">
        <v>454</v>
      </c>
      <c r="D2376" s="430" t="s">
        <v>837</v>
      </c>
      <c r="E2376" s="107" t="str">
        <f>VLOOKUP(B2376&amp;C2376,Divipola!$C$2:$F$1138,4,FALSE)</f>
        <v>27600</v>
      </c>
      <c r="F2376" s="333"/>
      <c r="G2376" s="221"/>
      <c r="H2376" s="157"/>
      <c r="I2376" s="157"/>
      <c r="J2376" s="157">
        <f>1167*4</f>
        <v>4668</v>
      </c>
      <c r="K2376" s="157">
        <v>1167</v>
      </c>
      <c r="L2376" s="157"/>
      <c r="M2376" s="157"/>
      <c r="N2376" s="157"/>
      <c r="O2376" s="157"/>
      <c r="P2376" s="157"/>
      <c r="Q2376" s="157"/>
      <c r="R2376" s="157"/>
      <c r="S2376" s="157"/>
      <c r="T2376" s="157"/>
      <c r="U2376" s="157"/>
      <c r="V2376" s="158"/>
      <c r="W2376" s="182"/>
      <c r="X2376" s="1"/>
      <c r="Y2376" s="78">
        <f t="shared" si="293"/>
        <v>0</v>
      </c>
      <c r="Z2376" s="78">
        <f t="shared" si="294"/>
        <v>0</v>
      </c>
      <c r="AA2376" s="78">
        <f t="shared" si="291"/>
        <v>0</v>
      </c>
      <c r="AB2376" s="78">
        <f t="shared" si="295"/>
        <v>0</v>
      </c>
      <c r="AC2376" s="78"/>
      <c r="AD2376" s="78">
        <v>0</v>
      </c>
      <c r="AE2376" s="80">
        <f t="shared" si="290"/>
        <v>0</v>
      </c>
      <c r="AF2376" s="82">
        <v>0</v>
      </c>
      <c r="AG2376" s="69">
        <v>40602</v>
      </c>
      <c r="AH2376" s="84"/>
      <c r="AI2376" s="69" t="s">
        <v>1984</v>
      </c>
      <c r="AJ2376" s="25" t="s">
        <v>1985</v>
      </c>
      <c r="AK2376" s="65"/>
      <c r="AL2376" s="176" t="s">
        <v>1257</v>
      </c>
      <c r="AM2376" s="173" t="s">
        <v>455</v>
      </c>
      <c r="AN2376" s="159"/>
      <c r="AO2376" s="160"/>
      <c r="AP2376" s="161"/>
      <c r="AQ2376" s="160"/>
      <c r="AR2376" s="160"/>
      <c r="AS2376" s="160"/>
      <c r="AT2376" s="160"/>
      <c r="AU2376" s="160"/>
      <c r="AV2376" s="160"/>
      <c r="AW2376" s="160"/>
      <c r="AX2376" s="160"/>
      <c r="AY2376" s="160"/>
      <c r="AZ2376" s="160"/>
      <c r="BA2376" s="160"/>
      <c r="BB2376" s="160"/>
      <c r="BC2376" s="160"/>
      <c r="BD2376" s="160"/>
      <c r="BE2376" s="160"/>
      <c r="BF2376" s="160"/>
      <c r="BG2376" s="160"/>
      <c r="BH2376" s="160"/>
      <c r="BI2376" s="160"/>
      <c r="BJ2376" s="160"/>
      <c r="BK2376" s="160"/>
      <c r="BL2376" s="160"/>
      <c r="BM2376" s="160"/>
      <c r="BN2376" s="160"/>
      <c r="BO2376" s="160"/>
      <c r="BP2376" s="160"/>
      <c r="BQ2376" s="160"/>
      <c r="BR2376" s="160"/>
      <c r="BS2376" s="160"/>
      <c r="BT2376" s="160"/>
      <c r="BU2376" s="160"/>
      <c r="BV2376" s="160"/>
      <c r="BW2376" s="160"/>
      <c r="BX2376" s="160"/>
      <c r="BY2376" s="160"/>
      <c r="BZ2376" s="160"/>
      <c r="CA2376" s="160"/>
      <c r="CB2376" s="160"/>
      <c r="CC2376" s="160"/>
      <c r="CD2376" s="160"/>
      <c r="CE2376" s="160"/>
      <c r="CF2376" s="160"/>
      <c r="CG2376" s="160"/>
      <c r="CH2376" s="160"/>
      <c r="CI2376" s="160"/>
      <c r="CJ2376" s="160"/>
      <c r="CK2376" s="160"/>
      <c r="CL2376" s="160"/>
      <c r="CM2376" s="160"/>
      <c r="CN2376" s="160"/>
      <c r="CO2376" s="160"/>
      <c r="CP2376" s="162"/>
      <c r="CQ2376" s="163"/>
      <c r="CR2376" s="162"/>
      <c r="CS2376" s="163"/>
      <c r="CT2376" s="162"/>
      <c r="CU2376" s="163"/>
      <c r="CV2376" s="164">
        <f t="shared" si="296"/>
        <v>0</v>
      </c>
      <c r="CW2376" s="165"/>
      <c r="CX2376" s="166"/>
      <c r="CY2376" s="167"/>
      <c r="CZ2376" s="168"/>
      <c r="DA2376" s="169"/>
      <c r="DB2376" s="168"/>
      <c r="DC2376" s="165"/>
      <c r="DD2376" s="166"/>
      <c r="DE2376" s="71"/>
      <c r="DF2376" s="170">
        <v>1632</v>
      </c>
      <c r="EO2376" s="375" t="str">
        <f t="shared" si="292"/>
        <v>CHOCO_RIO QUITO</v>
      </c>
      <c r="EP2376" s="376"/>
      <c r="EQ2376" s="376"/>
      <c r="ER2376" s="377"/>
      <c r="ES2376" s="376"/>
      <c r="ET2376" s="376"/>
      <c r="EU2376" s="376"/>
    </row>
    <row r="2377" spans="1:151" s="171" customFormat="1" ht="36" x14ac:dyDescent="0.2">
      <c r="A2377" s="242">
        <v>40542</v>
      </c>
      <c r="B2377" s="222" t="s">
        <v>2401</v>
      </c>
      <c r="C2377" s="222" t="s">
        <v>2747</v>
      </c>
      <c r="D2377" s="430" t="s">
        <v>837</v>
      </c>
      <c r="E2377" s="107" t="str">
        <f>VLOOKUP(B2377&amp;C2377,Divipola!$C$2:$F$1138,4,FALSE)</f>
        <v>05001</v>
      </c>
      <c r="F2377" s="333"/>
      <c r="G2377" s="221"/>
      <c r="H2377" s="157"/>
      <c r="I2377" s="157"/>
      <c r="J2377" s="157">
        <f>2541*4</f>
        <v>10164</v>
      </c>
      <c r="K2377" s="157">
        <v>2541</v>
      </c>
      <c r="L2377" s="157"/>
      <c r="M2377" s="157"/>
      <c r="N2377" s="157"/>
      <c r="O2377" s="157"/>
      <c r="P2377" s="157"/>
      <c r="Q2377" s="157"/>
      <c r="R2377" s="157"/>
      <c r="S2377" s="157"/>
      <c r="T2377" s="157"/>
      <c r="U2377" s="157"/>
      <c r="V2377" s="158"/>
      <c r="W2377" s="182"/>
      <c r="X2377" s="1"/>
      <c r="Y2377" s="78">
        <f t="shared" si="293"/>
        <v>0</v>
      </c>
      <c r="Z2377" s="78">
        <f t="shared" si="294"/>
        <v>0</v>
      </c>
      <c r="AA2377" s="78">
        <f t="shared" si="291"/>
        <v>0</v>
      </c>
      <c r="AB2377" s="78">
        <f t="shared" si="295"/>
        <v>0</v>
      </c>
      <c r="AC2377" s="78"/>
      <c r="AD2377" s="78">
        <v>0</v>
      </c>
      <c r="AE2377" s="80">
        <f t="shared" ref="AE2377:AE2440" si="297">Y2377+Z2377+AA2377+AB2377+AC2377+AD2377</f>
        <v>0</v>
      </c>
      <c r="AF2377" s="82">
        <v>0</v>
      </c>
      <c r="AG2377" s="69"/>
      <c r="AH2377" s="84"/>
      <c r="AI2377" s="69" t="s">
        <v>1984</v>
      </c>
      <c r="AJ2377" s="25" t="s">
        <v>1985</v>
      </c>
      <c r="AK2377" s="65"/>
      <c r="AL2377" s="176" t="s">
        <v>1257</v>
      </c>
      <c r="AM2377" s="173" t="s">
        <v>6317</v>
      </c>
      <c r="AN2377" s="159"/>
      <c r="AO2377" s="160"/>
      <c r="AP2377" s="161"/>
      <c r="AQ2377" s="160"/>
      <c r="AR2377" s="160"/>
      <c r="AS2377" s="160"/>
      <c r="AT2377" s="160"/>
      <c r="AU2377" s="160"/>
      <c r="AV2377" s="160"/>
      <c r="AW2377" s="160"/>
      <c r="AX2377" s="160"/>
      <c r="AY2377" s="160"/>
      <c r="AZ2377" s="160"/>
      <c r="BA2377" s="160"/>
      <c r="BB2377" s="160"/>
      <c r="BC2377" s="160"/>
      <c r="BD2377" s="160"/>
      <c r="BE2377" s="160"/>
      <c r="BF2377" s="160"/>
      <c r="BG2377" s="160"/>
      <c r="BH2377" s="160"/>
      <c r="BI2377" s="160"/>
      <c r="BJ2377" s="160"/>
      <c r="BK2377" s="160"/>
      <c r="BL2377" s="160"/>
      <c r="BM2377" s="160"/>
      <c r="BN2377" s="160"/>
      <c r="BO2377" s="160"/>
      <c r="BP2377" s="160"/>
      <c r="BQ2377" s="160"/>
      <c r="BR2377" s="160"/>
      <c r="BS2377" s="160"/>
      <c r="BT2377" s="160"/>
      <c r="BU2377" s="160"/>
      <c r="BV2377" s="160"/>
      <c r="BW2377" s="160"/>
      <c r="BX2377" s="160"/>
      <c r="BY2377" s="160"/>
      <c r="BZ2377" s="160"/>
      <c r="CA2377" s="160"/>
      <c r="CB2377" s="160"/>
      <c r="CC2377" s="160"/>
      <c r="CD2377" s="160"/>
      <c r="CE2377" s="160"/>
      <c r="CF2377" s="160"/>
      <c r="CG2377" s="160"/>
      <c r="CH2377" s="160"/>
      <c r="CI2377" s="160"/>
      <c r="CJ2377" s="160"/>
      <c r="CK2377" s="160"/>
      <c r="CL2377" s="160"/>
      <c r="CM2377" s="160"/>
      <c r="CN2377" s="160"/>
      <c r="CO2377" s="160"/>
      <c r="CP2377" s="162"/>
      <c r="CQ2377" s="163"/>
      <c r="CR2377" s="162"/>
      <c r="CS2377" s="163"/>
      <c r="CT2377" s="162"/>
      <c r="CU2377" s="163"/>
      <c r="CV2377" s="164">
        <f t="shared" si="296"/>
        <v>0</v>
      </c>
      <c r="CW2377" s="165"/>
      <c r="CX2377" s="166"/>
      <c r="CY2377" s="167"/>
      <c r="CZ2377" s="168"/>
      <c r="DA2377" s="169"/>
      <c r="DB2377" s="168"/>
      <c r="DC2377" s="165"/>
      <c r="DD2377" s="166"/>
      <c r="DE2377" s="71"/>
      <c r="DF2377" s="170"/>
      <c r="EO2377" s="375" t="str">
        <f t="shared" si="292"/>
        <v>ANTIOQUIA_MEDELLIN</v>
      </c>
      <c r="EP2377" s="376"/>
      <c r="EQ2377" s="376"/>
      <c r="ER2377" s="377"/>
      <c r="ES2377" s="376"/>
      <c r="ET2377" s="376"/>
      <c r="EU2377" s="376"/>
    </row>
    <row r="2378" spans="1:151" s="171" customFormat="1" ht="25.5" x14ac:dyDescent="0.2">
      <c r="A2378" s="242">
        <v>40543</v>
      </c>
      <c r="B2378" s="222" t="s">
        <v>2401</v>
      </c>
      <c r="C2378" s="222" t="s">
        <v>478</v>
      </c>
      <c r="D2378" s="430" t="s">
        <v>837</v>
      </c>
      <c r="E2378" s="107" t="str">
        <f>VLOOKUP(B2378&amp;C2378,Divipola!$C$2:$F$1138,4,FALSE)</f>
        <v>05004</v>
      </c>
      <c r="F2378" s="333"/>
      <c r="G2378" s="221"/>
      <c r="H2378" s="157"/>
      <c r="I2378" s="157"/>
      <c r="J2378" s="157">
        <f>170*4</f>
        <v>680</v>
      </c>
      <c r="K2378" s="157">
        <v>170</v>
      </c>
      <c r="L2378" s="157">
        <v>3</v>
      </c>
      <c r="M2378" s="157">
        <v>27</v>
      </c>
      <c r="N2378" s="157"/>
      <c r="O2378" s="157"/>
      <c r="P2378" s="157"/>
      <c r="Q2378" s="157"/>
      <c r="R2378" s="157"/>
      <c r="S2378" s="157"/>
      <c r="T2378" s="157"/>
      <c r="U2378" s="157"/>
      <c r="V2378" s="158"/>
      <c r="W2378" s="182"/>
      <c r="X2378" s="1"/>
      <c r="Y2378" s="78">
        <f t="shared" si="293"/>
        <v>0</v>
      </c>
      <c r="Z2378" s="78">
        <f t="shared" si="294"/>
        <v>0</v>
      </c>
      <c r="AA2378" s="78">
        <f t="shared" si="291"/>
        <v>0</v>
      </c>
      <c r="AB2378" s="78">
        <f t="shared" si="295"/>
        <v>0</v>
      </c>
      <c r="AC2378" s="78"/>
      <c r="AD2378" s="78">
        <v>0</v>
      </c>
      <c r="AE2378" s="80">
        <f t="shared" si="297"/>
        <v>0</v>
      </c>
      <c r="AF2378" s="82">
        <v>0</v>
      </c>
      <c r="AG2378" s="69">
        <v>40612</v>
      </c>
      <c r="AH2378" s="84"/>
      <c r="AI2378" s="69" t="s">
        <v>1984</v>
      </c>
      <c r="AJ2378" s="25" t="s">
        <v>1985</v>
      </c>
      <c r="AK2378" s="65"/>
      <c r="AL2378" s="176" t="s">
        <v>1257</v>
      </c>
      <c r="AM2378" s="173" t="s">
        <v>457</v>
      </c>
      <c r="AN2378" s="159"/>
      <c r="AO2378" s="160"/>
      <c r="AP2378" s="161"/>
      <c r="AQ2378" s="160"/>
      <c r="AR2378" s="160"/>
      <c r="AS2378" s="160"/>
      <c r="AT2378" s="160"/>
      <c r="AU2378" s="160"/>
      <c r="AV2378" s="160"/>
      <c r="AW2378" s="160"/>
      <c r="AX2378" s="160"/>
      <c r="AY2378" s="160"/>
      <c r="AZ2378" s="160"/>
      <c r="BA2378" s="160"/>
      <c r="BB2378" s="160"/>
      <c r="BC2378" s="160"/>
      <c r="BD2378" s="160"/>
      <c r="BE2378" s="160"/>
      <c r="BF2378" s="160"/>
      <c r="BG2378" s="160"/>
      <c r="BH2378" s="160"/>
      <c r="BI2378" s="160"/>
      <c r="BJ2378" s="160"/>
      <c r="BK2378" s="160"/>
      <c r="BL2378" s="160"/>
      <c r="BM2378" s="160"/>
      <c r="BN2378" s="160"/>
      <c r="BO2378" s="160"/>
      <c r="BP2378" s="160"/>
      <c r="BQ2378" s="160"/>
      <c r="BR2378" s="160"/>
      <c r="BS2378" s="160"/>
      <c r="BT2378" s="160"/>
      <c r="BU2378" s="160"/>
      <c r="BV2378" s="160"/>
      <c r="BW2378" s="160"/>
      <c r="BX2378" s="160"/>
      <c r="BY2378" s="160"/>
      <c r="BZ2378" s="160"/>
      <c r="CA2378" s="160"/>
      <c r="CB2378" s="160"/>
      <c r="CC2378" s="160"/>
      <c r="CD2378" s="160"/>
      <c r="CE2378" s="160"/>
      <c r="CF2378" s="160"/>
      <c r="CG2378" s="160"/>
      <c r="CH2378" s="160"/>
      <c r="CI2378" s="160"/>
      <c r="CJ2378" s="160"/>
      <c r="CK2378" s="160"/>
      <c r="CL2378" s="160"/>
      <c r="CM2378" s="160"/>
      <c r="CN2378" s="160"/>
      <c r="CO2378" s="160"/>
      <c r="CP2378" s="162"/>
      <c r="CQ2378" s="163"/>
      <c r="CR2378" s="162"/>
      <c r="CS2378" s="163"/>
      <c r="CT2378" s="162"/>
      <c r="CU2378" s="163"/>
      <c r="CV2378" s="164">
        <f t="shared" si="296"/>
        <v>0</v>
      </c>
      <c r="CW2378" s="165"/>
      <c r="CX2378" s="166"/>
      <c r="CY2378" s="167"/>
      <c r="CZ2378" s="168"/>
      <c r="DA2378" s="169"/>
      <c r="DB2378" s="168"/>
      <c r="DC2378" s="165"/>
      <c r="DD2378" s="166"/>
      <c r="DE2378" s="71"/>
      <c r="DF2378" s="170"/>
      <c r="EO2378" s="375" t="str">
        <f t="shared" si="292"/>
        <v>ANTIOQUIA_ABRIAQUI</v>
      </c>
      <c r="EP2378" s="376"/>
      <c r="EQ2378" s="376"/>
      <c r="ER2378" s="377"/>
      <c r="ES2378" s="376"/>
      <c r="ET2378" s="376"/>
      <c r="EU2378" s="376"/>
    </row>
    <row r="2379" spans="1:151" s="171" customFormat="1" ht="38.25" x14ac:dyDescent="0.2">
      <c r="A2379" s="242">
        <v>40543</v>
      </c>
      <c r="B2379" s="222" t="s">
        <v>2401</v>
      </c>
      <c r="C2379" s="222" t="s">
        <v>479</v>
      </c>
      <c r="D2379" s="430" t="s">
        <v>837</v>
      </c>
      <c r="E2379" s="107" t="str">
        <f>VLOOKUP(B2379&amp;C2379,Divipola!$C$2:$F$1138,4,FALSE)</f>
        <v>05021</v>
      </c>
      <c r="F2379" s="333"/>
      <c r="G2379" s="221"/>
      <c r="H2379" s="157"/>
      <c r="I2379" s="157"/>
      <c r="J2379" s="157">
        <f>93*4</f>
        <v>372</v>
      </c>
      <c r="K2379" s="157">
        <v>93</v>
      </c>
      <c r="L2379" s="157"/>
      <c r="M2379" s="157"/>
      <c r="N2379" s="157"/>
      <c r="O2379" s="157"/>
      <c r="P2379" s="157"/>
      <c r="Q2379" s="157"/>
      <c r="R2379" s="157"/>
      <c r="S2379" s="157"/>
      <c r="T2379" s="157"/>
      <c r="U2379" s="157"/>
      <c r="V2379" s="158"/>
      <c r="W2379" s="182"/>
      <c r="X2379" s="1"/>
      <c r="Y2379" s="78">
        <f t="shared" si="293"/>
        <v>0</v>
      </c>
      <c r="Z2379" s="78">
        <f t="shared" si="294"/>
        <v>0</v>
      </c>
      <c r="AA2379" s="78">
        <f t="shared" si="291"/>
        <v>0</v>
      </c>
      <c r="AB2379" s="78">
        <f t="shared" si="295"/>
        <v>0</v>
      </c>
      <c r="AC2379" s="78"/>
      <c r="AD2379" s="78">
        <v>0</v>
      </c>
      <c r="AE2379" s="80">
        <f t="shared" si="297"/>
        <v>0</v>
      </c>
      <c r="AF2379" s="82">
        <v>0</v>
      </c>
      <c r="AG2379" s="69">
        <v>40612</v>
      </c>
      <c r="AH2379" s="84"/>
      <c r="AI2379" s="69" t="s">
        <v>1984</v>
      </c>
      <c r="AJ2379" s="25" t="s">
        <v>1985</v>
      </c>
      <c r="AK2379" s="65"/>
      <c r="AL2379" s="176" t="s">
        <v>1257</v>
      </c>
      <c r="AM2379" s="173" t="s">
        <v>457</v>
      </c>
      <c r="AN2379" s="159"/>
      <c r="AO2379" s="160"/>
      <c r="AP2379" s="161"/>
      <c r="AQ2379" s="160"/>
      <c r="AR2379" s="160"/>
      <c r="AS2379" s="160"/>
      <c r="AT2379" s="160"/>
      <c r="AU2379" s="160"/>
      <c r="AV2379" s="160"/>
      <c r="AW2379" s="160"/>
      <c r="AX2379" s="160"/>
      <c r="AY2379" s="160"/>
      <c r="AZ2379" s="160"/>
      <c r="BA2379" s="160"/>
      <c r="BB2379" s="160"/>
      <c r="BC2379" s="160"/>
      <c r="BD2379" s="160"/>
      <c r="BE2379" s="160"/>
      <c r="BF2379" s="160"/>
      <c r="BG2379" s="160"/>
      <c r="BH2379" s="160"/>
      <c r="BI2379" s="160"/>
      <c r="BJ2379" s="160"/>
      <c r="BK2379" s="160"/>
      <c r="BL2379" s="160"/>
      <c r="BM2379" s="160"/>
      <c r="BN2379" s="160"/>
      <c r="BO2379" s="160"/>
      <c r="BP2379" s="160"/>
      <c r="BQ2379" s="160"/>
      <c r="BR2379" s="160"/>
      <c r="BS2379" s="160"/>
      <c r="BT2379" s="160"/>
      <c r="BU2379" s="160"/>
      <c r="BV2379" s="160"/>
      <c r="BW2379" s="160"/>
      <c r="BX2379" s="160"/>
      <c r="BY2379" s="160"/>
      <c r="BZ2379" s="160"/>
      <c r="CA2379" s="160"/>
      <c r="CB2379" s="160"/>
      <c r="CC2379" s="160"/>
      <c r="CD2379" s="160"/>
      <c r="CE2379" s="160"/>
      <c r="CF2379" s="160"/>
      <c r="CG2379" s="160"/>
      <c r="CH2379" s="160"/>
      <c r="CI2379" s="160"/>
      <c r="CJ2379" s="160"/>
      <c r="CK2379" s="160"/>
      <c r="CL2379" s="160"/>
      <c r="CM2379" s="160"/>
      <c r="CN2379" s="160"/>
      <c r="CO2379" s="160"/>
      <c r="CP2379" s="162"/>
      <c r="CQ2379" s="163"/>
      <c r="CR2379" s="162"/>
      <c r="CS2379" s="163"/>
      <c r="CT2379" s="162"/>
      <c r="CU2379" s="163"/>
      <c r="CV2379" s="164">
        <f t="shared" si="296"/>
        <v>0</v>
      </c>
      <c r="CW2379" s="165"/>
      <c r="CX2379" s="166"/>
      <c r="CY2379" s="167"/>
      <c r="CZ2379" s="168"/>
      <c r="DA2379" s="169"/>
      <c r="DB2379" s="168"/>
      <c r="DC2379" s="165"/>
      <c r="DD2379" s="166"/>
      <c r="DE2379" s="71"/>
      <c r="DF2379" s="170"/>
      <c r="EO2379" s="375" t="str">
        <f t="shared" si="292"/>
        <v>ANTIOQUIA_ALEJANDRIA</v>
      </c>
      <c r="EP2379" s="376"/>
      <c r="EQ2379" s="376"/>
      <c r="ER2379" s="377"/>
      <c r="ES2379" s="376"/>
      <c r="ET2379" s="376"/>
      <c r="EU2379" s="376"/>
    </row>
    <row r="2380" spans="1:151" s="171" customFormat="1" ht="25.5" x14ac:dyDescent="0.2">
      <c r="A2380" s="242">
        <v>40543</v>
      </c>
      <c r="B2380" s="222" t="s">
        <v>2401</v>
      </c>
      <c r="C2380" s="222" t="s">
        <v>480</v>
      </c>
      <c r="D2380" s="430" t="s">
        <v>837</v>
      </c>
      <c r="E2380" s="107" t="str">
        <f>VLOOKUP(B2380&amp;C2380,Divipola!$C$2:$F$1138,4,FALSE)</f>
        <v>05113</v>
      </c>
      <c r="F2380" s="333"/>
      <c r="G2380" s="221"/>
      <c r="H2380" s="157"/>
      <c r="I2380" s="157"/>
      <c r="J2380" s="157">
        <v>87</v>
      </c>
      <c r="K2380" s="157">
        <v>17</v>
      </c>
      <c r="L2380" s="157"/>
      <c r="M2380" s="157">
        <v>16</v>
      </c>
      <c r="N2380" s="157"/>
      <c r="O2380" s="157"/>
      <c r="P2380" s="157"/>
      <c r="Q2380" s="157"/>
      <c r="R2380" s="157"/>
      <c r="S2380" s="157"/>
      <c r="T2380" s="157"/>
      <c r="U2380" s="157"/>
      <c r="V2380" s="158"/>
      <c r="W2380" s="182"/>
      <c r="X2380" s="1"/>
      <c r="Y2380" s="78">
        <f t="shared" si="293"/>
        <v>0</v>
      </c>
      <c r="Z2380" s="78">
        <f t="shared" si="294"/>
        <v>0</v>
      </c>
      <c r="AA2380" s="78">
        <f t="shared" si="291"/>
        <v>0</v>
      </c>
      <c r="AB2380" s="78">
        <f t="shared" si="295"/>
        <v>0</v>
      </c>
      <c r="AC2380" s="78"/>
      <c r="AD2380" s="78">
        <v>0</v>
      </c>
      <c r="AE2380" s="80">
        <f t="shared" si="297"/>
        <v>0</v>
      </c>
      <c r="AF2380" s="82">
        <v>0</v>
      </c>
      <c r="AG2380" s="69">
        <v>40612</v>
      </c>
      <c r="AH2380" s="84"/>
      <c r="AI2380" s="69" t="s">
        <v>1984</v>
      </c>
      <c r="AJ2380" s="25" t="s">
        <v>1985</v>
      </c>
      <c r="AK2380" s="65"/>
      <c r="AL2380" s="176" t="s">
        <v>1257</v>
      </c>
      <c r="AM2380" s="173" t="s">
        <v>457</v>
      </c>
      <c r="AN2380" s="159"/>
      <c r="AO2380" s="160"/>
      <c r="AP2380" s="161"/>
      <c r="AQ2380" s="160"/>
      <c r="AR2380" s="160"/>
      <c r="AS2380" s="160"/>
      <c r="AT2380" s="160"/>
      <c r="AU2380" s="160"/>
      <c r="AV2380" s="160"/>
      <c r="AW2380" s="160"/>
      <c r="AX2380" s="160"/>
      <c r="AY2380" s="160"/>
      <c r="AZ2380" s="160"/>
      <c r="BA2380" s="160"/>
      <c r="BB2380" s="160"/>
      <c r="BC2380" s="160"/>
      <c r="BD2380" s="160"/>
      <c r="BE2380" s="160"/>
      <c r="BF2380" s="160"/>
      <c r="BG2380" s="160"/>
      <c r="BH2380" s="160"/>
      <c r="BI2380" s="160"/>
      <c r="BJ2380" s="160"/>
      <c r="BK2380" s="160"/>
      <c r="BL2380" s="160"/>
      <c r="BM2380" s="160"/>
      <c r="BN2380" s="160"/>
      <c r="BO2380" s="160"/>
      <c r="BP2380" s="160"/>
      <c r="BQ2380" s="160"/>
      <c r="BR2380" s="160"/>
      <c r="BS2380" s="160"/>
      <c r="BT2380" s="160"/>
      <c r="BU2380" s="160"/>
      <c r="BV2380" s="160"/>
      <c r="BW2380" s="160"/>
      <c r="BX2380" s="160"/>
      <c r="BY2380" s="160"/>
      <c r="BZ2380" s="160"/>
      <c r="CA2380" s="160"/>
      <c r="CB2380" s="160"/>
      <c r="CC2380" s="160"/>
      <c r="CD2380" s="160"/>
      <c r="CE2380" s="160"/>
      <c r="CF2380" s="160"/>
      <c r="CG2380" s="160"/>
      <c r="CH2380" s="160"/>
      <c r="CI2380" s="160"/>
      <c r="CJ2380" s="160"/>
      <c r="CK2380" s="160"/>
      <c r="CL2380" s="160"/>
      <c r="CM2380" s="160"/>
      <c r="CN2380" s="160"/>
      <c r="CO2380" s="160"/>
      <c r="CP2380" s="162"/>
      <c r="CQ2380" s="163"/>
      <c r="CR2380" s="162"/>
      <c r="CS2380" s="163"/>
      <c r="CT2380" s="162"/>
      <c r="CU2380" s="163"/>
      <c r="CV2380" s="164">
        <f t="shared" si="296"/>
        <v>0</v>
      </c>
      <c r="CW2380" s="165"/>
      <c r="CX2380" s="166"/>
      <c r="CY2380" s="167"/>
      <c r="CZ2380" s="168"/>
      <c r="DA2380" s="169"/>
      <c r="DB2380" s="168"/>
      <c r="DC2380" s="165"/>
      <c r="DD2380" s="166"/>
      <c r="DE2380" s="71"/>
      <c r="DF2380" s="170"/>
      <c r="EO2380" s="375" t="str">
        <f t="shared" si="292"/>
        <v>ANTIOQUIA_BURITICA</v>
      </c>
      <c r="EP2380" s="376"/>
      <c r="EQ2380" s="376"/>
      <c r="ER2380" s="377"/>
      <c r="ES2380" s="376"/>
      <c r="ET2380" s="376"/>
      <c r="EU2380" s="376"/>
    </row>
    <row r="2381" spans="1:151" s="171" customFormat="1" ht="38.25" x14ac:dyDescent="0.2">
      <c r="A2381" s="242">
        <v>40543</v>
      </c>
      <c r="B2381" s="222" t="s">
        <v>2401</v>
      </c>
      <c r="C2381" s="222" t="s">
        <v>481</v>
      </c>
      <c r="D2381" s="430" t="s">
        <v>837</v>
      </c>
      <c r="E2381" s="107" t="str">
        <f>VLOOKUP(B2381&amp;C2381,Divipola!$C$2:$F$1138,4,FALSE)</f>
        <v>05134</v>
      </c>
      <c r="F2381" s="333"/>
      <c r="G2381" s="221"/>
      <c r="H2381" s="157"/>
      <c r="I2381" s="157"/>
      <c r="J2381" s="157">
        <v>1499</v>
      </c>
      <c r="K2381" s="157">
        <v>324</v>
      </c>
      <c r="L2381" s="157"/>
      <c r="M2381" s="157">
        <v>324</v>
      </c>
      <c r="N2381" s="157"/>
      <c r="O2381" s="157"/>
      <c r="P2381" s="157"/>
      <c r="Q2381" s="157"/>
      <c r="R2381" s="157"/>
      <c r="S2381" s="157"/>
      <c r="T2381" s="157"/>
      <c r="U2381" s="157"/>
      <c r="V2381" s="158"/>
      <c r="W2381" s="182"/>
      <c r="X2381" s="1"/>
      <c r="Y2381" s="78">
        <f t="shared" si="293"/>
        <v>0</v>
      </c>
      <c r="Z2381" s="78">
        <f t="shared" si="294"/>
        <v>0</v>
      </c>
      <c r="AA2381" s="78">
        <f t="shared" si="291"/>
        <v>0</v>
      </c>
      <c r="AB2381" s="78">
        <f t="shared" si="295"/>
        <v>0</v>
      </c>
      <c r="AC2381" s="78"/>
      <c r="AD2381" s="78">
        <v>0</v>
      </c>
      <c r="AE2381" s="80">
        <f t="shared" si="297"/>
        <v>0</v>
      </c>
      <c r="AF2381" s="82">
        <v>0</v>
      </c>
      <c r="AG2381" s="69">
        <v>40612</v>
      </c>
      <c r="AH2381" s="84"/>
      <c r="AI2381" s="69" t="s">
        <v>1984</v>
      </c>
      <c r="AJ2381" s="25" t="s">
        <v>1985</v>
      </c>
      <c r="AK2381" s="65"/>
      <c r="AL2381" s="176" t="s">
        <v>1257</v>
      </c>
      <c r="AM2381" s="173" t="s">
        <v>457</v>
      </c>
      <c r="AN2381" s="159"/>
      <c r="AO2381" s="160"/>
      <c r="AP2381" s="161"/>
      <c r="AQ2381" s="160"/>
      <c r="AR2381" s="160"/>
      <c r="AS2381" s="160"/>
      <c r="AT2381" s="160"/>
      <c r="AU2381" s="160"/>
      <c r="AV2381" s="160"/>
      <c r="AW2381" s="160"/>
      <c r="AX2381" s="160"/>
      <c r="AY2381" s="160"/>
      <c r="AZ2381" s="160"/>
      <c r="BA2381" s="160"/>
      <c r="BB2381" s="160"/>
      <c r="BC2381" s="160"/>
      <c r="BD2381" s="160"/>
      <c r="BE2381" s="160"/>
      <c r="BF2381" s="160"/>
      <c r="BG2381" s="160"/>
      <c r="BH2381" s="160"/>
      <c r="BI2381" s="160"/>
      <c r="BJ2381" s="160"/>
      <c r="BK2381" s="160"/>
      <c r="BL2381" s="160"/>
      <c r="BM2381" s="160"/>
      <c r="BN2381" s="160"/>
      <c r="BO2381" s="160"/>
      <c r="BP2381" s="160"/>
      <c r="BQ2381" s="160"/>
      <c r="BR2381" s="160"/>
      <c r="BS2381" s="160"/>
      <c r="BT2381" s="160"/>
      <c r="BU2381" s="160"/>
      <c r="BV2381" s="160"/>
      <c r="BW2381" s="160"/>
      <c r="BX2381" s="160"/>
      <c r="BY2381" s="160"/>
      <c r="BZ2381" s="160"/>
      <c r="CA2381" s="160"/>
      <c r="CB2381" s="160"/>
      <c r="CC2381" s="160"/>
      <c r="CD2381" s="160"/>
      <c r="CE2381" s="160"/>
      <c r="CF2381" s="160"/>
      <c r="CG2381" s="160"/>
      <c r="CH2381" s="160"/>
      <c r="CI2381" s="160"/>
      <c r="CJ2381" s="160"/>
      <c r="CK2381" s="160"/>
      <c r="CL2381" s="160"/>
      <c r="CM2381" s="160"/>
      <c r="CN2381" s="160"/>
      <c r="CO2381" s="160"/>
      <c r="CP2381" s="162"/>
      <c r="CQ2381" s="163"/>
      <c r="CR2381" s="162"/>
      <c r="CS2381" s="163"/>
      <c r="CT2381" s="162"/>
      <c r="CU2381" s="163"/>
      <c r="CV2381" s="164">
        <f t="shared" si="296"/>
        <v>0</v>
      </c>
      <c r="CW2381" s="165"/>
      <c r="CX2381" s="166"/>
      <c r="CY2381" s="167"/>
      <c r="CZ2381" s="168"/>
      <c r="DA2381" s="169"/>
      <c r="DB2381" s="168"/>
      <c r="DC2381" s="165"/>
      <c r="DD2381" s="166"/>
      <c r="DE2381" s="71"/>
      <c r="DF2381" s="170"/>
      <c r="EO2381" s="375" t="str">
        <f t="shared" si="292"/>
        <v>ANTIOQUIA_CAMPAMENTO</v>
      </c>
      <c r="EP2381" s="376"/>
      <c r="EQ2381" s="376"/>
      <c r="ER2381" s="377"/>
      <c r="ES2381" s="376"/>
      <c r="ET2381" s="376"/>
      <c r="EU2381" s="376"/>
    </row>
    <row r="2382" spans="1:151" s="171" customFormat="1" ht="51" x14ac:dyDescent="0.2">
      <c r="A2382" s="242">
        <v>40543</v>
      </c>
      <c r="B2382" s="222" t="s">
        <v>2401</v>
      </c>
      <c r="C2382" s="222" t="s">
        <v>0</v>
      </c>
      <c r="D2382" s="430" t="s">
        <v>837</v>
      </c>
      <c r="E2382" s="107" t="str">
        <f>VLOOKUP(B2382&amp;C2382,Divipola!$C$2:$F$1138,4,FALSE)</f>
        <v>05665</v>
      </c>
      <c r="F2382" s="333"/>
      <c r="G2382" s="221"/>
      <c r="H2382" s="157"/>
      <c r="I2382" s="157"/>
      <c r="J2382" s="157">
        <v>932</v>
      </c>
      <c r="K2382" s="157">
        <v>256</v>
      </c>
      <c r="L2382" s="157"/>
      <c r="M2382" s="157">
        <v>254</v>
      </c>
      <c r="N2382" s="157"/>
      <c r="O2382" s="157"/>
      <c r="P2382" s="157"/>
      <c r="Q2382" s="157"/>
      <c r="R2382" s="157"/>
      <c r="S2382" s="157"/>
      <c r="T2382" s="157"/>
      <c r="U2382" s="157"/>
      <c r="V2382" s="158"/>
      <c r="W2382" s="182"/>
      <c r="X2382" s="1"/>
      <c r="Y2382" s="78">
        <f t="shared" si="293"/>
        <v>0</v>
      </c>
      <c r="Z2382" s="78">
        <f t="shared" si="294"/>
        <v>0</v>
      </c>
      <c r="AA2382" s="78">
        <f t="shared" si="291"/>
        <v>0</v>
      </c>
      <c r="AB2382" s="78">
        <f t="shared" si="295"/>
        <v>0</v>
      </c>
      <c r="AC2382" s="78"/>
      <c r="AD2382" s="78">
        <v>0</v>
      </c>
      <c r="AE2382" s="80">
        <f t="shared" si="297"/>
        <v>0</v>
      </c>
      <c r="AF2382" s="82">
        <v>0</v>
      </c>
      <c r="AG2382" s="69">
        <v>40612</v>
      </c>
      <c r="AH2382" s="84"/>
      <c r="AI2382" s="69" t="s">
        <v>1984</v>
      </c>
      <c r="AJ2382" s="25" t="s">
        <v>1985</v>
      </c>
      <c r="AK2382" s="65"/>
      <c r="AL2382" s="176" t="s">
        <v>1257</v>
      </c>
      <c r="AM2382" s="173" t="s">
        <v>457</v>
      </c>
      <c r="AN2382" s="159"/>
      <c r="AO2382" s="160"/>
      <c r="AP2382" s="161"/>
      <c r="AQ2382" s="160"/>
      <c r="AR2382" s="160"/>
      <c r="AS2382" s="160"/>
      <c r="AT2382" s="160"/>
      <c r="AU2382" s="160"/>
      <c r="AV2382" s="160"/>
      <c r="AW2382" s="160"/>
      <c r="AX2382" s="160"/>
      <c r="AY2382" s="160"/>
      <c r="AZ2382" s="160"/>
      <c r="BA2382" s="160"/>
      <c r="BB2382" s="160"/>
      <c r="BC2382" s="160"/>
      <c r="BD2382" s="160"/>
      <c r="BE2382" s="160"/>
      <c r="BF2382" s="160"/>
      <c r="BG2382" s="160"/>
      <c r="BH2382" s="160"/>
      <c r="BI2382" s="160"/>
      <c r="BJ2382" s="160"/>
      <c r="BK2382" s="160"/>
      <c r="BL2382" s="160"/>
      <c r="BM2382" s="160"/>
      <c r="BN2382" s="160"/>
      <c r="BO2382" s="160"/>
      <c r="BP2382" s="160"/>
      <c r="BQ2382" s="160"/>
      <c r="BR2382" s="160"/>
      <c r="BS2382" s="160"/>
      <c r="BT2382" s="160"/>
      <c r="BU2382" s="160"/>
      <c r="BV2382" s="160"/>
      <c r="BW2382" s="160"/>
      <c r="BX2382" s="160"/>
      <c r="BY2382" s="160"/>
      <c r="BZ2382" s="160"/>
      <c r="CA2382" s="160"/>
      <c r="CB2382" s="160"/>
      <c r="CC2382" s="160"/>
      <c r="CD2382" s="160"/>
      <c r="CE2382" s="160"/>
      <c r="CF2382" s="160"/>
      <c r="CG2382" s="160"/>
      <c r="CH2382" s="160"/>
      <c r="CI2382" s="160"/>
      <c r="CJ2382" s="160"/>
      <c r="CK2382" s="160"/>
      <c r="CL2382" s="160"/>
      <c r="CM2382" s="160"/>
      <c r="CN2382" s="160"/>
      <c r="CO2382" s="160"/>
      <c r="CP2382" s="162"/>
      <c r="CQ2382" s="163"/>
      <c r="CR2382" s="162"/>
      <c r="CS2382" s="163"/>
      <c r="CT2382" s="162"/>
      <c r="CU2382" s="163"/>
      <c r="CV2382" s="164">
        <f t="shared" si="296"/>
        <v>0</v>
      </c>
      <c r="CW2382" s="165"/>
      <c r="CX2382" s="166"/>
      <c r="CY2382" s="167"/>
      <c r="CZ2382" s="168"/>
      <c r="DA2382" s="169"/>
      <c r="DB2382" s="168"/>
      <c r="DC2382" s="165"/>
      <c r="DD2382" s="166"/>
      <c r="DE2382" s="71"/>
      <c r="DF2382" s="170"/>
      <c r="EO2382" s="375" t="str">
        <f t="shared" si="292"/>
        <v>ANTIOQUIA_SAN PEDRO DE URABA</v>
      </c>
      <c r="EP2382" s="376"/>
      <c r="EQ2382" s="376"/>
      <c r="ER2382" s="377"/>
      <c r="ES2382" s="376"/>
      <c r="ET2382" s="376"/>
      <c r="EU2382" s="376"/>
    </row>
    <row r="2383" spans="1:151" s="171" customFormat="1" ht="25.5" x14ac:dyDescent="0.2">
      <c r="A2383" s="242">
        <v>40543</v>
      </c>
      <c r="B2383" s="222" t="s">
        <v>828</v>
      </c>
      <c r="C2383" s="222" t="s">
        <v>6</v>
      </c>
      <c r="D2383" s="430" t="s">
        <v>2307</v>
      </c>
      <c r="E2383" s="107" t="str">
        <f>VLOOKUP(B2383&amp;C2383,Divipola!$C$2:$F$1138,4,FALSE)</f>
        <v>15244</v>
      </c>
      <c r="F2383" s="333"/>
      <c r="G2383" s="221"/>
      <c r="H2383" s="157"/>
      <c r="I2383" s="157"/>
      <c r="J2383" s="157">
        <v>40</v>
      </c>
      <c r="K2383" s="157">
        <v>8</v>
      </c>
      <c r="L2383" s="157"/>
      <c r="M2383" s="157"/>
      <c r="N2383" s="157"/>
      <c r="O2383" s="157"/>
      <c r="P2383" s="157"/>
      <c r="Q2383" s="157"/>
      <c r="R2383" s="157"/>
      <c r="S2383" s="157"/>
      <c r="T2383" s="157"/>
      <c r="U2383" s="157"/>
      <c r="V2383" s="158"/>
      <c r="W2383" s="182"/>
      <c r="X2383" s="1"/>
      <c r="Y2383" s="78">
        <f t="shared" si="293"/>
        <v>0</v>
      </c>
      <c r="Z2383" s="78">
        <f t="shared" si="294"/>
        <v>0</v>
      </c>
      <c r="AA2383" s="78">
        <f t="shared" si="291"/>
        <v>0</v>
      </c>
      <c r="AB2383" s="78">
        <f t="shared" si="295"/>
        <v>0</v>
      </c>
      <c r="AC2383" s="78"/>
      <c r="AD2383" s="78">
        <v>0</v>
      </c>
      <c r="AE2383" s="80">
        <f t="shared" si="297"/>
        <v>0</v>
      </c>
      <c r="AF2383" s="82">
        <v>0</v>
      </c>
      <c r="AG2383" s="69">
        <v>40612</v>
      </c>
      <c r="AH2383" s="84"/>
      <c r="AI2383" s="69" t="s">
        <v>1984</v>
      </c>
      <c r="AJ2383" s="25" t="s">
        <v>1985</v>
      </c>
      <c r="AK2383" s="65"/>
      <c r="AL2383" s="176" t="s">
        <v>1257</v>
      </c>
      <c r="AM2383" s="173" t="s">
        <v>457</v>
      </c>
      <c r="AN2383" s="159"/>
      <c r="AO2383" s="160"/>
      <c r="AP2383" s="161"/>
      <c r="AQ2383" s="160"/>
      <c r="AR2383" s="160"/>
      <c r="AS2383" s="160"/>
      <c r="AT2383" s="160"/>
      <c r="AU2383" s="160"/>
      <c r="AV2383" s="160"/>
      <c r="AW2383" s="160"/>
      <c r="AX2383" s="160"/>
      <c r="AY2383" s="160"/>
      <c r="AZ2383" s="160"/>
      <c r="BA2383" s="160"/>
      <c r="BB2383" s="160"/>
      <c r="BC2383" s="160"/>
      <c r="BD2383" s="160"/>
      <c r="BE2383" s="160"/>
      <c r="BF2383" s="160"/>
      <c r="BG2383" s="160"/>
      <c r="BH2383" s="160"/>
      <c r="BI2383" s="160"/>
      <c r="BJ2383" s="160"/>
      <c r="BK2383" s="160"/>
      <c r="BL2383" s="160"/>
      <c r="BM2383" s="160"/>
      <c r="BN2383" s="160"/>
      <c r="BO2383" s="160"/>
      <c r="BP2383" s="160"/>
      <c r="BQ2383" s="160"/>
      <c r="BR2383" s="160"/>
      <c r="BS2383" s="160"/>
      <c r="BT2383" s="160"/>
      <c r="BU2383" s="160"/>
      <c r="BV2383" s="160"/>
      <c r="BW2383" s="160"/>
      <c r="BX2383" s="160"/>
      <c r="BY2383" s="160"/>
      <c r="BZ2383" s="160"/>
      <c r="CA2383" s="160"/>
      <c r="CB2383" s="160"/>
      <c r="CC2383" s="160"/>
      <c r="CD2383" s="160"/>
      <c r="CE2383" s="160"/>
      <c r="CF2383" s="160"/>
      <c r="CG2383" s="160"/>
      <c r="CH2383" s="160"/>
      <c r="CI2383" s="160"/>
      <c r="CJ2383" s="160"/>
      <c r="CK2383" s="160"/>
      <c r="CL2383" s="160"/>
      <c r="CM2383" s="160"/>
      <c r="CN2383" s="160"/>
      <c r="CO2383" s="160"/>
      <c r="CP2383" s="162"/>
      <c r="CQ2383" s="163"/>
      <c r="CR2383" s="162"/>
      <c r="CS2383" s="163"/>
      <c r="CT2383" s="162"/>
      <c r="CU2383" s="163"/>
      <c r="CV2383" s="164">
        <f t="shared" si="296"/>
        <v>0</v>
      </c>
      <c r="CW2383" s="165"/>
      <c r="CX2383" s="166"/>
      <c r="CY2383" s="167"/>
      <c r="CZ2383" s="168"/>
      <c r="DA2383" s="169"/>
      <c r="DB2383" s="168"/>
      <c r="DC2383" s="165"/>
      <c r="DD2383" s="166"/>
      <c r="DE2383" s="71"/>
      <c r="DF2383" s="170"/>
      <c r="EO2383" s="375" t="str">
        <f t="shared" si="292"/>
        <v>BOYACA_EL COCUY</v>
      </c>
      <c r="EP2383" s="376"/>
      <c r="EQ2383" s="376"/>
      <c r="ER2383" s="377"/>
      <c r="ES2383" s="376"/>
      <c r="ET2383" s="376"/>
      <c r="EU2383" s="376"/>
    </row>
    <row r="2384" spans="1:151" s="171" customFormat="1" ht="25.5" x14ac:dyDescent="0.2">
      <c r="A2384" s="242">
        <v>40543</v>
      </c>
      <c r="B2384" s="222" t="s">
        <v>828</v>
      </c>
      <c r="C2384" s="222" t="s">
        <v>8</v>
      </c>
      <c r="D2384" s="430" t="s">
        <v>837</v>
      </c>
      <c r="E2384" s="107" t="str">
        <f>VLOOKUP(B2384&amp;C2384,Divipola!$C$2:$F$1138,4,FALSE)</f>
        <v>15621</v>
      </c>
      <c r="F2384" s="333"/>
      <c r="G2384" s="221"/>
      <c r="H2384" s="157"/>
      <c r="I2384" s="157"/>
      <c r="J2384" s="157">
        <f>135*5</f>
        <v>675</v>
      </c>
      <c r="K2384" s="157">
        <v>135</v>
      </c>
      <c r="L2384" s="157"/>
      <c r="M2384" s="157">
        <v>135</v>
      </c>
      <c r="N2384" s="157"/>
      <c r="O2384" s="157"/>
      <c r="P2384" s="157"/>
      <c r="Q2384" s="157"/>
      <c r="R2384" s="157"/>
      <c r="S2384" s="157"/>
      <c r="T2384" s="157"/>
      <c r="U2384" s="157"/>
      <c r="V2384" s="158"/>
      <c r="W2384" s="182"/>
      <c r="X2384" s="1"/>
      <c r="Y2384" s="78">
        <f t="shared" si="293"/>
        <v>0</v>
      </c>
      <c r="Z2384" s="78">
        <f t="shared" si="294"/>
        <v>0</v>
      </c>
      <c r="AA2384" s="78">
        <f t="shared" si="291"/>
        <v>0</v>
      </c>
      <c r="AB2384" s="78">
        <f t="shared" si="295"/>
        <v>0</v>
      </c>
      <c r="AC2384" s="78"/>
      <c r="AD2384" s="78">
        <v>0</v>
      </c>
      <c r="AE2384" s="80">
        <f t="shared" si="297"/>
        <v>0</v>
      </c>
      <c r="AF2384" s="82">
        <v>0</v>
      </c>
      <c r="AG2384" s="69">
        <v>40612</v>
      </c>
      <c r="AH2384" s="84"/>
      <c r="AI2384" s="69" t="s">
        <v>1984</v>
      </c>
      <c r="AJ2384" s="25" t="s">
        <v>1985</v>
      </c>
      <c r="AK2384" s="65"/>
      <c r="AL2384" s="176" t="s">
        <v>1257</v>
      </c>
      <c r="AM2384" s="173" t="s">
        <v>457</v>
      </c>
      <c r="AN2384" s="159"/>
      <c r="AO2384" s="160"/>
      <c r="AP2384" s="161"/>
      <c r="AQ2384" s="160"/>
      <c r="AR2384" s="160"/>
      <c r="AS2384" s="160"/>
      <c r="AT2384" s="160"/>
      <c r="AU2384" s="160"/>
      <c r="AV2384" s="160"/>
      <c r="AW2384" s="160"/>
      <c r="AX2384" s="160"/>
      <c r="AY2384" s="160"/>
      <c r="AZ2384" s="160"/>
      <c r="BA2384" s="160"/>
      <c r="BB2384" s="160"/>
      <c r="BC2384" s="160"/>
      <c r="BD2384" s="160"/>
      <c r="BE2384" s="160"/>
      <c r="BF2384" s="160"/>
      <c r="BG2384" s="160"/>
      <c r="BH2384" s="160"/>
      <c r="BI2384" s="160"/>
      <c r="BJ2384" s="160"/>
      <c r="BK2384" s="160"/>
      <c r="BL2384" s="160"/>
      <c r="BM2384" s="160"/>
      <c r="BN2384" s="160"/>
      <c r="BO2384" s="160"/>
      <c r="BP2384" s="160"/>
      <c r="BQ2384" s="160"/>
      <c r="BR2384" s="160"/>
      <c r="BS2384" s="160"/>
      <c r="BT2384" s="160"/>
      <c r="BU2384" s="160"/>
      <c r="BV2384" s="160"/>
      <c r="BW2384" s="160"/>
      <c r="BX2384" s="160"/>
      <c r="BY2384" s="160"/>
      <c r="BZ2384" s="160"/>
      <c r="CA2384" s="160"/>
      <c r="CB2384" s="160"/>
      <c r="CC2384" s="160"/>
      <c r="CD2384" s="160"/>
      <c r="CE2384" s="160"/>
      <c r="CF2384" s="160"/>
      <c r="CG2384" s="160"/>
      <c r="CH2384" s="160"/>
      <c r="CI2384" s="160"/>
      <c r="CJ2384" s="160"/>
      <c r="CK2384" s="160"/>
      <c r="CL2384" s="160"/>
      <c r="CM2384" s="160"/>
      <c r="CN2384" s="160"/>
      <c r="CO2384" s="160"/>
      <c r="CP2384" s="162"/>
      <c r="CQ2384" s="163"/>
      <c r="CR2384" s="162"/>
      <c r="CS2384" s="163"/>
      <c r="CT2384" s="162"/>
      <c r="CU2384" s="163"/>
      <c r="CV2384" s="164">
        <f t="shared" si="296"/>
        <v>0</v>
      </c>
      <c r="CW2384" s="165"/>
      <c r="CX2384" s="166"/>
      <c r="CY2384" s="167"/>
      <c r="CZ2384" s="168"/>
      <c r="DA2384" s="169"/>
      <c r="DB2384" s="168"/>
      <c r="DC2384" s="165"/>
      <c r="DD2384" s="166"/>
      <c r="DE2384" s="71"/>
      <c r="DF2384" s="170"/>
      <c r="EO2384" s="375" t="str">
        <f t="shared" si="292"/>
        <v>BOYACA_RONDON</v>
      </c>
      <c r="EP2384" s="376"/>
      <c r="EQ2384" s="376"/>
      <c r="ER2384" s="377"/>
      <c r="ES2384" s="376"/>
      <c r="ET2384" s="376"/>
      <c r="EU2384" s="376"/>
    </row>
    <row r="2385" spans="1:151" s="171" customFormat="1" ht="25.5" x14ac:dyDescent="0.2">
      <c r="A2385" s="242">
        <v>40543</v>
      </c>
      <c r="B2385" s="222" t="s">
        <v>828</v>
      </c>
      <c r="C2385" s="222" t="s">
        <v>1568</v>
      </c>
      <c r="D2385" s="430" t="s">
        <v>837</v>
      </c>
      <c r="E2385" s="107" t="str">
        <f>VLOOKUP(B2385&amp;C2385,Divipola!$C$2:$F$1138,4,FALSE)</f>
        <v>15673</v>
      </c>
      <c r="F2385" s="333"/>
      <c r="G2385" s="221"/>
      <c r="H2385" s="157"/>
      <c r="I2385" s="157"/>
      <c r="J2385" s="157">
        <f>33*5</f>
        <v>165</v>
      </c>
      <c r="K2385" s="157">
        <v>33</v>
      </c>
      <c r="L2385" s="157"/>
      <c r="M2385" s="157">
        <v>33</v>
      </c>
      <c r="N2385" s="157"/>
      <c r="O2385" s="157"/>
      <c r="P2385" s="157"/>
      <c r="Q2385" s="157"/>
      <c r="R2385" s="157"/>
      <c r="S2385" s="157"/>
      <c r="T2385" s="157"/>
      <c r="U2385" s="157"/>
      <c r="V2385" s="158"/>
      <c r="W2385" s="182"/>
      <c r="X2385" s="1"/>
      <c r="Y2385" s="78">
        <f t="shared" si="293"/>
        <v>0</v>
      </c>
      <c r="Z2385" s="78">
        <f t="shared" si="294"/>
        <v>0</v>
      </c>
      <c r="AA2385" s="78">
        <f t="shared" si="291"/>
        <v>0</v>
      </c>
      <c r="AB2385" s="78">
        <f t="shared" si="295"/>
        <v>0</v>
      </c>
      <c r="AC2385" s="78"/>
      <c r="AD2385" s="78">
        <v>0</v>
      </c>
      <c r="AE2385" s="80">
        <f t="shared" si="297"/>
        <v>0</v>
      </c>
      <c r="AF2385" s="82">
        <v>0</v>
      </c>
      <c r="AG2385" s="69">
        <v>40612</v>
      </c>
      <c r="AH2385" s="84"/>
      <c r="AI2385" s="69" t="s">
        <v>1984</v>
      </c>
      <c r="AJ2385" s="25" t="s">
        <v>1985</v>
      </c>
      <c r="AK2385" s="65"/>
      <c r="AL2385" s="176" t="s">
        <v>1257</v>
      </c>
      <c r="AM2385" s="173" t="s">
        <v>457</v>
      </c>
      <c r="AN2385" s="159"/>
      <c r="AO2385" s="160"/>
      <c r="AP2385" s="161"/>
      <c r="AQ2385" s="160"/>
      <c r="AR2385" s="160"/>
      <c r="AS2385" s="160"/>
      <c r="AT2385" s="160"/>
      <c r="AU2385" s="160"/>
      <c r="AV2385" s="160"/>
      <c r="AW2385" s="160"/>
      <c r="AX2385" s="160"/>
      <c r="AY2385" s="160"/>
      <c r="AZ2385" s="160"/>
      <c r="BA2385" s="160"/>
      <c r="BB2385" s="160"/>
      <c r="BC2385" s="160"/>
      <c r="BD2385" s="160"/>
      <c r="BE2385" s="160"/>
      <c r="BF2385" s="160"/>
      <c r="BG2385" s="160"/>
      <c r="BH2385" s="160"/>
      <c r="BI2385" s="160"/>
      <c r="BJ2385" s="160"/>
      <c r="BK2385" s="160"/>
      <c r="BL2385" s="160"/>
      <c r="BM2385" s="160"/>
      <c r="BN2385" s="160"/>
      <c r="BO2385" s="160"/>
      <c r="BP2385" s="160"/>
      <c r="BQ2385" s="160"/>
      <c r="BR2385" s="160"/>
      <c r="BS2385" s="160"/>
      <c r="BT2385" s="160"/>
      <c r="BU2385" s="160"/>
      <c r="BV2385" s="160"/>
      <c r="BW2385" s="160"/>
      <c r="BX2385" s="160"/>
      <c r="BY2385" s="160"/>
      <c r="BZ2385" s="160"/>
      <c r="CA2385" s="160"/>
      <c r="CB2385" s="160"/>
      <c r="CC2385" s="160"/>
      <c r="CD2385" s="160"/>
      <c r="CE2385" s="160"/>
      <c r="CF2385" s="160"/>
      <c r="CG2385" s="160"/>
      <c r="CH2385" s="160"/>
      <c r="CI2385" s="160"/>
      <c r="CJ2385" s="160"/>
      <c r="CK2385" s="160"/>
      <c r="CL2385" s="160"/>
      <c r="CM2385" s="160"/>
      <c r="CN2385" s="160"/>
      <c r="CO2385" s="160"/>
      <c r="CP2385" s="162"/>
      <c r="CQ2385" s="163"/>
      <c r="CR2385" s="162"/>
      <c r="CS2385" s="163"/>
      <c r="CT2385" s="162"/>
      <c r="CU2385" s="163"/>
      <c r="CV2385" s="164">
        <f t="shared" si="296"/>
        <v>0</v>
      </c>
      <c r="CW2385" s="165"/>
      <c r="CX2385" s="166"/>
      <c r="CY2385" s="167"/>
      <c r="CZ2385" s="168"/>
      <c r="DA2385" s="169"/>
      <c r="DB2385" s="168"/>
      <c r="DC2385" s="165"/>
      <c r="DD2385" s="166"/>
      <c r="DE2385" s="71"/>
      <c r="DF2385" s="170"/>
      <c r="EO2385" s="375" t="str">
        <f t="shared" si="292"/>
        <v>BOYACA_SAN MATEO</v>
      </c>
      <c r="EP2385" s="376"/>
      <c r="EQ2385" s="376"/>
      <c r="ER2385" s="377"/>
      <c r="ES2385" s="376"/>
      <c r="ET2385" s="376"/>
      <c r="EU2385" s="376"/>
    </row>
    <row r="2386" spans="1:151" s="171" customFormat="1" ht="38.25" x14ac:dyDescent="0.2">
      <c r="A2386" s="242">
        <v>40543</v>
      </c>
      <c r="B2386" s="222" t="s">
        <v>289</v>
      </c>
      <c r="C2386" s="222" t="s">
        <v>473</v>
      </c>
      <c r="D2386" s="430" t="s">
        <v>837</v>
      </c>
      <c r="E2386" s="107" t="str">
        <f>VLOOKUP(B2386&amp;C2386,Divipola!$C$2:$F$1138,4,FALSE)</f>
        <v>17088</v>
      </c>
      <c r="F2386" s="333"/>
      <c r="G2386" s="221"/>
      <c r="H2386" s="157"/>
      <c r="I2386" s="157"/>
      <c r="J2386" s="157">
        <f>253*5</f>
        <v>1265</v>
      </c>
      <c r="K2386" s="157">
        <v>253</v>
      </c>
      <c r="L2386" s="157"/>
      <c r="M2386" s="157">
        <v>253</v>
      </c>
      <c r="N2386" s="157"/>
      <c r="O2386" s="157"/>
      <c r="P2386" s="157"/>
      <c r="Q2386" s="157"/>
      <c r="R2386" s="157"/>
      <c r="S2386" s="157"/>
      <c r="T2386" s="157"/>
      <c r="U2386" s="157"/>
      <c r="V2386" s="158"/>
      <c r="W2386" s="182"/>
      <c r="X2386" s="1"/>
      <c r="Y2386" s="78">
        <f t="shared" si="293"/>
        <v>0</v>
      </c>
      <c r="Z2386" s="78">
        <f t="shared" si="294"/>
        <v>0</v>
      </c>
      <c r="AA2386" s="78">
        <f t="shared" si="291"/>
        <v>0</v>
      </c>
      <c r="AB2386" s="78">
        <f t="shared" si="295"/>
        <v>0</v>
      </c>
      <c r="AC2386" s="78"/>
      <c r="AD2386" s="78">
        <v>0</v>
      </c>
      <c r="AE2386" s="80">
        <f t="shared" si="297"/>
        <v>0</v>
      </c>
      <c r="AF2386" s="82">
        <v>0</v>
      </c>
      <c r="AG2386" s="69"/>
      <c r="AH2386" s="84"/>
      <c r="AI2386" s="69" t="s">
        <v>1984</v>
      </c>
      <c r="AJ2386" s="25" t="s">
        <v>1985</v>
      </c>
      <c r="AK2386" s="65"/>
      <c r="AL2386" s="176" t="s">
        <v>1257</v>
      </c>
      <c r="AM2386" s="173" t="s">
        <v>457</v>
      </c>
      <c r="AN2386" s="159"/>
      <c r="AO2386" s="160"/>
      <c r="AP2386" s="161"/>
      <c r="AQ2386" s="160"/>
      <c r="AR2386" s="160"/>
      <c r="AS2386" s="160"/>
      <c r="AT2386" s="160"/>
      <c r="AU2386" s="160"/>
      <c r="AV2386" s="160"/>
      <c r="AW2386" s="160"/>
      <c r="AX2386" s="160"/>
      <c r="AY2386" s="160"/>
      <c r="AZ2386" s="160"/>
      <c r="BA2386" s="160"/>
      <c r="BB2386" s="160"/>
      <c r="BC2386" s="160"/>
      <c r="BD2386" s="160"/>
      <c r="BE2386" s="160"/>
      <c r="BF2386" s="160"/>
      <c r="BG2386" s="160"/>
      <c r="BH2386" s="160"/>
      <c r="BI2386" s="160"/>
      <c r="BJ2386" s="160"/>
      <c r="BK2386" s="160"/>
      <c r="BL2386" s="160"/>
      <c r="BM2386" s="160"/>
      <c r="BN2386" s="160"/>
      <c r="BO2386" s="160"/>
      <c r="BP2386" s="160"/>
      <c r="BQ2386" s="160"/>
      <c r="BR2386" s="160"/>
      <c r="BS2386" s="160"/>
      <c r="BT2386" s="160"/>
      <c r="BU2386" s="160"/>
      <c r="BV2386" s="160"/>
      <c r="BW2386" s="160"/>
      <c r="BX2386" s="160"/>
      <c r="BY2386" s="160"/>
      <c r="BZ2386" s="160"/>
      <c r="CA2386" s="160"/>
      <c r="CB2386" s="160"/>
      <c r="CC2386" s="160"/>
      <c r="CD2386" s="160"/>
      <c r="CE2386" s="160"/>
      <c r="CF2386" s="160"/>
      <c r="CG2386" s="160"/>
      <c r="CH2386" s="160"/>
      <c r="CI2386" s="160"/>
      <c r="CJ2386" s="160"/>
      <c r="CK2386" s="160"/>
      <c r="CL2386" s="160"/>
      <c r="CM2386" s="160"/>
      <c r="CN2386" s="160"/>
      <c r="CO2386" s="160"/>
      <c r="CP2386" s="162"/>
      <c r="CQ2386" s="163"/>
      <c r="CR2386" s="162"/>
      <c r="CS2386" s="163"/>
      <c r="CT2386" s="162"/>
      <c r="CU2386" s="163"/>
      <c r="CV2386" s="164">
        <f t="shared" si="296"/>
        <v>0</v>
      </c>
      <c r="CW2386" s="165"/>
      <c r="CX2386" s="166"/>
      <c r="CY2386" s="167"/>
      <c r="CZ2386" s="168"/>
      <c r="DA2386" s="169"/>
      <c r="DB2386" s="168"/>
      <c r="DC2386" s="165"/>
      <c r="DD2386" s="166"/>
      <c r="DE2386" s="71"/>
      <c r="DF2386" s="170"/>
      <c r="EO2386" s="375" t="str">
        <f t="shared" si="292"/>
        <v>CALDAS_BELALCAZAR</v>
      </c>
      <c r="EP2386" s="376"/>
      <c r="EQ2386" s="376"/>
      <c r="ER2386" s="377"/>
      <c r="ES2386" s="376"/>
      <c r="ET2386" s="376"/>
      <c r="EU2386" s="376"/>
    </row>
    <row r="2387" spans="1:151" s="171" customFormat="1" ht="25.5" x14ac:dyDescent="0.2">
      <c r="A2387" s="242">
        <v>40543</v>
      </c>
      <c r="B2387" s="222" t="s">
        <v>289</v>
      </c>
      <c r="C2387" s="222" t="s">
        <v>474</v>
      </c>
      <c r="D2387" s="430" t="s">
        <v>837</v>
      </c>
      <c r="E2387" s="107" t="str">
        <f>VLOOKUP(B2387&amp;C2387,Divipola!$C$2:$F$1138,4,FALSE)</f>
        <v>17272</v>
      </c>
      <c r="F2387" s="333"/>
      <c r="G2387" s="221"/>
      <c r="H2387" s="157"/>
      <c r="I2387" s="157"/>
      <c r="J2387" s="157">
        <f>87*5</f>
        <v>435</v>
      </c>
      <c r="K2387" s="157">
        <v>87</v>
      </c>
      <c r="L2387" s="157"/>
      <c r="M2387" s="157">
        <v>87</v>
      </c>
      <c r="N2387" s="157"/>
      <c r="O2387" s="157"/>
      <c r="P2387" s="157"/>
      <c r="Q2387" s="157"/>
      <c r="R2387" s="157"/>
      <c r="S2387" s="157"/>
      <c r="T2387" s="157"/>
      <c r="U2387" s="157"/>
      <c r="V2387" s="158"/>
      <c r="W2387" s="182"/>
      <c r="X2387" s="1"/>
      <c r="Y2387" s="78">
        <f t="shared" si="293"/>
        <v>0</v>
      </c>
      <c r="Z2387" s="78">
        <f t="shared" si="294"/>
        <v>0</v>
      </c>
      <c r="AA2387" s="78">
        <f t="shared" si="291"/>
        <v>0</v>
      </c>
      <c r="AB2387" s="78">
        <f t="shared" si="295"/>
        <v>0</v>
      </c>
      <c r="AC2387" s="78"/>
      <c r="AD2387" s="78">
        <v>0</v>
      </c>
      <c r="AE2387" s="80">
        <f t="shared" si="297"/>
        <v>0</v>
      </c>
      <c r="AF2387" s="82">
        <v>0</v>
      </c>
      <c r="AG2387" s="69"/>
      <c r="AH2387" s="84"/>
      <c r="AI2387" s="69" t="s">
        <v>1984</v>
      </c>
      <c r="AJ2387" s="25" t="s">
        <v>1985</v>
      </c>
      <c r="AK2387" s="65"/>
      <c r="AL2387" s="176" t="s">
        <v>1257</v>
      </c>
      <c r="AM2387" s="173" t="s">
        <v>457</v>
      </c>
      <c r="AN2387" s="159"/>
      <c r="AO2387" s="160"/>
      <c r="AP2387" s="161"/>
      <c r="AQ2387" s="160"/>
      <c r="AR2387" s="160"/>
      <c r="AS2387" s="160"/>
      <c r="AT2387" s="160"/>
      <c r="AU2387" s="160"/>
      <c r="AV2387" s="160"/>
      <c r="AW2387" s="160"/>
      <c r="AX2387" s="160"/>
      <c r="AY2387" s="160"/>
      <c r="AZ2387" s="160"/>
      <c r="BA2387" s="160"/>
      <c r="BB2387" s="160"/>
      <c r="BC2387" s="160"/>
      <c r="BD2387" s="160"/>
      <c r="BE2387" s="160"/>
      <c r="BF2387" s="160"/>
      <c r="BG2387" s="160"/>
      <c r="BH2387" s="160"/>
      <c r="BI2387" s="160"/>
      <c r="BJ2387" s="160"/>
      <c r="BK2387" s="160"/>
      <c r="BL2387" s="160"/>
      <c r="BM2387" s="160"/>
      <c r="BN2387" s="160"/>
      <c r="BO2387" s="160"/>
      <c r="BP2387" s="160"/>
      <c r="BQ2387" s="160"/>
      <c r="BR2387" s="160"/>
      <c r="BS2387" s="160"/>
      <c r="BT2387" s="160"/>
      <c r="BU2387" s="160"/>
      <c r="BV2387" s="160"/>
      <c r="BW2387" s="160"/>
      <c r="BX2387" s="160"/>
      <c r="BY2387" s="160"/>
      <c r="BZ2387" s="160"/>
      <c r="CA2387" s="160"/>
      <c r="CB2387" s="160"/>
      <c r="CC2387" s="160"/>
      <c r="CD2387" s="160"/>
      <c r="CE2387" s="160"/>
      <c r="CF2387" s="160"/>
      <c r="CG2387" s="160"/>
      <c r="CH2387" s="160"/>
      <c r="CI2387" s="160"/>
      <c r="CJ2387" s="160"/>
      <c r="CK2387" s="160"/>
      <c r="CL2387" s="160"/>
      <c r="CM2387" s="160"/>
      <c r="CN2387" s="160"/>
      <c r="CO2387" s="160"/>
      <c r="CP2387" s="162"/>
      <c r="CQ2387" s="163"/>
      <c r="CR2387" s="162"/>
      <c r="CS2387" s="163"/>
      <c r="CT2387" s="162"/>
      <c r="CU2387" s="163"/>
      <c r="CV2387" s="164">
        <f t="shared" si="296"/>
        <v>0</v>
      </c>
      <c r="CW2387" s="165"/>
      <c r="CX2387" s="166"/>
      <c r="CY2387" s="167"/>
      <c r="CZ2387" s="168"/>
      <c r="DA2387" s="169"/>
      <c r="DB2387" s="168"/>
      <c r="DC2387" s="165"/>
      <c r="DD2387" s="166"/>
      <c r="DE2387" s="71"/>
      <c r="DF2387" s="170">
        <v>1629</v>
      </c>
      <c r="EO2387" s="375" t="str">
        <f t="shared" si="292"/>
        <v>CALDAS_FILADELFIA</v>
      </c>
      <c r="EP2387" s="376"/>
      <c r="EQ2387" s="376"/>
      <c r="ER2387" s="377"/>
      <c r="ES2387" s="376"/>
      <c r="ET2387" s="376"/>
      <c r="EU2387" s="376"/>
    </row>
    <row r="2388" spans="1:151" s="171" customFormat="1" ht="25.5" x14ac:dyDescent="0.2">
      <c r="A2388" s="242">
        <v>40543</v>
      </c>
      <c r="B2388" s="222" t="s">
        <v>2425</v>
      </c>
      <c r="C2388" s="222" t="s">
        <v>2028</v>
      </c>
      <c r="D2388" s="430" t="s">
        <v>837</v>
      </c>
      <c r="E2388" s="107" t="str">
        <f>VLOOKUP(B2388&amp;C2388,Divipola!$C$2:$F$1138,4,FALSE)</f>
        <v>27495</v>
      </c>
      <c r="F2388" s="333"/>
      <c r="G2388" s="221"/>
      <c r="H2388" s="157"/>
      <c r="I2388" s="157"/>
      <c r="J2388" s="157">
        <f>555*4</f>
        <v>2220</v>
      </c>
      <c r="K2388" s="157">
        <v>555</v>
      </c>
      <c r="L2388" s="157"/>
      <c r="M2388" s="157">
        <v>11</v>
      </c>
      <c r="N2388" s="157"/>
      <c r="O2388" s="157"/>
      <c r="P2388" s="157"/>
      <c r="Q2388" s="157"/>
      <c r="R2388" s="157"/>
      <c r="S2388" s="157"/>
      <c r="T2388" s="157"/>
      <c r="U2388" s="157"/>
      <c r="V2388" s="158"/>
      <c r="W2388" s="182"/>
      <c r="X2388" s="1"/>
      <c r="Y2388" s="78">
        <f t="shared" si="293"/>
        <v>0</v>
      </c>
      <c r="Z2388" s="78">
        <f t="shared" si="294"/>
        <v>0</v>
      </c>
      <c r="AA2388" s="78">
        <f t="shared" si="291"/>
        <v>0</v>
      </c>
      <c r="AB2388" s="78">
        <f t="shared" si="295"/>
        <v>0</v>
      </c>
      <c r="AC2388" s="78"/>
      <c r="AD2388" s="78">
        <v>0</v>
      </c>
      <c r="AE2388" s="80">
        <f t="shared" si="297"/>
        <v>0</v>
      </c>
      <c r="AF2388" s="82">
        <v>0</v>
      </c>
      <c r="AG2388" s="69">
        <v>40612</v>
      </c>
      <c r="AH2388" s="84"/>
      <c r="AI2388" s="69" t="s">
        <v>1984</v>
      </c>
      <c r="AJ2388" s="25" t="s">
        <v>1985</v>
      </c>
      <c r="AK2388" s="65"/>
      <c r="AL2388" s="176" t="s">
        <v>1257</v>
      </c>
      <c r="AM2388" s="173" t="s">
        <v>457</v>
      </c>
      <c r="AN2388" s="159"/>
      <c r="AO2388" s="160"/>
      <c r="AP2388" s="161"/>
      <c r="AQ2388" s="160"/>
      <c r="AR2388" s="160"/>
      <c r="AS2388" s="160"/>
      <c r="AT2388" s="160"/>
      <c r="AU2388" s="160"/>
      <c r="AV2388" s="160"/>
      <c r="AW2388" s="160"/>
      <c r="AX2388" s="160"/>
      <c r="AY2388" s="160"/>
      <c r="AZ2388" s="160"/>
      <c r="BA2388" s="160"/>
      <c r="BB2388" s="160"/>
      <c r="BC2388" s="160"/>
      <c r="BD2388" s="160"/>
      <c r="BE2388" s="160"/>
      <c r="BF2388" s="160"/>
      <c r="BG2388" s="160"/>
      <c r="BH2388" s="160"/>
      <c r="BI2388" s="160"/>
      <c r="BJ2388" s="160"/>
      <c r="BK2388" s="160"/>
      <c r="BL2388" s="160"/>
      <c r="BM2388" s="160"/>
      <c r="BN2388" s="160"/>
      <c r="BO2388" s="160"/>
      <c r="BP2388" s="160"/>
      <c r="BQ2388" s="160"/>
      <c r="BR2388" s="160"/>
      <c r="BS2388" s="160"/>
      <c r="BT2388" s="160"/>
      <c r="BU2388" s="160"/>
      <c r="BV2388" s="160"/>
      <c r="BW2388" s="160"/>
      <c r="BX2388" s="160"/>
      <c r="BY2388" s="160"/>
      <c r="BZ2388" s="160"/>
      <c r="CA2388" s="160"/>
      <c r="CB2388" s="160"/>
      <c r="CC2388" s="160"/>
      <c r="CD2388" s="160"/>
      <c r="CE2388" s="160"/>
      <c r="CF2388" s="160"/>
      <c r="CG2388" s="160"/>
      <c r="CH2388" s="160"/>
      <c r="CI2388" s="160"/>
      <c r="CJ2388" s="160"/>
      <c r="CK2388" s="160"/>
      <c r="CL2388" s="160"/>
      <c r="CM2388" s="160"/>
      <c r="CN2388" s="160"/>
      <c r="CO2388" s="160"/>
      <c r="CP2388" s="162"/>
      <c r="CQ2388" s="163"/>
      <c r="CR2388" s="162"/>
      <c r="CS2388" s="163"/>
      <c r="CT2388" s="162"/>
      <c r="CU2388" s="163"/>
      <c r="CV2388" s="164">
        <f t="shared" si="296"/>
        <v>0</v>
      </c>
      <c r="CW2388" s="165"/>
      <c r="CX2388" s="166"/>
      <c r="CY2388" s="167"/>
      <c r="CZ2388" s="168"/>
      <c r="DA2388" s="169"/>
      <c r="DB2388" s="168"/>
      <c r="DC2388" s="165"/>
      <c r="DD2388" s="166"/>
      <c r="DE2388" s="71"/>
      <c r="DF2388" s="170"/>
      <c r="EO2388" s="375" t="str">
        <f t="shared" si="292"/>
        <v>CHOCO_NUQUI</v>
      </c>
      <c r="EP2388" s="376"/>
      <c r="EQ2388" s="376"/>
      <c r="ER2388" s="377"/>
      <c r="ES2388" s="376"/>
      <c r="ET2388" s="376"/>
      <c r="EU2388" s="376"/>
    </row>
    <row r="2389" spans="1:151" s="171" customFormat="1" ht="51" x14ac:dyDescent="0.2">
      <c r="A2389" s="242">
        <v>40543</v>
      </c>
      <c r="B2389" s="222" t="s">
        <v>2425</v>
      </c>
      <c r="C2389" s="222" t="s">
        <v>476</v>
      </c>
      <c r="D2389" s="430" t="s">
        <v>837</v>
      </c>
      <c r="E2389" s="107" t="str">
        <f>VLOOKUP(B2389&amp;C2389,Divipola!$C$2:$F$1138,4,FALSE)</f>
        <v>27810</v>
      </c>
      <c r="F2389" s="333"/>
      <c r="G2389" s="221"/>
      <c r="H2389" s="157"/>
      <c r="I2389" s="157"/>
      <c r="J2389" s="157">
        <f>597*4</f>
        <v>2388</v>
      </c>
      <c r="K2389" s="157">
        <v>597</v>
      </c>
      <c r="L2389" s="157"/>
      <c r="M2389" s="157">
        <v>30</v>
      </c>
      <c r="N2389" s="157"/>
      <c r="O2389" s="157"/>
      <c r="P2389" s="157"/>
      <c r="Q2389" s="157"/>
      <c r="R2389" s="157"/>
      <c r="S2389" s="157"/>
      <c r="T2389" s="157"/>
      <c r="U2389" s="157"/>
      <c r="V2389" s="158"/>
      <c r="W2389" s="182"/>
      <c r="X2389" s="1"/>
      <c r="Y2389" s="78">
        <f t="shared" si="293"/>
        <v>0</v>
      </c>
      <c r="Z2389" s="78">
        <f t="shared" si="294"/>
        <v>0</v>
      </c>
      <c r="AA2389" s="78">
        <f t="shared" si="291"/>
        <v>0</v>
      </c>
      <c r="AB2389" s="78">
        <f t="shared" si="295"/>
        <v>0</v>
      </c>
      <c r="AC2389" s="78"/>
      <c r="AD2389" s="78">
        <v>0</v>
      </c>
      <c r="AE2389" s="80">
        <f t="shared" si="297"/>
        <v>0</v>
      </c>
      <c r="AF2389" s="82">
        <v>0</v>
      </c>
      <c r="AG2389" s="69"/>
      <c r="AH2389" s="84"/>
      <c r="AI2389" s="69" t="s">
        <v>1984</v>
      </c>
      <c r="AJ2389" s="25" t="s">
        <v>1985</v>
      </c>
      <c r="AK2389" s="65"/>
      <c r="AL2389" s="176" t="s">
        <v>1257</v>
      </c>
      <c r="AM2389" s="173" t="s">
        <v>457</v>
      </c>
      <c r="AN2389" s="159"/>
      <c r="AO2389" s="160"/>
      <c r="AP2389" s="161"/>
      <c r="AQ2389" s="160"/>
      <c r="AR2389" s="160"/>
      <c r="AS2389" s="160"/>
      <c r="AT2389" s="160"/>
      <c r="AU2389" s="160"/>
      <c r="AV2389" s="160"/>
      <c r="AW2389" s="160"/>
      <c r="AX2389" s="160"/>
      <c r="AY2389" s="160"/>
      <c r="AZ2389" s="160"/>
      <c r="BA2389" s="160"/>
      <c r="BB2389" s="160"/>
      <c r="BC2389" s="160"/>
      <c r="BD2389" s="160"/>
      <c r="BE2389" s="160"/>
      <c r="BF2389" s="160"/>
      <c r="BG2389" s="160"/>
      <c r="BH2389" s="160"/>
      <c r="BI2389" s="160"/>
      <c r="BJ2389" s="160"/>
      <c r="BK2389" s="160"/>
      <c r="BL2389" s="160"/>
      <c r="BM2389" s="160"/>
      <c r="BN2389" s="160"/>
      <c r="BO2389" s="160"/>
      <c r="BP2389" s="160"/>
      <c r="BQ2389" s="160"/>
      <c r="BR2389" s="160"/>
      <c r="BS2389" s="160"/>
      <c r="BT2389" s="160"/>
      <c r="BU2389" s="160"/>
      <c r="BV2389" s="160"/>
      <c r="BW2389" s="160"/>
      <c r="BX2389" s="160"/>
      <c r="BY2389" s="160"/>
      <c r="BZ2389" s="160"/>
      <c r="CA2389" s="160"/>
      <c r="CB2389" s="160"/>
      <c r="CC2389" s="160"/>
      <c r="CD2389" s="160"/>
      <c r="CE2389" s="160"/>
      <c r="CF2389" s="160"/>
      <c r="CG2389" s="160"/>
      <c r="CH2389" s="160"/>
      <c r="CI2389" s="160"/>
      <c r="CJ2389" s="160"/>
      <c r="CK2389" s="160"/>
      <c r="CL2389" s="160"/>
      <c r="CM2389" s="160"/>
      <c r="CN2389" s="160"/>
      <c r="CO2389" s="160"/>
      <c r="CP2389" s="162"/>
      <c r="CQ2389" s="163"/>
      <c r="CR2389" s="162"/>
      <c r="CS2389" s="163"/>
      <c r="CT2389" s="162"/>
      <c r="CU2389" s="163"/>
      <c r="CV2389" s="164">
        <f t="shared" si="296"/>
        <v>0</v>
      </c>
      <c r="CW2389" s="165"/>
      <c r="CX2389" s="166"/>
      <c r="CY2389" s="167"/>
      <c r="CZ2389" s="168"/>
      <c r="DA2389" s="169"/>
      <c r="DB2389" s="168"/>
      <c r="DC2389" s="165"/>
      <c r="DD2389" s="166"/>
      <c r="DE2389" s="71"/>
      <c r="DF2389" s="170"/>
      <c r="EO2389" s="375" t="str">
        <f t="shared" si="292"/>
        <v>CHOCO_UNION PANAMERICANA</v>
      </c>
      <c r="EP2389" s="376"/>
      <c r="EQ2389" s="376"/>
      <c r="ER2389" s="377"/>
      <c r="ES2389" s="376"/>
      <c r="ET2389" s="376"/>
      <c r="EU2389" s="376"/>
    </row>
    <row r="2390" spans="1:151" s="171" customFormat="1" ht="25.5" x14ac:dyDescent="0.2">
      <c r="A2390" s="242">
        <v>40543</v>
      </c>
      <c r="B2390" s="222" t="s">
        <v>1333</v>
      </c>
      <c r="C2390" s="222" t="s">
        <v>2960</v>
      </c>
      <c r="D2390" s="430" t="s">
        <v>2307</v>
      </c>
      <c r="E2390" s="107" t="str">
        <f>VLOOKUP(B2390&amp;C2390,Divipola!$C$2:$F$1138,4,FALSE)</f>
        <v>41020</v>
      </c>
      <c r="F2390" s="333"/>
      <c r="G2390" s="221"/>
      <c r="H2390" s="157"/>
      <c r="I2390" s="157"/>
      <c r="J2390" s="157">
        <f>17*5</f>
        <v>85</v>
      </c>
      <c r="K2390" s="157">
        <v>17</v>
      </c>
      <c r="L2390" s="157"/>
      <c r="M2390" s="157">
        <v>17</v>
      </c>
      <c r="N2390" s="157"/>
      <c r="O2390" s="157"/>
      <c r="P2390" s="157"/>
      <c r="Q2390" s="157"/>
      <c r="R2390" s="157"/>
      <c r="S2390" s="157"/>
      <c r="T2390" s="157"/>
      <c r="U2390" s="157"/>
      <c r="V2390" s="158"/>
      <c r="W2390" s="182"/>
      <c r="X2390" s="1"/>
      <c r="Y2390" s="78">
        <f t="shared" si="293"/>
        <v>0</v>
      </c>
      <c r="Z2390" s="78">
        <f t="shared" si="294"/>
        <v>0</v>
      </c>
      <c r="AA2390" s="78">
        <f t="shared" si="291"/>
        <v>0</v>
      </c>
      <c r="AB2390" s="78">
        <f t="shared" si="295"/>
        <v>0</v>
      </c>
      <c r="AC2390" s="78"/>
      <c r="AD2390" s="78">
        <v>0</v>
      </c>
      <c r="AE2390" s="80">
        <f t="shared" si="297"/>
        <v>0</v>
      </c>
      <c r="AF2390" s="82">
        <v>0</v>
      </c>
      <c r="AG2390" s="69">
        <v>40605</v>
      </c>
      <c r="AH2390" s="84"/>
      <c r="AI2390" s="69" t="s">
        <v>1984</v>
      </c>
      <c r="AJ2390" s="25" t="s">
        <v>1985</v>
      </c>
      <c r="AK2390" s="65"/>
      <c r="AL2390" s="176" t="s">
        <v>1257</v>
      </c>
      <c r="AM2390" s="173" t="s">
        <v>457</v>
      </c>
      <c r="AN2390" s="159"/>
      <c r="AO2390" s="160"/>
      <c r="AP2390" s="161"/>
      <c r="AQ2390" s="160"/>
      <c r="AR2390" s="160"/>
      <c r="AS2390" s="160"/>
      <c r="AT2390" s="160"/>
      <c r="AU2390" s="160"/>
      <c r="AV2390" s="160"/>
      <c r="AW2390" s="160"/>
      <c r="AX2390" s="160"/>
      <c r="AY2390" s="160"/>
      <c r="AZ2390" s="160"/>
      <c r="BA2390" s="160"/>
      <c r="BB2390" s="160"/>
      <c r="BC2390" s="160"/>
      <c r="BD2390" s="160"/>
      <c r="BE2390" s="160"/>
      <c r="BF2390" s="160"/>
      <c r="BG2390" s="160"/>
      <c r="BH2390" s="160"/>
      <c r="BI2390" s="160"/>
      <c r="BJ2390" s="160"/>
      <c r="BK2390" s="160"/>
      <c r="BL2390" s="160"/>
      <c r="BM2390" s="160"/>
      <c r="BN2390" s="160"/>
      <c r="BO2390" s="160"/>
      <c r="BP2390" s="160"/>
      <c r="BQ2390" s="160"/>
      <c r="BR2390" s="160"/>
      <c r="BS2390" s="160"/>
      <c r="BT2390" s="160"/>
      <c r="BU2390" s="160"/>
      <c r="BV2390" s="160"/>
      <c r="BW2390" s="160"/>
      <c r="BX2390" s="160"/>
      <c r="BY2390" s="160"/>
      <c r="BZ2390" s="160"/>
      <c r="CA2390" s="160"/>
      <c r="CB2390" s="160"/>
      <c r="CC2390" s="160"/>
      <c r="CD2390" s="160"/>
      <c r="CE2390" s="160"/>
      <c r="CF2390" s="160"/>
      <c r="CG2390" s="160"/>
      <c r="CH2390" s="160"/>
      <c r="CI2390" s="160"/>
      <c r="CJ2390" s="160"/>
      <c r="CK2390" s="160"/>
      <c r="CL2390" s="160"/>
      <c r="CM2390" s="160"/>
      <c r="CN2390" s="160"/>
      <c r="CO2390" s="160"/>
      <c r="CP2390" s="162"/>
      <c r="CQ2390" s="163"/>
      <c r="CR2390" s="162"/>
      <c r="CS2390" s="163"/>
      <c r="CT2390" s="162"/>
      <c r="CU2390" s="163"/>
      <c r="CV2390" s="164">
        <f t="shared" si="296"/>
        <v>0</v>
      </c>
      <c r="CW2390" s="165"/>
      <c r="CX2390" s="166"/>
      <c r="CY2390" s="167"/>
      <c r="CZ2390" s="168"/>
      <c r="DA2390" s="169"/>
      <c r="DB2390" s="168"/>
      <c r="DC2390" s="165"/>
      <c r="DD2390" s="166"/>
      <c r="DE2390" s="71"/>
      <c r="DF2390" s="170"/>
      <c r="EO2390" s="375" t="str">
        <f t="shared" si="292"/>
        <v>HUILA_ALGECIRAS</v>
      </c>
      <c r="EP2390" s="376"/>
      <c r="EQ2390" s="376"/>
      <c r="ER2390" s="377"/>
      <c r="ES2390" s="376"/>
      <c r="ET2390" s="376"/>
      <c r="EU2390" s="376"/>
    </row>
    <row r="2391" spans="1:151" s="171" customFormat="1" ht="25.5" x14ac:dyDescent="0.2">
      <c r="A2391" s="242">
        <v>40543</v>
      </c>
      <c r="B2391" s="222" t="s">
        <v>1333</v>
      </c>
      <c r="C2391" s="222" t="s">
        <v>2770</v>
      </c>
      <c r="D2391" s="430" t="s">
        <v>837</v>
      </c>
      <c r="E2391" s="107" t="str">
        <f>VLOOKUP(B2391&amp;C2391,Divipola!$C$2:$F$1138,4,FALSE)</f>
        <v>41206</v>
      </c>
      <c r="F2391" s="333"/>
      <c r="G2391" s="221"/>
      <c r="H2391" s="157"/>
      <c r="I2391" s="157"/>
      <c r="J2391" s="157">
        <f>206*4</f>
        <v>824</v>
      </c>
      <c r="K2391" s="157">
        <f>95+111</f>
        <v>206</v>
      </c>
      <c r="L2391" s="157"/>
      <c r="M2391" s="157">
        <f>23-8</f>
        <v>15</v>
      </c>
      <c r="N2391" s="157">
        <v>19</v>
      </c>
      <c r="O2391" s="157"/>
      <c r="P2391" s="157"/>
      <c r="Q2391" s="157"/>
      <c r="R2391" s="157"/>
      <c r="S2391" s="157"/>
      <c r="T2391" s="157"/>
      <c r="U2391" s="157"/>
      <c r="V2391" s="158"/>
      <c r="W2391" s="182"/>
      <c r="X2391" s="1"/>
      <c r="Y2391" s="78">
        <f t="shared" si="293"/>
        <v>0</v>
      </c>
      <c r="Z2391" s="78">
        <f t="shared" si="294"/>
        <v>0</v>
      </c>
      <c r="AA2391" s="78">
        <f t="shared" si="291"/>
        <v>0</v>
      </c>
      <c r="AB2391" s="78">
        <f t="shared" si="295"/>
        <v>0</v>
      </c>
      <c r="AC2391" s="78"/>
      <c r="AD2391" s="78">
        <v>0</v>
      </c>
      <c r="AE2391" s="80">
        <f t="shared" si="297"/>
        <v>0</v>
      </c>
      <c r="AF2391" s="82">
        <v>0</v>
      </c>
      <c r="AG2391" s="69">
        <v>40605</v>
      </c>
      <c r="AH2391" s="84"/>
      <c r="AI2391" s="69" t="s">
        <v>1984</v>
      </c>
      <c r="AJ2391" s="25" t="s">
        <v>1985</v>
      </c>
      <c r="AK2391" s="65"/>
      <c r="AL2391" s="176" t="s">
        <v>1257</v>
      </c>
      <c r="AM2391" s="173" t="s">
        <v>457</v>
      </c>
      <c r="AN2391" s="159"/>
      <c r="AO2391" s="160"/>
      <c r="AP2391" s="161"/>
      <c r="AQ2391" s="160"/>
      <c r="AR2391" s="160"/>
      <c r="AS2391" s="160"/>
      <c r="AT2391" s="160"/>
      <c r="AU2391" s="160"/>
      <c r="AV2391" s="160"/>
      <c r="AW2391" s="160"/>
      <c r="AX2391" s="160"/>
      <c r="AY2391" s="160"/>
      <c r="AZ2391" s="160"/>
      <c r="BA2391" s="160"/>
      <c r="BB2391" s="160"/>
      <c r="BC2391" s="160"/>
      <c r="BD2391" s="160"/>
      <c r="BE2391" s="160"/>
      <c r="BF2391" s="160"/>
      <c r="BG2391" s="160"/>
      <c r="BH2391" s="160"/>
      <c r="BI2391" s="160"/>
      <c r="BJ2391" s="160"/>
      <c r="BK2391" s="160"/>
      <c r="BL2391" s="160"/>
      <c r="BM2391" s="160"/>
      <c r="BN2391" s="160"/>
      <c r="BO2391" s="160"/>
      <c r="BP2391" s="160"/>
      <c r="BQ2391" s="160"/>
      <c r="BR2391" s="160"/>
      <c r="BS2391" s="160"/>
      <c r="BT2391" s="160"/>
      <c r="BU2391" s="160"/>
      <c r="BV2391" s="160"/>
      <c r="BW2391" s="160"/>
      <c r="BX2391" s="160"/>
      <c r="BY2391" s="160"/>
      <c r="BZ2391" s="160"/>
      <c r="CA2391" s="160"/>
      <c r="CB2391" s="160"/>
      <c r="CC2391" s="160"/>
      <c r="CD2391" s="160"/>
      <c r="CE2391" s="160"/>
      <c r="CF2391" s="160"/>
      <c r="CG2391" s="160"/>
      <c r="CH2391" s="160"/>
      <c r="CI2391" s="160"/>
      <c r="CJ2391" s="160"/>
      <c r="CK2391" s="160"/>
      <c r="CL2391" s="160"/>
      <c r="CM2391" s="160"/>
      <c r="CN2391" s="160"/>
      <c r="CO2391" s="160"/>
      <c r="CP2391" s="162"/>
      <c r="CQ2391" s="163"/>
      <c r="CR2391" s="162"/>
      <c r="CS2391" s="163"/>
      <c r="CT2391" s="162"/>
      <c r="CU2391" s="163"/>
      <c r="CV2391" s="164">
        <f t="shared" si="296"/>
        <v>0</v>
      </c>
      <c r="CW2391" s="165"/>
      <c r="CX2391" s="166"/>
      <c r="CY2391" s="167"/>
      <c r="CZ2391" s="168"/>
      <c r="DA2391" s="169"/>
      <c r="DB2391" s="168"/>
      <c r="DC2391" s="165"/>
      <c r="DD2391" s="166"/>
      <c r="DE2391" s="71"/>
      <c r="DF2391" s="170"/>
      <c r="EO2391" s="375" t="str">
        <f t="shared" si="292"/>
        <v>HUILA_COLOMBIA</v>
      </c>
      <c r="EP2391" s="376"/>
      <c r="EQ2391" s="376"/>
      <c r="ER2391" s="377"/>
      <c r="ES2391" s="376"/>
      <c r="ET2391" s="376"/>
      <c r="EU2391" s="376"/>
    </row>
    <row r="2392" spans="1:151" s="171" customFormat="1" ht="25.5" x14ac:dyDescent="0.2">
      <c r="A2392" s="242">
        <v>40543</v>
      </c>
      <c r="B2392" s="222" t="s">
        <v>1333</v>
      </c>
      <c r="C2392" s="222" t="s">
        <v>3051</v>
      </c>
      <c r="D2392" s="430" t="s">
        <v>837</v>
      </c>
      <c r="E2392" s="107" t="str">
        <f>VLOOKUP(B2392&amp;C2392,Divipola!$C$2:$F$1138,4,FALSE)</f>
        <v>41357</v>
      </c>
      <c r="F2392" s="333"/>
      <c r="G2392" s="221"/>
      <c r="H2392" s="157"/>
      <c r="I2392" s="157"/>
      <c r="J2392" s="157">
        <v>80</v>
      </c>
      <c r="K2392" s="157">
        <v>27</v>
      </c>
      <c r="L2392" s="157"/>
      <c r="M2392" s="157"/>
      <c r="N2392" s="157"/>
      <c r="O2392" s="157"/>
      <c r="P2392" s="157"/>
      <c r="Q2392" s="157">
        <v>1</v>
      </c>
      <c r="R2392" s="157"/>
      <c r="S2392" s="157"/>
      <c r="T2392" s="157"/>
      <c r="U2392" s="157"/>
      <c r="V2392" s="158"/>
      <c r="W2392" s="182"/>
      <c r="X2392" s="1"/>
      <c r="Y2392" s="78">
        <f t="shared" si="293"/>
        <v>0</v>
      </c>
      <c r="Z2392" s="78">
        <f t="shared" si="294"/>
        <v>0</v>
      </c>
      <c r="AA2392" s="78">
        <f t="shared" si="291"/>
        <v>0</v>
      </c>
      <c r="AB2392" s="78">
        <f t="shared" si="295"/>
        <v>0</v>
      </c>
      <c r="AC2392" s="78"/>
      <c r="AD2392" s="78">
        <v>0</v>
      </c>
      <c r="AE2392" s="80">
        <f t="shared" si="297"/>
        <v>0</v>
      </c>
      <c r="AF2392" s="82">
        <v>0</v>
      </c>
      <c r="AG2392" s="69">
        <v>40605</v>
      </c>
      <c r="AH2392" s="84"/>
      <c r="AI2392" s="69" t="s">
        <v>1984</v>
      </c>
      <c r="AJ2392" s="25" t="s">
        <v>1985</v>
      </c>
      <c r="AK2392" s="65"/>
      <c r="AL2392" s="176" t="s">
        <v>1257</v>
      </c>
      <c r="AM2392" s="173" t="s">
        <v>457</v>
      </c>
      <c r="AN2392" s="159"/>
      <c r="AO2392" s="160"/>
      <c r="AP2392" s="161"/>
      <c r="AQ2392" s="160"/>
      <c r="AR2392" s="160"/>
      <c r="AS2392" s="160"/>
      <c r="AT2392" s="160"/>
      <c r="AU2392" s="160"/>
      <c r="AV2392" s="160"/>
      <c r="AW2392" s="160"/>
      <c r="AX2392" s="160"/>
      <c r="AY2392" s="160"/>
      <c r="AZ2392" s="160"/>
      <c r="BA2392" s="160"/>
      <c r="BB2392" s="160"/>
      <c r="BC2392" s="160"/>
      <c r="BD2392" s="160"/>
      <c r="BE2392" s="160"/>
      <c r="BF2392" s="160"/>
      <c r="BG2392" s="160"/>
      <c r="BH2392" s="160"/>
      <c r="BI2392" s="160"/>
      <c r="BJ2392" s="160"/>
      <c r="BK2392" s="160"/>
      <c r="BL2392" s="160"/>
      <c r="BM2392" s="160"/>
      <c r="BN2392" s="160"/>
      <c r="BO2392" s="160"/>
      <c r="BP2392" s="160"/>
      <c r="BQ2392" s="160"/>
      <c r="BR2392" s="160"/>
      <c r="BS2392" s="160"/>
      <c r="BT2392" s="160"/>
      <c r="BU2392" s="160"/>
      <c r="BV2392" s="160"/>
      <c r="BW2392" s="160"/>
      <c r="BX2392" s="160"/>
      <c r="BY2392" s="160"/>
      <c r="BZ2392" s="160"/>
      <c r="CA2392" s="160"/>
      <c r="CB2392" s="160"/>
      <c r="CC2392" s="160"/>
      <c r="CD2392" s="160"/>
      <c r="CE2392" s="160"/>
      <c r="CF2392" s="160"/>
      <c r="CG2392" s="160"/>
      <c r="CH2392" s="160"/>
      <c r="CI2392" s="160"/>
      <c r="CJ2392" s="160"/>
      <c r="CK2392" s="160"/>
      <c r="CL2392" s="160"/>
      <c r="CM2392" s="160"/>
      <c r="CN2392" s="160"/>
      <c r="CO2392" s="160"/>
      <c r="CP2392" s="162"/>
      <c r="CQ2392" s="163"/>
      <c r="CR2392" s="162"/>
      <c r="CS2392" s="163"/>
      <c r="CT2392" s="162"/>
      <c r="CU2392" s="163"/>
      <c r="CV2392" s="164">
        <f t="shared" si="296"/>
        <v>0</v>
      </c>
      <c r="CW2392" s="165"/>
      <c r="CX2392" s="166"/>
      <c r="CY2392" s="167"/>
      <c r="CZ2392" s="168"/>
      <c r="DA2392" s="169"/>
      <c r="DB2392" s="168"/>
      <c r="DC2392" s="165"/>
      <c r="DD2392" s="166"/>
      <c r="DE2392" s="71"/>
      <c r="DF2392" s="170"/>
      <c r="EO2392" s="375" t="str">
        <f t="shared" si="292"/>
        <v>HUILA_IQUIRA</v>
      </c>
      <c r="EP2392" s="376"/>
      <c r="EQ2392" s="376"/>
      <c r="ER2392" s="377"/>
      <c r="ES2392" s="376"/>
      <c r="ET2392" s="376"/>
      <c r="EU2392" s="376"/>
    </row>
    <row r="2393" spans="1:151" s="171" customFormat="1" ht="45" x14ac:dyDescent="0.2">
      <c r="A2393" s="242">
        <v>40543</v>
      </c>
      <c r="B2393" s="222" t="s">
        <v>1333</v>
      </c>
      <c r="C2393" s="222" t="s">
        <v>3165</v>
      </c>
      <c r="D2393" s="430" t="s">
        <v>2331</v>
      </c>
      <c r="E2393" s="107" t="str">
        <f>VLOOKUP(B2393&amp;C2393,Divipola!$C$2:$F$1138,4,FALSE)</f>
        <v>41615</v>
      </c>
      <c r="F2393" s="333"/>
      <c r="G2393" s="221"/>
      <c r="H2393" s="157"/>
      <c r="I2393" s="157"/>
      <c r="J2393" s="157">
        <v>15</v>
      </c>
      <c r="K2393" s="157">
        <v>3</v>
      </c>
      <c r="L2393" s="157"/>
      <c r="M2393" s="157"/>
      <c r="N2393" s="157"/>
      <c r="O2393" s="157"/>
      <c r="P2393" s="157"/>
      <c r="Q2393" s="157"/>
      <c r="R2393" s="157"/>
      <c r="S2393" s="157"/>
      <c r="T2393" s="157"/>
      <c r="U2393" s="157"/>
      <c r="V2393" s="158"/>
      <c r="W2393" s="182"/>
      <c r="X2393" s="1"/>
      <c r="Y2393" s="78">
        <f t="shared" si="293"/>
        <v>0</v>
      </c>
      <c r="Z2393" s="78">
        <f t="shared" si="294"/>
        <v>0</v>
      </c>
      <c r="AA2393" s="78">
        <f t="shared" si="291"/>
        <v>0</v>
      </c>
      <c r="AB2393" s="78">
        <f t="shared" si="295"/>
        <v>0</v>
      </c>
      <c r="AC2393" s="78"/>
      <c r="AD2393" s="78">
        <v>0</v>
      </c>
      <c r="AE2393" s="80">
        <f t="shared" si="297"/>
        <v>0</v>
      </c>
      <c r="AF2393" s="82">
        <v>0</v>
      </c>
      <c r="AG2393" s="69">
        <v>40543</v>
      </c>
      <c r="AH2393" s="84"/>
      <c r="AI2393" s="69" t="s">
        <v>2009</v>
      </c>
      <c r="AJ2393" s="276" t="s">
        <v>2010</v>
      </c>
      <c r="AK2393" s="65"/>
      <c r="AL2393" s="272" t="s">
        <v>311</v>
      </c>
      <c r="AM2393" s="173" t="s">
        <v>815</v>
      </c>
      <c r="AN2393" s="159"/>
      <c r="AO2393" s="160"/>
      <c r="AP2393" s="161"/>
      <c r="AQ2393" s="160"/>
      <c r="AR2393" s="160"/>
      <c r="AS2393" s="160"/>
      <c r="AT2393" s="160"/>
      <c r="AU2393" s="160"/>
      <c r="AV2393" s="160"/>
      <c r="AW2393" s="160"/>
      <c r="AX2393" s="160"/>
      <c r="AY2393" s="160"/>
      <c r="AZ2393" s="160"/>
      <c r="BA2393" s="160"/>
      <c r="BB2393" s="160"/>
      <c r="BC2393" s="160"/>
      <c r="BD2393" s="160"/>
      <c r="BE2393" s="160"/>
      <c r="BF2393" s="160"/>
      <c r="BG2393" s="160"/>
      <c r="BH2393" s="160"/>
      <c r="BI2393" s="160"/>
      <c r="BJ2393" s="160"/>
      <c r="BK2393" s="160"/>
      <c r="BL2393" s="160"/>
      <c r="BM2393" s="160"/>
      <c r="BN2393" s="160"/>
      <c r="BO2393" s="160"/>
      <c r="BP2393" s="160"/>
      <c r="BQ2393" s="160"/>
      <c r="BR2393" s="160"/>
      <c r="BS2393" s="160"/>
      <c r="BT2393" s="160"/>
      <c r="BU2393" s="160"/>
      <c r="BV2393" s="160"/>
      <c r="BW2393" s="160"/>
      <c r="BX2393" s="160"/>
      <c r="BY2393" s="160"/>
      <c r="BZ2393" s="160"/>
      <c r="CA2393" s="160"/>
      <c r="CB2393" s="160"/>
      <c r="CC2393" s="160"/>
      <c r="CD2393" s="160"/>
      <c r="CE2393" s="160"/>
      <c r="CF2393" s="160"/>
      <c r="CG2393" s="160"/>
      <c r="CH2393" s="160"/>
      <c r="CI2393" s="160"/>
      <c r="CJ2393" s="160"/>
      <c r="CK2393" s="160"/>
      <c r="CL2393" s="160"/>
      <c r="CM2393" s="160"/>
      <c r="CN2393" s="160"/>
      <c r="CO2393" s="160"/>
      <c r="CP2393" s="162"/>
      <c r="CQ2393" s="163"/>
      <c r="CR2393" s="162"/>
      <c r="CS2393" s="163"/>
      <c r="CT2393" s="162"/>
      <c r="CU2393" s="163"/>
      <c r="CV2393" s="164">
        <f t="shared" si="296"/>
        <v>0</v>
      </c>
      <c r="CW2393" s="165"/>
      <c r="CX2393" s="166"/>
      <c r="CY2393" s="167"/>
      <c r="CZ2393" s="168"/>
      <c r="DA2393" s="169"/>
      <c r="DB2393" s="168"/>
      <c r="DC2393" s="165"/>
      <c r="DD2393" s="166"/>
      <c r="DE2393" s="71"/>
      <c r="DF2393" s="170"/>
      <c r="EO2393" s="375" t="str">
        <f t="shared" si="292"/>
        <v>HUILA_RIVERA</v>
      </c>
      <c r="EP2393" s="376"/>
      <c r="EQ2393" s="376"/>
      <c r="ER2393" s="377"/>
      <c r="ES2393" s="376"/>
      <c r="ET2393" s="376"/>
      <c r="EU2393" s="376"/>
    </row>
    <row r="2394" spans="1:151" s="171" customFormat="1" ht="50.25" customHeight="1" x14ac:dyDescent="0.2">
      <c r="A2394" s="242">
        <v>40543</v>
      </c>
      <c r="B2394" s="222" t="s">
        <v>1333</v>
      </c>
      <c r="C2394" s="222" t="s">
        <v>2588</v>
      </c>
      <c r="D2394" s="430" t="s">
        <v>837</v>
      </c>
      <c r="E2394" s="107" t="str">
        <f>VLOOKUP(B2394&amp;C2394,Divipola!$C$2:$F$1138,4,FALSE)</f>
        <v>41797</v>
      </c>
      <c r="F2394" s="333"/>
      <c r="G2394" s="221"/>
      <c r="H2394" s="157"/>
      <c r="I2394" s="157"/>
      <c r="J2394" s="157">
        <f>961-75</f>
        <v>886</v>
      </c>
      <c r="K2394" s="157">
        <f>192-15</f>
        <v>177</v>
      </c>
      <c r="L2394" s="157"/>
      <c r="M2394" s="157">
        <f>52-15</f>
        <v>37</v>
      </c>
      <c r="N2394" s="157">
        <v>11</v>
      </c>
      <c r="O2394" s="157"/>
      <c r="P2394" s="157"/>
      <c r="Q2394" s="157">
        <v>4</v>
      </c>
      <c r="R2394" s="157"/>
      <c r="S2394" s="157">
        <v>1</v>
      </c>
      <c r="T2394" s="157"/>
      <c r="U2394" s="157"/>
      <c r="V2394" s="158"/>
      <c r="W2394" s="182"/>
      <c r="X2394" s="1"/>
      <c r="Y2394" s="78">
        <f t="shared" si="293"/>
        <v>0</v>
      </c>
      <c r="Z2394" s="78">
        <f t="shared" si="294"/>
        <v>0</v>
      </c>
      <c r="AA2394" s="78">
        <f t="shared" si="291"/>
        <v>0</v>
      </c>
      <c r="AB2394" s="78">
        <f t="shared" si="295"/>
        <v>0</v>
      </c>
      <c r="AC2394" s="78"/>
      <c r="AD2394" s="78">
        <v>0</v>
      </c>
      <c r="AE2394" s="80">
        <f t="shared" si="297"/>
        <v>0</v>
      </c>
      <c r="AF2394" s="82">
        <v>0</v>
      </c>
      <c r="AG2394" s="69">
        <v>40605</v>
      </c>
      <c r="AH2394" s="84"/>
      <c r="AI2394" s="69" t="s">
        <v>1984</v>
      </c>
      <c r="AJ2394" s="25" t="s">
        <v>1985</v>
      </c>
      <c r="AK2394" s="65"/>
      <c r="AL2394" s="176" t="s">
        <v>1257</v>
      </c>
      <c r="AM2394" s="173" t="s">
        <v>457</v>
      </c>
      <c r="AN2394" s="159"/>
      <c r="AO2394" s="160"/>
      <c r="AP2394" s="161"/>
      <c r="AQ2394" s="160"/>
      <c r="AR2394" s="160"/>
      <c r="AS2394" s="160"/>
      <c r="AT2394" s="160"/>
      <c r="AU2394" s="160"/>
      <c r="AV2394" s="160"/>
      <c r="AW2394" s="160"/>
      <c r="AX2394" s="160"/>
      <c r="AY2394" s="160"/>
      <c r="AZ2394" s="160"/>
      <c r="BA2394" s="160"/>
      <c r="BB2394" s="160"/>
      <c r="BC2394" s="160"/>
      <c r="BD2394" s="160"/>
      <c r="BE2394" s="160"/>
      <c r="BF2394" s="160"/>
      <c r="BG2394" s="160"/>
      <c r="BH2394" s="160"/>
      <c r="BI2394" s="160"/>
      <c r="BJ2394" s="160"/>
      <c r="BK2394" s="160"/>
      <c r="BL2394" s="160"/>
      <c r="BM2394" s="160"/>
      <c r="BN2394" s="160"/>
      <c r="BO2394" s="160"/>
      <c r="BP2394" s="160"/>
      <c r="BQ2394" s="160"/>
      <c r="BR2394" s="160"/>
      <c r="BS2394" s="160"/>
      <c r="BT2394" s="160"/>
      <c r="BU2394" s="160"/>
      <c r="BV2394" s="160"/>
      <c r="BW2394" s="160"/>
      <c r="BX2394" s="160"/>
      <c r="BY2394" s="160"/>
      <c r="BZ2394" s="160"/>
      <c r="CA2394" s="160"/>
      <c r="CB2394" s="160"/>
      <c r="CC2394" s="160"/>
      <c r="CD2394" s="160"/>
      <c r="CE2394" s="160"/>
      <c r="CF2394" s="160"/>
      <c r="CG2394" s="160"/>
      <c r="CH2394" s="160"/>
      <c r="CI2394" s="160"/>
      <c r="CJ2394" s="160"/>
      <c r="CK2394" s="160"/>
      <c r="CL2394" s="160"/>
      <c r="CM2394" s="160"/>
      <c r="CN2394" s="160"/>
      <c r="CO2394" s="160"/>
      <c r="CP2394" s="162"/>
      <c r="CQ2394" s="163"/>
      <c r="CR2394" s="162"/>
      <c r="CS2394" s="163"/>
      <c r="CT2394" s="162"/>
      <c r="CU2394" s="163"/>
      <c r="CV2394" s="164">
        <f t="shared" si="296"/>
        <v>0</v>
      </c>
      <c r="CW2394" s="165"/>
      <c r="CX2394" s="166"/>
      <c r="CY2394" s="167"/>
      <c r="CZ2394" s="168"/>
      <c r="DA2394" s="169"/>
      <c r="DB2394" s="168"/>
      <c r="DC2394" s="165"/>
      <c r="DD2394" s="166"/>
      <c r="DE2394" s="71"/>
      <c r="DF2394" s="170"/>
      <c r="EO2394" s="375" t="str">
        <f t="shared" si="292"/>
        <v>HUILA_TESALIA</v>
      </c>
      <c r="EP2394" s="376"/>
      <c r="EQ2394" s="376"/>
      <c r="ER2394" s="377"/>
      <c r="ES2394" s="376"/>
      <c r="ET2394" s="376"/>
      <c r="EU2394" s="376"/>
    </row>
    <row r="2395" spans="1:151" s="171" customFormat="1" ht="25.5" x14ac:dyDescent="0.2">
      <c r="A2395" s="242">
        <v>40543</v>
      </c>
      <c r="B2395" s="222" t="s">
        <v>1333</v>
      </c>
      <c r="C2395" s="222" t="s">
        <v>614</v>
      </c>
      <c r="D2395" s="430" t="s">
        <v>2307</v>
      </c>
      <c r="E2395" s="107" t="str">
        <f>VLOOKUP(B2395&amp;C2395,Divipola!$C$2:$F$1138,4,FALSE)</f>
        <v>41885</v>
      </c>
      <c r="F2395" s="333"/>
      <c r="G2395" s="221"/>
      <c r="H2395" s="157"/>
      <c r="I2395" s="157"/>
      <c r="J2395" s="157">
        <v>25</v>
      </c>
      <c r="K2395" s="157">
        <v>5</v>
      </c>
      <c r="L2395" s="157"/>
      <c r="M2395" s="157"/>
      <c r="N2395" s="157"/>
      <c r="O2395" s="157"/>
      <c r="P2395" s="157"/>
      <c r="Q2395" s="157"/>
      <c r="R2395" s="157"/>
      <c r="S2395" s="157"/>
      <c r="T2395" s="157"/>
      <c r="U2395" s="157"/>
      <c r="V2395" s="158"/>
      <c r="W2395" s="182"/>
      <c r="X2395" s="1"/>
      <c r="Y2395" s="78">
        <f t="shared" si="293"/>
        <v>0</v>
      </c>
      <c r="Z2395" s="78">
        <f t="shared" si="294"/>
        <v>0</v>
      </c>
      <c r="AA2395" s="78">
        <f t="shared" si="291"/>
        <v>0</v>
      </c>
      <c r="AB2395" s="78">
        <f t="shared" si="295"/>
        <v>0</v>
      </c>
      <c r="AC2395" s="78"/>
      <c r="AD2395" s="78">
        <v>0</v>
      </c>
      <c r="AE2395" s="80">
        <f t="shared" si="297"/>
        <v>0</v>
      </c>
      <c r="AF2395" s="82">
        <v>0</v>
      </c>
      <c r="AG2395" s="69">
        <v>40605</v>
      </c>
      <c r="AH2395" s="84"/>
      <c r="AI2395" s="69" t="s">
        <v>1984</v>
      </c>
      <c r="AJ2395" s="25" t="s">
        <v>1985</v>
      </c>
      <c r="AK2395" s="65"/>
      <c r="AL2395" s="176" t="s">
        <v>1257</v>
      </c>
      <c r="AM2395" s="173" t="s">
        <v>457</v>
      </c>
      <c r="AN2395" s="159"/>
      <c r="AO2395" s="160"/>
      <c r="AP2395" s="161"/>
      <c r="AQ2395" s="160"/>
      <c r="AR2395" s="160"/>
      <c r="AS2395" s="160"/>
      <c r="AT2395" s="160"/>
      <c r="AU2395" s="160"/>
      <c r="AV2395" s="160"/>
      <c r="AW2395" s="160"/>
      <c r="AX2395" s="160"/>
      <c r="AY2395" s="160"/>
      <c r="AZ2395" s="160"/>
      <c r="BA2395" s="160"/>
      <c r="BB2395" s="160"/>
      <c r="BC2395" s="160"/>
      <c r="BD2395" s="160"/>
      <c r="BE2395" s="160"/>
      <c r="BF2395" s="160"/>
      <c r="BG2395" s="160"/>
      <c r="BH2395" s="160"/>
      <c r="BI2395" s="160"/>
      <c r="BJ2395" s="160"/>
      <c r="BK2395" s="160"/>
      <c r="BL2395" s="160"/>
      <c r="BM2395" s="160"/>
      <c r="BN2395" s="160"/>
      <c r="BO2395" s="160"/>
      <c r="BP2395" s="160"/>
      <c r="BQ2395" s="160"/>
      <c r="BR2395" s="160"/>
      <c r="BS2395" s="160"/>
      <c r="BT2395" s="160"/>
      <c r="BU2395" s="160"/>
      <c r="BV2395" s="160"/>
      <c r="BW2395" s="160"/>
      <c r="BX2395" s="160"/>
      <c r="BY2395" s="160"/>
      <c r="BZ2395" s="160"/>
      <c r="CA2395" s="160"/>
      <c r="CB2395" s="160"/>
      <c r="CC2395" s="160"/>
      <c r="CD2395" s="160"/>
      <c r="CE2395" s="160"/>
      <c r="CF2395" s="160"/>
      <c r="CG2395" s="160"/>
      <c r="CH2395" s="160"/>
      <c r="CI2395" s="160"/>
      <c r="CJ2395" s="160"/>
      <c r="CK2395" s="160"/>
      <c r="CL2395" s="160"/>
      <c r="CM2395" s="160"/>
      <c r="CN2395" s="160"/>
      <c r="CO2395" s="160"/>
      <c r="CP2395" s="162"/>
      <c r="CQ2395" s="163"/>
      <c r="CR2395" s="162"/>
      <c r="CS2395" s="163"/>
      <c r="CT2395" s="162"/>
      <c r="CU2395" s="163"/>
      <c r="CV2395" s="164">
        <f t="shared" si="296"/>
        <v>0</v>
      </c>
      <c r="CW2395" s="165"/>
      <c r="CX2395" s="166"/>
      <c r="CY2395" s="167"/>
      <c r="CZ2395" s="168"/>
      <c r="DA2395" s="169"/>
      <c r="DB2395" s="168"/>
      <c r="DC2395" s="165"/>
      <c r="DD2395" s="166"/>
      <c r="DE2395" s="71"/>
      <c r="DF2395" s="170"/>
      <c r="EO2395" s="375" t="str">
        <f t="shared" si="292"/>
        <v>HUILA_YAGUARA</v>
      </c>
      <c r="EP2395" s="376"/>
      <c r="EQ2395" s="376"/>
      <c r="ER2395" s="377"/>
      <c r="ES2395" s="376"/>
      <c r="ET2395" s="376"/>
      <c r="EU2395" s="376"/>
    </row>
    <row r="2396" spans="1:151" s="171" customFormat="1" ht="25.5" x14ac:dyDescent="0.2">
      <c r="A2396" s="242">
        <v>40543</v>
      </c>
      <c r="B2396" s="222" t="s">
        <v>2245</v>
      </c>
      <c r="C2396" s="222" t="s">
        <v>388</v>
      </c>
      <c r="D2396" s="430" t="s">
        <v>837</v>
      </c>
      <c r="E2396" s="107" t="str">
        <f>VLOOKUP(B2396&amp;C2396,Divipola!$C$2:$F$1138,4,FALSE)</f>
        <v>52203</v>
      </c>
      <c r="F2396" s="333"/>
      <c r="G2396" s="221"/>
      <c r="H2396" s="157"/>
      <c r="I2396" s="157"/>
      <c r="J2396" s="157">
        <v>257</v>
      </c>
      <c r="K2396" s="157">
        <v>76</v>
      </c>
      <c r="L2396" s="157"/>
      <c r="M2396" s="157">
        <v>76</v>
      </c>
      <c r="N2396" s="157">
        <v>15</v>
      </c>
      <c r="O2396" s="157"/>
      <c r="P2396" s="157"/>
      <c r="Q2396" s="157"/>
      <c r="R2396" s="157"/>
      <c r="S2396" s="157"/>
      <c r="T2396" s="157"/>
      <c r="U2396" s="157"/>
      <c r="V2396" s="158"/>
      <c r="W2396" s="182"/>
      <c r="X2396" s="1"/>
      <c r="Y2396" s="78">
        <f t="shared" si="293"/>
        <v>0</v>
      </c>
      <c r="Z2396" s="78">
        <f t="shared" si="294"/>
        <v>0</v>
      </c>
      <c r="AA2396" s="78">
        <f t="shared" si="291"/>
        <v>0</v>
      </c>
      <c r="AB2396" s="78">
        <f t="shared" si="295"/>
        <v>0</v>
      </c>
      <c r="AC2396" s="78"/>
      <c r="AD2396" s="78">
        <v>0</v>
      </c>
      <c r="AE2396" s="80">
        <f t="shared" si="297"/>
        <v>0</v>
      </c>
      <c r="AF2396" s="82">
        <v>0</v>
      </c>
      <c r="AG2396" s="69">
        <v>40589</v>
      </c>
      <c r="AH2396" s="84"/>
      <c r="AI2396" s="69" t="s">
        <v>1984</v>
      </c>
      <c r="AJ2396" s="25" t="s">
        <v>1985</v>
      </c>
      <c r="AK2396" s="65"/>
      <c r="AL2396" s="176" t="s">
        <v>1257</v>
      </c>
      <c r="AM2396" s="173" t="s">
        <v>391</v>
      </c>
      <c r="AN2396" s="159"/>
      <c r="AO2396" s="160"/>
      <c r="AP2396" s="161"/>
      <c r="AQ2396" s="160"/>
      <c r="AR2396" s="160"/>
      <c r="AS2396" s="160"/>
      <c r="AT2396" s="160"/>
      <c r="AU2396" s="160"/>
      <c r="AV2396" s="160"/>
      <c r="AW2396" s="160"/>
      <c r="AX2396" s="160"/>
      <c r="AY2396" s="160"/>
      <c r="AZ2396" s="160"/>
      <c r="BA2396" s="160"/>
      <c r="BB2396" s="160"/>
      <c r="BC2396" s="160"/>
      <c r="BD2396" s="160"/>
      <c r="BE2396" s="160"/>
      <c r="BF2396" s="160"/>
      <c r="BG2396" s="160"/>
      <c r="BH2396" s="160"/>
      <c r="BI2396" s="160"/>
      <c r="BJ2396" s="160"/>
      <c r="BK2396" s="160"/>
      <c r="BL2396" s="160"/>
      <c r="BM2396" s="160"/>
      <c r="BN2396" s="160"/>
      <c r="BO2396" s="160"/>
      <c r="BP2396" s="160"/>
      <c r="BQ2396" s="160"/>
      <c r="BR2396" s="160"/>
      <c r="BS2396" s="160"/>
      <c r="BT2396" s="160"/>
      <c r="BU2396" s="160"/>
      <c r="BV2396" s="160"/>
      <c r="BW2396" s="160"/>
      <c r="BX2396" s="160"/>
      <c r="BY2396" s="160"/>
      <c r="BZ2396" s="160"/>
      <c r="CA2396" s="160"/>
      <c r="CB2396" s="160"/>
      <c r="CC2396" s="160"/>
      <c r="CD2396" s="160"/>
      <c r="CE2396" s="160"/>
      <c r="CF2396" s="160"/>
      <c r="CG2396" s="160"/>
      <c r="CH2396" s="160"/>
      <c r="CI2396" s="160"/>
      <c r="CJ2396" s="160"/>
      <c r="CK2396" s="160"/>
      <c r="CL2396" s="160"/>
      <c r="CM2396" s="160"/>
      <c r="CN2396" s="160"/>
      <c r="CO2396" s="160"/>
      <c r="CP2396" s="162"/>
      <c r="CQ2396" s="163"/>
      <c r="CR2396" s="162"/>
      <c r="CS2396" s="163"/>
      <c r="CT2396" s="162"/>
      <c r="CU2396" s="163"/>
      <c r="CV2396" s="164">
        <f t="shared" si="296"/>
        <v>0</v>
      </c>
      <c r="CW2396" s="165"/>
      <c r="CX2396" s="166"/>
      <c r="CY2396" s="167"/>
      <c r="CZ2396" s="168"/>
      <c r="DA2396" s="169"/>
      <c r="DB2396" s="168"/>
      <c r="DC2396" s="165"/>
      <c r="DD2396" s="166"/>
      <c r="DE2396" s="71"/>
      <c r="DF2396" s="170"/>
      <c r="EO2396" s="375" t="str">
        <f t="shared" si="292"/>
        <v>NARIÑO_COLON</v>
      </c>
      <c r="EP2396" s="376"/>
      <c r="EQ2396" s="376"/>
      <c r="ER2396" s="377"/>
      <c r="ES2396" s="376"/>
      <c r="ET2396" s="376"/>
      <c r="EU2396" s="376"/>
    </row>
    <row r="2397" spans="1:151" s="171" customFormat="1" ht="25.5" x14ac:dyDescent="0.2">
      <c r="A2397" s="242">
        <v>40543</v>
      </c>
      <c r="B2397" s="222" t="s">
        <v>2245</v>
      </c>
      <c r="C2397" s="222" t="s">
        <v>389</v>
      </c>
      <c r="D2397" s="430" t="s">
        <v>837</v>
      </c>
      <c r="E2397" s="107" t="str">
        <f>VLOOKUP(B2397&amp;C2397,Divipola!$C$2:$F$1138,4,FALSE)</f>
        <v>52207</v>
      </c>
      <c r="F2397" s="333"/>
      <c r="G2397" s="221"/>
      <c r="H2397" s="157"/>
      <c r="I2397" s="157"/>
      <c r="J2397" s="157">
        <v>3908</v>
      </c>
      <c r="K2397" s="157">
        <v>977</v>
      </c>
      <c r="L2397" s="157">
        <v>19</v>
      </c>
      <c r="M2397" s="157">
        <v>958</v>
      </c>
      <c r="N2397" s="157">
        <v>9</v>
      </c>
      <c r="O2397" s="157"/>
      <c r="P2397" s="157"/>
      <c r="Q2397" s="157"/>
      <c r="R2397" s="157"/>
      <c r="S2397" s="157"/>
      <c r="T2397" s="157"/>
      <c r="U2397" s="157"/>
      <c r="V2397" s="158"/>
      <c r="W2397" s="182"/>
      <c r="X2397" s="1"/>
      <c r="Y2397" s="78">
        <f t="shared" si="293"/>
        <v>0</v>
      </c>
      <c r="Z2397" s="78">
        <f t="shared" si="294"/>
        <v>0</v>
      </c>
      <c r="AA2397" s="78">
        <f t="shared" si="291"/>
        <v>0</v>
      </c>
      <c r="AB2397" s="78">
        <f t="shared" si="295"/>
        <v>0</v>
      </c>
      <c r="AC2397" s="78"/>
      <c r="AD2397" s="78">
        <v>0</v>
      </c>
      <c r="AE2397" s="80">
        <f t="shared" si="297"/>
        <v>0</v>
      </c>
      <c r="AF2397" s="82">
        <v>0</v>
      </c>
      <c r="AG2397" s="69">
        <v>40589</v>
      </c>
      <c r="AH2397" s="84"/>
      <c r="AI2397" s="69" t="s">
        <v>1984</v>
      </c>
      <c r="AJ2397" s="25" t="s">
        <v>1985</v>
      </c>
      <c r="AK2397" s="65"/>
      <c r="AL2397" s="176" t="s">
        <v>1257</v>
      </c>
      <c r="AM2397" s="173" t="s">
        <v>391</v>
      </c>
      <c r="AN2397" s="159"/>
      <c r="AO2397" s="160"/>
      <c r="AP2397" s="161"/>
      <c r="AQ2397" s="160"/>
      <c r="AR2397" s="160"/>
      <c r="AS2397" s="160"/>
      <c r="AT2397" s="160"/>
      <c r="AU2397" s="160"/>
      <c r="AV2397" s="160"/>
      <c r="AW2397" s="160"/>
      <c r="AX2397" s="160"/>
      <c r="AY2397" s="160"/>
      <c r="AZ2397" s="160"/>
      <c r="BA2397" s="160"/>
      <c r="BB2397" s="160"/>
      <c r="BC2397" s="160"/>
      <c r="BD2397" s="160"/>
      <c r="BE2397" s="160"/>
      <c r="BF2397" s="160"/>
      <c r="BG2397" s="160"/>
      <c r="BH2397" s="160"/>
      <c r="BI2397" s="160"/>
      <c r="BJ2397" s="160"/>
      <c r="BK2397" s="160"/>
      <c r="BL2397" s="160"/>
      <c r="BM2397" s="160"/>
      <c r="BN2397" s="160"/>
      <c r="BO2397" s="160"/>
      <c r="BP2397" s="160"/>
      <c r="BQ2397" s="160"/>
      <c r="BR2397" s="160"/>
      <c r="BS2397" s="160"/>
      <c r="BT2397" s="160"/>
      <c r="BU2397" s="160"/>
      <c r="BV2397" s="160"/>
      <c r="BW2397" s="160"/>
      <c r="BX2397" s="160"/>
      <c r="BY2397" s="160"/>
      <c r="BZ2397" s="160"/>
      <c r="CA2397" s="160"/>
      <c r="CB2397" s="160"/>
      <c r="CC2397" s="160"/>
      <c r="CD2397" s="160"/>
      <c r="CE2397" s="160"/>
      <c r="CF2397" s="160"/>
      <c r="CG2397" s="160"/>
      <c r="CH2397" s="160"/>
      <c r="CI2397" s="160"/>
      <c r="CJ2397" s="160"/>
      <c r="CK2397" s="160"/>
      <c r="CL2397" s="160"/>
      <c r="CM2397" s="160"/>
      <c r="CN2397" s="160"/>
      <c r="CO2397" s="160"/>
      <c r="CP2397" s="162"/>
      <c r="CQ2397" s="163"/>
      <c r="CR2397" s="162"/>
      <c r="CS2397" s="163"/>
      <c r="CT2397" s="162"/>
      <c r="CU2397" s="163"/>
      <c r="CV2397" s="164">
        <f t="shared" si="296"/>
        <v>0</v>
      </c>
      <c r="CW2397" s="165"/>
      <c r="CX2397" s="166"/>
      <c r="CY2397" s="167"/>
      <c r="CZ2397" s="168"/>
      <c r="DA2397" s="169"/>
      <c r="DB2397" s="168"/>
      <c r="DC2397" s="165"/>
      <c r="DD2397" s="166"/>
      <c r="DE2397" s="71"/>
      <c r="DF2397" s="170"/>
      <c r="EO2397" s="375" t="str">
        <f t="shared" si="292"/>
        <v>NARIÑO_CONSACA</v>
      </c>
      <c r="EP2397" s="376"/>
      <c r="EQ2397" s="376"/>
      <c r="ER2397" s="377"/>
      <c r="ES2397" s="376"/>
      <c r="ET2397" s="376"/>
      <c r="EU2397" s="376"/>
    </row>
    <row r="2398" spans="1:151" s="171" customFormat="1" ht="51" x14ac:dyDescent="0.2">
      <c r="A2398" s="242">
        <v>40543</v>
      </c>
      <c r="B2398" s="222" t="s">
        <v>2245</v>
      </c>
      <c r="C2398" s="222" t="s">
        <v>6308</v>
      </c>
      <c r="D2398" s="430" t="s">
        <v>837</v>
      </c>
      <c r="E2398" s="107" t="str">
        <f>VLOOKUP(B2398&amp;C2398,Divipola!$C$2:$F$1138,4,FALSE)</f>
        <v>52210</v>
      </c>
      <c r="F2398" s="333"/>
      <c r="G2398" s="221"/>
      <c r="H2398" s="157"/>
      <c r="I2398" s="157"/>
      <c r="J2398" s="157">
        <v>268</v>
      </c>
      <c r="K2398" s="157">
        <v>72</v>
      </c>
      <c r="L2398" s="157"/>
      <c r="M2398" s="157">
        <v>45</v>
      </c>
      <c r="N2398" s="157">
        <v>6</v>
      </c>
      <c r="O2398" s="157"/>
      <c r="P2398" s="157"/>
      <c r="Q2398" s="157">
        <v>5</v>
      </c>
      <c r="R2398" s="157"/>
      <c r="S2398" s="157"/>
      <c r="T2398" s="157"/>
      <c r="U2398" s="157"/>
      <c r="V2398" s="158"/>
      <c r="W2398" s="182"/>
      <c r="X2398" s="1"/>
      <c r="Y2398" s="78">
        <f t="shared" si="293"/>
        <v>0</v>
      </c>
      <c r="Z2398" s="78">
        <f t="shared" si="294"/>
        <v>0</v>
      </c>
      <c r="AA2398" s="78">
        <f t="shared" si="291"/>
        <v>0</v>
      </c>
      <c r="AB2398" s="78">
        <f t="shared" si="295"/>
        <v>0</v>
      </c>
      <c r="AC2398" s="78"/>
      <c r="AD2398" s="78">
        <v>0</v>
      </c>
      <c r="AE2398" s="80">
        <f t="shared" si="297"/>
        <v>0</v>
      </c>
      <c r="AF2398" s="82">
        <v>0</v>
      </c>
      <c r="AG2398" s="69">
        <v>40589</v>
      </c>
      <c r="AH2398" s="84"/>
      <c r="AI2398" s="69" t="s">
        <v>1984</v>
      </c>
      <c r="AJ2398" s="25" t="s">
        <v>1985</v>
      </c>
      <c r="AK2398" s="65"/>
      <c r="AL2398" s="176" t="s">
        <v>1257</v>
      </c>
      <c r="AM2398" s="173" t="s">
        <v>391</v>
      </c>
      <c r="AN2398" s="159"/>
      <c r="AO2398" s="160"/>
      <c r="AP2398" s="161"/>
      <c r="AQ2398" s="160"/>
      <c r="AR2398" s="160"/>
      <c r="AS2398" s="160"/>
      <c r="AT2398" s="160"/>
      <c r="AU2398" s="160"/>
      <c r="AV2398" s="160"/>
      <c r="AW2398" s="160"/>
      <c r="AX2398" s="160"/>
      <c r="AY2398" s="160"/>
      <c r="AZ2398" s="160"/>
      <c r="BA2398" s="160"/>
      <c r="BB2398" s="160"/>
      <c r="BC2398" s="160"/>
      <c r="BD2398" s="160"/>
      <c r="BE2398" s="160"/>
      <c r="BF2398" s="160"/>
      <c r="BG2398" s="160"/>
      <c r="BH2398" s="160"/>
      <c r="BI2398" s="160"/>
      <c r="BJ2398" s="160"/>
      <c r="BK2398" s="160"/>
      <c r="BL2398" s="160"/>
      <c r="BM2398" s="160"/>
      <c r="BN2398" s="160"/>
      <c r="BO2398" s="160"/>
      <c r="BP2398" s="160"/>
      <c r="BQ2398" s="160"/>
      <c r="BR2398" s="160"/>
      <c r="BS2398" s="160"/>
      <c r="BT2398" s="160"/>
      <c r="BU2398" s="160"/>
      <c r="BV2398" s="160"/>
      <c r="BW2398" s="160"/>
      <c r="BX2398" s="160"/>
      <c r="BY2398" s="160"/>
      <c r="BZ2398" s="160"/>
      <c r="CA2398" s="160"/>
      <c r="CB2398" s="160"/>
      <c r="CC2398" s="160"/>
      <c r="CD2398" s="160"/>
      <c r="CE2398" s="160"/>
      <c r="CF2398" s="160"/>
      <c r="CG2398" s="160"/>
      <c r="CH2398" s="160"/>
      <c r="CI2398" s="160"/>
      <c r="CJ2398" s="160"/>
      <c r="CK2398" s="160"/>
      <c r="CL2398" s="160"/>
      <c r="CM2398" s="160"/>
      <c r="CN2398" s="160"/>
      <c r="CO2398" s="160"/>
      <c r="CP2398" s="162"/>
      <c r="CQ2398" s="163"/>
      <c r="CR2398" s="162"/>
      <c r="CS2398" s="163"/>
      <c r="CT2398" s="162"/>
      <c r="CU2398" s="163"/>
      <c r="CV2398" s="164">
        <f t="shared" si="296"/>
        <v>0</v>
      </c>
      <c r="CW2398" s="165"/>
      <c r="CX2398" s="166"/>
      <c r="CY2398" s="167"/>
      <c r="CZ2398" s="168"/>
      <c r="DA2398" s="169"/>
      <c r="DB2398" s="168"/>
      <c r="DC2398" s="165"/>
      <c r="DD2398" s="166"/>
      <c r="DE2398" s="71"/>
      <c r="DF2398" s="170"/>
      <c r="EO2398" s="375" t="str">
        <f t="shared" si="292"/>
        <v>NARIÑO_EL CONTADERO</v>
      </c>
      <c r="EP2398" s="376"/>
      <c r="EQ2398" s="376"/>
      <c r="ER2398" s="377"/>
      <c r="ES2398" s="376"/>
      <c r="ET2398" s="376"/>
      <c r="EU2398" s="376"/>
    </row>
    <row r="2399" spans="1:151" s="171" customFormat="1" ht="25.5" x14ac:dyDescent="0.2">
      <c r="A2399" s="242">
        <v>40543</v>
      </c>
      <c r="B2399" s="222" t="s">
        <v>2245</v>
      </c>
      <c r="C2399" s="222" t="s">
        <v>1700</v>
      </c>
      <c r="D2399" s="430" t="s">
        <v>2307</v>
      </c>
      <c r="E2399" s="107" t="str">
        <f>VLOOKUP(B2399&amp;C2399,Divipola!$C$2:$F$1138,4,FALSE)</f>
        <v>52215</v>
      </c>
      <c r="F2399" s="333"/>
      <c r="G2399" s="221"/>
      <c r="H2399" s="157"/>
      <c r="I2399" s="157"/>
      <c r="J2399" s="157">
        <v>30</v>
      </c>
      <c r="K2399" s="157">
        <v>6</v>
      </c>
      <c r="L2399" s="157"/>
      <c r="M2399" s="157">
        <v>6</v>
      </c>
      <c r="N2399" s="157">
        <v>9</v>
      </c>
      <c r="O2399" s="157"/>
      <c r="P2399" s="157"/>
      <c r="Q2399" s="157"/>
      <c r="R2399" s="157"/>
      <c r="S2399" s="157"/>
      <c r="T2399" s="157"/>
      <c r="U2399" s="157"/>
      <c r="V2399" s="158"/>
      <c r="W2399" s="182"/>
      <c r="X2399" s="1"/>
      <c r="Y2399" s="78">
        <f t="shared" si="293"/>
        <v>0</v>
      </c>
      <c r="Z2399" s="78">
        <f t="shared" si="294"/>
        <v>0</v>
      </c>
      <c r="AA2399" s="78">
        <f t="shared" si="291"/>
        <v>0</v>
      </c>
      <c r="AB2399" s="78">
        <f t="shared" si="295"/>
        <v>0</v>
      </c>
      <c r="AC2399" s="78"/>
      <c r="AD2399" s="78">
        <v>0</v>
      </c>
      <c r="AE2399" s="80">
        <f t="shared" si="297"/>
        <v>0</v>
      </c>
      <c r="AF2399" s="82">
        <v>0</v>
      </c>
      <c r="AG2399" s="69">
        <v>40606</v>
      </c>
      <c r="AH2399" s="84"/>
      <c r="AI2399" s="69" t="s">
        <v>1984</v>
      </c>
      <c r="AJ2399" s="25" t="s">
        <v>1985</v>
      </c>
      <c r="AK2399" s="65"/>
      <c r="AL2399" s="176" t="s">
        <v>1257</v>
      </c>
      <c r="AM2399" s="173" t="s">
        <v>463</v>
      </c>
      <c r="AN2399" s="159"/>
      <c r="AO2399" s="160"/>
      <c r="AP2399" s="161"/>
      <c r="AQ2399" s="160"/>
      <c r="AR2399" s="160"/>
      <c r="AS2399" s="160"/>
      <c r="AT2399" s="160"/>
      <c r="AU2399" s="160"/>
      <c r="AV2399" s="160"/>
      <c r="AW2399" s="160"/>
      <c r="AX2399" s="160"/>
      <c r="AY2399" s="160"/>
      <c r="AZ2399" s="160"/>
      <c r="BA2399" s="160"/>
      <c r="BB2399" s="160"/>
      <c r="BC2399" s="160"/>
      <c r="BD2399" s="160"/>
      <c r="BE2399" s="160"/>
      <c r="BF2399" s="160"/>
      <c r="BG2399" s="160"/>
      <c r="BH2399" s="160"/>
      <c r="BI2399" s="160"/>
      <c r="BJ2399" s="160"/>
      <c r="BK2399" s="160"/>
      <c r="BL2399" s="160"/>
      <c r="BM2399" s="160"/>
      <c r="BN2399" s="160"/>
      <c r="BO2399" s="160"/>
      <c r="BP2399" s="160"/>
      <c r="BQ2399" s="160"/>
      <c r="BR2399" s="160"/>
      <c r="BS2399" s="160"/>
      <c r="BT2399" s="160"/>
      <c r="BU2399" s="160"/>
      <c r="BV2399" s="160"/>
      <c r="BW2399" s="160"/>
      <c r="BX2399" s="160"/>
      <c r="BY2399" s="160"/>
      <c r="BZ2399" s="160"/>
      <c r="CA2399" s="160"/>
      <c r="CB2399" s="160"/>
      <c r="CC2399" s="160"/>
      <c r="CD2399" s="160"/>
      <c r="CE2399" s="160"/>
      <c r="CF2399" s="160"/>
      <c r="CG2399" s="160"/>
      <c r="CH2399" s="160"/>
      <c r="CI2399" s="160"/>
      <c r="CJ2399" s="160"/>
      <c r="CK2399" s="160"/>
      <c r="CL2399" s="160"/>
      <c r="CM2399" s="160"/>
      <c r="CN2399" s="160"/>
      <c r="CO2399" s="160"/>
      <c r="CP2399" s="162"/>
      <c r="CQ2399" s="163"/>
      <c r="CR2399" s="162"/>
      <c r="CS2399" s="163"/>
      <c r="CT2399" s="162"/>
      <c r="CU2399" s="163"/>
      <c r="CV2399" s="164">
        <f t="shared" si="296"/>
        <v>0</v>
      </c>
      <c r="CW2399" s="165"/>
      <c r="CX2399" s="166"/>
      <c r="CY2399" s="167"/>
      <c r="CZ2399" s="168"/>
      <c r="DA2399" s="169"/>
      <c r="DB2399" s="168"/>
      <c r="DC2399" s="165"/>
      <c r="DD2399" s="166"/>
      <c r="DE2399" s="71"/>
      <c r="DF2399" s="170"/>
      <c r="EO2399" s="375" t="str">
        <f t="shared" si="292"/>
        <v>NARIÑO_CORDOBA</v>
      </c>
      <c r="EP2399" s="376"/>
      <c r="EQ2399" s="376"/>
      <c r="ER2399" s="377"/>
      <c r="ES2399" s="376"/>
      <c r="ET2399" s="376"/>
      <c r="EU2399" s="376"/>
    </row>
    <row r="2400" spans="1:151" s="171" customFormat="1" ht="25.5" x14ac:dyDescent="0.2">
      <c r="A2400" s="242">
        <v>40543</v>
      </c>
      <c r="B2400" s="222" t="s">
        <v>2245</v>
      </c>
      <c r="C2400" s="222" t="s">
        <v>460</v>
      </c>
      <c r="D2400" s="430" t="s">
        <v>2307</v>
      </c>
      <c r="E2400" s="107" t="str">
        <f>VLOOKUP(B2400&amp;C2400,Divipola!$C$2:$F$1138,4,FALSE)</f>
        <v>52256</v>
      </c>
      <c r="F2400" s="333"/>
      <c r="G2400" s="221"/>
      <c r="H2400" s="157"/>
      <c r="I2400" s="157"/>
      <c r="J2400" s="157">
        <v>295</v>
      </c>
      <c r="K2400" s="157">
        <v>59</v>
      </c>
      <c r="L2400" s="157">
        <v>9</v>
      </c>
      <c r="M2400" s="157">
        <v>34</v>
      </c>
      <c r="N2400" s="157">
        <v>8</v>
      </c>
      <c r="O2400" s="157"/>
      <c r="P2400" s="157"/>
      <c r="Q2400" s="157">
        <v>1</v>
      </c>
      <c r="R2400" s="157">
        <v>1</v>
      </c>
      <c r="S2400" s="157"/>
      <c r="T2400" s="157"/>
      <c r="U2400" s="157"/>
      <c r="V2400" s="158"/>
      <c r="W2400" s="182"/>
      <c r="X2400" s="1"/>
      <c r="Y2400" s="78">
        <f t="shared" si="293"/>
        <v>0</v>
      </c>
      <c r="Z2400" s="78">
        <f t="shared" si="294"/>
        <v>0</v>
      </c>
      <c r="AA2400" s="78">
        <f t="shared" si="291"/>
        <v>0</v>
      </c>
      <c r="AB2400" s="78">
        <f t="shared" si="295"/>
        <v>0</v>
      </c>
      <c r="AC2400" s="78"/>
      <c r="AD2400" s="78">
        <v>0</v>
      </c>
      <c r="AE2400" s="80">
        <f t="shared" si="297"/>
        <v>0</v>
      </c>
      <c r="AF2400" s="82">
        <v>0</v>
      </c>
      <c r="AG2400" s="69">
        <v>40606</v>
      </c>
      <c r="AH2400" s="84"/>
      <c r="AI2400" s="69" t="s">
        <v>1984</v>
      </c>
      <c r="AJ2400" s="25" t="s">
        <v>1985</v>
      </c>
      <c r="AK2400" s="65"/>
      <c r="AL2400" s="176" t="s">
        <v>1257</v>
      </c>
      <c r="AM2400" s="173" t="s">
        <v>463</v>
      </c>
      <c r="AN2400" s="159"/>
      <c r="AO2400" s="160"/>
      <c r="AP2400" s="161"/>
      <c r="AQ2400" s="160"/>
      <c r="AR2400" s="160"/>
      <c r="AS2400" s="160"/>
      <c r="AT2400" s="160"/>
      <c r="AU2400" s="160"/>
      <c r="AV2400" s="160"/>
      <c r="AW2400" s="160"/>
      <c r="AX2400" s="160"/>
      <c r="AY2400" s="160"/>
      <c r="AZ2400" s="160"/>
      <c r="BA2400" s="160"/>
      <c r="BB2400" s="160"/>
      <c r="BC2400" s="160"/>
      <c r="BD2400" s="160"/>
      <c r="BE2400" s="160"/>
      <c r="BF2400" s="160"/>
      <c r="BG2400" s="160"/>
      <c r="BH2400" s="160"/>
      <c r="BI2400" s="160"/>
      <c r="BJ2400" s="160"/>
      <c r="BK2400" s="160"/>
      <c r="BL2400" s="160"/>
      <c r="BM2400" s="160"/>
      <c r="BN2400" s="160"/>
      <c r="BO2400" s="160"/>
      <c r="BP2400" s="160"/>
      <c r="BQ2400" s="160"/>
      <c r="BR2400" s="160"/>
      <c r="BS2400" s="160"/>
      <c r="BT2400" s="160"/>
      <c r="BU2400" s="160"/>
      <c r="BV2400" s="160"/>
      <c r="BW2400" s="160"/>
      <c r="BX2400" s="160"/>
      <c r="BY2400" s="160"/>
      <c r="BZ2400" s="160"/>
      <c r="CA2400" s="160"/>
      <c r="CB2400" s="160"/>
      <c r="CC2400" s="160"/>
      <c r="CD2400" s="160"/>
      <c r="CE2400" s="160"/>
      <c r="CF2400" s="160"/>
      <c r="CG2400" s="160"/>
      <c r="CH2400" s="160"/>
      <c r="CI2400" s="160"/>
      <c r="CJ2400" s="160"/>
      <c r="CK2400" s="160"/>
      <c r="CL2400" s="160"/>
      <c r="CM2400" s="160"/>
      <c r="CN2400" s="160"/>
      <c r="CO2400" s="160"/>
      <c r="CP2400" s="162"/>
      <c r="CQ2400" s="163"/>
      <c r="CR2400" s="162"/>
      <c r="CS2400" s="163"/>
      <c r="CT2400" s="162"/>
      <c r="CU2400" s="163"/>
      <c r="CV2400" s="164">
        <f t="shared" si="296"/>
        <v>0</v>
      </c>
      <c r="CW2400" s="165"/>
      <c r="CX2400" s="166"/>
      <c r="CY2400" s="167"/>
      <c r="CZ2400" s="168"/>
      <c r="DA2400" s="169"/>
      <c r="DB2400" s="168"/>
      <c r="DC2400" s="165"/>
      <c r="DD2400" s="166"/>
      <c r="DE2400" s="71"/>
      <c r="DF2400" s="170"/>
      <c r="EO2400" s="375" t="str">
        <f t="shared" si="292"/>
        <v>NARIÑO_EL ROSARIO</v>
      </c>
      <c r="EP2400" s="376"/>
      <c r="EQ2400" s="376"/>
      <c r="ER2400" s="377"/>
      <c r="ES2400" s="376"/>
      <c r="ET2400" s="376"/>
      <c r="EU2400" s="376"/>
    </row>
    <row r="2401" spans="1:151" s="171" customFormat="1" ht="25.5" x14ac:dyDescent="0.2">
      <c r="A2401" s="242">
        <v>40543</v>
      </c>
      <c r="B2401" s="222" t="s">
        <v>2245</v>
      </c>
      <c r="C2401" s="222" t="s">
        <v>461</v>
      </c>
      <c r="D2401" s="430" t="s">
        <v>2307</v>
      </c>
      <c r="E2401" s="107" t="str">
        <f>VLOOKUP(B2401&amp;C2401,Divipola!$C$2:$F$1138,4,FALSE)</f>
        <v>52381</v>
      </c>
      <c r="F2401" s="333"/>
      <c r="G2401" s="221"/>
      <c r="H2401" s="157"/>
      <c r="I2401" s="157"/>
      <c r="J2401" s="157">
        <v>7</v>
      </c>
      <c r="K2401" s="157">
        <v>2</v>
      </c>
      <c r="L2401" s="157">
        <v>2</v>
      </c>
      <c r="M2401" s="157"/>
      <c r="N2401" s="157">
        <v>2</v>
      </c>
      <c r="O2401" s="157"/>
      <c r="P2401" s="157"/>
      <c r="Q2401" s="157"/>
      <c r="R2401" s="157"/>
      <c r="S2401" s="157"/>
      <c r="T2401" s="157"/>
      <c r="U2401" s="157"/>
      <c r="V2401" s="158"/>
      <c r="W2401" s="182"/>
      <c r="X2401" s="1"/>
      <c r="Y2401" s="78">
        <f t="shared" si="293"/>
        <v>0</v>
      </c>
      <c r="Z2401" s="78">
        <f t="shared" si="294"/>
        <v>0</v>
      </c>
      <c r="AA2401" s="78">
        <f t="shared" si="291"/>
        <v>0</v>
      </c>
      <c r="AB2401" s="78">
        <f t="shared" si="295"/>
        <v>0</v>
      </c>
      <c r="AC2401" s="78"/>
      <c r="AD2401" s="78">
        <v>0</v>
      </c>
      <c r="AE2401" s="80">
        <f t="shared" si="297"/>
        <v>0</v>
      </c>
      <c r="AF2401" s="82">
        <v>0</v>
      </c>
      <c r="AG2401" s="69">
        <v>40606</v>
      </c>
      <c r="AH2401" s="84"/>
      <c r="AI2401" s="69" t="s">
        <v>1984</v>
      </c>
      <c r="AJ2401" s="25" t="s">
        <v>1985</v>
      </c>
      <c r="AK2401" s="65"/>
      <c r="AL2401" s="176" t="s">
        <v>1257</v>
      </c>
      <c r="AM2401" s="173" t="s">
        <v>463</v>
      </c>
      <c r="AN2401" s="159"/>
      <c r="AO2401" s="160"/>
      <c r="AP2401" s="161"/>
      <c r="AQ2401" s="160"/>
      <c r="AR2401" s="160"/>
      <c r="AS2401" s="160"/>
      <c r="AT2401" s="160"/>
      <c r="AU2401" s="160"/>
      <c r="AV2401" s="160"/>
      <c r="AW2401" s="160"/>
      <c r="AX2401" s="160"/>
      <c r="AY2401" s="160"/>
      <c r="AZ2401" s="160"/>
      <c r="BA2401" s="160"/>
      <c r="BB2401" s="160"/>
      <c r="BC2401" s="160"/>
      <c r="BD2401" s="160"/>
      <c r="BE2401" s="160"/>
      <c r="BF2401" s="160"/>
      <c r="BG2401" s="160"/>
      <c r="BH2401" s="160"/>
      <c r="BI2401" s="160"/>
      <c r="BJ2401" s="160"/>
      <c r="BK2401" s="160"/>
      <c r="BL2401" s="160"/>
      <c r="BM2401" s="160"/>
      <c r="BN2401" s="160"/>
      <c r="BO2401" s="160"/>
      <c r="BP2401" s="160"/>
      <c r="BQ2401" s="160"/>
      <c r="BR2401" s="160"/>
      <c r="BS2401" s="160"/>
      <c r="BT2401" s="160"/>
      <c r="BU2401" s="160"/>
      <c r="BV2401" s="160"/>
      <c r="BW2401" s="160"/>
      <c r="BX2401" s="160"/>
      <c r="BY2401" s="160"/>
      <c r="BZ2401" s="160"/>
      <c r="CA2401" s="160"/>
      <c r="CB2401" s="160"/>
      <c r="CC2401" s="160"/>
      <c r="CD2401" s="160"/>
      <c r="CE2401" s="160"/>
      <c r="CF2401" s="160"/>
      <c r="CG2401" s="160"/>
      <c r="CH2401" s="160"/>
      <c r="CI2401" s="160"/>
      <c r="CJ2401" s="160"/>
      <c r="CK2401" s="160"/>
      <c r="CL2401" s="160"/>
      <c r="CM2401" s="160"/>
      <c r="CN2401" s="160"/>
      <c r="CO2401" s="160"/>
      <c r="CP2401" s="162"/>
      <c r="CQ2401" s="163"/>
      <c r="CR2401" s="162"/>
      <c r="CS2401" s="163"/>
      <c r="CT2401" s="162"/>
      <c r="CU2401" s="163"/>
      <c r="CV2401" s="164">
        <f t="shared" si="296"/>
        <v>0</v>
      </c>
      <c r="CW2401" s="165"/>
      <c r="CX2401" s="166"/>
      <c r="CY2401" s="167"/>
      <c r="CZ2401" s="168"/>
      <c r="DA2401" s="169"/>
      <c r="DB2401" s="168"/>
      <c r="DC2401" s="165"/>
      <c r="DD2401" s="166"/>
      <c r="DE2401" s="71"/>
      <c r="DF2401" s="170"/>
      <c r="EO2401" s="375" t="str">
        <f t="shared" si="292"/>
        <v>NARIÑO_LA FLORIDA</v>
      </c>
      <c r="EP2401" s="376"/>
      <c r="EQ2401" s="376"/>
      <c r="ER2401" s="377"/>
      <c r="ES2401" s="376"/>
      <c r="ET2401" s="376"/>
      <c r="EU2401" s="376"/>
    </row>
    <row r="2402" spans="1:151" s="171" customFormat="1" ht="38.25" x14ac:dyDescent="0.2">
      <c r="A2402" s="242">
        <v>40543</v>
      </c>
      <c r="B2402" s="222" t="s">
        <v>2245</v>
      </c>
      <c r="C2402" s="222" t="s">
        <v>2419</v>
      </c>
      <c r="D2402" s="430" t="s">
        <v>837</v>
      </c>
      <c r="E2402" s="107" t="str">
        <f>VLOOKUP(B2402&amp;C2402,Divipola!$C$2:$F$1138,4,FALSE)</f>
        <v>52565</v>
      </c>
      <c r="F2402" s="333"/>
      <c r="G2402" s="221"/>
      <c r="H2402" s="157"/>
      <c r="I2402" s="157"/>
      <c r="J2402" s="157">
        <v>1039</v>
      </c>
      <c r="K2402" s="157">
        <v>371</v>
      </c>
      <c r="L2402" s="157"/>
      <c r="M2402" s="157">
        <v>366</v>
      </c>
      <c r="N2402" s="157">
        <v>2</v>
      </c>
      <c r="O2402" s="157"/>
      <c r="P2402" s="157"/>
      <c r="Q2402" s="157">
        <v>3</v>
      </c>
      <c r="R2402" s="157">
        <v>1</v>
      </c>
      <c r="S2402" s="157"/>
      <c r="T2402" s="157"/>
      <c r="U2402" s="157"/>
      <c r="V2402" s="158"/>
      <c r="W2402" s="182"/>
      <c r="X2402" s="1"/>
      <c r="Y2402" s="78">
        <f t="shared" si="293"/>
        <v>0</v>
      </c>
      <c r="Z2402" s="78">
        <f t="shared" si="294"/>
        <v>0</v>
      </c>
      <c r="AA2402" s="78">
        <f t="shared" si="291"/>
        <v>0</v>
      </c>
      <c r="AB2402" s="78">
        <f t="shared" si="295"/>
        <v>0</v>
      </c>
      <c r="AC2402" s="78"/>
      <c r="AD2402" s="78">
        <v>0</v>
      </c>
      <c r="AE2402" s="80">
        <f t="shared" si="297"/>
        <v>0</v>
      </c>
      <c r="AF2402" s="82">
        <v>0</v>
      </c>
      <c r="AG2402" s="69">
        <v>40589</v>
      </c>
      <c r="AH2402" s="84"/>
      <c r="AI2402" s="69" t="s">
        <v>1984</v>
      </c>
      <c r="AJ2402" s="25" t="s">
        <v>1985</v>
      </c>
      <c r="AK2402" s="65"/>
      <c r="AL2402" s="176" t="s">
        <v>1257</v>
      </c>
      <c r="AM2402" s="173" t="s">
        <v>391</v>
      </c>
      <c r="AN2402" s="159"/>
      <c r="AO2402" s="160"/>
      <c r="AP2402" s="161"/>
      <c r="AQ2402" s="160"/>
      <c r="AR2402" s="160"/>
      <c r="AS2402" s="160"/>
      <c r="AT2402" s="160"/>
      <c r="AU2402" s="160"/>
      <c r="AV2402" s="160"/>
      <c r="AW2402" s="160"/>
      <c r="AX2402" s="160"/>
      <c r="AY2402" s="160"/>
      <c r="AZ2402" s="160"/>
      <c r="BA2402" s="160"/>
      <c r="BB2402" s="160"/>
      <c r="BC2402" s="160"/>
      <c r="BD2402" s="160"/>
      <c r="BE2402" s="160"/>
      <c r="BF2402" s="160"/>
      <c r="BG2402" s="160"/>
      <c r="BH2402" s="160"/>
      <c r="BI2402" s="160"/>
      <c r="BJ2402" s="160"/>
      <c r="BK2402" s="160"/>
      <c r="BL2402" s="160"/>
      <c r="BM2402" s="160"/>
      <c r="BN2402" s="160"/>
      <c r="BO2402" s="160"/>
      <c r="BP2402" s="160"/>
      <c r="BQ2402" s="160"/>
      <c r="BR2402" s="160"/>
      <c r="BS2402" s="160"/>
      <c r="BT2402" s="160"/>
      <c r="BU2402" s="160"/>
      <c r="BV2402" s="160"/>
      <c r="BW2402" s="160"/>
      <c r="BX2402" s="160"/>
      <c r="BY2402" s="160"/>
      <c r="BZ2402" s="160"/>
      <c r="CA2402" s="160"/>
      <c r="CB2402" s="160"/>
      <c r="CC2402" s="160"/>
      <c r="CD2402" s="160"/>
      <c r="CE2402" s="160"/>
      <c r="CF2402" s="160"/>
      <c r="CG2402" s="160"/>
      <c r="CH2402" s="160"/>
      <c r="CI2402" s="160"/>
      <c r="CJ2402" s="160"/>
      <c r="CK2402" s="160"/>
      <c r="CL2402" s="160"/>
      <c r="CM2402" s="160"/>
      <c r="CN2402" s="160"/>
      <c r="CO2402" s="160"/>
      <c r="CP2402" s="162"/>
      <c r="CQ2402" s="163"/>
      <c r="CR2402" s="162"/>
      <c r="CS2402" s="163"/>
      <c r="CT2402" s="162"/>
      <c r="CU2402" s="163"/>
      <c r="CV2402" s="164">
        <f t="shared" si="296"/>
        <v>0</v>
      </c>
      <c r="CW2402" s="165"/>
      <c r="CX2402" s="166"/>
      <c r="CY2402" s="167"/>
      <c r="CZ2402" s="168"/>
      <c r="DA2402" s="169"/>
      <c r="DB2402" s="168"/>
      <c r="DC2402" s="165"/>
      <c r="DD2402" s="166"/>
      <c r="DE2402" s="71"/>
      <c r="DF2402" s="170">
        <v>1650</v>
      </c>
      <c r="EO2402" s="375" t="str">
        <f t="shared" si="292"/>
        <v>NARIÑO_PROVIDENCIA</v>
      </c>
      <c r="EP2402" s="376"/>
      <c r="EQ2402" s="376"/>
      <c r="ER2402" s="377"/>
      <c r="ES2402" s="376"/>
      <c r="ET2402" s="376"/>
      <c r="EU2402" s="376"/>
    </row>
    <row r="2403" spans="1:151" s="171" customFormat="1" ht="38.25" x14ac:dyDescent="0.2">
      <c r="A2403" s="242">
        <v>40543</v>
      </c>
      <c r="B2403" s="222" t="s">
        <v>2245</v>
      </c>
      <c r="C2403" s="222" t="s">
        <v>462</v>
      </c>
      <c r="D2403" s="430" t="s">
        <v>2307</v>
      </c>
      <c r="E2403" s="107" t="str">
        <f>VLOOKUP(B2403&amp;C2403,Divipola!$C$2:$F$1138,4,FALSE)</f>
        <v>52885</v>
      </c>
      <c r="F2403" s="333"/>
      <c r="G2403" s="221"/>
      <c r="H2403" s="157"/>
      <c r="I2403" s="157"/>
      <c r="J2403" s="157">
        <v>140</v>
      </c>
      <c r="K2403" s="157">
        <v>35</v>
      </c>
      <c r="L2403" s="157"/>
      <c r="M2403" s="157">
        <v>12</v>
      </c>
      <c r="N2403" s="157">
        <v>6</v>
      </c>
      <c r="O2403" s="157"/>
      <c r="P2403" s="157"/>
      <c r="Q2403" s="157">
        <v>3</v>
      </c>
      <c r="R2403" s="157"/>
      <c r="S2403" s="157">
        <v>3</v>
      </c>
      <c r="T2403" s="157"/>
      <c r="U2403" s="157"/>
      <c r="V2403" s="158"/>
      <c r="W2403" s="182"/>
      <c r="X2403" s="1"/>
      <c r="Y2403" s="78">
        <f t="shared" si="293"/>
        <v>0</v>
      </c>
      <c r="Z2403" s="78">
        <f t="shared" si="294"/>
        <v>0</v>
      </c>
      <c r="AA2403" s="78">
        <f t="shared" si="291"/>
        <v>0</v>
      </c>
      <c r="AB2403" s="78">
        <f t="shared" si="295"/>
        <v>0</v>
      </c>
      <c r="AC2403" s="78"/>
      <c r="AD2403" s="78">
        <v>0</v>
      </c>
      <c r="AE2403" s="80">
        <f t="shared" si="297"/>
        <v>0</v>
      </c>
      <c r="AF2403" s="82">
        <v>0</v>
      </c>
      <c r="AG2403" s="69">
        <v>40606</v>
      </c>
      <c r="AH2403" s="84"/>
      <c r="AI2403" s="69" t="s">
        <v>1984</v>
      </c>
      <c r="AJ2403" s="25" t="s">
        <v>1985</v>
      </c>
      <c r="AK2403" s="65"/>
      <c r="AL2403" s="176" t="s">
        <v>1257</v>
      </c>
      <c r="AM2403" s="173" t="s">
        <v>463</v>
      </c>
      <c r="AN2403" s="159"/>
      <c r="AO2403" s="160"/>
      <c r="AP2403" s="161"/>
      <c r="AQ2403" s="160"/>
      <c r="AR2403" s="160"/>
      <c r="AS2403" s="160"/>
      <c r="AT2403" s="160"/>
      <c r="AU2403" s="160"/>
      <c r="AV2403" s="160"/>
      <c r="AW2403" s="160"/>
      <c r="AX2403" s="160"/>
      <c r="AY2403" s="160"/>
      <c r="AZ2403" s="160"/>
      <c r="BA2403" s="160"/>
      <c r="BB2403" s="160"/>
      <c r="BC2403" s="160"/>
      <c r="BD2403" s="160"/>
      <c r="BE2403" s="160"/>
      <c r="BF2403" s="160"/>
      <c r="BG2403" s="160"/>
      <c r="BH2403" s="160"/>
      <c r="BI2403" s="160"/>
      <c r="BJ2403" s="160"/>
      <c r="BK2403" s="160"/>
      <c r="BL2403" s="160"/>
      <c r="BM2403" s="160"/>
      <c r="BN2403" s="160"/>
      <c r="BO2403" s="160"/>
      <c r="BP2403" s="160"/>
      <c r="BQ2403" s="160"/>
      <c r="BR2403" s="160"/>
      <c r="BS2403" s="160"/>
      <c r="BT2403" s="160"/>
      <c r="BU2403" s="160"/>
      <c r="BV2403" s="160"/>
      <c r="BW2403" s="160"/>
      <c r="BX2403" s="160"/>
      <c r="BY2403" s="160"/>
      <c r="BZ2403" s="160"/>
      <c r="CA2403" s="160"/>
      <c r="CB2403" s="160"/>
      <c r="CC2403" s="160"/>
      <c r="CD2403" s="160"/>
      <c r="CE2403" s="160"/>
      <c r="CF2403" s="160"/>
      <c r="CG2403" s="160"/>
      <c r="CH2403" s="160"/>
      <c r="CI2403" s="160"/>
      <c r="CJ2403" s="160"/>
      <c r="CK2403" s="160"/>
      <c r="CL2403" s="160"/>
      <c r="CM2403" s="160"/>
      <c r="CN2403" s="160"/>
      <c r="CO2403" s="160"/>
      <c r="CP2403" s="162"/>
      <c r="CQ2403" s="163"/>
      <c r="CR2403" s="162"/>
      <c r="CS2403" s="163"/>
      <c r="CT2403" s="162"/>
      <c r="CU2403" s="163"/>
      <c r="CV2403" s="164">
        <f t="shared" si="296"/>
        <v>0</v>
      </c>
      <c r="CW2403" s="165"/>
      <c r="CX2403" s="166"/>
      <c r="CY2403" s="167"/>
      <c r="CZ2403" s="168"/>
      <c r="DA2403" s="169"/>
      <c r="DB2403" s="168"/>
      <c r="DC2403" s="165"/>
      <c r="DD2403" s="166"/>
      <c r="DE2403" s="71"/>
      <c r="DF2403" s="170"/>
      <c r="EO2403" s="375" t="str">
        <f t="shared" si="292"/>
        <v>NARIÑO_YACUANQUER</v>
      </c>
      <c r="EP2403" s="376"/>
      <c r="EQ2403" s="376"/>
      <c r="ER2403" s="377"/>
      <c r="ES2403" s="376"/>
      <c r="ET2403" s="376"/>
      <c r="EU2403" s="376"/>
    </row>
    <row r="2404" spans="1:151" s="171" customFormat="1" ht="36" x14ac:dyDescent="0.2">
      <c r="A2404" s="242">
        <v>40543</v>
      </c>
      <c r="B2404" s="222" t="s">
        <v>2401</v>
      </c>
      <c r="C2404" s="222" t="s">
        <v>3923</v>
      </c>
      <c r="D2404" s="430" t="s">
        <v>837</v>
      </c>
      <c r="E2404" s="107" t="str">
        <f>VLOOKUP(B2404&amp;C2404,Divipola!$C$2:$F$1138,4,FALSE)</f>
        <v>05150</v>
      </c>
      <c r="F2404" s="333"/>
      <c r="G2404" s="221"/>
      <c r="H2404" s="157"/>
      <c r="I2404" s="157"/>
      <c r="J2404" s="157">
        <v>30</v>
      </c>
      <c r="K2404" s="157">
        <v>6</v>
      </c>
      <c r="L2404" s="157"/>
      <c r="M2404" s="157"/>
      <c r="N2404" s="157"/>
      <c r="O2404" s="157"/>
      <c r="P2404" s="157"/>
      <c r="Q2404" s="157"/>
      <c r="R2404" s="157"/>
      <c r="S2404" s="157"/>
      <c r="T2404" s="157"/>
      <c r="U2404" s="157"/>
      <c r="V2404" s="158"/>
      <c r="W2404" s="182"/>
      <c r="X2404" s="1"/>
      <c r="Y2404" s="78">
        <f t="shared" si="293"/>
        <v>0</v>
      </c>
      <c r="Z2404" s="78">
        <f t="shared" si="294"/>
        <v>0</v>
      </c>
      <c r="AA2404" s="78">
        <f t="shared" si="291"/>
        <v>0</v>
      </c>
      <c r="AB2404" s="78">
        <f t="shared" si="295"/>
        <v>0</v>
      </c>
      <c r="AC2404" s="78"/>
      <c r="AD2404" s="78">
        <v>0</v>
      </c>
      <c r="AE2404" s="80">
        <f t="shared" si="297"/>
        <v>0</v>
      </c>
      <c r="AF2404" s="82">
        <v>0</v>
      </c>
      <c r="AG2404" s="69">
        <v>40637</v>
      </c>
      <c r="AH2404" s="84"/>
      <c r="AI2404" s="69" t="s">
        <v>1984</v>
      </c>
      <c r="AJ2404" s="25" t="s">
        <v>1985</v>
      </c>
      <c r="AK2404" s="65"/>
      <c r="AL2404" s="176" t="s">
        <v>1257</v>
      </c>
      <c r="AM2404" s="177" t="s">
        <v>3781</v>
      </c>
      <c r="AN2404" s="159"/>
      <c r="AO2404" s="160"/>
      <c r="AP2404" s="161"/>
      <c r="AQ2404" s="160"/>
      <c r="AR2404" s="160"/>
      <c r="AS2404" s="160"/>
      <c r="AT2404" s="160"/>
      <c r="AU2404" s="160"/>
      <c r="AV2404" s="160"/>
      <c r="AW2404" s="160"/>
      <c r="AX2404" s="160"/>
      <c r="AY2404" s="160"/>
      <c r="AZ2404" s="160"/>
      <c r="BA2404" s="160"/>
      <c r="BB2404" s="160"/>
      <c r="BC2404" s="160"/>
      <c r="BD2404" s="160"/>
      <c r="BE2404" s="160"/>
      <c r="BF2404" s="160"/>
      <c r="BG2404" s="160"/>
      <c r="BH2404" s="160"/>
      <c r="BI2404" s="160"/>
      <c r="BJ2404" s="160"/>
      <c r="BK2404" s="160"/>
      <c r="BL2404" s="160"/>
      <c r="BM2404" s="160"/>
      <c r="BN2404" s="160"/>
      <c r="BO2404" s="160"/>
      <c r="BP2404" s="160"/>
      <c r="BQ2404" s="160"/>
      <c r="BR2404" s="160"/>
      <c r="BS2404" s="160"/>
      <c r="BT2404" s="160"/>
      <c r="BU2404" s="160"/>
      <c r="BV2404" s="160"/>
      <c r="BW2404" s="160"/>
      <c r="BX2404" s="160"/>
      <c r="BY2404" s="160"/>
      <c r="BZ2404" s="160"/>
      <c r="CA2404" s="160"/>
      <c r="CB2404" s="160"/>
      <c r="CC2404" s="160"/>
      <c r="CD2404" s="160"/>
      <c r="CE2404" s="160"/>
      <c r="CF2404" s="160"/>
      <c r="CG2404" s="160"/>
      <c r="CH2404" s="160"/>
      <c r="CI2404" s="160"/>
      <c r="CJ2404" s="160"/>
      <c r="CK2404" s="160"/>
      <c r="CL2404" s="160"/>
      <c r="CM2404" s="160"/>
      <c r="CN2404" s="160"/>
      <c r="CO2404" s="160"/>
      <c r="CP2404" s="162"/>
      <c r="CQ2404" s="163"/>
      <c r="CR2404" s="162"/>
      <c r="CS2404" s="163"/>
      <c r="CT2404" s="162"/>
      <c r="CU2404" s="163"/>
      <c r="CV2404" s="164">
        <f t="shared" si="296"/>
        <v>0</v>
      </c>
      <c r="CW2404" s="165"/>
      <c r="CX2404" s="166"/>
      <c r="CY2404" s="167"/>
      <c r="CZ2404" s="168"/>
      <c r="DA2404" s="169"/>
      <c r="DB2404" s="168"/>
      <c r="DC2404" s="165"/>
      <c r="DD2404" s="166"/>
      <c r="DE2404" s="71"/>
      <c r="DF2404" s="170"/>
      <c r="EO2404" s="375" t="str">
        <f t="shared" si="292"/>
        <v>ANTIOQUIA_CAROLINA</v>
      </c>
      <c r="EP2404" s="376"/>
      <c r="EQ2404" s="376"/>
      <c r="ER2404" s="377"/>
      <c r="ES2404" s="376"/>
      <c r="ET2404" s="376"/>
      <c r="EU2404" s="376"/>
    </row>
    <row r="2405" spans="1:151" s="171" customFormat="1" ht="38.25" x14ac:dyDescent="0.2">
      <c r="A2405" s="242">
        <v>40543</v>
      </c>
      <c r="B2405" s="222" t="s">
        <v>2401</v>
      </c>
      <c r="C2405" s="222" t="s">
        <v>1797</v>
      </c>
      <c r="D2405" s="430" t="s">
        <v>837</v>
      </c>
      <c r="E2405" s="107" t="str">
        <f>VLOOKUP(B2405&amp;C2405,Divipola!$C$2:$F$1138,4,FALSE)</f>
        <v>05206</v>
      </c>
      <c r="F2405" s="333"/>
      <c r="G2405" s="221"/>
      <c r="H2405" s="157"/>
      <c r="I2405" s="157"/>
      <c r="J2405" s="183">
        <f>86*5</f>
        <v>430</v>
      </c>
      <c r="K2405" s="157">
        <v>86</v>
      </c>
      <c r="L2405" s="157"/>
      <c r="M2405" s="157"/>
      <c r="N2405" s="157"/>
      <c r="O2405" s="157"/>
      <c r="P2405" s="157"/>
      <c r="Q2405" s="157"/>
      <c r="R2405" s="157"/>
      <c r="S2405" s="157"/>
      <c r="T2405" s="157"/>
      <c r="U2405" s="157"/>
      <c r="V2405" s="158"/>
      <c r="W2405" s="182"/>
      <c r="X2405" s="1"/>
      <c r="Y2405" s="78">
        <f t="shared" si="293"/>
        <v>0</v>
      </c>
      <c r="Z2405" s="78">
        <f t="shared" si="294"/>
        <v>0</v>
      </c>
      <c r="AA2405" s="78">
        <f t="shared" si="291"/>
        <v>0</v>
      </c>
      <c r="AB2405" s="78">
        <f t="shared" si="295"/>
        <v>0</v>
      </c>
      <c r="AC2405" s="78"/>
      <c r="AD2405" s="78">
        <v>0</v>
      </c>
      <c r="AE2405" s="80">
        <f t="shared" si="297"/>
        <v>0</v>
      </c>
      <c r="AF2405" s="82">
        <v>0</v>
      </c>
      <c r="AG2405" s="69">
        <v>40637</v>
      </c>
      <c r="AH2405" s="84"/>
      <c r="AI2405" s="69" t="s">
        <v>1984</v>
      </c>
      <c r="AJ2405" s="25" t="s">
        <v>1985</v>
      </c>
      <c r="AK2405" s="65"/>
      <c r="AL2405" s="176" t="s">
        <v>1257</v>
      </c>
      <c r="AM2405" s="177" t="s">
        <v>3781</v>
      </c>
      <c r="AN2405" s="159"/>
      <c r="AO2405" s="160"/>
      <c r="AP2405" s="161"/>
      <c r="AQ2405" s="160"/>
      <c r="AR2405" s="160"/>
      <c r="AS2405" s="160"/>
      <c r="AT2405" s="160"/>
      <c r="AU2405" s="160"/>
      <c r="AV2405" s="160"/>
      <c r="AW2405" s="160"/>
      <c r="AX2405" s="160"/>
      <c r="AY2405" s="160"/>
      <c r="AZ2405" s="160"/>
      <c r="BA2405" s="160"/>
      <c r="BB2405" s="160"/>
      <c r="BC2405" s="160"/>
      <c r="BD2405" s="160"/>
      <c r="BE2405" s="160"/>
      <c r="BF2405" s="160"/>
      <c r="BG2405" s="160"/>
      <c r="BH2405" s="160"/>
      <c r="BI2405" s="160"/>
      <c r="BJ2405" s="160"/>
      <c r="BK2405" s="160"/>
      <c r="BL2405" s="160"/>
      <c r="BM2405" s="160"/>
      <c r="BN2405" s="160"/>
      <c r="BO2405" s="160"/>
      <c r="BP2405" s="160"/>
      <c r="BQ2405" s="160"/>
      <c r="BR2405" s="160"/>
      <c r="BS2405" s="160"/>
      <c r="BT2405" s="160"/>
      <c r="BU2405" s="160"/>
      <c r="BV2405" s="160"/>
      <c r="BW2405" s="160"/>
      <c r="BX2405" s="160"/>
      <c r="BY2405" s="160"/>
      <c r="BZ2405" s="160"/>
      <c r="CA2405" s="160"/>
      <c r="CB2405" s="160"/>
      <c r="CC2405" s="160"/>
      <c r="CD2405" s="160"/>
      <c r="CE2405" s="160"/>
      <c r="CF2405" s="160"/>
      <c r="CG2405" s="160"/>
      <c r="CH2405" s="160"/>
      <c r="CI2405" s="160"/>
      <c r="CJ2405" s="160"/>
      <c r="CK2405" s="160"/>
      <c r="CL2405" s="160"/>
      <c r="CM2405" s="160"/>
      <c r="CN2405" s="160"/>
      <c r="CO2405" s="160"/>
      <c r="CP2405" s="162"/>
      <c r="CQ2405" s="163"/>
      <c r="CR2405" s="162"/>
      <c r="CS2405" s="163"/>
      <c r="CT2405" s="162"/>
      <c r="CU2405" s="163"/>
      <c r="CV2405" s="164">
        <f t="shared" si="296"/>
        <v>0</v>
      </c>
      <c r="CW2405" s="165"/>
      <c r="CX2405" s="166"/>
      <c r="CY2405" s="167"/>
      <c r="CZ2405" s="168"/>
      <c r="DA2405" s="169"/>
      <c r="DB2405" s="168"/>
      <c r="DC2405" s="165"/>
      <c r="DD2405" s="166"/>
      <c r="DE2405" s="71"/>
      <c r="DF2405" s="170"/>
      <c r="EO2405" s="375" t="str">
        <f t="shared" si="292"/>
        <v>ANTIOQUIA_CONCEPCION</v>
      </c>
      <c r="EP2405" s="376"/>
      <c r="EQ2405" s="376"/>
      <c r="ER2405" s="377"/>
      <c r="ES2405" s="376"/>
      <c r="ET2405" s="376"/>
      <c r="EU2405" s="376"/>
    </row>
    <row r="2406" spans="1:151" s="171" customFormat="1" ht="36" x14ac:dyDescent="0.2">
      <c r="A2406" s="242">
        <v>40543</v>
      </c>
      <c r="B2406" s="222" t="s">
        <v>2401</v>
      </c>
      <c r="C2406" s="222" t="s">
        <v>3951</v>
      </c>
      <c r="D2406" s="430" t="s">
        <v>837</v>
      </c>
      <c r="E2406" s="107" t="str">
        <f>VLOOKUP(B2406&amp;C2406,Divipola!$C$2:$F$1138,4,FALSE)</f>
        <v>05360</v>
      </c>
      <c r="F2406" s="333"/>
      <c r="G2406" s="221"/>
      <c r="H2406" s="157"/>
      <c r="I2406" s="157"/>
      <c r="J2406" s="157">
        <v>50</v>
      </c>
      <c r="K2406" s="157">
        <v>10</v>
      </c>
      <c r="L2406" s="157"/>
      <c r="M2406" s="157"/>
      <c r="N2406" s="157"/>
      <c r="O2406" s="157"/>
      <c r="P2406" s="157"/>
      <c r="Q2406" s="157"/>
      <c r="R2406" s="157"/>
      <c r="S2406" s="157"/>
      <c r="T2406" s="157"/>
      <c r="U2406" s="157"/>
      <c r="V2406" s="158"/>
      <c r="W2406" s="182"/>
      <c r="X2406" s="1"/>
      <c r="Y2406" s="78">
        <f t="shared" si="293"/>
        <v>0</v>
      </c>
      <c r="Z2406" s="78">
        <f t="shared" si="294"/>
        <v>0</v>
      </c>
      <c r="AA2406" s="78">
        <f t="shared" si="291"/>
        <v>0</v>
      </c>
      <c r="AB2406" s="78">
        <f t="shared" si="295"/>
        <v>0</v>
      </c>
      <c r="AC2406" s="78"/>
      <c r="AD2406" s="78">
        <v>0</v>
      </c>
      <c r="AE2406" s="80">
        <f t="shared" si="297"/>
        <v>0</v>
      </c>
      <c r="AF2406" s="82">
        <v>0</v>
      </c>
      <c r="AG2406" s="69">
        <v>40637</v>
      </c>
      <c r="AH2406" s="84"/>
      <c r="AI2406" s="69" t="s">
        <v>1984</v>
      </c>
      <c r="AJ2406" s="25" t="s">
        <v>1985</v>
      </c>
      <c r="AK2406" s="65"/>
      <c r="AL2406" s="176" t="s">
        <v>1257</v>
      </c>
      <c r="AM2406" s="177" t="s">
        <v>3781</v>
      </c>
      <c r="AN2406" s="159"/>
      <c r="AO2406" s="160"/>
      <c r="AP2406" s="161"/>
      <c r="AQ2406" s="160"/>
      <c r="AR2406" s="160"/>
      <c r="AS2406" s="160"/>
      <c r="AT2406" s="160"/>
      <c r="AU2406" s="160"/>
      <c r="AV2406" s="160"/>
      <c r="AW2406" s="160"/>
      <c r="AX2406" s="160"/>
      <c r="AY2406" s="160"/>
      <c r="AZ2406" s="160"/>
      <c r="BA2406" s="160"/>
      <c r="BB2406" s="160"/>
      <c r="BC2406" s="160"/>
      <c r="BD2406" s="160"/>
      <c r="BE2406" s="160"/>
      <c r="BF2406" s="160"/>
      <c r="BG2406" s="160"/>
      <c r="BH2406" s="160"/>
      <c r="BI2406" s="160"/>
      <c r="BJ2406" s="160"/>
      <c r="BK2406" s="160"/>
      <c r="BL2406" s="160"/>
      <c r="BM2406" s="160"/>
      <c r="BN2406" s="160"/>
      <c r="BO2406" s="160"/>
      <c r="BP2406" s="160"/>
      <c r="BQ2406" s="160"/>
      <c r="BR2406" s="160"/>
      <c r="BS2406" s="160"/>
      <c r="BT2406" s="160"/>
      <c r="BU2406" s="160"/>
      <c r="BV2406" s="160"/>
      <c r="BW2406" s="160"/>
      <c r="BX2406" s="160"/>
      <c r="BY2406" s="160"/>
      <c r="BZ2406" s="160"/>
      <c r="CA2406" s="160"/>
      <c r="CB2406" s="160"/>
      <c r="CC2406" s="160"/>
      <c r="CD2406" s="160"/>
      <c r="CE2406" s="160"/>
      <c r="CF2406" s="160"/>
      <c r="CG2406" s="160"/>
      <c r="CH2406" s="160"/>
      <c r="CI2406" s="160"/>
      <c r="CJ2406" s="160"/>
      <c r="CK2406" s="160"/>
      <c r="CL2406" s="160"/>
      <c r="CM2406" s="160"/>
      <c r="CN2406" s="160"/>
      <c r="CO2406" s="160"/>
      <c r="CP2406" s="162"/>
      <c r="CQ2406" s="163"/>
      <c r="CR2406" s="162"/>
      <c r="CS2406" s="163"/>
      <c r="CT2406" s="162"/>
      <c r="CU2406" s="163"/>
      <c r="CV2406" s="164">
        <f t="shared" si="296"/>
        <v>0</v>
      </c>
      <c r="CW2406" s="165"/>
      <c r="CX2406" s="166"/>
      <c r="CY2406" s="167"/>
      <c r="CZ2406" s="168"/>
      <c r="DA2406" s="169"/>
      <c r="DB2406" s="168"/>
      <c r="DC2406" s="165"/>
      <c r="DD2406" s="166"/>
      <c r="DE2406" s="71"/>
      <c r="DF2406" s="170"/>
      <c r="EO2406" s="375" t="str">
        <f t="shared" si="292"/>
        <v>ANTIOQUIA_ITAGUI</v>
      </c>
      <c r="EP2406" s="376"/>
      <c r="EQ2406" s="376"/>
      <c r="ER2406" s="377"/>
      <c r="ES2406" s="376"/>
      <c r="ET2406" s="376"/>
      <c r="EU2406" s="376"/>
    </row>
    <row r="2407" spans="1:151" s="171" customFormat="1" ht="38.25" x14ac:dyDescent="0.2">
      <c r="A2407" s="242">
        <v>40543</v>
      </c>
      <c r="B2407" s="222" t="s">
        <v>2401</v>
      </c>
      <c r="C2407" s="222" t="s">
        <v>3978</v>
      </c>
      <c r="D2407" s="430" t="s">
        <v>837</v>
      </c>
      <c r="E2407" s="107" t="str">
        <f>VLOOKUP(B2407&amp;C2407,Divipola!$C$2:$F$1138,4,FALSE)</f>
        <v>05604</v>
      </c>
      <c r="F2407" s="333"/>
      <c r="G2407" s="221"/>
      <c r="H2407" s="157"/>
      <c r="I2407" s="157"/>
      <c r="J2407" s="157">
        <v>10</v>
      </c>
      <c r="K2407" s="157">
        <v>2</v>
      </c>
      <c r="L2407" s="157"/>
      <c r="M2407" s="157"/>
      <c r="N2407" s="157"/>
      <c r="O2407" s="157"/>
      <c r="P2407" s="157"/>
      <c r="Q2407" s="157"/>
      <c r="R2407" s="157"/>
      <c r="S2407" s="157"/>
      <c r="T2407" s="157"/>
      <c r="U2407" s="157"/>
      <c r="V2407" s="158"/>
      <c r="W2407" s="182"/>
      <c r="X2407" s="1"/>
      <c r="Y2407" s="78">
        <f t="shared" si="293"/>
        <v>0</v>
      </c>
      <c r="Z2407" s="78">
        <f t="shared" si="294"/>
        <v>0</v>
      </c>
      <c r="AA2407" s="78">
        <f t="shared" si="291"/>
        <v>0</v>
      </c>
      <c r="AB2407" s="78">
        <f t="shared" si="295"/>
        <v>0</v>
      </c>
      <c r="AC2407" s="78"/>
      <c r="AD2407" s="78">
        <v>0</v>
      </c>
      <c r="AE2407" s="80">
        <f t="shared" si="297"/>
        <v>0</v>
      </c>
      <c r="AF2407" s="82">
        <v>0</v>
      </c>
      <c r="AG2407" s="69">
        <v>40637</v>
      </c>
      <c r="AH2407" s="84"/>
      <c r="AI2407" s="69" t="s">
        <v>1984</v>
      </c>
      <c r="AJ2407" s="25" t="s">
        <v>1985</v>
      </c>
      <c r="AK2407" s="65"/>
      <c r="AL2407" s="176" t="s">
        <v>1257</v>
      </c>
      <c r="AM2407" s="177" t="s">
        <v>3781</v>
      </c>
      <c r="AN2407" s="159"/>
      <c r="AO2407" s="160"/>
      <c r="AP2407" s="161"/>
      <c r="AQ2407" s="160"/>
      <c r="AR2407" s="160"/>
      <c r="AS2407" s="160"/>
      <c r="AT2407" s="160"/>
      <c r="AU2407" s="160"/>
      <c r="AV2407" s="160"/>
      <c r="AW2407" s="160"/>
      <c r="AX2407" s="160"/>
      <c r="AY2407" s="160"/>
      <c r="AZ2407" s="160"/>
      <c r="BA2407" s="160"/>
      <c r="BB2407" s="160"/>
      <c r="BC2407" s="160"/>
      <c r="BD2407" s="160"/>
      <c r="BE2407" s="160"/>
      <c r="BF2407" s="160"/>
      <c r="BG2407" s="160"/>
      <c r="BH2407" s="160"/>
      <c r="BI2407" s="160"/>
      <c r="BJ2407" s="160"/>
      <c r="BK2407" s="160"/>
      <c r="BL2407" s="160"/>
      <c r="BM2407" s="160"/>
      <c r="BN2407" s="160"/>
      <c r="BO2407" s="160"/>
      <c r="BP2407" s="160"/>
      <c r="BQ2407" s="160"/>
      <c r="BR2407" s="160"/>
      <c r="BS2407" s="160"/>
      <c r="BT2407" s="160"/>
      <c r="BU2407" s="160"/>
      <c r="BV2407" s="160"/>
      <c r="BW2407" s="160"/>
      <c r="BX2407" s="160"/>
      <c r="BY2407" s="160"/>
      <c r="BZ2407" s="160"/>
      <c r="CA2407" s="160"/>
      <c r="CB2407" s="160"/>
      <c r="CC2407" s="160"/>
      <c r="CD2407" s="160"/>
      <c r="CE2407" s="160"/>
      <c r="CF2407" s="160"/>
      <c r="CG2407" s="160"/>
      <c r="CH2407" s="160"/>
      <c r="CI2407" s="160"/>
      <c r="CJ2407" s="160"/>
      <c r="CK2407" s="160"/>
      <c r="CL2407" s="160"/>
      <c r="CM2407" s="160"/>
      <c r="CN2407" s="160"/>
      <c r="CO2407" s="160"/>
      <c r="CP2407" s="162"/>
      <c r="CQ2407" s="163"/>
      <c r="CR2407" s="162"/>
      <c r="CS2407" s="163"/>
      <c r="CT2407" s="162"/>
      <c r="CU2407" s="163"/>
      <c r="CV2407" s="164">
        <f t="shared" si="296"/>
        <v>0</v>
      </c>
      <c r="CW2407" s="165"/>
      <c r="CX2407" s="166"/>
      <c r="CY2407" s="167"/>
      <c r="CZ2407" s="168"/>
      <c r="DA2407" s="169"/>
      <c r="DB2407" s="168"/>
      <c r="DC2407" s="165"/>
      <c r="DD2407" s="166"/>
      <c r="DE2407" s="71"/>
      <c r="DF2407" s="170"/>
      <c r="EO2407" s="375" t="str">
        <f t="shared" si="292"/>
        <v>ANTIOQUIA_REMEDIOS</v>
      </c>
      <c r="EP2407" s="376"/>
      <c r="EQ2407" s="376"/>
      <c r="ER2407" s="377"/>
      <c r="ES2407" s="376"/>
      <c r="ET2407" s="376"/>
      <c r="EU2407" s="376"/>
    </row>
    <row r="2408" spans="1:151" s="171" customFormat="1" ht="36" x14ac:dyDescent="0.2">
      <c r="A2408" s="242">
        <v>40543</v>
      </c>
      <c r="B2408" s="222" t="s">
        <v>2401</v>
      </c>
      <c r="C2408" s="222" t="s">
        <v>4021</v>
      </c>
      <c r="D2408" s="430" t="s">
        <v>837</v>
      </c>
      <c r="E2408" s="107" t="str">
        <f>VLOOKUP(B2408&amp;C2408,Divipola!$C$2:$F$1138,4,FALSE)</f>
        <v>05887</v>
      </c>
      <c r="F2408" s="333"/>
      <c r="G2408" s="221"/>
      <c r="H2408" s="157"/>
      <c r="I2408" s="157"/>
      <c r="J2408" s="157">
        <f>145*5</f>
        <v>725</v>
      </c>
      <c r="K2408" s="157">
        <v>145</v>
      </c>
      <c r="L2408" s="157"/>
      <c r="M2408" s="157"/>
      <c r="N2408" s="157"/>
      <c r="O2408" s="157"/>
      <c r="P2408" s="157"/>
      <c r="Q2408" s="157"/>
      <c r="R2408" s="157"/>
      <c r="S2408" s="157"/>
      <c r="T2408" s="157"/>
      <c r="U2408" s="157"/>
      <c r="V2408" s="158"/>
      <c r="W2408" s="182"/>
      <c r="X2408" s="1"/>
      <c r="Y2408" s="78">
        <f t="shared" si="293"/>
        <v>0</v>
      </c>
      <c r="Z2408" s="78">
        <f t="shared" si="294"/>
        <v>0</v>
      </c>
      <c r="AA2408" s="78">
        <f t="shared" si="291"/>
        <v>0</v>
      </c>
      <c r="AB2408" s="78">
        <f t="shared" si="295"/>
        <v>0</v>
      </c>
      <c r="AC2408" s="78"/>
      <c r="AD2408" s="78">
        <v>0</v>
      </c>
      <c r="AE2408" s="80">
        <f t="shared" si="297"/>
        <v>0</v>
      </c>
      <c r="AF2408" s="82">
        <v>0</v>
      </c>
      <c r="AG2408" s="69">
        <v>40637</v>
      </c>
      <c r="AH2408" s="84"/>
      <c r="AI2408" s="69" t="s">
        <v>1984</v>
      </c>
      <c r="AJ2408" s="25" t="s">
        <v>1985</v>
      </c>
      <c r="AK2408" s="65"/>
      <c r="AL2408" s="176" t="s">
        <v>1257</v>
      </c>
      <c r="AM2408" s="177" t="s">
        <v>3781</v>
      </c>
      <c r="AN2408" s="159"/>
      <c r="AO2408" s="160"/>
      <c r="AP2408" s="161"/>
      <c r="AQ2408" s="160"/>
      <c r="AR2408" s="160"/>
      <c r="AS2408" s="160"/>
      <c r="AT2408" s="160"/>
      <c r="AU2408" s="160"/>
      <c r="AV2408" s="160"/>
      <c r="AW2408" s="160"/>
      <c r="AX2408" s="160"/>
      <c r="AY2408" s="160"/>
      <c r="AZ2408" s="160"/>
      <c r="BA2408" s="160"/>
      <c r="BB2408" s="160"/>
      <c r="BC2408" s="160"/>
      <c r="BD2408" s="160"/>
      <c r="BE2408" s="160"/>
      <c r="BF2408" s="160"/>
      <c r="BG2408" s="160"/>
      <c r="BH2408" s="160"/>
      <c r="BI2408" s="160"/>
      <c r="BJ2408" s="160"/>
      <c r="BK2408" s="160"/>
      <c r="BL2408" s="160"/>
      <c r="BM2408" s="160"/>
      <c r="BN2408" s="160"/>
      <c r="BO2408" s="160"/>
      <c r="BP2408" s="160"/>
      <c r="BQ2408" s="160"/>
      <c r="BR2408" s="160"/>
      <c r="BS2408" s="160"/>
      <c r="BT2408" s="160"/>
      <c r="BU2408" s="160"/>
      <c r="BV2408" s="160"/>
      <c r="BW2408" s="160"/>
      <c r="BX2408" s="160"/>
      <c r="BY2408" s="160"/>
      <c r="BZ2408" s="160"/>
      <c r="CA2408" s="160"/>
      <c r="CB2408" s="160"/>
      <c r="CC2408" s="160"/>
      <c r="CD2408" s="160"/>
      <c r="CE2408" s="160"/>
      <c r="CF2408" s="160"/>
      <c r="CG2408" s="160"/>
      <c r="CH2408" s="160"/>
      <c r="CI2408" s="160"/>
      <c r="CJ2408" s="160"/>
      <c r="CK2408" s="160"/>
      <c r="CL2408" s="160"/>
      <c r="CM2408" s="160"/>
      <c r="CN2408" s="160"/>
      <c r="CO2408" s="160"/>
      <c r="CP2408" s="162"/>
      <c r="CQ2408" s="163"/>
      <c r="CR2408" s="162"/>
      <c r="CS2408" s="163"/>
      <c r="CT2408" s="162"/>
      <c r="CU2408" s="163"/>
      <c r="CV2408" s="164">
        <f t="shared" si="296"/>
        <v>0</v>
      </c>
      <c r="CW2408" s="165"/>
      <c r="CX2408" s="166"/>
      <c r="CY2408" s="167"/>
      <c r="CZ2408" s="168"/>
      <c r="DA2408" s="169"/>
      <c r="DB2408" s="168"/>
      <c r="DC2408" s="165"/>
      <c r="DD2408" s="166"/>
      <c r="DE2408" s="71"/>
      <c r="DF2408" s="170"/>
      <c r="EO2408" s="375" t="str">
        <f t="shared" si="292"/>
        <v>ANTIOQUIA_YARUMAL</v>
      </c>
      <c r="EP2408" s="376"/>
      <c r="EQ2408" s="376"/>
      <c r="ER2408" s="377"/>
      <c r="ES2408" s="376"/>
      <c r="ET2408" s="376"/>
      <c r="EU2408" s="376"/>
    </row>
    <row r="2409" spans="1:151" s="171" customFormat="1" ht="38.25" x14ac:dyDescent="0.2">
      <c r="A2409" s="242">
        <v>40543</v>
      </c>
      <c r="B2409" s="222" t="s">
        <v>2401</v>
      </c>
      <c r="C2409" s="222" t="s">
        <v>4000</v>
      </c>
      <c r="D2409" s="430" t="s">
        <v>837</v>
      </c>
      <c r="E2409" s="107" t="str">
        <f>VLOOKUP(B2409&amp;C2409,Divipola!$C$2:$F$1138,4,FALSE)</f>
        <v>05690</v>
      </c>
      <c r="F2409" s="333"/>
      <c r="G2409" s="221"/>
      <c r="H2409" s="157"/>
      <c r="I2409" s="157"/>
      <c r="J2409" s="157">
        <f>583*5</f>
        <v>2915</v>
      </c>
      <c r="K2409" s="157">
        <v>583</v>
      </c>
      <c r="L2409" s="157"/>
      <c r="M2409" s="157"/>
      <c r="N2409" s="157"/>
      <c r="O2409" s="157"/>
      <c r="P2409" s="157"/>
      <c r="Q2409" s="157"/>
      <c r="R2409" s="157"/>
      <c r="S2409" s="157"/>
      <c r="T2409" s="157"/>
      <c r="U2409" s="157"/>
      <c r="V2409" s="158"/>
      <c r="W2409" s="182"/>
      <c r="X2409" s="1"/>
      <c r="Y2409" s="78">
        <f t="shared" si="293"/>
        <v>0</v>
      </c>
      <c r="Z2409" s="78">
        <f t="shared" si="294"/>
        <v>0</v>
      </c>
      <c r="AA2409" s="78">
        <f t="shared" si="291"/>
        <v>0</v>
      </c>
      <c r="AB2409" s="78">
        <f t="shared" si="295"/>
        <v>0</v>
      </c>
      <c r="AC2409" s="78"/>
      <c r="AD2409" s="78">
        <v>0</v>
      </c>
      <c r="AE2409" s="80">
        <f t="shared" si="297"/>
        <v>0</v>
      </c>
      <c r="AF2409" s="82">
        <v>0</v>
      </c>
      <c r="AG2409" s="69">
        <v>40637</v>
      </c>
      <c r="AH2409" s="84"/>
      <c r="AI2409" s="69" t="s">
        <v>1984</v>
      </c>
      <c r="AJ2409" s="25" t="s">
        <v>1985</v>
      </c>
      <c r="AK2409" s="65"/>
      <c r="AL2409" s="176" t="s">
        <v>1257</v>
      </c>
      <c r="AM2409" s="177" t="s">
        <v>3781</v>
      </c>
      <c r="AN2409" s="159"/>
      <c r="AO2409" s="160"/>
      <c r="AP2409" s="161"/>
      <c r="AQ2409" s="160"/>
      <c r="AR2409" s="160"/>
      <c r="AS2409" s="160"/>
      <c r="AT2409" s="160"/>
      <c r="AU2409" s="160"/>
      <c r="AV2409" s="160"/>
      <c r="AW2409" s="160"/>
      <c r="AX2409" s="160"/>
      <c r="AY2409" s="160"/>
      <c r="AZ2409" s="160"/>
      <c r="BA2409" s="160"/>
      <c r="BB2409" s="160"/>
      <c r="BC2409" s="160"/>
      <c r="BD2409" s="160"/>
      <c r="BE2409" s="160"/>
      <c r="BF2409" s="160"/>
      <c r="BG2409" s="160"/>
      <c r="BH2409" s="160"/>
      <c r="BI2409" s="160"/>
      <c r="BJ2409" s="160"/>
      <c r="BK2409" s="160"/>
      <c r="BL2409" s="160"/>
      <c r="BM2409" s="160"/>
      <c r="BN2409" s="160"/>
      <c r="BO2409" s="160"/>
      <c r="BP2409" s="160"/>
      <c r="BQ2409" s="160"/>
      <c r="BR2409" s="160"/>
      <c r="BS2409" s="160"/>
      <c r="BT2409" s="160"/>
      <c r="BU2409" s="160"/>
      <c r="BV2409" s="160"/>
      <c r="BW2409" s="160"/>
      <c r="BX2409" s="160"/>
      <c r="BY2409" s="160"/>
      <c r="BZ2409" s="160"/>
      <c r="CA2409" s="160"/>
      <c r="CB2409" s="160"/>
      <c r="CC2409" s="160"/>
      <c r="CD2409" s="160"/>
      <c r="CE2409" s="160"/>
      <c r="CF2409" s="160"/>
      <c r="CG2409" s="160"/>
      <c r="CH2409" s="160"/>
      <c r="CI2409" s="160"/>
      <c r="CJ2409" s="160"/>
      <c r="CK2409" s="160"/>
      <c r="CL2409" s="160"/>
      <c r="CM2409" s="160"/>
      <c r="CN2409" s="160"/>
      <c r="CO2409" s="160"/>
      <c r="CP2409" s="162"/>
      <c r="CQ2409" s="163"/>
      <c r="CR2409" s="162"/>
      <c r="CS2409" s="163"/>
      <c r="CT2409" s="162"/>
      <c r="CU2409" s="163"/>
      <c r="CV2409" s="164">
        <f t="shared" si="296"/>
        <v>0</v>
      </c>
      <c r="CW2409" s="165"/>
      <c r="CX2409" s="166"/>
      <c r="CY2409" s="167"/>
      <c r="CZ2409" s="168"/>
      <c r="DA2409" s="169"/>
      <c r="DB2409" s="168"/>
      <c r="DC2409" s="165"/>
      <c r="DD2409" s="166"/>
      <c r="DE2409" s="71"/>
      <c r="DF2409" s="170"/>
      <c r="EO2409" s="375" t="str">
        <f t="shared" si="292"/>
        <v>ANTIOQUIA_SANTO DOMINGO</v>
      </c>
      <c r="EP2409" s="376"/>
      <c r="EQ2409" s="376"/>
      <c r="ER2409" s="377"/>
      <c r="ES2409" s="376"/>
      <c r="ET2409" s="376"/>
      <c r="EU2409" s="376"/>
    </row>
    <row r="2410" spans="1:151" s="171" customFormat="1" ht="36" x14ac:dyDescent="0.2">
      <c r="A2410" s="242">
        <v>40543</v>
      </c>
      <c r="B2410" s="222" t="s">
        <v>2401</v>
      </c>
      <c r="C2410" s="222" t="s">
        <v>3969</v>
      </c>
      <c r="D2410" s="430" t="s">
        <v>837</v>
      </c>
      <c r="E2410" s="107" t="str">
        <f>VLOOKUP(B2410&amp;C2410,Divipola!$C$2:$F$1138,4,FALSE)</f>
        <v>05501</v>
      </c>
      <c r="F2410" s="333"/>
      <c r="G2410" s="221"/>
      <c r="H2410" s="157"/>
      <c r="I2410" s="157"/>
      <c r="J2410" s="157">
        <f>126*5</f>
        <v>630</v>
      </c>
      <c r="K2410" s="157">
        <v>126</v>
      </c>
      <c r="L2410" s="157"/>
      <c r="M2410" s="157"/>
      <c r="N2410" s="157"/>
      <c r="O2410" s="157"/>
      <c r="P2410" s="157"/>
      <c r="Q2410" s="157"/>
      <c r="R2410" s="157"/>
      <c r="S2410" s="157"/>
      <c r="T2410" s="157"/>
      <c r="U2410" s="157"/>
      <c r="V2410" s="158"/>
      <c r="W2410" s="182"/>
      <c r="X2410" s="1"/>
      <c r="Y2410" s="78">
        <f t="shared" si="293"/>
        <v>0</v>
      </c>
      <c r="Z2410" s="78">
        <f t="shared" si="294"/>
        <v>0</v>
      </c>
      <c r="AA2410" s="78">
        <f t="shared" si="291"/>
        <v>0</v>
      </c>
      <c r="AB2410" s="78">
        <f t="shared" si="295"/>
        <v>0</v>
      </c>
      <c r="AC2410" s="78"/>
      <c r="AD2410" s="78">
        <v>0</v>
      </c>
      <c r="AE2410" s="80">
        <f t="shared" si="297"/>
        <v>0</v>
      </c>
      <c r="AF2410" s="82">
        <v>0</v>
      </c>
      <c r="AG2410" s="69">
        <v>40637</v>
      </c>
      <c r="AH2410" s="84"/>
      <c r="AI2410" s="69" t="s">
        <v>1984</v>
      </c>
      <c r="AJ2410" s="25" t="s">
        <v>1985</v>
      </c>
      <c r="AK2410" s="65"/>
      <c r="AL2410" s="176" t="s">
        <v>1257</v>
      </c>
      <c r="AM2410" s="177" t="s">
        <v>3781</v>
      </c>
      <c r="AN2410" s="159"/>
      <c r="AO2410" s="160"/>
      <c r="AP2410" s="161"/>
      <c r="AQ2410" s="160"/>
      <c r="AR2410" s="160"/>
      <c r="AS2410" s="160"/>
      <c r="AT2410" s="160"/>
      <c r="AU2410" s="160"/>
      <c r="AV2410" s="160"/>
      <c r="AW2410" s="160"/>
      <c r="AX2410" s="160"/>
      <c r="AY2410" s="160"/>
      <c r="AZ2410" s="160"/>
      <c r="BA2410" s="160"/>
      <c r="BB2410" s="160"/>
      <c r="BC2410" s="160"/>
      <c r="BD2410" s="160"/>
      <c r="BE2410" s="160"/>
      <c r="BF2410" s="160"/>
      <c r="BG2410" s="160"/>
      <c r="BH2410" s="160"/>
      <c r="BI2410" s="160"/>
      <c r="BJ2410" s="160"/>
      <c r="BK2410" s="160"/>
      <c r="BL2410" s="160"/>
      <c r="BM2410" s="160"/>
      <c r="BN2410" s="160"/>
      <c r="BO2410" s="160"/>
      <c r="BP2410" s="160"/>
      <c r="BQ2410" s="160"/>
      <c r="BR2410" s="160"/>
      <c r="BS2410" s="160"/>
      <c r="BT2410" s="160"/>
      <c r="BU2410" s="160"/>
      <c r="BV2410" s="160"/>
      <c r="BW2410" s="160"/>
      <c r="BX2410" s="160"/>
      <c r="BY2410" s="160"/>
      <c r="BZ2410" s="160"/>
      <c r="CA2410" s="160"/>
      <c r="CB2410" s="160"/>
      <c r="CC2410" s="160"/>
      <c r="CD2410" s="160"/>
      <c r="CE2410" s="160"/>
      <c r="CF2410" s="160"/>
      <c r="CG2410" s="160"/>
      <c r="CH2410" s="160"/>
      <c r="CI2410" s="160"/>
      <c r="CJ2410" s="160"/>
      <c r="CK2410" s="160"/>
      <c r="CL2410" s="160"/>
      <c r="CM2410" s="160"/>
      <c r="CN2410" s="160"/>
      <c r="CO2410" s="160"/>
      <c r="CP2410" s="162"/>
      <c r="CQ2410" s="163"/>
      <c r="CR2410" s="162"/>
      <c r="CS2410" s="163"/>
      <c r="CT2410" s="162"/>
      <c r="CU2410" s="163"/>
      <c r="CV2410" s="164">
        <f t="shared" si="296"/>
        <v>0</v>
      </c>
      <c r="CW2410" s="165"/>
      <c r="CX2410" s="166"/>
      <c r="CY2410" s="167"/>
      <c r="CZ2410" s="168"/>
      <c r="DA2410" s="169"/>
      <c r="DB2410" s="168"/>
      <c r="DC2410" s="165"/>
      <c r="DD2410" s="166"/>
      <c r="DE2410" s="71"/>
      <c r="DF2410" s="170"/>
      <c r="EO2410" s="375" t="str">
        <f t="shared" si="292"/>
        <v>ANTIOQUIA_OLAYA</v>
      </c>
      <c r="EP2410" s="376"/>
      <c r="EQ2410" s="376"/>
      <c r="ER2410" s="377"/>
      <c r="ES2410" s="376"/>
      <c r="ET2410" s="376"/>
      <c r="EU2410" s="376"/>
    </row>
    <row r="2411" spans="1:151" s="171" customFormat="1" ht="63.75" x14ac:dyDescent="0.2">
      <c r="A2411" s="242">
        <v>40543</v>
      </c>
      <c r="B2411" s="222" t="s">
        <v>2401</v>
      </c>
      <c r="C2411" s="222" t="s">
        <v>3921</v>
      </c>
      <c r="D2411" s="430" t="s">
        <v>837</v>
      </c>
      <c r="E2411" s="107" t="str">
        <f>VLOOKUP(B2411&amp;C2411,Divipola!$C$2:$F$1138,4,FALSE)</f>
        <v>05148</v>
      </c>
      <c r="F2411" s="333"/>
      <c r="G2411" s="221"/>
      <c r="H2411" s="157"/>
      <c r="I2411" s="157"/>
      <c r="J2411" s="157">
        <f>116*5</f>
        <v>580</v>
      </c>
      <c r="K2411" s="157">
        <v>116</v>
      </c>
      <c r="L2411" s="157"/>
      <c r="M2411" s="157"/>
      <c r="N2411" s="157"/>
      <c r="O2411" s="157"/>
      <c r="P2411" s="157"/>
      <c r="Q2411" s="157"/>
      <c r="R2411" s="157"/>
      <c r="S2411" s="157"/>
      <c r="T2411" s="157"/>
      <c r="U2411" s="157"/>
      <c r="V2411" s="158"/>
      <c r="W2411" s="182"/>
      <c r="X2411" s="1"/>
      <c r="Y2411" s="78">
        <f t="shared" si="293"/>
        <v>0</v>
      </c>
      <c r="Z2411" s="78">
        <f t="shared" si="294"/>
        <v>0</v>
      </c>
      <c r="AA2411" s="78">
        <f t="shared" si="291"/>
        <v>0</v>
      </c>
      <c r="AB2411" s="78">
        <f t="shared" si="295"/>
        <v>0</v>
      </c>
      <c r="AC2411" s="78"/>
      <c r="AD2411" s="78">
        <v>0</v>
      </c>
      <c r="AE2411" s="80">
        <f t="shared" si="297"/>
        <v>0</v>
      </c>
      <c r="AF2411" s="82">
        <v>0</v>
      </c>
      <c r="AG2411" s="69">
        <v>40637</v>
      </c>
      <c r="AH2411" s="84"/>
      <c r="AI2411" s="69" t="s">
        <v>1984</v>
      </c>
      <c r="AJ2411" s="25" t="s">
        <v>1985</v>
      </c>
      <c r="AK2411" s="65"/>
      <c r="AL2411" s="176" t="s">
        <v>1257</v>
      </c>
      <c r="AM2411" s="177" t="s">
        <v>3781</v>
      </c>
      <c r="AN2411" s="159"/>
      <c r="AO2411" s="160"/>
      <c r="AP2411" s="161"/>
      <c r="AQ2411" s="160"/>
      <c r="AR2411" s="160"/>
      <c r="AS2411" s="160"/>
      <c r="AT2411" s="160"/>
      <c r="AU2411" s="160"/>
      <c r="AV2411" s="160"/>
      <c r="AW2411" s="160"/>
      <c r="AX2411" s="160"/>
      <c r="AY2411" s="160"/>
      <c r="AZ2411" s="160"/>
      <c r="BA2411" s="160"/>
      <c r="BB2411" s="160"/>
      <c r="BC2411" s="160"/>
      <c r="BD2411" s="160"/>
      <c r="BE2411" s="160"/>
      <c r="BF2411" s="160"/>
      <c r="BG2411" s="160"/>
      <c r="BH2411" s="160"/>
      <c r="BI2411" s="160"/>
      <c r="BJ2411" s="160"/>
      <c r="BK2411" s="160"/>
      <c r="BL2411" s="160"/>
      <c r="BM2411" s="160"/>
      <c r="BN2411" s="160"/>
      <c r="BO2411" s="160"/>
      <c r="BP2411" s="160"/>
      <c r="BQ2411" s="160"/>
      <c r="BR2411" s="160"/>
      <c r="BS2411" s="160"/>
      <c r="BT2411" s="160"/>
      <c r="BU2411" s="160"/>
      <c r="BV2411" s="160"/>
      <c r="BW2411" s="160"/>
      <c r="BX2411" s="160"/>
      <c r="BY2411" s="160"/>
      <c r="BZ2411" s="160"/>
      <c r="CA2411" s="160"/>
      <c r="CB2411" s="160"/>
      <c r="CC2411" s="160"/>
      <c r="CD2411" s="160"/>
      <c r="CE2411" s="160"/>
      <c r="CF2411" s="160"/>
      <c r="CG2411" s="160"/>
      <c r="CH2411" s="160"/>
      <c r="CI2411" s="160"/>
      <c r="CJ2411" s="160"/>
      <c r="CK2411" s="160"/>
      <c r="CL2411" s="160"/>
      <c r="CM2411" s="160"/>
      <c r="CN2411" s="160"/>
      <c r="CO2411" s="160"/>
      <c r="CP2411" s="162"/>
      <c r="CQ2411" s="163"/>
      <c r="CR2411" s="162"/>
      <c r="CS2411" s="163"/>
      <c r="CT2411" s="162"/>
      <c r="CU2411" s="163"/>
      <c r="CV2411" s="164">
        <f t="shared" si="296"/>
        <v>0</v>
      </c>
      <c r="CW2411" s="165"/>
      <c r="CX2411" s="166"/>
      <c r="CY2411" s="167"/>
      <c r="CZ2411" s="168"/>
      <c r="DA2411" s="169"/>
      <c r="DB2411" s="168"/>
      <c r="DC2411" s="165"/>
      <c r="DD2411" s="166"/>
      <c r="DE2411" s="71"/>
      <c r="DF2411" s="170"/>
      <c r="EO2411" s="375" t="str">
        <f t="shared" si="292"/>
        <v>ANTIOQUIA_EL CARMEN DE VIBORAL</v>
      </c>
      <c r="EP2411" s="376"/>
      <c r="EQ2411" s="376"/>
      <c r="ER2411" s="377"/>
      <c r="ES2411" s="376"/>
      <c r="ET2411" s="376"/>
      <c r="EU2411" s="376"/>
    </row>
    <row r="2412" spans="1:151" s="171" customFormat="1" ht="38.25" x14ac:dyDescent="0.2">
      <c r="A2412" s="242">
        <v>40543</v>
      </c>
      <c r="B2412" s="222" t="s">
        <v>2401</v>
      </c>
      <c r="C2412" s="222" t="s">
        <v>2030</v>
      </c>
      <c r="D2412" s="430" t="s">
        <v>837</v>
      </c>
      <c r="E2412" s="107" t="str">
        <f>VLOOKUP(B2412&amp;C2412,Divipola!$C$2:$F$1138,4,FALSE)</f>
        <v>05315</v>
      </c>
      <c r="F2412" s="333"/>
      <c r="G2412" s="221"/>
      <c r="H2412" s="157"/>
      <c r="I2412" s="157"/>
      <c r="J2412" s="157">
        <f>165*5</f>
        <v>825</v>
      </c>
      <c r="K2412" s="157">
        <v>165</v>
      </c>
      <c r="L2412" s="157"/>
      <c r="M2412" s="157"/>
      <c r="N2412" s="157"/>
      <c r="O2412" s="157"/>
      <c r="P2412" s="157"/>
      <c r="Q2412" s="157"/>
      <c r="R2412" s="157"/>
      <c r="S2412" s="157"/>
      <c r="T2412" s="157"/>
      <c r="U2412" s="157"/>
      <c r="V2412" s="158"/>
      <c r="W2412" s="182"/>
      <c r="X2412" s="1"/>
      <c r="Y2412" s="78">
        <f t="shared" si="293"/>
        <v>0</v>
      </c>
      <c r="Z2412" s="78">
        <f t="shared" si="294"/>
        <v>0</v>
      </c>
      <c r="AA2412" s="78">
        <f t="shared" si="291"/>
        <v>0</v>
      </c>
      <c r="AB2412" s="78">
        <f t="shared" si="295"/>
        <v>0</v>
      </c>
      <c r="AC2412" s="78"/>
      <c r="AD2412" s="78">
        <v>0</v>
      </c>
      <c r="AE2412" s="80">
        <f t="shared" si="297"/>
        <v>0</v>
      </c>
      <c r="AF2412" s="82">
        <v>0</v>
      </c>
      <c r="AG2412" s="69">
        <v>40637</v>
      </c>
      <c r="AH2412" s="84"/>
      <c r="AI2412" s="69" t="s">
        <v>1984</v>
      </c>
      <c r="AJ2412" s="25" t="s">
        <v>1985</v>
      </c>
      <c r="AK2412" s="65"/>
      <c r="AL2412" s="176" t="s">
        <v>1257</v>
      </c>
      <c r="AM2412" s="177" t="s">
        <v>3781</v>
      </c>
      <c r="AN2412" s="159"/>
      <c r="AO2412" s="160"/>
      <c r="AP2412" s="161"/>
      <c r="AQ2412" s="160"/>
      <c r="AR2412" s="160"/>
      <c r="AS2412" s="160"/>
      <c r="AT2412" s="160"/>
      <c r="AU2412" s="160"/>
      <c r="AV2412" s="160"/>
      <c r="AW2412" s="160"/>
      <c r="AX2412" s="160"/>
      <c r="AY2412" s="160"/>
      <c r="AZ2412" s="160"/>
      <c r="BA2412" s="160"/>
      <c r="BB2412" s="160"/>
      <c r="BC2412" s="160"/>
      <c r="BD2412" s="160"/>
      <c r="BE2412" s="160"/>
      <c r="BF2412" s="160"/>
      <c r="BG2412" s="160"/>
      <c r="BH2412" s="160"/>
      <c r="BI2412" s="160"/>
      <c r="BJ2412" s="160"/>
      <c r="BK2412" s="160"/>
      <c r="BL2412" s="160"/>
      <c r="BM2412" s="160"/>
      <c r="BN2412" s="160"/>
      <c r="BO2412" s="160"/>
      <c r="BP2412" s="160"/>
      <c r="BQ2412" s="160"/>
      <c r="BR2412" s="160"/>
      <c r="BS2412" s="160"/>
      <c r="BT2412" s="160"/>
      <c r="BU2412" s="160"/>
      <c r="BV2412" s="160"/>
      <c r="BW2412" s="160"/>
      <c r="BX2412" s="160"/>
      <c r="BY2412" s="160"/>
      <c r="BZ2412" s="160"/>
      <c r="CA2412" s="160"/>
      <c r="CB2412" s="160"/>
      <c r="CC2412" s="160"/>
      <c r="CD2412" s="160"/>
      <c r="CE2412" s="160"/>
      <c r="CF2412" s="160"/>
      <c r="CG2412" s="160"/>
      <c r="CH2412" s="160"/>
      <c r="CI2412" s="160"/>
      <c r="CJ2412" s="160"/>
      <c r="CK2412" s="160"/>
      <c r="CL2412" s="160"/>
      <c r="CM2412" s="160"/>
      <c r="CN2412" s="160"/>
      <c r="CO2412" s="160"/>
      <c r="CP2412" s="162"/>
      <c r="CQ2412" s="163"/>
      <c r="CR2412" s="162"/>
      <c r="CS2412" s="163"/>
      <c r="CT2412" s="162"/>
      <c r="CU2412" s="163"/>
      <c r="CV2412" s="164">
        <f t="shared" si="296"/>
        <v>0</v>
      </c>
      <c r="CW2412" s="165"/>
      <c r="CX2412" s="166"/>
      <c r="CY2412" s="167"/>
      <c r="CZ2412" s="168"/>
      <c r="DA2412" s="169"/>
      <c r="DB2412" s="168"/>
      <c r="DC2412" s="165"/>
      <c r="DD2412" s="166"/>
      <c r="DE2412" s="71"/>
      <c r="DF2412" s="170"/>
      <c r="EO2412" s="375" t="str">
        <f t="shared" si="292"/>
        <v>ANTIOQUIA_GUADALUPE</v>
      </c>
      <c r="EP2412" s="376"/>
      <c r="EQ2412" s="376"/>
      <c r="ER2412" s="377"/>
      <c r="ES2412" s="376"/>
      <c r="ET2412" s="376"/>
      <c r="EU2412" s="376"/>
    </row>
    <row r="2413" spans="1:151" s="171" customFormat="1" ht="36" x14ac:dyDescent="0.2">
      <c r="A2413" s="242">
        <v>40543</v>
      </c>
      <c r="B2413" s="222" t="s">
        <v>828</v>
      </c>
      <c r="C2413" s="222" t="s">
        <v>4110</v>
      </c>
      <c r="D2413" s="430" t="s">
        <v>837</v>
      </c>
      <c r="E2413" s="107" t="str">
        <f>VLOOKUP(B2413&amp;C2413,Divipola!$C$2:$F$1138,4,FALSE)</f>
        <v>15172</v>
      </c>
      <c r="F2413" s="333"/>
      <c r="G2413" s="221"/>
      <c r="H2413" s="157"/>
      <c r="I2413" s="157"/>
      <c r="J2413" s="157">
        <v>15</v>
      </c>
      <c r="K2413" s="157">
        <v>3</v>
      </c>
      <c r="L2413" s="157"/>
      <c r="M2413" s="157"/>
      <c r="N2413" s="157"/>
      <c r="O2413" s="157"/>
      <c r="P2413" s="157"/>
      <c r="Q2413" s="157"/>
      <c r="R2413" s="157"/>
      <c r="S2413" s="157"/>
      <c r="T2413" s="157"/>
      <c r="U2413" s="157"/>
      <c r="V2413" s="158"/>
      <c r="W2413" s="182"/>
      <c r="X2413" s="1"/>
      <c r="Y2413" s="78">
        <f t="shared" si="293"/>
        <v>0</v>
      </c>
      <c r="Z2413" s="78">
        <f t="shared" si="294"/>
        <v>0</v>
      </c>
      <c r="AA2413" s="78">
        <f t="shared" si="291"/>
        <v>0</v>
      </c>
      <c r="AB2413" s="78">
        <f t="shared" si="295"/>
        <v>0</v>
      </c>
      <c r="AC2413" s="78"/>
      <c r="AD2413" s="78">
        <v>0</v>
      </c>
      <c r="AE2413" s="80">
        <f t="shared" si="297"/>
        <v>0</v>
      </c>
      <c r="AF2413" s="82">
        <v>0</v>
      </c>
      <c r="AG2413" s="69">
        <v>40637</v>
      </c>
      <c r="AH2413" s="84"/>
      <c r="AI2413" s="69" t="s">
        <v>1984</v>
      </c>
      <c r="AJ2413" s="25" t="s">
        <v>1985</v>
      </c>
      <c r="AK2413" s="65"/>
      <c r="AL2413" s="176" t="s">
        <v>1257</v>
      </c>
      <c r="AM2413" s="177" t="s">
        <v>3781</v>
      </c>
      <c r="AN2413" s="159"/>
      <c r="AO2413" s="160"/>
      <c r="AP2413" s="161"/>
      <c r="AQ2413" s="160"/>
      <c r="AR2413" s="160"/>
      <c r="AS2413" s="160"/>
      <c r="AT2413" s="160"/>
      <c r="AU2413" s="160"/>
      <c r="AV2413" s="160"/>
      <c r="AW2413" s="160"/>
      <c r="AX2413" s="160"/>
      <c r="AY2413" s="160"/>
      <c r="AZ2413" s="160"/>
      <c r="BA2413" s="160"/>
      <c r="BB2413" s="160"/>
      <c r="BC2413" s="160"/>
      <c r="BD2413" s="160"/>
      <c r="BE2413" s="160"/>
      <c r="BF2413" s="160"/>
      <c r="BG2413" s="160"/>
      <c r="BH2413" s="160"/>
      <c r="BI2413" s="160"/>
      <c r="BJ2413" s="160"/>
      <c r="BK2413" s="160"/>
      <c r="BL2413" s="160"/>
      <c r="BM2413" s="160"/>
      <c r="BN2413" s="160"/>
      <c r="BO2413" s="160"/>
      <c r="BP2413" s="160"/>
      <c r="BQ2413" s="160"/>
      <c r="BR2413" s="160"/>
      <c r="BS2413" s="160"/>
      <c r="BT2413" s="160"/>
      <c r="BU2413" s="160"/>
      <c r="BV2413" s="160"/>
      <c r="BW2413" s="160"/>
      <c r="BX2413" s="160"/>
      <c r="BY2413" s="160"/>
      <c r="BZ2413" s="160"/>
      <c r="CA2413" s="160"/>
      <c r="CB2413" s="160"/>
      <c r="CC2413" s="160"/>
      <c r="CD2413" s="160"/>
      <c r="CE2413" s="160"/>
      <c r="CF2413" s="160"/>
      <c r="CG2413" s="160"/>
      <c r="CH2413" s="160"/>
      <c r="CI2413" s="160"/>
      <c r="CJ2413" s="160"/>
      <c r="CK2413" s="160"/>
      <c r="CL2413" s="160"/>
      <c r="CM2413" s="160"/>
      <c r="CN2413" s="160"/>
      <c r="CO2413" s="160"/>
      <c r="CP2413" s="162"/>
      <c r="CQ2413" s="163"/>
      <c r="CR2413" s="162"/>
      <c r="CS2413" s="163"/>
      <c r="CT2413" s="162"/>
      <c r="CU2413" s="163"/>
      <c r="CV2413" s="164">
        <f t="shared" si="296"/>
        <v>0</v>
      </c>
      <c r="CW2413" s="165"/>
      <c r="CX2413" s="166"/>
      <c r="CY2413" s="167"/>
      <c r="CZ2413" s="168"/>
      <c r="DA2413" s="169"/>
      <c r="DB2413" s="168"/>
      <c r="DC2413" s="165"/>
      <c r="DD2413" s="166"/>
      <c r="DE2413" s="71"/>
      <c r="DF2413" s="170"/>
      <c r="EO2413" s="375" t="str">
        <f t="shared" si="292"/>
        <v>BOYACA_CHINAVITA</v>
      </c>
      <c r="EP2413" s="376"/>
      <c r="EQ2413" s="376"/>
      <c r="ER2413" s="377"/>
      <c r="ES2413" s="376"/>
      <c r="ET2413" s="376"/>
      <c r="EU2413" s="376"/>
    </row>
    <row r="2414" spans="1:151" s="171" customFormat="1" ht="36" x14ac:dyDescent="0.2">
      <c r="A2414" s="242">
        <v>40543</v>
      </c>
      <c r="B2414" s="222" t="s">
        <v>828</v>
      </c>
      <c r="C2414" s="222" t="s">
        <v>4207</v>
      </c>
      <c r="D2414" s="430" t="s">
        <v>837</v>
      </c>
      <c r="E2414" s="107" t="str">
        <f>VLOOKUP(B2414&amp;C2414,Divipola!$C$2:$F$1138,4,FALSE)</f>
        <v>15816</v>
      </c>
      <c r="F2414" s="333"/>
      <c r="G2414" s="221"/>
      <c r="H2414" s="157"/>
      <c r="I2414" s="157"/>
      <c r="J2414" s="157">
        <f>319*5</f>
        <v>1595</v>
      </c>
      <c r="K2414" s="157">
        <v>319</v>
      </c>
      <c r="L2414" s="157"/>
      <c r="M2414" s="157"/>
      <c r="N2414" s="157"/>
      <c r="O2414" s="157"/>
      <c r="P2414" s="157"/>
      <c r="Q2414" s="157"/>
      <c r="R2414" s="157"/>
      <c r="S2414" s="157"/>
      <c r="T2414" s="157"/>
      <c r="U2414" s="157"/>
      <c r="V2414" s="158"/>
      <c r="W2414" s="182"/>
      <c r="X2414" s="1"/>
      <c r="Y2414" s="78">
        <f t="shared" si="293"/>
        <v>0</v>
      </c>
      <c r="Z2414" s="78">
        <f t="shared" si="294"/>
        <v>0</v>
      </c>
      <c r="AA2414" s="78">
        <f t="shared" si="291"/>
        <v>0</v>
      </c>
      <c r="AB2414" s="78">
        <f t="shared" si="295"/>
        <v>0</v>
      </c>
      <c r="AC2414" s="78"/>
      <c r="AD2414" s="78">
        <v>0</v>
      </c>
      <c r="AE2414" s="80">
        <f t="shared" si="297"/>
        <v>0</v>
      </c>
      <c r="AF2414" s="82">
        <v>0</v>
      </c>
      <c r="AG2414" s="69">
        <v>40637</v>
      </c>
      <c r="AH2414" s="84"/>
      <c r="AI2414" s="69" t="s">
        <v>1984</v>
      </c>
      <c r="AJ2414" s="25" t="s">
        <v>1985</v>
      </c>
      <c r="AK2414" s="65"/>
      <c r="AL2414" s="176" t="s">
        <v>1257</v>
      </c>
      <c r="AM2414" s="177" t="s">
        <v>3781</v>
      </c>
      <c r="AN2414" s="159"/>
      <c r="AO2414" s="160"/>
      <c r="AP2414" s="161"/>
      <c r="AQ2414" s="160"/>
      <c r="AR2414" s="160"/>
      <c r="AS2414" s="160"/>
      <c r="AT2414" s="160"/>
      <c r="AU2414" s="160"/>
      <c r="AV2414" s="160"/>
      <c r="AW2414" s="160"/>
      <c r="AX2414" s="160"/>
      <c r="AY2414" s="160"/>
      <c r="AZ2414" s="160"/>
      <c r="BA2414" s="160"/>
      <c r="BB2414" s="160"/>
      <c r="BC2414" s="160"/>
      <c r="BD2414" s="160"/>
      <c r="BE2414" s="160"/>
      <c r="BF2414" s="160"/>
      <c r="BG2414" s="160"/>
      <c r="BH2414" s="160"/>
      <c r="BI2414" s="160"/>
      <c r="BJ2414" s="160"/>
      <c r="BK2414" s="160"/>
      <c r="BL2414" s="160"/>
      <c r="BM2414" s="160"/>
      <c r="BN2414" s="160"/>
      <c r="BO2414" s="160"/>
      <c r="BP2414" s="160"/>
      <c r="BQ2414" s="160"/>
      <c r="BR2414" s="160"/>
      <c r="BS2414" s="160"/>
      <c r="BT2414" s="160"/>
      <c r="BU2414" s="160"/>
      <c r="BV2414" s="160"/>
      <c r="BW2414" s="160"/>
      <c r="BX2414" s="160"/>
      <c r="BY2414" s="160"/>
      <c r="BZ2414" s="160"/>
      <c r="CA2414" s="160"/>
      <c r="CB2414" s="160"/>
      <c r="CC2414" s="160"/>
      <c r="CD2414" s="160"/>
      <c r="CE2414" s="160"/>
      <c r="CF2414" s="160"/>
      <c r="CG2414" s="160"/>
      <c r="CH2414" s="160"/>
      <c r="CI2414" s="160"/>
      <c r="CJ2414" s="160"/>
      <c r="CK2414" s="160"/>
      <c r="CL2414" s="160"/>
      <c r="CM2414" s="160"/>
      <c r="CN2414" s="160"/>
      <c r="CO2414" s="160"/>
      <c r="CP2414" s="162"/>
      <c r="CQ2414" s="163"/>
      <c r="CR2414" s="162"/>
      <c r="CS2414" s="163"/>
      <c r="CT2414" s="162"/>
      <c r="CU2414" s="163"/>
      <c r="CV2414" s="164">
        <f t="shared" si="296"/>
        <v>0</v>
      </c>
      <c r="CW2414" s="165"/>
      <c r="CX2414" s="166"/>
      <c r="CY2414" s="167"/>
      <c r="CZ2414" s="168"/>
      <c r="DA2414" s="169"/>
      <c r="DB2414" s="168"/>
      <c r="DC2414" s="165"/>
      <c r="DD2414" s="166"/>
      <c r="DE2414" s="71"/>
      <c r="DF2414" s="170"/>
      <c r="EO2414" s="375" t="str">
        <f t="shared" si="292"/>
        <v>BOYACA_TOGUI</v>
      </c>
      <c r="EP2414" s="376"/>
      <c r="EQ2414" s="376"/>
      <c r="ER2414" s="377"/>
      <c r="ES2414" s="376"/>
      <c r="ET2414" s="376"/>
      <c r="EU2414" s="376"/>
    </row>
    <row r="2415" spans="1:151" s="171" customFormat="1" ht="36" x14ac:dyDescent="0.2">
      <c r="A2415" s="242">
        <v>40543</v>
      </c>
      <c r="B2415" s="222" t="s">
        <v>828</v>
      </c>
      <c r="C2415" s="222" t="s">
        <v>4219</v>
      </c>
      <c r="D2415" s="430" t="s">
        <v>837</v>
      </c>
      <c r="E2415" s="107" t="str">
        <f>VLOOKUP(B2415&amp;C2415,Divipola!$C$2:$F$1138,4,FALSE)</f>
        <v>15897</v>
      </c>
      <c r="F2415" s="333"/>
      <c r="G2415" s="221"/>
      <c r="H2415" s="157"/>
      <c r="I2415" s="157"/>
      <c r="J2415" s="157">
        <f>419*5</f>
        <v>2095</v>
      </c>
      <c r="K2415" s="157">
        <v>419</v>
      </c>
      <c r="L2415" s="157"/>
      <c r="M2415" s="157"/>
      <c r="N2415" s="157"/>
      <c r="O2415" s="157"/>
      <c r="P2415" s="157"/>
      <c r="Q2415" s="157"/>
      <c r="R2415" s="157"/>
      <c r="S2415" s="157"/>
      <c r="T2415" s="157"/>
      <c r="U2415" s="157"/>
      <c r="V2415" s="158"/>
      <c r="W2415" s="182"/>
      <c r="X2415" s="1"/>
      <c r="Y2415" s="78">
        <f t="shared" si="293"/>
        <v>0</v>
      </c>
      <c r="Z2415" s="78">
        <f t="shared" si="294"/>
        <v>0</v>
      </c>
      <c r="AA2415" s="78">
        <f t="shared" si="291"/>
        <v>0</v>
      </c>
      <c r="AB2415" s="78">
        <f t="shared" si="295"/>
        <v>0</v>
      </c>
      <c r="AC2415" s="78"/>
      <c r="AD2415" s="78">
        <v>0</v>
      </c>
      <c r="AE2415" s="80">
        <f t="shared" si="297"/>
        <v>0</v>
      </c>
      <c r="AF2415" s="82">
        <v>0</v>
      </c>
      <c r="AG2415" s="69">
        <v>40637</v>
      </c>
      <c r="AH2415" s="84"/>
      <c r="AI2415" s="69" t="s">
        <v>1984</v>
      </c>
      <c r="AJ2415" s="25" t="s">
        <v>1985</v>
      </c>
      <c r="AK2415" s="65"/>
      <c r="AL2415" s="176" t="s">
        <v>1257</v>
      </c>
      <c r="AM2415" s="177" t="s">
        <v>3781</v>
      </c>
      <c r="AN2415" s="159"/>
      <c r="AO2415" s="160"/>
      <c r="AP2415" s="161"/>
      <c r="AQ2415" s="160"/>
      <c r="AR2415" s="160"/>
      <c r="AS2415" s="160"/>
      <c r="AT2415" s="160"/>
      <c r="AU2415" s="160"/>
      <c r="AV2415" s="160"/>
      <c r="AW2415" s="160"/>
      <c r="AX2415" s="160"/>
      <c r="AY2415" s="160"/>
      <c r="AZ2415" s="160"/>
      <c r="BA2415" s="160"/>
      <c r="BB2415" s="160"/>
      <c r="BC2415" s="160"/>
      <c r="BD2415" s="160"/>
      <c r="BE2415" s="160"/>
      <c r="BF2415" s="160"/>
      <c r="BG2415" s="160"/>
      <c r="BH2415" s="160"/>
      <c r="BI2415" s="160"/>
      <c r="BJ2415" s="160"/>
      <c r="BK2415" s="160"/>
      <c r="BL2415" s="160"/>
      <c r="BM2415" s="160"/>
      <c r="BN2415" s="160"/>
      <c r="BO2415" s="160"/>
      <c r="BP2415" s="160"/>
      <c r="BQ2415" s="160"/>
      <c r="BR2415" s="160"/>
      <c r="BS2415" s="160"/>
      <c r="BT2415" s="160"/>
      <c r="BU2415" s="160"/>
      <c r="BV2415" s="160"/>
      <c r="BW2415" s="160"/>
      <c r="BX2415" s="160"/>
      <c r="BY2415" s="160"/>
      <c r="BZ2415" s="160"/>
      <c r="CA2415" s="160"/>
      <c r="CB2415" s="160"/>
      <c r="CC2415" s="160"/>
      <c r="CD2415" s="160"/>
      <c r="CE2415" s="160"/>
      <c r="CF2415" s="160"/>
      <c r="CG2415" s="160"/>
      <c r="CH2415" s="160"/>
      <c r="CI2415" s="160"/>
      <c r="CJ2415" s="160"/>
      <c r="CK2415" s="160"/>
      <c r="CL2415" s="160"/>
      <c r="CM2415" s="160"/>
      <c r="CN2415" s="160"/>
      <c r="CO2415" s="160"/>
      <c r="CP2415" s="162"/>
      <c r="CQ2415" s="163"/>
      <c r="CR2415" s="162"/>
      <c r="CS2415" s="163"/>
      <c r="CT2415" s="162"/>
      <c r="CU2415" s="163"/>
      <c r="CV2415" s="164">
        <f t="shared" si="296"/>
        <v>0</v>
      </c>
      <c r="CW2415" s="165"/>
      <c r="CX2415" s="166"/>
      <c r="CY2415" s="167"/>
      <c r="CZ2415" s="168"/>
      <c r="DA2415" s="169"/>
      <c r="DB2415" s="168"/>
      <c r="DC2415" s="165"/>
      <c r="DD2415" s="166"/>
      <c r="DE2415" s="71"/>
      <c r="DF2415" s="170"/>
      <c r="EO2415" s="375" t="str">
        <f t="shared" si="292"/>
        <v>BOYACA_ZETAQUIRA</v>
      </c>
      <c r="EP2415" s="376"/>
      <c r="EQ2415" s="376"/>
      <c r="ER2415" s="377"/>
      <c r="ES2415" s="376"/>
      <c r="ET2415" s="376"/>
      <c r="EU2415" s="376"/>
    </row>
    <row r="2416" spans="1:151" s="171" customFormat="1" ht="38.25" x14ac:dyDescent="0.2">
      <c r="A2416" s="242">
        <v>40543</v>
      </c>
      <c r="B2416" s="222" t="s">
        <v>828</v>
      </c>
      <c r="C2416" s="222" t="s">
        <v>4115</v>
      </c>
      <c r="D2416" s="430" t="s">
        <v>837</v>
      </c>
      <c r="E2416" s="107" t="str">
        <f>VLOOKUP(B2416&amp;C2416,Divipola!$C$2:$F$1138,4,FALSE)</f>
        <v>15185</v>
      </c>
      <c r="F2416" s="333"/>
      <c r="G2416" s="221"/>
      <c r="H2416" s="157"/>
      <c r="I2416" s="157"/>
      <c r="J2416" s="157">
        <f>206*5</f>
        <v>1030</v>
      </c>
      <c r="K2416" s="157">
        <v>206</v>
      </c>
      <c r="L2416" s="157"/>
      <c r="M2416" s="157"/>
      <c r="N2416" s="157"/>
      <c r="O2416" s="157"/>
      <c r="P2416" s="157"/>
      <c r="Q2416" s="157"/>
      <c r="R2416" s="157"/>
      <c r="S2416" s="157"/>
      <c r="T2416" s="157"/>
      <c r="U2416" s="157"/>
      <c r="V2416" s="158"/>
      <c r="W2416" s="182"/>
      <c r="X2416" s="1"/>
      <c r="Y2416" s="78">
        <f t="shared" si="293"/>
        <v>0</v>
      </c>
      <c r="Z2416" s="78">
        <f t="shared" si="294"/>
        <v>0</v>
      </c>
      <c r="AA2416" s="78">
        <f t="shared" si="291"/>
        <v>0</v>
      </c>
      <c r="AB2416" s="78">
        <f t="shared" si="295"/>
        <v>0</v>
      </c>
      <c r="AC2416" s="78"/>
      <c r="AD2416" s="78">
        <v>0</v>
      </c>
      <c r="AE2416" s="80">
        <f t="shared" si="297"/>
        <v>0</v>
      </c>
      <c r="AF2416" s="82">
        <v>0</v>
      </c>
      <c r="AG2416" s="69">
        <v>40637</v>
      </c>
      <c r="AH2416" s="84"/>
      <c r="AI2416" s="69" t="s">
        <v>1984</v>
      </c>
      <c r="AJ2416" s="25" t="s">
        <v>1985</v>
      </c>
      <c r="AK2416" s="65"/>
      <c r="AL2416" s="176" t="s">
        <v>1257</v>
      </c>
      <c r="AM2416" s="177" t="s">
        <v>3781</v>
      </c>
      <c r="AN2416" s="159"/>
      <c r="AO2416" s="160"/>
      <c r="AP2416" s="161"/>
      <c r="AQ2416" s="160"/>
      <c r="AR2416" s="160"/>
      <c r="AS2416" s="160"/>
      <c r="AT2416" s="160"/>
      <c r="AU2416" s="160"/>
      <c r="AV2416" s="160"/>
      <c r="AW2416" s="160"/>
      <c r="AX2416" s="160"/>
      <c r="AY2416" s="160"/>
      <c r="AZ2416" s="160"/>
      <c r="BA2416" s="160"/>
      <c r="BB2416" s="160"/>
      <c r="BC2416" s="160"/>
      <c r="BD2416" s="160"/>
      <c r="BE2416" s="160"/>
      <c r="BF2416" s="160"/>
      <c r="BG2416" s="160"/>
      <c r="BH2416" s="160"/>
      <c r="BI2416" s="160"/>
      <c r="BJ2416" s="160"/>
      <c r="BK2416" s="160"/>
      <c r="BL2416" s="160"/>
      <c r="BM2416" s="160"/>
      <c r="BN2416" s="160"/>
      <c r="BO2416" s="160"/>
      <c r="BP2416" s="160"/>
      <c r="BQ2416" s="160"/>
      <c r="BR2416" s="160"/>
      <c r="BS2416" s="160"/>
      <c r="BT2416" s="160"/>
      <c r="BU2416" s="160"/>
      <c r="BV2416" s="160"/>
      <c r="BW2416" s="160"/>
      <c r="BX2416" s="160"/>
      <c r="BY2416" s="160"/>
      <c r="BZ2416" s="160"/>
      <c r="CA2416" s="160"/>
      <c r="CB2416" s="160"/>
      <c r="CC2416" s="160"/>
      <c r="CD2416" s="160"/>
      <c r="CE2416" s="160"/>
      <c r="CF2416" s="160"/>
      <c r="CG2416" s="160"/>
      <c r="CH2416" s="160"/>
      <c r="CI2416" s="160"/>
      <c r="CJ2416" s="160"/>
      <c r="CK2416" s="160"/>
      <c r="CL2416" s="160"/>
      <c r="CM2416" s="160"/>
      <c r="CN2416" s="160"/>
      <c r="CO2416" s="160"/>
      <c r="CP2416" s="162"/>
      <c r="CQ2416" s="163"/>
      <c r="CR2416" s="162"/>
      <c r="CS2416" s="163"/>
      <c r="CT2416" s="162"/>
      <c r="CU2416" s="163"/>
      <c r="CV2416" s="164">
        <f t="shared" si="296"/>
        <v>0</v>
      </c>
      <c r="CW2416" s="165"/>
      <c r="CX2416" s="166"/>
      <c r="CY2416" s="167"/>
      <c r="CZ2416" s="168"/>
      <c r="DA2416" s="169"/>
      <c r="DB2416" s="168"/>
      <c r="DC2416" s="165"/>
      <c r="DD2416" s="166"/>
      <c r="DE2416" s="71"/>
      <c r="DF2416" s="170"/>
      <c r="EO2416" s="375" t="str">
        <f t="shared" si="292"/>
        <v>BOYACA_CHITARAQUE</v>
      </c>
      <c r="EP2416" s="376"/>
      <c r="EQ2416" s="376"/>
      <c r="ER2416" s="377"/>
      <c r="ES2416" s="376"/>
      <c r="ET2416" s="376"/>
      <c r="EU2416" s="376"/>
    </row>
    <row r="2417" spans="1:151" s="171" customFormat="1" ht="36" x14ac:dyDescent="0.2">
      <c r="A2417" s="242">
        <v>40543</v>
      </c>
      <c r="B2417" s="222" t="s">
        <v>828</v>
      </c>
      <c r="C2417" s="222" t="s">
        <v>4099</v>
      </c>
      <c r="D2417" s="430" t="s">
        <v>837</v>
      </c>
      <c r="E2417" s="107" t="str">
        <f>VLOOKUP(B2417&amp;C2417,Divipola!$C$2:$F$1138,4,FALSE)</f>
        <v>15090</v>
      </c>
      <c r="F2417" s="333"/>
      <c r="G2417" s="221"/>
      <c r="H2417" s="157"/>
      <c r="I2417" s="157"/>
      <c r="J2417" s="157">
        <f>143*5</f>
        <v>715</v>
      </c>
      <c r="K2417" s="157">
        <v>143</v>
      </c>
      <c r="L2417" s="157"/>
      <c r="M2417" s="157"/>
      <c r="N2417" s="157"/>
      <c r="O2417" s="157"/>
      <c r="P2417" s="157"/>
      <c r="Q2417" s="157"/>
      <c r="R2417" s="157"/>
      <c r="S2417" s="157"/>
      <c r="T2417" s="157"/>
      <c r="U2417" s="157"/>
      <c r="V2417" s="158"/>
      <c r="W2417" s="182"/>
      <c r="X2417" s="1"/>
      <c r="Y2417" s="78">
        <f t="shared" si="293"/>
        <v>0</v>
      </c>
      <c r="Z2417" s="78">
        <f t="shared" si="294"/>
        <v>0</v>
      </c>
      <c r="AA2417" s="78">
        <f t="shared" si="291"/>
        <v>0</v>
      </c>
      <c r="AB2417" s="78">
        <f t="shared" si="295"/>
        <v>0</v>
      </c>
      <c r="AC2417" s="78"/>
      <c r="AD2417" s="78">
        <v>0</v>
      </c>
      <c r="AE2417" s="80">
        <f t="shared" si="297"/>
        <v>0</v>
      </c>
      <c r="AF2417" s="82">
        <v>0</v>
      </c>
      <c r="AG2417" s="69">
        <v>40637</v>
      </c>
      <c r="AH2417" s="84"/>
      <c r="AI2417" s="69" t="s">
        <v>1984</v>
      </c>
      <c r="AJ2417" s="25" t="s">
        <v>1985</v>
      </c>
      <c r="AK2417" s="65"/>
      <c r="AL2417" s="176" t="s">
        <v>1257</v>
      </c>
      <c r="AM2417" s="177" t="s">
        <v>3781</v>
      </c>
      <c r="AN2417" s="159"/>
      <c r="AO2417" s="160"/>
      <c r="AP2417" s="161"/>
      <c r="AQ2417" s="160"/>
      <c r="AR2417" s="160"/>
      <c r="AS2417" s="160"/>
      <c r="AT2417" s="160"/>
      <c r="AU2417" s="160"/>
      <c r="AV2417" s="160"/>
      <c r="AW2417" s="160"/>
      <c r="AX2417" s="160"/>
      <c r="AY2417" s="160"/>
      <c r="AZ2417" s="160"/>
      <c r="BA2417" s="160"/>
      <c r="BB2417" s="160"/>
      <c r="BC2417" s="160"/>
      <c r="BD2417" s="160"/>
      <c r="BE2417" s="160"/>
      <c r="BF2417" s="160"/>
      <c r="BG2417" s="160"/>
      <c r="BH2417" s="160"/>
      <c r="BI2417" s="160"/>
      <c r="BJ2417" s="160"/>
      <c r="BK2417" s="160"/>
      <c r="BL2417" s="160"/>
      <c r="BM2417" s="160"/>
      <c r="BN2417" s="160"/>
      <c r="BO2417" s="160"/>
      <c r="BP2417" s="160"/>
      <c r="BQ2417" s="160"/>
      <c r="BR2417" s="160"/>
      <c r="BS2417" s="160"/>
      <c r="BT2417" s="160"/>
      <c r="BU2417" s="160"/>
      <c r="BV2417" s="160"/>
      <c r="BW2417" s="160"/>
      <c r="BX2417" s="160"/>
      <c r="BY2417" s="160"/>
      <c r="BZ2417" s="160"/>
      <c r="CA2417" s="160"/>
      <c r="CB2417" s="160"/>
      <c r="CC2417" s="160"/>
      <c r="CD2417" s="160"/>
      <c r="CE2417" s="160"/>
      <c r="CF2417" s="160"/>
      <c r="CG2417" s="160"/>
      <c r="CH2417" s="160"/>
      <c r="CI2417" s="160"/>
      <c r="CJ2417" s="160"/>
      <c r="CK2417" s="160"/>
      <c r="CL2417" s="160"/>
      <c r="CM2417" s="160"/>
      <c r="CN2417" s="160"/>
      <c r="CO2417" s="160"/>
      <c r="CP2417" s="162"/>
      <c r="CQ2417" s="163"/>
      <c r="CR2417" s="162"/>
      <c r="CS2417" s="163"/>
      <c r="CT2417" s="162"/>
      <c r="CU2417" s="163"/>
      <c r="CV2417" s="164">
        <f t="shared" si="296"/>
        <v>0</v>
      </c>
      <c r="CW2417" s="165"/>
      <c r="CX2417" s="166"/>
      <c r="CY2417" s="167"/>
      <c r="CZ2417" s="168"/>
      <c r="DA2417" s="169"/>
      <c r="DB2417" s="168"/>
      <c r="DC2417" s="165"/>
      <c r="DD2417" s="166"/>
      <c r="DE2417" s="71"/>
      <c r="DF2417" s="170"/>
      <c r="EO2417" s="375" t="str">
        <f t="shared" si="292"/>
        <v>BOYACA_BERBEO</v>
      </c>
      <c r="EP2417" s="376"/>
      <c r="EQ2417" s="376"/>
      <c r="ER2417" s="377"/>
      <c r="ES2417" s="376"/>
      <c r="ET2417" s="376"/>
      <c r="EU2417" s="376"/>
    </row>
    <row r="2418" spans="1:151" s="171" customFormat="1" ht="36" x14ac:dyDescent="0.2">
      <c r="A2418" s="242">
        <v>40543</v>
      </c>
      <c r="B2418" s="222" t="s">
        <v>828</v>
      </c>
      <c r="C2418" s="222" t="s">
        <v>2371</v>
      </c>
      <c r="D2418" s="430" t="s">
        <v>837</v>
      </c>
      <c r="E2418" s="107" t="str">
        <f>VLOOKUP(B2418&amp;C2418,Divipola!$C$2:$F$1138,4,FALSE)</f>
        <v>15109</v>
      </c>
      <c r="F2418" s="333"/>
      <c r="G2418" s="221"/>
      <c r="H2418" s="157"/>
      <c r="I2418" s="157"/>
      <c r="J2418" s="157">
        <f>153*5</f>
        <v>765</v>
      </c>
      <c r="K2418" s="157">
        <v>153</v>
      </c>
      <c r="L2418" s="157"/>
      <c r="M2418" s="157"/>
      <c r="N2418" s="157"/>
      <c r="O2418" s="157"/>
      <c r="P2418" s="157"/>
      <c r="Q2418" s="157"/>
      <c r="R2418" s="157"/>
      <c r="S2418" s="157"/>
      <c r="T2418" s="157"/>
      <c r="U2418" s="157"/>
      <c r="V2418" s="158"/>
      <c r="W2418" s="182"/>
      <c r="X2418" s="1"/>
      <c r="Y2418" s="78">
        <f t="shared" si="293"/>
        <v>0</v>
      </c>
      <c r="Z2418" s="78">
        <f t="shared" si="294"/>
        <v>0</v>
      </c>
      <c r="AA2418" s="78">
        <f t="shared" si="291"/>
        <v>0</v>
      </c>
      <c r="AB2418" s="78">
        <f t="shared" si="295"/>
        <v>0</v>
      </c>
      <c r="AC2418" s="78"/>
      <c r="AD2418" s="78">
        <v>0</v>
      </c>
      <c r="AE2418" s="80">
        <f t="shared" si="297"/>
        <v>0</v>
      </c>
      <c r="AF2418" s="82">
        <v>0</v>
      </c>
      <c r="AG2418" s="69">
        <v>40637</v>
      </c>
      <c r="AH2418" s="84"/>
      <c r="AI2418" s="69" t="s">
        <v>1984</v>
      </c>
      <c r="AJ2418" s="25" t="s">
        <v>1985</v>
      </c>
      <c r="AK2418" s="65"/>
      <c r="AL2418" s="176" t="s">
        <v>1257</v>
      </c>
      <c r="AM2418" s="177" t="s">
        <v>3781</v>
      </c>
      <c r="AN2418" s="159"/>
      <c r="AO2418" s="160"/>
      <c r="AP2418" s="161"/>
      <c r="AQ2418" s="160"/>
      <c r="AR2418" s="160"/>
      <c r="AS2418" s="160"/>
      <c r="AT2418" s="160"/>
      <c r="AU2418" s="160"/>
      <c r="AV2418" s="160"/>
      <c r="AW2418" s="160"/>
      <c r="AX2418" s="160"/>
      <c r="AY2418" s="160"/>
      <c r="AZ2418" s="160"/>
      <c r="BA2418" s="160"/>
      <c r="BB2418" s="160"/>
      <c r="BC2418" s="160"/>
      <c r="BD2418" s="160"/>
      <c r="BE2418" s="160"/>
      <c r="BF2418" s="160"/>
      <c r="BG2418" s="160"/>
      <c r="BH2418" s="160"/>
      <c r="BI2418" s="160"/>
      <c r="BJ2418" s="160"/>
      <c r="BK2418" s="160"/>
      <c r="BL2418" s="160"/>
      <c r="BM2418" s="160"/>
      <c r="BN2418" s="160"/>
      <c r="BO2418" s="160"/>
      <c r="BP2418" s="160"/>
      <c r="BQ2418" s="160"/>
      <c r="BR2418" s="160"/>
      <c r="BS2418" s="160"/>
      <c r="BT2418" s="160"/>
      <c r="BU2418" s="160"/>
      <c r="BV2418" s="160"/>
      <c r="BW2418" s="160"/>
      <c r="BX2418" s="160"/>
      <c r="BY2418" s="160"/>
      <c r="BZ2418" s="160"/>
      <c r="CA2418" s="160"/>
      <c r="CB2418" s="160"/>
      <c r="CC2418" s="160"/>
      <c r="CD2418" s="160"/>
      <c r="CE2418" s="160"/>
      <c r="CF2418" s="160"/>
      <c r="CG2418" s="160"/>
      <c r="CH2418" s="160"/>
      <c r="CI2418" s="160"/>
      <c r="CJ2418" s="160"/>
      <c r="CK2418" s="160"/>
      <c r="CL2418" s="160"/>
      <c r="CM2418" s="160"/>
      <c r="CN2418" s="160"/>
      <c r="CO2418" s="160"/>
      <c r="CP2418" s="162"/>
      <c r="CQ2418" s="163"/>
      <c r="CR2418" s="162"/>
      <c r="CS2418" s="163"/>
      <c r="CT2418" s="162"/>
      <c r="CU2418" s="163"/>
      <c r="CV2418" s="164">
        <f t="shared" si="296"/>
        <v>0</v>
      </c>
      <c r="CW2418" s="165"/>
      <c r="CX2418" s="166"/>
      <c r="CY2418" s="167"/>
      <c r="CZ2418" s="168"/>
      <c r="DA2418" s="169"/>
      <c r="DB2418" s="168"/>
      <c r="DC2418" s="165"/>
      <c r="DD2418" s="166"/>
      <c r="DE2418" s="71"/>
      <c r="DF2418" s="170"/>
      <c r="EO2418" s="375" t="str">
        <f t="shared" si="292"/>
        <v>BOYACA_BUENAVISTA</v>
      </c>
      <c r="EP2418" s="376"/>
      <c r="EQ2418" s="376"/>
      <c r="ER2418" s="377"/>
      <c r="ES2418" s="376"/>
      <c r="ET2418" s="376"/>
      <c r="EU2418" s="376"/>
    </row>
    <row r="2419" spans="1:151" s="171" customFormat="1" ht="38.25" x14ac:dyDescent="0.2">
      <c r="A2419" s="242">
        <v>40543</v>
      </c>
      <c r="B2419" s="222" t="s">
        <v>828</v>
      </c>
      <c r="C2419" s="222" t="s">
        <v>4108</v>
      </c>
      <c r="D2419" s="430" t="s">
        <v>837</v>
      </c>
      <c r="E2419" s="107" t="str">
        <f>VLOOKUP(B2419&amp;C2419,Divipola!$C$2:$F$1138,4,FALSE)</f>
        <v>15135</v>
      </c>
      <c r="F2419" s="333"/>
      <c r="G2419" s="221"/>
      <c r="H2419" s="157"/>
      <c r="I2419" s="157"/>
      <c r="J2419" s="157">
        <f>35*5</f>
        <v>175</v>
      </c>
      <c r="K2419" s="157">
        <v>35</v>
      </c>
      <c r="L2419" s="157"/>
      <c r="M2419" s="157"/>
      <c r="N2419" s="157"/>
      <c r="O2419" s="157"/>
      <c r="P2419" s="157"/>
      <c r="Q2419" s="157"/>
      <c r="R2419" s="157"/>
      <c r="S2419" s="157"/>
      <c r="T2419" s="157"/>
      <c r="U2419" s="157"/>
      <c r="V2419" s="158"/>
      <c r="W2419" s="182"/>
      <c r="X2419" s="1"/>
      <c r="Y2419" s="78">
        <f t="shared" si="293"/>
        <v>0</v>
      </c>
      <c r="Z2419" s="78">
        <f t="shared" si="294"/>
        <v>0</v>
      </c>
      <c r="AA2419" s="78">
        <f t="shared" si="291"/>
        <v>0</v>
      </c>
      <c r="AB2419" s="78">
        <f t="shared" si="295"/>
        <v>0</v>
      </c>
      <c r="AC2419" s="78"/>
      <c r="AD2419" s="78">
        <v>0</v>
      </c>
      <c r="AE2419" s="80">
        <f t="shared" si="297"/>
        <v>0</v>
      </c>
      <c r="AF2419" s="82">
        <v>0</v>
      </c>
      <c r="AG2419" s="69">
        <v>40637</v>
      </c>
      <c r="AH2419" s="84"/>
      <c r="AI2419" s="69" t="s">
        <v>1984</v>
      </c>
      <c r="AJ2419" s="25" t="s">
        <v>1985</v>
      </c>
      <c r="AK2419" s="65"/>
      <c r="AL2419" s="176" t="s">
        <v>1257</v>
      </c>
      <c r="AM2419" s="177" t="s">
        <v>3781</v>
      </c>
      <c r="AN2419" s="159"/>
      <c r="AO2419" s="160"/>
      <c r="AP2419" s="161"/>
      <c r="AQ2419" s="160"/>
      <c r="AR2419" s="160"/>
      <c r="AS2419" s="160"/>
      <c r="AT2419" s="160"/>
      <c r="AU2419" s="160"/>
      <c r="AV2419" s="160"/>
      <c r="AW2419" s="160"/>
      <c r="AX2419" s="160"/>
      <c r="AY2419" s="160"/>
      <c r="AZ2419" s="160"/>
      <c r="BA2419" s="160"/>
      <c r="BB2419" s="160"/>
      <c r="BC2419" s="160"/>
      <c r="BD2419" s="160"/>
      <c r="BE2419" s="160"/>
      <c r="BF2419" s="160"/>
      <c r="BG2419" s="160"/>
      <c r="BH2419" s="160"/>
      <c r="BI2419" s="160"/>
      <c r="BJ2419" s="160"/>
      <c r="BK2419" s="160"/>
      <c r="BL2419" s="160"/>
      <c r="BM2419" s="160"/>
      <c r="BN2419" s="160"/>
      <c r="BO2419" s="160"/>
      <c r="BP2419" s="160"/>
      <c r="BQ2419" s="160"/>
      <c r="BR2419" s="160"/>
      <c r="BS2419" s="160"/>
      <c r="BT2419" s="160"/>
      <c r="BU2419" s="160"/>
      <c r="BV2419" s="160"/>
      <c r="BW2419" s="160"/>
      <c r="BX2419" s="160"/>
      <c r="BY2419" s="160"/>
      <c r="BZ2419" s="160"/>
      <c r="CA2419" s="160"/>
      <c r="CB2419" s="160"/>
      <c r="CC2419" s="160"/>
      <c r="CD2419" s="160"/>
      <c r="CE2419" s="160"/>
      <c r="CF2419" s="160"/>
      <c r="CG2419" s="160"/>
      <c r="CH2419" s="160"/>
      <c r="CI2419" s="160"/>
      <c r="CJ2419" s="160"/>
      <c r="CK2419" s="160"/>
      <c r="CL2419" s="160"/>
      <c r="CM2419" s="160"/>
      <c r="CN2419" s="160"/>
      <c r="CO2419" s="160"/>
      <c r="CP2419" s="162"/>
      <c r="CQ2419" s="163"/>
      <c r="CR2419" s="162"/>
      <c r="CS2419" s="163"/>
      <c r="CT2419" s="162"/>
      <c r="CU2419" s="163"/>
      <c r="CV2419" s="164">
        <f t="shared" si="296"/>
        <v>0</v>
      </c>
      <c r="CW2419" s="165"/>
      <c r="CX2419" s="166"/>
      <c r="CY2419" s="167"/>
      <c r="CZ2419" s="168"/>
      <c r="DA2419" s="169"/>
      <c r="DB2419" s="168"/>
      <c r="DC2419" s="165"/>
      <c r="DD2419" s="166"/>
      <c r="DE2419" s="71"/>
      <c r="DF2419" s="170"/>
      <c r="EO2419" s="375" t="str">
        <f t="shared" si="292"/>
        <v>BOYACA_CAMPOHERMOSO</v>
      </c>
      <c r="EP2419" s="376"/>
      <c r="EQ2419" s="376"/>
      <c r="ER2419" s="377"/>
      <c r="ES2419" s="376"/>
      <c r="ET2419" s="376"/>
      <c r="EU2419" s="376"/>
    </row>
    <row r="2420" spans="1:151" s="171" customFormat="1" ht="36" x14ac:dyDescent="0.2">
      <c r="A2420" s="242">
        <v>40543</v>
      </c>
      <c r="B2420" s="222" t="s">
        <v>828</v>
      </c>
      <c r="C2420" s="222" t="s">
        <v>4210</v>
      </c>
      <c r="D2420" s="430" t="s">
        <v>837</v>
      </c>
      <c r="E2420" s="107" t="str">
        <f>VLOOKUP(B2420&amp;C2420,Divipola!$C$2:$F$1138,4,FALSE)</f>
        <v>15832</v>
      </c>
      <c r="F2420" s="333"/>
      <c r="G2420" s="221"/>
      <c r="H2420" s="157"/>
      <c r="I2420" s="157"/>
      <c r="J2420" s="157">
        <f>71*5</f>
        <v>355</v>
      </c>
      <c r="K2420" s="157">
        <v>71</v>
      </c>
      <c r="L2420" s="157"/>
      <c r="M2420" s="157"/>
      <c r="N2420" s="157"/>
      <c r="O2420" s="157"/>
      <c r="P2420" s="157"/>
      <c r="Q2420" s="157"/>
      <c r="R2420" s="157"/>
      <c r="S2420" s="157"/>
      <c r="T2420" s="157"/>
      <c r="U2420" s="157"/>
      <c r="V2420" s="158"/>
      <c r="W2420" s="182"/>
      <c r="X2420" s="1"/>
      <c r="Y2420" s="78">
        <f t="shared" si="293"/>
        <v>0</v>
      </c>
      <c r="Z2420" s="78">
        <f t="shared" si="294"/>
        <v>0</v>
      </c>
      <c r="AA2420" s="78">
        <f t="shared" si="291"/>
        <v>0</v>
      </c>
      <c r="AB2420" s="78">
        <f t="shared" si="295"/>
        <v>0</v>
      </c>
      <c r="AC2420" s="78"/>
      <c r="AD2420" s="78">
        <v>0</v>
      </c>
      <c r="AE2420" s="80">
        <f t="shared" si="297"/>
        <v>0</v>
      </c>
      <c r="AF2420" s="82">
        <v>0</v>
      </c>
      <c r="AG2420" s="69">
        <v>40637</v>
      </c>
      <c r="AH2420" s="84"/>
      <c r="AI2420" s="69" t="s">
        <v>1984</v>
      </c>
      <c r="AJ2420" s="25" t="s">
        <v>1985</v>
      </c>
      <c r="AK2420" s="65"/>
      <c r="AL2420" s="176" t="s">
        <v>1257</v>
      </c>
      <c r="AM2420" s="177" t="s">
        <v>3781</v>
      </c>
      <c r="AN2420" s="159"/>
      <c r="AO2420" s="160"/>
      <c r="AP2420" s="161"/>
      <c r="AQ2420" s="160"/>
      <c r="AR2420" s="160"/>
      <c r="AS2420" s="160"/>
      <c r="AT2420" s="160"/>
      <c r="AU2420" s="160"/>
      <c r="AV2420" s="160"/>
      <c r="AW2420" s="160"/>
      <c r="AX2420" s="160"/>
      <c r="AY2420" s="160"/>
      <c r="AZ2420" s="160"/>
      <c r="BA2420" s="160"/>
      <c r="BB2420" s="160"/>
      <c r="BC2420" s="160"/>
      <c r="BD2420" s="160"/>
      <c r="BE2420" s="160"/>
      <c r="BF2420" s="160"/>
      <c r="BG2420" s="160"/>
      <c r="BH2420" s="160"/>
      <c r="BI2420" s="160"/>
      <c r="BJ2420" s="160"/>
      <c r="BK2420" s="160"/>
      <c r="BL2420" s="160"/>
      <c r="BM2420" s="160"/>
      <c r="BN2420" s="160"/>
      <c r="BO2420" s="160"/>
      <c r="BP2420" s="160"/>
      <c r="BQ2420" s="160"/>
      <c r="BR2420" s="160"/>
      <c r="BS2420" s="160"/>
      <c r="BT2420" s="160"/>
      <c r="BU2420" s="160"/>
      <c r="BV2420" s="160"/>
      <c r="BW2420" s="160"/>
      <c r="BX2420" s="160"/>
      <c r="BY2420" s="160"/>
      <c r="BZ2420" s="160"/>
      <c r="CA2420" s="160"/>
      <c r="CB2420" s="160"/>
      <c r="CC2420" s="160"/>
      <c r="CD2420" s="160"/>
      <c r="CE2420" s="160"/>
      <c r="CF2420" s="160"/>
      <c r="CG2420" s="160"/>
      <c r="CH2420" s="160"/>
      <c r="CI2420" s="160"/>
      <c r="CJ2420" s="160"/>
      <c r="CK2420" s="160"/>
      <c r="CL2420" s="160"/>
      <c r="CM2420" s="160"/>
      <c r="CN2420" s="160"/>
      <c r="CO2420" s="160"/>
      <c r="CP2420" s="162"/>
      <c r="CQ2420" s="163"/>
      <c r="CR2420" s="162"/>
      <c r="CS2420" s="163"/>
      <c r="CT2420" s="162"/>
      <c r="CU2420" s="163"/>
      <c r="CV2420" s="164">
        <f t="shared" si="296"/>
        <v>0</v>
      </c>
      <c r="CW2420" s="165"/>
      <c r="CX2420" s="166"/>
      <c r="CY2420" s="167"/>
      <c r="CZ2420" s="168"/>
      <c r="DA2420" s="169"/>
      <c r="DB2420" s="168"/>
      <c r="DC2420" s="165"/>
      <c r="DD2420" s="166"/>
      <c r="DE2420" s="71"/>
      <c r="DF2420" s="170"/>
      <c r="EO2420" s="375" t="str">
        <f t="shared" si="292"/>
        <v>BOYACA_TUNUNGUA</v>
      </c>
      <c r="EP2420" s="376"/>
      <c r="EQ2420" s="376"/>
      <c r="ER2420" s="377"/>
      <c r="ES2420" s="376"/>
      <c r="ET2420" s="376"/>
      <c r="EU2420" s="376"/>
    </row>
    <row r="2421" spans="1:151" s="171" customFormat="1" ht="36" x14ac:dyDescent="0.2">
      <c r="A2421" s="242">
        <v>40543</v>
      </c>
      <c r="B2421" s="222" t="s">
        <v>828</v>
      </c>
      <c r="C2421" s="222" t="s">
        <v>4138</v>
      </c>
      <c r="D2421" s="430" t="s">
        <v>837</v>
      </c>
      <c r="E2421" s="107" t="str">
        <f>VLOOKUP(B2421&amp;C2421,Divipola!$C$2:$F$1138,4,FALSE)</f>
        <v>15325</v>
      </c>
      <c r="F2421" s="333"/>
      <c r="G2421" s="221"/>
      <c r="H2421" s="157"/>
      <c r="I2421" s="157"/>
      <c r="J2421" s="157">
        <f>45*5</f>
        <v>225</v>
      </c>
      <c r="K2421" s="157">
        <v>45</v>
      </c>
      <c r="L2421" s="157"/>
      <c r="M2421" s="157"/>
      <c r="N2421" s="157"/>
      <c r="O2421" s="157"/>
      <c r="P2421" s="157"/>
      <c r="Q2421" s="157"/>
      <c r="R2421" s="157"/>
      <c r="S2421" s="157"/>
      <c r="T2421" s="157"/>
      <c r="U2421" s="157"/>
      <c r="V2421" s="158"/>
      <c r="W2421" s="182"/>
      <c r="X2421" s="1"/>
      <c r="Y2421" s="78">
        <f t="shared" si="293"/>
        <v>0</v>
      </c>
      <c r="Z2421" s="78">
        <f t="shared" si="294"/>
        <v>0</v>
      </c>
      <c r="AA2421" s="78">
        <f t="shared" ref="AA2421:AA2447" si="298">DB2421+DD2421</f>
        <v>0</v>
      </c>
      <c r="AB2421" s="78">
        <f t="shared" si="295"/>
        <v>0</v>
      </c>
      <c r="AC2421" s="78"/>
      <c r="AD2421" s="78">
        <v>0</v>
      </c>
      <c r="AE2421" s="80">
        <f t="shared" si="297"/>
        <v>0</v>
      </c>
      <c r="AF2421" s="82">
        <v>0</v>
      </c>
      <c r="AG2421" s="69">
        <v>40637</v>
      </c>
      <c r="AH2421" s="84"/>
      <c r="AI2421" s="69" t="s">
        <v>1984</v>
      </c>
      <c r="AJ2421" s="25" t="s">
        <v>1985</v>
      </c>
      <c r="AK2421" s="65"/>
      <c r="AL2421" s="176" t="s">
        <v>1257</v>
      </c>
      <c r="AM2421" s="177" t="s">
        <v>3781</v>
      </c>
      <c r="AN2421" s="159"/>
      <c r="AO2421" s="160"/>
      <c r="AP2421" s="161"/>
      <c r="AQ2421" s="160"/>
      <c r="AR2421" s="160"/>
      <c r="AS2421" s="160"/>
      <c r="AT2421" s="160"/>
      <c r="AU2421" s="160"/>
      <c r="AV2421" s="160"/>
      <c r="AW2421" s="160"/>
      <c r="AX2421" s="160"/>
      <c r="AY2421" s="160"/>
      <c r="AZ2421" s="160"/>
      <c r="BA2421" s="160"/>
      <c r="BB2421" s="160"/>
      <c r="BC2421" s="160"/>
      <c r="BD2421" s="160"/>
      <c r="BE2421" s="160"/>
      <c r="BF2421" s="160"/>
      <c r="BG2421" s="160"/>
      <c r="BH2421" s="160"/>
      <c r="BI2421" s="160"/>
      <c r="BJ2421" s="160"/>
      <c r="BK2421" s="160"/>
      <c r="BL2421" s="160"/>
      <c r="BM2421" s="160"/>
      <c r="BN2421" s="160"/>
      <c r="BO2421" s="160"/>
      <c r="BP2421" s="160"/>
      <c r="BQ2421" s="160"/>
      <c r="BR2421" s="160"/>
      <c r="BS2421" s="160"/>
      <c r="BT2421" s="160"/>
      <c r="BU2421" s="160"/>
      <c r="BV2421" s="160"/>
      <c r="BW2421" s="160"/>
      <c r="BX2421" s="160"/>
      <c r="BY2421" s="160"/>
      <c r="BZ2421" s="160"/>
      <c r="CA2421" s="160"/>
      <c r="CB2421" s="160"/>
      <c r="CC2421" s="160"/>
      <c r="CD2421" s="160"/>
      <c r="CE2421" s="160"/>
      <c r="CF2421" s="160"/>
      <c r="CG2421" s="160"/>
      <c r="CH2421" s="160"/>
      <c r="CI2421" s="160"/>
      <c r="CJ2421" s="160"/>
      <c r="CK2421" s="160"/>
      <c r="CL2421" s="160"/>
      <c r="CM2421" s="160"/>
      <c r="CN2421" s="160"/>
      <c r="CO2421" s="160"/>
      <c r="CP2421" s="162"/>
      <c r="CQ2421" s="163"/>
      <c r="CR2421" s="162"/>
      <c r="CS2421" s="163"/>
      <c r="CT2421" s="162"/>
      <c r="CU2421" s="163"/>
      <c r="CV2421" s="164">
        <f t="shared" si="296"/>
        <v>0</v>
      </c>
      <c r="CW2421" s="165"/>
      <c r="CX2421" s="166"/>
      <c r="CY2421" s="167"/>
      <c r="CZ2421" s="168"/>
      <c r="DA2421" s="169"/>
      <c r="DB2421" s="168"/>
      <c r="DC2421" s="165"/>
      <c r="DD2421" s="166"/>
      <c r="DE2421" s="71"/>
      <c r="DF2421" s="170"/>
      <c r="EO2421" s="375" t="str">
        <f t="shared" si="292"/>
        <v>BOYACA_GUAYATA</v>
      </c>
      <c r="EP2421" s="376"/>
      <c r="EQ2421" s="376"/>
      <c r="ER2421" s="377"/>
      <c r="ES2421" s="376"/>
      <c r="ET2421" s="376"/>
      <c r="EU2421" s="376"/>
    </row>
    <row r="2422" spans="1:151" s="171" customFormat="1" ht="38.25" x14ac:dyDescent="0.2">
      <c r="A2422" s="242">
        <v>40543</v>
      </c>
      <c r="B2422" s="222" t="s">
        <v>828</v>
      </c>
      <c r="C2422" s="222" t="s">
        <v>4193</v>
      </c>
      <c r="D2422" s="430" t="s">
        <v>837</v>
      </c>
      <c r="E2422" s="107" t="str">
        <f>VLOOKUP(B2422&amp;C2422,Divipola!$C$2:$F$1138,4,FALSE)</f>
        <v>15761</v>
      </c>
      <c r="F2422" s="333"/>
      <c r="G2422" s="221"/>
      <c r="H2422" s="157"/>
      <c r="I2422" s="157"/>
      <c r="J2422" s="157">
        <v>40</v>
      </c>
      <c r="K2422" s="157">
        <v>8</v>
      </c>
      <c r="L2422" s="157"/>
      <c r="M2422" s="157"/>
      <c r="N2422" s="157"/>
      <c r="O2422" s="157"/>
      <c r="P2422" s="157"/>
      <c r="Q2422" s="157"/>
      <c r="R2422" s="157"/>
      <c r="S2422" s="157"/>
      <c r="T2422" s="157"/>
      <c r="U2422" s="157"/>
      <c r="V2422" s="158"/>
      <c r="W2422" s="182"/>
      <c r="X2422" s="1"/>
      <c r="Y2422" s="78">
        <f t="shared" si="293"/>
        <v>0</v>
      </c>
      <c r="Z2422" s="78">
        <f t="shared" si="294"/>
        <v>0</v>
      </c>
      <c r="AA2422" s="78">
        <f t="shared" si="298"/>
        <v>0</v>
      </c>
      <c r="AB2422" s="78">
        <f t="shared" si="295"/>
        <v>0</v>
      </c>
      <c r="AC2422" s="78"/>
      <c r="AD2422" s="78">
        <v>0</v>
      </c>
      <c r="AE2422" s="80">
        <f t="shared" si="297"/>
        <v>0</v>
      </c>
      <c r="AF2422" s="82">
        <v>0</v>
      </c>
      <c r="AG2422" s="69">
        <v>40637</v>
      </c>
      <c r="AH2422" s="84"/>
      <c r="AI2422" s="69" t="s">
        <v>1984</v>
      </c>
      <c r="AJ2422" s="25" t="s">
        <v>1985</v>
      </c>
      <c r="AK2422" s="65"/>
      <c r="AL2422" s="176" t="s">
        <v>1257</v>
      </c>
      <c r="AM2422" s="177" t="s">
        <v>3781</v>
      </c>
      <c r="AN2422" s="159"/>
      <c r="AO2422" s="160"/>
      <c r="AP2422" s="161"/>
      <c r="AQ2422" s="160"/>
      <c r="AR2422" s="160"/>
      <c r="AS2422" s="160"/>
      <c r="AT2422" s="160"/>
      <c r="AU2422" s="160"/>
      <c r="AV2422" s="160"/>
      <c r="AW2422" s="160"/>
      <c r="AX2422" s="160"/>
      <c r="AY2422" s="160"/>
      <c r="AZ2422" s="160"/>
      <c r="BA2422" s="160"/>
      <c r="BB2422" s="160"/>
      <c r="BC2422" s="160"/>
      <c r="BD2422" s="160"/>
      <c r="BE2422" s="160"/>
      <c r="BF2422" s="160"/>
      <c r="BG2422" s="160"/>
      <c r="BH2422" s="160"/>
      <c r="BI2422" s="160"/>
      <c r="BJ2422" s="160"/>
      <c r="BK2422" s="160"/>
      <c r="BL2422" s="160"/>
      <c r="BM2422" s="160"/>
      <c r="BN2422" s="160"/>
      <c r="BO2422" s="160"/>
      <c r="BP2422" s="160"/>
      <c r="BQ2422" s="160"/>
      <c r="BR2422" s="160"/>
      <c r="BS2422" s="160"/>
      <c r="BT2422" s="160"/>
      <c r="BU2422" s="160"/>
      <c r="BV2422" s="160"/>
      <c r="BW2422" s="160"/>
      <c r="BX2422" s="160"/>
      <c r="BY2422" s="160"/>
      <c r="BZ2422" s="160"/>
      <c r="CA2422" s="160"/>
      <c r="CB2422" s="160"/>
      <c r="CC2422" s="160"/>
      <c r="CD2422" s="160"/>
      <c r="CE2422" s="160"/>
      <c r="CF2422" s="160"/>
      <c r="CG2422" s="160"/>
      <c r="CH2422" s="160"/>
      <c r="CI2422" s="160"/>
      <c r="CJ2422" s="160"/>
      <c r="CK2422" s="160"/>
      <c r="CL2422" s="160"/>
      <c r="CM2422" s="160"/>
      <c r="CN2422" s="160"/>
      <c r="CO2422" s="160"/>
      <c r="CP2422" s="162"/>
      <c r="CQ2422" s="163"/>
      <c r="CR2422" s="162"/>
      <c r="CS2422" s="163"/>
      <c r="CT2422" s="162"/>
      <c r="CU2422" s="163"/>
      <c r="CV2422" s="164">
        <f t="shared" si="296"/>
        <v>0</v>
      </c>
      <c r="CW2422" s="165"/>
      <c r="CX2422" s="166"/>
      <c r="CY2422" s="167"/>
      <c r="CZ2422" s="168"/>
      <c r="DA2422" s="169"/>
      <c r="DB2422" s="168"/>
      <c r="DC2422" s="165"/>
      <c r="DD2422" s="166"/>
      <c r="DE2422" s="71"/>
      <c r="DF2422" s="170"/>
      <c r="EO2422" s="375" t="str">
        <f t="shared" si="292"/>
        <v>BOYACA_SOMONDOCO</v>
      </c>
      <c r="EP2422" s="376"/>
      <c r="EQ2422" s="376"/>
      <c r="ER2422" s="377"/>
      <c r="ES2422" s="376"/>
      <c r="ET2422" s="376"/>
      <c r="EU2422" s="376"/>
    </row>
    <row r="2423" spans="1:151" s="171" customFormat="1" ht="72" x14ac:dyDescent="0.2">
      <c r="A2423" s="242">
        <v>40543</v>
      </c>
      <c r="B2423" s="222" t="s">
        <v>828</v>
      </c>
      <c r="C2423" s="222" t="s">
        <v>4149</v>
      </c>
      <c r="D2423" s="430" t="s">
        <v>837</v>
      </c>
      <c r="E2423" s="107" t="str">
        <f>VLOOKUP(B2423&amp;C2423,Divipola!$C$2:$F$1138,4,FALSE)</f>
        <v>15425</v>
      </c>
      <c r="F2423" s="333"/>
      <c r="G2423" s="221"/>
      <c r="H2423" s="157"/>
      <c r="I2423" s="157"/>
      <c r="J2423" s="157">
        <v>15</v>
      </c>
      <c r="K2423" s="157">
        <v>3</v>
      </c>
      <c r="L2423" s="157"/>
      <c r="M2423" s="157"/>
      <c r="N2423" s="157"/>
      <c r="O2423" s="157"/>
      <c r="P2423" s="157"/>
      <c r="Q2423" s="157"/>
      <c r="R2423" s="157"/>
      <c r="S2423" s="157"/>
      <c r="T2423" s="157"/>
      <c r="U2423" s="157"/>
      <c r="V2423" s="158"/>
      <c r="W2423" s="182"/>
      <c r="X2423" s="1"/>
      <c r="Y2423" s="78">
        <f t="shared" si="293"/>
        <v>0</v>
      </c>
      <c r="Z2423" s="78">
        <f t="shared" si="294"/>
        <v>0</v>
      </c>
      <c r="AA2423" s="78">
        <f t="shared" si="298"/>
        <v>0</v>
      </c>
      <c r="AB2423" s="78">
        <f t="shared" si="295"/>
        <v>0</v>
      </c>
      <c r="AC2423" s="78"/>
      <c r="AD2423" s="78">
        <v>0</v>
      </c>
      <c r="AE2423" s="80">
        <f t="shared" si="297"/>
        <v>0</v>
      </c>
      <c r="AF2423" s="82">
        <v>0</v>
      </c>
      <c r="AG2423" s="69">
        <v>40637</v>
      </c>
      <c r="AH2423" s="84"/>
      <c r="AI2423" s="69" t="s">
        <v>1984</v>
      </c>
      <c r="AJ2423" s="25" t="s">
        <v>1985</v>
      </c>
      <c r="AK2423" s="65"/>
      <c r="AL2423" s="176" t="s">
        <v>1257</v>
      </c>
      <c r="AM2423" s="177" t="s">
        <v>6304</v>
      </c>
      <c r="AN2423" s="159"/>
      <c r="AO2423" s="160"/>
      <c r="AP2423" s="161"/>
      <c r="AQ2423" s="160"/>
      <c r="AR2423" s="160"/>
      <c r="AS2423" s="160"/>
      <c r="AT2423" s="160"/>
      <c r="AU2423" s="160"/>
      <c r="AV2423" s="160"/>
      <c r="AW2423" s="160"/>
      <c r="AX2423" s="160"/>
      <c r="AY2423" s="160"/>
      <c r="AZ2423" s="160"/>
      <c r="BA2423" s="160"/>
      <c r="BB2423" s="160"/>
      <c r="BC2423" s="160"/>
      <c r="BD2423" s="160"/>
      <c r="BE2423" s="160"/>
      <c r="BF2423" s="160"/>
      <c r="BG2423" s="160"/>
      <c r="BH2423" s="160"/>
      <c r="BI2423" s="160"/>
      <c r="BJ2423" s="160"/>
      <c r="BK2423" s="160"/>
      <c r="BL2423" s="160"/>
      <c r="BM2423" s="160"/>
      <c r="BN2423" s="160"/>
      <c r="BO2423" s="160"/>
      <c r="BP2423" s="160"/>
      <c r="BQ2423" s="160"/>
      <c r="BR2423" s="160"/>
      <c r="BS2423" s="160"/>
      <c r="BT2423" s="160"/>
      <c r="BU2423" s="160"/>
      <c r="BV2423" s="160"/>
      <c r="BW2423" s="160"/>
      <c r="BX2423" s="160"/>
      <c r="BY2423" s="160"/>
      <c r="BZ2423" s="160"/>
      <c r="CA2423" s="160"/>
      <c r="CB2423" s="160"/>
      <c r="CC2423" s="160"/>
      <c r="CD2423" s="160"/>
      <c r="CE2423" s="160"/>
      <c r="CF2423" s="160"/>
      <c r="CG2423" s="160"/>
      <c r="CH2423" s="160"/>
      <c r="CI2423" s="160"/>
      <c r="CJ2423" s="160"/>
      <c r="CK2423" s="160"/>
      <c r="CL2423" s="160"/>
      <c r="CM2423" s="160"/>
      <c r="CN2423" s="160"/>
      <c r="CO2423" s="160"/>
      <c r="CP2423" s="162"/>
      <c r="CQ2423" s="163"/>
      <c r="CR2423" s="162"/>
      <c r="CS2423" s="163"/>
      <c r="CT2423" s="162"/>
      <c r="CU2423" s="163"/>
      <c r="CV2423" s="164">
        <f t="shared" si="296"/>
        <v>0</v>
      </c>
      <c r="CW2423" s="165"/>
      <c r="CX2423" s="166"/>
      <c r="CY2423" s="167"/>
      <c r="CZ2423" s="168"/>
      <c r="DA2423" s="169"/>
      <c r="DB2423" s="168"/>
      <c r="DC2423" s="165"/>
      <c r="DD2423" s="166"/>
      <c r="DE2423" s="71"/>
      <c r="DF2423" s="170"/>
      <c r="EO2423" s="375" t="str">
        <f t="shared" si="292"/>
        <v>BOYACA_MACANAL</v>
      </c>
      <c r="EP2423" s="376"/>
      <c r="EQ2423" s="376"/>
      <c r="ER2423" s="377"/>
      <c r="ES2423" s="376"/>
      <c r="ET2423" s="376"/>
      <c r="EU2423" s="376"/>
    </row>
    <row r="2424" spans="1:151" s="171" customFormat="1" ht="36" x14ac:dyDescent="0.2">
      <c r="A2424" s="242">
        <v>40543</v>
      </c>
      <c r="B2424" s="222" t="s">
        <v>828</v>
      </c>
      <c r="C2424" s="222" t="s">
        <v>4094</v>
      </c>
      <c r="D2424" s="430" t="s">
        <v>837</v>
      </c>
      <c r="E2424" s="107" t="str">
        <f>VLOOKUP(B2424&amp;C2424,Divipola!$C$2:$F$1138,4,FALSE)</f>
        <v>15022</v>
      </c>
      <c r="F2424" s="333"/>
      <c r="G2424" s="221"/>
      <c r="H2424" s="157"/>
      <c r="I2424" s="157"/>
      <c r="J2424" s="157">
        <v>10</v>
      </c>
      <c r="K2424" s="157">
        <v>2</v>
      </c>
      <c r="L2424" s="157"/>
      <c r="M2424" s="157"/>
      <c r="N2424" s="157"/>
      <c r="O2424" s="157"/>
      <c r="P2424" s="157"/>
      <c r="Q2424" s="157"/>
      <c r="R2424" s="157"/>
      <c r="S2424" s="157"/>
      <c r="T2424" s="157"/>
      <c r="U2424" s="157"/>
      <c r="V2424" s="158"/>
      <c r="W2424" s="182"/>
      <c r="X2424" s="1"/>
      <c r="Y2424" s="78">
        <f t="shared" si="293"/>
        <v>0</v>
      </c>
      <c r="Z2424" s="78">
        <f t="shared" si="294"/>
        <v>0</v>
      </c>
      <c r="AA2424" s="78">
        <f t="shared" si="298"/>
        <v>0</v>
      </c>
      <c r="AB2424" s="78">
        <f t="shared" si="295"/>
        <v>0</v>
      </c>
      <c r="AC2424" s="78"/>
      <c r="AD2424" s="78">
        <v>0</v>
      </c>
      <c r="AE2424" s="80">
        <f t="shared" si="297"/>
        <v>0</v>
      </c>
      <c r="AF2424" s="82">
        <v>0</v>
      </c>
      <c r="AG2424" s="69">
        <v>40637</v>
      </c>
      <c r="AH2424" s="84"/>
      <c r="AI2424" s="69" t="s">
        <v>1984</v>
      </c>
      <c r="AJ2424" s="25" t="s">
        <v>1985</v>
      </c>
      <c r="AK2424" s="65"/>
      <c r="AL2424" s="176" t="s">
        <v>1257</v>
      </c>
      <c r="AM2424" s="177" t="s">
        <v>3781</v>
      </c>
      <c r="AN2424" s="159"/>
      <c r="AO2424" s="160"/>
      <c r="AP2424" s="161"/>
      <c r="AQ2424" s="160"/>
      <c r="AR2424" s="160"/>
      <c r="AS2424" s="160"/>
      <c r="AT2424" s="160"/>
      <c r="AU2424" s="160"/>
      <c r="AV2424" s="160"/>
      <c r="AW2424" s="160"/>
      <c r="AX2424" s="160"/>
      <c r="AY2424" s="160"/>
      <c r="AZ2424" s="160"/>
      <c r="BA2424" s="160"/>
      <c r="BB2424" s="160"/>
      <c r="BC2424" s="160"/>
      <c r="BD2424" s="160"/>
      <c r="BE2424" s="160"/>
      <c r="BF2424" s="160"/>
      <c r="BG2424" s="160"/>
      <c r="BH2424" s="160"/>
      <c r="BI2424" s="160"/>
      <c r="BJ2424" s="160"/>
      <c r="BK2424" s="160"/>
      <c r="BL2424" s="160"/>
      <c r="BM2424" s="160"/>
      <c r="BN2424" s="160"/>
      <c r="BO2424" s="160"/>
      <c r="BP2424" s="160"/>
      <c r="BQ2424" s="160"/>
      <c r="BR2424" s="160"/>
      <c r="BS2424" s="160"/>
      <c r="BT2424" s="160"/>
      <c r="BU2424" s="160"/>
      <c r="BV2424" s="160"/>
      <c r="BW2424" s="160"/>
      <c r="BX2424" s="160"/>
      <c r="BY2424" s="160"/>
      <c r="BZ2424" s="160"/>
      <c r="CA2424" s="160"/>
      <c r="CB2424" s="160"/>
      <c r="CC2424" s="160"/>
      <c r="CD2424" s="160"/>
      <c r="CE2424" s="160"/>
      <c r="CF2424" s="160"/>
      <c r="CG2424" s="160"/>
      <c r="CH2424" s="160"/>
      <c r="CI2424" s="160"/>
      <c r="CJ2424" s="160"/>
      <c r="CK2424" s="160"/>
      <c r="CL2424" s="160"/>
      <c r="CM2424" s="160"/>
      <c r="CN2424" s="160"/>
      <c r="CO2424" s="160"/>
      <c r="CP2424" s="162"/>
      <c r="CQ2424" s="163"/>
      <c r="CR2424" s="162"/>
      <c r="CS2424" s="163"/>
      <c r="CT2424" s="162"/>
      <c r="CU2424" s="163"/>
      <c r="CV2424" s="164">
        <f t="shared" si="296"/>
        <v>0</v>
      </c>
      <c r="CW2424" s="165"/>
      <c r="CX2424" s="166"/>
      <c r="CY2424" s="167"/>
      <c r="CZ2424" s="168"/>
      <c r="DA2424" s="169"/>
      <c r="DB2424" s="168"/>
      <c r="DC2424" s="165"/>
      <c r="DD2424" s="166"/>
      <c r="DE2424" s="71"/>
      <c r="DF2424" s="170"/>
      <c r="EO2424" s="375" t="str">
        <f t="shared" si="292"/>
        <v>BOYACA_ALMEIDA</v>
      </c>
      <c r="EP2424" s="376"/>
      <c r="EQ2424" s="376"/>
      <c r="ER2424" s="377"/>
      <c r="ES2424" s="376"/>
      <c r="ET2424" s="376"/>
      <c r="EU2424" s="376"/>
    </row>
    <row r="2425" spans="1:151" s="171" customFormat="1" ht="38.25" x14ac:dyDescent="0.2">
      <c r="A2425" s="242">
        <v>40543</v>
      </c>
      <c r="B2425" s="222" t="s">
        <v>2007</v>
      </c>
      <c r="C2425" s="222" t="s">
        <v>4321</v>
      </c>
      <c r="D2425" s="430" t="s">
        <v>837</v>
      </c>
      <c r="E2425" s="107" t="str">
        <f>VLOOKUP(B2425&amp;C2425,Divipola!$C$2:$F$1138,4,FALSE)</f>
        <v>25123</v>
      </c>
      <c r="F2425" s="333"/>
      <c r="G2425" s="221"/>
      <c r="H2425" s="157"/>
      <c r="I2425" s="157"/>
      <c r="J2425" s="157">
        <v>287</v>
      </c>
      <c r="K2425" s="157">
        <v>74</v>
      </c>
      <c r="L2425" s="157"/>
      <c r="M2425" s="157">
        <v>74</v>
      </c>
      <c r="N2425" s="157"/>
      <c r="O2425" s="157"/>
      <c r="P2425" s="157"/>
      <c r="Q2425" s="157"/>
      <c r="R2425" s="157"/>
      <c r="S2425" s="157"/>
      <c r="T2425" s="157"/>
      <c r="U2425" s="157"/>
      <c r="V2425" s="158"/>
      <c r="W2425" s="182"/>
      <c r="X2425" s="1"/>
      <c r="Y2425" s="78">
        <f t="shared" si="293"/>
        <v>0</v>
      </c>
      <c r="Z2425" s="78">
        <f t="shared" si="294"/>
        <v>0</v>
      </c>
      <c r="AA2425" s="78">
        <f t="shared" si="298"/>
        <v>0</v>
      </c>
      <c r="AB2425" s="78">
        <f t="shared" si="295"/>
        <v>0</v>
      </c>
      <c r="AC2425" s="78"/>
      <c r="AD2425" s="78">
        <v>0</v>
      </c>
      <c r="AE2425" s="80">
        <f t="shared" si="297"/>
        <v>0</v>
      </c>
      <c r="AF2425" s="82">
        <v>0</v>
      </c>
      <c r="AG2425" s="69">
        <v>40637</v>
      </c>
      <c r="AH2425" s="84"/>
      <c r="AI2425" s="69" t="s">
        <v>1984</v>
      </c>
      <c r="AJ2425" s="25" t="s">
        <v>1985</v>
      </c>
      <c r="AK2425" s="65"/>
      <c r="AL2425" s="176" t="s">
        <v>1257</v>
      </c>
      <c r="AM2425" s="177" t="s">
        <v>3781</v>
      </c>
      <c r="AN2425" s="159"/>
      <c r="AO2425" s="160"/>
      <c r="AP2425" s="161"/>
      <c r="AQ2425" s="160"/>
      <c r="AR2425" s="160"/>
      <c r="AS2425" s="160"/>
      <c r="AT2425" s="160"/>
      <c r="AU2425" s="160"/>
      <c r="AV2425" s="160"/>
      <c r="AW2425" s="160"/>
      <c r="AX2425" s="160"/>
      <c r="AY2425" s="160"/>
      <c r="AZ2425" s="160"/>
      <c r="BA2425" s="160"/>
      <c r="BB2425" s="160"/>
      <c r="BC2425" s="160"/>
      <c r="BD2425" s="160"/>
      <c r="BE2425" s="160"/>
      <c r="BF2425" s="160"/>
      <c r="BG2425" s="160"/>
      <c r="BH2425" s="160"/>
      <c r="BI2425" s="160"/>
      <c r="BJ2425" s="160"/>
      <c r="BK2425" s="160"/>
      <c r="BL2425" s="160"/>
      <c r="BM2425" s="160"/>
      <c r="BN2425" s="160"/>
      <c r="BO2425" s="160"/>
      <c r="BP2425" s="160"/>
      <c r="BQ2425" s="160"/>
      <c r="BR2425" s="160"/>
      <c r="BS2425" s="160"/>
      <c r="BT2425" s="160"/>
      <c r="BU2425" s="160"/>
      <c r="BV2425" s="160"/>
      <c r="BW2425" s="160"/>
      <c r="BX2425" s="160"/>
      <c r="BY2425" s="160"/>
      <c r="BZ2425" s="160"/>
      <c r="CA2425" s="160"/>
      <c r="CB2425" s="160"/>
      <c r="CC2425" s="160"/>
      <c r="CD2425" s="160"/>
      <c r="CE2425" s="160"/>
      <c r="CF2425" s="160"/>
      <c r="CG2425" s="160"/>
      <c r="CH2425" s="160"/>
      <c r="CI2425" s="160"/>
      <c r="CJ2425" s="160"/>
      <c r="CK2425" s="160"/>
      <c r="CL2425" s="160"/>
      <c r="CM2425" s="160"/>
      <c r="CN2425" s="160"/>
      <c r="CO2425" s="160"/>
      <c r="CP2425" s="162"/>
      <c r="CQ2425" s="163"/>
      <c r="CR2425" s="162"/>
      <c r="CS2425" s="163"/>
      <c r="CT2425" s="162"/>
      <c r="CU2425" s="163"/>
      <c r="CV2425" s="164">
        <f t="shared" si="296"/>
        <v>0</v>
      </c>
      <c r="CW2425" s="165"/>
      <c r="CX2425" s="166"/>
      <c r="CY2425" s="167"/>
      <c r="CZ2425" s="168"/>
      <c r="DA2425" s="169"/>
      <c r="DB2425" s="168"/>
      <c r="DC2425" s="165"/>
      <c r="DD2425" s="166"/>
      <c r="DE2425" s="71"/>
      <c r="DF2425" s="170"/>
      <c r="EO2425" s="375" t="str">
        <f t="shared" si="292"/>
        <v>CUNDINAMARCA_CACHIPAY</v>
      </c>
      <c r="EP2425" s="376"/>
      <c r="EQ2425" s="376"/>
      <c r="ER2425" s="377"/>
      <c r="ES2425" s="376"/>
      <c r="ET2425" s="376"/>
      <c r="EU2425" s="376"/>
    </row>
    <row r="2426" spans="1:151" s="171" customFormat="1" ht="38.25" x14ac:dyDescent="0.2">
      <c r="A2426" s="242">
        <v>40543</v>
      </c>
      <c r="B2426" s="222" t="s">
        <v>2007</v>
      </c>
      <c r="C2426" s="222" t="s">
        <v>2382</v>
      </c>
      <c r="D2426" s="430" t="s">
        <v>837</v>
      </c>
      <c r="E2426" s="107" t="str">
        <f>VLOOKUP(B2426&amp;C2426,Divipola!$C$2:$F$1138,4,FALSE)</f>
        <v>25293</v>
      </c>
      <c r="F2426" s="333"/>
      <c r="G2426" s="221"/>
      <c r="H2426" s="157"/>
      <c r="I2426" s="157"/>
      <c r="J2426" s="157">
        <v>10</v>
      </c>
      <c r="K2426" s="157">
        <v>2</v>
      </c>
      <c r="L2426" s="157"/>
      <c r="M2426" s="157"/>
      <c r="N2426" s="157"/>
      <c r="O2426" s="157"/>
      <c r="P2426" s="157"/>
      <c r="Q2426" s="157"/>
      <c r="R2426" s="157"/>
      <c r="S2426" s="157"/>
      <c r="T2426" s="157"/>
      <c r="U2426" s="157"/>
      <c r="V2426" s="158"/>
      <c r="W2426" s="182"/>
      <c r="X2426" s="1"/>
      <c r="Y2426" s="78">
        <f t="shared" si="293"/>
        <v>0</v>
      </c>
      <c r="Z2426" s="78">
        <f t="shared" si="294"/>
        <v>0</v>
      </c>
      <c r="AA2426" s="78">
        <f t="shared" si="298"/>
        <v>0</v>
      </c>
      <c r="AB2426" s="78">
        <f t="shared" si="295"/>
        <v>0</v>
      </c>
      <c r="AC2426" s="78"/>
      <c r="AD2426" s="78">
        <v>0</v>
      </c>
      <c r="AE2426" s="80">
        <f t="shared" si="297"/>
        <v>0</v>
      </c>
      <c r="AF2426" s="82">
        <v>0</v>
      </c>
      <c r="AG2426" s="69">
        <v>40637</v>
      </c>
      <c r="AH2426" s="84"/>
      <c r="AI2426" s="69" t="s">
        <v>1984</v>
      </c>
      <c r="AJ2426" s="25" t="s">
        <v>1985</v>
      </c>
      <c r="AK2426" s="65"/>
      <c r="AL2426" s="176" t="s">
        <v>1257</v>
      </c>
      <c r="AM2426" s="177" t="s">
        <v>3781</v>
      </c>
      <c r="AN2426" s="159"/>
      <c r="AO2426" s="160"/>
      <c r="AP2426" s="161"/>
      <c r="AQ2426" s="160"/>
      <c r="AR2426" s="160"/>
      <c r="AS2426" s="160"/>
      <c r="AT2426" s="160"/>
      <c r="AU2426" s="160"/>
      <c r="AV2426" s="160"/>
      <c r="AW2426" s="160"/>
      <c r="AX2426" s="160"/>
      <c r="AY2426" s="160"/>
      <c r="AZ2426" s="160"/>
      <c r="BA2426" s="160"/>
      <c r="BB2426" s="160"/>
      <c r="BC2426" s="160"/>
      <c r="BD2426" s="160"/>
      <c r="BE2426" s="160"/>
      <c r="BF2426" s="160"/>
      <c r="BG2426" s="160"/>
      <c r="BH2426" s="160"/>
      <c r="BI2426" s="160"/>
      <c r="BJ2426" s="160"/>
      <c r="BK2426" s="160"/>
      <c r="BL2426" s="160"/>
      <c r="BM2426" s="160"/>
      <c r="BN2426" s="160"/>
      <c r="BO2426" s="160"/>
      <c r="BP2426" s="160"/>
      <c r="BQ2426" s="160"/>
      <c r="BR2426" s="160"/>
      <c r="BS2426" s="160"/>
      <c r="BT2426" s="160"/>
      <c r="BU2426" s="160"/>
      <c r="BV2426" s="160"/>
      <c r="BW2426" s="160"/>
      <c r="BX2426" s="160"/>
      <c r="BY2426" s="160"/>
      <c r="BZ2426" s="160"/>
      <c r="CA2426" s="160"/>
      <c r="CB2426" s="160"/>
      <c r="CC2426" s="160"/>
      <c r="CD2426" s="160"/>
      <c r="CE2426" s="160"/>
      <c r="CF2426" s="160"/>
      <c r="CG2426" s="160"/>
      <c r="CH2426" s="160"/>
      <c r="CI2426" s="160"/>
      <c r="CJ2426" s="160"/>
      <c r="CK2426" s="160"/>
      <c r="CL2426" s="160"/>
      <c r="CM2426" s="160"/>
      <c r="CN2426" s="160"/>
      <c r="CO2426" s="160"/>
      <c r="CP2426" s="162"/>
      <c r="CQ2426" s="163"/>
      <c r="CR2426" s="162"/>
      <c r="CS2426" s="163"/>
      <c r="CT2426" s="162"/>
      <c r="CU2426" s="163"/>
      <c r="CV2426" s="164">
        <f t="shared" si="296"/>
        <v>0</v>
      </c>
      <c r="CW2426" s="165"/>
      <c r="CX2426" s="166"/>
      <c r="CY2426" s="167"/>
      <c r="CZ2426" s="168"/>
      <c r="DA2426" s="169"/>
      <c r="DB2426" s="168"/>
      <c r="DC2426" s="165"/>
      <c r="DD2426" s="166"/>
      <c r="DE2426" s="71"/>
      <c r="DF2426" s="170"/>
      <c r="EO2426" s="375" t="str">
        <f t="shared" si="292"/>
        <v>CUNDINAMARCA_GACHALA</v>
      </c>
      <c r="EP2426" s="376"/>
      <c r="EQ2426" s="376"/>
      <c r="ER2426" s="377"/>
      <c r="ES2426" s="376"/>
      <c r="ET2426" s="376"/>
      <c r="EU2426" s="376"/>
    </row>
    <row r="2427" spans="1:151" s="171" customFormat="1" ht="38.25" x14ac:dyDescent="0.2">
      <c r="A2427" s="242">
        <v>40543</v>
      </c>
      <c r="B2427" s="222" t="s">
        <v>2007</v>
      </c>
      <c r="C2427" s="222" t="s">
        <v>4342</v>
      </c>
      <c r="D2427" s="430" t="s">
        <v>837</v>
      </c>
      <c r="E2427" s="107" t="str">
        <f>VLOOKUP(B2427&amp;C2427,Divipola!$C$2:$F$1138,4,FALSE)</f>
        <v>25299</v>
      </c>
      <c r="F2427" s="333"/>
      <c r="G2427" s="221"/>
      <c r="H2427" s="157"/>
      <c r="I2427" s="157"/>
      <c r="J2427" s="157">
        <f>51*5</f>
        <v>255</v>
      </c>
      <c r="K2427" s="157">
        <v>51</v>
      </c>
      <c r="L2427" s="157"/>
      <c r="M2427" s="157"/>
      <c r="N2427" s="157"/>
      <c r="O2427" s="157"/>
      <c r="P2427" s="157"/>
      <c r="Q2427" s="157"/>
      <c r="R2427" s="157"/>
      <c r="S2427" s="157"/>
      <c r="T2427" s="157"/>
      <c r="U2427" s="157"/>
      <c r="V2427" s="158"/>
      <c r="W2427" s="182"/>
      <c r="X2427" s="1"/>
      <c r="Y2427" s="78">
        <f t="shared" si="293"/>
        <v>0</v>
      </c>
      <c r="Z2427" s="78">
        <f t="shared" si="294"/>
        <v>0</v>
      </c>
      <c r="AA2427" s="78">
        <f t="shared" si="298"/>
        <v>0</v>
      </c>
      <c r="AB2427" s="78">
        <f t="shared" si="295"/>
        <v>0</v>
      </c>
      <c r="AC2427" s="78"/>
      <c r="AD2427" s="78">
        <v>0</v>
      </c>
      <c r="AE2427" s="80">
        <f t="shared" si="297"/>
        <v>0</v>
      </c>
      <c r="AF2427" s="82">
        <v>0</v>
      </c>
      <c r="AG2427" s="69">
        <v>40637</v>
      </c>
      <c r="AH2427" s="84"/>
      <c r="AI2427" s="69" t="s">
        <v>1984</v>
      </c>
      <c r="AJ2427" s="25" t="s">
        <v>1985</v>
      </c>
      <c r="AK2427" s="65"/>
      <c r="AL2427" s="176" t="s">
        <v>1257</v>
      </c>
      <c r="AM2427" s="177" t="s">
        <v>3781</v>
      </c>
      <c r="AN2427" s="159"/>
      <c r="AO2427" s="160"/>
      <c r="AP2427" s="161"/>
      <c r="AQ2427" s="160"/>
      <c r="AR2427" s="160"/>
      <c r="AS2427" s="160"/>
      <c r="AT2427" s="160"/>
      <c r="AU2427" s="160"/>
      <c r="AV2427" s="160"/>
      <c r="AW2427" s="160"/>
      <c r="AX2427" s="160"/>
      <c r="AY2427" s="160"/>
      <c r="AZ2427" s="160"/>
      <c r="BA2427" s="160"/>
      <c r="BB2427" s="160"/>
      <c r="BC2427" s="160"/>
      <c r="BD2427" s="160"/>
      <c r="BE2427" s="160"/>
      <c r="BF2427" s="160"/>
      <c r="BG2427" s="160"/>
      <c r="BH2427" s="160"/>
      <c r="BI2427" s="160"/>
      <c r="BJ2427" s="160"/>
      <c r="BK2427" s="160"/>
      <c r="BL2427" s="160"/>
      <c r="BM2427" s="160"/>
      <c r="BN2427" s="160"/>
      <c r="BO2427" s="160"/>
      <c r="BP2427" s="160"/>
      <c r="BQ2427" s="160"/>
      <c r="BR2427" s="160"/>
      <c r="BS2427" s="160"/>
      <c r="BT2427" s="160"/>
      <c r="BU2427" s="160"/>
      <c r="BV2427" s="160"/>
      <c r="BW2427" s="160"/>
      <c r="BX2427" s="160"/>
      <c r="BY2427" s="160"/>
      <c r="BZ2427" s="160"/>
      <c r="CA2427" s="160"/>
      <c r="CB2427" s="160"/>
      <c r="CC2427" s="160"/>
      <c r="CD2427" s="160"/>
      <c r="CE2427" s="160"/>
      <c r="CF2427" s="160"/>
      <c r="CG2427" s="160"/>
      <c r="CH2427" s="160"/>
      <c r="CI2427" s="160"/>
      <c r="CJ2427" s="160"/>
      <c r="CK2427" s="160"/>
      <c r="CL2427" s="160"/>
      <c r="CM2427" s="160"/>
      <c r="CN2427" s="160"/>
      <c r="CO2427" s="160"/>
      <c r="CP2427" s="162"/>
      <c r="CQ2427" s="163"/>
      <c r="CR2427" s="162"/>
      <c r="CS2427" s="163"/>
      <c r="CT2427" s="162"/>
      <c r="CU2427" s="163"/>
      <c r="CV2427" s="164">
        <f t="shared" si="296"/>
        <v>0</v>
      </c>
      <c r="CW2427" s="165"/>
      <c r="CX2427" s="166"/>
      <c r="CY2427" s="167"/>
      <c r="CZ2427" s="168"/>
      <c r="DA2427" s="169"/>
      <c r="DB2427" s="168"/>
      <c r="DC2427" s="165"/>
      <c r="DD2427" s="166"/>
      <c r="DE2427" s="71"/>
      <c r="DF2427" s="170"/>
      <c r="EO2427" s="375" t="str">
        <f t="shared" si="292"/>
        <v>CUNDINAMARCA_GAMA</v>
      </c>
      <c r="EP2427" s="376"/>
      <c r="EQ2427" s="376"/>
      <c r="ER2427" s="377"/>
      <c r="ES2427" s="376"/>
      <c r="ET2427" s="376"/>
      <c r="EU2427" s="376"/>
    </row>
    <row r="2428" spans="1:151" s="171" customFormat="1" ht="38.25" x14ac:dyDescent="0.2">
      <c r="A2428" s="242">
        <v>40543</v>
      </c>
      <c r="B2428" s="222" t="s">
        <v>2007</v>
      </c>
      <c r="C2428" s="222" t="s">
        <v>4351</v>
      </c>
      <c r="D2428" s="430" t="s">
        <v>837</v>
      </c>
      <c r="E2428" s="107" t="str">
        <f>VLOOKUP(B2428&amp;C2428,Divipola!$C$2:$F$1138,4,FALSE)</f>
        <v>25368</v>
      </c>
      <c r="F2428" s="333"/>
      <c r="G2428" s="221"/>
      <c r="H2428" s="157"/>
      <c r="I2428" s="157"/>
      <c r="J2428" s="157">
        <v>25</v>
      </c>
      <c r="K2428" s="157">
        <v>5</v>
      </c>
      <c r="L2428" s="157"/>
      <c r="M2428" s="157"/>
      <c r="N2428" s="157"/>
      <c r="O2428" s="157"/>
      <c r="P2428" s="157"/>
      <c r="Q2428" s="157"/>
      <c r="R2428" s="157"/>
      <c r="S2428" s="157"/>
      <c r="T2428" s="157"/>
      <c r="U2428" s="157"/>
      <c r="V2428" s="158"/>
      <c r="W2428" s="182"/>
      <c r="X2428" s="1"/>
      <c r="Y2428" s="78">
        <f t="shared" si="293"/>
        <v>0</v>
      </c>
      <c r="Z2428" s="78">
        <f t="shared" si="294"/>
        <v>0</v>
      </c>
      <c r="AA2428" s="78">
        <f t="shared" si="298"/>
        <v>0</v>
      </c>
      <c r="AB2428" s="78">
        <f t="shared" si="295"/>
        <v>0</v>
      </c>
      <c r="AC2428" s="78"/>
      <c r="AD2428" s="78">
        <v>0</v>
      </c>
      <c r="AE2428" s="80">
        <f t="shared" si="297"/>
        <v>0</v>
      </c>
      <c r="AF2428" s="82">
        <v>0</v>
      </c>
      <c r="AG2428" s="69">
        <v>40637</v>
      </c>
      <c r="AH2428" s="84"/>
      <c r="AI2428" s="69" t="s">
        <v>1984</v>
      </c>
      <c r="AJ2428" s="25" t="s">
        <v>1985</v>
      </c>
      <c r="AK2428" s="65"/>
      <c r="AL2428" s="176" t="s">
        <v>1257</v>
      </c>
      <c r="AM2428" s="177" t="s">
        <v>3781</v>
      </c>
      <c r="AN2428" s="159"/>
      <c r="AO2428" s="160"/>
      <c r="AP2428" s="161"/>
      <c r="AQ2428" s="160"/>
      <c r="AR2428" s="160"/>
      <c r="AS2428" s="160"/>
      <c r="AT2428" s="160"/>
      <c r="AU2428" s="160"/>
      <c r="AV2428" s="160"/>
      <c r="AW2428" s="160"/>
      <c r="AX2428" s="160"/>
      <c r="AY2428" s="160"/>
      <c r="AZ2428" s="160"/>
      <c r="BA2428" s="160"/>
      <c r="BB2428" s="160"/>
      <c r="BC2428" s="160"/>
      <c r="BD2428" s="160"/>
      <c r="BE2428" s="160"/>
      <c r="BF2428" s="160"/>
      <c r="BG2428" s="160"/>
      <c r="BH2428" s="160"/>
      <c r="BI2428" s="160"/>
      <c r="BJ2428" s="160"/>
      <c r="BK2428" s="160"/>
      <c r="BL2428" s="160"/>
      <c r="BM2428" s="160"/>
      <c r="BN2428" s="160"/>
      <c r="BO2428" s="160"/>
      <c r="BP2428" s="160"/>
      <c r="BQ2428" s="160"/>
      <c r="BR2428" s="160"/>
      <c r="BS2428" s="160"/>
      <c r="BT2428" s="160"/>
      <c r="BU2428" s="160"/>
      <c r="BV2428" s="160"/>
      <c r="BW2428" s="160"/>
      <c r="BX2428" s="160"/>
      <c r="BY2428" s="160"/>
      <c r="BZ2428" s="160"/>
      <c r="CA2428" s="160"/>
      <c r="CB2428" s="160"/>
      <c r="CC2428" s="160"/>
      <c r="CD2428" s="160"/>
      <c r="CE2428" s="160"/>
      <c r="CF2428" s="160"/>
      <c r="CG2428" s="160"/>
      <c r="CH2428" s="160"/>
      <c r="CI2428" s="160"/>
      <c r="CJ2428" s="160"/>
      <c r="CK2428" s="160"/>
      <c r="CL2428" s="160"/>
      <c r="CM2428" s="160"/>
      <c r="CN2428" s="160"/>
      <c r="CO2428" s="160"/>
      <c r="CP2428" s="162"/>
      <c r="CQ2428" s="163"/>
      <c r="CR2428" s="162"/>
      <c r="CS2428" s="163"/>
      <c r="CT2428" s="162"/>
      <c r="CU2428" s="163"/>
      <c r="CV2428" s="164">
        <f t="shared" si="296"/>
        <v>0</v>
      </c>
      <c r="CW2428" s="165"/>
      <c r="CX2428" s="166"/>
      <c r="CY2428" s="167"/>
      <c r="CZ2428" s="168"/>
      <c r="DA2428" s="169"/>
      <c r="DB2428" s="168"/>
      <c r="DC2428" s="165"/>
      <c r="DD2428" s="166"/>
      <c r="DE2428" s="71"/>
      <c r="DF2428" s="170"/>
      <c r="EO2428" s="375" t="str">
        <f t="shared" si="292"/>
        <v>CUNDINAMARCA_JERUSALEN</v>
      </c>
      <c r="EP2428" s="376"/>
      <c r="EQ2428" s="376"/>
      <c r="ER2428" s="377"/>
      <c r="ES2428" s="376"/>
      <c r="ET2428" s="376"/>
      <c r="EU2428" s="376"/>
    </row>
    <row r="2429" spans="1:151" s="171" customFormat="1" ht="38.25" x14ac:dyDescent="0.2">
      <c r="A2429" s="242">
        <v>40543</v>
      </c>
      <c r="B2429" s="222" t="s">
        <v>2007</v>
      </c>
      <c r="C2429" s="222" t="s">
        <v>4352</v>
      </c>
      <c r="D2429" s="430" t="s">
        <v>837</v>
      </c>
      <c r="E2429" s="107" t="str">
        <f>VLOOKUP(B2429&amp;C2429,Divipola!$C$2:$F$1138,4,FALSE)</f>
        <v>25372</v>
      </c>
      <c r="F2429" s="333"/>
      <c r="G2429" s="221"/>
      <c r="H2429" s="157"/>
      <c r="I2429" s="157"/>
      <c r="J2429" s="157">
        <v>40</v>
      </c>
      <c r="K2429" s="157">
        <v>8</v>
      </c>
      <c r="L2429" s="157"/>
      <c r="M2429" s="157"/>
      <c r="N2429" s="157"/>
      <c r="O2429" s="157"/>
      <c r="P2429" s="157"/>
      <c r="Q2429" s="157"/>
      <c r="R2429" s="157"/>
      <c r="S2429" s="157"/>
      <c r="T2429" s="157"/>
      <c r="U2429" s="157"/>
      <c r="V2429" s="158"/>
      <c r="W2429" s="182"/>
      <c r="X2429" s="1"/>
      <c r="Y2429" s="78">
        <f t="shared" si="293"/>
        <v>0</v>
      </c>
      <c r="Z2429" s="78">
        <f t="shared" si="294"/>
        <v>0</v>
      </c>
      <c r="AA2429" s="78">
        <f t="shared" si="298"/>
        <v>0</v>
      </c>
      <c r="AB2429" s="78">
        <f t="shared" si="295"/>
        <v>0</v>
      </c>
      <c r="AC2429" s="78"/>
      <c r="AD2429" s="78">
        <v>0</v>
      </c>
      <c r="AE2429" s="80">
        <f t="shared" si="297"/>
        <v>0</v>
      </c>
      <c r="AF2429" s="82">
        <v>0</v>
      </c>
      <c r="AG2429" s="69">
        <v>40637</v>
      </c>
      <c r="AH2429" s="84"/>
      <c r="AI2429" s="69" t="s">
        <v>1984</v>
      </c>
      <c r="AJ2429" s="25" t="s">
        <v>1985</v>
      </c>
      <c r="AK2429" s="65"/>
      <c r="AL2429" s="176" t="s">
        <v>1257</v>
      </c>
      <c r="AM2429" s="177" t="s">
        <v>3781</v>
      </c>
      <c r="AN2429" s="159"/>
      <c r="AO2429" s="160"/>
      <c r="AP2429" s="161"/>
      <c r="AQ2429" s="160"/>
      <c r="AR2429" s="160"/>
      <c r="AS2429" s="160"/>
      <c r="AT2429" s="160"/>
      <c r="AU2429" s="160"/>
      <c r="AV2429" s="160"/>
      <c r="AW2429" s="160"/>
      <c r="AX2429" s="160"/>
      <c r="AY2429" s="160"/>
      <c r="AZ2429" s="160"/>
      <c r="BA2429" s="160"/>
      <c r="BB2429" s="160"/>
      <c r="BC2429" s="160"/>
      <c r="BD2429" s="160"/>
      <c r="BE2429" s="160"/>
      <c r="BF2429" s="160"/>
      <c r="BG2429" s="160"/>
      <c r="BH2429" s="160"/>
      <c r="BI2429" s="160"/>
      <c r="BJ2429" s="160"/>
      <c r="BK2429" s="160"/>
      <c r="BL2429" s="160"/>
      <c r="BM2429" s="160"/>
      <c r="BN2429" s="160"/>
      <c r="BO2429" s="160"/>
      <c r="BP2429" s="160"/>
      <c r="BQ2429" s="160"/>
      <c r="BR2429" s="160"/>
      <c r="BS2429" s="160"/>
      <c r="BT2429" s="160"/>
      <c r="BU2429" s="160"/>
      <c r="BV2429" s="160"/>
      <c r="BW2429" s="160"/>
      <c r="BX2429" s="160"/>
      <c r="BY2429" s="160"/>
      <c r="BZ2429" s="160"/>
      <c r="CA2429" s="160"/>
      <c r="CB2429" s="160"/>
      <c r="CC2429" s="160"/>
      <c r="CD2429" s="160"/>
      <c r="CE2429" s="160"/>
      <c r="CF2429" s="160"/>
      <c r="CG2429" s="160"/>
      <c r="CH2429" s="160"/>
      <c r="CI2429" s="160"/>
      <c r="CJ2429" s="160"/>
      <c r="CK2429" s="160"/>
      <c r="CL2429" s="160"/>
      <c r="CM2429" s="160"/>
      <c r="CN2429" s="160"/>
      <c r="CO2429" s="160"/>
      <c r="CP2429" s="162"/>
      <c r="CQ2429" s="163"/>
      <c r="CR2429" s="162"/>
      <c r="CS2429" s="163"/>
      <c r="CT2429" s="162"/>
      <c r="CU2429" s="163"/>
      <c r="CV2429" s="164">
        <f t="shared" si="296"/>
        <v>0</v>
      </c>
      <c r="CW2429" s="165"/>
      <c r="CX2429" s="166"/>
      <c r="CY2429" s="167"/>
      <c r="CZ2429" s="168"/>
      <c r="DA2429" s="169"/>
      <c r="DB2429" s="168"/>
      <c r="DC2429" s="165"/>
      <c r="DD2429" s="166"/>
      <c r="DE2429" s="71"/>
      <c r="DF2429" s="170"/>
      <c r="EO2429" s="375" t="str">
        <f t="shared" si="292"/>
        <v>CUNDINAMARCA_JUNIN</v>
      </c>
      <c r="EP2429" s="376"/>
      <c r="EQ2429" s="376"/>
      <c r="ER2429" s="377"/>
      <c r="ES2429" s="376"/>
      <c r="ET2429" s="376"/>
      <c r="EU2429" s="376"/>
    </row>
    <row r="2430" spans="1:151" s="171" customFormat="1" ht="38.25" x14ac:dyDescent="0.2">
      <c r="A2430" s="242">
        <v>40543</v>
      </c>
      <c r="B2430" s="222" t="s">
        <v>2007</v>
      </c>
      <c r="C2430" s="222" t="s">
        <v>4358</v>
      </c>
      <c r="D2430" s="430" t="s">
        <v>837</v>
      </c>
      <c r="E2430" s="107" t="str">
        <f>VLOOKUP(B2430&amp;C2430,Divipola!$C$2:$F$1138,4,FALSE)</f>
        <v>25426</v>
      </c>
      <c r="F2430" s="333"/>
      <c r="G2430" s="221"/>
      <c r="H2430" s="157"/>
      <c r="I2430" s="157"/>
      <c r="J2430" s="157">
        <v>176</v>
      </c>
      <c r="K2430" s="157">
        <v>54</v>
      </c>
      <c r="L2430" s="157"/>
      <c r="M2430" s="157">
        <v>54</v>
      </c>
      <c r="N2430" s="157"/>
      <c r="O2430" s="157"/>
      <c r="P2430" s="157"/>
      <c r="Q2430" s="157"/>
      <c r="R2430" s="157"/>
      <c r="S2430" s="157"/>
      <c r="T2430" s="157"/>
      <c r="U2430" s="157"/>
      <c r="V2430" s="158"/>
      <c r="W2430" s="182"/>
      <c r="X2430" s="1"/>
      <c r="Y2430" s="78">
        <f t="shared" si="293"/>
        <v>0</v>
      </c>
      <c r="Z2430" s="78">
        <f t="shared" si="294"/>
        <v>0</v>
      </c>
      <c r="AA2430" s="78">
        <f t="shared" si="298"/>
        <v>0</v>
      </c>
      <c r="AB2430" s="78">
        <f t="shared" si="295"/>
        <v>0</v>
      </c>
      <c r="AC2430" s="78"/>
      <c r="AD2430" s="78">
        <v>0</v>
      </c>
      <c r="AE2430" s="80">
        <f t="shared" si="297"/>
        <v>0</v>
      </c>
      <c r="AF2430" s="82">
        <v>0</v>
      </c>
      <c r="AG2430" s="69">
        <v>40637</v>
      </c>
      <c r="AH2430" s="84"/>
      <c r="AI2430" s="69" t="s">
        <v>1984</v>
      </c>
      <c r="AJ2430" s="25" t="s">
        <v>1985</v>
      </c>
      <c r="AK2430" s="65"/>
      <c r="AL2430" s="176" t="s">
        <v>1257</v>
      </c>
      <c r="AM2430" s="177" t="s">
        <v>3781</v>
      </c>
      <c r="AN2430" s="159"/>
      <c r="AO2430" s="160"/>
      <c r="AP2430" s="161"/>
      <c r="AQ2430" s="160"/>
      <c r="AR2430" s="160"/>
      <c r="AS2430" s="160"/>
      <c r="AT2430" s="160"/>
      <c r="AU2430" s="160"/>
      <c r="AV2430" s="160"/>
      <c r="AW2430" s="160"/>
      <c r="AX2430" s="160"/>
      <c r="AY2430" s="160"/>
      <c r="AZ2430" s="160"/>
      <c r="BA2430" s="160"/>
      <c r="BB2430" s="160"/>
      <c r="BC2430" s="160"/>
      <c r="BD2430" s="160"/>
      <c r="BE2430" s="160"/>
      <c r="BF2430" s="160"/>
      <c r="BG2430" s="160"/>
      <c r="BH2430" s="160"/>
      <c r="BI2430" s="160"/>
      <c r="BJ2430" s="160"/>
      <c r="BK2430" s="160"/>
      <c r="BL2430" s="160"/>
      <c r="BM2430" s="160"/>
      <c r="BN2430" s="160"/>
      <c r="BO2430" s="160"/>
      <c r="BP2430" s="160"/>
      <c r="BQ2430" s="160"/>
      <c r="BR2430" s="160"/>
      <c r="BS2430" s="160"/>
      <c r="BT2430" s="160"/>
      <c r="BU2430" s="160"/>
      <c r="BV2430" s="160"/>
      <c r="BW2430" s="160"/>
      <c r="BX2430" s="160"/>
      <c r="BY2430" s="160"/>
      <c r="BZ2430" s="160"/>
      <c r="CA2430" s="160"/>
      <c r="CB2430" s="160"/>
      <c r="CC2430" s="160"/>
      <c r="CD2430" s="160"/>
      <c r="CE2430" s="160"/>
      <c r="CF2430" s="160"/>
      <c r="CG2430" s="160"/>
      <c r="CH2430" s="160"/>
      <c r="CI2430" s="160"/>
      <c r="CJ2430" s="160"/>
      <c r="CK2430" s="160"/>
      <c r="CL2430" s="160"/>
      <c r="CM2430" s="160"/>
      <c r="CN2430" s="160"/>
      <c r="CO2430" s="160"/>
      <c r="CP2430" s="162"/>
      <c r="CQ2430" s="163"/>
      <c r="CR2430" s="162"/>
      <c r="CS2430" s="163"/>
      <c r="CT2430" s="162"/>
      <c r="CU2430" s="163"/>
      <c r="CV2430" s="164">
        <f t="shared" si="296"/>
        <v>0</v>
      </c>
      <c r="CW2430" s="165"/>
      <c r="CX2430" s="166"/>
      <c r="CY2430" s="167"/>
      <c r="CZ2430" s="168"/>
      <c r="DA2430" s="169"/>
      <c r="DB2430" s="168"/>
      <c r="DC2430" s="165"/>
      <c r="DD2430" s="166"/>
      <c r="DE2430" s="71"/>
      <c r="DF2430" s="170"/>
      <c r="EO2430" s="375" t="str">
        <f t="shared" si="292"/>
        <v>CUNDINAMARCA_MACHETA</v>
      </c>
      <c r="EP2430" s="376"/>
      <c r="EQ2430" s="376"/>
      <c r="ER2430" s="377"/>
      <c r="ES2430" s="376"/>
      <c r="ET2430" s="376"/>
      <c r="EU2430" s="376"/>
    </row>
    <row r="2431" spans="1:151" s="171" customFormat="1" ht="38.25" x14ac:dyDescent="0.2">
      <c r="A2431" s="242">
        <v>40543</v>
      </c>
      <c r="B2431" s="222" t="s">
        <v>2007</v>
      </c>
      <c r="C2431" s="222" t="s">
        <v>4360</v>
      </c>
      <c r="D2431" s="430" t="s">
        <v>837</v>
      </c>
      <c r="E2431" s="107" t="str">
        <f>VLOOKUP(B2431&amp;C2431,Divipola!$C$2:$F$1138,4,FALSE)</f>
        <v>25436</v>
      </c>
      <c r="F2431" s="333"/>
      <c r="G2431" s="221"/>
      <c r="H2431" s="157"/>
      <c r="I2431" s="157"/>
      <c r="J2431" s="157">
        <f>28*5</f>
        <v>140</v>
      </c>
      <c r="K2431" s="157">
        <v>28</v>
      </c>
      <c r="L2431" s="157"/>
      <c r="M2431" s="157"/>
      <c r="N2431" s="157"/>
      <c r="O2431" s="157"/>
      <c r="P2431" s="157"/>
      <c r="Q2431" s="157"/>
      <c r="R2431" s="157"/>
      <c r="S2431" s="157"/>
      <c r="T2431" s="157"/>
      <c r="U2431" s="157"/>
      <c r="V2431" s="158"/>
      <c r="W2431" s="182"/>
      <c r="X2431" s="1"/>
      <c r="Y2431" s="78">
        <f t="shared" si="293"/>
        <v>0</v>
      </c>
      <c r="Z2431" s="78">
        <f t="shared" si="294"/>
        <v>0</v>
      </c>
      <c r="AA2431" s="78">
        <f t="shared" si="298"/>
        <v>0</v>
      </c>
      <c r="AB2431" s="78">
        <f t="shared" si="295"/>
        <v>0</v>
      </c>
      <c r="AC2431" s="78"/>
      <c r="AD2431" s="78">
        <v>0</v>
      </c>
      <c r="AE2431" s="80">
        <f t="shared" si="297"/>
        <v>0</v>
      </c>
      <c r="AF2431" s="82">
        <v>0</v>
      </c>
      <c r="AG2431" s="69">
        <v>40637</v>
      </c>
      <c r="AH2431" s="84"/>
      <c r="AI2431" s="69" t="s">
        <v>1984</v>
      </c>
      <c r="AJ2431" s="25" t="s">
        <v>1985</v>
      </c>
      <c r="AK2431" s="65"/>
      <c r="AL2431" s="176" t="s">
        <v>1257</v>
      </c>
      <c r="AM2431" s="177" t="s">
        <v>3781</v>
      </c>
      <c r="AN2431" s="159"/>
      <c r="AO2431" s="160"/>
      <c r="AP2431" s="161"/>
      <c r="AQ2431" s="160"/>
      <c r="AR2431" s="160"/>
      <c r="AS2431" s="160"/>
      <c r="AT2431" s="160"/>
      <c r="AU2431" s="160"/>
      <c r="AV2431" s="160"/>
      <c r="AW2431" s="160"/>
      <c r="AX2431" s="160"/>
      <c r="AY2431" s="160"/>
      <c r="AZ2431" s="160"/>
      <c r="BA2431" s="160"/>
      <c r="BB2431" s="160"/>
      <c r="BC2431" s="160"/>
      <c r="BD2431" s="160"/>
      <c r="BE2431" s="160"/>
      <c r="BF2431" s="160"/>
      <c r="BG2431" s="160"/>
      <c r="BH2431" s="160"/>
      <c r="BI2431" s="160"/>
      <c r="BJ2431" s="160"/>
      <c r="BK2431" s="160"/>
      <c r="BL2431" s="160"/>
      <c r="BM2431" s="160"/>
      <c r="BN2431" s="160"/>
      <c r="BO2431" s="160"/>
      <c r="BP2431" s="160"/>
      <c r="BQ2431" s="160"/>
      <c r="BR2431" s="160"/>
      <c r="BS2431" s="160"/>
      <c r="BT2431" s="160"/>
      <c r="BU2431" s="160"/>
      <c r="BV2431" s="160"/>
      <c r="BW2431" s="160"/>
      <c r="BX2431" s="160"/>
      <c r="BY2431" s="160"/>
      <c r="BZ2431" s="160"/>
      <c r="CA2431" s="160"/>
      <c r="CB2431" s="160"/>
      <c r="CC2431" s="160"/>
      <c r="CD2431" s="160"/>
      <c r="CE2431" s="160"/>
      <c r="CF2431" s="160"/>
      <c r="CG2431" s="160"/>
      <c r="CH2431" s="160"/>
      <c r="CI2431" s="160"/>
      <c r="CJ2431" s="160"/>
      <c r="CK2431" s="160"/>
      <c r="CL2431" s="160"/>
      <c r="CM2431" s="160"/>
      <c r="CN2431" s="160"/>
      <c r="CO2431" s="160"/>
      <c r="CP2431" s="162"/>
      <c r="CQ2431" s="163"/>
      <c r="CR2431" s="162"/>
      <c r="CS2431" s="163"/>
      <c r="CT2431" s="162"/>
      <c r="CU2431" s="163"/>
      <c r="CV2431" s="164">
        <f t="shared" si="296"/>
        <v>0</v>
      </c>
      <c r="CW2431" s="165"/>
      <c r="CX2431" s="166"/>
      <c r="CY2431" s="167"/>
      <c r="CZ2431" s="168"/>
      <c r="DA2431" s="169"/>
      <c r="DB2431" s="168"/>
      <c r="DC2431" s="165"/>
      <c r="DD2431" s="166"/>
      <c r="DE2431" s="71"/>
      <c r="DF2431" s="170"/>
      <c r="EO2431" s="375" t="str">
        <f t="shared" si="292"/>
        <v>CUNDINAMARCA_MANTA</v>
      </c>
      <c r="EP2431" s="376"/>
      <c r="EQ2431" s="376"/>
      <c r="ER2431" s="377"/>
      <c r="ES2431" s="376"/>
      <c r="ET2431" s="376"/>
      <c r="EU2431" s="376"/>
    </row>
    <row r="2432" spans="1:151" s="171" customFormat="1" ht="36" x14ac:dyDescent="0.2">
      <c r="A2432" s="242">
        <v>40543</v>
      </c>
      <c r="B2432" s="222" t="s">
        <v>2007</v>
      </c>
      <c r="C2432" s="222" t="s">
        <v>4364</v>
      </c>
      <c r="D2432" s="430" t="s">
        <v>837</v>
      </c>
      <c r="E2432" s="107" t="str">
        <f>VLOOKUP(B2432&amp;C2432,Divipola!$C$2:$F$1138,4,FALSE)</f>
        <v>25488</v>
      </c>
      <c r="F2432" s="333"/>
      <c r="G2432" s="221"/>
      <c r="H2432" s="157"/>
      <c r="I2432" s="157"/>
      <c r="J2432" s="157">
        <v>15</v>
      </c>
      <c r="K2432" s="157">
        <v>5</v>
      </c>
      <c r="L2432" s="157"/>
      <c r="M2432" s="157">
        <v>5</v>
      </c>
      <c r="N2432" s="157"/>
      <c r="O2432" s="157"/>
      <c r="P2432" s="157"/>
      <c r="Q2432" s="157"/>
      <c r="R2432" s="157"/>
      <c r="S2432" s="157"/>
      <c r="T2432" s="157"/>
      <c r="U2432" s="157"/>
      <c r="V2432" s="158"/>
      <c r="W2432" s="182"/>
      <c r="X2432" s="1"/>
      <c r="Y2432" s="78">
        <f t="shared" si="293"/>
        <v>0</v>
      </c>
      <c r="Z2432" s="78">
        <f t="shared" si="294"/>
        <v>0</v>
      </c>
      <c r="AA2432" s="78">
        <f t="shared" si="298"/>
        <v>0</v>
      </c>
      <c r="AB2432" s="78">
        <f t="shared" si="295"/>
        <v>0</v>
      </c>
      <c r="AC2432" s="78"/>
      <c r="AD2432" s="78">
        <v>0</v>
      </c>
      <c r="AE2432" s="80">
        <f t="shared" si="297"/>
        <v>0</v>
      </c>
      <c r="AF2432" s="82">
        <v>0</v>
      </c>
      <c r="AG2432" s="69">
        <v>40637</v>
      </c>
      <c r="AH2432" s="84"/>
      <c r="AI2432" s="69" t="s">
        <v>1984</v>
      </c>
      <c r="AJ2432" s="25" t="s">
        <v>1985</v>
      </c>
      <c r="AK2432" s="65"/>
      <c r="AL2432" s="176" t="s">
        <v>1257</v>
      </c>
      <c r="AM2432" s="177" t="s">
        <v>3781</v>
      </c>
      <c r="AN2432" s="159"/>
      <c r="AO2432" s="160"/>
      <c r="AP2432" s="161"/>
      <c r="AQ2432" s="160"/>
      <c r="AR2432" s="160"/>
      <c r="AS2432" s="160"/>
      <c r="AT2432" s="160"/>
      <c r="AU2432" s="160"/>
      <c r="AV2432" s="160"/>
      <c r="AW2432" s="160"/>
      <c r="AX2432" s="160"/>
      <c r="AY2432" s="160"/>
      <c r="AZ2432" s="160"/>
      <c r="BA2432" s="160"/>
      <c r="BB2432" s="160"/>
      <c r="BC2432" s="160"/>
      <c r="BD2432" s="160"/>
      <c r="BE2432" s="160"/>
      <c r="BF2432" s="160"/>
      <c r="BG2432" s="160"/>
      <c r="BH2432" s="160"/>
      <c r="BI2432" s="160"/>
      <c r="BJ2432" s="160"/>
      <c r="BK2432" s="160"/>
      <c r="BL2432" s="160"/>
      <c r="BM2432" s="160"/>
      <c r="BN2432" s="160"/>
      <c r="BO2432" s="160"/>
      <c r="BP2432" s="160"/>
      <c r="BQ2432" s="160"/>
      <c r="BR2432" s="160"/>
      <c r="BS2432" s="160"/>
      <c r="BT2432" s="160"/>
      <c r="BU2432" s="160"/>
      <c r="BV2432" s="160"/>
      <c r="BW2432" s="160"/>
      <c r="BX2432" s="160"/>
      <c r="BY2432" s="160"/>
      <c r="BZ2432" s="160"/>
      <c r="CA2432" s="160"/>
      <c r="CB2432" s="160"/>
      <c r="CC2432" s="160"/>
      <c r="CD2432" s="160"/>
      <c r="CE2432" s="160"/>
      <c r="CF2432" s="160"/>
      <c r="CG2432" s="160"/>
      <c r="CH2432" s="160"/>
      <c r="CI2432" s="160"/>
      <c r="CJ2432" s="160"/>
      <c r="CK2432" s="160"/>
      <c r="CL2432" s="160"/>
      <c r="CM2432" s="160"/>
      <c r="CN2432" s="160"/>
      <c r="CO2432" s="160"/>
      <c r="CP2432" s="162"/>
      <c r="CQ2432" s="163"/>
      <c r="CR2432" s="162"/>
      <c r="CS2432" s="163"/>
      <c r="CT2432" s="162"/>
      <c r="CU2432" s="163"/>
      <c r="CV2432" s="164">
        <f t="shared" si="296"/>
        <v>0</v>
      </c>
      <c r="CW2432" s="165"/>
      <c r="CX2432" s="166"/>
      <c r="CY2432" s="167"/>
      <c r="CZ2432" s="168"/>
      <c r="DA2432" s="169"/>
      <c r="DB2432" s="168"/>
      <c r="DC2432" s="165"/>
      <c r="DD2432" s="166"/>
      <c r="DE2432" s="71"/>
      <c r="DF2432" s="170"/>
      <c r="EO2432" s="375" t="str">
        <f t="shared" si="292"/>
        <v>CUNDINAMARCA_NILO</v>
      </c>
      <c r="EP2432" s="376"/>
      <c r="EQ2432" s="376"/>
      <c r="ER2432" s="377"/>
      <c r="ES2432" s="376"/>
      <c r="ET2432" s="376"/>
      <c r="EU2432" s="376"/>
    </row>
    <row r="2433" spans="1:151" s="171" customFormat="1" ht="38.25" x14ac:dyDescent="0.2">
      <c r="A2433" s="242">
        <v>40543</v>
      </c>
      <c r="B2433" s="222" t="s">
        <v>2007</v>
      </c>
      <c r="C2433" s="222" t="s">
        <v>4390</v>
      </c>
      <c r="D2433" s="430" t="s">
        <v>837</v>
      </c>
      <c r="E2433" s="107" t="str">
        <f>VLOOKUP(B2433&amp;C2433,Divipola!$C$2:$F$1138,4,FALSE)</f>
        <v>25807</v>
      </c>
      <c r="F2433" s="333"/>
      <c r="G2433" s="221"/>
      <c r="H2433" s="157"/>
      <c r="I2433" s="157"/>
      <c r="J2433" s="157">
        <v>181</v>
      </c>
      <c r="K2433" s="157">
        <v>60</v>
      </c>
      <c r="L2433" s="157"/>
      <c r="M2433" s="157">
        <v>60</v>
      </c>
      <c r="N2433" s="157"/>
      <c r="O2433" s="157"/>
      <c r="P2433" s="157"/>
      <c r="Q2433" s="157"/>
      <c r="R2433" s="157"/>
      <c r="S2433" s="157"/>
      <c r="T2433" s="157"/>
      <c r="U2433" s="157"/>
      <c r="V2433" s="158"/>
      <c r="W2433" s="182"/>
      <c r="X2433" s="1"/>
      <c r="Y2433" s="78">
        <f t="shared" si="293"/>
        <v>0</v>
      </c>
      <c r="Z2433" s="78">
        <f t="shared" si="294"/>
        <v>0</v>
      </c>
      <c r="AA2433" s="78">
        <f t="shared" si="298"/>
        <v>0</v>
      </c>
      <c r="AB2433" s="78">
        <f t="shared" si="295"/>
        <v>0</v>
      </c>
      <c r="AC2433" s="78"/>
      <c r="AD2433" s="78">
        <v>0</v>
      </c>
      <c r="AE2433" s="80">
        <f t="shared" si="297"/>
        <v>0</v>
      </c>
      <c r="AF2433" s="82">
        <v>0</v>
      </c>
      <c r="AG2433" s="69">
        <v>40637</v>
      </c>
      <c r="AH2433" s="84"/>
      <c r="AI2433" s="69" t="s">
        <v>1984</v>
      </c>
      <c r="AJ2433" s="25" t="s">
        <v>1985</v>
      </c>
      <c r="AK2433" s="65"/>
      <c r="AL2433" s="176" t="s">
        <v>1257</v>
      </c>
      <c r="AM2433" s="177" t="s">
        <v>3781</v>
      </c>
      <c r="AN2433" s="159"/>
      <c r="AO2433" s="160"/>
      <c r="AP2433" s="161"/>
      <c r="AQ2433" s="160"/>
      <c r="AR2433" s="160"/>
      <c r="AS2433" s="160"/>
      <c r="AT2433" s="160"/>
      <c r="AU2433" s="160"/>
      <c r="AV2433" s="160"/>
      <c r="AW2433" s="160"/>
      <c r="AX2433" s="160"/>
      <c r="AY2433" s="160"/>
      <c r="AZ2433" s="160"/>
      <c r="BA2433" s="160"/>
      <c r="BB2433" s="160"/>
      <c r="BC2433" s="160"/>
      <c r="BD2433" s="160"/>
      <c r="BE2433" s="160"/>
      <c r="BF2433" s="160"/>
      <c r="BG2433" s="160"/>
      <c r="BH2433" s="160"/>
      <c r="BI2433" s="160"/>
      <c r="BJ2433" s="160"/>
      <c r="BK2433" s="160"/>
      <c r="BL2433" s="160"/>
      <c r="BM2433" s="160"/>
      <c r="BN2433" s="160"/>
      <c r="BO2433" s="160"/>
      <c r="BP2433" s="160"/>
      <c r="BQ2433" s="160"/>
      <c r="BR2433" s="160"/>
      <c r="BS2433" s="160"/>
      <c r="BT2433" s="160"/>
      <c r="BU2433" s="160"/>
      <c r="BV2433" s="160"/>
      <c r="BW2433" s="160"/>
      <c r="BX2433" s="160"/>
      <c r="BY2433" s="160"/>
      <c r="BZ2433" s="160"/>
      <c r="CA2433" s="160"/>
      <c r="CB2433" s="160"/>
      <c r="CC2433" s="160"/>
      <c r="CD2433" s="160"/>
      <c r="CE2433" s="160"/>
      <c r="CF2433" s="160"/>
      <c r="CG2433" s="160"/>
      <c r="CH2433" s="160"/>
      <c r="CI2433" s="160"/>
      <c r="CJ2433" s="160"/>
      <c r="CK2433" s="160"/>
      <c r="CL2433" s="160"/>
      <c r="CM2433" s="160"/>
      <c r="CN2433" s="160"/>
      <c r="CO2433" s="160"/>
      <c r="CP2433" s="162"/>
      <c r="CQ2433" s="163"/>
      <c r="CR2433" s="162"/>
      <c r="CS2433" s="163"/>
      <c r="CT2433" s="162"/>
      <c r="CU2433" s="163"/>
      <c r="CV2433" s="164">
        <f t="shared" si="296"/>
        <v>0</v>
      </c>
      <c r="CW2433" s="165"/>
      <c r="CX2433" s="166"/>
      <c r="CY2433" s="167"/>
      <c r="CZ2433" s="168"/>
      <c r="DA2433" s="169"/>
      <c r="DB2433" s="168"/>
      <c r="DC2433" s="165"/>
      <c r="DD2433" s="166"/>
      <c r="DE2433" s="71"/>
      <c r="DF2433" s="170"/>
      <c r="EO2433" s="375" t="str">
        <f t="shared" si="292"/>
        <v>CUNDINAMARCA_TIBIRITA</v>
      </c>
      <c r="EP2433" s="376"/>
      <c r="EQ2433" s="376"/>
      <c r="ER2433" s="377"/>
      <c r="ES2433" s="376"/>
      <c r="ET2433" s="376"/>
      <c r="EU2433" s="376"/>
    </row>
    <row r="2434" spans="1:151" s="171" customFormat="1" ht="36" x14ac:dyDescent="0.2">
      <c r="A2434" s="242">
        <v>40543</v>
      </c>
      <c r="B2434" s="222" t="s">
        <v>3112</v>
      </c>
      <c r="C2434" s="222" t="s">
        <v>4247</v>
      </c>
      <c r="D2434" s="430" t="s">
        <v>837</v>
      </c>
      <c r="E2434" s="107" t="str">
        <f>VLOOKUP(B2434&amp;C2434,Divipola!$C$2:$F$1138,4,FALSE)</f>
        <v>18256</v>
      </c>
      <c r="F2434" s="333"/>
      <c r="G2434" s="221"/>
      <c r="H2434" s="157"/>
      <c r="I2434" s="157"/>
      <c r="J2434" s="157">
        <f>30*5</f>
        <v>150</v>
      </c>
      <c r="K2434" s="157">
        <v>30</v>
      </c>
      <c r="L2434" s="157"/>
      <c r="M2434" s="157"/>
      <c r="N2434" s="157"/>
      <c r="O2434" s="157"/>
      <c r="P2434" s="157"/>
      <c r="Q2434" s="157"/>
      <c r="R2434" s="157"/>
      <c r="S2434" s="157"/>
      <c r="T2434" s="157"/>
      <c r="U2434" s="157"/>
      <c r="V2434" s="158"/>
      <c r="W2434" s="182"/>
      <c r="X2434" s="1"/>
      <c r="Y2434" s="78">
        <f t="shared" si="293"/>
        <v>0</v>
      </c>
      <c r="Z2434" s="78">
        <f t="shared" si="294"/>
        <v>0</v>
      </c>
      <c r="AA2434" s="78">
        <f t="shared" si="298"/>
        <v>0</v>
      </c>
      <c r="AB2434" s="78">
        <f t="shared" si="295"/>
        <v>0</v>
      </c>
      <c r="AC2434" s="78"/>
      <c r="AD2434" s="78">
        <v>0</v>
      </c>
      <c r="AE2434" s="80">
        <f t="shared" si="297"/>
        <v>0</v>
      </c>
      <c r="AF2434" s="82">
        <v>0</v>
      </c>
      <c r="AG2434" s="69">
        <v>40637</v>
      </c>
      <c r="AH2434" s="84"/>
      <c r="AI2434" s="69" t="s">
        <v>1984</v>
      </c>
      <c r="AJ2434" s="25" t="s">
        <v>1985</v>
      </c>
      <c r="AK2434" s="65"/>
      <c r="AL2434" s="176" t="s">
        <v>1257</v>
      </c>
      <c r="AM2434" s="177" t="s">
        <v>3781</v>
      </c>
      <c r="AN2434" s="159"/>
      <c r="AO2434" s="160"/>
      <c r="AP2434" s="161"/>
      <c r="AQ2434" s="160"/>
      <c r="AR2434" s="160"/>
      <c r="AS2434" s="160"/>
      <c r="AT2434" s="160"/>
      <c r="AU2434" s="160"/>
      <c r="AV2434" s="160"/>
      <c r="AW2434" s="160"/>
      <c r="AX2434" s="160"/>
      <c r="AY2434" s="160"/>
      <c r="AZ2434" s="160"/>
      <c r="BA2434" s="160"/>
      <c r="BB2434" s="160"/>
      <c r="BC2434" s="160"/>
      <c r="BD2434" s="160"/>
      <c r="BE2434" s="160"/>
      <c r="BF2434" s="160"/>
      <c r="BG2434" s="160"/>
      <c r="BH2434" s="160"/>
      <c r="BI2434" s="160"/>
      <c r="BJ2434" s="160"/>
      <c r="BK2434" s="160"/>
      <c r="BL2434" s="160"/>
      <c r="BM2434" s="160"/>
      <c r="BN2434" s="160"/>
      <c r="BO2434" s="160"/>
      <c r="BP2434" s="160"/>
      <c r="BQ2434" s="160"/>
      <c r="BR2434" s="160"/>
      <c r="BS2434" s="160"/>
      <c r="BT2434" s="160"/>
      <c r="BU2434" s="160"/>
      <c r="BV2434" s="160"/>
      <c r="BW2434" s="160"/>
      <c r="BX2434" s="160"/>
      <c r="BY2434" s="160"/>
      <c r="BZ2434" s="160"/>
      <c r="CA2434" s="160"/>
      <c r="CB2434" s="160"/>
      <c r="CC2434" s="160"/>
      <c r="CD2434" s="160"/>
      <c r="CE2434" s="160"/>
      <c r="CF2434" s="160"/>
      <c r="CG2434" s="160"/>
      <c r="CH2434" s="160"/>
      <c r="CI2434" s="160"/>
      <c r="CJ2434" s="160"/>
      <c r="CK2434" s="160"/>
      <c r="CL2434" s="160"/>
      <c r="CM2434" s="160"/>
      <c r="CN2434" s="160"/>
      <c r="CO2434" s="160"/>
      <c r="CP2434" s="162"/>
      <c r="CQ2434" s="163"/>
      <c r="CR2434" s="162"/>
      <c r="CS2434" s="163"/>
      <c r="CT2434" s="162"/>
      <c r="CU2434" s="163"/>
      <c r="CV2434" s="164">
        <f t="shared" si="296"/>
        <v>0</v>
      </c>
      <c r="CW2434" s="165"/>
      <c r="CX2434" s="166"/>
      <c r="CY2434" s="167"/>
      <c r="CZ2434" s="168"/>
      <c r="DA2434" s="169"/>
      <c r="DB2434" s="168"/>
      <c r="DC2434" s="165"/>
      <c r="DD2434" s="166"/>
      <c r="DE2434" s="71"/>
      <c r="DF2434" s="170"/>
      <c r="EO2434" s="375" t="str">
        <f t="shared" si="292"/>
        <v>CAQUETA_EL PAUJIL</v>
      </c>
      <c r="EP2434" s="376"/>
      <c r="EQ2434" s="376"/>
      <c r="ER2434" s="377"/>
      <c r="ES2434" s="376"/>
      <c r="ET2434" s="376"/>
      <c r="EU2434" s="376"/>
    </row>
    <row r="2435" spans="1:151" s="171" customFormat="1" ht="63.75" x14ac:dyDescent="0.2">
      <c r="A2435" s="242">
        <v>40543</v>
      </c>
      <c r="B2435" s="222" t="s">
        <v>3112</v>
      </c>
      <c r="C2435" s="222" t="s">
        <v>4253</v>
      </c>
      <c r="D2435" s="430" t="s">
        <v>837</v>
      </c>
      <c r="E2435" s="107" t="str">
        <f>VLOOKUP(B2435&amp;C2435,Divipola!$C$2:$F$1138,4,FALSE)</f>
        <v>18753</v>
      </c>
      <c r="F2435" s="333"/>
      <c r="G2435" s="221"/>
      <c r="H2435" s="157"/>
      <c r="I2435" s="157"/>
      <c r="J2435" s="157">
        <f>148*5</f>
        <v>740</v>
      </c>
      <c r="K2435" s="157">
        <v>148</v>
      </c>
      <c r="L2435" s="157"/>
      <c r="M2435" s="157"/>
      <c r="N2435" s="157"/>
      <c r="O2435" s="157"/>
      <c r="P2435" s="157"/>
      <c r="Q2435" s="157"/>
      <c r="R2435" s="157"/>
      <c r="S2435" s="157"/>
      <c r="T2435" s="157"/>
      <c r="U2435" s="157"/>
      <c r="V2435" s="158"/>
      <c r="W2435" s="182"/>
      <c r="X2435" s="1"/>
      <c r="Y2435" s="78">
        <f t="shared" ref="Y2435:Y2447" si="299">CV2435</f>
        <v>0</v>
      </c>
      <c r="Z2435" s="78">
        <f t="shared" ref="Z2435:Z2447" si="300">CZ2435</f>
        <v>0</v>
      </c>
      <c r="AA2435" s="78">
        <f t="shared" si="298"/>
        <v>0</v>
      </c>
      <c r="AB2435" s="78">
        <f t="shared" ref="AB2435:AB2447" si="301">CX2435</f>
        <v>0</v>
      </c>
      <c r="AC2435" s="78"/>
      <c r="AD2435" s="78">
        <v>0</v>
      </c>
      <c r="AE2435" s="80">
        <f t="shared" si="297"/>
        <v>0</v>
      </c>
      <c r="AF2435" s="82">
        <v>0</v>
      </c>
      <c r="AG2435" s="69">
        <v>40637</v>
      </c>
      <c r="AH2435" s="84"/>
      <c r="AI2435" s="69" t="s">
        <v>1984</v>
      </c>
      <c r="AJ2435" s="25" t="s">
        <v>1985</v>
      </c>
      <c r="AK2435" s="65"/>
      <c r="AL2435" s="176" t="s">
        <v>1257</v>
      </c>
      <c r="AM2435" s="177" t="s">
        <v>3781</v>
      </c>
      <c r="AN2435" s="159"/>
      <c r="AO2435" s="160"/>
      <c r="AP2435" s="161"/>
      <c r="AQ2435" s="160"/>
      <c r="AR2435" s="160"/>
      <c r="AS2435" s="160"/>
      <c r="AT2435" s="160"/>
      <c r="AU2435" s="160"/>
      <c r="AV2435" s="160"/>
      <c r="AW2435" s="160"/>
      <c r="AX2435" s="160"/>
      <c r="AY2435" s="160"/>
      <c r="AZ2435" s="160"/>
      <c r="BA2435" s="160"/>
      <c r="BB2435" s="160"/>
      <c r="BC2435" s="160"/>
      <c r="BD2435" s="160"/>
      <c r="BE2435" s="160"/>
      <c r="BF2435" s="160"/>
      <c r="BG2435" s="160"/>
      <c r="BH2435" s="160"/>
      <c r="BI2435" s="160"/>
      <c r="BJ2435" s="160"/>
      <c r="BK2435" s="160"/>
      <c r="BL2435" s="160"/>
      <c r="BM2435" s="160"/>
      <c r="BN2435" s="160"/>
      <c r="BO2435" s="160"/>
      <c r="BP2435" s="160"/>
      <c r="BQ2435" s="160"/>
      <c r="BR2435" s="160"/>
      <c r="BS2435" s="160"/>
      <c r="BT2435" s="160"/>
      <c r="BU2435" s="160"/>
      <c r="BV2435" s="160"/>
      <c r="BW2435" s="160"/>
      <c r="BX2435" s="160"/>
      <c r="BY2435" s="160"/>
      <c r="BZ2435" s="160"/>
      <c r="CA2435" s="160"/>
      <c r="CB2435" s="160"/>
      <c r="CC2435" s="160"/>
      <c r="CD2435" s="160"/>
      <c r="CE2435" s="160"/>
      <c r="CF2435" s="160"/>
      <c r="CG2435" s="160"/>
      <c r="CH2435" s="160"/>
      <c r="CI2435" s="160"/>
      <c r="CJ2435" s="160"/>
      <c r="CK2435" s="160"/>
      <c r="CL2435" s="160"/>
      <c r="CM2435" s="160"/>
      <c r="CN2435" s="160"/>
      <c r="CO2435" s="160"/>
      <c r="CP2435" s="162"/>
      <c r="CQ2435" s="163"/>
      <c r="CR2435" s="162"/>
      <c r="CS2435" s="163"/>
      <c r="CT2435" s="162"/>
      <c r="CU2435" s="163"/>
      <c r="CV2435" s="164">
        <f t="shared" ref="CV2435:CV2447" si="302">AO2435+AQ2435+AS2435+AU2435+AW2435+AY2435+BA2435+BC2435+BE2435+BG2435+BI2435+BK2435+BM2435+BO2435+BQ2435+BS2435+BU2435+BW2435+BY2435+CA2435+CC2435+CE2435+CG2435+CI2435+CK2435+CM2435+CO2435+CQ2435+CS2435+CU2435</f>
        <v>0</v>
      </c>
      <c r="CW2435" s="165"/>
      <c r="CX2435" s="166"/>
      <c r="CY2435" s="167"/>
      <c r="CZ2435" s="168"/>
      <c r="DA2435" s="169"/>
      <c r="DB2435" s="168"/>
      <c r="DC2435" s="165"/>
      <c r="DD2435" s="166"/>
      <c r="DE2435" s="71"/>
      <c r="DF2435" s="170"/>
      <c r="EO2435" s="375" t="str">
        <f t="shared" si="292"/>
        <v>CAQUETA_SAN VICENTE DEL CAGUAN</v>
      </c>
      <c r="EP2435" s="376"/>
      <c r="EQ2435" s="376"/>
      <c r="ER2435" s="377"/>
      <c r="ES2435" s="376"/>
      <c r="ET2435" s="376"/>
      <c r="EU2435" s="376"/>
    </row>
    <row r="2436" spans="1:151" s="171" customFormat="1" ht="36" x14ac:dyDescent="0.2">
      <c r="A2436" s="242">
        <v>40543</v>
      </c>
      <c r="B2436" s="222" t="s">
        <v>1333</v>
      </c>
      <c r="C2436" s="222" t="s">
        <v>1334</v>
      </c>
      <c r="D2436" s="430" t="s">
        <v>837</v>
      </c>
      <c r="E2436" s="107" t="str">
        <f>VLOOKUP(B2436&amp;C2436,Divipola!$C$2:$F$1138,4,FALSE)</f>
        <v>41483</v>
      </c>
      <c r="F2436" s="333"/>
      <c r="G2436" s="221"/>
      <c r="H2436" s="157"/>
      <c r="I2436" s="157"/>
      <c r="J2436" s="157">
        <f>758*5</f>
        <v>3790</v>
      </c>
      <c r="K2436" s="157">
        <v>758</v>
      </c>
      <c r="L2436" s="157"/>
      <c r="M2436" s="157"/>
      <c r="N2436" s="157"/>
      <c r="O2436" s="157"/>
      <c r="P2436" s="157"/>
      <c r="Q2436" s="157"/>
      <c r="R2436" s="157"/>
      <c r="S2436" s="157"/>
      <c r="T2436" s="157"/>
      <c r="U2436" s="157"/>
      <c r="V2436" s="158"/>
      <c r="W2436" s="182"/>
      <c r="X2436" s="1"/>
      <c r="Y2436" s="78">
        <f t="shared" si="299"/>
        <v>0</v>
      </c>
      <c r="Z2436" s="78">
        <f t="shared" si="300"/>
        <v>0</v>
      </c>
      <c r="AA2436" s="78">
        <f t="shared" si="298"/>
        <v>0</v>
      </c>
      <c r="AB2436" s="78">
        <f t="shared" si="301"/>
        <v>0</v>
      </c>
      <c r="AC2436" s="78"/>
      <c r="AD2436" s="78">
        <v>0</v>
      </c>
      <c r="AE2436" s="80">
        <f t="shared" si="297"/>
        <v>0</v>
      </c>
      <c r="AF2436" s="82">
        <v>0</v>
      </c>
      <c r="AG2436" s="69">
        <v>40637</v>
      </c>
      <c r="AH2436" s="84"/>
      <c r="AI2436" s="69" t="s">
        <v>1984</v>
      </c>
      <c r="AJ2436" s="25" t="s">
        <v>1985</v>
      </c>
      <c r="AK2436" s="65"/>
      <c r="AL2436" s="176" t="s">
        <v>1257</v>
      </c>
      <c r="AM2436" s="177" t="s">
        <v>3781</v>
      </c>
      <c r="AN2436" s="159"/>
      <c r="AO2436" s="160"/>
      <c r="AP2436" s="161"/>
      <c r="AQ2436" s="160"/>
      <c r="AR2436" s="160"/>
      <c r="AS2436" s="160"/>
      <c r="AT2436" s="160"/>
      <c r="AU2436" s="160"/>
      <c r="AV2436" s="160"/>
      <c r="AW2436" s="160"/>
      <c r="AX2436" s="160"/>
      <c r="AY2436" s="160"/>
      <c r="AZ2436" s="160"/>
      <c r="BA2436" s="160"/>
      <c r="BB2436" s="160"/>
      <c r="BC2436" s="160"/>
      <c r="BD2436" s="160"/>
      <c r="BE2436" s="160"/>
      <c r="BF2436" s="160"/>
      <c r="BG2436" s="160"/>
      <c r="BH2436" s="160"/>
      <c r="BI2436" s="160"/>
      <c r="BJ2436" s="160"/>
      <c r="BK2436" s="160"/>
      <c r="BL2436" s="160"/>
      <c r="BM2436" s="160"/>
      <c r="BN2436" s="160"/>
      <c r="BO2436" s="160"/>
      <c r="BP2436" s="160"/>
      <c r="BQ2436" s="160"/>
      <c r="BR2436" s="160"/>
      <c r="BS2436" s="160"/>
      <c r="BT2436" s="160"/>
      <c r="BU2436" s="160"/>
      <c r="BV2436" s="160"/>
      <c r="BW2436" s="160"/>
      <c r="BX2436" s="160"/>
      <c r="BY2436" s="160"/>
      <c r="BZ2436" s="160"/>
      <c r="CA2436" s="160"/>
      <c r="CB2436" s="160"/>
      <c r="CC2436" s="160"/>
      <c r="CD2436" s="160"/>
      <c r="CE2436" s="160"/>
      <c r="CF2436" s="160"/>
      <c r="CG2436" s="160"/>
      <c r="CH2436" s="160"/>
      <c r="CI2436" s="160"/>
      <c r="CJ2436" s="160"/>
      <c r="CK2436" s="160"/>
      <c r="CL2436" s="160"/>
      <c r="CM2436" s="160"/>
      <c r="CN2436" s="160"/>
      <c r="CO2436" s="160"/>
      <c r="CP2436" s="162"/>
      <c r="CQ2436" s="163"/>
      <c r="CR2436" s="162"/>
      <c r="CS2436" s="163"/>
      <c r="CT2436" s="162"/>
      <c r="CU2436" s="163"/>
      <c r="CV2436" s="164">
        <f t="shared" si="302"/>
        <v>0</v>
      </c>
      <c r="CW2436" s="165"/>
      <c r="CX2436" s="166"/>
      <c r="CY2436" s="167"/>
      <c r="CZ2436" s="168"/>
      <c r="DA2436" s="169"/>
      <c r="DB2436" s="168"/>
      <c r="DC2436" s="165"/>
      <c r="DD2436" s="166"/>
      <c r="DE2436" s="71"/>
      <c r="DF2436" s="170"/>
      <c r="EO2436" s="375" t="str">
        <f t="shared" si="292"/>
        <v>HUILA_NATAGA</v>
      </c>
      <c r="EP2436" s="376"/>
      <c r="EQ2436" s="376"/>
      <c r="ER2436" s="377"/>
      <c r="ES2436" s="376"/>
      <c r="ET2436" s="376"/>
      <c r="EU2436" s="376"/>
    </row>
    <row r="2437" spans="1:151" s="171" customFormat="1" ht="36" x14ac:dyDescent="0.2">
      <c r="A2437" s="242">
        <v>40543</v>
      </c>
      <c r="B2437" s="222" t="s">
        <v>1333</v>
      </c>
      <c r="C2437" s="222" t="s">
        <v>4434</v>
      </c>
      <c r="D2437" s="430" t="s">
        <v>837</v>
      </c>
      <c r="E2437" s="107" t="str">
        <f>VLOOKUP(B2437&amp;C2437,Divipola!$C$2:$F$1138,4,FALSE)</f>
        <v>41548</v>
      </c>
      <c r="F2437" s="333"/>
      <c r="G2437" s="221"/>
      <c r="H2437" s="157"/>
      <c r="I2437" s="157"/>
      <c r="J2437" s="157">
        <f>1473*5</f>
        <v>7365</v>
      </c>
      <c r="K2437" s="157">
        <v>1473</v>
      </c>
      <c r="L2437" s="157"/>
      <c r="M2437" s="157"/>
      <c r="N2437" s="157"/>
      <c r="O2437" s="157"/>
      <c r="P2437" s="157"/>
      <c r="Q2437" s="157"/>
      <c r="R2437" s="157"/>
      <c r="S2437" s="157"/>
      <c r="T2437" s="157"/>
      <c r="U2437" s="157"/>
      <c r="V2437" s="158"/>
      <c r="W2437" s="182"/>
      <c r="X2437" s="1"/>
      <c r="Y2437" s="78">
        <f t="shared" si="299"/>
        <v>0</v>
      </c>
      <c r="Z2437" s="78">
        <f t="shared" si="300"/>
        <v>0</v>
      </c>
      <c r="AA2437" s="78">
        <f t="shared" si="298"/>
        <v>0</v>
      </c>
      <c r="AB2437" s="78">
        <f t="shared" si="301"/>
        <v>0</v>
      </c>
      <c r="AC2437" s="78"/>
      <c r="AD2437" s="78">
        <v>0</v>
      </c>
      <c r="AE2437" s="80">
        <f t="shared" si="297"/>
        <v>0</v>
      </c>
      <c r="AF2437" s="82">
        <v>0</v>
      </c>
      <c r="AG2437" s="69">
        <v>40637</v>
      </c>
      <c r="AH2437" s="84"/>
      <c r="AI2437" s="69" t="s">
        <v>1984</v>
      </c>
      <c r="AJ2437" s="25" t="s">
        <v>1985</v>
      </c>
      <c r="AK2437" s="65"/>
      <c r="AL2437" s="176" t="s">
        <v>1257</v>
      </c>
      <c r="AM2437" s="177" t="s">
        <v>3781</v>
      </c>
      <c r="AN2437" s="159"/>
      <c r="AO2437" s="160"/>
      <c r="AP2437" s="161"/>
      <c r="AQ2437" s="160"/>
      <c r="AR2437" s="160"/>
      <c r="AS2437" s="160"/>
      <c r="AT2437" s="160"/>
      <c r="AU2437" s="160"/>
      <c r="AV2437" s="160"/>
      <c r="AW2437" s="160"/>
      <c r="AX2437" s="160"/>
      <c r="AY2437" s="160"/>
      <c r="AZ2437" s="160"/>
      <c r="BA2437" s="160"/>
      <c r="BB2437" s="160"/>
      <c r="BC2437" s="160"/>
      <c r="BD2437" s="160"/>
      <c r="BE2437" s="160"/>
      <c r="BF2437" s="160"/>
      <c r="BG2437" s="160"/>
      <c r="BH2437" s="160"/>
      <c r="BI2437" s="160"/>
      <c r="BJ2437" s="160"/>
      <c r="BK2437" s="160"/>
      <c r="BL2437" s="160"/>
      <c r="BM2437" s="160"/>
      <c r="BN2437" s="160"/>
      <c r="BO2437" s="160"/>
      <c r="BP2437" s="160"/>
      <c r="BQ2437" s="160"/>
      <c r="BR2437" s="160"/>
      <c r="BS2437" s="160"/>
      <c r="BT2437" s="160"/>
      <c r="BU2437" s="160"/>
      <c r="BV2437" s="160"/>
      <c r="BW2437" s="160"/>
      <c r="BX2437" s="160"/>
      <c r="BY2437" s="160"/>
      <c r="BZ2437" s="160"/>
      <c r="CA2437" s="160"/>
      <c r="CB2437" s="160"/>
      <c r="CC2437" s="160"/>
      <c r="CD2437" s="160"/>
      <c r="CE2437" s="160"/>
      <c r="CF2437" s="160"/>
      <c r="CG2437" s="160"/>
      <c r="CH2437" s="160"/>
      <c r="CI2437" s="160"/>
      <c r="CJ2437" s="160"/>
      <c r="CK2437" s="160"/>
      <c r="CL2437" s="160"/>
      <c r="CM2437" s="160"/>
      <c r="CN2437" s="160"/>
      <c r="CO2437" s="160"/>
      <c r="CP2437" s="162"/>
      <c r="CQ2437" s="163"/>
      <c r="CR2437" s="162"/>
      <c r="CS2437" s="163"/>
      <c r="CT2437" s="162"/>
      <c r="CU2437" s="163"/>
      <c r="CV2437" s="164">
        <f t="shared" si="302"/>
        <v>0</v>
      </c>
      <c r="CW2437" s="165"/>
      <c r="CX2437" s="166"/>
      <c r="CY2437" s="167"/>
      <c r="CZ2437" s="168"/>
      <c r="DA2437" s="169"/>
      <c r="DB2437" s="168"/>
      <c r="DC2437" s="165"/>
      <c r="DD2437" s="166"/>
      <c r="DE2437" s="71"/>
      <c r="DF2437" s="170"/>
      <c r="EO2437" s="375" t="str">
        <f t="shared" si="292"/>
        <v>HUILA_PITAL</v>
      </c>
      <c r="EP2437" s="376"/>
      <c r="EQ2437" s="376"/>
      <c r="ER2437" s="377"/>
      <c r="ES2437" s="376"/>
      <c r="ET2437" s="376"/>
      <c r="EU2437" s="376"/>
    </row>
    <row r="2438" spans="1:151" s="171" customFormat="1" ht="36" x14ac:dyDescent="0.2">
      <c r="A2438" s="242">
        <v>40543</v>
      </c>
      <c r="B2438" s="222" t="s">
        <v>1333</v>
      </c>
      <c r="C2438" s="222" t="s">
        <v>1335</v>
      </c>
      <c r="D2438" s="430" t="s">
        <v>837</v>
      </c>
      <c r="E2438" s="107" t="str">
        <f>VLOOKUP(B2438&amp;C2438,Divipola!$C$2:$F$1138,4,FALSE)</f>
        <v>41668</v>
      </c>
      <c r="F2438" s="333"/>
      <c r="G2438" s="221"/>
      <c r="H2438" s="157"/>
      <c r="I2438" s="157"/>
      <c r="J2438" s="157">
        <f>2571*5</f>
        <v>12855</v>
      </c>
      <c r="K2438" s="157">
        <v>2571</v>
      </c>
      <c r="L2438" s="157"/>
      <c r="M2438" s="157"/>
      <c r="N2438" s="157"/>
      <c r="O2438" s="157"/>
      <c r="P2438" s="157"/>
      <c r="Q2438" s="157"/>
      <c r="R2438" s="157"/>
      <c r="S2438" s="157"/>
      <c r="T2438" s="157"/>
      <c r="U2438" s="157"/>
      <c r="V2438" s="158"/>
      <c r="W2438" s="182"/>
      <c r="X2438" s="1"/>
      <c r="Y2438" s="78">
        <f t="shared" si="299"/>
        <v>0</v>
      </c>
      <c r="Z2438" s="78">
        <f t="shared" si="300"/>
        <v>0</v>
      </c>
      <c r="AA2438" s="78">
        <f t="shared" si="298"/>
        <v>0</v>
      </c>
      <c r="AB2438" s="78">
        <f t="shared" si="301"/>
        <v>0</v>
      </c>
      <c r="AC2438" s="78"/>
      <c r="AD2438" s="78">
        <v>0</v>
      </c>
      <c r="AE2438" s="80">
        <f t="shared" si="297"/>
        <v>0</v>
      </c>
      <c r="AF2438" s="82">
        <v>0</v>
      </c>
      <c r="AG2438" s="69">
        <v>40637</v>
      </c>
      <c r="AH2438" s="84"/>
      <c r="AI2438" s="69" t="s">
        <v>1984</v>
      </c>
      <c r="AJ2438" s="25" t="s">
        <v>1985</v>
      </c>
      <c r="AK2438" s="65"/>
      <c r="AL2438" s="176" t="s">
        <v>1257</v>
      </c>
      <c r="AM2438" s="177" t="s">
        <v>3781</v>
      </c>
      <c r="AN2438" s="159"/>
      <c r="AO2438" s="160"/>
      <c r="AP2438" s="161"/>
      <c r="AQ2438" s="160"/>
      <c r="AR2438" s="160"/>
      <c r="AS2438" s="160"/>
      <c r="AT2438" s="160"/>
      <c r="AU2438" s="160"/>
      <c r="AV2438" s="160"/>
      <c r="AW2438" s="160"/>
      <c r="AX2438" s="160"/>
      <c r="AY2438" s="160"/>
      <c r="AZ2438" s="160"/>
      <c r="BA2438" s="160"/>
      <c r="BB2438" s="160"/>
      <c r="BC2438" s="160"/>
      <c r="BD2438" s="160"/>
      <c r="BE2438" s="160"/>
      <c r="BF2438" s="160"/>
      <c r="BG2438" s="160"/>
      <c r="BH2438" s="160"/>
      <c r="BI2438" s="160"/>
      <c r="BJ2438" s="160"/>
      <c r="BK2438" s="160"/>
      <c r="BL2438" s="160"/>
      <c r="BM2438" s="160"/>
      <c r="BN2438" s="160"/>
      <c r="BO2438" s="160"/>
      <c r="BP2438" s="160"/>
      <c r="BQ2438" s="160"/>
      <c r="BR2438" s="160"/>
      <c r="BS2438" s="160"/>
      <c r="BT2438" s="160"/>
      <c r="BU2438" s="160"/>
      <c r="BV2438" s="160"/>
      <c r="BW2438" s="160"/>
      <c r="BX2438" s="160"/>
      <c r="BY2438" s="160"/>
      <c r="BZ2438" s="160"/>
      <c r="CA2438" s="160"/>
      <c r="CB2438" s="160"/>
      <c r="CC2438" s="160"/>
      <c r="CD2438" s="160"/>
      <c r="CE2438" s="160"/>
      <c r="CF2438" s="160"/>
      <c r="CG2438" s="160"/>
      <c r="CH2438" s="160"/>
      <c r="CI2438" s="160"/>
      <c r="CJ2438" s="160"/>
      <c r="CK2438" s="160"/>
      <c r="CL2438" s="160"/>
      <c r="CM2438" s="160"/>
      <c r="CN2438" s="160"/>
      <c r="CO2438" s="160"/>
      <c r="CP2438" s="162"/>
      <c r="CQ2438" s="163"/>
      <c r="CR2438" s="162"/>
      <c r="CS2438" s="163"/>
      <c r="CT2438" s="162"/>
      <c r="CU2438" s="163"/>
      <c r="CV2438" s="164">
        <f t="shared" si="302"/>
        <v>0</v>
      </c>
      <c r="CW2438" s="165"/>
      <c r="CX2438" s="166"/>
      <c r="CY2438" s="167"/>
      <c r="CZ2438" s="168"/>
      <c r="DA2438" s="169"/>
      <c r="DB2438" s="168"/>
      <c r="DC2438" s="165"/>
      <c r="DD2438" s="166"/>
      <c r="DE2438" s="71"/>
      <c r="DF2438" s="170"/>
      <c r="EO2438" s="375" t="str">
        <f t="shared" si="292"/>
        <v>HUILA_SAN AGUSTIN</v>
      </c>
      <c r="EP2438" s="376"/>
      <c r="EQ2438" s="376"/>
      <c r="ER2438" s="377"/>
      <c r="ES2438" s="376"/>
      <c r="ET2438" s="376"/>
      <c r="EU2438" s="376"/>
    </row>
    <row r="2439" spans="1:151" s="171" customFormat="1" ht="51" x14ac:dyDescent="0.2">
      <c r="A2439" s="242">
        <v>40543</v>
      </c>
      <c r="B2439" s="222" t="s">
        <v>5778</v>
      </c>
      <c r="C2439" s="222" t="s">
        <v>4446</v>
      </c>
      <c r="D2439" s="430" t="s">
        <v>837</v>
      </c>
      <c r="E2439" s="107" t="str">
        <f>VLOOKUP(B2439&amp;C2439,Divipola!$C$2:$F$1138,4,FALSE)</f>
        <v>44420</v>
      </c>
      <c r="F2439" s="333"/>
      <c r="G2439" s="221"/>
      <c r="H2439" s="157"/>
      <c r="I2439" s="157"/>
      <c r="J2439" s="157">
        <f>17*5</f>
        <v>85</v>
      </c>
      <c r="K2439" s="157">
        <v>17</v>
      </c>
      <c r="L2439" s="157"/>
      <c r="M2439" s="157"/>
      <c r="N2439" s="157"/>
      <c r="O2439" s="157"/>
      <c r="P2439" s="157"/>
      <c r="Q2439" s="157"/>
      <c r="R2439" s="157"/>
      <c r="S2439" s="157"/>
      <c r="T2439" s="157"/>
      <c r="U2439" s="157"/>
      <c r="V2439" s="158"/>
      <c r="W2439" s="182"/>
      <c r="X2439" s="1"/>
      <c r="Y2439" s="78">
        <f t="shared" si="299"/>
        <v>0</v>
      </c>
      <c r="Z2439" s="78">
        <f t="shared" si="300"/>
        <v>0</v>
      </c>
      <c r="AA2439" s="78">
        <f t="shared" si="298"/>
        <v>0</v>
      </c>
      <c r="AB2439" s="78">
        <f t="shared" si="301"/>
        <v>0</v>
      </c>
      <c r="AC2439" s="78"/>
      <c r="AD2439" s="78">
        <v>0</v>
      </c>
      <c r="AE2439" s="80">
        <f t="shared" si="297"/>
        <v>0</v>
      </c>
      <c r="AF2439" s="82">
        <v>0</v>
      </c>
      <c r="AG2439" s="69">
        <v>40637</v>
      </c>
      <c r="AH2439" s="84"/>
      <c r="AI2439" s="69" t="s">
        <v>1984</v>
      </c>
      <c r="AJ2439" s="25" t="s">
        <v>1985</v>
      </c>
      <c r="AK2439" s="65"/>
      <c r="AL2439" s="176" t="s">
        <v>1257</v>
      </c>
      <c r="AM2439" s="177" t="s">
        <v>3781</v>
      </c>
      <c r="AN2439" s="159"/>
      <c r="AO2439" s="160"/>
      <c r="AP2439" s="161"/>
      <c r="AQ2439" s="160"/>
      <c r="AR2439" s="160"/>
      <c r="AS2439" s="160"/>
      <c r="AT2439" s="160"/>
      <c r="AU2439" s="160"/>
      <c r="AV2439" s="160"/>
      <c r="AW2439" s="160"/>
      <c r="AX2439" s="160"/>
      <c r="AY2439" s="160"/>
      <c r="AZ2439" s="160"/>
      <c r="BA2439" s="160"/>
      <c r="BB2439" s="160"/>
      <c r="BC2439" s="160"/>
      <c r="BD2439" s="160"/>
      <c r="BE2439" s="160"/>
      <c r="BF2439" s="160"/>
      <c r="BG2439" s="160"/>
      <c r="BH2439" s="160"/>
      <c r="BI2439" s="160"/>
      <c r="BJ2439" s="160"/>
      <c r="BK2439" s="160"/>
      <c r="BL2439" s="160"/>
      <c r="BM2439" s="160"/>
      <c r="BN2439" s="160"/>
      <c r="BO2439" s="160"/>
      <c r="BP2439" s="160"/>
      <c r="BQ2439" s="160"/>
      <c r="BR2439" s="160"/>
      <c r="BS2439" s="160"/>
      <c r="BT2439" s="160"/>
      <c r="BU2439" s="160"/>
      <c r="BV2439" s="160"/>
      <c r="BW2439" s="160"/>
      <c r="BX2439" s="160"/>
      <c r="BY2439" s="160"/>
      <c r="BZ2439" s="160"/>
      <c r="CA2439" s="160"/>
      <c r="CB2439" s="160"/>
      <c r="CC2439" s="160"/>
      <c r="CD2439" s="160"/>
      <c r="CE2439" s="160"/>
      <c r="CF2439" s="160"/>
      <c r="CG2439" s="160"/>
      <c r="CH2439" s="160"/>
      <c r="CI2439" s="160"/>
      <c r="CJ2439" s="160"/>
      <c r="CK2439" s="160"/>
      <c r="CL2439" s="160"/>
      <c r="CM2439" s="160"/>
      <c r="CN2439" s="160"/>
      <c r="CO2439" s="160"/>
      <c r="CP2439" s="162"/>
      <c r="CQ2439" s="163"/>
      <c r="CR2439" s="162"/>
      <c r="CS2439" s="163"/>
      <c r="CT2439" s="162"/>
      <c r="CU2439" s="163"/>
      <c r="CV2439" s="164">
        <f t="shared" si="302"/>
        <v>0</v>
      </c>
      <c r="CW2439" s="165"/>
      <c r="CX2439" s="166"/>
      <c r="CY2439" s="167"/>
      <c r="CZ2439" s="168"/>
      <c r="DA2439" s="169"/>
      <c r="DB2439" s="168"/>
      <c r="DC2439" s="165"/>
      <c r="DD2439" s="166"/>
      <c r="DE2439" s="71"/>
      <c r="DF2439" s="170"/>
      <c r="EO2439" s="375" t="str">
        <f t="shared" si="292"/>
        <v>LA GUAJIRA_LA JAGUA DEL PILAR</v>
      </c>
      <c r="EP2439" s="376"/>
      <c r="EQ2439" s="376"/>
      <c r="ER2439" s="377"/>
      <c r="ES2439" s="376"/>
      <c r="ET2439" s="376"/>
      <c r="EU2439" s="376"/>
    </row>
    <row r="2440" spans="1:151" s="171" customFormat="1" ht="38.25" x14ac:dyDescent="0.2">
      <c r="A2440" s="242">
        <v>40543</v>
      </c>
      <c r="B2440" s="222" t="s">
        <v>5778</v>
      </c>
      <c r="C2440" s="222" t="s">
        <v>4447</v>
      </c>
      <c r="D2440" s="430" t="s">
        <v>837</v>
      </c>
      <c r="E2440" s="107" t="str">
        <f>VLOOKUP(B2440&amp;C2440,Divipola!$C$2:$F$1138,4,FALSE)</f>
        <v>44855</v>
      </c>
      <c r="F2440" s="333"/>
      <c r="G2440" s="221"/>
      <c r="H2440" s="157"/>
      <c r="I2440" s="157"/>
      <c r="J2440" s="157">
        <f>80*5</f>
        <v>400</v>
      </c>
      <c r="K2440" s="157">
        <v>80</v>
      </c>
      <c r="L2440" s="157"/>
      <c r="M2440" s="157"/>
      <c r="N2440" s="157"/>
      <c r="O2440" s="157"/>
      <c r="P2440" s="157"/>
      <c r="Q2440" s="157"/>
      <c r="R2440" s="157"/>
      <c r="S2440" s="157"/>
      <c r="T2440" s="157"/>
      <c r="U2440" s="157"/>
      <c r="V2440" s="158"/>
      <c r="W2440" s="182"/>
      <c r="X2440" s="1"/>
      <c r="Y2440" s="78">
        <f t="shared" si="299"/>
        <v>0</v>
      </c>
      <c r="Z2440" s="78">
        <f t="shared" si="300"/>
        <v>0</v>
      </c>
      <c r="AA2440" s="78">
        <f t="shared" si="298"/>
        <v>0</v>
      </c>
      <c r="AB2440" s="78">
        <f t="shared" si="301"/>
        <v>0</v>
      </c>
      <c r="AC2440" s="78"/>
      <c r="AD2440" s="78">
        <v>0</v>
      </c>
      <c r="AE2440" s="80">
        <f t="shared" si="297"/>
        <v>0</v>
      </c>
      <c r="AF2440" s="82">
        <v>0</v>
      </c>
      <c r="AG2440" s="69">
        <v>40637</v>
      </c>
      <c r="AH2440" s="84"/>
      <c r="AI2440" s="69" t="s">
        <v>1984</v>
      </c>
      <c r="AJ2440" s="25" t="s">
        <v>1985</v>
      </c>
      <c r="AK2440" s="65"/>
      <c r="AL2440" s="176" t="s">
        <v>1257</v>
      </c>
      <c r="AM2440" s="177" t="s">
        <v>3781</v>
      </c>
      <c r="AN2440" s="159"/>
      <c r="AO2440" s="160"/>
      <c r="AP2440" s="161"/>
      <c r="AQ2440" s="160"/>
      <c r="AR2440" s="160"/>
      <c r="AS2440" s="160"/>
      <c r="AT2440" s="160"/>
      <c r="AU2440" s="160"/>
      <c r="AV2440" s="160"/>
      <c r="AW2440" s="160"/>
      <c r="AX2440" s="160"/>
      <c r="AY2440" s="160"/>
      <c r="AZ2440" s="160"/>
      <c r="BA2440" s="160"/>
      <c r="BB2440" s="160"/>
      <c r="BC2440" s="160"/>
      <c r="BD2440" s="160"/>
      <c r="BE2440" s="160"/>
      <c r="BF2440" s="160"/>
      <c r="BG2440" s="160"/>
      <c r="BH2440" s="160"/>
      <c r="BI2440" s="160"/>
      <c r="BJ2440" s="160"/>
      <c r="BK2440" s="160"/>
      <c r="BL2440" s="160"/>
      <c r="BM2440" s="160"/>
      <c r="BN2440" s="160"/>
      <c r="BO2440" s="160"/>
      <c r="BP2440" s="160"/>
      <c r="BQ2440" s="160"/>
      <c r="BR2440" s="160"/>
      <c r="BS2440" s="160"/>
      <c r="BT2440" s="160"/>
      <c r="BU2440" s="160"/>
      <c r="BV2440" s="160"/>
      <c r="BW2440" s="160"/>
      <c r="BX2440" s="160"/>
      <c r="BY2440" s="160"/>
      <c r="BZ2440" s="160"/>
      <c r="CA2440" s="160"/>
      <c r="CB2440" s="160"/>
      <c r="CC2440" s="160"/>
      <c r="CD2440" s="160"/>
      <c r="CE2440" s="160"/>
      <c r="CF2440" s="160"/>
      <c r="CG2440" s="160"/>
      <c r="CH2440" s="160"/>
      <c r="CI2440" s="160"/>
      <c r="CJ2440" s="160"/>
      <c r="CK2440" s="160"/>
      <c r="CL2440" s="160"/>
      <c r="CM2440" s="160"/>
      <c r="CN2440" s="160"/>
      <c r="CO2440" s="160"/>
      <c r="CP2440" s="162"/>
      <c r="CQ2440" s="163"/>
      <c r="CR2440" s="162"/>
      <c r="CS2440" s="163"/>
      <c r="CT2440" s="162"/>
      <c r="CU2440" s="163"/>
      <c r="CV2440" s="164">
        <f t="shared" si="302"/>
        <v>0</v>
      </c>
      <c r="CW2440" s="165"/>
      <c r="CX2440" s="166"/>
      <c r="CY2440" s="167"/>
      <c r="CZ2440" s="168"/>
      <c r="DA2440" s="169"/>
      <c r="DB2440" s="168"/>
      <c r="DC2440" s="165"/>
      <c r="DD2440" s="166"/>
      <c r="DE2440" s="71"/>
      <c r="DF2440" s="170"/>
      <c r="EO2440" s="375" t="str">
        <f t="shared" si="292"/>
        <v>LA GUAJIRA_URUMITA</v>
      </c>
      <c r="EP2440" s="376"/>
      <c r="EQ2440" s="376"/>
      <c r="ER2440" s="377"/>
      <c r="ES2440" s="376"/>
      <c r="ET2440" s="376"/>
      <c r="EU2440" s="376"/>
    </row>
    <row r="2441" spans="1:151" s="171" customFormat="1" ht="36" x14ac:dyDescent="0.2">
      <c r="A2441" s="242">
        <v>40543</v>
      </c>
      <c r="B2441" s="222" t="s">
        <v>708</v>
      </c>
      <c r="C2441" s="222" t="s">
        <v>4468</v>
      </c>
      <c r="D2441" s="430" t="s">
        <v>837</v>
      </c>
      <c r="E2441" s="107" t="str">
        <f>VLOOKUP(B2441&amp;C2441,Divipola!$C$2:$F$1138,4,FALSE)</f>
        <v>50223</v>
      </c>
      <c r="F2441" s="333"/>
      <c r="G2441" s="221"/>
      <c r="H2441" s="157"/>
      <c r="I2441" s="157"/>
      <c r="J2441" s="157">
        <f>67*5</f>
        <v>335</v>
      </c>
      <c r="K2441" s="157">
        <v>67</v>
      </c>
      <c r="L2441" s="157"/>
      <c r="M2441" s="157"/>
      <c r="N2441" s="157"/>
      <c r="O2441" s="157"/>
      <c r="P2441" s="157"/>
      <c r="Q2441" s="157"/>
      <c r="R2441" s="157"/>
      <c r="S2441" s="157"/>
      <c r="T2441" s="157"/>
      <c r="U2441" s="157"/>
      <c r="V2441" s="158"/>
      <c r="W2441" s="182"/>
      <c r="X2441" s="1"/>
      <c r="Y2441" s="78">
        <f t="shared" si="299"/>
        <v>0</v>
      </c>
      <c r="Z2441" s="78">
        <f t="shared" si="300"/>
        <v>0</v>
      </c>
      <c r="AA2441" s="78">
        <f t="shared" si="298"/>
        <v>0</v>
      </c>
      <c r="AB2441" s="78">
        <f t="shared" si="301"/>
        <v>0</v>
      </c>
      <c r="AC2441" s="78"/>
      <c r="AD2441" s="78">
        <v>0</v>
      </c>
      <c r="AE2441" s="80">
        <f t="shared" ref="AE2441:AE2447" si="303">Y2441+Z2441+AA2441+AB2441+AC2441+AD2441</f>
        <v>0</v>
      </c>
      <c r="AF2441" s="82">
        <v>0</v>
      </c>
      <c r="AG2441" s="69">
        <v>40637</v>
      </c>
      <c r="AH2441" s="84"/>
      <c r="AI2441" s="69" t="s">
        <v>1984</v>
      </c>
      <c r="AJ2441" s="25" t="s">
        <v>1985</v>
      </c>
      <c r="AK2441" s="65"/>
      <c r="AL2441" s="176" t="s">
        <v>1257</v>
      </c>
      <c r="AM2441" s="177" t="s">
        <v>3781</v>
      </c>
      <c r="AN2441" s="159"/>
      <c r="AO2441" s="160"/>
      <c r="AP2441" s="161"/>
      <c r="AQ2441" s="160"/>
      <c r="AR2441" s="160"/>
      <c r="AS2441" s="160"/>
      <c r="AT2441" s="160"/>
      <c r="AU2441" s="160"/>
      <c r="AV2441" s="160"/>
      <c r="AW2441" s="160"/>
      <c r="AX2441" s="160"/>
      <c r="AY2441" s="160"/>
      <c r="AZ2441" s="160"/>
      <c r="BA2441" s="160"/>
      <c r="BB2441" s="160"/>
      <c r="BC2441" s="160"/>
      <c r="BD2441" s="160"/>
      <c r="BE2441" s="160"/>
      <c r="BF2441" s="160"/>
      <c r="BG2441" s="160"/>
      <c r="BH2441" s="160"/>
      <c r="BI2441" s="160"/>
      <c r="BJ2441" s="160"/>
      <c r="BK2441" s="160"/>
      <c r="BL2441" s="160"/>
      <c r="BM2441" s="160"/>
      <c r="BN2441" s="160"/>
      <c r="BO2441" s="160"/>
      <c r="BP2441" s="160"/>
      <c r="BQ2441" s="160"/>
      <c r="BR2441" s="160"/>
      <c r="BS2441" s="160"/>
      <c r="BT2441" s="160"/>
      <c r="BU2441" s="160"/>
      <c r="BV2441" s="160"/>
      <c r="BW2441" s="160"/>
      <c r="BX2441" s="160"/>
      <c r="BY2441" s="160"/>
      <c r="BZ2441" s="160"/>
      <c r="CA2441" s="160"/>
      <c r="CB2441" s="160"/>
      <c r="CC2441" s="160"/>
      <c r="CD2441" s="160"/>
      <c r="CE2441" s="160"/>
      <c r="CF2441" s="160"/>
      <c r="CG2441" s="160"/>
      <c r="CH2441" s="160"/>
      <c r="CI2441" s="160"/>
      <c r="CJ2441" s="160"/>
      <c r="CK2441" s="160"/>
      <c r="CL2441" s="160"/>
      <c r="CM2441" s="160"/>
      <c r="CN2441" s="160"/>
      <c r="CO2441" s="160"/>
      <c r="CP2441" s="162"/>
      <c r="CQ2441" s="163"/>
      <c r="CR2441" s="162"/>
      <c r="CS2441" s="163"/>
      <c r="CT2441" s="162"/>
      <c r="CU2441" s="163"/>
      <c r="CV2441" s="164">
        <f t="shared" si="302"/>
        <v>0</v>
      </c>
      <c r="CW2441" s="165"/>
      <c r="CX2441" s="166"/>
      <c r="CY2441" s="167"/>
      <c r="CZ2441" s="168"/>
      <c r="DA2441" s="169"/>
      <c r="DB2441" s="168"/>
      <c r="DC2441" s="165"/>
      <c r="DD2441" s="166"/>
      <c r="DE2441" s="71"/>
      <c r="DF2441" s="170"/>
      <c r="EO2441" s="375" t="str">
        <f t="shared" si="292"/>
        <v>META_CUBARRAL</v>
      </c>
      <c r="EP2441" s="376"/>
      <c r="EQ2441" s="376"/>
      <c r="ER2441" s="377"/>
      <c r="ES2441" s="376"/>
      <c r="ET2441" s="376"/>
      <c r="EU2441" s="376"/>
    </row>
    <row r="2442" spans="1:151" s="171" customFormat="1" ht="36" x14ac:dyDescent="0.2">
      <c r="A2442" s="242">
        <v>40543</v>
      </c>
      <c r="B2442" s="222" t="s">
        <v>2427</v>
      </c>
      <c r="C2442" s="222" t="s">
        <v>4537</v>
      </c>
      <c r="D2442" s="430" t="s">
        <v>837</v>
      </c>
      <c r="E2442" s="107" t="str">
        <f>VLOOKUP(B2442&amp;C2442,Divipola!$C$2:$F$1138,4,FALSE)</f>
        <v>68013</v>
      </c>
      <c r="F2442" s="333"/>
      <c r="G2442" s="221"/>
      <c r="H2442" s="157"/>
      <c r="I2442" s="157"/>
      <c r="J2442" s="157">
        <v>35</v>
      </c>
      <c r="K2442" s="157">
        <v>7</v>
      </c>
      <c r="L2442" s="157"/>
      <c r="M2442" s="157"/>
      <c r="N2442" s="157"/>
      <c r="O2442" s="157"/>
      <c r="P2442" s="157"/>
      <c r="Q2442" s="157"/>
      <c r="R2442" s="157"/>
      <c r="S2442" s="157"/>
      <c r="T2442" s="157"/>
      <c r="U2442" s="157"/>
      <c r="V2442" s="158"/>
      <c r="W2442" s="182"/>
      <c r="X2442" s="1"/>
      <c r="Y2442" s="78">
        <f t="shared" si="299"/>
        <v>0</v>
      </c>
      <c r="Z2442" s="78">
        <f t="shared" si="300"/>
        <v>0</v>
      </c>
      <c r="AA2442" s="78">
        <f t="shared" si="298"/>
        <v>0</v>
      </c>
      <c r="AB2442" s="78">
        <f t="shared" si="301"/>
        <v>0</v>
      </c>
      <c r="AC2442" s="78"/>
      <c r="AD2442" s="78">
        <v>0</v>
      </c>
      <c r="AE2442" s="80">
        <f t="shared" si="303"/>
        <v>0</v>
      </c>
      <c r="AF2442" s="82">
        <v>0</v>
      </c>
      <c r="AG2442" s="69">
        <v>40637</v>
      </c>
      <c r="AH2442" s="84"/>
      <c r="AI2442" s="69" t="s">
        <v>1984</v>
      </c>
      <c r="AJ2442" s="25" t="s">
        <v>1985</v>
      </c>
      <c r="AK2442" s="65"/>
      <c r="AL2442" s="176" t="s">
        <v>1257</v>
      </c>
      <c r="AM2442" s="177" t="s">
        <v>3781</v>
      </c>
      <c r="AN2442" s="159"/>
      <c r="AO2442" s="160"/>
      <c r="AP2442" s="161"/>
      <c r="AQ2442" s="160"/>
      <c r="AR2442" s="160"/>
      <c r="AS2442" s="160"/>
      <c r="AT2442" s="160"/>
      <c r="AU2442" s="160"/>
      <c r="AV2442" s="160"/>
      <c r="AW2442" s="160"/>
      <c r="AX2442" s="160"/>
      <c r="AY2442" s="160"/>
      <c r="AZ2442" s="160"/>
      <c r="BA2442" s="160"/>
      <c r="BB2442" s="160"/>
      <c r="BC2442" s="160"/>
      <c r="BD2442" s="160"/>
      <c r="BE2442" s="160"/>
      <c r="BF2442" s="160"/>
      <c r="BG2442" s="160"/>
      <c r="BH2442" s="160"/>
      <c r="BI2442" s="160"/>
      <c r="BJ2442" s="160"/>
      <c r="BK2442" s="160"/>
      <c r="BL2442" s="160"/>
      <c r="BM2442" s="160"/>
      <c r="BN2442" s="160"/>
      <c r="BO2442" s="160"/>
      <c r="BP2442" s="160"/>
      <c r="BQ2442" s="160"/>
      <c r="BR2442" s="160"/>
      <c r="BS2442" s="160"/>
      <c r="BT2442" s="160"/>
      <c r="BU2442" s="160"/>
      <c r="BV2442" s="160"/>
      <c r="BW2442" s="160"/>
      <c r="BX2442" s="160"/>
      <c r="BY2442" s="160"/>
      <c r="BZ2442" s="160"/>
      <c r="CA2442" s="160"/>
      <c r="CB2442" s="160"/>
      <c r="CC2442" s="160"/>
      <c r="CD2442" s="160"/>
      <c r="CE2442" s="160"/>
      <c r="CF2442" s="160"/>
      <c r="CG2442" s="160"/>
      <c r="CH2442" s="160"/>
      <c r="CI2442" s="160"/>
      <c r="CJ2442" s="160"/>
      <c r="CK2442" s="160"/>
      <c r="CL2442" s="160"/>
      <c r="CM2442" s="160"/>
      <c r="CN2442" s="160"/>
      <c r="CO2442" s="160"/>
      <c r="CP2442" s="162"/>
      <c r="CQ2442" s="163"/>
      <c r="CR2442" s="162"/>
      <c r="CS2442" s="163"/>
      <c r="CT2442" s="162"/>
      <c r="CU2442" s="163"/>
      <c r="CV2442" s="164">
        <f t="shared" si="302"/>
        <v>0</v>
      </c>
      <c r="CW2442" s="165"/>
      <c r="CX2442" s="166"/>
      <c r="CY2442" s="167"/>
      <c r="CZ2442" s="168"/>
      <c r="DA2442" s="169"/>
      <c r="DB2442" s="168"/>
      <c r="DC2442" s="165"/>
      <c r="DD2442" s="166"/>
      <c r="DE2442" s="71"/>
      <c r="DF2442" s="170"/>
      <c r="EO2442" s="375" t="str">
        <f t="shared" si="292"/>
        <v>SANTANDER_AGUADA</v>
      </c>
      <c r="EP2442" s="376"/>
      <c r="EQ2442" s="376"/>
      <c r="ER2442" s="377"/>
      <c r="ES2442" s="376"/>
      <c r="ET2442" s="376"/>
      <c r="EU2442" s="376"/>
    </row>
    <row r="2443" spans="1:151" s="171" customFormat="1" ht="38.25" x14ac:dyDescent="0.2">
      <c r="A2443" s="242">
        <v>40543</v>
      </c>
      <c r="B2443" s="222" t="s">
        <v>2427</v>
      </c>
      <c r="C2443" s="222" t="s">
        <v>2030</v>
      </c>
      <c r="D2443" s="430" t="s">
        <v>837</v>
      </c>
      <c r="E2443" s="107" t="str">
        <f>VLOOKUP(B2443&amp;C2443,Divipola!$C$2:$F$1138,4,FALSE)</f>
        <v>68320</v>
      </c>
      <c r="F2443" s="333"/>
      <c r="G2443" s="221"/>
      <c r="H2443" s="157"/>
      <c r="I2443" s="157"/>
      <c r="J2443" s="157">
        <f>95*5</f>
        <v>475</v>
      </c>
      <c r="K2443" s="157">
        <v>95</v>
      </c>
      <c r="L2443" s="157"/>
      <c r="M2443" s="157"/>
      <c r="N2443" s="157"/>
      <c r="O2443" s="157"/>
      <c r="P2443" s="157"/>
      <c r="Q2443" s="157"/>
      <c r="R2443" s="157"/>
      <c r="S2443" s="157"/>
      <c r="T2443" s="157"/>
      <c r="U2443" s="157"/>
      <c r="V2443" s="158"/>
      <c r="W2443" s="182"/>
      <c r="X2443" s="1"/>
      <c r="Y2443" s="78">
        <f t="shared" si="299"/>
        <v>0</v>
      </c>
      <c r="Z2443" s="78">
        <f t="shared" si="300"/>
        <v>0</v>
      </c>
      <c r="AA2443" s="78">
        <f t="shared" si="298"/>
        <v>0</v>
      </c>
      <c r="AB2443" s="78">
        <f t="shared" si="301"/>
        <v>0</v>
      </c>
      <c r="AC2443" s="78"/>
      <c r="AD2443" s="78">
        <v>0</v>
      </c>
      <c r="AE2443" s="80">
        <f t="shared" si="303"/>
        <v>0</v>
      </c>
      <c r="AF2443" s="82">
        <v>0</v>
      </c>
      <c r="AG2443" s="69">
        <v>40637</v>
      </c>
      <c r="AH2443" s="84"/>
      <c r="AI2443" s="69" t="s">
        <v>1984</v>
      </c>
      <c r="AJ2443" s="25" t="s">
        <v>1985</v>
      </c>
      <c r="AK2443" s="65"/>
      <c r="AL2443" s="176" t="s">
        <v>1257</v>
      </c>
      <c r="AM2443" s="177" t="s">
        <v>3781</v>
      </c>
      <c r="AN2443" s="159"/>
      <c r="AO2443" s="160"/>
      <c r="AP2443" s="161"/>
      <c r="AQ2443" s="160"/>
      <c r="AR2443" s="160"/>
      <c r="AS2443" s="160"/>
      <c r="AT2443" s="160"/>
      <c r="AU2443" s="160"/>
      <c r="AV2443" s="160"/>
      <c r="AW2443" s="160"/>
      <c r="AX2443" s="160"/>
      <c r="AY2443" s="160"/>
      <c r="AZ2443" s="160"/>
      <c r="BA2443" s="160"/>
      <c r="BB2443" s="160"/>
      <c r="BC2443" s="160"/>
      <c r="BD2443" s="160"/>
      <c r="BE2443" s="160"/>
      <c r="BF2443" s="160"/>
      <c r="BG2443" s="160"/>
      <c r="BH2443" s="160"/>
      <c r="BI2443" s="160"/>
      <c r="BJ2443" s="160"/>
      <c r="BK2443" s="160"/>
      <c r="BL2443" s="160"/>
      <c r="BM2443" s="160"/>
      <c r="BN2443" s="160"/>
      <c r="BO2443" s="160"/>
      <c r="BP2443" s="160"/>
      <c r="BQ2443" s="160"/>
      <c r="BR2443" s="160"/>
      <c r="BS2443" s="160"/>
      <c r="BT2443" s="160"/>
      <c r="BU2443" s="160"/>
      <c r="BV2443" s="160"/>
      <c r="BW2443" s="160"/>
      <c r="BX2443" s="160"/>
      <c r="BY2443" s="160"/>
      <c r="BZ2443" s="160"/>
      <c r="CA2443" s="160"/>
      <c r="CB2443" s="160"/>
      <c r="CC2443" s="160"/>
      <c r="CD2443" s="160"/>
      <c r="CE2443" s="160"/>
      <c r="CF2443" s="160"/>
      <c r="CG2443" s="160"/>
      <c r="CH2443" s="160"/>
      <c r="CI2443" s="160"/>
      <c r="CJ2443" s="160"/>
      <c r="CK2443" s="160"/>
      <c r="CL2443" s="160"/>
      <c r="CM2443" s="160"/>
      <c r="CN2443" s="160"/>
      <c r="CO2443" s="160"/>
      <c r="CP2443" s="162"/>
      <c r="CQ2443" s="163"/>
      <c r="CR2443" s="162"/>
      <c r="CS2443" s="163"/>
      <c r="CT2443" s="162"/>
      <c r="CU2443" s="163"/>
      <c r="CV2443" s="164">
        <f t="shared" si="302"/>
        <v>0</v>
      </c>
      <c r="CW2443" s="165"/>
      <c r="CX2443" s="166"/>
      <c r="CY2443" s="167"/>
      <c r="CZ2443" s="168"/>
      <c r="DA2443" s="169"/>
      <c r="DB2443" s="168"/>
      <c r="DC2443" s="165"/>
      <c r="DD2443" s="166"/>
      <c r="DE2443" s="71"/>
      <c r="DF2443" s="170"/>
      <c r="EO2443" s="375" t="str">
        <f t="shared" si="292"/>
        <v>SANTANDER_GUADALUPE</v>
      </c>
      <c r="EP2443" s="376"/>
      <c r="EQ2443" s="376"/>
      <c r="ER2443" s="377"/>
      <c r="ES2443" s="376"/>
      <c r="ET2443" s="376"/>
      <c r="EU2443" s="376"/>
    </row>
    <row r="2444" spans="1:151" s="171" customFormat="1" ht="36" x14ac:dyDescent="0.2">
      <c r="A2444" s="242">
        <v>40543</v>
      </c>
      <c r="B2444" s="222" t="s">
        <v>2427</v>
      </c>
      <c r="C2444" s="222" t="s">
        <v>4557</v>
      </c>
      <c r="D2444" s="430" t="s">
        <v>837</v>
      </c>
      <c r="E2444" s="107" t="str">
        <f>VLOOKUP(B2444&amp;C2444,Divipola!$C$2:$F$1138,4,FALSE)</f>
        <v>68370</v>
      </c>
      <c r="F2444" s="333"/>
      <c r="G2444" s="221"/>
      <c r="H2444" s="157"/>
      <c r="I2444" s="157"/>
      <c r="J2444" s="157">
        <f>6*4.5</f>
        <v>27</v>
      </c>
      <c r="K2444" s="157">
        <v>6</v>
      </c>
      <c r="L2444" s="157"/>
      <c r="M2444" s="157"/>
      <c r="N2444" s="157"/>
      <c r="O2444" s="157"/>
      <c r="P2444" s="157"/>
      <c r="Q2444" s="157"/>
      <c r="R2444" s="157"/>
      <c r="S2444" s="157"/>
      <c r="T2444" s="157"/>
      <c r="U2444" s="157"/>
      <c r="V2444" s="158"/>
      <c r="W2444" s="182"/>
      <c r="X2444" s="1"/>
      <c r="Y2444" s="78">
        <f t="shared" si="299"/>
        <v>0</v>
      </c>
      <c r="Z2444" s="78">
        <f t="shared" si="300"/>
        <v>0</v>
      </c>
      <c r="AA2444" s="78">
        <f t="shared" si="298"/>
        <v>0</v>
      </c>
      <c r="AB2444" s="78">
        <f t="shared" si="301"/>
        <v>0</v>
      </c>
      <c r="AC2444" s="78"/>
      <c r="AD2444" s="78">
        <v>0</v>
      </c>
      <c r="AE2444" s="80">
        <f t="shared" si="303"/>
        <v>0</v>
      </c>
      <c r="AF2444" s="82">
        <v>0</v>
      </c>
      <c r="AG2444" s="69">
        <v>40637</v>
      </c>
      <c r="AH2444" s="84"/>
      <c r="AI2444" s="69" t="s">
        <v>1984</v>
      </c>
      <c r="AJ2444" s="25" t="s">
        <v>1985</v>
      </c>
      <c r="AK2444" s="65"/>
      <c r="AL2444" s="176" t="s">
        <v>1257</v>
      </c>
      <c r="AM2444" s="177" t="s">
        <v>3781</v>
      </c>
      <c r="AN2444" s="159"/>
      <c r="AO2444" s="160"/>
      <c r="AP2444" s="161"/>
      <c r="AQ2444" s="160"/>
      <c r="AR2444" s="160"/>
      <c r="AS2444" s="160"/>
      <c r="AT2444" s="160"/>
      <c r="AU2444" s="160"/>
      <c r="AV2444" s="160"/>
      <c r="AW2444" s="160"/>
      <c r="AX2444" s="160"/>
      <c r="AY2444" s="160"/>
      <c r="AZ2444" s="160"/>
      <c r="BA2444" s="160"/>
      <c r="BB2444" s="160"/>
      <c r="BC2444" s="160"/>
      <c r="BD2444" s="160"/>
      <c r="BE2444" s="160"/>
      <c r="BF2444" s="160"/>
      <c r="BG2444" s="160"/>
      <c r="BH2444" s="160"/>
      <c r="BI2444" s="160"/>
      <c r="BJ2444" s="160"/>
      <c r="BK2444" s="160"/>
      <c r="BL2444" s="160"/>
      <c r="BM2444" s="160"/>
      <c r="BN2444" s="160"/>
      <c r="BO2444" s="160"/>
      <c r="BP2444" s="160"/>
      <c r="BQ2444" s="160"/>
      <c r="BR2444" s="160"/>
      <c r="BS2444" s="160"/>
      <c r="BT2444" s="160"/>
      <c r="BU2444" s="160"/>
      <c r="BV2444" s="160"/>
      <c r="BW2444" s="160"/>
      <c r="BX2444" s="160"/>
      <c r="BY2444" s="160"/>
      <c r="BZ2444" s="160"/>
      <c r="CA2444" s="160"/>
      <c r="CB2444" s="160"/>
      <c r="CC2444" s="160"/>
      <c r="CD2444" s="160"/>
      <c r="CE2444" s="160"/>
      <c r="CF2444" s="160"/>
      <c r="CG2444" s="160"/>
      <c r="CH2444" s="160"/>
      <c r="CI2444" s="160"/>
      <c r="CJ2444" s="160"/>
      <c r="CK2444" s="160"/>
      <c r="CL2444" s="160"/>
      <c r="CM2444" s="160"/>
      <c r="CN2444" s="160"/>
      <c r="CO2444" s="160"/>
      <c r="CP2444" s="162"/>
      <c r="CQ2444" s="163"/>
      <c r="CR2444" s="162"/>
      <c r="CS2444" s="163"/>
      <c r="CT2444" s="162"/>
      <c r="CU2444" s="163"/>
      <c r="CV2444" s="164">
        <f t="shared" si="302"/>
        <v>0</v>
      </c>
      <c r="CW2444" s="165"/>
      <c r="CX2444" s="166"/>
      <c r="CY2444" s="167"/>
      <c r="CZ2444" s="168"/>
      <c r="DA2444" s="169"/>
      <c r="DB2444" s="168"/>
      <c r="DC2444" s="165"/>
      <c r="DD2444" s="166"/>
      <c r="DE2444" s="71"/>
      <c r="DF2444" s="170"/>
      <c r="EO2444" s="375" t="str">
        <f t="shared" si="292"/>
        <v>SANTANDER_JORDAN</v>
      </c>
      <c r="EP2444" s="376"/>
      <c r="EQ2444" s="376"/>
      <c r="ER2444" s="377"/>
      <c r="ES2444" s="376"/>
      <c r="ET2444" s="376"/>
      <c r="EU2444" s="376"/>
    </row>
    <row r="2445" spans="1:151" s="171" customFormat="1" ht="36" x14ac:dyDescent="0.2">
      <c r="A2445" s="242">
        <v>40543</v>
      </c>
      <c r="B2445" s="222" t="s">
        <v>2427</v>
      </c>
      <c r="C2445" s="222" t="s">
        <v>4569</v>
      </c>
      <c r="D2445" s="430" t="s">
        <v>837</v>
      </c>
      <c r="E2445" s="107" t="str">
        <f>VLOOKUP(B2445&amp;C2445,Divipola!$C$2:$F$1138,4,FALSE)</f>
        <v>68770</v>
      </c>
      <c r="F2445" s="333"/>
      <c r="G2445" s="221"/>
      <c r="H2445" s="157"/>
      <c r="I2445" s="157"/>
      <c r="J2445" s="157">
        <f>307*5</f>
        <v>1535</v>
      </c>
      <c r="K2445" s="157">
        <v>307</v>
      </c>
      <c r="L2445" s="157"/>
      <c r="M2445" s="157"/>
      <c r="N2445" s="157"/>
      <c r="O2445" s="157"/>
      <c r="P2445" s="157"/>
      <c r="Q2445" s="157"/>
      <c r="R2445" s="157"/>
      <c r="S2445" s="157"/>
      <c r="T2445" s="157"/>
      <c r="U2445" s="157"/>
      <c r="V2445" s="158"/>
      <c r="W2445" s="182"/>
      <c r="X2445" s="1"/>
      <c r="Y2445" s="78">
        <f t="shared" si="299"/>
        <v>0</v>
      </c>
      <c r="Z2445" s="78">
        <f t="shared" si="300"/>
        <v>0</v>
      </c>
      <c r="AA2445" s="78">
        <f t="shared" si="298"/>
        <v>0</v>
      </c>
      <c r="AB2445" s="78">
        <f t="shared" si="301"/>
        <v>0</v>
      </c>
      <c r="AC2445" s="78"/>
      <c r="AD2445" s="78">
        <v>0</v>
      </c>
      <c r="AE2445" s="80">
        <f t="shared" si="303"/>
        <v>0</v>
      </c>
      <c r="AF2445" s="82">
        <v>0</v>
      </c>
      <c r="AG2445" s="69">
        <v>40637</v>
      </c>
      <c r="AH2445" s="84"/>
      <c r="AI2445" s="69" t="s">
        <v>1984</v>
      </c>
      <c r="AJ2445" s="25" t="s">
        <v>1985</v>
      </c>
      <c r="AK2445" s="65"/>
      <c r="AL2445" s="176" t="s">
        <v>1257</v>
      </c>
      <c r="AM2445" s="177" t="s">
        <v>3781</v>
      </c>
      <c r="AN2445" s="159"/>
      <c r="AO2445" s="160"/>
      <c r="AP2445" s="161"/>
      <c r="AQ2445" s="160"/>
      <c r="AR2445" s="160"/>
      <c r="AS2445" s="160"/>
      <c r="AT2445" s="160"/>
      <c r="AU2445" s="160"/>
      <c r="AV2445" s="160"/>
      <c r="AW2445" s="160"/>
      <c r="AX2445" s="160"/>
      <c r="AY2445" s="160"/>
      <c r="AZ2445" s="160"/>
      <c r="BA2445" s="160"/>
      <c r="BB2445" s="160"/>
      <c r="BC2445" s="160"/>
      <c r="BD2445" s="160"/>
      <c r="BE2445" s="160"/>
      <c r="BF2445" s="160"/>
      <c r="BG2445" s="160"/>
      <c r="BH2445" s="160"/>
      <c r="BI2445" s="160"/>
      <c r="BJ2445" s="160"/>
      <c r="BK2445" s="160"/>
      <c r="BL2445" s="160"/>
      <c r="BM2445" s="160"/>
      <c r="BN2445" s="160"/>
      <c r="BO2445" s="160"/>
      <c r="BP2445" s="160"/>
      <c r="BQ2445" s="160"/>
      <c r="BR2445" s="160"/>
      <c r="BS2445" s="160"/>
      <c r="BT2445" s="160"/>
      <c r="BU2445" s="160"/>
      <c r="BV2445" s="160"/>
      <c r="BW2445" s="160"/>
      <c r="BX2445" s="160"/>
      <c r="BY2445" s="160"/>
      <c r="BZ2445" s="160"/>
      <c r="CA2445" s="160"/>
      <c r="CB2445" s="160"/>
      <c r="CC2445" s="160"/>
      <c r="CD2445" s="160"/>
      <c r="CE2445" s="160"/>
      <c r="CF2445" s="160"/>
      <c r="CG2445" s="160"/>
      <c r="CH2445" s="160"/>
      <c r="CI2445" s="160"/>
      <c r="CJ2445" s="160"/>
      <c r="CK2445" s="160"/>
      <c r="CL2445" s="160"/>
      <c r="CM2445" s="160"/>
      <c r="CN2445" s="160"/>
      <c r="CO2445" s="160"/>
      <c r="CP2445" s="162"/>
      <c r="CQ2445" s="163"/>
      <c r="CR2445" s="162"/>
      <c r="CS2445" s="163"/>
      <c r="CT2445" s="162"/>
      <c r="CU2445" s="163"/>
      <c r="CV2445" s="164">
        <f t="shared" si="302"/>
        <v>0</v>
      </c>
      <c r="CW2445" s="165"/>
      <c r="CX2445" s="166"/>
      <c r="CY2445" s="167"/>
      <c r="CZ2445" s="168"/>
      <c r="DA2445" s="169"/>
      <c r="DB2445" s="168"/>
      <c r="DC2445" s="165"/>
      <c r="DD2445" s="166"/>
      <c r="DE2445" s="71"/>
      <c r="DF2445" s="170"/>
      <c r="EO2445" s="375"/>
      <c r="EP2445" s="376"/>
      <c r="EQ2445" s="376"/>
      <c r="ER2445" s="377"/>
      <c r="ES2445" s="376"/>
      <c r="ET2445" s="376"/>
      <c r="EU2445" s="376"/>
    </row>
    <row r="2446" spans="1:151" s="171" customFormat="1" ht="36" x14ac:dyDescent="0.2">
      <c r="A2446" s="242">
        <v>40543</v>
      </c>
      <c r="B2446" s="222" t="s">
        <v>2427</v>
      </c>
      <c r="C2446" s="222" t="s">
        <v>4555</v>
      </c>
      <c r="D2446" s="430" t="s">
        <v>837</v>
      </c>
      <c r="E2446" s="107" t="str">
        <f>VLOOKUP(B2446&amp;C2446,Divipola!$C$2:$F$1138,4,FALSE)</f>
        <v>68327</v>
      </c>
      <c r="F2446" s="333"/>
      <c r="G2446" s="221"/>
      <c r="H2446" s="157"/>
      <c r="I2446" s="157"/>
      <c r="J2446" s="157">
        <v>20</v>
      </c>
      <c r="K2446" s="157">
        <v>4</v>
      </c>
      <c r="L2446" s="157"/>
      <c r="M2446" s="157"/>
      <c r="N2446" s="157"/>
      <c r="O2446" s="157"/>
      <c r="P2446" s="157"/>
      <c r="Q2446" s="157"/>
      <c r="R2446" s="157"/>
      <c r="S2446" s="157"/>
      <c r="T2446" s="157"/>
      <c r="U2446" s="157"/>
      <c r="V2446" s="158"/>
      <c r="W2446" s="182"/>
      <c r="X2446" s="1"/>
      <c r="Y2446" s="78">
        <f t="shared" si="299"/>
        <v>0</v>
      </c>
      <c r="Z2446" s="78">
        <f t="shared" si="300"/>
        <v>0</v>
      </c>
      <c r="AA2446" s="78">
        <f t="shared" si="298"/>
        <v>0</v>
      </c>
      <c r="AB2446" s="78">
        <f t="shared" si="301"/>
        <v>0</v>
      </c>
      <c r="AC2446" s="78"/>
      <c r="AD2446" s="78">
        <v>0</v>
      </c>
      <c r="AE2446" s="80">
        <f t="shared" si="303"/>
        <v>0</v>
      </c>
      <c r="AF2446" s="82">
        <v>0</v>
      </c>
      <c r="AG2446" s="69">
        <v>40637</v>
      </c>
      <c r="AH2446" s="84"/>
      <c r="AI2446" s="69" t="s">
        <v>1984</v>
      </c>
      <c r="AJ2446" s="25" t="s">
        <v>1985</v>
      </c>
      <c r="AK2446" s="65"/>
      <c r="AL2446" s="176" t="s">
        <v>1257</v>
      </c>
      <c r="AM2446" s="177" t="s">
        <v>3781</v>
      </c>
      <c r="AN2446" s="159"/>
      <c r="AO2446" s="160"/>
      <c r="AP2446" s="161"/>
      <c r="AQ2446" s="160"/>
      <c r="AR2446" s="160"/>
      <c r="AS2446" s="160"/>
      <c r="AT2446" s="160"/>
      <c r="AU2446" s="160"/>
      <c r="AV2446" s="160"/>
      <c r="AW2446" s="160"/>
      <c r="AX2446" s="160"/>
      <c r="AY2446" s="160"/>
      <c r="AZ2446" s="160"/>
      <c r="BA2446" s="160"/>
      <c r="BB2446" s="160"/>
      <c r="BC2446" s="160"/>
      <c r="BD2446" s="160"/>
      <c r="BE2446" s="160"/>
      <c r="BF2446" s="160"/>
      <c r="BG2446" s="160"/>
      <c r="BH2446" s="160"/>
      <c r="BI2446" s="160"/>
      <c r="BJ2446" s="160"/>
      <c r="BK2446" s="160"/>
      <c r="BL2446" s="160"/>
      <c r="BM2446" s="160"/>
      <c r="BN2446" s="160"/>
      <c r="BO2446" s="160"/>
      <c r="BP2446" s="160"/>
      <c r="BQ2446" s="160"/>
      <c r="BR2446" s="160"/>
      <c r="BS2446" s="160"/>
      <c r="BT2446" s="160"/>
      <c r="BU2446" s="160"/>
      <c r="BV2446" s="160"/>
      <c r="BW2446" s="160"/>
      <c r="BX2446" s="160"/>
      <c r="BY2446" s="160"/>
      <c r="BZ2446" s="160"/>
      <c r="CA2446" s="160"/>
      <c r="CB2446" s="160"/>
      <c r="CC2446" s="160"/>
      <c r="CD2446" s="160"/>
      <c r="CE2446" s="160"/>
      <c r="CF2446" s="160"/>
      <c r="CG2446" s="160"/>
      <c r="CH2446" s="160"/>
      <c r="CI2446" s="160"/>
      <c r="CJ2446" s="160"/>
      <c r="CK2446" s="160"/>
      <c r="CL2446" s="160"/>
      <c r="CM2446" s="160"/>
      <c r="CN2446" s="160"/>
      <c r="CO2446" s="160"/>
      <c r="CP2446" s="162"/>
      <c r="CQ2446" s="163"/>
      <c r="CR2446" s="162"/>
      <c r="CS2446" s="163"/>
      <c r="CT2446" s="162"/>
      <c r="CU2446" s="163"/>
      <c r="CV2446" s="164">
        <f t="shared" si="302"/>
        <v>0</v>
      </c>
      <c r="CW2446" s="165"/>
      <c r="CX2446" s="166"/>
      <c r="CY2446" s="167"/>
      <c r="CZ2446" s="168"/>
      <c r="DA2446" s="169"/>
      <c r="DB2446" s="168"/>
      <c r="DC2446" s="165"/>
      <c r="DD2446" s="166"/>
      <c r="DE2446" s="71"/>
      <c r="DF2446" s="170"/>
      <c r="EO2446" s="375"/>
      <c r="EP2446" s="376"/>
      <c r="EQ2446" s="376"/>
      <c r="ER2446" s="377"/>
      <c r="ES2446" s="376"/>
      <c r="ET2446" s="376"/>
      <c r="EU2446" s="376"/>
    </row>
    <row r="2447" spans="1:151" s="171" customFormat="1" ht="36" x14ac:dyDescent="0.2">
      <c r="A2447" s="242">
        <v>40543</v>
      </c>
      <c r="B2447" s="222" t="s">
        <v>2791</v>
      </c>
      <c r="C2447" s="222" t="s">
        <v>4604</v>
      </c>
      <c r="D2447" s="430" t="s">
        <v>837</v>
      </c>
      <c r="E2447" s="107" t="str">
        <f>VLOOKUP(B2447&amp;C2447,Divipola!$C$2:$F$1138,4,FALSE)</f>
        <v>73408</v>
      </c>
      <c r="F2447" s="333"/>
      <c r="G2447" s="221"/>
      <c r="H2447" s="157"/>
      <c r="I2447" s="157"/>
      <c r="J2447" s="157">
        <f>48*5</f>
        <v>240</v>
      </c>
      <c r="K2447" s="157">
        <v>48</v>
      </c>
      <c r="L2447" s="157"/>
      <c r="M2447" s="157"/>
      <c r="N2447" s="157"/>
      <c r="O2447" s="157"/>
      <c r="P2447" s="157"/>
      <c r="Q2447" s="157"/>
      <c r="R2447" s="157"/>
      <c r="S2447" s="157"/>
      <c r="T2447" s="157"/>
      <c r="U2447" s="157"/>
      <c r="V2447" s="158"/>
      <c r="W2447" s="182"/>
      <c r="X2447" s="1"/>
      <c r="Y2447" s="78">
        <f t="shared" si="299"/>
        <v>0</v>
      </c>
      <c r="Z2447" s="78">
        <f t="shared" si="300"/>
        <v>0</v>
      </c>
      <c r="AA2447" s="78">
        <f t="shared" si="298"/>
        <v>0</v>
      </c>
      <c r="AB2447" s="78">
        <f t="shared" si="301"/>
        <v>0</v>
      </c>
      <c r="AC2447" s="78"/>
      <c r="AD2447" s="78">
        <v>0</v>
      </c>
      <c r="AE2447" s="80">
        <f t="shared" si="303"/>
        <v>0</v>
      </c>
      <c r="AF2447" s="82">
        <v>0</v>
      </c>
      <c r="AG2447" s="69">
        <v>40637</v>
      </c>
      <c r="AH2447" s="84"/>
      <c r="AI2447" s="69" t="s">
        <v>1984</v>
      </c>
      <c r="AJ2447" s="25" t="s">
        <v>1985</v>
      </c>
      <c r="AK2447" s="65"/>
      <c r="AL2447" s="69" t="s">
        <v>1257</v>
      </c>
      <c r="AM2447" s="177" t="s">
        <v>3781</v>
      </c>
      <c r="AN2447" s="159"/>
      <c r="AO2447" s="160"/>
      <c r="AP2447" s="161"/>
      <c r="AQ2447" s="160"/>
      <c r="AR2447" s="160"/>
      <c r="AS2447" s="160"/>
      <c r="AT2447" s="160"/>
      <c r="AU2447" s="160"/>
      <c r="AV2447" s="160"/>
      <c r="AW2447" s="160"/>
      <c r="AX2447" s="160"/>
      <c r="AY2447" s="160"/>
      <c r="AZ2447" s="160"/>
      <c r="BA2447" s="160"/>
      <c r="BB2447" s="160"/>
      <c r="BC2447" s="160"/>
      <c r="BD2447" s="160"/>
      <c r="BE2447" s="160"/>
      <c r="BF2447" s="160"/>
      <c r="BG2447" s="160"/>
      <c r="BH2447" s="160"/>
      <c r="BI2447" s="160"/>
      <c r="BJ2447" s="160"/>
      <c r="BK2447" s="160"/>
      <c r="BL2447" s="160"/>
      <c r="BM2447" s="160"/>
      <c r="BN2447" s="160"/>
      <c r="BO2447" s="160"/>
      <c r="BP2447" s="160"/>
      <c r="BQ2447" s="160"/>
      <c r="BR2447" s="160"/>
      <c r="BS2447" s="160"/>
      <c r="BT2447" s="160"/>
      <c r="BU2447" s="160"/>
      <c r="BV2447" s="160"/>
      <c r="BW2447" s="160"/>
      <c r="BX2447" s="160"/>
      <c r="BY2447" s="160"/>
      <c r="BZ2447" s="160"/>
      <c r="CA2447" s="160"/>
      <c r="CB2447" s="160"/>
      <c r="CC2447" s="160"/>
      <c r="CD2447" s="160"/>
      <c r="CE2447" s="160"/>
      <c r="CF2447" s="160"/>
      <c r="CG2447" s="160"/>
      <c r="CH2447" s="160"/>
      <c r="CI2447" s="160"/>
      <c r="CJ2447" s="160"/>
      <c r="CK2447" s="160"/>
      <c r="CL2447" s="160"/>
      <c r="CM2447" s="160"/>
      <c r="CN2447" s="160"/>
      <c r="CO2447" s="160"/>
      <c r="CP2447" s="162"/>
      <c r="CQ2447" s="163"/>
      <c r="CR2447" s="162"/>
      <c r="CS2447" s="163"/>
      <c r="CT2447" s="162"/>
      <c r="CU2447" s="163"/>
      <c r="CV2447" s="164">
        <f t="shared" si="302"/>
        <v>0</v>
      </c>
      <c r="CW2447" s="165"/>
      <c r="CX2447" s="166"/>
      <c r="CY2447" s="167"/>
      <c r="CZ2447" s="168"/>
      <c r="DA2447" s="169"/>
      <c r="DB2447" s="168"/>
      <c r="DC2447" s="165"/>
      <c r="DD2447" s="166"/>
      <c r="DE2447" s="71"/>
      <c r="DF2447" s="170"/>
      <c r="EO2447" s="375"/>
      <c r="EP2447" s="376"/>
      <c r="EQ2447" s="376"/>
      <c r="ER2447" s="377"/>
      <c r="ES2447" s="376"/>
      <c r="ET2447" s="376"/>
      <c r="EU2447" s="376"/>
    </row>
    <row r="2448" spans="1:151" s="171" customFormat="1" x14ac:dyDescent="0.2">
      <c r="A2448" s="242"/>
      <c r="B2448" s="222"/>
      <c r="C2448" s="222"/>
      <c r="D2448" s="430"/>
      <c r="E2448" s="107"/>
      <c r="F2448" s="333"/>
      <c r="G2448" s="221"/>
      <c r="H2448" s="157"/>
      <c r="I2448" s="157"/>
      <c r="J2448" s="157"/>
      <c r="K2448" s="157"/>
      <c r="L2448" s="157"/>
      <c r="M2448" s="157"/>
      <c r="N2448" s="157"/>
      <c r="O2448" s="157"/>
      <c r="P2448" s="157"/>
      <c r="Q2448" s="157"/>
      <c r="R2448" s="157"/>
      <c r="S2448" s="157"/>
      <c r="T2448" s="157"/>
      <c r="U2448" s="157"/>
      <c r="V2448" s="158"/>
      <c r="W2448" s="182"/>
      <c r="X2448" s="1"/>
      <c r="Y2448" s="78">
        <f t="shared" ref="Y2448:Y2473" si="304">CV2448</f>
        <v>0</v>
      </c>
      <c r="Z2448" s="78">
        <f t="shared" ref="Z2448:Z2473" si="305">CZ2448</f>
        <v>0</v>
      </c>
      <c r="AA2448" s="78">
        <f t="shared" ref="AA2448:AA2473" si="306">DB2448+DD2448</f>
        <v>0</v>
      </c>
      <c r="AB2448" s="78">
        <f t="shared" ref="AB2448:AB2473" si="307">CX2448</f>
        <v>0</v>
      </c>
      <c r="AC2448" s="78"/>
      <c r="AD2448" s="78">
        <v>0</v>
      </c>
      <c r="AE2448" s="80">
        <f t="shared" ref="AE2448:AE2473" si="308">Y2448+Z2448+AA2448+AB2448+AC2448+AD2448</f>
        <v>0</v>
      </c>
      <c r="AF2448" s="82">
        <v>0</v>
      </c>
      <c r="AG2448" s="69"/>
      <c r="AH2448" s="84"/>
      <c r="AI2448" s="69"/>
      <c r="AJ2448" s="25"/>
      <c r="AK2448" s="65"/>
      <c r="AL2448" s="176"/>
      <c r="AM2448" s="173"/>
      <c r="AN2448" s="159"/>
      <c r="AO2448" s="160"/>
      <c r="AP2448" s="161"/>
      <c r="AQ2448" s="160"/>
      <c r="AR2448" s="160"/>
      <c r="AS2448" s="160"/>
      <c r="AT2448" s="160"/>
      <c r="AU2448" s="160"/>
      <c r="AV2448" s="160"/>
      <c r="AW2448" s="160"/>
      <c r="AX2448" s="160"/>
      <c r="AY2448" s="160"/>
      <c r="AZ2448" s="160"/>
      <c r="BA2448" s="160"/>
      <c r="BB2448" s="160"/>
      <c r="BC2448" s="160"/>
      <c r="BD2448" s="160"/>
      <c r="BE2448" s="160"/>
      <c r="BF2448" s="160"/>
      <c r="BG2448" s="160"/>
      <c r="BH2448" s="160"/>
      <c r="BI2448" s="160"/>
      <c r="BJ2448" s="160"/>
      <c r="BK2448" s="160"/>
      <c r="BL2448" s="160"/>
      <c r="BM2448" s="160"/>
      <c r="BN2448" s="160"/>
      <c r="BO2448" s="160"/>
      <c r="BP2448" s="160"/>
      <c r="BQ2448" s="160"/>
      <c r="BR2448" s="160"/>
      <c r="BS2448" s="160"/>
      <c r="BT2448" s="160"/>
      <c r="BU2448" s="160"/>
      <c r="BV2448" s="160"/>
      <c r="BW2448" s="160"/>
      <c r="BX2448" s="160"/>
      <c r="BY2448" s="160"/>
      <c r="BZ2448" s="160"/>
      <c r="CA2448" s="160"/>
      <c r="CB2448" s="160"/>
      <c r="CC2448" s="160"/>
      <c r="CD2448" s="160"/>
      <c r="CE2448" s="160"/>
      <c r="CF2448" s="160"/>
      <c r="CG2448" s="160"/>
      <c r="CH2448" s="160"/>
      <c r="CI2448" s="160"/>
      <c r="CJ2448" s="160"/>
      <c r="CK2448" s="160"/>
      <c r="CL2448" s="160"/>
      <c r="CM2448" s="160"/>
      <c r="CN2448" s="160"/>
      <c r="CO2448" s="160"/>
      <c r="CP2448" s="162"/>
      <c r="CQ2448" s="163"/>
      <c r="CR2448" s="162"/>
      <c r="CS2448" s="163"/>
      <c r="CT2448" s="162"/>
      <c r="CU2448" s="163"/>
      <c r="CV2448" s="164">
        <f t="shared" ref="CV2448:CV2473" si="309">AO2448+AQ2448+AS2448+AU2448+AW2448+AY2448+BA2448+BC2448+BE2448+BG2448+BI2448+BK2448+BM2448+BO2448+BQ2448+BS2448+BU2448+BW2448+BY2448+CA2448+CC2448+CE2448+CG2448+CI2448+CK2448+CM2448+CO2448+CQ2448+CS2448+CU2448</f>
        <v>0</v>
      </c>
      <c r="CW2448" s="165"/>
      <c r="CX2448" s="166"/>
      <c r="CY2448" s="167"/>
      <c r="CZ2448" s="168"/>
      <c r="DA2448" s="169"/>
      <c r="DB2448" s="168"/>
      <c r="DC2448" s="165"/>
      <c r="DD2448" s="166"/>
      <c r="DE2448" s="71"/>
      <c r="DF2448" s="170"/>
      <c r="EO2448" s="375"/>
      <c r="EP2448" s="376"/>
      <c r="EQ2448" s="376"/>
      <c r="ER2448" s="377"/>
      <c r="ES2448" s="376"/>
      <c r="ET2448" s="376"/>
      <c r="EU2448" s="376"/>
    </row>
    <row r="2449" spans="1:151" s="171" customFormat="1" x14ac:dyDescent="0.2">
      <c r="A2449" s="242"/>
      <c r="B2449" s="222"/>
      <c r="C2449" s="222"/>
      <c r="D2449" s="430"/>
      <c r="E2449" s="107"/>
      <c r="F2449" s="333"/>
      <c r="G2449" s="221"/>
      <c r="H2449" s="157"/>
      <c r="I2449" s="157"/>
      <c r="J2449" s="157"/>
      <c r="K2449" s="157"/>
      <c r="L2449" s="157"/>
      <c r="M2449" s="157"/>
      <c r="N2449" s="157"/>
      <c r="O2449" s="157"/>
      <c r="P2449" s="157"/>
      <c r="Q2449" s="157"/>
      <c r="R2449" s="157"/>
      <c r="S2449" s="157"/>
      <c r="T2449" s="157"/>
      <c r="U2449" s="157"/>
      <c r="V2449" s="158"/>
      <c r="W2449" s="182"/>
      <c r="X2449" s="1"/>
      <c r="Y2449" s="78">
        <f t="shared" si="304"/>
        <v>0</v>
      </c>
      <c r="Z2449" s="78">
        <f t="shared" si="305"/>
        <v>0</v>
      </c>
      <c r="AA2449" s="78">
        <f t="shared" si="306"/>
        <v>0</v>
      </c>
      <c r="AB2449" s="78">
        <f t="shared" si="307"/>
        <v>0</v>
      </c>
      <c r="AC2449" s="78"/>
      <c r="AD2449" s="78">
        <v>0</v>
      </c>
      <c r="AE2449" s="80">
        <f t="shared" si="308"/>
        <v>0</v>
      </c>
      <c r="AF2449" s="82">
        <v>0</v>
      </c>
      <c r="AG2449" s="69"/>
      <c r="AH2449" s="84"/>
      <c r="AI2449" s="69"/>
      <c r="AJ2449" s="25"/>
      <c r="AK2449" s="65"/>
      <c r="AL2449" s="176"/>
      <c r="AM2449" s="173"/>
      <c r="AN2449" s="159"/>
      <c r="AO2449" s="160"/>
      <c r="AP2449" s="161"/>
      <c r="AQ2449" s="160"/>
      <c r="AR2449" s="160"/>
      <c r="AS2449" s="160"/>
      <c r="AT2449" s="160"/>
      <c r="AU2449" s="160"/>
      <c r="AV2449" s="160"/>
      <c r="AW2449" s="160"/>
      <c r="AX2449" s="160"/>
      <c r="AY2449" s="160"/>
      <c r="AZ2449" s="160"/>
      <c r="BA2449" s="160"/>
      <c r="BB2449" s="160"/>
      <c r="BC2449" s="160"/>
      <c r="BD2449" s="160"/>
      <c r="BE2449" s="160"/>
      <c r="BF2449" s="160"/>
      <c r="BG2449" s="160"/>
      <c r="BH2449" s="160"/>
      <c r="BI2449" s="160"/>
      <c r="BJ2449" s="160"/>
      <c r="BK2449" s="160"/>
      <c r="BL2449" s="160"/>
      <c r="BM2449" s="160"/>
      <c r="BN2449" s="160"/>
      <c r="BO2449" s="160"/>
      <c r="BP2449" s="160"/>
      <c r="BQ2449" s="160"/>
      <c r="BR2449" s="160"/>
      <c r="BS2449" s="160"/>
      <c r="BT2449" s="160"/>
      <c r="BU2449" s="160"/>
      <c r="BV2449" s="160"/>
      <c r="BW2449" s="160"/>
      <c r="BX2449" s="160"/>
      <c r="BY2449" s="160"/>
      <c r="BZ2449" s="160"/>
      <c r="CA2449" s="160"/>
      <c r="CB2449" s="160"/>
      <c r="CC2449" s="160"/>
      <c r="CD2449" s="160"/>
      <c r="CE2449" s="160"/>
      <c r="CF2449" s="160"/>
      <c r="CG2449" s="160"/>
      <c r="CH2449" s="160"/>
      <c r="CI2449" s="160"/>
      <c r="CJ2449" s="160"/>
      <c r="CK2449" s="160"/>
      <c r="CL2449" s="160"/>
      <c r="CM2449" s="160"/>
      <c r="CN2449" s="160"/>
      <c r="CO2449" s="160"/>
      <c r="CP2449" s="162"/>
      <c r="CQ2449" s="163"/>
      <c r="CR2449" s="162"/>
      <c r="CS2449" s="163"/>
      <c r="CT2449" s="162"/>
      <c r="CU2449" s="163"/>
      <c r="CV2449" s="164">
        <f t="shared" si="309"/>
        <v>0</v>
      </c>
      <c r="CW2449" s="165"/>
      <c r="CX2449" s="166"/>
      <c r="CY2449" s="167"/>
      <c r="CZ2449" s="168"/>
      <c r="DA2449" s="169"/>
      <c r="DB2449" s="168"/>
      <c r="DC2449" s="165"/>
      <c r="DD2449" s="166"/>
      <c r="DE2449" s="71"/>
      <c r="DF2449" s="170"/>
      <c r="EO2449" s="375"/>
      <c r="EP2449" s="376"/>
      <c r="EQ2449" s="376"/>
      <c r="ER2449" s="377"/>
      <c r="ES2449" s="376"/>
      <c r="ET2449" s="376"/>
      <c r="EU2449" s="376"/>
    </row>
    <row r="2450" spans="1:151" s="171" customFormat="1" x14ac:dyDescent="0.2">
      <c r="A2450" s="242"/>
      <c r="B2450" s="222"/>
      <c r="C2450" s="222"/>
      <c r="D2450" s="430"/>
      <c r="E2450" s="107"/>
      <c r="F2450" s="333"/>
      <c r="G2450" s="221"/>
      <c r="H2450" s="157"/>
      <c r="I2450" s="157"/>
      <c r="J2450" s="157"/>
      <c r="K2450" s="157"/>
      <c r="L2450" s="157"/>
      <c r="M2450" s="157"/>
      <c r="N2450" s="157"/>
      <c r="O2450" s="157"/>
      <c r="P2450" s="157"/>
      <c r="Q2450" s="157"/>
      <c r="R2450" s="157"/>
      <c r="S2450" s="157"/>
      <c r="T2450" s="157"/>
      <c r="U2450" s="157"/>
      <c r="V2450" s="158"/>
      <c r="W2450" s="182"/>
      <c r="X2450" s="1"/>
      <c r="Y2450" s="78">
        <f t="shared" si="304"/>
        <v>0</v>
      </c>
      <c r="Z2450" s="78">
        <f t="shared" si="305"/>
        <v>0</v>
      </c>
      <c r="AA2450" s="78">
        <f t="shared" si="306"/>
        <v>0</v>
      </c>
      <c r="AB2450" s="78">
        <f t="shared" si="307"/>
        <v>0</v>
      </c>
      <c r="AC2450" s="78"/>
      <c r="AD2450" s="78">
        <v>0</v>
      </c>
      <c r="AE2450" s="80">
        <f t="shared" si="308"/>
        <v>0</v>
      </c>
      <c r="AF2450" s="82">
        <v>0</v>
      </c>
      <c r="AG2450" s="69"/>
      <c r="AH2450" s="84"/>
      <c r="AI2450" s="69"/>
      <c r="AJ2450" s="25"/>
      <c r="AK2450" s="65"/>
      <c r="AL2450" s="176"/>
      <c r="AM2450" s="173"/>
      <c r="AN2450" s="159"/>
      <c r="AO2450" s="160"/>
      <c r="AP2450" s="161"/>
      <c r="AQ2450" s="160"/>
      <c r="AR2450" s="160"/>
      <c r="AS2450" s="160"/>
      <c r="AT2450" s="160"/>
      <c r="AU2450" s="160"/>
      <c r="AV2450" s="160"/>
      <c r="AW2450" s="160"/>
      <c r="AX2450" s="160"/>
      <c r="AY2450" s="160"/>
      <c r="AZ2450" s="160"/>
      <c r="BA2450" s="160"/>
      <c r="BB2450" s="160"/>
      <c r="BC2450" s="160"/>
      <c r="BD2450" s="160"/>
      <c r="BE2450" s="160"/>
      <c r="BF2450" s="160"/>
      <c r="BG2450" s="160"/>
      <c r="BH2450" s="160"/>
      <c r="BI2450" s="160"/>
      <c r="BJ2450" s="160"/>
      <c r="BK2450" s="160"/>
      <c r="BL2450" s="160"/>
      <c r="BM2450" s="160"/>
      <c r="BN2450" s="160"/>
      <c r="BO2450" s="160"/>
      <c r="BP2450" s="160"/>
      <c r="BQ2450" s="160"/>
      <c r="BR2450" s="160"/>
      <c r="BS2450" s="160"/>
      <c r="BT2450" s="160"/>
      <c r="BU2450" s="160"/>
      <c r="BV2450" s="160"/>
      <c r="BW2450" s="160"/>
      <c r="BX2450" s="160"/>
      <c r="BY2450" s="160"/>
      <c r="BZ2450" s="160"/>
      <c r="CA2450" s="160"/>
      <c r="CB2450" s="160"/>
      <c r="CC2450" s="160"/>
      <c r="CD2450" s="160"/>
      <c r="CE2450" s="160"/>
      <c r="CF2450" s="160"/>
      <c r="CG2450" s="160"/>
      <c r="CH2450" s="160"/>
      <c r="CI2450" s="160"/>
      <c r="CJ2450" s="160"/>
      <c r="CK2450" s="160"/>
      <c r="CL2450" s="160"/>
      <c r="CM2450" s="160"/>
      <c r="CN2450" s="160"/>
      <c r="CO2450" s="160"/>
      <c r="CP2450" s="162"/>
      <c r="CQ2450" s="163"/>
      <c r="CR2450" s="162"/>
      <c r="CS2450" s="163"/>
      <c r="CT2450" s="162"/>
      <c r="CU2450" s="163"/>
      <c r="CV2450" s="164">
        <f t="shared" si="309"/>
        <v>0</v>
      </c>
      <c r="CW2450" s="165"/>
      <c r="CX2450" s="166"/>
      <c r="CY2450" s="167"/>
      <c r="CZ2450" s="168"/>
      <c r="DA2450" s="169"/>
      <c r="DB2450" s="168"/>
      <c r="DC2450" s="165"/>
      <c r="DD2450" s="166"/>
      <c r="DE2450" s="71"/>
      <c r="DF2450" s="170"/>
      <c r="EO2450" s="375"/>
      <c r="EP2450" s="376"/>
      <c r="EQ2450" s="376"/>
      <c r="ER2450" s="377"/>
      <c r="ES2450" s="376"/>
      <c r="ET2450" s="376"/>
      <c r="EU2450" s="376"/>
    </row>
    <row r="2451" spans="1:151" s="171" customFormat="1" x14ac:dyDescent="0.2">
      <c r="A2451" s="242"/>
      <c r="B2451" s="222"/>
      <c r="C2451" s="222"/>
      <c r="D2451" s="430"/>
      <c r="E2451" s="107"/>
      <c r="F2451" s="333"/>
      <c r="G2451" s="221"/>
      <c r="H2451" s="157"/>
      <c r="I2451" s="157"/>
      <c r="J2451" s="157"/>
      <c r="K2451" s="157"/>
      <c r="L2451" s="157"/>
      <c r="M2451" s="157"/>
      <c r="N2451" s="157"/>
      <c r="O2451" s="157"/>
      <c r="P2451" s="157"/>
      <c r="Q2451" s="157"/>
      <c r="R2451" s="157"/>
      <c r="S2451" s="157"/>
      <c r="T2451" s="157"/>
      <c r="U2451" s="157"/>
      <c r="V2451" s="158"/>
      <c r="W2451" s="182"/>
      <c r="X2451" s="1"/>
      <c r="Y2451" s="78">
        <f t="shared" si="304"/>
        <v>0</v>
      </c>
      <c r="Z2451" s="78">
        <f t="shared" si="305"/>
        <v>0</v>
      </c>
      <c r="AA2451" s="78">
        <f t="shared" si="306"/>
        <v>0</v>
      </c>
      <c r="AB2451" s="78">
        <f t="shared" si="307"/>
        <v>0</v>
      </c>
      <c r="AC2451" s="78"/>
      <c r="AD2451" s="78">
        <v>0</v>
      </c>
      <c r="AE2451" s="80">
        <f t="shared" si="308"/>
        <v>0</v>
      </c>
      <c r="AF2451" s="82">
        <v>0</v>
      </c>
      <c r="AG2451" s="69"/>
      <c r="AH2451" s="84"/>
      <c r="AI2451" s="69"/>
      <c r="AJ2451" s="25"/>
      <c r="AK2451" s="65"/>
      <c r="AL2451" s="176"/>
      <c r="AM2451" s="173"/>
      <c r="AN2451" s="159"/>
      <c r="AO2451" s="160"/>
      <c r="AP2451" s="161"/>
      <c r="AQ2451" s="160"/>
      <c r="AR2451" s="160"/>
      <c r="AS2451" s="160"/>
      <c r="AT2451" s="160"/>
      <c r="AU2451" s="160"/>
      <c r="AV2451" s="160"/>
      <c r="AW2451" s="160"/>
      <c r="AX2451" s="160"/>
      <c r="AY2451" s="160"/>
      <c r="AZ2451" s="160"/>
      <c r="BA2451" s="160"/>
      <c r="BB2451" s="160"/>
      <c r="BC2451" s="160"/>
      <c r="BD2451" s="160"/>
      <c r="BE2451" s="160"/>
      <c r="BF2451" s="160"/>
      <c r="BG2451" s="160"/>
      <c r="BH2451" s="160"/>
      <c r="BI2451" s="160"/>
      <c r="BJ2451" s="160"/>
      <c r="BK2451" s="160"/>
      <c r="BL2451" s="160"/>
      <c r="BM2451" s="160"/>
      <c r="BN2451" s="160"/>
      <c r="BO2451" s="160"/>
      <c r="BP2451" s="160"/>
      <c r="BQ2451" s="160"/>
      <c r="BR2451" s="160"/>
      <c r="BS2451" s="160"/>
      <c r="BT2451" s="160"/>
      <c r="BU2451" s="160"/>
      <c r="BV2451" s="160"/>
      <c r="BW2451" s="160"/>
      <c r="BX2451" s="160"/>
      <c r="BY2451" s="160"/>
      <c r="BZ2451" s="160"/>
      <c r="CA2451" s="160"/>
      <c r="CB2451" s="160"/>
      <c r="CC2451" s="160"/>
      <c r="CD2451" s="160"/>
      <c r="CE2451" s="160"/>
      <c r="CF2451" s="160"/>
      <c r="CG2451" s="160"/>
      <c r="CH2451" s="160"/>
      <c r="CI2451" s="160"/>
      <c r="CJ2451" s="160"/>
      <c r="CK2451" s="160"/>
      <c r="CL2451" s="160"/>
      <c r="CM2451" s="160"/>
      <c r="CN2451" s="160"/>
      <c r="CO2451" s="160"/>
      <c r="CP2451" s="162"/>
      <c r="CQ2451" s="163"/>
      <c r="CR2451" s="162"/>
      <c r="CS2451" s="163"/>
      <c r="CT2451" s="162"/>
      <c r="CU2451" s="163"/>
      <c r="CV2451" s="164">
        <f t="shared" si="309"/>
        <v>0</v>
      </c>
      <c r="CW2451" s="165"/>
      <c r="CX2451" s="166"/>
      <c r="CY2451" s="167"/>
      <c r="CZ2451" s="168"/>
      <c r="DA2451" s="169"/>
      <c r="DB2451" s="168"/>
      <c r="DC2451" s="165"/>
      <c r="DD2451" s="166"/>
      <c r="DE2451" s="71"/>
      <c r="DF2451" s="170"/>
      <c r="EO2451" s="375"/>
      <c r="EP2451" s="376"/>
      <c r="EQ2451" s="376"/>
      <c r="ER2451" s="377"/>
      <c r="ES2451" s="376"/>
      <c r="ET2451" s="376"/>
      <c r="EU2451" s="376"/>
    </row>
    <row r="2452" spans="1:151" s="171" customFormat="1" x14ac:dyDescent="0.2">
      <c r="A2452" s="242"/>
      <c r="B2452" s="222"/>
      <c r="C2452" s="222"/>
      <c r="D2452" s="430"/>
      <c r="E2452" s="107"/>
      <c r="F2452" s="333"/>
      <c r="G2452" s="221"/>
      <c r="H2452" s="157"/>
      <c r="I2452" s="157"/>
      <c r="J2452" s="157"/>
      <c r="K2452" s="157"/>
      <c r="L2452" s="157"/>
      <c r="M2452" s="157"/>
      <c r="N2452" s="157"/>
      <c r="O2452" s="157"/>
      <c r="P2452" s="157"/>
      <c r="Q2452" s="157"/>
      <c r="R2452" s="157"/>
      <c r="S2452" s="157"/>
      <c r="T2452" s="157"/>
      <c r="U2452" s="157"/>
      <c r="V2452" s="158"/>
      <c r="W2452" s="182"/>
      <c r="X2452" s="1"/>
      <c r="Y2452" s="78">
        <f t="shared" si="304"/>
        <v>0</v>
      </c>
      <c r="Z2452" s="78">
        <f t="shared" si="305"/>
        <v>0</v>
      </c>
      <c r="AA2452" s="78">
        <f t="shared" si="306"/>
        <v>0</v>
      </c>
      <c r="AB2452" s="78">
        <f t="shared" si="307"/>
        <v>0</v>
      </c>
      <c r="AC2452" s="78"/>
      <c r="AD2452" s="78">
        <v>0</v>
      </c>
      <c r="AE2452" s="80">
        <f t="shared" si="308"/>
        <v>0</v>
      </c>
      <c r="AF2452" s="82">
        <v>0</v>
      </c>
      <c r="AG2452" s="69"/>
      <c r="AH2452" s="84"/>
      <c r="AI2452" s="69"/>
      <c r="AJ2452" s="25"/>
      <c r="AK2452" s="65"/>
      <c r="AL2452" s="176"/>
      <c r="AM2452" s="173"/>
      <c r="AN2452" s="159"/>
      <c r="AO2452" s="160"/>
      <c r="AP2452" s="161"/>
      <c r="AQ2452" s="160"/>
      <c r="AR2452" s="160"/>
      <c r="AS2452" s="160"/>
      <c r="AT2452" s="160"/>
      <c r="AU2452" s="160"/>
      <c r="AV2452" s="160"/>
      <c r="AW2452" s="160"/>
      <c r="AX2452" s="160"/>
      <c r="AY2452" s="160"/>
      <c r="AZ2452" s="160"/>
      <c r="BA2452" s="160"/>
      <c r="BB2452" s="160"/>
      <c r="BC2452" s="160"/>
      <c r="BD2452" s="160"/>
      <c r="BE2452" s="160"/>
      <c r="BF2452" s="160"/>
      <c r="BG2452" s="160"/>
      <c r="BH2452" s="160"/>
      <c r="BI2452" s="160"/>
      <c r="BJ2452" s="160"/>
      <c r="BK2452" s="160"/>
      <c r="BL2452" s="160"/>
      <c r="BM2452" s="160"/>
      <c r="BN2452" s="160"/>
      <c r="BO2452" s="160"/>
      <c r="BP2452" s="160"/>
      <c r="BQ2452" s="160"/>
      <c r="BR2452" s="160"/>
      <c r="BS2452" s="160"/>
      <c r="BT2452" s="160"/>
      <c r="BU2452" s="160"/>
      <c r="BV2452" s="160"/>
      <c r="BW2452" s="160"/>
      <c r="BX2452" s="160"/>
      <c r="BY2452" s="160"/>
      <c r="BZ2452" s="160"/>
      <c r="CA2452" s="160"/>
      <c r="CB2452" s="160"/>
      <c r="CC2452" s="160"/>
      <c r="CD2452" s="160"/>
      <c r="CE2452" s="160"/>
      <c r="CF2452" s="160"/>
      <c r="CG2452" s="160"/>
      <c r="CH2452" s="160"/>
      <c r="CI2452" s="160"/>
      <c r="CJ2452" s="160"/>
      <c r="CK2452" s="160"/>
      <c r="CL2452" s="160"/>
      <c r="CM2452" s="160"/>
      <c r="CN2452" s="160"/>
      <c r="CO2452" s="160"/>
      <c r="CP2452" s="162"/>
      <c r="CQ2452" s="163"/>
      <c r="CR2452" s="162"/>
      <c r="CS2452" s="163"/>
      <c r="CT2452" s="162"/>
      <c r="CU2452" s="163"/>
      <c r="CV2452" s="164">
        <f t="shared" si="309"/>
        <v>0</v>
      </c>
      <c r="CW2452" s="165"/>
      <c r="CX2452" s="166"/>
      <c r="CY2452" s="167"/>
      <c r="CZ2452" s="168"/>
      <c r="DA2452" s="169"/>
      <c r="DB2452" s="168"/>
      <c r="DC2452" s="165"/>
      <c r="DD2452" s="166"/>
      <c r="DE2452" s="71"/>
      <c r="DF2452" s="170"/>
      <c r="EO2452" s="375"/>
      <c r="EP2452" s="376"/>
      <c r="EQ2452" s="376"/>
      <c r="ER2452" s="377"/>
      <c r="ES2452" s="376"/>
      <c r="ET2452" s="376"/>
      <c r="EU2452" s="376"/>
    </row>
    <row r="2453" spans="1:151" s="171" customFormat="1" x14ac:dyDescent="0.2">
      <c r="A2453" s="242"/>
      <c r="B2453" s="222"/>
      <c r="C2453" s="222"/>
      <c r="D2453" s="430"/>
      <c r="E2453" s="107"/>
      <c r="F2453" s="333"/>
      <c r="G2453" s="221"/>
      <c r="H2453" s="157"/>
      <c r="I2453" s="157"/>
      <c r="J2453" s="157"/>
      <c r="K2453" s="157"/>
      <c r="L2453" s="157"/>
      <c r="M2453" s="157"/>
      <c r="N2453" s="157"/>
      <c r="O2453" s="157"/>
      <c r="P2453" s="157"/>
      <c r="Q2453" s="157"/>
      <c r="R2453" s="157"/>
      <c r="S2453" s="157"/>
      <c r="T2453" s="157"/>
      <c r="U2453" s="157"/>
      <c r="V2453" s="158"/>
      <c r="W2453" s="182"/>
      <c r="X2453" s="1"/>
      <c r="Y2453" s="78">
        <f t="shared" si="304"/>
        <v>0</v>
      </c>
      <c r="Z2453" s="78">
        <f t="shared" si="305"/>
        <v>0</v>
      </c>
      <c r="AA2453" s="78">
        <f t="shared" si="306"/>
        <v>0</v>
      </c>
      <c r="AB2453" s="78">
        <f t="shared" si="307"/>
        <v>0</v>
      </c>
      <c r="AC2453" s="78"/>
      <c r="AD2453" s="78">
        <v>0</v>
      </c>
      <c r="AE2453" s="80">
        <f t="shared" si="308"/>
        <v>0</v>
      </c>
      <c r="AF2453" s="82">
        <v>0</v>
      </c>
      <c r="AG2453" s="69"/>
      <c r="AH2453" s="84"/>
      <c r="AI2453" s="69"/>
      <c r="AJ2453" s="25"/>
      <c r="AK2453" s="65"/>
      <c r="AL2453" s="176"/>
      <c r="AM2453" s="173"/>
      <c r="AN2453" s="159"/>
      <c r="AO2453" s="160"/>
      <c r="AP2453" s="161"/>
      <c r="AQ2453" s="160"/>
      <c r="AR2453" s="160"/>
      <c r="AS2453" s="160"/>
      <c r="AT2453" s="160"/>
      <c r="AU2453" s="160"/>
      <c r="AV2453" s="160"/>
      <c r="AW2453" s="160"/>
      <c r="AX2453" s="160"/>
      <c r="AY2453" s="160"/>
      <c r="AZ2453" s="160"/>
      <c r="BA2453" s="160"/>
      <c r="BB2453" s="160"/>
      <c r="BC2453" s="160"/>
      <c r="BD2453" s="160"/>
      <c r="BE2453" s="160"/>
      <c r="BF2453" s="160"/>
      <c r="BG2453" s="160"/>
      <c r="BH2453" s="160"/>
      <c r="BI2453" s="160"/>
      <c r="BJ2453" s="160"/>
      <c r="BK2453" s="160"/>
      <c r="BL2453" s="160"/>
      <c r="BM2453" s="160"/>
      <c r="BN2453" s="160"/>
      <c r="BO2453" s="160"/>
      <c r="BP2453" s="160"/>
      <c r="BQ2453" s="160"/>
      <c r="BR2453" s="160"/>
      <c r="BS2453" s="160"/>
      <c r="BT2453" s="160"/>
      <c r="BU2453" s="160"/>
      <c r="BV2453" s="160"/>
      <c r="BW2453" s="160"/>
      <c r="BX2453" s="160"/>
      <c r="BY2453" s="160"/>
      <c r="BZ2453" s="160"/>
      <c r="CA2453" s="160"/>
      <c r="CB2453" s="160"/>
      <c r="CC2453" s="160"/>
      <c r="CD2453" s="160"/>
      <c r="CE2453" s="160"/>
      <c r="CF2453" s="160"/>
      <c r="CG2453" s="160"/>
      <c r="CH2453" s="160"/>
      <c r="CI2453" s="160"/>
      <c r="CJ2453" s="160"/>
      <c r="CK2453" s="160"/>
      <c r="CL2453" s="160"/>
      <c r="CM2453" s="160"/>
      <c r="CN2453" s="160"/>
      <c r="CO2453" s="160"/>
      <c r="CP2453" s="162"/>
      <c r="CQ2453" s="163"/>
      <c r="CR2453" s="162"/>
      <c r="CS2453" s="163"/>
      <c r="CT2453" s="162"/>
      <c r="CU2453" s="163"/>
      <c r="CV2453" s="164">
        <f t="shared" si="309"/>
        <v>0</v>
      </c>
      <c r="CW2453" s="165"/>
      <c r="CX2453" s="166"/>
      <c r="CY2453" s="167"/>
      <c r="CZ2453" s="168"/>
      <c r="DA2453" s="169"/>
      <c r="DB2453" s="168"/>
      <c r="DC2453" s="165"/>
      <c r="DD2453" s="166"/>
      <c r="DE2453" s="71"/>
      <c r="DF2453" s="170"/>
      <c r="EO2453" s="375"/>
      <c r="EP2453" s="376"/>
      <c r="EQ2453" s="376"/>
      <c r="ER2453" s="377"/>
      <c r="ES2453" s="376"/>
      <c r="ET2453" s="376"/>
      <c r="EU2453" s="376"/>
    </row>
    <row r="2454" spans="1:151" s="171" customFormat="1" x14ac:dyDescent="0.2">
      <c r="A2454" s="242"/>
      <c r="B2454" s="222"/>
      <c r="C2454" s="222"/>
      <c r="D2454" s="430"/>
      <c r="E2454" s="107"/>
      <c r="F2454" s="333"/>
      <c r="G2454" s="221"/>
      <c r="H2454" s="157"/>
      <c r="I2454" s="157"/>
      <c r="J2454" s="157"/>
      <c r="K2454" s="157"/>
      <c r="L2454" s="157"/>
      <c r="M2454" s="157"/>
      <c r="N2454" s="157"/>
      <c r="O2454" s="157"/>
      <c r="P2454" s="157"/>
      <c r="Q2454" s="157"/>
      <c r="R2454" s="157"/>
      <c r="S2454" s="157"/>
      <c r="T2454" s="157"/>
      <c r="U2454" s="157"/>
      <c r="V2454" s="158"/>
      <c r="W2454" s="182"/>
      <c r="X2454" s="1"/>
      <c r="Y2454" s="78">
        <f t="shared" si="304"/>
        <v>0</v>
      </c>
      <c r="Z2454" s="78">
        <f t="shared" si="305"/>
        <v>0</v>
      </c>
      <c r="AA2454" s="78">
        <f t="shared" si="306"/>
        <v>0</v>
      </c>
      <c r="AB2454" s="78">
        <f t="shared" si="307"/>
        <v>0</v>
      </c>
      <c r="AC2454" s="78"/>
      <c r="AD2454" s="78">
        <v>0</v>
      </c>
      <c r="AE2454" s="80">
        <f t="shared" si="308"/>
        <v>0</v>
      </c>
      <c r="AF2454" s="82">
        <v>0</v>
      </c>
      <c r="AG2454" s="69"/>
      <c r="AH2454" s="84"/>
      <c r="AI2454" s="69"/>
      <c r="AJ2454" s="25"/>
      <c r="AK2454" s="65"/>
      <c r="AL2454" s="176"/>
      <c r="AM2454" s="173"/>
      <c r="AN2454" s="159"/>
      <c r="AO2454" s="160"/>
      <c r="AP2454" s="161"/>
      <c r="AQ2454" s="160"/>
      <c r="AR2454" s="160"/>
      <c r="AS2454" s="160"/>
      <c r="AT2454" s="160"/>
      <c r="AU2454" s="160"/>
      <c r="AV2454" s="160"/>
      <c r="AW2454" s="160"/>
      <c r="AX2454" s="160"/>
      <c r="AY2454" s="160"/>
      <c r="AZ2454" s="160"/>
      <c r="BA2454" s="160"/>
      <c r="BB2454" s="160"/>
      <c r="BC2454" s="160"/>
      <c r="BD2454" s="160"/>
      <c r="BE2454" s="160"/>
      <c r="BF2454" s="160"/>
      <c r="BG2454" s="160"/>
      <c r="BH2454" s="160"/>
      <c r="BI2454" s="160"/>
      <c r="BJ2454" s="160"/>
      <c r="BK2454" s="160"/>
      <c r="BL2454" s="160"/>
      <c r="BM2454" s="160"/>
      <c r="BN2454" s="160"/>
      <c r="BO2454" s="160"/>
      <c r="BP2454" s="160"/>
      <c r="BQ2454" s="160"/>
      <c r="BR2454" s="160"/>
      <c r="BS2454" s="160"/>
      <c r="BT2454" s="160"/>
      <c r="BU2454" s="160"/>
      <c r="BV2454" s="160"/>
      <c r="BW2454" s="160"/>
      <c r="BX2454" s="160"/>
      <c r="BY2454" s="160"/>
      <c r="BZ2454" s="160"/>
      <c r="CA2454" s="160"/>
      <c r="CB2454" s="160"/>
      <c r="CC2454" s="160"/>
      <c r="CD2454" s="160"/>
      <c r="CE2454" s="160"/>
      <c r="CF2454" s="160"/>
      <c r="CG2454" s="160"/>
      <c r="CH2454" s="160"/>
      <c r="CI2454" s="160"/>
      <c r="CJ2454" s="160"/>
      <c r="CK2454" s="160"/>
      <c r="CL2454" s="160"/>
      <c r="CM2454" s="160"/>
      <c r="CN2454" s="160"/>
      <c r="CO2454" s="160"/>
      <c r="CP2454" s="162"/>
      <c r="CQ2454" s="163"/>
      <c r="CR2454" s="162"/>
      <c r="CS2454" s="163"/>
      <c r="CT2454" s="162"/>
      <c r="CU2454" s="163"/>
      <c r="CV2454" s="164">
        <f t="shared" si="309"/>
        <v>0</v>
      </c>
      <c r="CW2454" s="165"/>
      <c r="CX2454" s="166"/>
      <c r="CY2454" s="167"/>
      <c r="CZ2454" s="168"/>
      <c r="DA2454" s="169"/>
      <c r="DB2454" s="168"/>
      <c r="DC2454" s="165"/>
      <c r="DD2454" s="166"/>
      <c r="DE2454" s="71"/>
      <c r="DF2454" s="170"/>
      <c r="EO2454" s="375"/>
      <c r="EP2454" s="376"/>
      <c r="EQ2454" s="376"/>
      <c r="ER2454" s="377"/>
      <c r="ES2454" s="376"/>
      <c r="ET2454" s="376"/>
      <c r="EU2454" s="376"/>
    </row>
    <row r="2455" spans="1:151" s="171" customFormat="1" x14ac:dyDescent="0.2">
      <c r="A2455" s="242"/>
      <c r="B2455" s="222"/>
      <c r="C2455" s="222"/>
      <c r="D2455" s="430"/>
      <c r="E2455" s="107"/>
      <c r="F2455" s="333"/>
      <c r="G2455" s="221"/>
      <c r="H2455" s="157"/>
      <c r="I2455" s="157"/>
      <c r="J2455" s="157"/>
      <c r="K2455" s="157"/>
      <c r="L2455" s="157"/>
      <c r="M2455" s="157"/>
      <c r="N2455" s="157"/>
      <c r="O2455" s="157"/>
      <c r="P2455" s="157"/>
      <c r="Q2455" s="157"/>
      <c r="R2455" s="157"/>
      <c r="S2455" s="157"/>
      <c r="T2455" s="157"/>
      <c r="U2455" s="157"/>
      <c r="V2455" s="158"/>
      <c r="W2455" s="182"/>
      <c r="X2455" s="1"/>
      <c r="Y2455" s="78">
        <f t="shared" si="304"/>
        <v>0</v>
      </c>
      <c r="Z2455" s="78">
        <f t="shared" si="305"/>
        <v>0</v>
      </c>
      <c r="AA2455" s="78">
        <f t="shared" si="306"/>
        <v>0</v>
      </c>
      <c r="AB2455" s="78">
        <f t="shared" si="307"/>
        <v>0</v>
      </c>
      <c r="AC2455" s="78"/>
      <c r="AD2455" s="78">
        <v>0</v>
      </c>
      <c r="AE2455" s="80">
        <f t="shared" si="308"/>
        <v>0</v>
      </c>
      <c r="AF2455" s="82">
        <v>0</v>
      </c>
      <c r="AG2455" s="69"/>
      <c r="AH2455" s="84"/>
      <c r="AI2455" s="69"/>
      <c r="AJ2455" s="25"/>
      <c r="AK2455" s="65"/>
      <c r="AL2455" s="176"/>
      <c r="AM2455" s="173"/>
      <c r="AN2455" s="159"/>
      <c r="AO2455" s="160"/>
      <c r="AP2455" s="161"/>
      <c r="AQ2455" s="160"/>
      <c r="AR2455" s="160"/>
      <c r="AS2455" s="160"/>
      <c r="AT2455" s="160"/>
      <c r="AU2455" s="160"/>
      <c r="AV2455" s="160"/>
      <c r="AW2455" s="160"/>
      <c r="AX2455" s="160"/>
      <c r="AY2455" s="160"/>
      <c r="AZ2455" s="160"/>
      <c r="BA2455" s="160"/>
      <c r="BB2455" s="160"/>
      <c r="BC2455" s="160"/>
      <c r="BD2455" s="160"/>
      <c r="BE2455" s="160"/>
      <c r="BF2455" s="160"/>
      <c r="BG2455" s="160"/>
      <c r="BH2455" s="160"/>
      <c r="BI2455" s="160"/>
      <c r="BJ2455" s="160"/>
      <c r="BK2455" s="160"/>
      <c r="BL2455" s="160"/>
      <c r="BM2455" s="160"/>
      <c r="BN2455" s="160"/>
      <c r="BO2455" s="160"/>
      <c r="BP2455" s="160"/>
      <c r="BQ2455" s="160"/>
      <c r="BR2455" s="160"/>
      <c r="BS2455" s="160"/>
      <c r="BT2455" s="160"/>
      <c r="BU2455" s="160"/>
      <c r="BV2455" s="160"/>
      <c r="BW2455" s="160"/>
      <c r="BX2455" s="160"/>
      <c r="BY2455" s="160"/>
      <c r="BZ2455" s="160"/>
      <c r="CA2455" s="160"/>
      <c r="CB2455" s="160"/>
      <c r="CC2455" s="160"/>
      <c r="CD2455" s="160"/>
      <c r="CE2455" s="160"/>
      <c r="CF2455" s="160"/>
      <c r="CG2455" s="160"/>
      <c r="CH2455" s="160"/>
      <c r="CI2455" s="160"/>
      <c r="CJ2455" s="160"/>
      <c r="CK2455" s="160"/>
      <c r="CL2455" s="160"/>
      <c r="CM2455" s="160"/>
      <c r="CN2455" s="160"/>
      <c r="CO2455" s="160"/>
      <c r="CP2455" s="162"/>
      <c r="CQ2455" s="163"/>
      <c r="CR2455" s="162"/>
      <c r="CS2455" s="163"/>
      <c r="CT2455" s="162"/>
      <c r="CU2455" s="163"/>
      <c r="CV2455" s="164">
        <f t="shared" si="309"/>
        <v>0</v>
      </c>
      <c r="CW2455" s="165"/>
      <c r="CX2455" s="166"/>
      <c r="CY2455" s="167"/>
      <c r="CZ2455" s="168"/>
      <c r="DA2455" s="169"/>
      <c r="DB2455" s="168"/>
      <c r="DC2455" s="165"/>
      <c r="DD2455" s="166"/>
      <c r="DE2455" s="71"/>
      <c r="DF2455" s="170"/>
      <c r="EO2455" s="375"/>
      <c r="EP2455" s="376"/>
      <c r="EQ2455" s="376"/>
      <c r="ER2455" s="377"/>
      <c r="ES2455" s="376"/>
      <c r="ET2455" s="376"/>
      <c r="EU2455" s="376"/>
    </row>
    <row r="2456" spans="1:151" s="171" customFormat="1" x14ac:dyDescent="0.2">
      <c r="A2456" s="242"/>
      <c r="B2456" s="222"/>
      <c r="C2456" s="222"/>
      <c r="D2456" s="430"/>
      <c r="E2456" s="107"/>
      <c r="F2456" s="333"/>
      <c r="G2456" s="221"/>
      <c r="H2456" s="157"/>
      <c r="I2456" s="157"/>
      <c r="J2456" s="157"/>
      <c r="K2456" s="157"/>
      <c r="L2456" s="157"/>
      <c r="M2456" s="157"/>
      <c r="N2456" s="157"/>
      <c r="O2456" s="157"/>
      <c r="P2456" s="157"/>
      <c r="Q2456" s="157"/>
      <c r="R2456" s="157"/>
      <c r="S2456" s="157"/>
      <c r="T2456" s="157"/>
      <c r="U2456" s="157"/>
      <c r="V2456" s="158"/>
      <c r="W2456" s="182"/>
      <c r="X2456" s="1"/>
      <c r="Y2456" s="78">
        <f t="shared" si="304"/>
        <v>0</v>
      </c>
      <c r="Z2456" s="78">
        <f t="shared" si="305"/>
        <v>0</v>
      </c>
      <c r="AA2456" s="78">
        <f t="shared" si="306"/>
        <v>0</v>
      </c>
      <c r="AB2456" s="78">
        <f t="shared" si="307"/>
        <v>0</v>
      </c>
      <c r="AC2456" s="78"/>
      <c r="AD2456" s="78">
        <v>0</v>
      </c>
      <c r="AE2456" s="80">
        <f t="shared" si="308"/>
        <v>0</v>
      </c>
      <c r="AF2456" s="82">
        <v>0</v>
      </c>
      <c r="AG2456" s="69"/>
      <c r="AH2456" s="84"/>
      <c r="AI2456" s="69"/>
      <c r="AJ2456" s="25"/>
      <c r="AK2456" s="65"/>
      <c r="AL2456" s="176"/>
      <c r="AM2456" s="173"/>
      <c r="AN2456" s="159"/>
      <c r="AO2456" s="160"/>
      <c r="AP2456" s="161"/>
      <c r="AQ2456" s="160"/>
      <c r="AR2456" s="160"/>
      <c r="AS2456" s="160"/>
      <c r="AT2456" s="160"/>
      <c r="AU2456" s="160"/>
      <c r="AV2456" s="160"/>
      <c r="AW2456" s="160"/>
      <c r="AX2456" s="160"/>
      <c r="AY2456" s="160"/>
      <c r="AZ2456" s="160"/>
      <c r="BA2456" s="160"/>
      <c r="BB2456" s="160"/>
      <c r="BC2456" s="160"/>
      <c r="BD2456" s="160"/>
      <c r="BE2456" s="160"/>
      <c r="BF2456" s="160"/>
      <c r="BG2456" s="160"/>
      <c r="BH2456" s="160"/>
      <c r="BI2456" s="160"/>
      <c r="BJ2456" s="160"/>
      <c r="BK2456" s="160"/>
      <c r="BL2456" s="160"/>
      <c r="BM2456" s="160"/>
      <c r="BN2456" s="160"/>
      <c r="BO2456" s="160"/>
      <c r="BP2456" s="160"/>
      <c r="BQ2456" s="160"/>
      <c r="BR2456" s="160"/>
      <c r="BS2456" s="160"/>
      <c r="BT2456" s="160"/>
      <c r="BU2456" s="160"/>
      <c r="BV2456" s="160"/>
      <c r="BW2456" s="160"/>
      <c r="BX2456" s="160"/>
      <c r="BY2456" s="160"/>
      <c r="BZ2456" s="160"/>
      <c r="CA2456" s="160"/>
      <c r="CB2456" s="160"/>
      <c r="CC2456" s="160"/>
      <c r="CD2456" s="160"/>
      <c r="CE2456" s="160"/>
      <c r="CF2456" s="160"/>
      <c r="CG2456" s="160"/>
      <c r="CH2456" s="160"/>
      <c r="CI2456" s="160"/>
      <c r="CJ2456" s="160"/>
      <c r="CK2456" s="160"/>
      <c r="CL2456" s="160"/>
      <c r="CM2456" s="160"/>
      <c r="CN2456" s="160"/>
      <c r="CO2456" s="160"/>
      <c r="CP2456" s="162"/>
      <c r="CQ2456" s="163"/>
      <c r="CR2456" s="162"/>
      <c r="CS2456" s="163"/>
      <c r="CT2456" s="162"/>
      <c r="CU2456" s="163"/>
      <c r="CV2456" s="164">
        <f t="shared" si="309"/>
        <v>0</v>
      </c>
      <c r="CW2456" s="165"/>
      <c r="CX2456" s="166"/>
      <c r="CY2456" s="167"/>
      <c r="CZ2456" s="168"/>
      <c r="DA2456" s="169"/>
      <c r="DB2456" s="168"/>
      <c r="DC2456" s="165"/>
      <c r="DD2456" s="166"/>
      <c r="DE2456" s="71"/>
      <c r="DF2456" s="170"/>
      <c r="EO2456" s="375"/>
      <c r="EP2456" s="376"/>
      <c r="EQ2456" s="376"/>
      <c r="ER2456" s="377"/>
      <c r="ES2456" s="376"/>
      <c r="ET2456" s="376"/>
      <c r="EU2456" s="376"/>
    </row>
    <row r="2457" spans="1:151" s="171" customFormat="1" x14ac:dyDescent="0.2">
      <c r="A2457" s="242"/>
      <c r="B2457" s="222"/>
      <c r="C2457" s="222"/>
      <c r="D2457" s="430"/>
      <c r="E2457" s="107"/>
      <c r="F2457" s="333"/>
      <c r="G2457" s="221"/>
      <c r="H2457" s="157"/>
      <c r="I2457" s="157"/>
      <c r="J2457" s="157"/>
      <c r="K2457" s="157"/>
      <c r="L2457" s="157"/>
      <c r="M2457" s="157"/>
      <c r="N2457" s="157"/>
      <c r="O2457" s="157"/>
      <c r="P2457" s="157"/>
      <c r="Q2457" s="157"/>
      <c r="R2457" s="157"/>
      <c r="S2457" s="157"/>
      <c r="T2457" s="157"/>
      <c r="U2457" s="157"/>
      <c r="V2457" s="158"/>
      <c r="W2457" s="182"/>
      <c r="X2457" s="1"/>
      <c r="Y2457" s="78">
        <f t="shared" si="304"/>
        <v>0</v>
      </c>
      <c r="Z2457" s="78">
        <f t="shared" si="305"/>
        <v>0</v>
      </c>
      <c r="AA2457" s="78">
        <f t="shared" si="306"/>
        <v>0</v>
      </c>
      <c r="AB2457" s="78">
        <f t="shared" si="307"/>
        <v>0</v>
      </c>
      <c r="AC2457" s="78"/>
      <c r="AD2457" s="78">
        <v>0</v>
      </c>
      <c r="AE2457" s="80">
        <f t="shared" si="308"/>
        <v>0</v>
      </c>
      <c r="AF2457" s="82">
        <v>0</v>
      </c>
      <c r="AG2457" s="69"/>
      <c r="AH2457" s="84"/>
      <c r="AI2457" s="69"/>
      <c r="AJ2457" s="25"/>
      <c r="AK2457" s="65"/>
      <c r="AL2457" s="176"/>
      <c r="AM2457" s="173"/>
      <c r="AN2457" s="159"/>
      <c r="AO2457" s="160"/>
      <c r="AP2457" s="161"/>
      <c r="AQ2457" s="160"/>
      <c r="AR2457" s="160"/>
      <c r="AS2457" s="160"/>
      <c r="AT2457" s="160"/>
      <c r="AU2457" s="160"/>
      <c r="AV2457" s="160"/>
      <c r="AW2457" s="160"/>
      <c r="AX2457" s="160"/>
      <c r="AY2457" s="160"/>
      <c r="AZ2457" s="160"/>
      <c r="BA2457" s="160"/>
      <c r="BB2457" s="160"/>
      <c r="BC2457" s="160"/>
      <c r="BD2457" s="160"/>
      <c r="BE2457" s="160"/>
      <c r="BF2457" s="160"/>
      <c r="BG2457" s="160"/>
      <c r="BH2457" s="160"/>
      <c r="BI2457" s="160"/>
      <c r="BJ2457" s="160"/>
      <c r="BK2457" s="160"/>
      <c r="BL2457" s="160"/>
      <c r="BM2457" s="160"/>
      <c r="BN2457" s="160"/>
      <c r="BO2457" s="160"/>
      <c r="BP2457" s="160"/>
      <c r="BQ2457" s="160"/>
      <c r="BR2457" s="160"/>
      <c r="BS2457" s="160"/>
      <c r="BT2457" s="160"/>
      <c r="BU2457" s="160"/>
      <c r="BV2457" s="160"/>
      <c r="BW2457" s="160"/>
      <c r="BX2457" s="160"/>
      <c r="BY2457" s="160"/>
      <c r="BZ2457" s="160"/>
      <c r="CA2457" s="160"/>
      <c r="CB2457" s="160"/>
      <c r="CC2457" s="160"/>
      <c r="CD2457" s="160"/>
      <c r="CE2457" s="160"/>
      <c r="CF2457" s="160"/>
      <c r="CG2457" s="160"/>
      <c r="CH2457" s="160"/>
      <c r="CI2457" s="160"/>
      <c r="CJ2457" s="160"/>
      <c r="CK2457" s="160"/>
      <c r="CL2457" s="160"/>
      <c r="CM2457" s="160"/>
      <c r="CN2457" s="160"/>
      <c r="CO2457" s="160"/>
      <c r="CP2457" s="162"/>
      <c r="CQ2457" s="163"/>
      <c r="CR2457" s="162"/>
      <c r="CS2457" s="163"/>
      <c r="CT2457" s="162"/>
      <c r="CU2457" s="163"/>
      <c r="CV2457" s="164">
        <f t="shared" si="309"/>
        <v>0</v>
      </c>
      <c r="CW2457" s="165"/>
      <c r="CX2457" s="166"/>
      <c r="CY2457" s="167"/>
      <c r="CZ2457" s="168"/>
      <c r="DA2457" s="169"/>
      <c r="DB2457" s="168"/>
      <c r="DC2457" s="165"/>
      <c r="DD2457" s="166"/>
      <c r="DE2457" s="71"/>
      <c r="DF2457" s="170"/>
      <c r="EO2457" s="375"/>
      <c r="EP2457" s="376"/>
      <c r="EQ2457" s="376"/>
      <c r="ER2457" s="377"/>
      <c r="ES2457" s="376"/>
      <c r="ET2457" s="376"/>
      <c r="EU2457" s="376"/>
    </row>
    <row r="2458" spans="1:151" s="171" customFormat="1" x14ac:dyDescent="0.2">
      <c r="A2458" s="242"/>
      <c r="B2458" s="222"/>
      <c r="C2458" s="222"/>
      <c r="D2458" s="430"/>
      <c r="E2458" s="107"/>
      <c r="F2458" s="333"/>
      <c r="G2458" s="221"/>
      <c r="H2458" s="157"/>
      <c r="I2458" s="157"/>
      <c r="J2458" s="157"/>
      <c r="K2458" s="157"/>
      <c r="L2458" s="157"/>
      <c r="M2458" s="157"/>
      <c r="N2458" s="157"/>
      <c r="O2458" s="157"/>
      <c r="P2458" s="157"/>
      <c r="Q2458" s="157"/>
      <c r="R2458" s="157"/>
      <c r="S2458" s="157"/>
      <c r="T2458" s="157"/>
      <c r="U2458" s="157"/>
      <c r="V2458" s="158"/>
      <c r="W2458" s="182"/>
      <c r="X2458" s="1"/>
      <c r="Y2458" s="78">
        <f t="shared" si="304"/>
        <v>0</v>
      </c>
      <c r="Z2458" s="78">
        <f t="shared" si="305"/>
        <v>0</v>
      </c>
      <c r="AA2458" s="78">
        <f t="shared" si="306"/>
        <v>0</v>
      </c>
      <c r="AB2458" s="78">
        <f t="shared" si="307"/>
        <v>0</v>
      </c>
      <c r="AC2458" s="78"/>
      <c r="AD2458" s="78">
        <v>0</v>
      </c>
      <c r="AE2458" s="80">
        <f t="shared" si="308"/>
        <v>0</v>
      </c>
      <c r="AF2458" s="82">
        <v>0</v>
      </c>
      <c r="AG2458" s="69"/>
      <c r="AH2458" s="84"/>
      <c r="AI2458" s="69"/>
      <c r="AJ2458" s="25"/>
      <c r="AK2458" s="65"/>
      <c r="AL2458" s="176"/>
      <c r="AM2458" s="173"/>
      <c r="AN2458" s="159"/>
      <c r="AO2458" s="160"/>
      <c r="AP2458" s="161"/>
      <c r="AQ2458" s="160"/>
      <c r="AR2458" s="160"/>
      <c r="AS2458" s="160"/>
      <c r="AT2458" s="160"/>
      <c r="AU2458" s="160"/>
      <c r="AV2458" s="160"/>
      <c r="AW2458" s="160"/>
      <c r="AX2458" s="160"/>
      <c r="AY2458" s="160"/>
      <c r="AZ2458" s="160"/>
      <c r="BA2458" s="160"/>
      <c r="BB2458" s="160"/>
      <c r="BC2458" s="160"/>
      <c r="BD2458" s="160"/>
      <c r="BE2458" s="160"/>
      <c r="BF2458" s="160"/>
      <c r="BG2458" s="160"/>
      <c r="BH2458" s="160"/>
      <c r="BI2458" s="160"/>
      <c r="BJ2458" s="160"/>
      <c r="BK2458" s="160"/>
      <c r="BL2458" s="160"/>
      <c r="BM2458" s="160"/>
      <c r="BN2458" s="160"/>
      <c r="BO2458" s="160"/>
      <c r="BP2458" s="160"/>
      <c r="BQ2458" s="160"/>
      <c r="BR2458" s="160"/>
      <c r="BS2458" s="160"/>
      <c r="BT2458" s="160"/>
      <c r="BU2458" s="160"/>
      <c r="BV2458" s="160"/>
      <c r="BW2458" s="160"/>
      <c r="BX2458" s="160"/>
      <c r="BY2458" s="160"/>
      <c r="BZ2458" s="160"/>
      <c r="CA2458" s="160"/>
      <c r="CB2458" s="160"/>
      <c r="CC2458" s="160"/>
      <c r="CD2458" s="160"/>
      <c r="CE2458" s="160"/>
      <c r="CF2458" s="160"/>
      <c r="CG2458" s="160"/>
      <c r="CH2458" s="160"/>
      <c r="CI2458" s="160"/>
      <c r="CJ2458" s="160"/>
      <c r="CK2458" s="160"/>
      <c r="CL2458" s="160"/>
      <c r="CM2458" s="160"/>
      <c r="CN2458" s="160"/>
      <c r="CO2458" s="160"/>
      <c r="CP2458" s="162"/>
      <c r="CQ2458" s="163"/>
      <c r="CR2458" s="162"/>
      <c r="CS2458" s="163"/>
      <c r="CT2458" s="162"/>
      <c r="CU2458" s="163"/>
      <c r="CV2458" s="164">
        <f t="shared" si="309"/>
        <v>0</v>
      </c>
      <c r="CW2458" s="165"/>
      <c r="CX2458" s="166"/>
      <c r="CY2458" s="167"/>
      <c r="CZ2458" s="168"/>
      <c r="DA2458" s="169"/>
      <c r="DB2458" s="168"/>
      <c r="DC2458" s="165"/>
      <c r="DD2458" s="166"/>
      <c r="DE2458" s="71"/>
      <c r="DF2458" s="170"/>
      <c r="EO2458" s="375"/>
      <c r="EP2458" s="376"/>
      <c r="EQ2458" s="376"/>
      <c r="ER2458" s="377"/>
      <c r="ES2458" s="376"/>
      <c r="ET2458" s="376"/>
      <c r="EU2458" s="376"/>
    </row>
    <row r="2459" spans="1:151" s="171" customFormat="1" x14ac:dyDescent="0.2">
      <c r="A2459" s="242"/>
      <c r="B2459" s="222"/>
      <c r="C2459" s="222"/>
      <c r="D2459" s="430"/>
      <c r="E2459" s="107"/>
      <c r="F2459" s="333"/>
      <c r="G2459" s="221"/>
      <c r="H2459" s="157"/>
      <c r="I2459" s="157"/>
      <c r="J2459" s="157"/>
      <c r="K2459" s="157"/>
      <c r="L2459" s="157"/>
      <c r="M2459" s="157"/>
      <c r="N2459" s="157"/>
      <c r="O2459" s="157"/>
      <c r="P2459" s="157"/>
      <c r="Q2459" s="157"/>
      <c r="R2459" s="157"/>
      <c r="S2459" s="157"/>
      <c r="T2459" s="157"/>
      <c r="U2459" s="157"/>
      <c r="V2459" s="158"/>
      <c r="W2459" s="182"/>
      <c r="X2459" s="1"/>
      <c r="Y2459" s="78">
        <f t="shared" si="304"/>
        <v>0</v>
      </c>
      <c r="Z2459" s="78">
        <f t="shared" si="305"/>
        <v>0</v>
      </c>
      <c r="AA2459" s="78">
        <f t="shared" si="306"/>
        <v>0</v>
      </c>
      <c r="AB2459" s="78">
        <f t="shared" si="307"/>
        <v>0</v>
      </c>
      <c r="AC2459" s="78"/>
      <c r="AD2459" s="78">
        <v>0</v>
      </c>
      <c r="AE2459" s="80">
        <f t="shared" si="308"/>
        <v>0</v>
      </c>
      <c r="AF2459" s="82">
        <v>0</v>
      </c>
      <c r="AG2459" s="69"/>
      <c r="AH2459" s="84"/>
      <c r="AI2459" s="69"/>
      <c r="AJ2459" s="25"/>
      <c r="AK2459" s="65"/>
      <c r="AL2459" s="176"/>
      <c r="AM2459" s="173"/>
      <c r="AN2459" s="159"/>
      <c r="AO2459" s="160"/>
      <c r="AP2459" s="161"/>
      <c r="AQ2459" s="160"/>
      <c r="AR2459" s="160"/>
      <c r="AS2459" s="160"/>
      <c r="AT2459" s="160"/>
      <c r="AU2459" s="160"/>
      <c r="AV2459" s="160"/>
      <c r="AW2459" s="160"/>
      <c r="AX2459" s="160"/>
      <c r="AY2459" s="160"/>
      <c r="AZ2459" s="160"/>
      <c r="BA2459" s="160"/>
      <c r="BB2459" s="160"/>
      <c r="BC2459" s="160"/>
      <c r="BD2459" s="160"/>
      <c r="BE2459" s="160"/>
      <c r="BF2459" s="160"/>
      <c r="BG2459" s="160"/>
      <c r="BH2459" s="160"/>
      <c r="BI2459" s="160"/>
      <c r="BJ2459" s="160"/>
      <c r="BK2459" s="160"/>
      <c r="BL2459" s="160"/>
      <c r="BM2459" s="160"/>
      <c r="BN2459" s="160"/>
      <c r="BO2459" s="160"/>
      <c r="BP2459" s="160"/>
      <c r="BQ2459" s="160"/>
      <c r="BR2459" s="160"/>
      <c r="BS2459" s="160"/>
      <c r="BT2459" s="160"/>
      <c r="BU2459" s="160"/>
      <c r="BV2459" s="160"/>
      <c r="BW2459" s="160"/>
      <c r="BX2459" s="160"/>
      <c r="BY2459" s="160"/>
      <c r="BZ2459" s="160"/>
      <c r="CA2459" s="160"/>
      <c r="CB2459" s="160"/>
      <c r="CC2459" s="160"/>
      <c r="CD2459" s="160"/>
      <c r="CE2459" s="160"/>
      <c r="CF2459" s="160"/>
      <c r="CG2459" s="160"/>
      <c r="CH2459" s="160"/>
      <c r="CI2459" s="160"/>
      <c r="CJ2459" s="160"/>
      <c r="CK2459" s="160"/>
      <c r="CL2459" s="160"/>
      <c r="CM2459" s="160"/>
      <c r="CN2459" s="160"/>
      <c r="CO2459" s="160"/>
      <c r="CP2459" s="162"/>
      <c r="CQ2459" s="163"/>
      <c r="CR2459" s="162"/>
      <c r="CS2459" s="163"/>
      <c r="CT2459" s="162"/>
      <c r="CU2459" s="163"/>
      <c r="CV2459" s="164">
        <f t="shared" si="309"/>
        <v>0</v>
      </c>
      <c r="CW2459" s="165"/>
      <c r="CX2459" s="166"/>
      <c r="CY2459" s="167"/>
      <c r="CZ2459" s="168"/>
      <c r="DA2459" s="169"/>
      <c r="DB2459" s="168"/>
      <c r="DC2459" s="165"/>
      <c r="DD2459" s="166"/>
      <c r="DE2459" s="71"/>
      <c r="DF2459" s="170"/>
      <c r="EO2459" s="375"/>
      <c r="EP2459" s="376"/>
      <c r="EQ2459" s="376"/>
      <c r="ER2459" s="377"/>
      <c r="ES2459" s="376"/>
      <c r="ET2459" s="376"/>
      <c r="EU2459" s="376"/>
    </row>
    <row r="2460" spans="1:151" s="171" customFormat="1" x14ac:dyDescent="0.2">
      <c r="A2460" s="242"/>
      <c r="B2460" s="222"/>
      <c r="C2460" s="222"/>
      <c r="D2460" s="430"/>
      <c r="E2460" s="107"/>
      <c r="F2460" s="333"/>
      <c r="G2460" s="221"/>
      <c r="H2460" s="157"/>
      <c r="I2460" s="157"/>
      <c r="J2460" s="157"/>
      <c r="K2460" s="157"/>
      <c r="L2460" s="157"/>
      <c r="M2460" s="157"/>
      <c r="N2460" s="157"/>
      <c r="O2460" s="157"/>
      <c r="P2460" s="157"/>
      <c r="Q2460" s="157"/>
      <c r="R2460" s="157"/>
      <c r="S2460" s="157"/>
      <c r="T2460" s="157"/>
      <c r="U2460" s="157"/>
      <c r="V2460" s="158"/>
      <c r="W2460" s="182"/>
      <c r="X2460" s="1"/>
      <c r="Y2460" s="78">
        <f t="shared" si="304"/>
        <v>0</v>
      </c>
      <c r="Z2460" s="78">
        <f t="shared" si="305"/>
        <v>0</v>
      </c>
      <c r="AA2460" s="78">
        <f t="shared" si="306"/>
        <v>0</v>
      </c>
      <c r="AB2460" s="78">
        <f t="shared" si="307"/>
        <v>0</v>
      </c>
      <c r="AC2460" s="78"/>
      <c r="AD2460" s="78">
        <v>0</v>
      </c>
      <c r="AE2460" s="80">
        <f t="shared" si="308"/>
        <v>0</v>
      </c>
      <c r="AF2460" s="82">
        <v>0</v>
      </c>
      <c r="AG2460" s="69"/>
      <c r="AH2460" s="84"/>
      <c r="AI2460" s="69"/>
      <c r="AJ2460" s="25"/>
      <c r="AK2460" s="65"/>
      <c r="AL2460" s="176"/>
      <c r="AM2460" s="173"/>
      <c r="AN2460" s="159"/>
      <c r="AO2460" s="160"/>
      <c r="AP2460" s="161"/>
      <c r="AQ2460" s="160"/>
      <c r="AR2460" s="160"/>
      <c r="AS2460" s="160"/>
      <c r="AT2460" s="160"/>
      <c r="AU2460" s="160"/>
      <c r="AV2460" s="160"/>
      <c r="AW2460" s="160"/>
      <c r="AX2460" s="160"/>
      <c r="AY2460" s="160"/>
      <c r="AZ2460" s="160"/>
      <c r="BA2460" s="160"/>
      <c r="BB2460" s="160"/>
      <c r="BC2460" s="160"/>
      <c r="BD2460" s="160"/>
      <c r="BE2460" s="160"/>
      <c r="BF2460" s="160"/>
      <c r="BG2460" s="160"/>
      <c r="BH2460" s="160"/>
      <c r="BI2460" s="160"/>
      <c r="BJ2460" s="160"/>
      <c r="BK2460" s="160"/>
      <c r="BL2460" s="160"/>
      <c r="BM2460" s="160"/>
      <c r="BN2460" s="160"/>
      <c r="BO2460" s="160"/>
      <c r="BP2460" s="160"/>
      <c r="BQ2460" s="160"/>
      <c r="BR2460" s="160"/>
      <c r="BS2460" s="160"/>
      <c r="BT2460" s="160"/>
      <c r="BU2460" s="160"/>
      <c r="BV2460" s="160"/>
      <c r="BW2460" s="160"/>
      <c r="BX2460" s="160"/>
      <c r="BY2460" s="160"/>
      <c r="BZ2460" s="160"/>
      <c r="CA2460" s="160"/>
      <c r="CB2460" s="160"/>
      <c r="CC2460" s="160"/>
      <c r="CD2460" s="160"/>
      <c r="CE2460" s="160"/>
      <c r="CF2460" s="160"/>
      <c r="CG2460" s="160"/>
      <c r="CH2460" s="160"/>
      <c r="CI2460" s="160"/>
      <c r="CJ2460" s="160"/>
      <c r="CK2460" s="160"/>
      <c r="CL2460" s="160"/>
      <c r="CM2460" s="160"/>
      <c r="CN2460" s="160"/>
      <c r="CO2460" s="160"/>
      <c r="CP2460" s="162"/>
      <c r="CQ2460" s="163"/>
      <c r="CR2460" s="162"/>
      <c r="CS2460" s="163"/>
      <c r="CT2460" s="162"/>
      <c r="CU2460" s="163"/>
      <c r="CV2460" s="164">
        <f t="shared" si="309"/>
        <v>0</v>
      </c>
      <c r="CW2460" s="165"/>
      <c r="CX2460" s="166"/>
      <c r="CY2460" s="167"/>
      <c r="CZ2460" s="168"/>
      <c r="DA2460" s="169"/>
      <c r="DB2460" s="168"/>
      <c r="DC2460" s="165"/>
      <c r="DD2460" s="166"/>
      <c r="DE2460" s="71"/>
      <c r="DF2460" s="170"/>
      <c r="EO2460" s="375"/>
      <c r="EP2460" s="376"/>
      <c r="EQ2460" s="376"/>
      <c r="ER2460" s="377"/>
      <c r="ES2460" s="376"/>
      <c r="ET2460" s="376"/>
      <c r="EU2460" s="376"/>
    </row>
    <row r="2461" spans="1:151" s="171" customFormat="1" x14ac:dyDescent="0.2">
      <c r="A2461" s="242"/>
      <c r="B2461" s="222"/>
      <c r="C2461" s="222"/>
      <c r="D2461" s="430"/>
      <c r="E2461" s="107"/>
      <c r="F2461" s="333"/>
      <c r="G2461" s="221"/>
      <c r="H2461" s="157"/>
      <c r="I2461" s="157"/>
      <c r="J2461" s="157"/>
      <c r="K2461" s="157"/>
      <c r="L2461" s="157"/>
      <c r="M2461" s="157"/>
      <c r="N2461" s="157"/>
      <c r="O2461" s="157"/>
      <c r="P2461" s="157"/>
      <c r="Q2461" s="157"/>
      <c r="R2461" s="157"/>
      <c r="S2461" s="157"/>
      <c r="T2461" s="157"/>
      <c r="U2461" s="157"/>
      <c r="V2461" s="158"/>
      <c r="W2461" s="182"/>
      <c r="X2461" s="1"/>
      <c r="Y2461" s="78">
        <f t="shared" si="304"/>
        <v>0</v>
      </c>
      <c r="Z2461" s="78">
        <f t="shared" si="305"/>
        <v>0</v>
      </c>
      <c r="AA2461" s="78">
        <f t="shared" si="306"/>
        <v>0</v>
      </c>
      <c r="AB2461" s="78">
        <f t="shared" si="307"/>
        <v>0</v>
      </c>
      <c r="AC2461" s="78"/>
      <c r="AD2461" s="78">
        <v>0</v>
      </c>
      <c r="AE2461" s="80">
        <f t="shared" si="308"/>
        <v>0</v>
      </c>
      <c r="AF2461" s="82">
        <v>0</v>
      </c>
      <c r="AG2461" s="69"/>
      <c r="AH2461" s="84"/>
      <c r="AI2461" s="69"/>
      <c r="AJ2461" s="25"/>
      <c r="AK2461" s="65"/>
      <c r="AL2461" s="176"/>
      <c r="AM2461" s="173"/>
      <c r="AN2461" s="159"/>
      <c r="AO2461" s="160"/>
      <c r="AP2461" s="161"/>
      <c r="AQ2461" s="160"/>
      <c r="AR2461" s="160"/>
      <c r="AS2461" s="160"/>
      <c r="AT2461" s="160"/>
      <c r="AU2461" s="160"/>
      <c r="AV2461" s="160"/>
      <c r="AW2461" s="160"/>
      <c r="AX2461" s="160"/>
      <c r="AY2461" s="160"/>
      <c r="AZ2461" s="160"/>
      <c r="BA2461" s="160"/>
      <c r="BB2461" s="160"/>
      <c r="BC2461" s="160"/>
      <c r="BD2461" s="160"/>
      <c r="BE2461" s="160"/>
      <c r="BF2461" s="160"/>
      <c r="BG2461" s="160"/>
      <c r="BH2461" s="160"/>
      <c r="BI2461" s="160"/>
      <c r="BJ2461" s="160"/>
      <c r="BK2461" s="160"/>
      <c r="BL2461" s="160"/>
      <c r="BM2461" s="160"/>
      <c r="BN2461" s="160"/>
      <c r="BO2461" s="160"/>
      <c r="BP2461" s="160"/>
      <c r="BQ2461" s="160"/>
      <c r="BR2461" s="160"/>
      <c r="BS2461" s="160"/>
      <c r="BT2461" s="160"/>
      <c r="BU2461" s="160"/>
      <c r="BV2461" s="160"/>
      <c r="BW2461" s="160"/>
      <c r="BX2461" s="160"/>
      <c r="BY2461" s="160"/>
      <c r="BZ2461" s="160"/>
      <c r="CA2461" s="160"/>
      <c r="CB2461" s="160"/>
      <c r="CC2461" s="160"/>
      <c r="CD2461" s="160"/>
      <c r="CE2461" s="160"/>
      <c r="CF2461" s="160"/>
      <c r="CG2461" s="160"/>
      <c r="CH2461" s="160"/>
      <c r="CI2461" s="160"/>
      <c r="CJ2461" s="160"/>
      <c r="CK2461" s="160"/>
      <c r="CL2461" s="160"/>
      <c r="CM2461" s="160"/>
      <c r="CN2461" s="160"/>
      <c r="CO2461" s="160"/>
      <c r="CP2461" s="162"/>
      <c r="CQ2461" s="163"/>
      <c r="CR2461" s="162"/>
      <c r="CS2461" s="163"/>
      <c r="CT2461" s="162"/>
      <c r="CU2461" s="163"/>
      <c r="CV2461" s="164">
        <f t="shared" si="309"/>
        <v>0</v>
      </c>
      <c r="CW2461" s="165"/>
      <c r="CX2461" s="166"/>
      <c r="CY2461" s="167"/>
      <c r="CZ2461" s="168"/>
      <c r="DA2461" s="169"/>
      <c r="DB2461" s="168"/>
      <c r="DC2461" s="165"/>
      <c r="DD2461" s="166"/>
      <c r="DE2461" s="71"/>
      <c r="DF2461" s="170"/>
      <c r="EO2461" s="375"/>
      <c r="EP2461" s="376"/>
      <c r="EQ2461" s="376"/>
      <c r="ER2461" s="377"/>
      <c r="ES2461" s="376"/>
      <c r="ET2461" s="376"/>
      <c r="EU2461" s="376"/>
    </row>
    <row r="2462" spans="1:151" s="171" customFormat="1" x14ac:dyDescent="0.2">
      <c r="A2462" s="242"/>
      <c r="B2462" s="222"/>
      <c r="C2462" s="222"/>
      <c r="D2462" s="430"/>
      <c r="E2462" s="107"/>
      <c r="F2462" s="333"/>
      <c r="G2462" s="221"/>
      <c r="H2462" s="157"/>
      <c r="I2462" s="157"/>
      <c r="J2462" s="157"/>
      <c r="K2462" s="157"/>
      <c r="L2462" s="157"/>
      <c r="M2462" s="157"/>
      <c r="N2462" s="157"/>
      <c r="O2462" s="157"/>
      <c r="P2462" s="157"/>
      <c r="Q2462" s="157"/>
      <c r="R2462" s="157"/>
      <c r="S2462" s="157"/>
      <c r="T2462" s="157"/>
      <c r="U2462" s="157"/>
      <c r="V2462" s="158"/>
      <c r="W2462" s="182"/>
      <c r="X2462" s="1"/>
      <c r="Y2462" s="78">
        <f t="shared" si="304"/>
        <v>0</v>
      </c>
      <c r="Z2462" s="78">
        <f t="shared" si="305"/>
        <v>0</v>
      </c>
      <c r="AA2462" s="78">
        <f t="shared" si="306"/>
        <v>0</v>
      </c>
      <c r="AB2462" s="78">
        <f t="shared" si="307"/>
        <v>0</v>
      </c>
      <c r="AC2462" s="78"/>
      <c r="AD2462" s="78">
        <v>0</v>
      </c>
      <c r="AE2462" s="80">
        <f t="shared" si="308"/>
        <v>0</v>
      </c>
      <c r="AF2462" s="82">
        <v>0</v>
      </c>
      <c r="AG2462" s="69"/>
      <c r="AH2462" s="84"/>
      <c r="AI2462" s="69"/>
      <c r="AJ2462" s="25"/>
      <c r="AK2462" s="65"/>
      <c r="AL2462" s="176"/>
      <c r="AM2462" s="173"/>
      <c r="AN2462" s="159"/>
      <c r="AO2462" s="160"/>
      <c r="AP2462" s="161"/>
      <c r="AQ2462" s="160"/>
      <c r="AR2462" s="160"/>
      <c r="AS2462" s="160"/>
      <c r="AT2462" s="160"/>
      <c r="AU2462" s="160"/>
      <c r="AV2462" s="160"/>
      <c r="AW2462" s="160"/>
      <c r="AX2462" s="160"/>
      <c r="AY2462" s="160"/>
      <c r="AZ2462" s="160"/>
      <c r="BA2462" s="160"/>
      <c r="BB2462" s="160"/>
      <c r="BC2462" s="160"/>
      <c r="BD2462" s="160"/>
      <c r="BE2462" s="160"/>
      <c r="BF2462" s="160"/>
      <c r="BG2462" s="160"/>
      <c r="BH2462" s="160"/>
      <c r="BI2462" s="160"/>
      <c r="BJ2462" s="160"/>
      <c r="BK2462" s="160"/>
      <c r="BL2462" s="160"/>
      <c r="BM2462" s="160"/>
      <c r="BN2462" s="160"/>
      <c r="BO2462" s="160"/>
      <c r="BP2462" s="160"/>
      <c r="BQ2462" s="160"/>
      <c r="BR2462" s="160"/>
      <c r="BS2462" s="160"/>
      <c r="BT2462" s="160"/>
      <c r="BU2462" s="160"/>
      <c r="BV2462" s="160"/>
      <c r="BW2462" s="160"/>
      <c r="BX2462" s="160"/>
      <c r="BY2462" s="160"/>
      <c r="BZ2462" s="160"/>
      <c r="CA2462" s="160"/>
      <c r="CB2462" s="160"/>
      <c r="CC2462" s="160"/>
      <c r="CD2462" s="160"/>
      <c r="CE2462" s="160"/>
      <c r="CF2462" s="160"/>
      <c r="CG2462" s="160"/>
      <c r="CH2462" s="160"/>
      <c r="CI2462" s="160"/>
      <c r="CJ2462" s="160"/>
      <c r="CK2462" s="160"/>
      <c r="CL2462" s="160"/>
      <c r="CM2462" s="160"/>
      <c r="CN2462" s="160"/>
      <c r="CO2462" s="160"/>
      <c r="CP2462" s="162"/>
      <c r="CQ2462" s="163"/>
      <c r="CR2462" s="162"/>
      <c r="CS2462" s="163"/>
      <c r="CT2462" s="162"/>
      <c r="CU2462" s="163"/>
      <c r="CV2462" s="164">
        <f t="shared" si="309"/>
        <v>0</v>
      </c>
      <c r="CW2462" s="165"/>
      <c r="CX2462" s="166"/>
      <c r="CY2462" s="167"/>
      <c r="CZ2462" s="168"/>
      <c r="DA2462" s="169"/>
      <c r="DB2462" s="168"/>
      <c r="DC2462" s="165"/>
      <c r="DD2462" s="166"/>
      <c r="DE2462" s="71"/>
      <c r="DF2462" s="170"/>
      <c r="EO2462" s="375"/>
      <c r="EP2462" s="376"/>
      <c r="EQ2462" s="376"/>
      <c r="ER2462" s="377"/>
      <c r="ES2462" s="376"/>
      <c r="ET2462" s="376"/>
      <c r="EU2462" s="376"/>
    </row>
    <row r="2463" spans="1:151" s="171" customFormat="1" x14ac:dyDescent="0.2">
      <c r="A2463" s="242"/>
      <c r="B2463" s="222"/>
      <c r="C2463" s="222"/>
      <c r="D2463" s="430"/>
      <c r="E2463" s="107"/>
      <c r="F2463" s="333"/>
      <c r="G2463" s="221"/>
      <c r="H2463" s="157"/>
      <c r="I2463" s="157"/>
      <c r="J2463" s="157"/>
      <c r="K2463" s="157"/>
      <c r="L2463" s="157"/>
      <c r="M2463" s="157"/>
      <c r="N2463" s="157"/>
      <c r="O2463" s="157"/>
      <c r="P2463" s="157"/>
      <c r="Q2463" s="157"/>
      <c r="R2463" s="157"/>
      <c r="S2463" s="157"/>
      <c r="T2463" s="157"/>
      <c r="U2463" s="157"/>
      <c r="V2463" s="158"/>
      <c r="W2463" s="182"/>
      <c r="X2463" s="1"/>
      <c r="Y2463" s="78">
        <f t="shared" si="304"/>
        <v>0</v>
      </c>
      <c r="Z2463" s="78">
        <f t="shared" si="305"/>
        <v>0</v>
      </c>
      <c r="AA2463" s="78">
        <f t="shared" si="306"/>
        <v>0</v>
      </c>
      <c r="AB2463" s="78">
        <f t="shared" si="307"/>
        <v>0</v>
      </c>
      <c r="AC2463" s="78"/>
      <c r="AD2463" s="78">
        <v>0</v>
      </c>
      <c r="AE2463" s="80">
        <f t="shared" si="308"/>
        <v>0</v>
      </c>
      <c r="AF2463" s="82">
        <v>0</v>
      </c>
      <c r="AG2463" s="69"/>
      <c r="AH2463" s="84"/>
      <c r="AI2463" s="69"/>
      <c r="AJ2463" s="25"/>
      <c r="AK2463" s="65"/>
      <c r="AL2463" s="176"/>
      <c r="AM2463" s="173"/>
      <c r="AN2463" s="159"/>
      <c r="AO2463" s="160"/>
      <c r="AP2463" s="161"/>
      <c r="AQ2463" s="160"/>
      <c r="AR2463" s="160"/>
      <c r="AS2463" s="160"/>
      <c r="AT2463" s="160"/>
      <c r="AU2463" s="160"/>
      <c r="AV2463" s="160"/>
      <c r="AW2463" s="160"/>
      <c r="AX2463" s="160"/>
      <c r="AY2463" s="160"/>
      <c r="AZ2463" s="160"/>
      <c r="BA2463" s="160"/>
      <c r="BB2463" s="160"/>
      <c r="BC2463" s="160"/>
      <c r="BD2463" s="160"/>
      <c r="BE2463" s="160"/>
      <c r="BF2463" s="160"/>
      <c r="BG2463" s="160"/>
      <c r="BH2463" s="160"/>
      <c r="BI2463" s="160"/>
      <c r="BJ2463" s="160"/>
      <c r="BK2463" s="160"/>
      <c r="BL2463" s="160"/>
      <c r="BM2463" s="160"/>
      <c r="BN2463" s="160"/>
      <c r="BO2463" s="160"/>
      <c r="BP2463" s="160"/>
      <c r="BQ2463" s="160"/>
      <c r="BR2463" s="160"/>
      <c r="BS2463" s="160"/>
      <c r="BT2463" s="160"/>
      <c r="BU2463" s="160"/>
      <c r="BV2463" s="160"/>
      <c r="BW2463" s="160"/>
      <c r="BX2463" s="160"/>
      <c r="BY2463" s="160"/>
      <c r="BZ2463" s="160"/>
      <c r="CA2463" s="160"/>
      <c r="CB2463" s="160"/>
      <c r="CC2463" s="160"/>
      <c r="CD2463" s="160"/>
      <c r="CE2463" s="160"/>
      <c r="CF2463" s="160"/>
      <c r="CG2463" s="160"/>
      <c r="CH2463" s="160"/>
      <c r="CI2463" s="160"/>
      <c r="CJ2463" s="160"/>
      <c r="CK2463" s="160"/>
      <c r="CL2463" s="160"/>
      <c r="CM2463" s="160"/>
      <c r="CN2463" s="160"/>
      <c r="CO2463" s="160"/>
      <c r="CP2463" s="162"/>
      <c r="CQ2463" s="163"/>
      <c r="CR2463" s="162"/>
      <c r="CS2463" s="163"/>
      <c r="CT2463" s="162"/>
      <c r="CU2463" s="163"/>
      <c r="CV2463" s="164">
        <f t="shared" si="309"/>
        <v>0</v>
      </c>
      <c r="CW2463" s="165"/>
      <c r="CX2463" s="166"/>
      <c r="CY2463" s="167"/>
      <c r="CZ2463" s="168"/>
      <c r="DA2463" s="169"/>
      <c r="DB2463" s="168"/>
      <c r="DC2463" s="165"/>
      <c r="DD2463" s="166"/>
      <c r="DE2463" s="71"/>
      <c r="DF2463" s="170"/>
      <c r="EO2463" s="375"/>
      <c r="EP2463" s="376"/>
      <c r="EQ2463" s="376"/>
      <c r="ER2463" s="377"/>
      <c r="ES2463" s="376"/>
      <c r="ET2463" s="376"/>
      <c r="EU2463" s="376"/>
    </row>
    <row r="2464" spans="1:151" s="171" customFormat="1" x14ac:dyDescent="0.2">
      <c r="A2464" s="242"/>
      <c r="B2464" s="222"/>
      <c r="C2464" s="222"/>
      <c r="D2464" s="430"/>
      <c r="E2464" s="107"/>
      <c r="F2464" s="333"/>
      <c r="G2464" s="221"/>
      <c r="H2464" s="157"/>
      <c r="I2464" s="157"/>
      <c r="J2464" s="157"/>
      <c r="K2464" s="157"/>
      <c r="L2464" s="157"/>
      <c r="M2464" s="157"/>
      <c r="N2464" s="157"/>
      <c r="O2464" s="157"/>
      <c r="P2464" s="157"/>
      <c r="Q2464" s="157"/>
      <c r="R2464" s="157"/>
      <c r="S2464" s="157"/>
      <c r="T2464" s="157"/>
      <c r="U2464" s="157"/>
      <c r="V2464" s="158"/>
      <c r="W2464" s="182"/>
      <c r="X2464" s="1"/>
      <c r="Y2464" s="78">
        <f t="shared" si="304"/>
        <v>0</v>
      </c>
      <c r="Z2464" s="78">
        <f t="shared" si="305"/>
        <v>0</v>
      </c>
      <c r="AA2464" s="78">
        <f t="shared" si="306"/>
        <v>0</v>
      </c>
      <c r="AB2464" s="78">
        <f t="shared" si="307"/>
        <v>0</v>
      </c>
      <c r="AC2464" s="78"/>
      <c r="AD2464" s="78">
        <v>0</v>
      </c>
      <c r="AE2464" s="80">
        <f t="shared" si="308"/>
        <v>0</v>
      </c>
      <c r="AF2464" s="82">
        <v>0</v>
      </c>
      <c r="AG2464" s="69"/>
      <c r="AH2464" s="84"/>
      <c r="AI2464" s="69"/>
      <c r="AJ2464" s="25"/>
      <c r="AK2464" s="65"/>
      <c r="AL2464" s="176"/>
      <c r="AM2464" s="173"/>
      <c r="AN2464" s="159"/>
      <c r="AO2464" s="160"/>
      <c r="AP2464" s="161"/>
      <c r="AQ2464" s="160"/>
      <c r="AR2464" s="160"/>
      <c r="AS2464" s="160"/>
      <c r="AT2464" s="160"/>
      <c r="AU2464" s="160"/>
      <c r="AV2464" s="160"/>
      <c r="AW2464" s="160"/>
      <c r="AX2464" s="160"/>
      <c r="AY2464" s="160"/>
      <c r="AZ2464" s="160"/>
      <c r="BA2464" s="160"/>
      <c r="BB2464" s="160"/>
      <c r="BC2464" s="160"/>
      <c r="BD2464" s="160"/>
      <c r="BE2464" s="160"/>
      <c r="BF2464" s="160"/>
      <c r="BG2464" s="160"/>
      <c r="BH2464" s="160"/>
      <c r="BI2464" s="160"/>
      <c r="BJ2464" s="160"/>
      <c r="BK2464" s="160"/>
      <c r="BL2464" s="160"/>
      <c r="BM2464" s="160"/>
      <c r="BN2464" s="160"/>
      <c r="BO2464" s="160"/>
      <c r="BP2464" s="160"/>
      <c r="BQ2464" s="160"/>
      <c r="BR2464" s="160"/>
      <c r="BS2464" s="160"/>
      <c r="BT2464" s="160"/>
      <c r="BU2464" s="160"/>
      <c r="BV2464" s="160"/>
      <c r="BW2464" s="160"/>
      <c r="BX2464" s="160"/>
      <c r="BY2464" s="160"/>
      <c r="BZ2464" s="160"/>
      <c r="CA2464" s="160"/>
      <c r="CB2464" s="160"/>
      <c r="CC2464" s="160"/>
      <c r="CD2464" s="160"/>
      <c r="CE2464" s="160"/>
      <c r="CF2464" s="160"/>
      <c r="CG2464" s="160"/>
      <c r="CH2464" s="160"/>
      <c r="CI2464" s="160"/>
      <c r="CJ2464" s="160"/>
      <c r="CK2464" s="160"/>
      <c r="CL2464" s="160"/>
      <c r="CM2464" s="160"/>
      <c r="CN2464" s="160"/>
      <c r="CO2464" s="160"/>
      <c r="CP2464" s="162"/>
      <c r="CQ2464" s="163"/>
      <c r="CR2464" s="162"/>
      <c r="CS2464" s="163"/>
      <c r="CT2464" s="162"/>
      <c r="CU2464" s="163"/>
      <c r="CV2464" s="164">
        <f t="shared" si="309"/>
        <v>0</v>
      </c>
      <c r="CW2464" s="165"/>
      <c r="CX2464" s="166"/>
      <c r="CY2464" s="167"/>
      <c r="CZ2464" s="168"/>
      <c r="DA2464" s="169"/>
      <c r="DB2464" s="168"/>
      <c r="DC2464" s="165"/>
      <c r="DD2464" s="166"/>
      <c r="DE2464" s="71"/>
      <c r="DF2464" s="170"/>
      <c r="EO2464" s="375"/>
      <c r="EP2464" s="376"/>
      <c r="EQ2464" s="376"/>
      <c r="ER2464" s="377"/>
      <c r="ES2464" s="376"/>
      <c r="ET2464" s="376"/>
      <c r="EU2464" s="376"/>
    </row>
    <row r="2465" spans="1:151" s="171" customFormat="1" x14ac:dyDescent="0.2">
      <c r="A2465" s="242"/>
      <c r="B2465" s="222"/>
      <c r="C2465" s="222"/>
      <c r="D2465" s="430"/>
      <c r="E2465" s="107"/>
      <c r="F2465" s="333"/>
      <c r="G2465" s="221"/>
      <c r="H2465" s="157"/>
      <c r="I2465" s="157"/>
      <c r="J2465" s="157"/>
      <c r="K2465" s="157"/>
      <c r="L2465" s="157"/>
      <c r="M2465" s="157"/>
      <c r="N2465" s="157"/>
      <c r="O2465" s="157"/>
      <c r="P2465" s="157"/>
      <c r="Q2465" s="157"/>
      <c r="R2465" s="157"/>
      <c r="S2465" s="157"/>
      <c r="T2465" s="157"/>
      <c r="U2465" s="157"/>
      <c r="V2465" s="158"/>
      <c r="W2465" s="182"/>
      <c r="X2465" s="1"/>
      <c r="Y2465" s="78">
        <f t="shared" si="304"/>
        <v>0</v>
      </c>
      <c r="Z2465" s="78">
        <f t="shared" si="305"/>
        <v>0</v>
      </c>
      <c r="AA2465" s="78">
        <f t="shared" si="306"/>
        <v>0</v>
      </c>
      <c r="AB2465" s="78">
        <f t="shared" si="307"/>
        <v>0</v>
      </c>
      <c r="AC2465" s="78"/>
      <c r="AD2465" s="78">
        <v>0</v>
      </c>
      <c r="AE2465" s="80">
        <f t="shared" si="308"/>
        <v>0</v>
      </c>
      <c r="AF2465" s="82">
        <v>0</v>
      </c>
      <c r="AG2465" s="69"/>
      <c r="AH2465" s="84"/>
      <c r="AI2465" s="69"/>
      <c r="AJ2465" s="25"/>
      <c r="AK2465" s="65"/>
      <c r="AL2465" s="176"/>
      <c r="AM2465" s="173"/>
      <c r="AN2465" s="159"/>
      <c r="AO2465" s="160"/>
      <c r="AP2465" s="161"/>
      <c r="AQ2465" s="160"/>
      <c r="AR2465" s="160"/>
      <c r="AS2465" s="160"/>
      <c r="AT2465" s="160"/>
      <c r="AU2465" s="160"/>
      <c r="AV2465" s="160"/>
      <c r="AW2465" s="160"/>
      <c r="AX2465" s="160"/>
      <c r="AY2465" s="160"/>
      <c r="AZ2465" s="160"/>
      <c r="BA2465" s="160"/>
      <c r="BB2465" s="160"/>
      <c r="BC2465" s="160"/>
      <c r="BD2465" s="160"/>
      <c r="BE2465" s="160"/>
      <c r="BF2465" s="160"/>
      <c r="BG2465" s="160"/>
      <c r="BH2465" s="160"/>
      <c r="BI2465" s="160"/>
      <c r="BJ2465" s="160"/>
      <c r="BK2465" s="160"/>
      <c r="BL2465" s="160"/>
      <c r="BM2465" s="160"/>
      <c r="BN2465" s="160"/>
      <c r="BO2465" s="160"/>
      <c r="BP2465" s="160"/>
      <c r="BQ2465" s="160"/>
      <c r="BR2465" s="160"/>
      <c r="BS2465" s="160"/>
      <c r="BT2465" s="160"/>
      <c r="BU2465" s="160"/>
      <c r="BV2465" s="160"/>
      <c r="BW2465" s="160"/>
      <c r="BX2465" s="160"/>
      <c r="BY2465" s="160"/>
      <c r="BZ2465" s="160"/>
      <c r="CA2465" s="160"/>
      <c r="CB2465" s="160"/>
      <c r="CC2465" s="160"/>
      <c r="CD2465" s="160"/>
      <c r="CE2465" s="160"/>
      <c r="CF2465" s="160"/>
      <c r="CG2465" s="160"/>
      <c r="CH2465" s="160"/>
      <c r="CI2465" s="160"/>
      <c r="CJ2465" s="160"/>
      <c r="CK2465" s="160"/>
      <c r="CL2465" s="160"/>
      <c r="CM2465" s="160"/>
      <c r="CN2465" s="160"/>
      <c r="CO2465" s="160"/>
      <c r="CP2465" s="162"/>
      <c r="CQ2465" s="163"/>
      <c r="CR2465" s="162"/>
      <c r="CS2465" s="163"/>
      <c r="CT2465" s="162"/>
      <c r="CU2465" s="163"/>
      <c r="CV2465" s="164">
        <f t="shared" si="309"/>
        <v>0</v>
      </c>
      <c r="CW2465" s="165"/>
      <c r="CX2465" s="166"/>
      <c r="CY2465" s="167"/>
      <c r="CZ2465" s="168"/>
      <c r="DA2465" s="169"/>
      <c r="DB2465" s="168"/>
      <c r="DC2465" s="165"/>
      <c r="DD2465" s="166"/>
      <c r="DE2465" s="71"/>
      <c r="DF2465" s="170"/>
      <c r="EO2465" s="375"/>
      <c r="EP2465" s="376"/>
      <c r="EQ2465" s="376"/>
      <c r="ER2465" s="377"/>
      <c r="ES2465" s="376"/>
      <c r="ET2465" s="376"/>
      <c r="EU2465" s="376"/>
    </row>
    <row r="2466" spans="1:151" s="171" customFormat="1" x14ac:dyDescent="0.2">
      <c r="A2466" s="242"/>
      <c r="B2466" s="222"/>
      <c r="C2466" s="222"/>
      <c r="D2466" s="430"/>
      <c r="E2466" s="107"/>
      <c r="F2466" s="333"/>
      <c r="G2466" s="221"/>
      <c r="H2466" s="157"/>
      <c r="I2466" s="157"/>
      <c r="J2466" s="157"/>
      <c r="K2466" s="157"/>
      <c r="L2466" s="157"/>
      <c r="M2466" s="157"/>
      <c r="N2466" s="157"/>
      <c r="O2466" s="157"/>
      <c r="P2466" s="157"/>
      <c r="Q2466" s="157"/>
      <c r="R2466" s="157"/>
      <c r="S2466" s="157"/>
      <c r="T2466" s="157"/>
      <c r="U2466" s="157"/>
      <c r="V2466" s="158"/>
      <c r="W2466" s="182"/>
      <c r="X2466" s="1"/>
      <c r="Y2466" s="78">
        <f t="shared" si="304"/>
        <v>0</v>
      </c>
      <c r="Z2466" s="78">
        <f t="shared" si="305"/>
        <v>0</v>
      </c>
      <c r="AA2466" s="78">
        <f t="shared" si="306"/>
        <v>0</v>
      </c>
      <c r="AB2466" s="78">
        <f t="shared" si="307"/>
        <v>0</v>
      </c>
      <c r="AC2466" s="78"/>
      <c r="AD2466" s="78">
        <v>0</v>
      </c>
      <c r="AE2466" s="80">
        <f t="shared" si="308"/>
        <v>0</v>
      </c>
      <c r="AF2466" s="82">
        <v>0</v>
      </c>
      <c r="AG2466" s="69"/>
      <c r="AH2466" s="84"/>
      <c r="AI2466" s="69"/>
      <c r="AJ2466" s="25"/>
      <c r="AK2466" s="65"/>
      <c r="AL2466" s="176"/>
      <c r="AM2466" s="173"/>
      <c r="AN2466" s="159"/>
      <c r="AO2466" s="160"/>
      <c r="AP2466" s="161"/>
      <c r="AQ2466" s="160"/>
      <c r="AR2466" s="160"/>
      <c r="AS2466" s="160"/>
      <c r="AT2466" s="160"/>
      <c r="AU2466" s="160"/>
      <c r="AV2466" s="160"/>
      <c r="AW2466" s="160"/>
      <c r="AX2466" s="160"/>
      <c r="AY2466" s="160"/>
      <c r="AZ2466" s="160"/>
      <c r="BA2466" s="160"/>
      <c r="BB2466" s="160"/>
      <c r="BC2466" s="160"/>
      <c r="BD2466" s="160"/>
      <c r="BE2466" s="160"/>
      <c r="BF2466" s="160"/>
      <c r="BG2466" s="160"/>
      <c r="BH2466" s="160"/>
      <c r="BI2466" s="160"/>
      <c r="BJ2466" s="160"/>
      <c r="BK2466" s="160"/>
      <c r="BL2466" s="160"/>
      <c r="BM2466" s="160"/>
      <c r="BN2466" s="160"/>
      <c r="BO2466" s="160"/>
      <c r="BP2466" s="160"/>
      <c r="BQ2466" s="160"/>
      <c r="BR2466" s="160"/>
      <c r="BS2466" s="160"/>
      <c r="BT2466" s="160"/>
      <c r="BU2466" s="160"/>
      <c r="BV2466" s="160"/>
      <c r="BW2466" s="160"/>
      <c r="BX2466" s="160"/>
      <c r="BY2466" s="160"/>
      <c r="BZ2466" s="160"/>
      <c r="CA2466" s="160"/>
      <c r="CB2466" s="160"/>
      <c r="CC2466" s="160"/>
      <c r="CD2466" s="160"/>
      <c r="CE2466" s="160"/>
      <c r="CF2466" s="160"/>
      <c r="CG2466" s="160"/>
      <c r="CH2466" s="160"/>
      <c r="CI2466" s="160"/>
      <c r="CJ2466" s="160"/>
      <c r="CK2466" s="160"/>
      <c r="CL2466" s="160"/>
      <c r="CM2466" s="160"/>
      <c r="CN2466" s="160"/>
      <c r="CO2466" s="160"/>
      <c r="CP2466" s="162"/>
      <c r="CQ2466" s="163"/>
      <c r="CR2466" s="162"/>
      <c r="CS2466" s="163"/>
      <c r="CT2466" s="162"/>
      <c r="CU2466" s="163"/>
      <c r="CV2466" s="164">
        <f t="shared" si="309"/>
        <v>0</v>
      </c>
      <c r="CW2466" s="165"/>
      <c r="CX2466" s="166"/>
      <c r="CY2466" s="167"/>
      <c r="CZ2466" s="168"/>
      <c r="DA2466" s="169"/>
      <c r="DB2466" s="168"/>
      <c r="DC2466" s="165"/>
      <c r="DD2466" s="166"/>
      <c r="DE2466" s="71"/>
      <c r="DF2466" s="170"/>
      <c r="EO2466" s="375"/>
      <c r="EP2466" s="376"/>
      <c r="EQ2466" s="376"/>
      <c r="ER2466" s="377"/>
      <c r="ES2466" s="376"/>
      <c r="ET2466" s="376"/>
      <c r="EU2466" s="376"/>
    </row>
    <row r="2467" spans="1:151" s="171" customFormat="1" x14ac:dyDescent="0.2">
      <c r="A2467" s="242"/>
      <c r="B2467" s="222"/>
      <c r="C2467" s="222"/>
      <c r="D2467" s="430"/>
      <c r="E2467" s="107"/>
      <c r="F2467" s="333"/>
      <c r="G2467" s="221"/>
      <c r="H2467" s="157"/>
      <c r="I2467" s="157"/>
      <c r="J2467" s="157"/>
      <c r="K2467" s="157"/>
      <c r="L2467" s="157"/>
      <c r="M2467" s="157"/>
      <c r="N2467" s="157"/>
      <c r="O2467" s="157"/>
      <c r="P2467" s="157"/>
      <c r="Q2467" s="157"/>
      <c r="R2467" s="157"/>
      <c r="S2467" s="157"/>
      <c r="T2467" s="157"/>
      <c r="U2467" s="157"/>
      <c r="V2467" s="158"/>
      <c r="W2467" s="182"/>
      <c r="X2467" s="1"/>
      <c r="Y2467" s="78">
        <f t="shared" si="304"/>
        <v>0</v>
      </c>
      <c r="Z2467" s="78">
        <f t="shared" si="305"/>
        <v>0</v>
      </c>
      <c r="AA2467" s="78">
        <f t="shared" si="306"/>
        <v>0</v>
      </c>
      <c r="AB2467" s="78">
        <f t="shared" si="307"/>
        <v>0</v>
      </c>
      <c r="AC2467" s="78"/>
      <c r="AD2467" s="78">
        <v>0</v>
      </c>
      <c r="AE2467" s="80">
        <f t="shared" si="308"/>
        <v>0</v>
      </c>
      <c r="AF2467" s="82">
        <v>0</v>
      </c>
      <c r="AG2467" s="69"/>
      <c r="AH2467" s="84"/>
      <c r="AI2467" s="69"/>
      <c r="AJ2467" s="25"/>
      <c r="AK2467" s="65"/>
      <c r="AL2467" s="176"/>
      <c r="AM2467" s="173"/>
      <c r="AN2467" s="159"/>
      <c r="AO2467" s="160"/>
      <c r="AP2467" s="161"/>
      <c r="AQ2467" s="160"/>
      <c r="AR2467" s="160"/>
      <c r="AS2467" s="160"/>
      <c r="AT2467" s="160"/>
      <c r="AU2467" s="160"/>
      <c r="AV2467" s="160"/>
      <c r="AW2467" s="160"/>
      <c r="AX2467" s="160"/>
      <c r="AY2467" s="160"/>
      <c r="AZ2467" s="160"/>
      <c r="BA2467" s="160"/>
      <c r="BB2467" s="160"/>
      <c r="BC2467" s="160"/>
      <c r="BD2467" s="160"/>
      <c r="BE2467" s="160"/>
      <c r="BF2467" s="160"/>
      <c r="BG2467" s="160"/>
      <c r="BH2467" s="160"/>
      <c r="BI2467" s="160"/>
      <c r="BJ2467" s="160"/>
      <c r="BK2467" s="160"/>
      <c r="BL2467" s="160"/>
      <c r="BM2467" s="160"/>
      <c r="BN2467" s="160"/>
      <c r="BO2467" s="160"/>
      <c r="BP2467" s="160"/>
      <c r="BQ2467" s="160"/>
      <c r="BR2467" s="160"/>
      <c r="BS2467" s="160"/>
      <c r="BT2467" s="160"/>
      <c r="BU2467" s="160"/>
      <c r="BV2467" s="160"/>
      <c r="BW2467" s="160"/>
      <c r="BX2467" s="160"/>
      <c r="BY2467" s="160"/>
      <c r="BZ2467" s="160"/>
      <c r="CA2467" s="160"/>
      <c r="CB2467" s="160"/>
      <c r="CC2467" s="160"/>
      <c r="CD2467" s="160"/>
      <c r="CE2467" s="160"/>
      <c r="CF2467" s="160"/>
      <c r="CG2467" s="160"/>
      <c r="CH2467" s="160"/>
      <c r="CI2467" s="160"/>
      <c r="CJ2467" s="160"/>
      <c r="CK2467" s="160"/>
      <c r="CL2467" s="160"/>
      <c r="CM2467" s="160"/>
      <c r="CN2467" s="160"/>
      <c r="CO2467" s="160"/>
      <c r="CP2467" s="162"/>
      <c r="CQ2467" s="163"/>
      <c r="CR2467" s="162"/>
      <c r="CS2467" s="163"/>
      <c r="CT2467" s="162"/>
      <c r="CU2467" s="163"/>
      <c r="CV2467" s="164">
        <f t="shared" si="309"/>
        <v>0</v>
      </c>
      <c r="CW2467" s="165"/>
      <c r="CX2467" s="166"/>
      <c r="CY2467" s="167"/>
      <c r="CZ2467" s="168"/>
      <c r="DA2467" s="169"/>
      <c r="DB2467" s="168"/>
      <c r="DC2467" s="165"/>
      <c r="DD2467" s="166"/>
      <c r="DE2467" s="71"/>
      <c r="DF2467" s="170"/>
      <c r="EO2467" s="375"/>
      <c r="EP2467" s="376"/>
      <c r="EQ2467" s="376"/>
      <c r="ER2467" s="377"/>
      <c r="ES2467" s="376"/>
      <c r="ET2467" s="376"/>
      <c r="EU2467" s="376"/>
    </row>
    <row r="2468" spans="1:151" s="171" customFormat="1" x14ac:dyDescent="0.2">
      <c r="A2468" s="242"/>
      <c r="B2468" s="222"/>
      <c r="C2468" s="222"/>
      <c r="D2468" s="430"/>
      <c r="E2468" s="107"/>
      <c r="F2468" s="333"/>
      <c r="G2468" s="221"/>
      <c r="H2468" s="157"/>
      <c r="I2468" s="157"/>
      <c r="J2468" s="157"/>
      <c r="K2468" s="157"/>
      <c r="L2468" s="157"/>
      <c r="M2468" s="157"/>
      <c r="N2468" s="157"/>
      <c r="O2468" s="157"/>
      <c r="P2468" s="157"/>
      <c r="Q2468" s="157"/>
      <c r="R2468" s="157"/>
      <c r="S2468" s="157"/>
      <c r="T2468" s="157"/>
      <c r="U2468" s="157"/>
      <c r="V2468" s="158"/>
      <c r="W2468" s="182"/>
      <c r="X2468" s="1"/>
      <c r="Y2468" s="78">
        <f t="shared" si="304"/>
        <v>0</v>
      </c>
      <c r="Z2468" s="78">
        <f t="shared" si="305"/>
        <v>0</v>
      </c>
      <c r="AA2468" s="78">
        <f t="shared" si="306"/>
        <v>0</v>
      </c>
      <c r="AB2468" s="78">
        <f t="shared" si="307"/>
        <v>0</v>
      </c>
      <c r="AC2468" s="78"/>
      <c r="AD2468" s="78">
        <v>0</v>
      </c>
      <c r="AE2468" s="80">
        <f t="shared" si="308"/>
        <v>0</v>
      </c>
      <c r="AF2468" s="82">
        <v>0</v>
      </c>
      <c r="AG2468" s="69"/>
      <c r="AH2468" s="84"/>
      <c r="AI2468" s="69"/>
      <c r="AJ2468" s="25"/>
      <c r="AK2468" s="65"/>
      <c r="AL2468" s="176"/>
      <c r="AM2468" s="173"/>
      <c r="AN2468" s="159"/>
      <c r="AO2468" s="160"/>
      <c r="AP2468" s="161"/>
      <c r="AQ2468" s="160"/>
      <c r="AR2468" s="160"/>
      <c r="AS2468" s="160"/>
      <c r="AT2468" s="160"/>
      <c r="AU2468" s="160"/>
      <c r="AV2468" s="160"/>
      <c r="AW2468" s="160"/>
      <c r="AX2468" s="160"/>
      <c r="AY2468" s="160"/>
      <c r="AZ2468" s="160"/>
      <c r="BA2468" s="160"/>
      <c r="BB2468" s="160"/>
      <c r="BC2468" s="160"/>
      <c r="BD2468" s="160"/>
      <c r="BE2468" s="160"/>
      <c r="BF2468" s="160"/>
      <c r="BG2468" s="160"/>
      <c r="BH2468" s="160"/>
      <c r="BI2468" s="160"/>
      <c r="BJ2468" s="160"/>
      <c r="BK2468" s="160"/>
      <c r="BL2468" s="160"/>
      <c r="BM2468" s="160"/>
      <c r="BN2468" s="160"/>
      <c r="BO2468" s="160"/>
      <c r="BP2468" s="160"/>
      <c r="BQ2468" s="160"/>
      <c r="BR2468" s="160"/>
      <c r="BS2468" s="160"/>
      <c r="BT2468" s="160"/>
      <c r="BU2468" s="160"/>
      <c r="BV2468" s="160"/>
      <c r="BW2468" s="160"/>
      <c r="BX2468" s="160"/>
      <c r="BY2468" s="160"/>
      <c r="BZ2468" s="160"/>
      <c r="CA2468" s="160"/>
      <c r="CB2468" s="160"/>
      <c r="CC2468" s="160"/>
      <c r="CD2468" s="160"/>
      <c r="CE2468" s="160"/>
      <c r="CF2468" s="160"/>
      <c r="CG2468" s="160"/>
      <c r="CH2468" s="160"/>
      <c r="CI2468" s="160"/>
      <c r="CJ2468" s="160"/>
      <c r="CK2468" s="160"/>
      <c r="CL2468" s="160"/>
      <c r="CM2468" s="160"/>
      <c r="CN2468" s="160"/>
      <c r="CO2468" s="160"/>
      <c r="CP2468" s="162"/>
      <c r="CQ2468" s="163"/>
      <c r="CR2468" s="162"/>
      <c r="CS2468" s="163"/>
      <c r="CT2468" s="162"/>
      <c r="CU2468" s="163"/>
      <c r="CV2468" s="164">
        <f t="shared" si="309"/>
        <v>0</v>
      </c>
      <c r="CW2468" s="165"/>
      <c r="CX2468" s="166"/>
      <c r="CY2468" s="167"/>
      <c r="CZ2468" s="168"/>
      <c r="DA2468" s="169"/>
      <c r="DB2468" s="168"/>
      <c r="DC2468" s="165"/>
      <c r="DD2468" s="166"/>
      <c r="DE2468" s="71"/>
      <c r="DF2468" s="170"/>
      <c r="EO2468" s="375"/>
      <c r="EP2468" s="376"/>
      <c r="EQ2468" s="376"/>
      <c r="ER2468" s="377"/>
      <c r="ES2468" s="376"/>
      <c r="ET2468" s="376"/>
      <c r="EU2468" s="376"/>
    </row>
    <row r="2469" spans="1:151" s="171" customFormat="1" x14ac:dyDescent="0.2">
      <c r="A2469" s="242"/>
      <c r="B2469" s="222"/>
      <c r="C2469" s="222"/>
      <c r="D2469" s="430"/>
      <c r="E2469" s="107"/>
      <c r="F2469" s="333"/>
      <c r="G2469" s="221"/>
      <c r="H2469" s="157"/>
      <c r="I2469" s="157"/>
      <c r="J2469" s="157"/>
      <c r="K2469" s="157"/>
      <c r="L2469" s="157"/>
      <c r="M2469" s="157"/>
      <c r="N2469" s="157"/>
      <c r="O2469" s="157"/>
      <c r="P2469" s="157"/>
      <c r="Q2469" s="157"/>
      <c r="R2469" s="157"/>
      <c r="S2469" s="157"/>
      <c r="T2469" s="157"/>
      <c r="U2469" s="157"/>
      <c r="V2469" s="158"/>
      <c r="W2469" s="182"/>
      <c r="X2469" s="1"/>
      <c r="Y2469" s="78">
        <f t="shared" si="304"/>
        <v>0</v>
      </c>
      <c r="Z2469" s="78">
        <f t="shared" si="305"/>
        <v>0</v>
      </c>
      <c r="AA2469" s="78">
        <f t="shared" si="306"/>
        <v>0</v>
      </c>
      <c r="AB2469" s="78">
        <f t="shared" si="307"/>
        <v>0</v>
      </c>
      <c r="AC2469" s="78"/>
      <c r="AD2469" s="78">
        <v>0</v>
      </c>
      <c r="AE2469" s="80">
        <f t="shared" si="308"/>
        <v>0</v>
      </c>
      <c r="AF2469" s="82">
        <v>0</v>
      </c>
      <c r="AG2469" s="69"/>
      <c r="AH2469" s="84"/>
      <c r="AI2469" s="69"/>
      <c r="AJ2469" s="25"/>
      <c r="AK2469" s="65"/>
      <c r="AL2469" s="176"/>
      <c r="AM2469" s="173"/>
      <c r="AN2469" s="159"/>
      <c r="AO2469" s="160"/>
      <c r="AP2469" s="161"/>
      <c r="AQ2469" s="160"/>
      <c r="AR2469" s="160"/>
      <c r="AS2469" s="160"/>
      <c r="AT2469" s="160"/>
      <c r="AU2469" s="160"/>
      <c r="AV2469" s="160"/>
      <c r="AW2469" s="160"/>
      <c r="AX2469" s="160"/>
      <c r="AY2469" s="160"/>
      <c r="AZ2469" s="160"/>
      <c r="BA2469" s="160"/>
      <c r="BB2469" s="160"/>
      <c r="BC2469" s="160"/>
      <c r="BD2469" s="160"/>
      <c r="BE2469" s="160"/>
      <c r="BF2469" s="160"/>
      <c r="BG2469" s="160"/>
      <c r="BH2469" s="160"/>
      <c r="BI2469" s="160"/>
      <c r="BJ2469" s="160"/>
      <c r="BK2469" s="160"/>
      <c r="BL2469" s="160"/>
      <c r="BM2469" s="160"/>
      <c r="BN2469" s="160"/>
      <c r="BO2469" s="160"/>
      <c r="BP2469" s="160"/>
      <c r="BQ2469" s="160"/>
      <c r="BR2469" s="160"/>
      <c r="BS2469" s="160"/>
      <c r="BT2469" s="160"/>
      <c r="BU2469" s="160"/>
      <c r="BV2469" s="160"/>
      <c r="BW2469" s="160"/>
      <c r="BX2469" s="160"/>
      <c r="BY2469" s="160"/>
      <c r="BZ2469" s="160"/>
      <c r="CA2469" s="160"/>
      <c r="CB2469" s="160"/>
      <c r="CC2469" s="160"/>
      <c r="CD2469" s="160"/>
      <c r="CE2469" s="160"/>
      <c r="CF2469" s="160"/>
      <c r="CG2469" s="160"/>
      <c r="CH2469" s="160"/>
      <c r="CI2469" s="160"/>
      <c r="CJ2469" s="160"/>
      <c r="CK2469" s="160"/>
      <c r="CL2469" s="160"/>
      <c r="CM2469" s="160"/>
      <c r="CN2469" s="160"/>
      <c r="CO2469" s="160"/>
      <c r="CP2469" s="162"/>
      <c r="CQ2469" s="163"/>
      <c r="CR2469" s="162"/>
      <c r="CS2469" s="163"/>
      <c r="CT2469" s="162"/>
      <c r="CU2469" s="163"/>
      <c r="CV2469" s="164">
        <f t="shared" si="309"/>
        <v>0</v>
      </c>
      <c r="CW2469" s="165"/>
      <c r="CX2469" s="166"/>
      <c r="CY2469" s="167"/>
      <c r="CZ2469" s="168"/>
      <c r="DA2469" s="169"/>
      <c r="DB2469" s="168"/>
      <c r="DC2469" s="165"/>
      <c r="DD2469" s="166"/>
      <c r="DE2469" s="71"/>
      <c r="DF2469" s="170"/>
      <c r="EO2469" s="375"/>
      <c r="EP2469" s="376"/>
      <c r="EQ2469" s="376"/>
      <c r="ER2469" s="377"/>
      <c r="ES2469" s="376"/>
      <c r="ET2469" s="376"/>
      <c r="EU2469" s="376"/>
    </row>
    <row r="2470" spans="1:151" s="171" customFormat="1" x14ac:dyDescent="0.2">
      <c r="A2470" s="242"/>
      <c r="B2470" s="222"/>
      <c r="C2470" s="222"/>
      <c r="D2470" s="430"/>
      <c r="E2470" s="107"/>
      <c r="F2470" s="333"/>
      <c r="G2470" s="221"/>
      <c r="H2470" s="157"/>
      <c r="I2470" s="157"/>
      <c r="J2470" s="157"/>
      <c r="K2470" s="157"/>
      <c r="L2470" s="157"/>
      <c r="M2470" s="157"/>
      <c r="N2470" s="157"/>
      <c r="O2470" s="157"/>
      <c r="P2470" s="157"/>
      <c r="Q2470" s="157"/>
      <c r="R2470" s="157"/>
      <c r="S2470" s="157"/>
      <c r="T2470" s="157"/>
      <c r="U2470" s="157"/>
      <c r="V2470" s="158"/>
      <c r="W2470" s="182"/>
      <c r="X2470" s="1"/>
      <c r="Y2470" s="78">
        <f t="shared" si="304"/>
        <v>0</v>
      </c>
      <c r="Z2470" s="78">
        <f t="shared" si="305"/>
        <v>0</v>
      </c>
      <c r="AA2470" s="78">
        <f t="shared" si="306"/>
        <v>0</v>
      </c>
      <c r="AB2470" s="78">
        <f t="shared" si="307"/>
        <v>0</v>
      </c>
      <c r="AC2470" s="78"/>
      <c r="AD2470" s="78">
        <v>0</v>
      </c>
      <c r="AE2470" s="80">
        <f t="shared" si="308"/>
        <v>0</v>
      </c>
      <c r="AF2470" s="82">
        <v>0</v>
      </c>
      <c r="AG2470" s="69"/>
      <c r="AH2470" s="84"/>
      <c r="AI2470" s="69"/>
      <c r="AJ2470" s="25"/>
      <c r="AK2470" s="65"/>
      <c r="AL2470" s="176"/>
      <c r="AM2470" s="173"/>
      <c r="AN2470" s="159"/>
      <c r="AO2470" s="160"/>
      <c r="AP2470" s="161"/>
      <c r="AQ2470" s="160"/>
      <c r="AR2470" s="160"/>
      <c r="AS2470" s="160"/>
      <c r="AT2470" s="160"/>
      <c r="AU2470" s="160"/>
      <c r="AV2470" s="160"/>
      <c r="AW2470" s="160"/>
      <c r="AX2470" s="160"/>
      <c r="AY2470" s="160"/>
      <c r="AZ2470" s="160"/>
      <c r="BA2470" s="160"/>
      <c r="BB2470" s="160"/>
      <c r="BC2470" s="160"/>
      <c r="BD2470" s="160"/>
      <c r="BE2470" s="160"/>
      <c r="BF2470" s="160"/>
      <c r="BG2470" s="160"/>
      <c r="BH2470" s="160"/>
      <c r="BI2470" s="160"/>
      <c r="BJ2470" s="160"/>
      <c r="BK2470" s="160"/>
      <c r="BL2470" s="160"/>
      <c r="BM2470" s="160"/>
      <c r="BN2470" s="160"/>
      <c r="BO2470" s="160"/>
      <c r="BP2470" s="160"/>
      <c r="BQ2470" s="160"/>
      <c r="BR2470" s="160"/>
      <c r="BS2470" s="160"/>
      <c r="BT2470" s="160"/>
      <c r="BU2470" s="160"/>
      <c r="BV2470" s="160"/>
      <c r="BW2470" s="160"/>
      <c r="BX2470" s="160"/>
      <c r="BY2470" s="160"/>
      <c r="BZ2470" s="160"/>
      <c r="CA2470" s="160"/>
      <c r="CB2470" s="160"/>
      <c r="CC2470" s="160"/>
      <c r="CD2470" s="160"/>
      <c r="CE2470" s="160"/>
      <c r="CF2470" s="160"/>
      <c r="CG2470" s="160"/>
      <c r="CH2470" s="160"/>
      <c r="CI2470" s="160"/>
      <c r="CJ2470" s="160"/>
      <c r="CK2470" s="160"/>
      <c r="CL2470" s="160"/>
      <c r="CM2470" s="160"/>
      <c r="CN2470" s="160"/>
      <c r="CO2470" s="160"/>
      <c r="CP2470" s="162"/>
      <c r="CQ2470" s="163"/>
      <c r="CR2470" s="162"/>
      <c r="CS2470" s="163"/>
      <c r="CT2470" s="162"/>
      <c r="CU2470" s="163"/>
      <c r="CV2470" s="164">
        <f t="shared" si="309"/>
        <v>0</v>
      </c>
      <c r="CW2470" s="165"/>
      <c r="CX2470" s="166"/>
      <c r="CY2470" s="167"/>
      <c r="CZ2470" s="168"/>
      <c r="DA2470" s="169"/>
      <c r="DB2470" s="168"/>
      <c r="DC2470" s="165"/>
      <c r="DD2470" s="166"/>
      <c r="DE2470" s="71"/>
      <c r="DF2470" s="170"/>
      <c r="EO2470" s="375"/>
      <c r="EP2470" s="376"/>
      <c r="EQ2470" s="376"/>
      <c r="ER2470" s="377"/>
      <c r="ES2470" s="376"/>
      <c r="ET2470" s="376"/>
      <c r="EU2470" s="376"/>
    </row>
    <row r="2471" spans="1:151" s="171" customFormat="1" x14ac:dyDescent="0.2">
      <c r="A2471" s="242"/>
      <c r="B2471" s="222"/>
      <c r="C2471" s="222"/>
      <c r="D2471" s="430"/>
      <c r="E2471" s="107"/>
      <c r="F2471" s="333"/>
      <c r="G2471" s="221"/>
      <c r="H2471" s="157"/>
      <c r="I2471" s="157"/>
      <c r="J2471" s="157"/>
      <c r="K2471" s="157"/>
      <c r="L2471" s="157"/>
      <c r="M2471" s="157"/>
      <c r="N2471" s="157"/>
      <c r="O2471" s="157"/>
      <c r="P2471" s="157"/>
      <c r="Q2471" s="157"/>
      <c r="R2471" s="157"/>
      <c r="S2471" s="157"/>
      <c r="T2471" s="157"/>
      <c r="U2471" s="157"/>
      <c r="V2471" s="158"/>
      <c r="W2471" s="182"/>
      <c r="X2471" s="1"/>
      <c r="Y2471" s="78">
        <f t="shared" si="304"/>
        <v>0</v>
      </c>
      <c r="Z2471" s="78">
        <f t="shared" si="305"/>
        <v>0</v>
      </c>
      <c r="AA2471" s="78">
        <f t="shared" si="306"/>
        <v>0</v>
      </c>
      <c r="AB2471" s="78">
        <f t="shared" si="307"/>
        <v>0</v>
      </c>
      <c r="AC2471" s="78"/>
      <c r="AD2471" s="78">
        <v>0</v>
      </c>
      <c r="AE2471" s="80">
        <f t="shared" si="308"/>
        <v>0</v>
      </c>
      <c r="AF2471" s="82">
        <v>0</v>
      </c>
      <c r="AG2471" s="69"/>
      <c r="AH2471" s="84"/>
      <c r="AI2471" s="69"/>
      <c r="AJ2471" s="25"/>
      <c r="AK2471" s="65"/>
      <c r="AL2471" s="176"/>
      <c r="AM2471" s="173"/>
      <c r="AN2471" s="159"/>
      <c r="AO2471" s="160"/>
      <c r="AP2471" s="161"/>
      <c r="AQ2471" s="160"/>
      <c r="AR2471" s="160"/>
      <c r="AS2471" s="160"/>
      <c r="AT2471" s="160"/>
      <c r="AU2471" s="160"/>
      <c r="AV2471" s="160"/>
      <c r="AW2471" s="160"/>
      <c r="AX2471" s="160"/>
      <c r="AY2471" s="160"/>
      <c r="AZ2471" s="160"/>
      <c r="BA2471" s="160"/>
      <c r="BB2471" s="160"/>
      <c r="BC2471" s="160"/>
      <c r="BD2471" s="160"/>
      <c r="BE2471" s="160"/>
      <c r="BF2471" s="160"/>
      <c r="BG2471" s="160"/>
      <c r="BH2471" s="160"/>
      <c r="BI2471" s="160"/>
      <c r="BJ2471" s="160"/>
      <c r="BK2471" s="160"/>
      <c r="BL2471" s="160"/>
      <c r="BM2471" s="160"/>
      <c r="BN2471" s="160"/>
      <c r="BO2471" s="160"/>
      <c r="BP2471" s="160"/>
      <c r="BQ2471" s="160"/>
      <c r="BR2471" s="160"/>
      <c r="BS2471" s="160"/>
      <c r="BT2471" s="160"/>
      <c r="BU2471" s="160"/>
      <c r="BV2471" s="160"/>
      <c r="BW2471" s="160"/>
      <c r="BX2471" s="160"/>
      <c r="BY2471" s="160"/>
      <c r="BZ2471" s="160"/>
      <c r="CA2471" s="160"/>
      <c r="CB2471" s="160"/>
      <c r="CC2471" s="160"/>
      <c r="CD2471" s="160"/>
      <c r="CE2471" s="160"/>
      <c r="CF2471" s="160"/>
      <c r="CG2471" s="160"/>
      <c r="CH2471" s="160"/>
      <c r="CI2471" s="160"/>
      <c r="CJ2471" s="160"/>
      <c r="CK2471" s="160"/>
      <c r="CL2471" s="160"/>
      <c r="CM2471" s="160"/>
      <c r="CN2471" s="160"/>
      <c r="CO2471" s="160"/>
      <c r="CP2471" s="162"/>
      <c r="CQ2471" s="163"/>
      <c r="CR2471" s="162"/>
      <c r="CS2471" s="163"/>
      <c r="CT2471" s="162"/>
      <c r="CU2471" s="163"/>
      <c r="CV2471" s="164">
        <f t="shared" si="309"/>
        <v>0</v>
      </c>
      <c r="CW2471" s="165"/>
      <c r="CX2471" s="166"/>
      <c r="CY2471" s="167"/>
      <c r="CZ2471" s="168"/>
      <c r="DA2471" s="169"/>
      <c r="DB2471" s="168"/>
      <c r="DC2471" s="165"/>
      <c r="DD2471" s="166"/>
      <c r="DE2471" s="71"/>
      <c r="DF2471" s="170"/>
      <c r="EO2471" s="375"/>
      <c r="EP2471" s="376"/>
      <c r="EQ2471" s="376"/>
      <c r="ER2471" s="377"/>
      <c r="ES2471" s="376"/>
      <c r="ET2471" s="376"/>
      <c r="EU2471" s="376"/>
    </row>
    <row r="2472" spans="1:151" s="171" customFormat="1" x14ac:dyDescent="0.2">
      <c r="A2472" s="242"/>
      <c r="B2472" s="222"/>
      <c r="C2472" s="222"/>
      <c r="D2472" s="430"/>
      <c r="E2472" s="222"/>
      <c r="F2472" s="333"/>
      <c r="G2472" s="221"/>
      <c r="H2472" s="157"/>
      <c r="I2472" s="157"/>
      <c r="J2472" s="157"/>
      <c r="K2472" s="157"/>
      <c r="L2472" s="157"/>
      <c r="M2472" s="157"/>
      <c r="N2472" s="157"/>
      <c r="O2472" s="157"/>
      <c r="P2472" s="157"/>
      <c r="Q2472" s="157"/>
      <c r="R2472" s="157"/>
      <c r="S2472" s="157"/>
      <c r="T2472" s="157"/>
      <c r="U2472" s="157"/>
      <c r="V2472" s="158"/>
      <c r="W2472" s="182"/>
      <c r="X2472" s="1"/>
      <c r="Y2472" s="78">
        <f t="shared" si="304"/>
        <v>0</v>
      </c>
      <c r="Z2472" s="78">
        <f t="shared" si="305"/>
        <v>0</v>
      </c>
      <c r="AA2472" s="78">
        <f t="shared" si="306"/>
        <v>0</v>
      </c>
      <c r="AB2472" s="78">
        <f t="shared" si="307"/>
        <v>0</v>
      </c>
      <c r="AC2472" s="78"/>
      <c r="AD2472" s="78">
        <v>0</v>
      </c>
      <c r="AE2472" s="80">
        <f t="shared" si="308"/>
        <v>0</v>
      </c>
      <c r="AF2472" s="82">
        <v>0</v>
      </c>
      <c r="AG2472" s="69"/>
      <c r="AH2472" s="84"/>
      <c r="AI2472" s="69"/>
      <c r="AJ2472" s="25"/>
      <c r="AK2472" s="65"/>
      <c r="AL2472" s="176"/>
      <c r="AM2472" s="173"/>
      <c r="AN2472" s="159"/>
      <c r="AO2472" s="160"/>
      <c r="AP2472" s="161"/>
      <c r="AQ2472" s="160"/>
      <c r="AR2472" s="160"/>
      <c r="AS2472" s="160"/>
      <c r="AT2472" s="160"/>
      <c r="AU2472" s="160"/>
      <c r="AV2472" s="160"/>
      <c r="AW2472" s="160"/>
      <c r="AX2472" s="160"/>
      <c r="AY2472" s="160"/>
      <c r="AZ2472" s="160"/>
      <c r="BA2472" s="160"/>
      <c r="BB2472" s="160"/>
      <c r="BC2472" s="160"/>
      <c r="BD2472" s="160"/>
      <c r="BE2472" s="160"/>
      <c r="BF2472" s="160"/>
      <c r="BG2472" s="160"/>
      <c r="BH2472" s="160"/>
      <c r="BI2472" s="160"/>
      <c r="BJ2472" s="160"/>
      <c r="BK2472" s="160"/>
      <c r="BL2472" s="160"/>
      <c r="BM2472" s="160"/>
      <c r="BN2472" s="160"/>
      <c r="BO2472" s="160"/>
      <c r="BP2472" s="160"/>
      <c r="BQ2472" s="160"/>
      <c r="BR2472" s="160"/>
      <c r="BS2472" s="160"/>
      <c r="BT2472" s="160"/>
      <c r="BU2472" s="160"/>
      <c r="BV2472" s="160"/>
      <c r="BW2472" s="160"/>
      <c r="BX2472" s="160"/>
      <c r="BY2472" s="160"/>
      <c r="BZ2472" s="160"/>
      <c r="CA2472" s="160"/>
      <c r="CB2472" s="160"/>
      <c r="CC2472" s="160"/>
      <c r="CD2472" s="160"/>
      <c r="CE2472" s="160"/>
      <c r="CF2472" s="160"/>
      <c r="CG2472" s="160"/>
      <c r="CH2472" s="160"/>
      <c r="CI2472" s="160"/>
      <c r="CJ2472" s="160"/>
      <c r="CK2472" s="160"/>
      <c r="CL2472" s="160"/>
      <c r="CM2472" s="160"/>
      <c r="CN2472" s="160"/>
      <c r="CO2472" s="160"/>
      <c r="CP2472" s="162"/>
      <c r="CQ2472" s="163"/>
      <c r="CR2472" s="162"/>
      <c r="CS2472" s="163"/>
      <c r="CT2472" s="162"/>
      <c r="CU2472" s="163"/>
      <c r="CV2472" s="164">
        <f t="shared" si="309"/>
        <v>0</v>
      </c>
      <c r="CW2472" s="165"/>
      <c r="CX2472" s="166"/>
      <c r="CY2472" s="167"/>
      <c r="CZ2472" s="168"/>
      <c r="DA2472" s="169"/>
      <c r="DB2472" s="168"/>
      <c r="DC2472" s="165"/>
      <c r="DD2472" s="166"/>
      <c r="DE2472" s="71"/>
      <c r="DF2472" s="170"/>
      <c r="EO2472" s="375"/>
      <c r="EP2472" s="376"/>
      <c r="EQ2472" s="376"/>
      <c r="ER2472" s="377"/>
      <c r="ES2472" s="376"/>
      <c r="ET2472" s="376"/>
      <c r="EU2472" s="376"/>
    </row>
    <row r="2473" spans="1:151" s="171" customFormat="1" x14ac:dyDescent="0.2">
      <c r="A2473" s="242"/>
      <c r="B2473" s="222"/>
      <c r="C2473" s="222"/>
      <c r="D2473" s="430"/>
      <c r="E2473" s="222"/>
      <c r="F2473" s="333"/>
      <c r="G2473" s="221"/>
      <c r="H2473" s="157"/>
      <c r="I2473" s="157"/>
      <c r="J2473" s="157"/>
      <c r="K2473" s="157"/>
      <c r="L2473" s="157"/>
      <c r="M2473" s="157"/>
      <c r="N2473" s="157"/>
      <c r="O2473" s="157"/>
      <c r="P2473" s="157"/>
      <c r="Q2473" s="157"/>
      <c r="R2473" s="157"/>
      <c r="S2473" s="157"/>
      <c r="T2473" s="157"/>
      <c r="U2473" s="157"/>
      <c r="V2473" s="158"/>
      <c r="W2473" s="182"/>
      <c r="X2473" s="1"/>
      <c r="Y2473" s="78">
        <f t="shared" si="304"/>
        <v>0</v>
      </c>
      <c r="Z2473" s="78">
        <f t="shared" si="305"/>
        <v>0</v>
      </c>
      <c r="AA2473" s="78">
        <f t="shared" si="306"/>
        <v>0</v>
      </c>
      <c r="AB2473" s="78">
        <f t="shared" si="307"/>
        <v>0</v>
      </c>
      <c r="AC2473" s="78"/>
      <c r="AD2473" s="78">
        <v>0</v>
      </c>
      <c r="AE2473" s="80">
        <f t="shared" si="308"/>
        <v>0</v>
      </c>
      <c r="AF2473" s="82">
        <v>0</v>
      </c>
      <c r="AG2473" s="69"/>
      <c r="AH2473" s="84"/>
      <c r="AI2473" s="69"/>
      <c r="AJ2473" s="25"/>
      <c r="AK2473" s="65"/>
      <c r="AL2473" s="176"/>
      <c r="AM2473" s="173"/>
      <c r="AN2473" s="159"/>
      <c r="AO2473" s="160"/>
      <c r="AP2473" s="161"/>
      <c r="AQ2473" s="160"/>
      <c r="AR2473" s="160"/>
      <c r="AS2473" s="160"/>
      <c r="AT2473" s="160"/>
      <c r="AU2473" s="160"/>
      <c r="AV2473" s="160"/>
      <c r="AW2473" s="160"/>
      <c r="AX2473" s="160"/>
      <c r="AY2473" s="160"/>
      <c r="AZ2473" s="160"/>
      <c r="BA2473" s="160"/>
      <c r="BB2473" s="160"/>
      <c r="BC2473" s="160"/>
      <c r="BD2473" s="160"/>
      <c r="BE2473" s="160"/>
      <c r="BF2473" s="160"/>
      <c r="BG2473" s="160"/>
      <c r="BH2473" s="160"/>
      <c r="BI2473" s="160"/>
      <c r="BJ2473" s="160"/>
      <c r="BK2473" s="160"/>
      <c r="BL2473" s="160"/>
      <c r="BM2473" s="160"/>
      <c r="BN2473" s="160"/>
      <c r="BO2473" s="160"/>
      <c r="BP2473" s="160"/>
      <c r="BQ2473" s="160"/>
      <c r="BR2473" s="160"/>
      <c r="BS2473" s="160"/>
      <c r="BT2473" s="160"/>
      <c r="BU2473" s="160"/>
      <c r="BV2473" s="160"/>
      <c r="BW2473" s="160"/>
      <c r="BX2473" s="160"/>
      <c r="BY2473" s="160"/>
      <c r="BZ2473" s="160"/>
      <c r="CA2473" s="160"/>
      <c r="CB2473" s="160"/>
      <c r="CC2473" s="160"/>
      <c r="CD2473" s="160"/>
      <c r="CE2473" s="160"/>
      <c r="CF2473" s="160"/>
      <c r="CG2473" s="160"/>
      <c r="CH2473" s="160"/>
      <c r="CI2473" s="160"/>
      <c r="CJ2473" s="160"/>
      <c r="CK2473" s="160"/>
      <c r="CL2473" s="160"/>
      <c r="CM2473" s="160"/>
      <c r="CN2473" s="160"/>
      <c r="CO2473" s="160"/>
      <c r="CP2473" s="162"/>
      <c r="CQ2473" s="163"/>
      <c r="CR2473" s="162"/>
      <c r="CS2473" s="163"/>
      <c r="CT2473" s="162"/>
      <c r="CU2473" s="163"/>
      <c r="CV2473" s="164">
        <f t="shared" si="309"/>
        <v>0</v>
      </c>
      <c r="CW2473" s="165"/>
      <c r="CX2473" s="166"/>
      <c r="CY2473" s="167"/>
      <c r="CZ2473" s="168"/>
      <c r="DA2473" s="169"/>
      <c r="DB2473" s="168"/>
      <c r="DC2473" s="165"/>
      <c r="DD2473" s="166"/>
      <c r="DE2473" s="71"/>
      <c r="DF2473" s="170"/>
      <c r="EO2473" s="375"/>
      <c r="EP2473" s="376"/>
      <c r="EQ2473" s="376"/>
      <c r="ER2473" s="377"/>
      <c r="ES2473" s="376"/>
      <c r="ET2473" s="376"/>
      <c r="EU2473" s="376"/>
    </row>
    <row r="2474" spans="1:151" s="171" customFormat="1" x14ac:dyDescent="0.2">
      <c r="A2474" s="242"/>
      <c r="B2474" s="222"/>
      <c r="C2474" s="222"/>
      <c r="D2474" s="430"/>
      <c r="E2474" s="222"/>
      <c r="F2474" s="333"/>
      <c r="G2474" s="221"/>
      <c r="H2474" s="157"/>
      <c r="I2474" s="157"/>
      <c r="J2474" s="157"/>
      <c r="K2474" s="157"/>
      <c r="L2474" s="157"/>
      <c r="M2474" s="157"/>
      <c r="N2474" s="157"/>
      <c r="O2474" s="157"/>
      <c r="P2474" s="157"/>
      <c r="Q2474" s="157"/>
      <c r="R2474" s="157"/>
      <c r="S2474" s="157"/>
      <c r="T2474" s="157"/>
      <c r="U2474" s="157"/>
      <c r="V2474" s="158"/>
      <c r="W2474" s="182"/>
      <c r="X2474" s="1"/>
      <c r="Y2474" s="78">
        <f t="shared" ref="Y2474:Y2493" si="310">CV2474</f>
        <v>0</v>
      </c>
      <c r="Z2474" s="78">
        <f t="shared" ref="Z2474:Z2493" si="311">CZ2474</f>
        <v>0</v>
      </c>
      <c r="AA2474" s="78">
        <f t="shared" ref="AA2474:AA2493" si="312">DB2474+DD2474</f>
        <v>0</v>
      </c>
      <c r="AB2474" s="78">
        <f t="shared" ref="AB2474:AB2493" si="313">CX2474</f>
        <v>0</v>
      </c>
      <c r="AC2474" s="78"/>
      <c r="AD2474" s="78">
        <v>0</v>
      </c>
      <c r="AE2474" s="80">
        <f t="shared" ref="AE2474:AE2493" si="314">Y2474+Z2474+AA2474+AB2474+AC2474+AD2474</f>
        <v>0</v>
      </c>
      <c r="AF2474" s="82">
        <v>0</v>
      </c>
      <c r="AG2474" s="69"/>
      <c r="AH2474" s="84"/>
      <c r="AI2474" s="69"/>
      <c r="AJ2474" s="25"/>
      <c r="AK2474" s="65"/>
      <c r="AL2474" s="176"/>
      <c r="AM2474" s="173"/>
      <c r="AN2474" s="159"/>
      <c r="AO2474" s="160"/>
      <c r="AP2474" s="161"/>
      <c r="AQ2474" s="160"/>
      <c r="AR2474" s="160"/>
      <c r="AS2474" s="160"/>
      <c r="AT2474" s="160"/>
      <c r="AU2474" s="160"/>
      <c r="AV2474" s="160"/>
      <c r="AW2474" s="160"/>
      <c r="AX2474" s="160"/>
      <c r="AY2474" s="160"/>
      <c r="AZ2474" s="160"/>
      <c r="BA2474" s="160"/>
      <c r="BB2474" s="160"/>
      <c r="BC2474" s="160"/>
      <c r="BD2474" s="160"/>
      <c r="BE2474" s="160"/>
      <c r="BF2474" s="160"/>
      <c r="BG2474" s="160"/>
      <c r="BH2474" s="160"/>
      <c r="BI2474" s="160"/>
      <c r="BJ2474" s="160"/>
      <c r="BK2474" s="160"/>
      <c r="BL2474" s="160"/>
      <c r="BM2474" s="160"/>
      <c r="BN2474" s="160"/>
      <c r="BO2474" s="160"/>
      <c r="BP2474" s="160"/>
      <c r="BQ2474" s="160"/>
      <c r="BR2474" s="160"/>
      <c r="BS2474" s="160"/>
      <c r="BT2474" s="160"/>
      <c r="BU2474" s="160"/>
      <c r="BV2474" s="160"/>
      <c r="BW2474" s="160"/>
      <c r="BX2474" s="160"/>
      <c r="BY2474" s="160"/>
      <c r="BZ2474" s="160"/>
      <c r="CA2474" s="160"/>
      <c r="CB2474" s="160"/>
      <c r="CC2474" s="160"/>
      <c r="CD2474" s="160"/>
      <c r="CE2474" s="160"/>
      <c r="CF2474" s="160"/>
      <c r="CG2474" s="160"/>
      <c r="CH2474" s="160"/>
      <c r="CI2474" s="160"/>
      <c r="CJ2474" s="160"/>
      <c r="CK2474" s="160"/>
      <c r="CL2474" s="160"/>
      <c r="CM2474" s="160"/>
      <c r="CN2474" s="160"/>
      <c r="CO2474" s="160"/>
      <c r="CP2474" s="162"/>
      <c r="CQ2474" s="163"/>
      <c r="CR2474" s="162"/>
      <c r="CS2474" s="163"/>
      <c r="CT2474" s="162"/>
      <c r="CU2474" s="163"/>
      <c r="CV2474" s="164">
        <f t="shared" ref="CV2474:CV2493" si="315">AO2474+AQ2474+AS2474+AU2474+AW2474+AY2474+BA2474+BC2474+BE2474+BG2474+BI2474+BK2474+BM2474+BO2474+BQ2474+BS2474+BU2474+BW2474+BY2474+CA2474+CC2474+CE2474+CG2474+CI2474+CK2474+CM2474+CO2474+CQ2474+CS2474+CU2474</f>
        <v>0</v>
      </c>
      <c r="CW2474" s="165"/>
      <c r="CX2474" s="166"/>
      <c r="CY2474" s="167"/>
      <c r="CZ2474" s="168"/>
      <c r="DA2474" s="169"/>
      <c r="DB2474" s="168"/>
      <c r="DC2474" s="165"/>
      <c r="DD2474" s="166"/>
      <c r="DE2474" s="71"/>
      <c r="DF2474" s="170"/>
      <c r="EO2474" s="375"/>
      <c r="EP2474" s="376"/>
      <c r="EQ2474" s="376"/>
      <c r="ER2474" s="377"/>
      <c r="ES2474" s="376"/>
      <c r="ET2474" s="376"/>
      <c r="EU2474" s="376"/>
    </row>
    <row r="2475" spans="1:151" s="171" customFormat="1" x14ac:dyDescent="0.2">
      <c r="A2475" s="242"/>
      <c r="B2475" s="222"/>
      <c r="C2475" s="222"/>
      <c r="D2475" s="430"/>
      <c r="E2475" s="222"/>
      <c r="F2475" s="333"/>
      <c r="G2475" s="221"/>
      <c r="H2475" s="157"/>
      <c r="I2475" s="157"/>
      <c r="J2475" s="157"/>
      <c r="K2475" s="157"/>
      <c r="L2475" s="157"/>
      <c r="M2475" s="157"/>
      <c r="N2475" s="157"/>
      <c r="O2475" s="157"/>
      <c r="P2475" s="157"/>
      <c r="Q2475" s="157"/>
      <c r="R2475" s="157"/>
      <c r="S2475" s="157"/>
      <c r="T2475" s="157"/>
      <c r="U2475" s="157"/>
      <c r="V2475" s="158"/>
      <c r="W2475" s="182"/>
      <c r="X2475" s="1"/>
      <c r="Y2475" s="78">
        <f t="shared" si="310"/>
        <v>0</v>
      </c>
      <c r="Z2475" s="78">
        <f t="shared" si="311"/>
        <v>0</v>
      </c>
      <c r="AA2475" s="78">
        <f t="shared" si="312"/>
        <v>0</v>
      </c>
      <c r="AB2475" s="78">
        <f t="shared" si="313"/>
        <v>0</v>
      </c>
      <c r="AC2475" s="78"/>
      <c r="AD2475" s="78">
        <v>0</v>
      </c>
      <c r="AE2475" s="80">
        <f t="shared" si="314"/>
        <v>0</v>
      </c>
      <c r="AF2475" s="82">
        <v>0</v>
      </c>
      <c r="AG2475" s="69"/>
      <c r="AH2475" s="84"/>
      <c r="AI2475" s="69"/>
      <c r="AJ2475" s="25"/>
      <c r="AK2475" s="65"/>
      <c r="AL2475" s="176"/>
      <c r="AM2475" s="173"/>
      <c r="AN2475" s="159"/>
      <c r="AO2475" s="160"/>
      <c r="AP2475" s="161"/>
      <c r="AQ2475" s="160"/>
      <c r="AR2475" s="160"/>
      <c r="AS2475" s="160"/>
      <c r="AT2475" s="160"/>
      <c r="AU2475" s="160"/>
      <c r="AV2475" s="160"/>
      <c r="AW2475" s="160"/>
      <c r="AX2475" s="160"/>
      <c r="AY2475" s="160"/>
      <c r="AZ2475" s="160"/>
      <c r="BA2475" s="160"/>
      <c r="BB2475" s="160"/>
      <c r="BC2475" s="160"/>
      <c r="BD2475" s="160"/>
      <c r="BE2475" s="160"/>
      <c r="BF2475" s="160"/>
      <c r="BG2475" s="160"/>
      <c r="BH2475" s="160"/>
      <c r="BI2475" s="160"/>
      <c r="BJ2475" s="160"/>
      <c r="BK2475" s="160"/>
      <c r="BL2475" s="160"/>
      <c r="BM2475" s="160"/>
      <c r="BN2475" s="160"/>
      <c r="BO2475" s="160"/>
      <c r="BP2475" s="160"/>
      <c r="BQ2475" s="160"/>
      <c r="BR2475" s="160"/>
      <c r="BS2475" s="160"/>
      <c r="BT2475" s="160"/>
      <c r="BU2475" s="160"/>
      <c r="BV2475" s="160"/>
      <c r="BW2475" s="160"/>
      <c r="BX2475" s="160"/>
      <c r="BY2475" s="160"/>
      <c r="BZ2475" s="160"/>
      <c r="CA2475" s="160"/>
      <c r="CB2475" s="160"/>
      <c r="CC2475" s="160"/>
      <c r="CD2475" s="160"/>
      <c r="CE2475" s="160"/>
      <c r="CF2475" s="160"/>
      <c r="CG2475" s="160"/>
      <c r="CH2475" s="160"/>
      <c r="CI2475" s="160"/>
      <c r="CJ2475" s="160"/>
      <c r="CK2475" s="160"/>
      <c r="CL2475" s="160"/>
      <c r="CM2475" s="160"/>
      <c r="CN2475" s="160"/>
      <c r="CO2475" s="160"/>
      <c r="CP2475" s="162"/>
      <c r="CQ2475" s="163"/>
      <c r="CR2475" s="162"/>
      <c r="CS2475" s="163"/>
      <c r="CT2475" s="162"/>
      <c r="CU2475" s="163"/>
      <c r="CV2475" s="164">
        <f t="shared" si="315"/>
        <v>0</v>
      </c>
      <c r="CW2475" s="165"/>
      <c r="CX2475" s="166"/>
      <c r="CY2475" s="167"/>
      <c r="CZ2475" s="168"/>
      <c r="DA2475" s="169"/>
      <c r="DB2475" s="168"/>
      <c r="DC2475" s="165"/>
      <c r="DD2475" s="166"/>
      <c r="DE2475" s="71"/>
      <c r="DF2475" s="170"/>
      <c r="EO2475" s="375"/>
      <c r="EP2475" s="376"/>
      <c r="EQ2475" s="376"/>
      <c r="ER2475" s="377"/>
      <c r="ES2475" s="376"/>
      <c r="ET2475" s="376"/>
      <c r="EU2475" s="376"/>
    </row>
    <row r="2476" spans="1:151" s="171" customFormat="1" x14ac:dyDescent="0.2">
      <c r="A2476" s="242"/>
      <c r="B2476" s="222"/>
      <c r="C2476" s="222"/>
      <c r="D2476" s="430"/>
      <c r="E2476" s="222"/>
      <c r="F2476" s="333"/>
      <c r="G2476" s="221"/>
      <c r="H2476" s="157"/>
      <c r="I2476" s="157"/>
      <c r="J2476" s="157"/>
      <c r="K2476" s="157"/>
      <c r="L2476" s="157"/>
      <c r="M2476" s="157"/>
      <c r="N2476" s="157"/>
      <c r="O2476" s="157"/>
      <c r="P2476" s="157"/>
      <c r="Q2476" s="157"/>
      <c r="R2476" s="157"/>
      <c r="S2476" s="157"/>
      <c r="T2476" s="157"/>
      <c r="U2476" s="157"/>
      <c r="V2476" s="158"/>
      <c r="W2476" s="182"/>
      <c r="X2476" s="1"/>
      <c r="Y2476" s="78">
        <f t="shared" si="310"/>
        <v>0</v>
      </c>
      <c r="Z2476" s="78">
        <f t="shared" si="311"/>
        <v>0</v>
      </c>
      <c r="AA2476" s="78">
        <f t="shared" si="312"/>
        <v>0</v>
      </c>
      <c r="AB2476" s="78">
        <f t="shared" si="313"/>
        <v>0</v>
      </c>
      <c r="AC2476" s="78"/>
      <c r="AD2476" s="78">
        <v>0</v>
      </c>
      <c r="AE2476" s="80">
        <f t="shared" si="314"/>
        <v>0</v>
      </c>
      <c r="AF2476" s="82">
        <v>0</v>
      </c>
      <c r="AG2476" s="69"/>
      <c r="AH2476" s="84"/>
      <c r="AI2476" s="69"/>
      <c r="AJ2476" s="25"/>
      <c r="AK2476" s="65"/>
      <c r="AL2476" s="176"/>
      <c r="AM2476" s="173"/>
      <c r="AN2476" s="159"/>
      <c r="AO2476" s="160"/>
      <c r="AP2476" s="161"/>
      <c r="AQ2476" s="160"/>
      <c r="AR2476" s="160"/>
      <c r="AS2476" s="160"/>
      <c r="AT2476" s="160"/>
      <c r="AU2476" s="160"/>
      <c r="AV2476" s="160"/>
      <c r="AW2476" s="160"/>
      <c r="AX2476" s="160"/>
      <c r="AY2476" s="160"/>
      <c r="AZ2476" s="160"/>
      <c r="BA2476" s="160"/>
      <c r="BB2476" s="160"/>
      <c r="BC2476" s="160"/>
      <c r="BD2476" s="160"/>
      <c r="BE2476" s="160"/>
      <c r="BF2476" s="160"/>
      <c r="BG2476" s="160"/>
      <c r="BH2476" s="160"/>
      <c r="BI2476" s="160"/>
      <c r="BJ2476" s="160"/>
      <c r="BK2476" s="160"/>
      <c r="BL2476" s="160"/>
      <c r="BM2476" s="160"/>
      <c r="BN2476" s="160"/>
      <c r="BO2476" s="160"/>
      <c r="BP2476" s="160"/>
      <c r="BQ2476" s="160"/>
      <c r="BR2476" s="160"/>
      <c r="BS2476" s="160"/>
      <c r="BT2476" s="160"/>
      <c r="BU2476" s="160"/>
      <c r="BV2476" s="160"/>
      <c r="BW2476" s="160"/>
      <c r="BX2476" s="160"/>
      <c r="BY2476" s="160"/>
      <c r="BZ2476" s="160"/>
      <c r="CA2476" s="160"/>
      <c r="CB2476" s="160"/>
      <c r="CC2476" s="160"/>
      <c r="CD2476" s="160"/>
      <c r="CE2476" s="160"/>
      <c r="CF2476" s="160"/>
      <c r="CG2476" s="160"/>
      <c r="CH2476" s="160"/>
      <c r="CI2476" s="160"/>
      <c r="CJ2476" s="160"/>
      <c r="CK2476" s="160"/>
      <c r="CL2476" s="160"/>
      <c r="CM2476" s="160"/>
      <c r="CN2476" s="160"/>
      <c r="CO2476" s="160"/>
      <c r="CP2476" s="162"/>
      <c r="CQ2476" s="163"/>
      <c r="CR2476" s="162"/>
      <c r="CS2476" s="163"/>
      <c r="CT2476" s="162"/>
      <c r="CU2476" s="163"/>
      <c r="CV2476" s="164">
        <f t="shared" si="315"/>
        <v>0</v>
      </c>
      <c r="CW2476" s="165"/>
      <c r="CX2476" s="166"/>
      <c r="CY2476" s="167"/>
      <c r="CZ2476" s="168"/>
      <c r="DA2476" s="169"/>
      <c r="DB2476" s="168"/>
      <c r="DC2476" s="165"/>
      <c r="DD2476" s="166"/>
      <c r="DE2476" s="71"/>
      <c r="DF2476" s="170"/>
      <c r="EO2476" s="375"/>
      <c r="EP2476" s="376"/>
      <c r="EQ2476" s="376"/>
      <c r="ER2476" s="377"/>
      <c r="ES2476" s="376"/>
      <c r="ET2476" s="376"/>
      <c r="EU2476" s="376"/>
    </row>
    <row r="2477" spans="1:151" s="171" customFormat="1" x14ac:dyDescent="0.2">
      <c r="A2477" s="242"/>
      <c r="B2477" s="222"/>
      <c r="C2477" s="222"/>
      <c r="D2477" s="430"/>
      <c r="E2477" s="222"/>
      <c r="F2477" s="333"/>
      <c r="G2477" s="221"/>
      <c r="H2477" s="157"/>
      <c r="I2477" s="157"/>
      <c r="J2477" s="157"/>
      <c r="K2477" s="157"/>
      <c r="L2477" s="157"/>
      <c r="M2477" s="157"/>
      <c r="N2477" s="157"/>
      <c r="O2477" s="157"/>
      <c r="P2477" s="157"/>
      <c r="Q2477" s="157"/>
      <c r="R2477" s="157"/>
      <c r="S2477" s="157"/>
      <c r="T2477" s="157"/>
      <c r="U2477" s="157"/>
      <c r="V2477" s="158"/>
      <c r="W2477" s="182"/>
      <c r="X2477" s="1"/>
      <c r="Y2477" s="78">
        <f t="shared" si="310"/>
        <v>0</v>
      </c>
      <c r="Z2477" s="78">
        <f t="shared" si="311"/>
        <v>0</v>
      </c>
      <c r="AA2477" s="78">
        <f t="shared" si="312"/>
        <v>0</v>
      </c>
      <c r="AB2477" s="78">
        <f t="shared" si="313"/>
        <v>0</v>
      </c>
      <c r="AC2477" s="78"/>
      <c r="AD2477" s="78">
        <v>0</v>
      </c>
      <c r="AE2477" s="80">
        <f t="shared" si="314"/>
        <v>0</v>
      </c>
      <c r="AF2477" s="82">
        <v>0</v>
      </c>
      <c r="AG2477" s="69"/>
      <c r="AH2477" s="84"/>
      <c r="AI2477" s="69"/>
      <c r="AJ2477" s="25"/>
      <c r="AK2477" s="65"/>
      <c r="AL2477" s="176"/>
      <c r="AM2477" s="173"/>
      <c r="AN2477" s="159"/>
      <c r="AO2477" s="160"/>
      <c r="AP2477" s="161"/>
      <c r="AQ2477" s="160"/>
      <c r="AR2477" s="160"/>
      <c r="AS2477" s="160"/>
      <c r="AT2477" s="160"/>
      <c r="AU2477" s="160"/>
      <c r="AV2477" s="160"/>
      <c r="AW2477" s="160"/>
      <c r="AX2477" s="160"/>
      <c r="AY2477" s="160"/>
      <c r="AZ2477" s="160"/>
      <c r="BA2477" s="160"/>
      <c r="BB2477" s="160"/>
      <c r="BC2477" s="160"/>
      <c r="BD2477" s="160"/>
      <c r="BE2477" s="160"/>
      <c r="BF2477" s="160"/>
      <c r="BG2477" s="160"/>
      <c r="BH2477" s="160"/>
      <c r="BI2477" s="160"/>
      <c r="BJ2477" s="160"/>
      <c r="BK2477" s="160"/>
      <c r="BL2477" s="160"/>
      <c r="BM2477" s="160"/>
      <c r="BN2477" s="160"/>
      <c r="BO2477" s="160"/>
      <c r="BP2477" s="160"/>
      <c r="BQ2477" s="160"/>
      <c r="BR2477" s="160"/>
      <c r="BS2477" s="160"/>
      <c r="BT2477" s="160"/>
      <c r="BU2477" s="160"/>
      <c r="BV2477" s="160"/>
      <c r="BW2477" s="160"/>
      <c r="BX2477" s="160"/>
      <c r="BY2477" s="160"/>
      <c r="BZ2477" s="160"/>
      <c r="CA2477" s="160"/>
      <c r="CB2477" s="160"/>
      <c r="CC2477" s="160"/>
      <c r="CD2477" s="160"/>
      <c r="CE2477" s="160"/>
      <c r="CF2477" s="160"/>
      <c r="CG2477" s="160"/>
      <c r="CH2477" s="160"/>
      <c r="CI2477" s="160"/>
      <c r="CJ2477" s="160"/>
      <c r="CK2477" s="160"/>
      <c r="CL2477" s="160"/>
      <c r="CM2477" s="160"/>
      <c r="CN2477" s="160"/>
      <c r="CO2477" s="160"/>
      <c r="CP2477" s="162"/>
      <c r="CQ2477" s="163"/>
      <c r="CR2477" s="162"/>
      <c r="CS2477" s="163"/>
      <c r="CT2477" s="162"/>
      <c r="CU2477" s="163"/>
      <c r="CV2477" s="164">
        <f t="shared" si="315"/>
        <v>0</v>
      </c>
      <c r="CW2477" s="165"/>
      <c r="CX2477" s="166"/>
      <c r="CY2477" s="167"/>
      <c r="CZ2477" s="168"/>
      <c r="DA2477" s="169"/>
      <c r="DB2477" s="168"/>
      <c r="DC2477" s="165"/>
      <c r="DD2477" s="166"/>
      <c r="DE2477" s="71"/>
      <c r="DF2477" s="170"/>
      <c r="EO2477" s="375"/>
      <c r="EP2477" s="376"/>
      <c r="EQ2477" s="376"/>
      <c r="ER2477" s="377"/>
      <c r="ES2477" s="376"/>
      <c r="ET2477" s="376"/>
      <c r="EU2477" s="376"/>
    </row>
    <row r="2478" spans="1:151" s="171" customFormat="1" x14ac:dyDescent="0.2">
      <c r="A2478" s="242"/>
      <c r="B2478" s="222"/>
      <c r="C2478" s="222"/>
      <c r="D2478" s="430"/>
      <c r="E2478" s="222"/>
      <c r="F2478" s="333"/>
      <c r="G2478" s="221"/>
      <c r="H2478" s="157"/>
      <c r="I2478" s="157"/>
      <c r="J2478" s="157"/>
      <c r="K2478" s="157"/>
      <c r="L2478" s="157"/>
      <c r="M2478" s="157"/>
      <c r="N2478" s="157"/>
      <c r="O2478" s="157"/>
      <c r="P2478" s="157"/>
      <c r="Q2478" s="157"/>
      <c r="R2478" s="157"/>
      <c r="S2478" s="157"/>
      <c r="T2478" s="157"/>
      <c r="U2478" s="157"/>
      <c r="V2478" s="158"/>
      <c r="W2478" s="182"/>
      <c r="X2478" s="1"/>
      <c r="Y2478" s="78">
        <f t="shared" si="310"/>
        <v>0</v>
      </c>
      <c r="Z2478" s="78">
        <f t="shared" si="311"/>
        <v>0</v>
      </c>
      <c r="AA2478" s="78">
        <f t="shared" si="312"/>
        <v>0</v>
      </c>
      <c r="AB2478" s="78">
        <f t="shared" si="313"/>
        <v>0</v>
      </c>
      <c r="AC2478" s="78"/>
      <c r="AD2478" s="78">
        <v>0</v>
      </c>
      <c r="AE2478" s="80">
        <f t="shared" si="314"/>
        <v>0</v>
      </c>
      <c r="AF2478" s="82">
        <v>0</v>
      </c>
      <c r="AG2478" s="69"/>
      <c r="AH2478" s="84"/>
      <c r="AI2478" s="69"/>
      <c r="AJ2478" s="25"/>
      <c r="AK2478" s="65"/>
      <c r="AL2478" s="176"/>
      <c r="AM2478" s="173"/>
      <c r="AN2478" s="159"/>
      <c r="AO2478" s="160"/>
      <c r="AP2478" s="161"/>
      <c r="AQ2478" s="160"/>
      <c r="AR2478" s="160"/>
      <c r="AS2478" s="160"/>
      <c r="AT2478" s="160"/>
      <c r="AU2478" s="160"/>
      <c r="AV2478" s="160"/>
      <c r="AW2478" s="160"/>
      <c r="AX2478" s="160"/>
      <c r="AY2478" s="160"/>
      <c r="AZ2478" s="160"/>
      <c r="BA2478" s="160"/>
      <c r="BB2478" s="160"/>
      <c r="BC2478" s="160"/>
      <c r="BD2478" s="160"/>
      <c r="BE2478" s="160"/>
      <c r="BF2478" s="160"/>
      <c r="BG2478" s="160"/>
      <c r="BH2478" s="160"/>
      <c r="BI2478" s="160"/>
      <c r="BJ2478" s="160"/>
      <c r="BK2478" s="160"/>
      <c r="BL2478" s="160"/>
      <c r="BM2478" s="160"/>
      <c r="BN2478" s="160"/>
      <c r="BO2478" s="160"/>
      <c r="BP2478" s="160"/>
      <c r="BQ2478" s="160"/>
      <c r="BR2478" s="160"/>
      <c r="BS2478" s="160"/>
      <c r="BT2478" s="160"/>
      <c r="BU2478" s="160"/>
      <c r="BV2478" s="160"/>
      <c r="BW2478" s="160"/>
      <c r="BX2478" s="160"/>
      <c r="BY2478" s="160"/>
      <c r="BZ2478" s="160"/>
      <c r="CA2478" s="160"/>
      <c r="CB2478" s="160"/>
      <c r="CC2478" s="160"/>
      <c r="CD2478" s="160"/>
      <c r="CE2478" s="160"/>
      <c r="CF2478" s="160"/>
      <c r="CG2478" s="160"/>
      <c r="CH2478" s="160"/>
      <c r="CI2478" s="160"/>
      <c r="CJ2478" s="160"/>
      <c r="CK2478" s="160"/>
      <c r="CL2478" s="160"/>
      <c r="CM2478" s="160"/>
      <c r="CN2478" s="160"/>
      <c r="CO2478" s="160"/>
      <c r="CP2478" s="162"/>
      <c r="CQ2478" s="163"/>
      <c r="CR2478" s="162"/>
      <c r="CS2478" s="163"/>
      <c r="CT2478" s="162"/>
      <c r="CU2478" s="163"/>
      <c r="CV2478" s="164">
        <f t="shared" si="315"/>
        <v>0</v>
      </c>
      <c r="CW2478" s="165"/>
      <c r="CX2478" s="166"/>
      <c r="CY2478" s="167"/>
      <c r="CZ2478" s="168"/>
      <c r="DA2478" s="169"/>
      <c r="DB2478" s="168"/>
      <c r="DC2478" s="165"/>
      <c r="DD2478" s="166"/>
      <c r="DE2478" s="71"/>
      <c r="DF2478" s="170"/>
      <c r="EO2478" s="375"/>
      <c r="EP2478" s="376"/>
      <c r="EQ2478" s="376"/>
      <c r="ER2478" s="377"/>
      <c r="ES2478" s="376"/>
      <c r="ET2478" s="376"/>
      <c r="EU2478" s="376"/>
    </row>
    <row r="2479" spans="1:151" s="171" customFormat="1" x14ac:dyDescent="0.2">
      <c r="A2479" s="242"/>
      <c r="B2479" s="222"/>
      <c r="C2479" s="222"/>
      <c r="D2479" s="430"/>
      <c r="E2479" s="222"/>
      <c r="F2479" s="333"/>
      <c r="G2479" s="221"/>
      <c r="H2479" s="157"/>
      <c r="I2479" s="157"/>
      <c r="J2479" s="157"/>
      <c r="K2479" s="157"/>
      <c r="L2479" s="157"/>
      <c r="M2479" s="157"/>
      <c r="N2479" s="157"/>
      <c r="O2479" s="157"/>
      <c r="P2479" s="157"/>
      <c r="Q2479" s="157"/>
      <c r="R2479" s="157"/>
      <c r="S2479" s="157"/>
      <c r="T2479" s="157"/>
      <c r="U2479" s="157"/>
      <c r="V2479" s="158"/>
      <c r="W2479" s="182"/>
      <c r="X2479" s="1"/>
      <c r="Y2479" s="78">
        <f t="shared" si="310"/>
        <v>0</v>
      </c>
      <c r="Z2479" s="78">
        <f t="shared" si="311"/>
        <v>0</v>
      </c>
      <c r="AA2479" s="78">
        <f t="shared" si="312"/>
        <v>0</v>
      </c>
      <c r="AB2479" s="78">
        <f t="shared" si="313"/>
        <v>0</v>
      </c>
      <c r="AC2479" s="78"/>
      <c r="AD2479" s="78">
        <v>0</v>
      </c>
      <c r="AE2479" s="80">
        <f t="shared" si="314"/>
        <v>0</v>
      </c>
      <c r="AF2479" s="82">
        <v>0</v>
      </c>
      <c r="AG2479" s="69"/>
      <c r="AH2479" s="84"/>
      <c r="AI2479" s="69"/>
      <c r="AJ2479" s="25"/>
      <c r="AK2479" s="65"/>
      <c r="AL2479" s="176"/>
      <c r="AM2479" s="173"/>
      <c r="AN2479" s="159"/>
      <c r="AO2479" s="160"/>
      <c r="AP2479" s="161"/>
      <c r="AQ2479" s="160"/>
      <c r="AR2479" s="160"/>
      <c r="AS2479" s="160"/>
      <c r="AT2479" s="160"/>
      <c r="AU2479" s="160"/>
      <c r="AV2479" s="160"/>
      <c r="AW2479" s="160"/>
      <c r="AX2479" s="160"/>
      <c r="AY2479" s="160"/>
      <c r="AZ2479" s="160"/>
      <c r="BA2479" s="160"/>
      <c r="BB2479" s="160"/>
      <c r="BC2479" s="160"/>
      <c r="BD2479" s="160"/>
      <c r="BE2479" s="160"/>
      <c r="BF2479" s="160"/>
      <c r="BG2479" s="160"/>
      <c r="BH2479" s="160"/>
      <c r="BI2479" s="160"/>
      <c r="BJ2479" s="160"/>
      <c r="BK2479" s="160"/>
      <c r="BL2479" s="160"/>
      <c r="BM2479" s="160"/>
      <c r="BN2479" s="160"/>
      <c r="BO2479" s="160"/>
      <c r="BP2479" s="160"/>
      <c r="BQ2479" s="160"/>
      <c r="BR2479" s="160"/>
      <c r="BS2479" s="160"/>
      <c r="BT2479" s="160"/>
      <c r="BU2479" s="160"/>
      <c r="BV2479" s="160"/>
      <c r="BW2479" s="160"/>
      <c r="BX2479" s="160"/>
      <c r="BY2479" s="160"/>
      <c r="BZ2479" s="160"/>
      <c r="CA2479" s="160"/>
      <c r="CB2479" s="160"/>
      <c r="CC2479" s="160"/>
      <c r="CD2479" s="160"/>
      <c r="CE2479" s="160"/>
      <c r="CF2479" s="160"/>
      <c r="CG2479" s="160"/>
      <c r="CH2479" s="160"/>
      <c r="CI2479" s="160"/>
      <c r="CJ2479" s="160"/>
      <c r="CK2479" s="160"/>
      <c r="CL2479" s="160"/>
      <c r="CM2479" s="160"/>
      <c r="CN2479" s="160"/>
      <c r="CO2479" s="160"/>
      <c r="CP2479" s="162"/>
      <c r="CQ2479" s="163"/>
      <c r="CR2479" s="162"/>
      <c r="CS2479" s="163"/>
      <c r="CT2479" s="162"/>
      <c r="CU2479" s="163"/>
      <c r="CV2479" s="164">
        <f t="shared" si="315"/>
        <v>0</v>
      </c>
      <c r="CW2479" s="165"/>
      <c r="CX2479" s="166"/>
      <c r="CY2479" s="167"/>
      <c r="CZ2479" s="168"/>
      <c r="DA2479" s="169"/>
      <c r="DB2479" s="168"/>
      <c r="DC2479" s="165"/>
      <c r="DD2479" s="166"/>
      <c r="DE2479" s="71"/>
      <c r="DF2479" s="170"/>
      <c r="EO2479" s="375"/>
      <c r="EP2479" s="376"/>
      <c r="EQ2479" s="376"/>
      <c r="ER2479" s="377"/>
      <c r="ES2479" s="376"/>
      <c r="ET2479" s="376"/>
      <c r="EU2479" s="376"/>
    </row>
    <row r="2480" spans="1:151" s="171" customFormat="1" x14ac:dyDescent="0.2">
      <c r="A2480" s="242"/>
      <c r="B2480" s="222"/>
      <c r="C2480" s="222"/>
      <c r="D2480" s="430"/>
      <c r="E2480" s="222"/>
      <c r="F2480" s="333"/>
      <c r="G2480" s="221"/>
      <c r="H2480" s="157"/>
      <c r="I2480" s="157"/>
      <c r="J2480" s="157"/>
      <c r="K2480" s="157"/>
      <c r="L2480" s="157"/>
      <c r="M2480" s="157"/>
      <c r="N2480" s="157"/>
      <c r="O2480" s="157"/>
      <c r="P2480" s="157"/>
      <c r="Q2480" s="157"/>
      <c r="R2480" s="157"/>
      <c r="S2480" s="157"/>
      <c r="T2480" s="157"/>
      <c r="U2480" s="157"/>
      <c r="V2480" s="158"/>
      <c r="W2480" s="182"/>
      <c r="X2480" s="1"/>
      <c r="Y2480" s="78">
        <f t="shared" si="310"/>
        <v>0</v>
      </c>
      <c r="Z2480" s="78">
        <f t="shared" si="311"/>
        <v>0</v>
      </c>
      <c r="AA2480" s="78">
        <f t="shared" si="312"/>
        <v>0</v>
      </c>
      <c r="AB2480" s="78">
        <f t="shared" si="313"/>
        <v>0</v>
      </c>
      <c r="AC2480" s="78"/>
      <c r="AD2480" s="78">
        <v>0</v>
      </c>
      <c r="AE2480" s="80">
        <f t="shared" si="314"/>
        <v>0</v>
      </c>
      <c r="AF2480" s="82">
        <v>0</v>
      </c>
      <c r="AG2480" s="69"/>
      <c r="AH2480" s="84"/>
      <c r="AI2480" s="69"/>
      <c r="AJ2480" s="25"/>
      <c r="AK2480" s="65"/>
      <c r="AL2480" s="176"/>
      <c r="AM2480" s="173"/>
      <c r="AN2480" s="159"/>
      <c r="AO2480" s="160"/>
      <c r="AP2480" s="161"/>
      <c r="AQ2480" s="160"/>
      <c r="AR2480" s="160"/>
      <c r="AS2480" s="160"/>
      <c r="AT2480" s="160"/>
      <c r="AU2480" s="160"/>
      <c r="AV2480" s="160"/>
      <c r="AW2480" s="160"/>
      <c r="AX2480" s="160"/>
      <c r="AY2480" s="160"/>
      <c r="AZ2480" s="160"/>
      <c r="BA2480" s="160"/>
      <c r="BB2480" s="160"/>
      <c r="BC2480" s="160"/>
      <c r="BD2480" s="160"/>
      <c r="BE2480" s="160"/>
      <c r="BF2480" s="160"/>
      <c r="BG2480" s="160"/>
      <c r="BH2480" s="160"/>
      <c r="BI2480" s="160"/>
      <c r="BJ2480" s="160"/>
      <c r="BK2480" s="160"/>
      <c r="BL2480" s="160"/>
      <c r="BM2480" s="160"/>
      <c r="BN2480" s="160"/>
      <c r="BO2480" s="160"/>
      <c r="BP2480" s="160"/>
      <c r="BQ2480" s="160"/>
      <c r="BR2480" s="160"/>
      <c r="BS2480" s="160"/>
      <c r="BT2480" s="160"/>
      <c r="BU2480" s="160"/>
      <c r="BV2480" s="160"/>
      <c r="BW2480" s="160"/>
      <c r="BX2480" s="160"/>
      <c r="BY2480" s="160"/>
      <c r="BZ2480" s="160"/>
      <c r="CA2480" s="160"/>
      <c r="CB2480" s="160"/>
      <c r="CC2480" s="160"/>
      <c r="CD2480" s="160"/>
      <c r="CE2480" s="160"/>
      <c r="CF2480" s="160"/>
      <c r="CG2480" s="160"/>
      <c r="CH2480" s="160"/>
      <c r="CI2480" s="160"/>
      <c r="CJ2480" s="160"/>
      <c r="CK2480" s="160"/>
      <c r="CL2480" s="160"/>
      <c r="CM2480" s="160"/>
      <c r="CN2480" s="160"/>
      <c r="CO2480" s="160"/>
      <c r="CP2480" s="162"/>
      <c r="CQ2480" s="163"/>
      <c r="CR2480" s="162"/>
      <c r="CS2480" s="163"/>
      <c r="CT2480" s="162"/>
      <c r="CU2480" s="163"/>
      <c r="CV2480" s="164">
        <f t="shared" si="315"/>
        <v>0</v>
      </c>
      <c r="CW2480" s="165"/>
      <c r="CX2480" s="166"/>
      <c r="CY2480" s="167"/>
      <c r="CZ2480" s="168"/>
      <c r="DA2480" s="169"/>
      <c r="DB2480" s="168"/>
      <c r="DC2480" s="165"/>
      <c r="DD2480" s="166"/>
      <c r="DE2480" s="71"/>
      <c r="DF2480" s="170"/>
      <c r="EO2480" s="375"/>
      <c r="EP2480" s="376"/>
      <c r="EQ2480" s="376"/>
      <c r="ER2480" s="377"/>
      <c r="ES2480" s="376"/>
      <c r="ET2480" s="376"/>
      <c r="EU2480" s="376"/>
    </row>
    <row r="2481" spans="1:151" s="171" customFormat="1" x14ac:dyDescent="0.2">
      <c r="A2481" s="242"/>
      <c r="B2481" s="222"/>
      <c r="C2481" s="222"/>
      <c r="D2481" s="430"/>
      <c r="E2481" s="222"/>
      <c r="F2481" s="333"/>
      <c r="G2481" s="221"/>
      <c r="H2481" s="157"/>
      <c r="I2481" s="157"/>
      <c r="J2481" s="157"/>
      <c r="K2481" s="157"/>
      <c r="L2481" s="157"/>
      <c r="M2481" s="157"/>
      <c r="N2481" s="157"/>
      <c r="O2481" s="157"/>
      <c r="P2481" s="157"/>
      <c r="Q2481" s="157"/>
      <c r="R2481" s="157"/>
      <c r="S2481" s="157"/>
      <c r="T2481" s="157"/>
      <c r="U2481" s="157"/>
      <c r="V2481" s="158"/>
      <c r="W2481" s="182"/>
      <c r="X2481" s="1"/>
      <c r="Y2481" s="78">
        <f t="shared" si="310"/>
        <v>0</v>
      </c>
      <c r="Z2481" s="78">
        <f t="shared" si="311"/>
        <v>0</v>
      </c>
      <c r="AA2481" s="78">
        <f t="shared" si="312"/>
        <v>0</v>
      </c>
      <c r="AB2481" s="78">
        <f t="shared" si="313"/>
        <v>0</v>
      </c>
      <c r="AC2481" s="78"/>
      <c r="AD2481" s="78">
        <v>0</v>
      </c>
      <c r="AE2481" s="80">
        <f t="shared" si="314"/>
        <v>0</v>
      </c>
      <c r="AF2481" s="82">
        <v>0</v>
      </c>
      <c r="AG2481" s="69"/>
      <c r="AH2481" s="84"/>
      <c r="AI2481" s="69"/>
      <c r="AJ2481" s="25"/>
      <c r="AK2481" s="65"/>
      <c r="AL2481" s="176"/>
      <c r="AM2481" s="173"/>
      <c r="AN2481" s="159"/>
      <c r="AO2481" s="160"/>
      <c r="AP2481" s="161"/>
      <c r="AQ2481" s="160"/>
      <c r="AR2481" s="160"/>
      <c r="AS2481" s="160"/>
      <c r="AT2481" s="160"/>
      <c r="AU2481" s="160"/>
      <c r="AV2481" s="160"/>
      <c r="AW2481" s="160"/>
      <c r="AX2481" s="160"/>
      <c r="AY2481" s="160"/>
      <c r="AZ2481" s="160"/>
      <c r="BA2481" s="160"/>
      <c r="BB2481" s="160"/>
      <c r="BC2481" s="160"/>
      <c r="BD2481" s="160"/>
      <c r="BE2481" s="160"/>
      <c r="BF2481" s="160"/>
      <c r="BG2481" s="160"/>
      <c r="BH2481" s="160"/>
      <c r="BI2481" s="160"/>
      <c r="BJ2481" s="160"/>
      <c r="BK2481" s="160"/>
      <c r="BL2481" s="160"/>
      <c r="BM2481" s="160"/>
      <c r="BN2481" s="160"/>
      <c r="BO2481" s="160"/>
      <c r="BP2481" s="160"/>
      <c r="BQ2481" s="160"/>
      <c r="BR2481" s="160"/>
      <c r="BS2481" s="160"/>
      <c r="BT2481" s="160"/>
      <c r="BU2481" s="160"/>
      <c r="BV2481" s="160"/>
      <c r="BW2481" s="160"/>
      <c r="BX2481" s="160"/>
      <c r="BY2481" s="160"/>
      <c r="BZ2481" s="160"/>
      <c r="CA2481" s="160"/>
      <c r="CB2481" s="160"/>
      <c r="CC2481" s="160"/>
      <c r="CD2481" s="160"/>
      <c r="CE2481" s="160"/>
      <c r="CF2481" s="160"/>
      <c r="CG2481" s="160"/>
      <c r="CH2481" s="160"/>
      <c r="CI2481" s="160"/>
      <c r="CJ2481" s="160"/>
      <c r="CK2481" s="160"/>
      <c r="CL2481" s="160"/>
      <c r="CM2481" s="160"/>
      <c r="CN2481" s="160"/>
      <c r="CO2481" s="160"/>
      <c r="CP2481" s="162"/>
      <c r="CQ2481" s="163"/>
      <c r="CR2481" s="162"/>
      <c r="CS2481" s="163"/>
      <c r="CT2481" s="162"/>
      <c r="CU2481" s="163"/>
      <c r="CV2481" s="164">
        <f t="shared" si="315"/>
        <v>0</v>
      </c>
      <c r="CW2481" s="165"/>
      <c r="CX2481" s="166"/>
      <c r="CY2481" s="167"/>
      <c r="CZ2481" s="168"/>
      <c r="DA2481" s="169"/>
      <c r="DB2481" s="168"/>
      <c r="DC2481" s="165"/>
      <c r="DD2481" s="166"/>
      <c r="DE2481" s="71"/>
      <c r="DF2481" s="170"/>
      <c r="EO2481" s="375"/>
      <c r="EP2481" s="376"/>
      <c r="EQ2481" s="376"/>
      <c r="ER2481" s="377"/>
      <c r="ES2481" s="376"/>
      <c r="ET2481" s="376"/>
      <c r="EU2481" s="376"/>
    </row>
    <row r="2482" spans="1:151" s="171" customFormat="1" x14ac:dyDescent="0.2">
      <c r="A2482" s="242"/>
      <c r="B2482" s="222"/>
      <c r="C2482" s="222"/>
      <c r="D2482" s="430"/>
      <c r="E2482" s="222"/>
      <c r="F2482" s="333"/>
      <c r="G2482" s="221"/>
      <c r="H2482" s="157"/>
      <c r="I2482" s="157"/>
      <c r="J2482" s="157"/>
      <c r="K2482" s="157"/>
      <c r="L2482" s="157"/>
      <c r="M2482" s="157"/>
      <c r="N2482" s="157"/>
      <c r="O2482" s="157"/>
      <c r="P2482" s="157"/>
      <c r="Q2482" s="157"/>
      <c r="R2482" s="157"/>
      <c r="S2482" s="157"/>
      <c r="T2482" s="157"/>
      <c r="U2482" s="157"/>
      <c r="V2482" s="158"/>
      <c r="W2482" s="182"/>
      <c r="X2482" s="1"/>
      <c r="Y2482" s="78">
        <f t="shared" si="310"/>
        <v>0</v>
      </c>
      <c r="Z2482" s="78">
        <f t="shared" si="311"/>
        <v>0</v>
      </c>
      <c r="AA2482" s="78">
        <f t="shared" si="312"/>
        <v>0</v>
      </c>
      <c r="AB2482" s="78">
        <f t="shared" si="313"/>
        <v>0</v>
      </c>
      <c r="AC2482" s="78"/>
      <c r="AD2482" s="78">
        <v>0</v>
      </c>
      <c r="AE2482" s="80">
        <f t="shared" si="314"/>
        <v>0</v>
      </c>
      <c r="AF2482" s="82">
        <v>0</v>
      </c>
      <c r="AG2482" s="69"/>
      <c r="AH2482" s="84"/>
      <c r="AI2482" s="69"/>
      <c r="AJ2482" s="25"/>
      <c r="AK2482" s="65"/>
      <c r="AL2482" s="176"/>
      <c r="AM2482" s="173"/>
      <c r="AN2482" s="159"/>
      <c r="AO2482" s="160"/>
      <c r="AP2482" s="161"/>
      <c r="AQ2482" s="160"/>
      <c r="AR2482" s="160"/>
      <c r="AS2482" s="160"/>
      <c r="AT2482" s="160"/>
      <c r="AU2482" s="160"/>
      <c r="AV2482" s="160"/>
      <c r="AW2482" s="160"/>
      <c r="AX2482" s="160"/>
      <c r="AY2482" s="160"/>
      <c r="AZ2482" s="160"/>
      <c r="BA2482" s="160"/>
      <c r="BB2482" s="160"/>
      <c r="BC2482" s="160"/>
      <c r="BD2482" s="160"/>
      <c r="BE2482" s="160"/>
      <c r="BF2482" s="160"/>
      <c r="BG2482" s="160"/>
      <c r="BH2482" s="160"/>
      <c r="BI2482" s="160"/>
      <c r="BJ2482" s="160"/>
      <c r="BK2482" s="160"/>
      <c r="BL2482" s="160"/>
      <c r="BM2482" s="160"/>
      <c r="BN2482" s="160"/>
      <c r="BO2482" s="160"/>
      <c r="BP2482" s="160"/>
      <c r="BQ2482" s="160"/>
      <c r="BR2482" s="160"/>
      <c r="BS2482" s="160"/>
      <c r="BT2482" s="160"/>
      <c r="BU2482" s="160"/>
      <c r="BV2482" s="160"/>
      <c r="BW2482" s="160"/>
      <c r="BX2482" s="160"/>
      <c r="BY2482" s="160"/>
      <c r="BZ2482" s="160"/>
      <c r="CA2482" s="160"/>
      <c r="CB2482" s="160"/>
      <c r="CC2482" s="160"/>
      <c r="CD2482" s="160"/>
      <c r="CE2482" s="160"/>
      <c r="CF2482" s="160"/>
      <c r="CG2482" s="160"/>
      <c r="CH2482" s="160"/>
      <c r="CI2482" s="160"/>
      <c r="CJ2482" s="160"/>
      <c r="CK2482" s="160"/>
      <c r="CL2482" s="160"/>
      <c r="CM2482" s="160"/>
      <c r="CN2482" s="160"/>
      <c r="CO2482" s="160"/>
      <c r="CP2482" s="162"/>
      <c r="CQ2482" s="163"/>
      <c r="CR2482" s="162"/>
      <c r="CS2482" s="163"/>
      <c r="CT2482" s="162"/>
      <c r="CU2482" s="163"/>
      <c r="CV2482" s="164">
        <f t="shared" si="315"/>
        <v>0</v>
      </c>
      <c r="CW2482" s="165"/>
      <c r="CX2482" s="166"/>
      <c r="CY2482" s="167"/>
      <c r="CZ2482" s="168"/>
      <c r="DA2482" s="169"/>
      <c r="DB2482" s="168"/>
      <c r="DC2482" s="165"/>
      <c r="DD2482" s="166"/>
      <c r="DE2482" s="71"/>
      <c r="DF2482" s="170"/>
      <c r="EO2482" s="375"/>
      <c r="EP2482" s="376"/>
      <c r="EQ2482" s="376"/>
      <c r="ER2482" s="377"/>
      <c r="ES2482" s="376"/>
      <c r="ET2482" s="376"/>
      <c r="EU2482" s="376"/>
    </row>
    <row r="2483" spans="1:151" s="171" customFormat="1" x14ac:dyDescent="0.2">
      <c r="A2483" s="242"/>
      <c r="B2483" s="222"/>
      <c r="C2483" s="222"/>
      <c r="D2483" s="430"/>
      <c r="E2483" s="222"/>
      <c r="F2483" s="333"/>
      <c r="G2483" s="221"/>
      <c r="H2483" s="157"/>
      <c r="I2483" s="157"/>
      <c r="J2483" s="157"/>
      <c r="K2483" s="157"/>
      <c r="L2483" s="157"/>
      <c r="M2483" s="157"/>
      <c r="N2483" s="157"/>
      <c r="O2483" s="157"/>
      <c r="P2483" s="157"/>
      <c r="Q2483" s="157"/>
      <c r="R2483" s="157"/>
      <c r="S2483" s="157"/>
      <c r="T2483" s="157"/>
      <c r="U2483" s="157"/>
      <c r="V2483" s="158"/>
      <c r="W2483" s="182"/>
      <c r="X2483" s="1"/>
      <c r="Y2483" s="78">
        <f t="shared" si="310"/>
        <v>0</v>
      </c>
      <c r="Z2483" s="78">
        <f t="shared" si="311"/>
        <v>0</v>
      </c>
      <c r="AA2483" s="78">
        <f t="shared" si="312"/>
        <v>0</v>
      </c>
      <c r="AB2483" s="78">
        <f t="shared" si="313"/>
        <v>0</v>
      </c>
      <c r="AC2483" s="78"/>
      <c r="AD2483" s="78">
        <v>0</v>
      </c>
      <c r="AE2483" s="80">
        <f t="shared" si="314"/>
        <v>0</v>
      </c>
      <c r="AF2483" s="82">
        <v>0</v>
      </c>
      <c r="AG2483" s="69"/>
      <c r="AH2483" s="84"/>
      <c r="AI2483" s="69"/>
      <c r="AJ2483" s="25"/>
      <c r="AK2483" s="65"/>
      <c r="AL2483" s="176"/>
      <c r="AM2483" s="173"/>
      <c r="AN2483" s="159"/>
      <c r="AO2483" s="160"/>
      <c r="AP2483" s="161"/>
      <c r="AQ2483" s="160"/>
      <c r="AR2483" s="160"/>
      <c r="AS2483" s="160"/>
      <c r="AT2483" s="160"/>
      <c r="AU2483" s="160"/>
      <c r="AV2483" s="160"/>
      <c r="AW2483" s="160"/>
      <c r="AX2483" s="160"/>
      <c r="AY2483" s="160"/>
      <c r="AZ2483" s="160"/>
      <c r="BA2483" s="160"/>
      <c r="BB2483" s="160"/>
      <c r="BC2483" s="160"/>
      <c r="BD2483" s="160"/>
      <c r="BE2483" s="160"/>
      <c r="BF2483" s="160"/>
      <c r="BG2483" s="160"/>
      <c r="BH2483" s="160"/>
      <c r="BI2483" s="160"/>
      <c r="BJ2483" s="160"/>
      <c r="BK2483" s="160"/>
      <c r="BL2483" s="160"/>
      <c r="BM2483" s="160"/>
      <c r="BN2483" s="160"/>
      <c r="BO2483" s="160"/>
      <c r="BP2483" s="160"/>
      <c r="BQ2483" s="160"/>
      <c r="BR2483" s="160"/>
      <c r="BS2483" s="160"/>
      <c r="BT2483" s="160"/>
      <c r="BU2483" s="160"/>
      <c r="BV2483" s="160"/>
      <c r="BW2483" s="160"/>
      <c r="BX2483" s="160"/>
      <c r="BY2483" s="160"/>
      <c r="BZ2483" s="160"/>
      <c r="CA2483" s="160"/>
      <c r="CB2483" s="160"/>
      <c r="CC2483" s="160"/>
      <c r="CD2483" s="160"/>
      <c r="CE2483" s="160"/>
      <c r="CF2483" s="160"/>
      <c r="CG2483" s="160"/>
      <c r="CH2483" s="160"/>
      <c r="CI2483" s="160"/>
      <c r="CJ2483" s="160"/>
      <c r="CK2483" s="160"/>
      <c r="CL2483" s="160"/>
      <c r="CM2483" s="160"/>
      <c r="CN2483" s="160"/>
      <c r="CO2483" s="160"/>
      <c r="CP2483" s="162"/>
      <c r="CQ2483" s="163"/>
      <c r="CR2483" s="162"/>
      <c r="CS2483" s="163"/>
      <c r="CT2483" s="162"/>
      <c r="CU2483" s="163"/>
      <c r="CV2483" s="164">
        <f t="shared" si="315"/>
        <v>0</v>
      </c>
      <c r="CW2483" s="165"/>
      <c r="CX2483" s="166"/>
      <c r="CY2483" s="167"/>
      <c r="CZ2483" s="168"/>
      <c r="DA2483" s="169"/>
      <c r="DB2483" s="168"/>
      <c r="DC2483" s="165"/>
      <c r="DD2483" s="166"/>
      <c r="DE2483" s="71"/>
      <c r="DF2483" s="170"/>
      <c r="EO2483" s="375"/>
      <c r="EP2483" s="376"/>
      <c r="EQ2483" s="376"/>
      <c r="ER2483" s="377"/>
      <c r="ES2483" s="376"/>
      <c r="ET2483" s="376"/>
      <c r="EU2483" s="376"/>
    </row>
    <row r="2484" spans="1:151" s="171" customFormat="1" x14ac:dyDescent="0.2">
      <c r="A2484" s="242"/>
      <c r="B2484" s="222"/>
      <c r="C2484" s="222"/>
      <c r="D2484" s="430"/>
      <c r="E2484" s="222"/>
      <c r="F2484" s="333"/>
      <c r="G2484" s="221"/>
      <c r="H2484" s="157"/>
      <c r="I2484" s="157"/>
      <c r="J2484" s="157"/>
      <c r="K2484" s="157"/>
      <c r="L2484" s="157"/>
      <c r="M2484" s="157"/>
      <c r="N2484" s="157"/>
      <c r="O2484" s="157"/>
      <c r="P2484" s="157"/>
      <c r="Q2484" s="157"/>
      <c r="R2484" s="157"/>
      <c r="S2484" s="157"/>
      <c r="T2484" s="157"/>
      <c r="U2484" s="157"/>
      <c r="V2484" s="158"/>
      <c r="W2484" s="182"/>
      <c r="X2484" s="1"/>
      <c r="Y2484" s="78">
        <f t="shared" si="310"/>
        <v>0</v>
      </c>
      <c r="Z2484" s="78">
        <f t="shared" si="311"/>
        <v>0</v>
      </c>
      <c r="AA2484" s="78">
        <f t="shared" si="312"/>
        <v>0</v>
      </c>
      <c r="AB2484" s="78">
        <f t="shared" si="313"/>
        <v>0</v>
      </c>
      <c r="AC2484" s="78"/>
      <c r="AD2484" s="78">
        <v>0</v>
      </c>
      <c r="AE2484" s="80">
        <f t="shared" si="314"/>
        <v>0</v>
      </c>
      <c r="AF2484" s="82">
        <v>0</v>
      </c>
      <c r="AG2484" s="69"/>
      <c r="AH2484" s="84"/>
      <c r="AI2484" s="69"/>
      <c r="AJ2484" s="25"/>
      <c r="AK2484" s="65"/>
      <c r="AL2484" s="176"/>
      <c r="AM2484" s="173"/>
      <c r="AN2484" s="159"/>
      <c r="AO2484" s="160"/>
      <c r="AP2484" s="161"/>
      <c r="AQ2484" s="160"/>
      <c r="AR2484" s="160"/>
      <c r="AS2484" s="160"/>
      <c r="AT2484" s="160"/>
      <c r="AU2484" s="160"/>
      <c r="AV2484" s="160"/>
      <c r="AW2484" s="160"/>
      <c r="AX2484" s="160"/>
      <c r="AY2484" s="160"/>
      <c r="AZ2484" s="160"/>
      <c r="BA2484" s="160"/>
      <c r="BB2484" s="160"/>
      <c r="BC2484" s="160"/>
      <c r="BD2484" s="160"/>
      <c r="BE2484" s="160"/>
      <c r="BF2484" s="160"/>
      <c r="BG2484" s="160"/>
      <c r="BH2484" s="160"/>
      <c r="BI2484" s="160"/>
      <c r="BJ2484" s="160"/>
      <c r="BK2484" s="160"/>
      <c r="BL2484" s="160"/>
      <c r="BM2484" s="160"/>
      <c r="BN2484" s="160"/>
      <c r="BO2484" s="160"/>
      <c r="BP2484" s="160"/>
      <c r="BQ2484" s="160"/>
      <c r="BR2484" s="160"/>
      <c r="BS2484" s="160"/>
      <c r="BT2484" s="160"/>
      <c r="BU2484" s="160"/>
      <c r="BV2484" s="160"/>
      <c r="BW2484" s="160"/>
      <c r="BX2484" s="160"/>
      <c r="BY2484" s="160"/>
      <c r="BZ2484" s="160"/>
      <c r="CA2484" s="160"/>
      <c r="CB2484" s="160"/>
      <c r="CC2484" s="160"/>
      <c r="CD2484" s="160"/>
      <c r="CE2484" s="160"/>
      <c r="CF2484" s="160"/>
      <c r="CG2484" s="160"/>
      <c r="CH2484" s="160"/>
      <c r="CI2484" s="160"/>
      <c r="CJ2484" s="160"/>
      <c r="CK2484" s="160"/>
      <c r="CL2484" s="160"/>
      <c r="CM2484" s="160"/>
      <c r="CN2484" s="160"/>
      <c r="CO2484" s="160"/>
      <c r="CP2484" s="162"/>
      <c r="CQ2484" s="163"/>
      <c r="CR2484" s="162"/>
      <c r="CS2484" s="163"/>
      <c r="CT2484" s="162"/>
      <c r="CU2484" s="163"/>
      <c r="CV2484" s="164">
        <f t="shared" si="315"/>
        <v>0</v>
      </c>
      <c r="CW2484" s="165"/>
      <c r="CX2484" s="166"/>
      <c r="CY2484" s="167"/>
      <c r="CZ2484" s="168"/>
      <c r="DA2484" s="169"/>
      <c r="DB2484" s="168"/>
      <c r="DC2484" s="165"/>
      <c r="DD2484" s="166"/>
      <c r="DE2484" s="71"/>
      <c r="DF2484" s="170"/>
      <c r="EO2484" s="375"/>
      <c r="EP2484" s="376"/>
      <c r="EQ2484" s="376"/>
      <c r="ER2484" s="377"/>
      <c r="ES2484" s="376"/>
      <c r="ET2484" s="376"/>
      <c r="EU2484" s="376"/>
    </row>
    <row r="2485" spans="1:151" s="171" customFormat="1" x14ac:dyDescent="0.2">
      <c r="A2485" s="242"/>
      <c r="B2485" s="222"/>
      <c r="C2485" s="222"/>
      <c r="D2485" s="430"/>
      <c r="E2485" s="222"/>
      <c r="F2485" s="333"/>
      <c r="G2485" s="221"/>
      <c r="H2485" s="157"/>
      <c r="I2485" s="157"/>
      <c r="J2485" s="157"/>
      <c r="K2485" s="157"/>
      <c r="L2485" s="157"/>
      <c r="M2485" s="157"/>
      <c r="N2485" s="157"/>
      <c r="O2485" s="157"/>
      <c r="P2485" s="157"/>
      <c r="Q2485" s="157"/>
      <c r="R2485" s="157"/>
      <c r="S2485" s="157"/>
      <c r="T2485" s="157"/>
      <c r="U2485" s="157"/>
      <c r="V2485" s="158"/>
      <c r="W2485" s="182"/>
      <c r="X2485" s="1"/>
      <c r="Y2485" s="78">
        <f t="shared" si="310"/>
        <v>0</v>
      </c>
      <c r="Z2485" s="78">
        <f t="shared" si="311"/>
        <v>0</v>
      </c>
      <c r="AA2485" s="78">
        <f t="shared" si="312"/>
        <v>0</v>
      </c>
      <c r="AB2485" s="78">
        <f t="shared" si="313"/>
        <v>0</v>
      </c>
      <c r="AC2485" s="78"/>
      <c r="AD2485" s="78">
        <v>0</v>
      </c>
      <c r="AE2485" s="80">
        <f t="shared" si="314"/>
        <v>0</v>
      </c>
      <c r="AF2485" s="82">
        <v>0</v>
      </c>
      <c r="AG2485" s="69"/>
      <c r="AH2485" s="84"/>
      <c r="AI2485" s="69"/>
      <c r="AJ2485" s="25"/>
      <c r="AK2485" s="65"/>
      <c r="AL2485" s="176"/>
      <c r="AM2485" s="173"/>
      <c r="AN2485" s="159"/>
      <c r="AO2485" s="160"/>
      <c r="AP2485" s="161"/>
      <c r="AQ2485" s="160"/>
      <c r="AR2485" s="160"/>
      <c r="AS2485" s="160"/>
      <c r="AT2485" s="160"/>
      <c r="AU2485" s="160"/>
      <c r="AV2485" s="160"/>
      <c r="AW2485" s="160"/>
      <c r="AX2485" s="160"/>
      <c r="AY2485" s="160"/>
      <c r="AZ2485" s="160"/>
      <c r="BA2485" s="160"/>
      <c r="BB2485" s="160"/>
      <c r="BC2485" s="160"/>
      <c r="BD2485" s="160"/>
      <c r="BE2485" s="160"/>
      <c r="BF2485" s="160"/>
      <c r="BG2485" s="160"/>
      <c r="BH2485" s="160"/>
      <c r="BI2485" s="160"/>
      <c r="BJ2485" s="160"/>
      <c r="BK2485" s="160"/>
      <c r="BL2485" s="160"/>
      <c r="BM2485" s="160"/>
      <c r="BN2485" s="160"/>
      <c r="BO2485" s="160"/>
      <c r="BP2485" s="160"/>
      <c r="BQ2485" s="160"/>
      <c r="BR2485" s="160"/>
      <c r="BS2485" s="160"/>
      <c r="BT2485" s="160"/>
      <c r="BU2485" s="160"/>
      <c r="BV2485" s="160"/>
      <c r="BW2485" s="160"/>
      <c r="BX2485" s="160"/>
      <c r="BY2485" s="160"/>
      <c r="BZ2485" s="160"/>
      <c r="CA2485" s="160"/>
      <c r="CB2485" s="160"/>
      <c r="CC2485" s="160"/>
      <c r="CD2485" s="160"/>
      <c r="CE2485" s="160"/>
      <c r="CF2485" s="160"/>
      <c r="CG2485" s="160"/>
      <c r="CH2485" s="160"/>
      <c r="CI2485" s="160"/>
      <c r="CJ2485" s="160"/>
      <c r="CK2485" s="160"/>
      <c r="CL2485" s="160"/>
      <c r="CM2485" s="160"/>
      <c r="CN2485" s="160"/>
      <c r="CO2485" s="160"/>
      <c r="CP2485" s="162"/>
      <c r="CQ2485" s="163"/>
      <c r="CR2485" s="162"/>
      <c r="CS2485" s="163"/>
      <c r="CT2485" s="162"/>
      <c r="CU2485" s="163"/>
      <c r="CV2485" s="164">
        <f t="shared" si="315"/>
        <v>0</v>
      </c>
      <c r="CW2485" s="165"/>
      <c r="CX2485" s="166"/>
      <c r="CY2485" s="167"/>
      <c r="CZ2485" s="168"/>
      <c r="DA2485" s="169"/>
      <c r="DB2485" s="168"/>
      <c r="DC2485" s="165"/>
      <c r="DD2485" s="166"/>
      <c r="DE2485" s="71"/>
      <c r="DF2485" s="170"/>
      <c r="EO2485" s="375"/>
      <c r="EP2485" s="376"/>
      <c r="EQ2485" s="376"/>
      <c r="ER2485" s="377"/>
      <c r="ES2485" s="376"/>
      <c r="ET2485" s="376"/>
      <c r="EU2485" s="376"/>
    </row>
    <row r="2486" spans="1:151" s="171" customFormat="1" x14ac:dyDescent="0.2">
      <c r="A2486" s="242"/>
      <c r="B2486" s="222"/>
      <c r="C2486" s="222"/>
      <c r="D2486" s="430"/>
      <c r="E2486" s="222"/>
      <c r="F2486" s="333"/>
      <c r="G2486" s="221"/>
      <c r="H2486" s="157"/>
      <c r="I2486" s="157"/>
      <c r="J2486" s="157"/>
      <c r="K2486" s="157"/>
      <c r="L2486" s="157"/>
      <c r="M2486" s="157"/>
      <c r="N2486" s="157"/>
      <c r="O2486" s="157"/>
      <c r="P2486" s="157"/>
      <c r="Q2486" s="157"/>
      <c r="R2486" s="157"/>
      <c r="S2486" s="157"/>
      <c r="T2486" s="157"/>
      <c r="U2486" s="157"/>
      <c r="V2486" s="158"/>
      <c r="W2486" s="182"/>
      <c r="X2486" s="1"/>
      <c r="Y2486" s="78">
        <f t="shared" si="310"/>
        <v>0</v>
      </c>
      <c r="Z2486" s="78">
        <f t="shared" si="311"/>
        <v>0</v>
      </c>
      <c r="AA2486" s="78">
        <f t="shared" si="312"/>
        <v>0</v>
      </c>
      <c r="AB2486" s="78">
        <f t="shared" si="313"/>
        <v>0</v>
      </c>
      <c r="AC2486" s="78"/>
      <c r="AD2486" s="78">
        <v>0</v>
      </c>
      <c r="AE2486" s="80">
        <f t="shared" si="314"/>
        <v>0</v>
      </c>
      <c r="AF2486" s="82">
        <v>0</v>
      </c>
      <c r="AG2486" s="69"/>
      <c r="AH2486" s="84"/>
      <c r="AI2486" s="69"/>
      <c r="AJ2486" s="25"/>
      <c r="AK2486" s="65"/>
      <c r="AL2486" s="176"/>
      <c r="AM2486" s="173"/>
      <c r="AN2486" s="159"/>
      <c r="AO2486" s="160"/>
      <c r="AP2486" s="161"/>
      <c r="AQ2486" s="160"/>
      <c r="AR2486" s="160"/>
      <c r="AS2486" s="160"/>
      <c r="AT2486" s="160"/>
      <c r="AU2486" s="160"/>
      <c r="AV2486" s="160"/>
      <c r="AW2486" s="160"/>
      <c r="AX2486" s="160"/>
      <c r="AY2486" s="160"/>
      <c r="AZ2486" s="160"/>
      <c r="BA2486" s="160"/>
      <c r="BB2486" s="160"/>
      <c r="BC2486" s="160"/>
      <c r="BD2486" s="160"/>
      <c r="BE2486" s="160"/>
      <c r="BF2486" s="160"/>
      <c r="BG2486" s="160"/>
      <c r="BH2486" s="160"/>
      <c r="BI2486" s="160"/>
      <c r="BJ2486" s="160"/>
      <c r="BK2486" s="160"/>
      <c r="BL2486" s="160"/>
      <c r="BM2486" s="160"/>
      <c r="BN2486" s="160"/>
      <c r="BO2486" s="160"/>
      <c r="BP2486" s="160"/>
      <c r="BQ2486" s="160"/>
      <c r="BR2486" s="160"/>
      <c r="BS2486" s="160"/>
      <c r="BT2486" s="160"/>
      <c r="BU2486" s="160"/>
      <c r="BV2486" s="160"/>
      <c r="BW2486" s="160"/>
      <c r="BX2486" s="160"/>
      <c r="BY2486" s="160"/>
      <c r="BZ2486" s="160"/>
      <c r="CA2486" s="160"/>
      <c r="CB2486" s="160"/>
      <c r="CC2486" s="160"/>
      <c r="CD2486" s="160"/>
      <c r="CE2486" s="160"/>
      <c r="CF2486" s="160"/>
      <c r="CG2486" s="160"/>
      <c r="CH2486" s="160"/>
      <c r="CI2486" s="160"/>
      <c r="CJ2486" s="160"/>
      <c r="CK2486" s="160"/>
      <c r="CL2486" s="160"/>
      <c r="CM2486" s="160"/>
      <c r="CN2486" s="160"/>
      <c r="CO2486" s="160"/>
      <c r="CP2486" s="162"/>
      <c r="CQ2486" s="163"/>
      <c r="CR2486" s="162"/>
      <c r="CS2486" s="163"/>
      <c r="CT2486" s="162"/>
      <c r="CU2486" s="163"/>
      <c r="CV2486" s="164">
        <f t="shared" si="315"/>
        <v>0</v>
      </c>
      <c r="CW2486" s="165"/>
      <c r="CX2486" s="166"/>
      <c r="CY2486" s="167"/>
      <c r="CZ2486" s="168"/>
      <c r="DA2486" s="169"/>
      <c r="DB2486" s="168"/>
      <c r="DC2486" s="165"/>
      <c r="DD2486" s="166"/>
      <c r="DE2486" s="71"/>
      <c r="DF2486" s="170"/>
      <c r="EO2486" s="375"/>
      <c r="EP2486" s="376"/>
      <c r="EQ2486" s="376"/>
      <c r="ER2486" s="377"/>
      <c r="ES2486" s="376"/>
      <c r="ET2486" s="376"/>
      <c r="EU2486" s="376"/>
    </row>
    <row r="2487" spans="1:151" s="171" customFormat="1" x14ac:dyDescent="0.2">
      <c r="A2487" s="242"/>
      <c r="B2487" s="222"/>
      <c r="C2487" s="222"/>
      <c r="D2487" s="430"/>
      <c r="E2487" s="222"/>
      <c r="F2487" s="333"/>
      <c r="G2487" s="221"/>
      <c r="H2487" s="157"/>
      <c r="I2487" s="157"/>
      <c r="J2487" s="157"/>
      <c r="K2487" s="157"/>
      <c r="L2487" s="157"/>
      <c r="M2487" s="157"/>
      <c r="N2487" s="157"/>
      <c r="O2487" s="157"/>
      <c r="P2487" s="157"/>
      <c r="Q2487" s="157"/>
      <c r="R2487" s="157"/>
      <c r="S2487" s="157"/>
      <c r="T2487" s="157"/>
      <c r="U2487" s="157"/>
      <c r="V2487" s="158"/>
      <c r="W2487" s="182"/>
      <c r="X2487" s="1"/>
      <c r="Y2487" s="78">
        <f t="shared" si="310"/>
        <v>0</v>
      </c>
      <c r="Z2487" s="78">
        <f t="shared" si="311"/>
        <v>0</v>
      </c>
      <c r="AA2487" s="78">
        <f t="shared" si="312"/>
        <v>0</v>
      </c>
      <c r="AB2487" s="78">
        <f t="shared" si="313"/>
        <v>0</v>
      </c>
      <c r="AC2487" s="78"/>
      <c r="AD2487" s="78">
        <v>0</v>
      </c>
      <c r="AE2487" s="80">
        <f t="shared" si="314"/>
        <v>0</v>
      </c>
      <c r="AF2487" s="82">
        <v>0</v>
      </c>
      <c r="AG2487" s="69"/>
      <c r="AH2487" s="84"/>
      <c r="AI2487" s="69"/>
      <c r="AJ2487" s="25"/>
      <c r="AK2487" s="65"/>
      <c r="AL2487" s="176"/>
      <c r="AM2487" s="173"/>
      <c r="AN2487" s="159"/>
      <c r="AO2487" s="160"/>
      <c r="AP2487" s="161"/>
      <c r="AQ2487" s="160"/>
      <c r="AR2487" s="160"/>
      <c r="AS2487" s="160"/>
      <c r="AT2487" s="160"/>
      <c r="AU2487" s="160"/>
      <c r="AV2487" s="160"/>
      <c r="AW2487" s="160"/>
      <c r="AX2487" s="160"/>
      <c r="AY2487" s="160"/>
      <c r="AZ2487" s="160"/>
      <c r="BA2487" s="160"/>
      <c r="BB2487" s="160"/>
      <c r="BC2487" s="160"/>
      <c r="BD2487" s="160"/>
      <c r="BE2487" s="160"/>
      <c r="BF2487" s="160"/>
      <c r="BG2487" s="160"/>
      <c r="BH2487" s="160"/>
      <c r="BI2487" s="160"/>
      <c r="BJ2487" s="160"/>
      <c r="BK2487" s="160"/>
      <c r="BL2487" s="160"/>
      <c r="BM2487" s="160"/>
      <c r="BN2487" s="160"/>
      <c r="BO2487" s="160"/>
      <c r="BP2487" s="160"/>
      <c r="BQ2487" s="160"/>
      <c r="BR2487" s="160"/>
      <c r="BS2487" s="160"/>
      <c r="BT2487" s="160"/>
      <c r="BU2487" s="160"/>
      <c r="BV2487" s="160"/>
      <c r="BW2487" s="160"/>
      <c r="BX2487" s="160"/>
      <c r="BY2487" s="160"/>
      <c r="BZ2487" s="160"/>
      <c r="CA2487" s="160"/>
      <c r="CB2487" s="160"/>
      <c r="CC2487" s="160"/>
      <c r="CD2487" s="160"/>
      <c r="CE2487" s="160"/>
      <c r="CF2487" s="160"/>
      <c r="CG2487" s="160"/>
      <c r="CH2487" s="160"/>
      <c r="CI2487" s="160"/>
      <c r="CJ2487" s="160"/>
      <c r="CK2487" s="160"/>
      <c r="CL2487" s="160"/>
      <c r="CM2487" s="160"/>
      <c r="CN2487" s="160"/>
      <c r="CO2487" s="160"/>
      <c r="CP2487" s="162"/>
      <c r="CQ2487" s="163"/>
      <c r="CR2487" s="162"/>
      <c r="CS2487" s="163"/>
      <c r="CT2487" s="162"/>
      <c r="CU2487" s="163"/>
      <c r="CV2487" s="164">
        <f t="shared" si="315"/>
        <v>0</v>
      </c>
      <c r="CW2487" s="165"/>
      <c r="CX2487" s="166"/>
      <c r="CY2487" s="167"/>
      <c r="CZ2487" s="168"/>
      <c r="DA2487" s="169"/>
      <c r="DB2487" s="168"/>
      <c r="DC2487" s="165"/>
      <c r="DD2487" s="166"/>
      <c r="DE2487" s="71"/>
      <c r="DF2487" s="170"/>
      <c r="EO2487" s="375"/>
      <c r="EP2487" s="376"/>
      <c r="EQ2487" s="376"/>
      <c r="ER2487" s="377"/>
      <c r="ES2487" s="376"/>
      <c r="ET2487" s="376"/>
      <c r="EU2487" s="376"/>
    </row>
    <row r="2488" spans="1:151" s="171" customFormat="1" x14ac:dyDescent="0.2">
      <c r="A2488" s="242"/>
      <c r="B2488" s="222"/>
      <c r="C2488" s="222"/>
      <c r="D2488" s="430"/>
      <c r="E2488" s="222"/>
      <c r="F2488" s="333"/>
      <c r="G2488" s="221"/>
      <c r="H2488" s="157"/>
      <c r="I2488" s="157"/>
      <c r="J2488" s="157"/>
      <c r="K2488" s="157"/>
      <c r="L2488" s="157"/>
      <c r="M2488" s="157"/>
      <c r="N2488" s="157"/>
      <c r="O2488" s="157"/>
      <c r="P2488" s="157"/>
      <c r="Q2488" s="157"/>
      <c r="R2488" s="157"/>
      <c r="S2488" s="157"/>
      <c r="T2488" s="157"/>
      <c r="U2488" s="157"/>
      <c r="V2488" s="158"/>
      <c r="W2488" s="182"/>
      <c r="X2488" s="1"/>
      <c r="Y2488" s="78">
        <f t="shared" si="310"/>
        <v>0</v>
      </c>
      <c r="Z2488" s="78">
        <f t="shared" si="311"/>
        <v>0</v>
      </c>
      <c r="AA2488" s="78">
        <f t="shared" si="312"/>
        <v>0</v>
      </c>
      <c r="AB2488" s="78">
        <f t="shared" si="313"/>
        <v>0</v>
      </c>
      <c r="AC2488" s="78"/>
      <c r="AD2488" s="78">
        <v>0</v>
      </c>
      <c r="AE2488" s="80">
        <f t="shared" si="314"/>
        <v>0</v>
      </c>
      <c r="AF2488" s="82">
        <v>0</v>
      </c>
      <c r="AG2488" s="69"/>
      <c r="AH2488" s="84"/>
      <c r="AI2488" s="69"/>
      <c r="AJ2488" s="25"/>
      <c r="AK2488" s="65"/>
      <c r="AL2488" s="176"/>
      <c r="AM2488" s="173"/>
      <c r="AN2488" s="159"/>
      <c r="AO2488" s="160"/>
      <c r="AP2488" s="161"/>
      <c r="AQ2488" s="160"/>
      <c r="AR2488" s="160"/>
      <c r="AS2488" s="160"/>
      <c r="AT2488" s="160"/>
      <c r="AU2488" s="160"/>
      <c r="AV2488" s="160"/>
      <c r="AW2488" s="160"/>
      <c r="AX2488" s="160"/>
      <c r="AY2488" s="160"/>
      <c r="AZ2488" s="160"/>
      <c r="BA2488" s="160"/>
      <c r="BB2488" s="160"/>
      <c r="BC2488" s="160"/>
      <c r="BD2488" s="160"/>
      <c r="BE2488" s="160"/>
      <c r="BF2488" s="160"/>
      <c r="BG2488" s="160"/>
      <c r="BH2488" s="160"/>
      <c r="BI2488" s="160"/>
      <c r="BJ2488" s="160"/>
      <c r="BK2488" s="160"/>
      <c r="BL2488" s="160"/>
      <c r="BM2488" s="160"/>
      <c r="BN2488" s="160"/>
      <c r="BO2488" s="160"/>
      <c r="BP2488" s="160"/>
      <c r="BQ2488" s="160"/>
      <c r="BR2488" s="160"/>
      <c r="BS2488" s="160"/>
      <c r="BT2488" s="160"/>
      <c r="BU2488" s="160"/>
      <c r="BV2488" s="160"/>
      <c r="BW2488" s="160"/>
      <c r="BX2488" s="160"/>
      <c r="BY2488" s="160"/>
      <c r="BZ2488" s="160"/>
      <c r="CA2488" s="160"/>
      <c r="CB2488" s="160"/>
      <c r="CC2488" s="160"/>
      <c r="CD2488" s="160"/>
      <c r="CE2488" s="160"/>
      <c r="CF2488" s="160"/>
      <c r="CG2488" s="160"/>
      <c r="CH2488" s="160"/>
      <c r="CI2488" s="160"/>
      <c r="CJ2488" s="160"/>
      <c r="CK2488" s="160"/>
      <c r="CL2488" s="160"/>
      <c r="CM2488" s="160"/>
      <c r="CN2488" s="160"/>
      <c r="CO2488" s="160"/>
      <c r="CP2488" s="162"/>
      <c r="CQ2488" s="163"/>
      <c r="CR2488" s="162"/>
      <c r="CS2488" s="163"/>
      <c r="CT2488" s="162"/>
      <c r="CU2488" s="163"/>
      <c r="CV2488" s="164">
        <f t="shared" si="315"/>
        <v>0</v>
      </c>
      <c r="CW2488" s="165"/>
      <c r="CX2488" s="166"/>
      <c r="CY2488" s="167"/>
      <c r="CZ2488" s="168"/>
      <c r="DA2488" s="169"/>
      <c r="DB2488" s="168"/>
      <c r="DC2488" s="165"/>
      <c r="DD2488" s="166"/>
      <c r="DE2488" s="71"/>
      <c r="DF2488" s="170"/>
      <c r="EO2488" s="375"/>
      <c r="EP2488" s="376"/>
      <c r="EQ2488" s="376"/>
      <c r="ER2488" s="377"/>
      <c r="ES2488" s="376"/>
      <c r="ET2488" s="376"/>
      <c r="EU2488" s="376"/>
    </row>
    <row r="2489" spans="1:151" s="171" customFormat="1" x14ac:dyDescent="0.2">
      <c r="A2489" s="242"/>
      <c r="B2489" s="222"/>
      <c r="C2489" s="222"/>
      <c r="D2489" s="430"/>
      <c r="E2489" s="222"/>
      <c r="F2489" s="333"/>
      <c r="G2489" s="221"/>
      <c r="H2489" s="157"/>
      <c r="I2489" s="157"/>
      <c r="J2489" s="157"/>
      <c r="K2489" s="157"/>
      <c r="L2489" s="157"/>
      <c r="M2489" s="157"/>
      <c r="N2489" s="157"/>
      <c r="O2489" s="157"/>
      <c r="P2489" s="157"/>
      <c r="Q2489" s="157"/>
      <c r="R2489" s="157"/>
      <c r="S2489" s="157"/>
      <c r="T2489" s="157"/>
      <c r="U2489" s="157"/>
      <c r="V2489" s="158"/>
      <c r="W2489" s="182"/>
      <c r="X2489" s="1"/>
      <c r="Y2489" s="78">
        <f t="shared" si="310"/>
        <v>0</v>
      </c>
      <c r="Z2489" s="78">
        <f t="shared" si="311"/>
        <v>0</v>
      </c>
      <c r="AA2489" s="78">
        <f t="shared" si="312"/>
        <v>0</v>
      </c>
      <c r="AB2489" s="78">
        <f t="shared" si="313"/>
        <v>0</v>
      </c>
      <c r="AC2489" s="78"/>
      <c r="AD2489" s="78">
        <v>0</v>
      </c>
      <c r="AE2489" s="80">
        <f t="shared" si="314"/>
        <v>0</v>
      </c>
      <c r="AF2489" s="82">
        <v>0</v>
      </c>
      <c r="AG2489" s="69"/>
      <c r="AH2489" s="84"/>
      <c r="AI2489" s="69"/>
      <c r="AJ2489" s="25"/>
      <c r="AK2489" s="65"/>
      <c r="AL2489" s="176"/>
      <c r="AM2489" s="173"/>
      <c r="AN2489" s="159"/>
      <c r="AO2489" s="160"/>
      <c r="AP2489" s="161"/>
      <c r="AQ2489" s="160"/>
      <c r="AR2489" s="160"/>
      <c r="AS2489" s="160"/>
      <c r="AT2489" s="160"/>
      <c r="AU2489" s="160"/>
      <c r="AV2489" s="160"/>
      <c r="AW2489" s="160"/>
      <c r="AX2489" s="160"/>
      <c r="AY2489" s="160"/>
      <c r="AZ2489" s="160"/>
      <c r="BA2489" s="160"/>
      <c r="BB2489" s="160"/>
      <c r="BC2489" s="160"/>
      <c r="BD2489" s="160"/>
      <c r="BE2489" s="160"/>
      <c r="BF2489" s="160"/>
      <c r="BG2489" s="160"/>
      <c r="BH2489" s="160"/>
      <c r="BI2489" s="160"/>
      <c r="BJ2489" s="160"/>
      <c r="BK2489" s="160"/>
      <c r="BL2489" s="160"/>
      <c r="BM2489" s="160"/>
      <c r="BN2489" s="160"/>
      <c r="BO2489" s="160"/>
      <c r="BP2489" s="160"/>
      <c r="BQ2489" s="160"/>
      <c r="BR2489" s="160"/>
      <c r="BS2489" s="160"/>
      <c r="BT2489" s="160"/>
      <c r="BU2489" s="160"/>
      <c r="BV2489" s="160"/>
      <c r="BW2489" s="160"/>
      <c r="BX2489" s="160"/>
      <c r="BY2489" s="160"/>
      <c r="BZ2489" s="160"/>
      <c r="CA2489" s="160"/>
      <c r="CB2489" s="160"/>
      <c r="CC2489" s="160"/>
      <c r="CD2489" s="160"/>
      <c r="CE2489" s="160"/>
      <c r="CF2489" s="160"/>
      <c r="CG2489" s="160"/>
      <c r="CH2489" s="160"/>
      <c r="CI2489" s="160"/>
      <c r="CJ2489" s="160"/>
      <c r="CK2489" s="160"/>
      <c r="CL2489" s="160"/>
      <c r="CM2489" s="160"/>
      <c r="CN2489" s="160"/>
      <c r="CO2489" s="160"/>
      <c r="CP2489" s="162"/>
      <c r="CQ2489" s="163"/>
      <c r="CR2489" s="162"/>
      <c r="CS2489" s="163"/>
      <c r="CT2489" s="162"/>
      <c r="CU2489" s="163"/>
      <c r="CV2489" s="164">
        <f t="shared" si="315"/>
        <v>0</v>
      </c>
      <c r="CW2489" s="165"/>
      <c r="CX2489" s="166"/>
      <c r="CY2489" s="167"/>
      <c r="CZ2489" s="168"/>
      <c r="DA2489" s="169"/>
      <c r="DB2489" s="168"/>
      <c r="DC2489" s="165"/>
      <c r="DD2489" s="166"/>
      <c r="DE2489" s="71"/>
      <c r="DF2489" s="170"/>
      <c r="EO2489" s="375"/>
      <c r="EP2489" s="376"/>
      <c r="EQ2489" s="376"/>
      <c r="ER2489" s="377"/>
      <c r="ES2489" s="376"/>
      <c r="ET2489" s="376"/>
      <c r="EU2489" s="376"/>
    </row>
    <row r="2490" spans="1:151" s="171" customFormat="1" x14ac:dyDescent="0.2">
      <c r="A2490" s="242"/>
      <c r="B2490" s="222"/>
      <c r="C2490" s="222"/>
      <c r="D2490" s="430"/>
      <c r="E2490" s="222"/>
      <c r="F2490" s="333"/>
      <c r="G2490" s="221"/>
      <c r="H2490" s="157"/>
      <c r="I2490" s="157"/>
      <c r="J2490" s="157"/>
      <c r="K2490" s="157"/>
      <c r="L2490" s="157"/>
      <c r="M2490" s="157"/>
      <c r="N2490" s="157"/>
      <c r="O2490" s="157"/>
      <c r="P2490" s="157"/>
      <c r="Q2490" s="157"/>
      <c r="R2490" s="157"/>
      <c r="S2490" s="157"/>
      <c r="T2490" s="157"/>
      <c r="U2490" s="157"/>
      <c r="V2490" s="158"/>
      <c r="W2490" s="182"/>
      <c r="X2490" s="1"/>
      <c r="Y2490" s="78">
        <f t="shared" si="310"/>
        <v>0</v>
      </c>
      <c r="Z2490" s="78">
        <f t="shared" si="311"/>
        <v>0</v>
      </c>
      <c r="AA2490" s="78">
        <f t="shared" si="312"/>
        <v>0</v>
      </c>
      <c r="AB2490" s="78">
        <f t="shared" si="313"/>
        <v>0</v>
      </c>
      <c r="AC2490" s="78"/>
      <c r="AD2490" s="78">
        <v>0</v>
      </c>
      <c r="AE2490" s="80">
        <f t="shared" si="314"/>
        <v>0</v>
      </c>
      <c r="AF2490" s="82">
        <v>0</v>
      </c>
      <c r="AG2490" s="69"/>
      <c r="AH2490" s="84"/>
      <c r="AI2490" s="69"/>
      <c r="AJ2490" s="25"/>
      <c r="AK2490" s="65"/>
      <c r="AL2490" s="176"/>
      <c r="AM2490" s="173"/>
      <c r="AN2490" s="159"/>
      <c r="AO2490" s="160"/>
      <c r="AP2490" s="161"/>
      <c r="AQ2490" s="160"/>
      <c r="AR2490" s="160"/>
      <c r="AS2490" s="160"/>
      <c r="AT2490" s="160"/>
      <c r="AU2490" s="160"/>
      <c r="AV2490" s="160"/>
      <c r="AW2490" s="160"/>
      <c r="AX2490" s="160"/>
      <c r="AY2490" s="160"/>
      <c r="AZ2490" s="160"/>
      <c r="BA2490" s="160"/>
      <c r="BB2490" s="160"/>
      <c r="BC2490" s="160"/>
      <c r="BD2490" s="160"/>
      <c r="BE2490" s="160"/>
      <c r="BF2490" s="160"/>
      <c r="BG2490" s="160"/>
      <c r="BH2490" s="160"/>
      <c r="BI2490" s="160"/>
      <c r="BJ2490" s="160"/>
      <c r="BK2490" s="160"/>
      <c r="BL2490" s="160"/>
      <c r="BM2490" s="160"/>
      <c r="BN2490" s="160"/>
      <c r="BO2490" s="160"/>
      <c r="BP2490" s="160"/>
      <c r="BQ2490" s="160"/>
      <c r="BR2490" s="160"/>
      <c r="BS2490" s="160"/>
      <c r="BT2490" s="160"/>
      <c r="BU2490" s="160"/>
      <c r="BV2490" s="160"/>
      <c r="BW2490" s="160"/>
      <c r="BX2490" s="160"/>
      <c r="BY2490" s="160"/>
      <c r="BZ2490" s="160"/>
      <c r="CA2490" s="160"/>
      <c r="CB2490" s="160"/>
      <c r="CC2490" s="160"/>
      <c r="CD2490" s="160"/>
      <c r="CE2490" s="160"/>
      <c r="CF2490" s="160"/>
      <c r="CG2490" s="160"/>
      <c r="CH2490" s="160"/>
      <c r="CI2490" s="160"/>
      <c r="CJ2490" s="160"/>
      <c r="CK2490" s="160"/>
      <c r="CL2490" s="160"/>
      <c r="CM2490" s="160"/>
      <c r="CN2490" s="160"/>
      <c r="CO2490" s="160"/>
      <c r="CP2490" s="162"/>
      <c r="CQ2490" s="163"/>
      <c r="CR2490" s="162"/>
      <c r="CS2490" s="163"/>
      <c r="CT2490" s="162"/>
      <c r="CU2490" s="163"/>
      <c r="CV2490" s="164">
        <f t="shared" si="315"/>
        <v>0</v>
      </c>
      <c r="CW2490" s="165"/>
      <c r="CX2490" s="166"/>
      <c r="CY2490" s="167"/>
      <c r="CZ2490" s="168"/>
      <c r="DA2490" s="169"/>
      <c r="DB2490" s="168"/>
      <c r="DC2490" s="165"/>
      <c r="DD2490" s="166"/>
      <c r="DE2490" s="71"/>
      <c r="DF2490" s="170"/>
      <c r="EO2490" s="375"/>
      <c r="EP2490" s="376"/>
      <c r="EQ2490" s="376"/>
      <c r="ER2490" s="377"/>
      <c r="ES2490" s="376"/>
      <c r="ET2490" s="376"/>
      <c r="EU2490" s="376"/>
    </row>
    <row r="2491" spans="1:151" s="171" customFormat="1" x14ac:dyDescent="0.2">
      <c r="A2491" s="242"/>
      <c r="B2491" s="222"/>
      <c r="C2491" s="222"/>
      <c r="D2491" s="430"/>
      <c r="E2491" s="222"/>
      <c r="F2491" s="333"/>
      <c r="G2491" s="221"/>
      <c r="H2491" s="157"/>
      <c r="I2491" s="157"/>
      <c r="J2491" s="157"/>
      <c r="K2491" s="157"/>
      <c r="L2491" s="157"/>
      <c r="M2491" s="157"/>
      <c r="N2491" s="157"/>
      <c r="O2491" s="157"/>
      <c r="P2491" s="157"/>
      <c r="Q2491" s="157"/>
      <c r="R2491" s="157"/>
      <c r="S2491" s="157"/>
      <c r="T2491" s="157"/>
      <c r="U2491" s="157"/>
      <c r="V2491" s="158"/>
      <c r="W2491" s="182"/>
      <c r="X2491" s="1"/>
      <c r="Y2491" s="78">
        <f t="shared" si="310"/>
        <v>0</v>
      </c>
      <c r="Z2491" s="78">
        <f t="shared" si="311"/>
        <v>0</v>
      </c>
      <c r="AA2491" s="78">
        <f t="shared" si="312"/>
        <v>0</v>
      </c>
      <c r="AB2491" s="78">
        <f t="shared" si="313"/>
        <v>0</v>
      </c>
      <c r="AC2491" s="78"/>
      <c r="AD2491" s="78">
        <v>0</v>
      </c>
      <c r="AE2491" s="80">
        <f t="shared" si="314"/>
        <v>0</v>
      </c>
      <c r="AF2491" s="82">
        <v>0</v>
      </c>
      <c r="AG2491" s="69"/>
      <c r="AH2491" s="84"/>
      <c r="AI2491" s="69"/>
      <c r="AJ2491" s="25"/>
      <c r="AK2491" s="65"/>
      <c r="AL2491" s="176"/>
      <c r="AM2491" s="173"/>
      <c r="AN2491" s="159"/>
      <c r="AO2491" s="160"/>
      <c r="AP2491" s="161"/>
      <c r="AQ2491" s="160"/>
      <c r="AR2491" s="160"/>
      <c r="AS2491" s="160"/>
      <c r="AT2491" s="160"/>
      <c r="AU2491" s="160"/>
      <c r="AV2491" s="160"/>
      <c r="AW2491" s="160"/>
      <c r="AX2491" s="160"/>
      <c r="AY2491" s="160"/>
      <c r="AZ2491" s="160"/>
      <c r="BA2491" s="160"/>
      <c r="BB2491" s="160"/>
      <c r="BC2491" s="160"/>
      <c r="BD2491" s="160"/>
      <c r="BE2491" s="160"/>
      <c r="BF2491" s="160"/>
      <c r="BG2491" s="160"/>
      <c r="BH2491" s="160"/>
      <c r="BI2491" s="160"/>
      <c r="BJ2491" s="160"/>
      <c r="BK2491" s="160"/>
      <c r="BL2491" s="160"/>
      <c r="BM2491" s="160"/>
      <c r="BN2491" s="160"/>
      <c r="BO2491" s="160"/>
      <c r="BP2491" s="160"/>
      <c r="BQ2491" s="160"/>
      <c r="BR2491" s="160"/>
      <c r="BS2491" s="160"/>
      <c r="BT2491" s="160"/>
      <c r="BU2491" s="160"/>
      <c r="BV2491" s="160"/>
      <c r="BW2491" s="160"/>
      <c r="BX2491" s="160"/>
      <c r="BY2491" s="160"/>
      <c r="BZ2491" s="160"/>
      <c r="CA2491" s="160"/>
      <c r="CB2491" s="160"/>
      <c r="CC2491" s="160"/>
      <c r="CD2491" s="160"/>
      <c r="CE2491" s="160"/>
      <c r="CF2491" s="160"/>
      <c r="CG2491" s="160"/>
      <c r="CH2491" s="160"/>
      <c r="CI2491" s="160"/>
      <c r="CJ2491" s="160"/>
      <c r="CK2491" s="160"/>
      <c r="CL2491" s="160"/>
      <c r="CM2491" s="160"/>
      <c r="CN2491" s="160"/>
      <c r="CO2491" s="160"/>
      <c r="CP2491" s="162"/>
      <c r="CQ2491" s="163"/>
      <c r="CR2491" s="162"/>
      <c r="CS2491" s="163"/>
      <c r="CT2491" s="162"/>
      <c r="CU2491" s="163"/>
      <c r="CV2491" s="164">
        <f t="shared" si="315"/>
        <v>0</v>
      </c>
      <c r="CW2491" s="165"/>
      <c r="CX2491" s="166"/>
      <c r="CY2491" s="167"/>
      <c r="CZ2491" s="168"/>
      <c r="DA2491" s="169"/>
      <c r="DB2491" s="168"/>
      <c r="DC2491" s="165"/>
      <c r="DD2491" s="166"/>
      <c r="DE2491" s="71"/>
      <c r="DF2491" s="170"/>
      <c r="EO2491" s="375"/>
      <c r="EP2491" s="376"/>
      <c r="EQ2491" s="376"/>
      <c r="ER2491" s="377"/>
      <c r="ES2491" s="376"/>
      <c r="ET2491" s="376"/>
      <c r="EU2491" s="376"/>
    </row>
    <row r="2492" spans="1:151" s="171" customFormat="1" x14ac:dyDescent="0.2">
      <c r="A2492" s="242"/>
      <c r="B2492" s="222"/>
      <c r="C2492" s="222"/>
      <c r="D2492" s="430"/>
      <c r="E2492" s="222"/>
      <c r="F2492" s="333"/>
      <c r="G2492" s="221"/>
      <c r="H2492" s="157"/>
      <c r="I2492" s="157"/>
      <c r="J2492" s="157"/>
      <c r="K2492" s="157"/>
      <c r="L2492" s="157"/>
      <c r="M2492" s="157"/>
      <c r="N2492" s="157"/>
      <c r="O2492" s="157"/>
      <c r="P2492" s="157"/>
      <c r="Q2492" s="157"/>
      <c r="R2492" s="157"/>
      <c r="S2492" s="157"/>
      <c r="T2492" s="157"/>
      <c r="U2492" s="157"/>
      <c r="V2492" s="158"/>
      <c r="W2492" s="182"/>
      <c r="X2492" s="1"/>
      <c r="Y2492" s="78">
        <f t="shared" si="310"/>
        <v>0</v>
      </c>
      <c r="Z2492" s="78">
        <f t="shared" si="311"/>
        <v>0</v>
      </c>
      <c r="AA2492" s="78">
        <f t="shared" si="312"/>
        <v>0</v>
      </c>
      <c r="AB2492" s="78">
        <f t="shared" si="313"/>
        <v>0</v>
      </c>
      <c r="AC2492" s="78"/>
      <c r="AD2492" s="78">
        <v>0</v>
      </c>
      <c r="AE2492" s="80">
        <f t="shared" si="314"/>
        <v>0</v>
      </c>
      <c r="AF2492" s="82">
        <v>0</v>
      </c>
      <c r="AG2492" s="69"/>
      <c r="AH2492" s="84"/>
      <c r="AI2492" s="69"/>
      <c r="AJ2492" s="25"/>
      <c r="AK2492" s="65"/>
      <c r="AL2492" s="176"/>
      <c r="AM2492" s="173"/>
      <c r="AN2492" s="159"/>
      <c r="AO2492" s="160"/>
      <c r="AP2492" s="161"/>
      <c r="AQ2492" s="160"/>
      <c r="AR2492" s="160"/>
      <c r="AS2492" s="160"/>
      <c r="AT2492" s="160"/>
      <c r="AU2492" s="160"/>
      <c r="AV2492" s="160"/>
      <c r="AW2492" s="160"/>
      <c r="AX2492" s="160"/>
      <c r="AY2492" s="160"/>
      <c r="AZ2492" s="160"/>
      <c r="BA2492" s="160"/>
      <c r="BB2492" s="160"/>
      <c r="BC2492" s="160"/>
      <c r="BD2492" s="160"/>
      <c r="BE2492" s="160"/>
      <c r="BF2492" s="160"/>
      <c r="BG2492" s="160"/>
      <c r="BH2492" s="160"/>
      <c r="BI2492" s="160"/>
      <c r="BJ2492" s="160"/>
      <c r="BK2492" s="160"/>
      <c r="BL2492" s="160"/>
      <c r="BM2492" s="160"/>
      <c r="BN2492" s="160"/>
      <c r="BO2492" s="160"/>
      <c r="BP2492" s="160"/>
      <c r="BQ2492" s="160"/>
      <c r="BR2492" s="160"/>
      <c r="BS2492" s="160"/>
      <c r="BT2492" s="160"/>
      <c r="BU2492" s="160"/>
      <c r="BV2492" s="160"/>
      <c r="BW2492" s="160"/>
      <c r="BX2492" s="160"/>
      <c r="BY2492" s="160"/>
      <c r="BZ2492" s="160"/>
      <c r="CA2492" s="160"/>
      <c r="CB2492" s="160"/>
      <c r="CC2492" s="160"/>
      <c r="CD2492" s="160"/>
      <c r="CE2492" s="160"/>
      <c r="CF2492" s="160"/>
      <c r="CG2492" s="160"/>
      <c r="CH2492" s="160"/>
      <c r="CI2492" s="160"/>
      <c r="CJ2492" s="160"/>
      <c r="CK2492" s="160"/>
      <c r="CL2492" s="160"/>
      <c r="CM2492" s="160"/>
      <c r="CN2492" s="160"/>
      <c r="CO2492" s="160"/>
      <c r="CP2492" s="162"/>
      <c r="CQ2492" s="163"/>
      <c r="CR2492" s="162"/>
      <c r="CS2492" s="163"/>
      <c r="CT2492" s="162"/>
      <c r="CU2492" s="163"/>
      <c r="CV2492" s="164">
        <f t="shared" si="315"/>
        <v>0</v>
      </c>
      <c r="CW2492" s="165"/>
      <c r="CX2492" s="166"/>
      <c r="CY2492" s="167"/>
      <c r="CZ2492" s="168"/>
      <c r="DA2492" s="169"/>
      <c r="DB2492" s="168"/>
      <c r="DC2492" s="165"/>
      <c r="DD2492" s="166"/>
      <c r="DE2492" s="71"/>
      <c r="DF2492" s="170"/>
      <c r="EO2492" s="375"/>
      <c r="EP2492" s="376"/>
      <c r="EQ2492" s="376"/>
      <c r="ER2492" s="377"/>
      <c r="ES2492" s="376"/>
      <c r="ET2492" s="376"/>
      <c r="EU2492" s="376"/>
    </row>
    <row r="2493" spans="1:151" s="171" customFormat="1" x14ac:dyDescent="0.2">
      <c r="A2493" s="242"/>
      <c r="B2493" s="222"/>
      <c r="C2493" s="222"/>
      <c r="D2493" s="430"/>
      <c r="E2493" s="222"/>
      <c r="F2493" s="333"/>
      <c r="G2493" s="221"/>
      <c r="H2493" s="157"/>
      <c r="I2493" s="157"/>
      <c r="J2493" s="157"/>
      <c r="K2493" s="157"/>
      <c r="L2493" s="157"/>
      <c r="M2493" s="157"/>
      <c r="N2493" s="157"/>
      <c r="O2493" s="157"/>
      <c r="P2493" s="157"/>
      <c r="Q2493" s="157"/>
      <c r="R2493" s="157"/>
      <c r="S2493" s="157"/>
      <c r="T2493" s="157"/>
      <c r="U2493" s="157"/>
      <c r="V2493" s="158"/>
      <c r="W2493" s="182"/>
      <c r="X2493" s="1"/>
      <c r="Y2493" s="78">
        <f t="shared" si="310"/>
        <v>0</v>
      </c>
      <c r="Z2493" s="78">
        <f t="shared" si="311"/>
        <v>0</v>
      </c>
      <c r="AA2493" s="78">
        <f t="shared" si="312"/>
        <v>0</v>
      </c>
      <c r="AB2493" s="78">
        <f t="shared" si="313"/>
        <v>0</v>
      </c>
      <c r="AC2493" s="78"/>
      <c r="AD2493" s="78">
        <v>0</v>
      </c>
      <c r="AE2493" s="80">
        <f t="shared" si="314"/>
        <v>0</v>
      </c>
      <c r="AF2493" s="82">
        <v>0</v>
      </c>
      <c r="AG2493" s="69"/>
      <c r="AH2493" s="84"/>
      <c r="AI2493" s="69"/>
      <c r="AJ2493" s="25"/>
      <c r="AK2493" s="65"/>
      <c r="AL2493" s="176"/>
      <c r="AM2493" s="173"/>
      <c r="AN2493" s="159"/>
      <c r="AO2493" s="160"/>
      <c r="AP2493" s="161"/>
      <c r="AQ2493" s="160"/>
      <c r="AR2493" s="160"/>
      <c r="AS2493" s="160"/>
      <c r="AT2493" s="160"/>
      <c r="AU2493" s="160"/>
      <c r="AV2493" s="160"/>
      <c r="AW2493" s="160"/>
      <c r="AX2493" s="160"/>
      <c r="AY2493" s="160"/>
      <c r="AZ2493" s="160"/>
      <c r="BA2493" s="160"/>
      <c r="BB2493" s="160"/>
      <c r="BC2493" s="160"/>
      <c r="BD2493" s="160"/>
      <c r="BE2493" s="160"/>
      <c r="BF2493" s="160"/>
      <c r="BG2493" s="160"/>
      <c r="BH2493" s="160"/>
      <c r="BI2493" s="160"/>
      <c r="BJ2493" s="160"/>
      <c r="BK2493" s="160"/>
      <c r="BL2493" s="160"/>
      <c r="BM2493" s="160"/>
      <c r="BN2493" s="160"/>
      <c r="BO2493" s="160"/>
      <c r="BP2493" s="160"/>
      <c r="BQ2493" s="160"/>
      <c r="BR2493" s="160"/>
      <c r="BS2493" s="160"/>
      <c r="BT2493" s="160"/>
      <c r="BU2493" s="160"/>
      <c r="BV2493" s="160"/>
      <c r="BW2493" s="160"/>
      <c r="BX2493" s="160"/>
      <c r="BY2493" s="160"/>
      <c r="BZ2493" s="160"/>
      <c r="CA2493" s="160"/>
      <c r="CB2493" s="160"/>
      <c r="CC2493" s="160"/>
      <c r="CD2493" s="160"/>
      <c r="CE2493" s="160"/>
      <c r="CF2493" s="160"/>
      <c r="CG2493" s="160"/>
      <c r="CH2493" s="160"/>
      <c r="CI2493" s="160"/>
      <c r="CJ2493" s="160"/>
      <c r="CK2493" s="160"/>
      <c r="CL2493" s="160"/>
      <c r="CM2493" s="160"/>
      <c r="CN2493" s="160"/>
      <c r="CO2493" s="160"/>
      <c r="CP2493" s="162"/>
      <c r="CQ2493" s="163"/>
      <c r="CR2493" s="162"/>
      <c r="CS2493" s="163"/>
      <c r="CT2493" s="162"/>
      <c r="CU2493" s="163"/>
      <c r="CV2493" s="164">
        <f t="shared" si="315"/>
        <v>0</v>
      </c>
      <c r="CW2493" s="165"/>
      <c r="CX2493" s="166"/>
      <c r="CY2493" s="167"/>
      <c r="CZ2493" s="168"/>
      <c r="DA2493" s="169"/>
      <c r="DB2493" s="168"/>
      <c r="DC2493" s="165"/>
      <c r="DD2493" s="166"/>
      <c r="DE2493" s="71"/>
      <c r="DF2493" s="170"/>
      <c r="EO2493" s="375"/>
      <c r="EP2493" s="376"/>
      <c r="EQ2493" s="376"/>
      <c r="ER2493" s="377"/>
      <c r="ES2493" s="376"/>
      <c r="ET2493" s="376"/>
      <c r="EU2493" s="376"/>
    </row>
    <row r="2494" spans="1:151" s="171" customFormat="1" ht="10.5" customHeight="1" x14ac:dyDescent="0.2">
      <c r="A2494" s="242"/>
      <c r="B2494" s="222"/>
      <c r="C2494" s="222"/>
      <c r="D2494" s="430"/>
      <c r="E2494" s="222"/>
      <c r="F2494" s="333"/>
      <c r="G2494" s="221"/>
      <c r="H2494" s="157"/>
      <c r="I2494" s="157"/>
      <c r="J2494" s="157"/>
      <c r="K2494" s="157"/>
      <c r="L2494" s="157"/>
      <c r="M2494" s="157"/>
      <c r="N2494" s="157"/>
      <c r="O2494" s="157"/>
      <c r="P2494" s="157"/>
      <c r="Q2494" s="157"/>
      <c r="R2494" s="157"/>
      <c r="S2494" s="157"/>
      <c r="T2494" s="157"/>
      <c r="U2494" s="157"/>
      <c r="V2494" s="158"/>
      <c r="W2494" s="182"/>
      <c r="X2494" s="1"/>
      <c r="Y2494" s="78">
        <f>CV2494</f>
        <v>0</v>
      </c>
      <c r="Z2494" s="78">
        <f>CZ2494</f>
        <v>0</v>
      </c>
      <c r="AA2494" s="78">
        <f>DB2494+DD2494</f>
        <v>0</v>
      </c>
      <c r="AB2494" s="78">
        <f>CX2494</f>
        <v>0</v>
      </c>
      <c r="AC2494" s="78"/>
      <c r="AD2494" s="78">
        <v>0</v>
      </c>
      <c r="AE2494" s="80">
        <f>Y2494+Z2494+AA2494+AB2494+AC2494+AD2494</f>
        <v>0</v>
      </c>
      <c r="AF2494" s="82">
        <v>0</v>
      </c>
      <c r="AG2494" s="69"/>
      <c r="AH2494" s="84"/>
      <c r="AI2494" s="69"/>
      <c r="AJ2494" s="25"/>
      <c r="AK2494" s="65"/>
      <c r="AL2494" s="176"/>
      <c r="AM2494" s="173"/>
      <c r="AN2494" s="159"/>
      <c r="AO2494" s="160"/>
      <c r="AP2494" s="161"/>
      <c r="AQ2494" s="160"/>
      <c r="AR2494" s="160"/>
      <c r="AS2494" s="160"/>
      <c r="AT2494" s="160"/>
      <c r="AU2494" s="160"/>
      <c r="AV2494" s="160"/>
      <c r="AW2494" s="160"/>
      <c r="AX2494" s="160"/>
      <c r="AY2494" s="160"/>
      <c r="AZ2494" s="160"/>
      <c r="BA2494" s="160"/>
      <c r="BB2494" s="160"/>
      <c r="BC2494" s="160"/>
      <c r="BD2494" s="160"/>
      <c r="BE2494" s="160"/>
      <c r="BF2494" s="160"/>
      <c r="BG2494" s="160"/>
      <c r="BH2494" s="160"/>
      <c r="BI2494" s="160"/>
      <c r="BJ2494" s="160"/>
      <c r="BK2494" s="160"/>
      <c r="BL2494" s="160"/>
      <c r="BM2494" s="160"/>
      <c r="BN2494" s="160"/>
      <c r="BO2494" s="160"/>
      <c r="BP2494" s="160"/>
      <c r="BQ2494" s="160"/>
      <c r="BR2494" s="160"/>
      <c r="BS2494" s="160"/>
      <c r="BT2494" s="160"/>
      <c r="BU2494" s="160"/>
      <c r="BV2494" s="160"/>
      <c r="BW2494" s="160"/>
      <c r="BX2494" s="160"/>
      <c r="BY2494" s="160"/>
      <c r="BZ2494" s="160"/>
      <c r="CA2494" s="160"/>
      <c r="CB2494" s="160"/>
      <c r="CC2494" s="160"/>
      <c r="CD2494" s="160"/>
      <c r="CE2494" s="160"/>
      <c r="CF2494" s="160"/>
      <c r="CG2494" s="160"/>
      <c r="CH2494" s="160"/>
      <c r="CI2494" s="160"/>
      <c r="CJ2494" s="160"/>
      <c r="CK2494" s="160"/>
      <c r="CL2494" s="160"/>
      <c r="CM2494" s="160"/>
      <c r="CN2494" s="160"/>
      <c r="CO2494" s="160"/>
      <c r="CP2494" s="162"/>
      <c r="CQ2494" s="163"/>
      <c r="CR2494" s="162"/>
      <c r="CS2494" s="163"/>
      <c r="CT2494" s="162"/>
      <c r="CU2494" s="163"/>
      <c r="CV2494" s="164">
        <f>AO2494+AQ2494+AS2494+AU2494+AW2494+AY2494+BA2494+BC2494+BE2494+BG2494+BI2494+BK2494+BM2494+BO2494+BQ2494+BS2494+BU2494+BW2494+BY2494+CA2494+CC2494+CE2494+CG2494+CI2494+CK2494+CM2494+CO2494+CQ2494+CS2494+CU2494</f>
        <v>0</v>
      </c>
      <c r="CW2494" s="165"/>
      <c r="CX2494" s="166"/>
      <c r="CY2494" s="167"/>
      <c r="CZ2494" s="168"/>
      <c r="DA2494" s="169"/>
      <c r="DB2494" s="168"/>
      <c r="DC2494" s="165"/>
      <c r="DD2494" s="166"/>
      <c r="DE2494" s="71"/>
      <c r="DF2494" s="170"/>
      <c r="EO2494" s="375" t="str">
        <f t="shared" ref="EO2494:EO2524" si="316">B2494&amp;"_"&amp;C2494</f>
        <v>_</v>
      </c>
      <c r="EP2494" s="376"/>
      <c r="EQ2494" s="376"/>
      <c r="ER2494" s="377"/>
      <c r="ES2494" s="376"/>
      <c r="ET2494" s="376"/>
      <c r="EU2494" s="376"/>
    </row>
    <row r="2495" spans="1:151" s="171" customFormat="1" ht="13.5" thickBot="1" x14ac:dyDescent="0.25">
      <c r="A2495" s="242"/>
      <c r="B2495" s="222"/>
      <c r="C2495" s="222"/>
      <c r="D2495" s="430"/>
      <c r="E2495" s="222"/>
      <c r="F2495" s="333"/>
      <c r="G2495" s="221"/>
      <c r="H2495" s="157"/>
      <c r="I2495" s="157"/>
      <c r="J2495" s="157"/>
      <c r="K2495" s="157"/>
      <c r="L2495" s="157"/>
      <c r="M2495" s="157"/>
      <c r="N2495" s="157"/>
      <c r="O2495" s="157"/>
      <c r="P2495" s="157"/>
      <c r="Q2495" s="157"/>
      <c r="R2495" s="157"/>
      <c r="S2495" s="157"/>
      <c r="T2495" s="157"/>
      <c r="U2495" s="157"/>
      <c r="V2495" s="158"/>
      <c r="W2495" s="182"/>
      <c r="X2495" s="1"/>
      <c r="Y2495" s="78">
        <f>CV2495</f>
        <v>0</v>
      </c>
      <c r="Z2495" s="78">
        <f>CZ2495</f>
        <v>0</v>
      </c>
      <c r="AA2495" s="78">
        <f>DB2495+DD2495</f>
        <v>0</v>
      </c>
      <c r="AB2495" s="78">
        <f>CX2495</f>
        <v>0</v>
      </c>
      <c r="AC2495" s="78"/>
      <c r="AD2495" s="78">
        <v>0</v>
      </c>
      <c r="AE2495" s="80">
        <f>Y2495+Z2495+AA2495+AB2495+AC2495+AD2495</f>
        <v>0</v>
      </c>
      <c r="AF2495" s="82">
        <v>0</v>
      </c>
      <c r="AG2495" s="69"/>
      <c r="AH2495" s="84"/>
      <c r="AI2495" s="69"/>
      <c r="AJ2495" s="25"/>
      <c r="AK2495" s="65"/>
      <c r="AL2495" s="176"/>
      <c r="AM2495" s="173"/>
      <c r="AN2495" s="159"/>
      <c r="AO2495" s="160"/>
      <c r="AP2495" s="161"/>
      <c r="AQ2495" s="160"/>
      <c r="AR2495" s="160"/>
      <c r="AS2495" s="160"/>
      <c r="AT2495" s="160"/>
      <c r="AU2495" s="160"/>
      <c r="AV2495" s="160"/>
      <c r="AW2495" s="160"/>
      <c r="AX2495" s="160"/>
      <c r="AY2495" s="160"/>
      <c r="AZ2495" s="160"/>
      <c r="BA2495" s="160"/>
      <c r="BB2495" s="160"/>
      <c r="BC2495" s="160"/>
      <c r="BD2495" s="160"/>
      <c r="BE2495" s="160"/>
      <c r="BF2495" s="160"/>
      <c r="BG2495" s="160"/>
      <c r="BH2495" s="160"/>
      <c r="BI2495" s="160"/>
      <c r="BJ2495" s="160"/>
      <c r="BK2495" s="160"/>
      <c r="BL2495" s="160"/>
      <c r="BM2495" s="160"/>
      <c r="BN2495" s="160"/>
      <c r="BO2495" s="160"/>
      <c r="BP2495" s="160"/>
      <c r="BQ2495" s="160"/>
      <c r="BR2495" s="160"/>
      <c r="BS2495" s="160"/>
      <c r="BT2495" s="160"/>
      <c r="BU2495" s="160"/>
      <c r="BV2495" s="160"/>
      <c r="BW2495" s="160"/>
      <c r="BX2495" s="160"/>
      <c r="BY2495" s="160"/>
      <c r="BZ2495" s="160"/>
      <c r="CA2495" s="160"/>
      <c r="CB2495" s="160"/>
      <c r="CC2495" s="160"/>
      <c r="CD2495" s="160"/>
      <c r="CE2495" s="160"/>
      <c r="CF2495" s="160"/>
      <c r="CG2495" s="160"/>
      <c r="CH2495" s="160"/>
      <c r="CI2495" s="160"/>
      <c r="CJ2495" s="160"/>
      <c r="CK2495" s="160"/>
      <c r="CL2495" s="160"/>
      <c r="CM2495" s="160"/>
      <c r="CN2495" s="160"/>
      <c r="CO2495" s="160"/>
      <c r="CP2495" s="162"/>
      <c r="CQ2495" s="163"/>
      <c r="CR2495" s="162"/>
      <c r="CS2495" s="163"/>
      <c r="CT2495" s="162"/>
      <c r="CU2495" s="163"/>
      <c r="CV2495" s="164">
        <f>AO2495+AQ2495+AS2495+AU2495+AW2495+AY2495+BA2495+BC2495+BE2495+BG2495+BI2495+BK2495+BM2495+BO2495+BQ2495+BS2495+BU2495+BW2495+BY2495+CA2495+CC2495+CE2495+CG2495+CI2495+CK2495+CM2495+CO2495+CQ2495+CS2495+CU2495</f>
        <v>0</v>
      </c>
      <c r="CW2495" s="165"/>
      <c r="CX2495" s="166"/>
      <c r="CY2495" s="167"/>
      <c r="CZ2495" s="168"/>
      <c r="DA2495" s="169"/>
      <c r="DB2495" s="168"/>
      <c r="DC2495" s="165"/>
      <c r="DD2495" s="166"/>
      <c r="DE2495" s="71"/>
      <c r="DF2495" s="170"/>
      <c r="EO2495" s="375" t="str">
        <f t="shared" si="316"/>
        <v>_</v>
      </c>
      <c r="EP2495" s="376"/>
      <c r="EQ2495" s="376"/>
      <c r="ER2495" s="377"/>
      <c r="ES2495" s="376"/>
      <c r="ET2495" s="376"/>
      <c r="EU2495" s="376"/>
    </row>
    <row r="2496" spans="1:151" s="269" customFormat="1" ht="24.95" customHeight="1" thickTop="1" thickBot="1" x14ac:dyDescent="0.25">
      <c r="A2496" s="449" t="s">
        <v>243</v>
      </c>
      <c r="B2496" s="450"/>
      <c r="C2496" s="450"/>
      <c r="D2496" s="451"/>
      <c r="E2496" s="293"/>
      <c r="F2496" s="293"/>
      <c r="G2496" s="255">
        <f t="shared" ref="G2496:V2496" si="317">SUM(G3:G2495)</f>
        <v>503</v>
      </c>
      <c r="H2496" s="256">
        <f t="shared" si="317"/>
        <v>806</v>
      </c>
      <c r="I2496" s="256">
        <f t="shared" si="317"/>
        <v>25</v>
      </c>
      <c r="J2496" s="256">
        <f t="shared" si="317"/>
        <v>3360303.1999999997</v>
      </c>
      <c r="K2496" s="256">
        <f t="shared" si="317"/>
        <v>775342.6</v>
      </c>
      <c r="L2496" s="256">
        <f t="shared" si="317"/>
        <v>12297</v>
      </c>
      <c r="M2496" s="256">
        <f t="shared" si="317"/>
        <v>378062</v>
      </c>
      <c r="N2496" s="256">
        <f t="shared" si="317"/>
        <v>1104</v>
      </c>
      <c r="O2496" s="256">
        <f t="shared" si="317"/>
        <v>102</v>
      </c>
      <c r="P2496" s="256">
        <f t="shared" si="317"/>
        <v>218</v>
      </c>
      <c r="Q2496" s="256">
        <f t="shared" si="317"/>
        <v>363</v>
      </c>
      <c r="R2496" s="256">
        <f t="shared" si="317"/>
        <v>79</v>
      </c>
      <c r="S2496" s="256">
        <f t="shared" si="317"/>
        <v>22</v>
      </c>
      <c r="T2496" s="256">
        <f t="shared" si="317"/>
        <v>501</v>
      </c>
      <c r="U2496" s="256">
        <f t="shared" si="317"/>
        <v>79</v>
      </c>
      <c r="V2496" s="256">
        <f t="shared" si="317"/>
        <v>286233</v>
      </c>
      <c r="W2496" s="257"/>
      <c r="X2496" s="255"/>
      <c r="Y2496" s="256">
        <f t="shared" ref="Y2496:AF2496" si="318">SUM(Y3:Y2495)</f>
        <v>18754159341.039993</v>
      </c>
      <c r="Z2496" s="256">
        <f t="shared" si="318"/>
        <v>43461055660.880005</v>
      </c>
      <c r="AA2496" s="256">
        <f t="shared" si="318"/>
        <v>2138151196.76</v>
      </c>
      <c r="AB2496" s="271">
        <f t="shared" si="318"/>
        <v>5599779120</v>
      </c>
      <c r="AC2496" s="256">
        <f t="shared" si="318"/>
        <v>3253437532.6371999</v>
      </c>
      <c r="AD2496" s="256">
        <f t="shared" si="318"/>
        <v>11797871446.620001</v>
      </c>
      <c r="AE2496" s="258">
        <f t="shared" si="318"/>
        <v>85051387697.93721</v>
      </c>
      <c r="AF2496" s="259">
        <f t="shared" si="318"/>
        <v>603321520</v>
      </c>
      <c r="AG2496" s="13"/>
      <c r="AH2496" s="60"/>
      <c r="AI2496" s="24"/>
      <c r="AJ2496" s="26"/>
      <c r="AK2496" s="66"/>
      <c r="AL2496" s="216"/>
      <c r="AM2496" s="260"/>
      <c r="AN2496" s="261">
        <f t="shared" ref="AN2496:BS2496" si="319">SUM(AN3:AN2495)</f>
        <v>0</v>
      </c>
      <c r="AO2496" s="262">
        <f t="shared" si="319"/>
        <v>0</v>
      </c>
      <c r="AP2496" s="262">
        <f t="shared" si="319"/>
        <v>0</v>
      </c>
      <c r="AQ2496" s="262">
        <f t="shared" si="319"/>
        <v>0</v>
      </c>
      <c r="AR2496" s="262">
        <f t="shared" si="319"/>
        <v>0</v>
      </c>
      <c r="AS2496" s="262">
        <f t="shared" si="319"/>
        <v>0</v>
      </c>
      <c r="AT2496" s="262">
        <f t="shared" si="319"/>
        <v>0</v>
      </c>
      <c r="AU2496" s="262">
        <f t="shared" si="319"/>
        <v>0</v>
      </c>
      <c r="AV2496" s="262">
        <f t="shared" si="319"/>
        <v>4360</v>
      </c>
      <c r="AW2496" s="262">
        <f t="shared" si="319"/>
        <v>89007312</v>
      </c>
      <c r="AX2496" s="262">
        <f t="shared" si="319"/>
        <v>0</v>
      </c>
      <c r="AY2496" s="262">
        <f t="shared" si="319"/>
        <v>0</v>
      </c>
      <c r="AZ2496" s="262">
        <f t="shared" si="319"/>
        <v>50209</v>
      </c>
      <c r="BA2496" s="262">
        <f t="shared" si="319"/>
        <v>2814769284</v>
      </c>
      <c r="BB2496" s="262">
        <f t="shared" si="319"/>
        <v>30197</v>
      </c>
      <c r="BC2496" s="262">
        <f t="shared" si="319"/>
        <v>1699732000</v>
      </c>
      <c r="BD2496" s="262">
        <f t="shared" si="319"/>
        <v>0</v>
      </c>
      <c r="BE2496" s="262">
        <f t="shared" si="319"/>
        <v>0</v>
      </c>
      <c r="BF2496" s="262">
        <f t="shared" si="319"/>
        <v>0</v>
      </c>
      <c r="BG2496" s="262">
        <f t="shared" si="319"/>
        <v>0</v>
      </c>
      <c r="BH2496" s="262">
        <f t="shared" si="319"/>
        <v>0</v>
      </c>
      <c r="BI2496" s="262">
        <f t="shared" si="319"/>
        <v>0</v>
      </c>
      <c r="BJ2496" s="262">
        <f t="shared" si="319"/>
        <v>0</v>
      </c>
      <c r="BK2496" s="262">
        <f t="shared" si="319"/>
        <v>0</v>
      </c>
      <c r="BL2496" s="262">
        <f t="shared" si="319"/>
        <v>28051</v>
      </c>
      <c r="BM2496" s="262">
        <f t="shared" si="319"/>
        <v>717300500</v>
      </c>
      <c r="BN2496" s="262">
        <f t="shared" si="319"/>
        <v>0</v>
      </c>
      <c r="BO2496" s="262">
        <f t="shared" si="319"/>
        <v>0</v>
      </c>
      <c r="BP2496" s="262">
        <f t="shared" si="319"/>
        <v>0</v>
      </c>
      <c r="BQ2496" s="262">
        <f t="shared" si="319"/>
        <v>0</v>
      </c>
      <c r="BR2496" s="262">
        <f t="shared" si="319"/>
        <v>0</v>
      </c>
      <c r="BS2496" s="262">
        <f t="shared" si="319"/>
        <v>0</v>
      </c>
      <c r="BT2496" s="262">
        <f t="shared" ref="BT2496:CY2496" si="320">SUM(BT3:BT2495)</f>
        <v>0</v>
      </c>
      <c r="BU2496" s="262">
        <f t="shared" si="320"/>
        <v>0</v>
      </c>
      <c r="BV2496" s="262">
        <f t="shared" si="320"/>
        <v>0</v>
      </c>
      <c r="BW2496" s="262">
        <f t="shared" si="320"/>
        <v>0</v>
      </c>
      <c r="BX2496" s="262">
        <f t="shared" si="320"/>
        <v>0</v>
      </c>
      <c r="BY2496" s="262">
        <f t="shared" si="320"/>
        <v>0</v>
      </c>
      <c r="BZ2496" s="262">
        <f t="shared" si="320"/>
        <v>3342</v>
      </c>
      <c r="CA2496" s="262">
        <f t="shared" si="320"/>
        <v>892802793</v>
      </c>
      <c r="CB2496" s="262">
        <f t="shared" si="320"/>
        <v>0</v>
      </c>
      <c r="CC2496" s="262">
        <f t="shared" si="320"/>
        <v>0</v>
      </c>
      <c r="CD2496" s="262">
        <f t="shared" si="320"/>
        <v>0</v>
      </c>
      <c r="CE2496" s="262">
        <f t="shared" si="320"/>
        <v>0</v>
      </c>
      <c r="CF2496" s="262">
        <f t="shared" si="320"/>
        <v>0</v>
      </c>
      <c r="CG2496" s="262">
        <f t="shared" si="320"/>
        <v>0</v>
      </c>
      <c r="CH2496" s="262">
        <f t="shared" si="320"/>
        <v>1733</v>
      </c>
      <c r="CI2496" s="262">
        <f t="shared" si="320"/>
        <v>35814000</v>
      </c>
      <c r="CJ2496" s="262">
        <f t="shared" si="320"/>
        <v>45200</v>
      </c>
      <c r="CK2496" s="262">
        <f t="shared" si="320"/>
        <v>950775904.83999979</v>
      </c>
      <c r="CL2496" s="262">
        <f t="shared" si="320"/>
        <v>0</v>
      </c>
      <c r="CM2496" s="262">
        <f t="shared" si="320"/>
        <v>0</v>
      </c>
      <c r="CN2496" s="262">
        <f t="shared" si="320"/>
        <v>356483</v>
      </c>
      <c r="CO2496" s="262">
        <f t="shared" si="320"/>
        <v>3559920231.9600005</v>
      </c>
      <c r="CP2496" s="262">
        <f t="shared" si="320"/>
        <v>144191</v>
      </c>
      <c r="CQ2496" s="262">
        <f t="shared" si="320"/>
        <v>5355095399.920001</v>
      </c>
      <c r="CR2496" s="262">
        <f t="shared" si="320"/>
        <v>69064</v>
      </c>
      <c r="CS2496" s="262">
        <f t="shared" si="320"/>
        <v>2582056515.3199997</v>
      </c>
      <c r="CT2496" s="262">
        <f t="shared" si="320"/>
        <v>612</v>
      </c>
      <c r="CU2496" s="262">
        <f t="shared" si="320"/>
        <v>56885400</v>
      </c>
      <c r="CV2496" s="262">
        <f t="shared" si="320"/>
        <v>18754159341.039993</v>
      </c>
      <c r="CW2496" s="263">
        <f t="shared" si="320"/>
        <v>6057547</v>
      </c>
      <c r="CX2496" s="264">
        <f t="shared" si="320"/>
        <v>5599779120</v>
      </c>
      <c r="CY2496" s="263">
        <f t="shared" si="320"/>
        <v>501900</v>
      </c>
      <c r="CZ2496" s="264">
        <f>SUM(CZ3:CZ2495)</f>
        <v>43461055660.880005</v>
      </c>
      <c r="DA2496" s="264">
        <f>SUM(DA3:DA2495)</f>
        <v>1041</v>
      </c>
      <c r="DB2496" s="264">
        <f>SUM(DB3:DB2495)</f>
        <v>26537929</v>
      </c>
      <c r="DC2496" s="265">
        <f>SUM(DC3:DC2495)</f>
        <v>81448</v>
      </c>
      <c r="DD2496" s="266">
        <f>SUM(DD3:DD2495)</f>
        <v>1643598866.6399999</v>
      </c>
      <c r="DE2496" s="267"/>
      <c r="DF2496" s="268"/>
      <c r="EO2496" s="375" t="str">
        <f t="shared" si="316"/>
        <v>_</v>
      </c>
      <c r="EP2496" s="376"/>
      <c r="EQ2496" s="376"/>
      <c r="ER2496" s="377"/>
      <c r="ES2496" s="376"/>
      <c r="ET2496" s="376"/>
      <c r="EU2496" s="376"/>
    </row>
    <row r="2497" spans="1:151" ht="24.95" customHeight="1" x14ac:dyDescent="0.2">
      <c r="A2497" s="14"/>
      <c r="B2497" s="30"/>
      <c r="C2497" s="35"/>
      <c r="D2497" s="30"/>
      <c r="E2497" s="30"/>
      <c r="F2497" s="30"/>
      <c r="G2497" s="31"/>
      <c r="H2497" s="31"/>
      <c r="I2497" s="31"/>
      <c r="J2497" s="31"/>
      <c r="K2497" s="31"/>
      <c r="L2497" s="31"/>
      <c r="M2497" s="31"/>
      <c r="N2497" s="31"/>
      <c r="O2497" s="31"/>
      <c r="P2497" s="31"/>
      <c r="Q2497" s="31"/>
      <c r="R2497" s="31"/>
      <c r="S2497" s="31"/>
      <c r="T2497" s="31"/>
      <c r="U2497" s="31"/>
      <c r="V2497" s="31"/>
      <c r="W2497" s="207"/>
      <c r="X2497" s="31"/>
      <c r="Y2497" s="31"/>
      <c r="Z2497" s="31"/>
      <c r="AA2497" s="31"/>
      <c r="AB2497" s="31"/>
      <c r="AC2497" s="31"/>
      <c r="AD2497" s="31"/>
      <c r="AE2497" s="31"/>
      <c r="AF2497" s="31"/>
      <c r="AG2497" s="15"/>
      <c r="AH2497" s="61"/>
      <c r="AI2497" s="15"/>
      <c r="AJ2497" s="27"/>
      <c r="AK2497" s="67"/>
      <c r="AL2497" s="217"/>
      <c r="AM2497" s="55"/>
      <c r="AN2497" s="32"/>
      <c r="AO2497" s="32"/>
      <c r="AP2497" s="32"/>
      <c r="AQ2497" s="32"/>
      <c r="AR2497" s="32"/>
      <c r="AS2497" s="32"/>
      <c r="AT2497" s="32"/>
      <c r="AU2497" s="32"/>
      <c r="AV2497" s="32"/>
      <c r="AW2497" s="32"/>
      <c r="AX2497" s="32"/>
      <c r="AY2497" s="32"/>
      <c r="AZ2497" s="32"/>
      <c r="BA2497" s="32"/>
      <c r="BB2497" s="32"/>
      <c r="BC2497" s="32"/>
      <c r="BD2497" s="32"/>
      <c r="BE2497" s="32"/>
      <c r="BF2497" s="32"/>
      <c r="BG2497" s="32"/>
      <c r="BH2497" s="32"/>
      <c r="BI2497" s="32"/>
      <c r="BJ2497" s="32"/>
      <c r="BK2497" s="32"/>
      <c r="BL2497" s="32"/>
      <c r="BM2497" s="32"/>
      <c r="BN2497" s="32"/>
      <c r="BO2497" s="32"/>
      <c r="BP2497" s="32"/>
      <c r="BQ2497" s="32"/>
      <c r="BR2497" s="32"/>
      <c r="BS2497" s="32"/>
      <c r="BT2497" s="32"/>
      <c r="BU2497" s="32"/>
      <c r="BV2497" s="32"/>
      <c r="BW2497" s="32"/>
      <c r="BX2497" s="32"/>
      <c r="BY2497" s="32"/>
      <c r="BZ2497" s="32"/>
      <c r="CA2497" s="32"/>
      <c r="CB2497" s="32"/>
      <c r="CC2497" s="32"/>
      <c r="CD2497" s="32"/>
      <c r="CE2497" s="32"/>
      <c r="CF2497" s="32"/>
      <c r="CG2497" s="32"/>
      <c r="CH2497" s="32"/>
      <c r="CI2497" s="32"/>
      <c r="CJ2497" s="32"/>
      <c r="CK2497" s="32" t="s">
        <v>838</v>
      </c>
      <c r="CL2497" s="32"/>
      <c r="CM2497" s="32"/>
      <c r="CN2497" s="32"/>
      <c r="CO2497" s="32"/>
      <c r="CP2497" s="32"/>
      <c r="CQ2497" s="32"/>
      <c r="CR2497" s="32"/>
      <c r="CS2497" s="32"/>
      <c r="CT2497" s="32"/>
      <c r="CU2497" s="32"/>
      <c r="CV2497" s="32"/>
      <c r="CW2497" s="32"/>
      <c r="CX2497" s="32"/>
      <c r="CY2497" s="32"/>
      <c r="CZ2497" s="32"/>
      <c r="DA2497" s="32"/>
      <c r="DB2497" s="32"/>
      <c r="DC2497" s="32"/>
      <c r="DD2497" s="32"/>
      <c r="DE2497" s="32"/>
      <c r="EO2497" s="375" t="str">
        <f t="shared" si="316"/>
        <v>_</v>
      </c>
      <c r="EP2497" s="376"/>
      <c r="EQ2497" s="376"/>
      <c r="ER2497" s="377"/>
      <c r="ES2497" s="376"/>
      <c r="ET2497" s="376"/>
      <c r="EU2497" s="376"/>
    </row>
    <row r="2498" spans="1:151" ht="54.75" customHeight="1" x14ac:dyDescent="0.2">
      <c r="A2498" s="448" t="s">
        <v>1279</v>
      </c>
      <c r="B2498" s="448"/>
      <c r="C2498" s="448"/>
      <c r="D2498" s="448"/>
      <c r="E2498" s="292"/>
      <c r="F2498" s="292"/>
      <c r="G2498" s="33"/>
      <c r="H2498" s="31"/>
      <c r="I2498" s="31"/>
      <c r="J2498" s="31"/>
      <c r="K2498" s="31"/>
      <c r="L2498" s="31"/>
      <c r="M2498" s="31"/>
      <c r="N2498" s="31"/>
      <c r="O2498" s="31"/>
      <c r="P2498" s="31"/>
      <c r="Q2498" s="31"/>
      <c r="R2498" s="31"/>
      <c r="S2498" s="31"/>
      <c r="T2498" s="31"/>
      <c r="U2498" s="31"/>
      <c r="V2498" s="33"/>
      <c r="W2498" s="207"/>
      <c r="X2498" s="31"/>
      <c r="Y2498" s="31"/>
      <c r="Z2498" s="31"/>
      <c r="AA2498" s="31"/>
      <c r="AB2498" s="31"/>
      <c r="AC2498" s="31"/>
      <c r="AD2498" s="31"/>
      <c r="AE2498" s="31"/>
      <c r="AF2498" s="31"/>
      <c r="AG2498" s="15"/>
      <c r="AH2498" s="61"/>
      <c r="AI2498" s="15"/>
      <c r="AJ2498" s="27"/>
      <c r="AK2498" s="248"/>
      <c r="AL2498" s="217"/>
      <c r="AM2498" s="55"/>
      <c r="AN2498" s="32"/>
      <c r="AO2498" s="32"/>
      <c r="AP2498" s="32"/>
      <c r="AQ2498" s="32"/>
      <c r="AR2498" s="32"/>
      <c r="AS2498" s="32"/>
      <c r="AT2498" s="32"/>
      <c r="AU2498" s="32"/>
      <c r="AV2498" s="32"/>
      <c r="AW2498" s="32"/>
      <c r="AX2498" s="32"/>
      <c r="AY2498" s="32"/>
      <c r="AZ2498" s="32"/>
      <c r="BA2498" s="32"/>
      <c r="BB2498" s="32"/>
      <c r="BC2498" s="32"/>
      <c r="BD2498" s="32"/>
      <c r="BE2498" s="32"/>
      <c r="BF2498" s="32"/>
      <c r="BG2498" s="32"/>
      <c r="BH2498" s="32"/>
      <c r="BI2498" s="32"/>
      <c r="BJ2498" s="32"/>
      <c r="BK2498" s="32"/>
      <c r="BL2498" s="32"/>
      <c r="BM2498" s="32"/>
      <c r="BN2498" s="32"/>
      <c r="BO2498" s="32"/>
      <c r="BP2498" s="32"/>
      <c r="BQ2498" s="32"/>
      <c r="BR2498" s="32"/>
      <c r="BS2498" s="32"/>
      <c r="BT2498" s="32"/>
      <c r="BU2498" s="32"/>
      <c r="BV2498" s="32"/>
      <c r="BW2498" s="32"/>
      <c r="BX2498" s="32"/>
      <c r="BY2498" s="32"/>
      <c r="BZ2498" s="32"/>
      <c r="CA2498" s="32"/>
      <c r="CB2498" s="32"/>
      <c r="CC2498" s="32"/>
      <c r="CD2498" s="32"/>
      <c r="CE2498" s="32"/>
      <c r="CF2498" s="32"/>
      <c r="CG2498" s="32"/>
      <c r="CH2498" s="32"/>
      <c r="CI2498" s="32"/>
      <c r="CJ2498" s="32"/>
      <c r="CK2498" s="32"/>
      <c r="CL2498" s="32"/>
      <c r="CM2498" s="32"/>
      <c r="CN2498" s="32"/>
      <c r="CO2498" s="32"/>
      <c r="CP2498" s="32"/>
      <c r="CQ2498" s="32"/>
      <c r="CR2498" s="32"/>
      <c r="CS2498" s="32"/>
      <c r="CT2498" s="32"/>
      <c r="CU2498" s="32"/>
      <c r="CV2498" s="32"/>
      <c r="CW2498" s="32"/>
      <c r="CX2498" s="32"/>
      <c r="CY2498" s="32"/>
      <c r="CZ2498" s="32"/>
      <c r="DA2498" s="32"/>
      <c r="DB2498" s="32"/>
      <c r="DC2498" s="32"/>
      <c r="DD2498" s="32"/>
      <c r="DE2498" s="32"/>
      <c r="EO2498" s="375" t="str">
        <f t="shared" si="316"/>
        <v>_</v>
      </c>
      <c r="EP2498" s="376"/>
      <c r="EQ2498" s="376"/>
      <c r="ER2498" s="377"/>
      <c r="ES2498" s="376"/>
      <c r="ET2498" s="376"/>
      <c r="EU2498" s="376"/>
    </row>
    <row r="2499" spans="1:151" ht="12.75" customHeight="1" x14ac:dyDescent="0.2">
      <c r="Z2499" s="19"/>
      <c r="AA2499" s="19"/>
      <c r="AE2499" s="411"/>
      <c r="AF2499" s="34" t="s">
        <v>838</v>
      </c>
      <c r="AH2499" s="140"/>
      <c r="AK2499" s="199"/>
      <c r="EO2499" s="375" t="str">
        <f t="shared" si="316"/>
        <v>_</v>
      </c>
      <c r="EP2499" s="376"/>
      <c r="EQ2499" s="376"/>
      <c r="ER2499" s="377"/>
      <c r="ES2499" s="376"/>
      <c r="ET2499" s="376"/>
      <c r="EU2499" s="376"/>
    </row>
    <row r="2500" spans="1:151" x14ac:dyDescent="0.2">
      <c r="C2500" s="2"/>
      <c r="D2500" s="136"/>
      <c r="E2500" s="136"/>
      <c r="F2500" s="136"/>
      <c r="O2500" s="2"/>
      <c r="P2500" s="2"/>
      <c r="Q2500" s="270"/>
      <c r="Z2500" s="19"/>
      <c r="AA2500" s="19"/>
      <c r="AB2500" s="180"/>
      <c r="AE2500" s="38"/>
      <c r="AG2500" s="180" t="s">
        <v>1115</v>
      </c>
      <c r="AI2500" s="180"/>
      <c r="DE2500" s="180" t="s">
        <v>838</v>
      </c>
      <c r="EO2500" s="375" t="str">
        <f t="shared" si="316"/>
        <v>_</v>
      </c>
      <c r="EP2500" s="376"/>
      <c r="EQ2500" s="376"/>
      <c r="ER2500" s="377"/>
      <c r="ES2500" s="376"/>
      <c r="ET2500" s="376"/>
      <c r="EU2500" s="376"/>
    </row>
    <row r="2501" spans="1:151" x14ac:dyDescent="0.2">
      <c r="B2501" s="34"/>
      <c r="J2501" s="23"/>
      <c r="K2501" s="180"/>
      <c r="Z2501" s="19"/>
      <c r="AA2501" s="19"/>
      <c r="AE2501" s="96"/>
      <c r="AM2501" s="174" t="s">
        <v>838</v>
      </c>
      <c r="EO2501" s="375" t="str">
        <f t="shared" si="316"/>
        <v>_</v>
      </c>
      <c r="EP2501" s="376"/>
      <c r="EQ2501" s="376"/>
      <c r="ER2501" s="377"/>
      <c r="ES2501" s="376"/>
      <c r="ET2501" s="376"/>
      <c r="EU2501" s="376"/>
    </row>
    <row r="2502" spans="1:151" x14ac:dyDescent="0.2">
      <c r="A2502" s="387"/>
      <c r="B2502" s="388"/>
      <c r="C2502" s="388"/>
      <c r="D2502" s="388"/>
      <c r="E2502" s="388"/>
      <c r="F2502" s="388"/>
      <c r="G2502" s="388"/>
      <c r="Z2502" s="19"/>
      <c r="AA2502" s="19"/>
      <c r="AE2502" s="96"/>
      <c r="CR2502" s="180"/>
      <c r="EO2502" s="375" t="str">
        <f t="shared" si="316"/>
        <v>_</v>
      </c>
      <c r="EP2502" s="376"/>
      <c r="EQ2502" s="376"/>
      <c r="ER2502" s="377"/>
      <c r="ES2502" s="376"/>
      <c r="ET2502" s="376"/>
      <c r="EU2502" s="376"/>
    </row>
    <row r="2503" spans="1:151" x14ac:dyDescent="0.2">
      <c r="B2503" s="34"/>
      <c r="D2503" s="180" t="s">
        <v>838</v>
      </c>
      <c r="E2503" s="180"/>
      <c r="F2503" s="180"/>
      <c r="Z2503" s="19"/>
      <c r="AA2503" s="19"/>
      <c r="AE2503" s="96"/>
      <c r="EO2503" s="375" t="str">
        <f t="shared" si="316"/>
        <v>_</v>
      </c>
      <c r="EP2503" s="376"/>
      <c r="EQ2503" s="376"/>
      <c r="ER2503" s="377"/>
      <c r="ES2503" s="376"/>
      <c r="ET2503" s="376"/>
      <c r="EU2503" s="376"/>
    </row>
    <row r="2504" spans="1:151" x14ac:dyDescent="0.2">
      <c r="B2504" s="34"/>
      <c r="K2504" s="180"/>
      <c r="Z2504" s="19"/>
      <c r="AA2504" s="19"/>
      <c r="AE2504" s="96"/>
      <c r="AN2504" s="180" t="s">
        <v>838</v>
      </c>
      <c r="EO2504" s="375" t="str">
        <f t="shared" si="316"/>
        <v>_</v>
      </c>
      <c r="EP2504" s="376"/>
      <c r="EQ2504" s="376"/>
      <c r="ER2504" s="377"/>
      <c r="ES2504" s="376"/>
      <c r="ET2504" s="376"/>
      <c r="EU2504" s="376"/>
    </row>
    <row r="2505" spans="1:151" x14ac:dyDescent="0.2">
      <c r="B2505" s="34"/>
      <c r="Z2505" s="19"/>
      <c r="AA2505" s="19"/>
      <c r="AE2505" s="96"/>
      <c r="EO2505" s="375" t="str">
        <f t="shared" si="316"/>
        <v>_</v>
      </c>
      <c r="EP2505" s="376"/>
      <c r="EQ2505" s="376"/>
      <c r="ER2505" s="377"/>
      <c r="ES2505" s="376"/>
      <c r="ET2505" s="376"/>
      <c r="EU2505" s="376"/>
    </row>
    <row r="2506" spans="1:151" x14ac:dyDescent="0.2">
      <c r="B2506" s="34"/>
      <c r="C2506" s="111"/>
      <c r="Z2506" s="19"/>
      <c r="AA2506" s="19"/>
      <c r="AC2506" s="180" t="s">
        <v>838</v>
      </c>
      <c r="AE2506" s="96"/>
      <c r="EO2506" s="375" t="str">
        <f t="shared" si="316"/>
        <v>_</v>
      </c>
      <c r="EP2506" s="376"/>
      <c r="EQ2506" s="376"/>
      <c r="ER2506" s="377"/>
      <c r="ES2506" s="376"/>
      <c r="ET2506" s="376"/>
      <c r="EU2506" s="376"/>
    </row>
    <row r="2507" spans="1:151" x14ac:dyDescent="0.2">
      <c r="B2507" s="34"/>
      <c r="Z2507" s="19"/>
      <c r="AA2507" s="19"/>
      <c r="AE2507" s="96"/>
      <c r="EO2507" s="375" t="str">
        <f t="shared" si="316"/>
        <v>_</v>
      </c>
      <c r="EP2507" s="376"/>
      <c r="EQ2507" s="376"/>
      <c r="ER2507" s="377"/>
      <c r="ES2507" s="376"/>
      <c r="ET2507" s="376"/>
      <c r="EU2507" s="376"/>
    </row>
    <row r="2508" spans="1:151" x14ac:dyDescent="0.2">
      <c r="B2508" s="34"/>
      <c r="Z2508" s="19"/>
      <c r="AA2508" s="19"/>
      <c r="AE2508" s="96"/>
      <c r="EO2508" s="375" t="str">
        <f t="shared" si="316"/>
        <v>_</v>
      </c>
      <c r="EP2508" s="376"/>
      <c r="EQ2508" s="376"/>
      <c r="ER2508" s="377"/>
      <c r="ES2508" s="376"/>
      <c r="ET2508" s="376"/>
      <c r="EU2508" s="376"/>
    </row>
    <row r="2509" spans="1:151" x14ac:dyDescent="0.2">
      <c r="B2509" s="34"/>
      <c r="Z2509" s="19"/>
      <c r="AA2509" s="19"/>
      <c r="AE2509" s="96"/>
      <c r="EO2509" s="375" t="str">
        <f t="shared" si="316"/>
        <v>_</v>
      </c>
      <c r="EP2509" s="376"/>
      <c r="EQ2509" s="376"/>
      <c r="ER2509" s="377"/>
      <c r="ES2509" s="376"/>
      <c r="ET2509" s="376"/>
      <c r="EU2509" s="376"/>
    </row>
    <row r="2510" spans="1:151" x14ac:dyDescent="0.2">
      <c r="B2510" s="34"/>
      <c r="Z2510" s="19"/>
      <c r="AA2510" s="19"/>
      <c r="AE2510" s="96"/>
      <c r="EO2510" s="375" t="str">
        <f t="shared" si="316"/>
        <v>_</v>
      </c>
      <c r="EP2510" s="376"/>
      <c r="EQ2510" s="376"/>
      <c r="ER2510" s="377"/>
      <c r="ES2510" s="376"/>
      <c r="ET2510" s="376"/>
      <c r="EU2510" s="376"/>
    </row>
    <row r="2511" spans="1:151" x14ac:dyDescent="0.2">
      <c r="B2511" s="34"/>
      <c r="Z2511" s="19"/>
      <c r="AA2511" s="19"/>
      <c r="AE2511" s="96"/>
      <c r="EO2511" s="375" t="str">
        <f t="shared" si="316"/>
        <v>_</v>
      </c>
      <c r="EP2511" s="376"/>
      <c r="EQ2511" s="376"/>
      <c r="ER2511" s="377"/>
      <c r="ES2511" s="376"/>
      <c r="ET2511" s="376"/>
      <c r="EU2511" s="376"/>
    </row>
    <row r="2512" spans="1:151" x14ac:dyDescent="0.2">
      <c r="B2512" s="34"/>
      <c r="Z2512" s="20"/>
      <c r="AA2512" s="20"/>
      <c r="AE2512" s="96"/>
      <c r="EO2512" s="375" t="str">
        <f t="shared" si="316"/>
        <v>_</v>
      </c>
      <c r="EP2512" s="376"/>
      <c r="EQ2512" s="376"/>
      <c r="ER2512" s="377"/>
      <c r="ES2512" s="376"/>
      <c r="ET2512" s="376"/>
      <c r="EU2512" s="376"/>
    </row>
    <row r="2513" spans="2:151" x14ac:dyDescent="0.2">
      <c r="B2513" s="34"/>
      <c r="Z2513" s="20"/>
      <c r="AA2513" s="20"/>
      <c r="AE2513" s="96"/>
      <c r="EO2513" s="375" t="str">
        <f t="shared" si="316"/>
        <v>_</v>
      </c>
      <c r="EP2513" s="376"/>
      <c r="EQ2513" s="376"/>
      <c r="ER2513" s="377"/>
      <c r="ES2513" s="376"/>
      <c r="ET2513" s="376"/>
      <c r="EU2513" s="376"/>
    </row>
    <row r="2514" spans="2:151" x14ac:dyDescent="0.2">
      <c r="B2514" s="34"/>
      <c r="Z2514" s="20"/>
      <c r="AA2514" s="20"/>
      <c r="AE2514" s="96"/>
      <c r="EO2514" s="375" t="str">
        <f t="shared" si="316"/>
        <v>_</v>
      </c>
      <c r="EP2514" s="376"/>
      <c r="EQ2514" s="376"/>
      <c r="ER2514" s="377"/>
      <c r="ES2514" s="376"/>
      <c r="ET2514" s="376"/>
      <c r="EU2514" s="376"/>
    </row>
    <row r="2515" spans="2:151" x14ac:dyDescent="0.2">
      <c r="B2515" s="34"/>
      <c r="Z2515" s="20"/>
      <c r="AA2515" s="20"/>
      <c r="AE2515" s="96"/>
      <c r="EO2515" s="375" t="str">
        <f t="shared" si="316"/>
        <v>_</v>
      </c>
      <c r="EP2515" s="376"/>
      <c r="EQ2515" s="376"/>
      <c r="ER2515" s="377"/>
      <c r="ES2515" s="376"/>
      <c r="ET2515" s="376"/>
      <c r="EU2515" s="376"/>
    </row>
    <row r="2516" spans="2:151" x14ac:dyDescent="0.2">
      <c r="B2516" s="34"/>
      <c r="Z2516" s="20"/>
      <c r="AA2516" s="20"/>
      <c r="AE2516" s="34"/>
      <c r="EO2516" s="375" t="str">
        <f t="shared" si="316"/>
        <v>_</v>
      </c>
      <c r="EP2516" s="376"/>
      <c r="EQ2516" s="376"/>
      <c r="ER2516" s="377"/>
      <c r="ES2516" s="376"/>
      <c r="ET2516" s="376"/>
      <c r="EU2516" s="376"/>
    </row>
    <row r="2517" spans="2:151" x14ac:dyDescent="0.2">
      <c r="B2517" s="34"/>
      <c r="Z2517" s="20"/>
      <c r="AA2517" s="20"/>
      <c r="AE2517" s="34"/>
      <c r="EO2517" s="375" t="str">
        <f t="shared" si="316"/>
        <v>_</v>
      </c>
      <c r="EP2517" s="376"/>
      <c r="EQ2517" s="376"/>
      <c r="ER2517" s="377"/>
      <c r="ES2517" s="376"/>
      <c r="ET2517" s="376"/>
      <c r="EU2517" s="376"/>
    </row>
    <row r="2518" spans="2:151" x14ac:dyDescent="0.2">
      <c r="B2518" s="34"/>
      <c r="Z2518" s="20"/>
      <c r="AA2518" s="20"/>
      <c r="EO2518" s="375" t="str">
        <f t="shared" si="316"/>
        <v>_</v>
      </c>
      <c r="EP2518" s="376"/>
      <c r="EQ2518" s="376"/>
      <c r="ER2518" s="377"/>
      <c r="ES2518" s="376"/>
      <c r="ET2518" s="376"/>
      <c r="EU2518" s="376"/>
    </row>
    <row r="2519" spans="2:151" x14ac:dyDescent="0.2">
      <c r="B2519" s="34"/>
      <c r="Z2519" s="20"/>
      <c r="AA2519" s="20"/>
      <c r="AE2519" s="34"/>
      <c r="EO2519" s="375" t="str">
        <f t="shared" si="316"/>
        <v>_</v>
      </c>
      <c r="EP2519" s="376"/>
      <c r="EQ2519" s="376"/>
      <c r="ER2519" s="377"/>
      <c r="ES2519" s="376"/>
      <c r="ET2519" s="376"/>
      <c r="EU2519" s="376"/>
    </row>
    <row r="2520" spans="2:151" x14ac:dyDescent="0.2">
      <c r="B2520" s="34"/>
      <c r="Z2520" s="20"/>
      <c r="AA2520" s="20"/>
      <c r="EO2520" s="375" t="str">
        <f t="shared" si="316"/>
        <v>_</v>
      </c>
      <c r="EP2520" s="376"/>
      <c r="EQ2520" s="376"/>
      <c r="ER2520" s="377"/>
      <c r="ES2520" s="376"/>
      <c r="ET2520" s="376"/>
      <c r="EU2520" s="376"/>
    </row>
    <row r="2521" spans="2:151" x14ac:dyDescent="0.2">
      <c r="B2521" s="34"/>
      <c r="Z2521" s="20"/>
      <c r="AA2521" s="20"/>
      <c r="EO2521" s="375" t="str">
        <f t="shared" si="316"/>
        <v>_</v>
      </c>
      <c r="EP2521" s="376"/>
      <c r="EQ2521" s="376"/>
      <c r="ER2521" s="377"/>
      <c r="ES2521" s="376"/>
      <c r="ET2521" s="376"/>
      <c r="EU2521" s="376"/>
    </row>
    <row r="2522" spans="2:151" x14ac:dyDescent="0.2">
      <c r="B2522" s="34"/>
      <c r="Z2522" s="20"/>
      <c r="AA2522" s="20"/>
      <c r="EO2522" s="375" t="str">
        <f t="shared" si="316"/>
        <v>_</v>
      </c>
      <c r="EP2522" s="376"/>
      <c r="EQ2522" s="376"/>
      <c r="ER2522" s="377"/>
      <c r="ES2522" s="376"/>
      <c r="ET2522" s="376"/>
      <c r="EU2522" s="376"/>
    </row>
    <row r="2523" spans="2:151" x14ac:dyDescent="0.2">
      <c r="B2523" s="34"/>
      <c r="Z2523" s="20"/>
      <c r="AA2523" s="20"/>
      <c r="EO2523" s="375" t="str">
        <f t="shared" si="316"/>
        <v>_</v>
      </c>
      <c r="EP2523" s="376"/>
      <c r="EQ2523" s="376"/>
      <c r="ER2523" s="377"/>
      <c r="ES2523" s="376"/>
      <c r="ET2523" s="376"/>
      <c r="EU2523" s="376"/>
    </row>
    <row r="2524" spans="2:151" x14ac:dyDescent="0.2">
      <c r="B2524" s="34"/>
      <c r="Z2524" s="20"/>
      <c r="AA2524" s="20"/>
      <c r="EO2524" s="375" t="str">
        <f t="shared" si="316"/>
        <v>_</v>
      </c>
      <c r="EP2524" s="376"/>
      <c r="EQ2524" s="376"/>
      <c r="ER2524" s="377"/>
      <c r="ES2524" s="376"/>
      <c r="ET2524" s="376"/>
      <c r="EU2524" s="376"/>
    </row>
    <row r="2525" spans="2:151" x14ac:dyDescent="0.2">
      <c r="B2525" s="34"/>
      <c r="Z2525" s="20"/>
      <c r="AA2525" s="20"/>
      <c r="EO2525" s="375" t="str">
        <f t="shared" ref="EO2525:EO2588" si="321">B2525&amp;"_"&amp;C2525</f>
        <v>_</v>
      </c>
      <c r="EP2525" s="376"/>
      <c r="EQ2525" s="376"/>
      <c r="ER2525" s="377"/>
      <c r="ES2525" s="376"/>
      <c r="ET2525" s="376"/>
      <c r="EU2525" s="376"/>
    </row>
    <row r="2526" spans="2:151" x14ac:dyDescent="0.2">
      <c r="B2526" s="34"/>
      <c r="Z2526" s="20"/>
      <c r="AA2526" s="20"/>
      <c r="EO2526" s="375" t="str">
        <f t="shared" si="321"/>
        <v>_</v>
      </c>
      <c r="EP2526" s="376"/>
      <c r="EQ2526" s="376"/>
      <c r="ER2526" s="377"/>
      <c r="ES2526" s="376"/>
      <c r="ET2526" s="376"/>
      <c r="EU2526" s="376"/>
    </row>
    <row r="2527" spans="2:151" x14ac:dyDescent="0.2">
      <c r="B2527" s="34"/>
      <c r="Z2527" s="20"/>
      <c r="AA2527" s="20"/>
      <c r="EO2527" s="375" t="str">
        <f t="shared" si="321"/>
        <v>_</v>
      </c>
      <c r="EP2527" s="376"/>
      <c r="EQ2527" s="376"/>
      <c r="ER2527" s="377"/>
      <c r="ES2527" s="376"/>
      <c r="ET2527" s="376"/>
      <c r="EU2527" s="376"/>
    </row>
    <row r="2528" spans="2:151" x14ac:dyDescent="0.2">
      <c r="B2528" s="34"/>
      <c r="Z2528" s="20"/>
      <c r="AA2528" s="20"/>
      <c r="EO2528" s="375" t="str">
        <f t="shared" si="321"/>
        <v>_</v>
      </c>
      <c r="EP2528" s="376"/>
      <c r="EQ2528" s="376"/>
      <c r="ER2528" s="377"/>
      <c r="ES2528" s="376"/>
      <c r="ET2528" s="376"/>
      <c r="EU2528" s="376"/>
    </row>
    <row r="2529" spans="2:151" x14ac:dyDescent="0.2">
      <c r="B2529" s="34"/>
      <c r="Z2529" s="20"/>
      <c r="AA2529" s="20"/>
      <c r="EO2529" s="375" t="str">
        <f t="shared" si="321"/>
        <v>_</v>
      </c>
      <c r="EP2529" s="376"/>
      <c r="EQ2529" s="376"/>
      <c r="ER2529" s="377"/>
      <c r="ES2529" s="376"/>
      <c r="ET2529" s="376"/>
      <c r="EU2529" s="376"/>
    </row>
    <row r="2530" spans="2:151" x14ac:dyDescent="0.2">
      <c r="B2530" s="34"/>
      <c r="Z2530" s="20"/>
      <c r="AA2530" s="20"/>
      <c r="EO2530" s="375" t="str">
        <f t="shared" si="321"/>
        <v>_</v>
      </c>
      <c r="EP2530" s="376"/>
      <c r="EQ2530" s="376"/>
      <c r="ER2530" s="377"/>
      <c r="ES2530" s="376"/>
      <c r="ET2530" s="376"/>
      <c r="EU2530" s="376"/>
    </row>
    <row r="2531" spans="2:151" x14ac:dyDescent="0.2">
      <c r="B2531" s="34"/>
      <c r="Z2531" s="20"/>
      <c r="AA2531" s="20"/>
      <c r="EO2531" s="375" t="str">
        <f t="shared" si="321"/>
        <v>_</v>
      </c>
      <c r="EP2531" s="376"/>
      <c r="EQ2531" s="376"/>
      <c r="ER2531" s="377"/>
      <c r="ES2531" s="376"/>
      <c r="ET2531" s="376"/>
      <c r="EU2531" s="376"/>
    </row>
    <row r="2532" spans="2:151" x14ac:dyDescent="0.2">
      <c r="B2532" s="34"/>
      <c r="Z2532" s="20"/>
      <c r="AA2532" s="20"/>
      <c r="EO2532" s="375" t="str">
        <f t="shared" si="321"/>
        <v>_</v>
      </c>
      <c r="EP2532" s="376"/>
      <c r="EQ2532" s="376"/>
      <c r="ER2532" s="377"/>
      <c r="ES2532" s="376"/>
      <c r="ET2532" s="376"/>
      <c r="EU2532" s="376"/>
    </row>
    <row r="2533" spans="2:151" x14ac:dyDescent="0.2">
      <c r="B2533" s="34"/>
      <c r="Z2533" s="20"/>
      <c r="AA2533" s="20"/>
      <c r="EO2533" s="375" t="str">
        <f t="shared" si="321"/>
        <v>_</v>
      </c>
      <c r="EP2533" s="376"/>
      <c r="EQ2533" s="376"/>
      <c r="ER2533" s="377"/>
      <c r="ES2533" s="376"/>
      <c r="ET2533" s="376"/>
      <c r="EU2533" s="376"/>
    </row>
    <row r="2534" spans="2:151" x14ac:dyDescent="0.2">
      <c r="B2534" s="34"/>
      <c r="Z2534" s="20"/>
      <c r="AA2534" s="20"/>
      <c r="EO2534" s="375" t="str">
        <f t="shared" si="321"/>
        <v>_</v>
      </c>
      <c r="EP2534" s="376"/>
      <c r="EQ2534" s="376"/>
      <c r="ER2534" s="377"/>
      <c r="ES2534" s="376"/>
      <c r="ET2534" s="376"/>
      <c r="EU2534" s="376"/>
    </row>
    <row r="2535" spans="2:151" x14ac:dyDescent="0.2">
      <c r="B2535" s="34"/>
      <c r="Z2535" s="20"/>
      <c r="AA2535" s="20"/>
      <c r="EO2535" s="375" t="str">
        <f t="shared" si="321"/>
        <v>_</v>
      </c>
      <c r="EP2535" s="376"/>
      <c r="EQ2535" s="376"/>
      <c r="ER2535" s="377"/>
      <c r="ES2535" s="376"/>
      <c r="ET2535" s="376"/>
      <c r="EU2535" s="376"/>
    </row>
    <row r="2536" spans="2:151" x14ac:dyDescent="0.2">
      <c r="B2536" s="34"/>
      <c r="Z2536" s="20"/>
      <c r="AA2536" s="20"/>
      <c r="EO2536" s="375" t="str">
        <f t="shared" si="321"/>
        <v>_</v>
      </c>
      <c r="EP2536" s="376"/>
      <c r="EQ2536" s="376"/>
      <c r="ER2536" s="377"/>
      <c r="ES2536" s="376"/>
      <c r="ET2536" s="376"/>
      <c r="EU2536" s="376"/>
    </row>
    <row r="2537" spans="2:151" x14ac:dyDescent="0.2">
      <c r="B2537" s="34"/>
      <c r="Z2537" s="20"/>
      <c r="AA2537" s="20"/>
      <c r="EO2537" s="375" t="str">
        <f t="shared" si="321"/>
        <v>_</v>
      </c>
      <c r="EP2537" s="376"/>
      <c r="EQ2537" s="376"/>
      <c r="ER2537" s="377"/>
      <c r="ES2537" s="376"/>
      <c r="ET2537" s="376"/>
      <c r="EU2537" s="376"/>
    </row>
    <row r="2538" spans="2:151" x14ac:dyDescent="0.2">
      <c r="B2538" s="34"/>
      <c r="Z2538" s="20"/>
      <c r="AA2538" s="20"/>
      <c r="EO2538" s="375" t="str">
        <f t="shared" si="321"/>
        <v>_</v>
      </c>
      <c r="EP2538" s="376"/>
      <c r="EQ2538" s="376"/>
      <c r="ER2538" s="377"/>
      <c r="ES2538" s="376"/>
      <c r="ET2538" s="376"/>
      <c r="EU2538" s="376"/>
    </row>
    <row r="2539" spans="2:151" x14ac:dyDescent="0.2">
      <c r="B2539" s="34"/>
      <c r="Z2539" s="20"/>
      <c r="AA2539" s="20"/>
      <c r="EO2539" s="375" t="str">
        <f t="shared" si="321"/>
        <v>_</v>
      </c>
      <c r="EP2539" s="376"/>
      <c r="EQ2539" s="376"/>
      <c r="ER2539" s="377"/>
      <c r="ES2539" s="376"/>
      <c r="ET2539" s="376"/>
      <c r="EU2539" s="376"/>
    </row>
    <row r="2540" spans="2:151" x14ac:dyDescent="0.2">
      <c r="B2540" s="34"/>
      <c r="Z2540" s="20"/>
      <c r="AA2540" s="20"/>
      <c r="EO2540" s="375" t="str">
        <f t="shared" si="321"/>
        <v>_</v>
      </c>
      <c r="EP2540" s="376"/>
      <c r="EQ2540" s="376"/>
      <c r="ER2540" s="377"/>
      <c r="ES2540" s="376"/>
      <c r="ET2540" s="376"/>
      <c r="EU2540" s="376"/>
    </row>
    <row r="2541" spans="2:151" x14ac:dyDescent="0.2">
      <c r="B2541" s="34"/>
      <c r="Z2541" s="20"/>
      <c r="AA2541" s="20"/>
      <c r="EO2541" s="375" t="str">
        <f t="shared" si="321"/>
        <v>_</v>
      </c>
      <c r="EP2541" s="376"/>
      <c r="EQ2541" s="376"/>
      <c r="ER2541" s="377"/>
      <c r="ES2541" s="376"/>
      <c r="ET2541" s="376"/>
      <c r="EU2541" s="376"/>
    </row>
    <row r="2542" spans="2:151" x14ac:dyDescent="0.2">
      <c r="B2542" s="34"/>
      <c r="Z2542" s="20"/>
      <c r="AA2542" s="20"/>
      <c r="EO2542" s="375" t="str">
        <f t="shared" si="321"/>
        <v>_</v>
      </c>
      <c r="EP2542" s="376"/>
      <c r="EQ2542" s="376"/>
      <c r="ER2542" s="377"/>
      <c r="ES2542" s="376"/>
      <c r="ET2542" s="376"/>
      <c r="EU2542" s="376"/>
    </row>
    <row r="2543" spans="2:151" x14ac:dyDescent="0.2">
      <c r="B2543" s="34"/>
      <c r="Z2543" s="20"/>
      <c r="AA2543" s="20"/>
      <c r="EO2543" s="375" t="str">
        <f t="shared" si="321"/>
        <v>_</v>
      </c>
      <c r="EP2543" s="376"/>
      <c r="EQ2543" s="376"/>
      <c r="ER2543" s="377"/>
      <c r="ES2543" s="376"/>
      <c r="ET2543" s="376"/>
      <c r="EU2543" s="376"/>
    </row>
    <row r="2544" spans="2:151" x14ac:dyDescent="0.2">
      <c r="B2544" s="34"/>
      <c r="Z2544" s="20"/>
      <c r="AA2544" s="20"/>
      <c r="EO2544" s="375" t="str">
        <f t="shared" si="321"/>
        <v>_</v>
      </c>
      <c r="EP2544" s="376"/>
      <c r="EQ2544" s="376"/>
      <c r="ER2544" s="377"/>
      <c r="ES2544" s="376"/>
      <c r="ET2544" s="376"/>
      <c r="EU2544" s="376"/>
    </row>
    <row r="2545" spans="2:151" x14ac:dyDescent="0.2">
      <c r="B2545" s="34"/>
      <c r="Z2545" s="20"/>
      <c r="AA2545" s="20"/>
      <c r="EO2545" s="375" t="str">
        <f t="shared" si="321"/>
        <v>_</v>
      </c>
      <c r="EP2545" s="376"/>
      <c r="EQ2545" s="376"/>
      <c r="ER2545" s="377"/>
      <c r="ES2545" s="376"/>
      <c r="ET2545" s="376"/>
      <c r="EU2545" s="376"/>
    </row>
    <row r="2546" spans="2:151" x14ac:dyDescent="0.2">
      <c r="B2546" s="34"/>
      <c r="Z2546" s="20"/>
      <c r="AA2546" s="20"/>
      <c r="EO2546" s="375" t="str">
        <f t="shared" si="321"/>
        <v>_</v>
      </c>
      <c r="EP2546" s="376"/>
      <c r="EQ2546" s="376"/>
      <c r="ER2546" s="377"/>
      <c r="ES2546" s="376"/>
      <c r="ET2546" s="376"/>
      <c r="EU2546" s="376"/>
    </row>
    <row r="2547" spans="2:151" x14ac:dyDescent="0.2">
      <c r="B2547" s="34"/>
      <c r="Z2547" s="20"/>
      <c r="AA2547" s="20"/>
      <c r="EO2547" s="375" t="str">
        <f t="shared" si="321"/>
        <v>_</v>
      </c>
      <c r="EP2547" s="376"/>
      <c r="EQ2547" s="376"/>
      <c r="ER2547" s="377"/>
      <c r="ES2547" s="376"/>
      <c r="ET2547" s="376"/>
      <c r="EU2547" s="376"/>
    </row>
    <row r="2548" spans="2:151" x14ac:dyDescent="0.2">
      <c r="B2548" s="34"/>
      <c r="Z2548" s="20"/>
      <c r="AA2548" s="20"/>
      <c r="EO2548" s="375" t="str">
        <f t="shared" si="321"/>
        <v>_</v>
      </c>
      <c r="EP2548" s="376"/>
      <c r="EQ2548" s="376"/>
      <c r="ER2548" s="377"/>
      <c r="ES2548" s="376"/>
      <c r="ET2548" s="376"/>
      <c r="EU2548" s="376"/>
    </row>
    <row r="2549" spans="2:151" x14ac:dyDescent="0.2">
      <c r="B2549" s="34"/>
      <c r="Z2549" s="20"/>
      <c r="AA2549" s="20"/>
      <c r="BA2549" s="2" t="s">
        <v>2304</v>
      </c>
      <c r="EO2549" s="375" t="str">
        <f t="shared" si="321"/>
        <v>_</v>
      </c>
      <c r="EP2549" s="376"/>
      <c r="EQ2549" s="376"/>
      <c r="ER2549" s="377"/>
      <c r="ES2549" s="376"/>
      <c r="ET2549" s="376"/>
      <c r="EU2549" s="376"/>
    </row>
    <row r="2550" spans="2:151" x14ac:dyDescent="0.2">
      <c r="B2550" s="34"/>
      <c r="Z2550" s="20"/>
      <c r="AA2550" s="20"/>
      <c r="EO2550" s="375" t="str">
        <f t="shared" si="321"/>
        <v>_</v>
      </c>
      <c r="EP2550" s="376"/>
      <c r="EQ2550" s="376"/>
      <c r="ER2550" s="377"/>
      <c r="ES2550" s="376"/>
      <c r="ET2550" s="376"/>
      <c r="EU2550" s="376"/>
    </row>
    <row r="2551" spans="2:151" x14ac:dyDescent="0.2">
      <c r="B2551" s="34"/>
      <c r="Z2551" s="20"/>
      <c r="AA2551" s="20"/>
      <c r="EO2551" s="375" t="str">
        <f t="shared" si="321"/>
        <v>_</v>
      </c>
      <c r="EP2551" s="376"/>
      <c r="EQ2551" s="376"/>
      <c r="ER2551" s="377"/>
      <c r="ES2551" s="376"/>
      <c r="ET2551" s="376"/>
      <c r="EU2551" s="376"/>
    </row>
    <row r="2552" spans="2:151" x14ac:dyDescent="0.2">
      <c r="B2552" s="34"/>
      <c r="Z2552" s="20"/>
      <c r="AA2552" s="20"/>
      <c r="EO2552" s="375" t="str">
        <f t="shared" si="321"/>
        <v>_</v>
      </c>
      <c r="EP2552" s="376"/>
      <c r="EQ2552" s="376"/>
      <c r="ER2552" s="377"/>
      <c r="ES2552" s="376"/>
      <c r="ET2552" s="376"/>
      <c r="EU2552" s="376"/>
    </row>
    <row r="2553" spans="2:151" x14ac:dyDescent="0.2">
      <c r="B2553" s="34"/>
      <c r="Z2553" s="20"/>
      <c r="AA2553" s="20"/>
      <c r="EO2553" s="375" t="str">
        <f t="shared" si="321"/>
        <v>_</v>
      </c>
      <c r="EP2553" s="376"/>
      <c r="EQ2553" s="376"/>
      <c r="ER2553" s="377"/>
      <c r="ES2553" s="376"/>
      <c r="ET2553" s="376"/>
      <c r="EU2553" s="376"/>
    </row>
    <row r="2554" spans="2:151" x14ac:dyDescent="0.2">
      <c r="B2554" s="34"/>
      <c r="Z2554" s="20"/>
      <c r="AA2554" s="20"/>
      <c r="EO2554" s="375" t="str">
        <f t="shared" si="321"/>
        <v>_</v>
      </c>
      <c r="EP2554" s="376"/>
      <c r="EQ2554" s="376"/>
      <c r="ER2554" s="377"/>
      <c r="ES2554" s="376"/>
      <c r="ET2554" s="376"/>
      <c r="EU2554" s="376"/>
    </row>
    <row r="2555" spans="2:151" x14ac:dyDescent="0.2">
      <c r="B2555" s="34"/>
      <c r="Z2555" s="20"/>
      <c r="AA2555" s="20"/>
      <c r="EO2555" s="375" t="str">
        <f t="shared" si="321"/>
        <v>_</v>
      </c>
      <c r="EP2555" s="376"/>
      <c r="EQ2555" s="376"/>
      <c r="ER2555" s="377"/>
      <c r="ES2555" s="376"/>
      <c r="ET2555" s="376"/>
      <c r="EU2555" s="376"/>
    </row>
    <row r="2556" spans="2:151" x14ac:dyDescent="0.2">
      <c r="B2556" s="34"/>
      <c r="Z2556" s="20"/>
      <c r="AA2556" s="20"/>
      <c r="EO2556" s="375" t="str">
        <f t="shared" si="321"/>
        <v>_</v>
      </c>
      <c r="EP2556" s="376"/>
      <c r="EQ2556" s="376"/>
      <c r="ER2556" s="377"/>
      <c r="ES2556" s="376"/>
      <c r="ET2556" s="376"/>
      <c r="EU2556" s="376"/>
    </row>
    <row r="2557" spans="2:151" x14ac:dyDescent="0.2">
      <c r="B2557" s="34"/>
      <c r="Z2557" s="20"/>
      <c r="AA2557" s="20"/>
      <c r="EO2557" s="375" t="str">
        <f t="shared" si="321"/>
        <v>_</v>
      </c>
      <c r="EP2557" s="376"/>
      <c r="EQ2557" s="376"/>
      <c r="ER2557" s="377"/>
      <c r="ES2557" s="376"/>
      <c r="ET2557" s="376"/>
      <c r="EU2557" s="376"/>
    </row>
    <row r="2558" spans="2:151" x14ac:dyDescent="0.2">
      <c r="B2558" s="34"/>
      <c r="Z2558" s="20"/>
      <c r="AA2558" s="20"/>
      <c r="EO2558" s="375" t="str">
        <f t="shared" si="321"/>
        <v>_</v>
      </c>
      <c r="EP2558" s="376"/>
      <c r="EQ2558" s="376"/>
      <c r="ER2558" s="377"/>
      <c r="ES2558" s="376"/>
      <c r="ET2558" s="376"/>
      <c r="EU2558" s="376"/>
    </row>
    <row r="2559" spans="2:151" x14ac:dyDescent="0.2">
      <c r="B2559" s="34"/>
      <c r="Z2559" s="20"/>
      <c r="AA2559" s="20"/>
      <c r="EO2559" s="375" t="str">
        <f t="shared" si="321"/>
        <v>_</v>
      </c>
      <c r="EP2559" s="376"/>
      <c r="EQ2559" s="376"/>
      <c r="ER2559" s="377"/>
      <c r="ES2559" s="376"/>
      <c r="ET2559" s="376"/>
      <c r="EU2559" s="376"/>
    </row>
    <row r="2560" spans="2:151" x14ac:dyDescent="0.2">
      <c r="B2560" s="34"/>
      <c r="Z2560" s="20"/>
      <c r="AA2560" s="20"/>
      <c r="EO2560" s="375" t="str">
        <f t="shared" si="321"/>
        <v>_</v>
      </c>
      <c r="EP2560" s="376"/>
      <c r="EQ2560" s="376"/>
      <c r="ER2560" s="377"/>
      <c r="ES2560" s="376"/>
      <c r="ET2560" s="376"/>
      <c r="EU2560" s="376"/>
    </row>
    <row r="2561" spans="2:151" x14ac:dyDescent="0.2">
      <c r="B2561" s="34"/>
      <c r="Z2561" s="20"/>
      <c r="AA2561" s="20"/>
      <c r="EO2561" s="375" t="str">
        <f t="shared" si="321"/>
        <v>_</v>
      </c>
      <c r="EP2561" s="376"/>
      <c r="EQ2561" s="376"/>
      <c r="ER2561" s="377"/>
      <c r="ES2561" s="376"/>
      <c r="ET2561" s="376"/>
      <c r="EU2561" s="376"/>
    </row>
    <row r="2562" spans="2:151" x14ac:dyDescent="0.2">
      <c r="B2562" s="34"/>
      <c r="Z2562" s="20"/>
      <c r="AA2562" s="20"/>
      <c r="EO2562" s="375" t="str">
        <f t="shared" si="321"/>
        <v>_</v>
      </c>
      <c r="EP2562" s="376"/>
      <c r="EQ2562" s="376"/>
      <c r="ER2562" s="377"/>
      <c r="ES2562" s="376"/>
      <c r="ET2562" s="376"/>
      <c r="EU2562" s="376"/>
    </row>
    <row r="2563" spans="2:151" x14ac:dyDescent="0.2">
      <c r="B2563" s="34"/>
      <c r="Z2563" s="20"/>
      <c r="AA2563" s="20"/>
      <c r="EO2563" s="375" t="str">
        <f t="shared" si="321"/>
        <v>_</v>
      </c>
      <c r="EP2563" s="376"/>
      <c r="EQ2563" s="376"/>
      <c r="ER2563" s="377"/>
      <c r="ES2563" s="376"/>
      <c r="ET2563" s="376"/>
      <c r="EU2563" s="376"/>
    </row>
    <row r="2564" spans="2:151" x14ac:dyDescent="0.2">
      <c r="B2564" s="34"/>
      <c r="Z2564" s="20"/>
      <c r="AA2564" s="20"/>
      <c r="EO2564" s="375" t="str">
        <f t="shared" si="321"/>
        <v>_</v>
      </c>
      <c r="EP2564" s="376"/>
      <c r="EQ2564" s="376"/>
      <c r="ER2564" s="377"/>
      <c r="ES2564" s="376"/>
      <c r="ET2564" s="376"/>
      <c r="EU2564" s="376"/>
    </row>
    <row r="2565" spans="2:151" x14ac:dyDescent="0.2">
      <c r="B2565" s="34"/>
      <c r="Z2565" s="20"/>
      <c r="AA2565" s="20"/>
      <c r="EO2565" s="375" t="str">
        <f t="shared" si="321"/>
        <v>_</v>
      </c>
      <c r="EP2565" s="376"/>
      <c r="EQ2565" s="376"/>
      <c r="ER2565" s="377"/>
      <c r="ES2565" s="376"/>
      <c r="ET2565" s="376"/>
      <c r="EU2565" s="376"/>
    </row>
    <row r="2566" spans="2:151" x14ac:dyDescent="0.2">
      <c r="B2566" s="34"/>
      <c r="Z2566" s="20"/>
      <c r="AA2566" s="20"/>
      <c r="EO2566" s="375" t="str">
        <f t="shared" si="321"/>
        <v>_</v>
      </c>
      <c r="EP2566" s="376"/>
      <c r="EQ2566" s="376"/>
      <c r="ER2566" s="377"/>
      <c r="ES2566" s="376"/>
      <c r="ET2566" s="376"/>
      <c r="EU2566" s="376"/>
    </row>
    <row r="2567" spans="2:151" x14ac:dyDescent="0.2">
      <c r="B2567" s="34"/>
      <c r="Z2567" s="20"/>
      <c r="AA2567" s="20"/>
      <c r="EO2567" s="375" t="str">
        <f t="shared" si="321"/>
        <v>_</v>
      </c>
      <c r="EP2567" s="376"/>
      <c r="EQ2567" s="376"/>
      <c r="ER2567" s="377"/>
      <c r="ES2567" s="376"/>
      <c r="ET2567" s="376"/>
      <c r="EU2567" s="376"/>
    </row>
    <row r="2568" spans="2:151" x14ac:dyDescent="0.2">
      <c r="B2568" s="34"/>
      <c r="Z2568" s="20"/>
      <c r="AA2568" s="20"/>
      <c r="EO2568" s="375" t="str">
        <f t="shared" si="321"/>
        <v>_</v>
      </c>
      <c r="EP2568" s="376"/>
      <c r="EQ2568" s="376"/>
      <c r="ER2568" s="377"/>
      <c r="ES2568" s="376"/>
      <c r="ET2568" s="376"/>
      <c r="EU2568" s="376"/>
    </row>
    <row r="2569" spans="2:151" x14ac:dyDescent="0.2">
      <c r="B2569" s="34"/>
      <c r="Z2569" s="20"/>
      <c r="AA2569" s="20"/>
      <c r="EO2569" s="375" t="str">
        <f t="shared" si="321"/>
        <v>_</v>
      </c>
      <c r="EP2569" s="376"/>
      <c r="EQ2569" s="376"/>
      <c r="ER2569" s="377"/>
      <c r="ES2569" s="376"/>
      <c r="ET2569" s="376"/>
      <c r="EU2569" s="376"/>
    </row>
    <row r="2570" spans="2:151" x14ac:dyDescent="0.2">
      <c r="B2570" s="34"/>
      <c r="Z2570" s="20"/>
      <c r="AA2570" s="20"/>
      <c r="EO2570" s="375" t="str">
        <f t="shared" si="321"/>
        <v>_</v>
      </c>
      <c r="EP2570" s="376"/>
      <c r="EQ2570" s="376"/>
      <c r="ER2570" s="377"/>
      <c r="ES2570" s="376"/>
      <c r="ET2570" s="376"/>
      <c r="EU2570" s="376"/>
    </row>
    <row r="2571" spans="2:151" x14ac:dyDescent="0.2">
      <c r="B2571" s="34"/>
      <c r="Z2571" s="20"/>
      <c r="AA2571" s="20"/>
      <c r="EO2571" s="375" t="str">
        <f t="shared" si="321"/>
        <v>_</v>
      </c>
      <c r="EP2571" s="376"/>
      <c r="EQ2571" s="376"/>
      <c r="ER2571" s="377"/>
      <c r="ES2571" s="376"/>
      <c r="ET2571" s="376"/>
      <c r="EU2571" s="376"/>
    </row>
    <row r="2572" spans="2:151" x14ac:dyDescent="0.2">
      <c r="B2572" s="34"/>
      <c r="Z2572" s="20"/>
      <c r="AA2572" s="20"/>
      <c r="EO2572" s="375" t="str">
        <f t="shared" si="321"/>
        <v>_</v>
      </c>
      <c r="EP2572" s="376"/>
      <c r="EQ2572" s="376"/>
      <c r="ER2572" s="377"/>
      <c r="ES2572" s="376"/>
      <c r="ET2572" s="376"/>
      <c r="EU2572" s="376"/>
    </row>
    <row r="2573" spans="2:151" x14ac:dyDescent="0.2">
      <c r="B2573" s="34"/>
      <c r="Z2573" s="20"/>
      <c r="AA2573" s="20"/>
      <c r="EO2573" s="375" t="str">
        <f t="shared" si="321"/>
        <v>_</v>
      </c>
      <c r="EP2573" s="376"/>
      <c r="EQ2573" s="376"/>
      <c r="ER2573" s="377"/>
      <c r="ES2573" s="376"/>
      <c r="ET2573" s="376"/>
      <c r="EU2573" s="376"/>
    </row>
    <row r="2574" spans="2:151" x14ac:dyDescent="0.2">
      <c r="B2574" s="34"/>
      <c r="Z2574" s="20"/>
      <c r="AA2574" s="20"/>
      <c r="EO2574" s="375" t="str">
        <f t="shared" si="321"/>
        <v>_</v>
      </c>
      <c r="EP2574" s="376"/>
      <c r="EQ2574" s="376"/>
      <c r="ER2574" s="377"/>
      <c r="ES2574" s="376"/>
      <c r="ET2574" s="376"/>
      <c r="EU2574" s="376"/>
    </row>
    <row r="2575" spans="2:151" x14ac:dyDescent="0.2">
      <c r="B2575" s="34"/>
      <c r="Z2575" s="20"/>
      <c r="AA2575" s="20"/>
      <c r="EO2575" s="375" t="str">
        <f t="shared" si="321"/>
        <v>_</v>
      </c>
      <c r="EP2575" s="376"/>
      <c r="EQ2575" s="376"/>
      <c r="ER2575" s="377"/>
      <c r="ES2575" s="376"/>
      <c r="ET2575" s="376"/>
      <c r="EU2575" s="376"/>
    </row>
    <row r="2576" spans="2:151" x14ac:dyDescent="0.2">
      <c r="B2576" s="34"/>
      <c r="Z2576" s="20"/>
      <c r="AA2576" s="20"/>
      <c r="EO2576" s="375" t="str">
        <f t="shared" si="321"/>
        <v>_</v>
      </c>
      <c r="EP2576" s="376"/>
      <c r="EQ2576" s="376"/>
      <c r="ER2576" s="377"/>
      <c r="ES2576" s="376"/>
      <c r="ET2576" s="376"/>
      <c r="EU2576" s="376"/>
    </row>
    <row r="2577" spans="2:151" x14ac:dyDescent="0.2">
      <c r="B2577" s="34"/>
      <c r="Z2577" s="20"/>
      <c r="AA2577" s="20"/>
      <c r="EO2577" s="375" t="str">
        <f t="shared" si="321"/>
        <v>_</v>
      </c>
      <c r="EP2577" s="376"/>
      <c r="EQ2577" s="376"/>
      <c r="ER2577" s="377"/>
      <c r="ES2577" s="376"/>
      <c r="ET2577" s="376"/>
      <c r="EU2577" s="376"/>
    </row>
    <row r="2578" spans="2:151" x14ac:dyDescent="0.2">
      <c r="B2578" s="34"/>
      <c r="Z2578" s="20"/>
      <c r="AA2578" s="20"/>
      <c r="EO2578" s="375" t="str">
        <f t="shared" si="321"/>
        <v>_</v>
      </c>
      <c r="EP2578" s="376"/>
      <c r="EQ2578" s="376"/>
      <c r="ER2578" s="377"/>
      <c r="ES2578" s="376"/>
      <c r="ET2578" s="376"/>
      <c r="EU2578" s="376"/>
    </row>
    <row r="2579" spans="2:151" x14ac:dyDescent="0.2">
      <c r="B2579" s="34"/>
      <c r="Z2579" s="20"/>
      <c r="AA2579" s="20"/>
      <c r="EO2579" s="375" t="str">
        <f t="shared" si="321"/>
        <v>_</v>
      </c>
      <c r="EP2579" s="376"/>
      <c r="EQ2579" s="376"/>
      <c r="ER2579" s="377"/>
      <c r="ES2579" s="376"/>
      <c r="ET2579" s="376"/>
      <c r="EU2579" s="376"/>
    </row>
    <row r="2580" spans="2:151" x14ac:dyDescent="0.2">
      <c r="B2580" s="34"/>
      <c r="Z2580" s="20"/>
      <c r="AA2580" s="20"/>
      <c r="EO2580" s="375" t="str">
        <f t="shared" si="321"/>
        <v>_</v>
      </c>
      <c r="EP2580" s="376"/>
      <c r="EQ2580" s="376"/>
      <c r="ER2580" s="377"/>
      <c r="ES2580" s="376"/>
      <c r="ET2580" s="376"/>
      <c r="EU2580" s="376"/>
    </row>
    <row r="2581" spans="2:151" x14ac:dyDescent="0.2">
      <c r="B2581" s="34"/>
      <c r="Z2581" s="20"/>
      <c r="AA2581" s="20"/>
      <c r="EO2581" s="375" t="str">
        <f t="shared" si="321"/>
        <v>_</v>
      </c>
      <c r="EP2581" s="376"/>
      <c r="EQ2581" s="376"/>
      <c r="ER2581" s="377"/>
      <c r="ES2581" s="376"/>
      <c r="ET2581" s="376"/>
      <c r="EU2581" s="376"/>
    </row>
    <row r="2582" spans="2:151" x14ac:dyDescent="0.2">
      <c r="B2582" s="34"/>
      <c r="Z2582" s="20"/>
      <c r="AA2582" s="20"/>
      <c r="EO2582" s="375" t="str">
        <f t="shared" si="321"/>
        <v>_</v>
      </c>
      <c r="EP2582" s="376"/>
      <c r="EQ2582" s="376"/>
      <c r="ER2582" s="377"/>
      <c r="ES2582" s="376"/>
      <c r="ET2582" s="376"/>
      <c r="EU2582" s="376"/>
    </row>
    <row r="2583" spans="2:151" x14ac:dyDescent="0.2">
      <c r="B2583" s="34"/>
      <c r="Z2583" s="20"/>
      <c r="AA2583" s="20"/>
      <c r="EO2583" s="375" t="str">
        <f t="shared" si="321"/>
        <v>_</v>
      </c>
      <c r="EP2583" s="376"/>
      <c r="EQ2583" s="376"/>
      <c r="ER2583" s="377"/>
      <c r="ES2583" s="376"/>
      <c r="ET2583" s="376"/>
      <c r="EU2583" s="376"/>
    </row>
    <row r="2584" spans="2:151" x14ac:dyDescent="0.2">
      <c r="B2584" s="34"/>
      <c r="Z2584" s="20"/>
      <c r="AA2584" s="20"/>
      <c r="EO2584" s="375" t="str">
        <f t="shared" si="321"/>
        <v>_</v>
      </c>
      <c r="EP2584" s="376"/>
      <c r="EQ2584" s="376"/>
      <c r="ER2584" s="377"/>
      <c r="ES2584" s="376"/>
      <c r="ET2584" s="376"/>
      <c r="EU2584" s="376"/>
    </row>
    <row r="2585" spans="2:151" x14ac:dyDescent="0.2">
      <c r="B2585" s="34"/>
      <c r="Z2585" s="20"/>
      <c r="AA2585" s="20"/>
      <c r="EO2585" s="375" t="str">
        <f t="shared" si="321"/>
        <v>_</v>
      </c>
      <c r="EP2585" s="376"/>
      <c r="EQ2585" s="376"/>
      <c r="ER2585" s="377"/>
      <c r="ES2585" s="376"/>
      <c r="ET2585" s="376"/>
      <c r="EU2585" s="376"/>
    </row>
    <row r="2586" spans="2:151" x14ac:dyDescent="0.2">
      <c r="B2586" s="34"/>
      <c r="Z2586" s="20"/>
      <c r="AA2586" s="20"/>
      <c r="EO2586" s="375" t="str">
        <f t="shared" si="321"/>
        <v>_</v>
      </c>
      <c r="EP2586" s="376"/>
      <c r="EQ2586" s="376"/>
      <c r="ER2586" s="377"/>
      <c r="ES2586" s="376"/>
      <c r="ET2586" s="376"/>
      <c r="EU2586" s="376"/>
    </row>
    <row r="2587" spans="2:151" x14ac:dyDescent="0.2">
      <c r="B2587" s="34"/>
      <c r="Z2587" s="20"/>
      <c r="AA2587" s="20"/>
      <c r="EO2587" s="375" t="str">
        <f t="shared" si="321"/>
        <v>_</v>
      </c>
      <c r="EP2587" s="376"/>
      <c r="EQ2587" s="376"/>
      <c r="ER2587" s="377"/>
      <c r="ES2587" s="376"/>
      <c r="ET2587" s="376"/>
      <c r="EU2587" s="376"/>
    </row>
    <row r="2588" spans="2:151" x14ac:dyDescent="0.2">
      <c r="B2588" s="34"/>
      <c r="Z2588" s="20"/>
      <c r="AA2588" s="20"/>
      <c r="EO2588" s="375" t="str">
        <f t="shared" si="321"/>
        <v>_</v>
      </c>
      <c r="EP2588" s="376"/>
      <c r="EQ2588" s="376"/>
      <c r="ER2588" s="377"/>
      <c r="ES2588" s="376"/>
      <c r="ET2588" s="376"/>
      <c r="EU2588" s="376"/>
    </row>
    <row r="2589" spans="2:151" x14ac:dyDescent="0.2">
      <c r="B2589" s="34"/>
      <c r="Z2589" s="20"/>
      <c r="AA2589" s="20"/>
      <c r="EO2589" s="375" t="str">
        <f t="shared" ref="EO2589:EO2652" si="322">B2589&amp;"_"&amp;C2589</f>
        <v>_</v>
      </c>
      <c r="EP2589" s="376"/>
      <c r="EQ2589" s="376"/>
      <c r="ER2589" s="377"/>
      <c r="ES2589" s="376"/>
      <c r="ET2589" s="376"/>
      <c r="EU2589" s="376"/>
    </row>
    <row r="2590" spans="2:151" x14ac:dyDescent="0.2">
      <c r="B2590" s="34"/>
      <c r="Z2590" s="20"/>
      <c r="AA2590" s="20"/>
      <c r="EO2590" s="375" t="str">
        <f t="shared" si="322"/>
        <v>_</v>
      </c>
      <c r="EP2590" s="376"/>
      <c r="EQ2590" s="376"/>
      <c r="ER2590" s="377"/>
      <c r="ES2590" s="376"/>
      <c r="ET2590" s="376"/>
      <c r="EU2590" s="376"/>
    </row>
    <row r="2591" spans="2:151" x14ac:dyDescent="0.2">
      <c r="B2591" s="34"/>
      <c r="Z2591" s="20"/>
      <c r="AA2591" s="20"/>
      <c r="EO2591" s="375" t="str">
        <f t="shared" si="322"/>
        <v>_</v>
      </c>
      <c r="EP2591" s="376"/>
      <c r="EQ2591" s="376"/>
      <c r="ER2591" s="377"/>
      <c r="ES2591" s="376"/>
      <c r="ET2591" s="376"/>
      <c r="EU2591" s="376"/>
    </row>
    <row r="2592" spans="2:151" x14ac:dyDescent="0.2">
      <c r="B2592" s="34"/>
      <c r="Z2592" s="20"/>
      <c r="AA2592" s="20"/>
      <c r="EO2592" s="375" t="str">
        <f t="shared" si="322"/>
        <v>_</v>
      </c>
      <c r="EP2592" s="376"/>
      <c r="EQ2592" s="376"/>
      <c r="ER2592" s="377"/>
      <c r="ES2592" s="376"/>
      <c r="ET2592" s="376"/>
      <c r="EU2592" s="376"/>
    </row>
    <row r="2593" spans="2:151" x14ac:dyDescent="0.2">
      <c r="B2593" s="34"/>
      <c r="Z2593" s="20"/>
      <c r="AA2593" s="20"/>
      <c r="EO2593" s="375" t="str">
        <f t="shared" si="322"/>
        <v>_</v>
      </c>
      <c r="EP2593" s="376"/>
      <c r="EQ2593" s="376"/>
      <c r="ER2593" s="377"/>
      <c r="ES2593" s="376"/>
      <c r="ET2593" s="376"/>
      <c r="EU2593" s="376"/>
    </row>
    <row r="2594" spans="2:151" x14ac:dyDescent="0.2">
      <c r="B2594" s="34"/>
      <c r="Z2594" s="20"/>
      <c r="AA2594" s="20"/>
      <c r="EO2594" s="375" t="str">
        <f t="shared" si="322"/>
        <v>_</v>
      </c>
      <c r="EP2594" s="376"/>
      <c r="EQ2594" s="376"/>
      <c r="ER2594" s="377"/>
      <c r="ES2594" s="376"/>
      <c r="ET2594" s="376"/>
      <c r="EU2594" s="376"/>
    </row>
    <row r="2595" spans="2:151" x14ac:dyDescent="0.2">
      <c r="B2595" s="34"/>
      <c r="Z2595" s="20"/>
      <c r="AA2595" s="20"/>
      <c r="EO2595" s="375" t="str">
        <f t="shared" si="322"/>
        <v>_</v>
      </c>
      <c r="EP2595" s="376"/>
      <c r="EQ2595" s="376"/>
      <c r="ER2595" s="377"/>
      <c r="ES2595" s="376"/>
      <c r="ET2595" s="376"/>
      <c r="EU2595" s="376"/>
    </row>
    <row r="2596" spans="2:151" x14ac:dyDescent="0.2">
      <c r="B2596" s="34"/>
      <c r="Z2596" s="20"/>
      <c r="AA2596" s="20"/>
      <c r="EO2596" s="375" t="str">
        <f t="shared" si="322"/>
        <v>_</v>
      </c>
      <c r="EP2596" s="376"/>
      <c r="EQ2596" s="376"/>
      <c r="ER2596" s="377"/>
      <c r="ES2596" s="376"/>
      <c r="ET2596" s="376"/>
      <c r="EU2596" s="376"/>
    </row>
    <row r="2597" spans="2:151" x14ac:dyDescent="0.2">
      <c r="B2597" s="34"/>
      <c r="Z2597" s="20"/>
      <c r="AA2597" s="20"/>
      <c r="EO2597" s="375" t="str">
        <f t="shared" si="322"/>
        <v>_</v>
      </c>
      <c r="EP2597" s="376"/>
      <c r="EQ2597" s="376"/>
      <c r="ER2597" s="377"/>
      <c r="ES2597" s="376"/>
      <c r="ET2597" s="376"/>
      <c r="EU2597" s="376"/>
    </row>
    <row r="2598" spans="2:151" x14ac:dyDescent="0.2">
      <c r="B2598" s="34"/>
      <c r="Z2598" s="20"/>
      <c r="AA2598" s="20"/>
      <c r="EO2598" s="375" t="str">
        <f t="shared" si="322"/>
        <v>_</v>
      </c>
      <c r="EP2598" s="376"/>
      <c r="EQ2598" s="376"/>
      <c r="ER2598" s="377"/>
      <c r="ES2598" s="376"/>
      <c r="ET2598" s="376"/>
      <c r="EU2598" s="376"/>
    </row>
    <row r="2599" spans="2:151" x14ac:dyDescent="0.2">
      <c r="B2599" s="34"/>
      <c r="Z2599" s="20"/>
      <c r="AA2599" s="20"/>
      <c r="EO2599" s="375" t="str">
        <f t="shared" si="322"/>
        <v>_</v>
      </c>
      <c r="EP2599" s="376"/>
      <c r="EQ2599" s="376"/>
      <c r="ER2599" s="377"/>
      <c r="ES2599" s="376"/>
      <c r="ET2599" s="376"/>
      <c r="EU2599" s="376"/>
    </row>
    <row r="2600" spans="2:151" x14ac:dyDescent="0.2">
      <c r="B2600" s="34"/>
      <c r="Z2600" s="20"/>
      <c r="AA2600" s="20"/>
      <c r="EO2600" s="375" t="str">
        <f t="shared" si="322"/>
        <v>_</v>
      </c>
      <c r="EP2600" s="376"/>
      <c r="EQ2600" s="376"/>
      <c r="ER2600" s="377"/>
      <c r="ES2600" s="376"/>
      <c r="ET2600" s="376"/>
      <c r="EU2600" s="376"/>
    </row>
    <row r="2601" spans="2:151" x14ac:dyDescent="0.2">
      <c r="B2601" s="34"/>
      <c r="Z2601" s="20"/>
      <c r="AA2601" s="20"/>
      <c r="EO2601" s="375" t="str">
        <f t="shared" si="322"/>
        <v>_</v>
      </c>
      <c r="EP2601" s="376"/>
      <c r="EQ2601" s="376"/>
      <c r="ER2601" s="377"/>
      <c r="ES2601" s="376"/>
      <c r="ET2601" s="376"/>
      <c r="EU2601" s="376"/>
    </row>
    <row r="2602" spans="2:151" x14ac:dyDescent="0.2">
      <c r="B2602" s="34"/>
      <c r="Z2602" s="20"/>
      <c r="AA2602" s="20"/>
      <c r="EO2602" s="375" t="str">
        <f t="shared" si="322"/>
        <v>_</v>
      </c>
      <c r="EP2602" s="376"/>
      <c r="EQ2602" s="376"/>
      <c r="ER2602" s="377"/>
      <c r="ES2602" s="376"/>
      <c r="ET2602" s="376"/>
      <c r="EU2602" s="376"/>
    </row>
    <row r="2603" spans="2:151" x14ac:dyDescent="0.2">
      <c r="B2603" s="34"/>
      <c r="Z2603" s="20"/>
      <c r="AA2603" s="20"/>
      <c r="EO2603" s="375" t="str">
        <f t="shared" si="322"/>
        <v>_</v>
      </c>
      <c r="EP2603" s="376"/>
      <c r="EQ2603" s="376"/>
      <c r="ER2603" s="377"/>
      <c r="ES2603" s="376"/>
      <c r="ET2603" s="376"/>
      <c r="EU2603" s="376"/>
    </row>
    <row r="2604" spans="2:151" x14ac:dyDescent="0.2">
      <c r="B2604" s="34"/>
      <c r="Z2604" s="20"/>
      <c r="AA2604" s="20"/>
      <c r="EO2604" s="375" t="str">
        <f t="shared" si="322"/>
        <v>_</v>
      </c>
      <c r="EP2604" s="376"/>
      <c r="EQ2604" s="376"/>
      <c r="ER2604" s="377"/>
      <c r="ES2604" s="376"/>
      <c r="ET2604" s="376"/>
      <c r="EU2604" s="376"/>
    </row>
    <row r="2605" spans="2:151" x14ac:dyDescent="0.2">
      <c r="B2605" s="34"/>
      <c r="Z2605" s="20"/>
      <c r="AA2605" s="20"/>
      <c r="EO2605" s="375" t="str">
        <f t="shared" si="322"/>
        <v>_</v>
      </c>
      <c r="EP2605" s="376"/>
      <c r="EQ2605" s="376"/>
      <c r="ER2605" s="377"/>
      <c r="ES2605" s="376"/>
      <c r="ET2605" s="376"/>
      <c r="EU2605" s="376"/>
    </row>
    <row r="2606" spans="2:151" x14ac:dyDescent="0.2">
      <c r="B2606" s="34"/>
      <c r="Z2606" s="20"/>
      <c r="AA2606" s="20"/>
      <c r="EO2606" s="375" t="str">
        <f t="shared" si="322"/>
        <v>_</v>
      </c>
      <c r="EP2606" s="376"/>
      <c r="EQ2606" s="376"/>
      <c r="ER2606" s="377"/>
      <c r="ES2606" s="376"/>
      <c r="ET2606" s="376"/>
      <c r="EU2606" s="376"/>
    </row>
    <row r="2607" spans="2:151" x14ac:dyDescent="0.2">
      <c r="B2607" s="34"/>
      <c r="Z2607" s="20"/>
      <c r="AA2607" s="20"/>
      <c r="EO2607" s="375" t="str">
        <f t="shared" si="322"/>
        <v>_</v>
      </c>
      <c r="EP2607" s="376"/>
      <c r="EQ2607" s="376"/>
      <c r="ER2607" s="377"/>
      <c r="ES2607" s="376"/>
      <c r="ET2607" s="376"/>
      <c r="EU2607" s="376"/>
    </row>
    <row r="2608" spans="2:151" x14ac:dyDescent="0.2">
      <c r="B2608" s="34"/>
      <c r="Z2608" s="20"/>
      <c r="AA2608" s="20"/>
      <c r="EO2608" s="375" t="str">
        <f t="shared" si="322"/>
        <v>_</v>
      </c>
      <c r="EP2608" s="376"/>
      <c r="EQ2608" s="376"/>
      <c r="ER2608" s="377"/>
      <c r="ES2608" s="376"/>
      <c r="ET2608" s="376"/>
      <c r="EU2608" s="376"/>
    </row>
    <row r="2609" spans="2:151" x14ac:dyDescent="0.2">
      <c r="B2609" s="34"/>
      <c r="Z2609" s="20"/>
      <c r="AA2609" s="20"/>
      <c r="EO2609" s="375" t="str">
        <f t="shared" si="322"/>
        <v>_</v>
      </c>
      <c r="EP2609" s="376"/>
      <c r="EQ2609" s="376"/>
      <c r="ER2609" s="377"/>
      <c r="ES2609" s="376"/>
      <c r="ET2609" s="376"/>
      <c r="EU2609" s="376"/>
    </row>
    <row r="2610" spans="2:151" x14ac:dyDescent="0.2">
      <c r="B2610" s="34"/>
      <c r="Z2610" s="20"/>
      <c r="AA2610" s="20"/>
      <c r="EO2610" s="375" t="str">
        <f t="shared" si="322"/>
        <v>_</v>
      </c>
      <c r="EP2610" s="376"/>
      <c r="EQ2610" s="376"/>
      <c r="ER2610" s="377"/>
      <c r="ES2610" s="376"/>
      <c r="ET2610" s="376"/>
      <c r="EU2610" s="376"/>
    </row>
    <row r="2611" spans="2:151" x14ac:dyDescent="0.2">
      <c r="B2611" s="34"/>
      <c r="Z2611" s="20"/>
      <c r="AA2611" s="20"/>
      <c r="EO2611" s="375" t="str">
        <f t="shared" si="322"/>
        <v>_</v>
      </c>
      <c r="EP2611" s="376"/>
      <c r="EQ2611" s="376"/>
      <c r="ER2611" s="377"/>
      <c r="ES2611" s="376"/>
      <c r="ET2611" s="376"/>
      <c r="EU2611" s="376"/>
    </row>
    <row r="2612" spans="2:151" x14ac:dyDescent="0.2">
      <c r="B2612" s="34"/>
      <c r="V2612" s="18">
        <v>0</v>
      </c>
      <c r="Z2612" s="20"/>
      <c r="AA2612" s="20"/>
      <c r="EO2612" s="375" t="str">
        <f t="shared" si="322"/>
        <v>_</v>
      </c>
      <c r="EP2612" s="376"/>
      <c r="EQ2612" s="376"/>
      <c r="ER2612" s="377"/>
      <c r="ES2612" s="376"/>
      <c r="ET2612" s="376"/>
      <c r="EU2612" s="376"/>
    </row>
    <row r="2613" spans="2:151" x14ac:dyDescent="0.2">
      <c r="B2613" s="34"/>
      <c r="Z2613" s="20"/>
      <c r="AA2613" s="20"/>
      <c r="EO2613" s="375" t="str">
        <f t="shared" si="322"/>
        <v>_</v>
      </c>
      <c r="EP2613" s="376"/>
      <c r="EQ2613" s="376"/>
      <c r="ER2613" s="377"/>
      <c r="ES2613" s="376"/>
      <c r="ET2613" s="376"/>
      <c r="EU2613" s="376"/>
    </row>
    <row r="2614" spans="2:151" x14ac:dyDescent="0.2">
      <c r="B2614" s="34"/>
      <c r="Z2614" s="20"/>
      <c r="AA2614" s="20"/>
      <c r="EO2614" s="375" t="str">
        <f t="shared" si="322"/>
        <v>_</v>
      </c>
      <c r="EP2614" s="376"/>
      <c r="EQ2614" s="376"/>
      <c r="ER2614" s="377"/>
      <c r="ES2614" s="376"/>
      <c r="ET2614" s="376"/>
      <c r="EU2614" s="376"/>
    </row>
    <row r="2615" spans="2:151" x14ac:dyDescent="0.2">
      <c r="B2615" s="34"/>
      <c r="Z2615" s="20"/>
      <c r="AA2615" s="20"/>
      <c r="EO2615" s="375" t="str">
        <f t="shared" si="322"/>
        <v>_</v>
      </c>
      <c r="EP2615" s="376"/>
      <c r="EQ2615" s="376"/>
      <c r="ER2615" s="377"/>
      <c r="ES2615" s="376"/>
      <c r="ET2615" s="376"/>
      <c r="EU2615" s="376"/>
    </row>
    <row r="2616" spans="2:151" x14ac:dyDescent="0.2">
      <c r="B2616" s="34"/>
      <c r="Z2616" s="20"/>
      <c r="AA2616" s="20"/>
      <c r="EO2616" s="375" t="str">
        <f t="shared" si="322"/>
        <v>_</v>
      </c>
      <c r="EP2616" s="376"/>
      <c r="EQ2616" s="376"/>
      <c r="ER2616" s="377"/>
      <c r="ES2616" s="376"/>
      <c r="ET2616" s="376"/>
      <c r="EU2616" s="376"/>
    </row>
    <row r="2617" spans="2:151" x14ac:dyDescent="0.2">
      <c r="B2617" s="34"/>
      <c r="Z2617" s="20"/>
      <c r="AA2617" s="20"/>
      <c r="EO2617" s="375" t="str">
        <f t="shared" si="322"/>
        <v>_</v>
      </c>
      <c r="EP2617" s="376"/>
      <c r="EQ2617" s="376"/>
      <c r="ER2617" s="377"/>
      <c r="ES2617" s="376"/>
      <c r="ET2617" s="376"/>
      <c r="EU2617" s="376"/>
    </row>
    <row r="2618" spans="2:151" x14ac:dyDescent="0.2">
      <c r="B2618" s="34"/>
      <c r="Z2618" s="20"/>
      <c r="AA2618" s="20"/>
      <c r="EO2618" s="375" t="str">
        <f t="shared" si="322"/>
        <v>_</v>
      </c>
      <c r="EP2618" s="376"/>
      <c r="EQ2618" s="376"/>
      <c r="ER2618" s="377"/>
      <c r="ES2618" s="376"/>
      <c r="ET2618" s="376"/>
      <c r="EU2618" s="376"/>
    </row>
    <row r="2619" spans="2:151" x14ac:dyDescent="0.2">
      <c r="B2619" s="34"/>
      <c r="Z2619" s="20"/>
      <c r="AA2619" s="20"/>
      <c r="EO2619" s="375" t="str">
        <f t="shared" si="322"/>
        <v>_</v>
      </c>
      <c r="EP2619" s="376"/>
      <c r="EQ2619" s="376"/>
      <c r="ER2619" s="377"/>
      <c r="ES2619" s="376"/>
      <c r="ET2619" s="376"/>
      <c r="EU2619" s="376"/>
    </row>
    <row r="2620" spans="2:151" x14ac:dyDescent="0.2">
      <c r="B2620" s="34"/>
      <c r="Z2620" s="20"/>
      <c r="AA2620" s="20"/>
      <c r="EO2620" s="375" t="str">
        <f t="shared" si="322"/>
        <v>_</v>
      </c>
      <c r="EP2620" s="376"/>
      <c r="EQ2620" s="376"/>
      <c r="ER2620" s="377"/>
      <c r="ES2620" s="376"/>
      <c r="ET2620" s="376"/>
      <c r="EU2620" s="376"/>
    </row>
    <row r="2621" spans="2:151" x14ac:dyDescent="0.2">
      <c r="B2621" s="34"/>
      <c r="Z2621" s="20"/>
      <c r="AA2621" s="20"/>
      <c r="EO2621" s="375" t="str">
        <f t="shared" si="322"/>
        <v>_</v>
      </c>
      <c r="EP2621" s="376"/>
      <c r="EQ2621" s="376"/>
      <c r="ER2621" s="377"/>
      <c r="ES2621" s="376"/>
      <c r="ET2621" s="376"/>
      <c r="EU2621" s="376"/>
    </row>
    <row r="2622" spans="2:151" x14ac:dyDescent="0.2">
      <c r="B2622" s="34"/>
      <c r="Z2622" s="20"/>
      <c r="AA2622" s="20"/>
      <c r="EO2622" s="375" t="str">
        <f t="shared" si="322"/>
        <v>_</v>
      </c>
      <c r="EP2622" s="376"/>
      <c r="EQ2622" s="376"/>
      <c r="ER2622" s="377"/>
      <c r="ES2622" s="376"/>
      <c r="ET2622" s="376"/>
      <c r="EU2622" s="376"/>
    </row>
    <row r="2623" spans="2:151" x14ac:dyDescent="0.2">
      <c r="B2623" s="34"/>
      <c r="Z2623" s="20"/>
      <c r="AA2623" s="20"/>
      <c r="EO2623" s="375" t="str">
        <f t="shared" si="322"/>
        <v>_</v>
      </c>
      <c r="EP2623" s="376"/>
      <c r="EQ2623" s="376"/>
      <c r="ER2623" s="377"/>
      <c r="ES2623" s="376"/>
      <c r="ET2623" s="376"/>
      <c r="EU2623" s="376"/>
    </row>
    <row r="2624" spans="2:151" x14ac:dyDescent="0.2">
      <c r="B2624" s="34"/>
      <c r="Z2624" s="20"/>
      <c r="AA2624" s="20"/>
      <c r="EO2624" s="375" t="str">
        <f t="shared" si="322"/>
        <v>_</v>
      </c>
      <c r="EP2624" s="376"/>
      <c r="EQ2624" s="376"/>
      <c r="ER2624" s="377"/>
      <c r="ES2624" s="376"/>
      <c r="ET2624" s="376"/>
      <c r="EU2624" s="376"/>
    </row>
    <row r="2625" spans="2:151" x14ac:dyDescent="0.2">
      <c r="B2625" s="34"/>
      <c r="Z2625" s="20"/>
      <c r="AA2625" s="20"/>
      <c r="EO2625" s="375" t="str">
        <f t="shared" si="322"/>
        <v>_</v>
      </c>
      <c r="EP2625" s="376"/>
      <c r="EQ2625" s="376"/>
      <c r="ER2625" s="377"/>
      <c r="ES2625" s="376"/>
      <c r="ET2625" s="376"/>
      <c r="EU2625" s="376"/>
    </row>
    <row r="2626" spans="2:151" x14ac:dyDescent="0.2">
      <c r="B2626" s="34"/>
      <c r="Z2626" s="20"/>
      <c r="AA2626" s="20"/>
      <c r="EO2626" s="375" t="str">
        <f t="shared" si="322"/>
        <v>_</v>
      </c>
      <c r="EP2626" s="376"/>
      <c r="EQ2626" s="376"/>
      <c r="ER2626" s="377"/>
      <c r="ES2626" s="376"/>
      <c r="ET2626" s="376"/>
      <c r="EU2626" s="376"/>
    </row>
    <row r="2627" spans="2:151" x14ac:dyDescent="0.2">
      <c r="B2627" s="34"/>
      <c r="Z2627" s="20"/>
      <c r="AA2627" s="20"/>
      <c r="EO2627" s="375" t="str">
        <f t="shared" si="322"/>
        <v>_</v>
      </c>
      <c r="EP2627" s="376"/>
      <c r="EQ2627" s="376"/>
      <c r="ER2627" s="377"/>
      <c r="ES2627" s="376"/>
      <c r="ET2627" s="376"/>
      <c r="EU2627" s="376"/>
    </row>
    <row r="2628" spans="2:151" x14ac:dyDescent="0.2">
      <c r="B2628" s="34"/>
      <c r="Z2628" s="20"/>
      <c r="AA2628" s="20"/>
      <c r="EO2628" s="375" t="str">
        <f t="shared" si="322"/>
        <v>_</v>
      </c>
      <c r="EP2628" s="376"/>
      <c r="EQ2628" s="376"/>
      <c r="ER2628" s="377"/>
      <c r="ES2628" s="376"/>
      <c r="ET2628" s="376"/>
      <c r="EU2628" s="376"/>
    </row>
    <row r="2629" spans="2:151" x14ac:dyDescent="0.2">
      <c r="B2629" s="34"/>
      <c r="Z2629" s="20"/>
      <c r="AA2629" s="20"/>
      <c r="EO2629" s="375" t="str">
        <f t="shared" si="322"/>
        <v>_</v>
      </c>
      <c r="EP2629" s="376"/>
      <c r="EQ2629" s="376"/>
      <c r="ER2629" s="377"/>
      <c r="ES2629" s="376"/>
      <c r="ET2629" s="376"/>
      <c r="EU2629" s="376"/>
    </row>
    <row r="2630" spans="2:151" x14ac:dyDescent="0.2">
      <c r="B2630" s="34"/>
      <c r="Z2630" s="20"/>
      <c r="AA2630" s="20"/>
      <c r="EO2630" s="375" t="str">
        <f t="shared" si="322"/>
        <v>_</v>
      </c>
      <c r="EP2630" s="376"/>
      <c r="EQ2630" s="376"/>
      <c r="ER2630" s="377"/>
      <c r="ES2630" s="376"/>
      <c r="ET2630" s="376"/>
      <c r="EU2630" s="376"/>
    </row>
    <row r="2631" spans="2:151" x14ac:dyDescent="0.2">
      <c r="B2631" s="34"/>
      <c r="Z2631" s="20"/>
      <c r="AA2631" s="20"/>
      <c r="EO2631" s="375" t="str">
        <f t="shared" si="322"/>
        <v>_</v>
      </c>
      <c r="EP2631" s="376"/>
      <c r="EQ2631" s="376"/>
      <c r="ER2631" s="377"/>
      <c r="ES2631" s="376"/>
      <c r="ET2631" s="376"/>
      <c r="EU2631" s="376"/>
    </row>
    <row r="2632" spans="2:151" x14ac:dyDescent="0.2">
      <c r="B2632" s="34"/>
      <c r="Z2632" s="20"/>
      <c r="AA2632" s="20"/>
      <c r="EO2632" s="375" t="str">
        <f t="shared" si="322"/>
        <v>_</v>
      </c>
      <c r="EP2632" s="376"/>
      <c r="EQ2632" s="376"/>
      <c r="ER2632" s="377"/>
      <c r="ES2632" s="376"/>
      <c r="ET2632" s="376"/>
      <c r="EU2632" s="376"/>
    </row>
    <row r="2633" spans="2:151" x14ac:dyDescent="0.2">
      <c r="B2633" s="34"/>
      <c r="Z2633" s="20"/>
      <c r="AA2633" s="20"/>
      <c r="EO2633" s="375" t="str">
        <f t="shared" si="322"/>
        <v>_</v>
      </c>
      <c r="EP2633" s="376"/>
      <c r="EQ2633" s="376"/>
      <c r="ER2633" s="377"/>
      <c r="ES2633" s="376"/>
      <c r="ET2633" s="376"/>
      <c r="EU2633" s="376"/>
    </row>
    <row r="2634" spans="2:151" x14ac:dyDescent="0.2">
      <c r="B2634" s="34"/>
      <c r="Z2634" s="20"/>
      <c r="AA2634" s="20"/>
      <c r="EO2634" s="375" t="str">
        <f t="shared" si="322"/>
        <v>_</v>
      </c>
      <c r="EP2634" s="376"/>
      <c r="EQ2634" s="376"/>
      <c r="ER2634" s="377"/>
      <c r="ES2634" s="376"/>
      <c r="ET2634" s="376"/>
      <c r="EU2634" s="376"/>
    </row>
    <row r="2635" spans="2:151" x14ac:dyDescent="0.2">
      <c r="B2635" s="34"/>
      <c r="Z2635" s="20"/>
      <c r="AA2635" s="20"/>
      <c r="EO2635" s="375" t="str">
        <f t="shared" si="322"/>
        <v>_</v>
      </c>
      <c r="EP2635" s="376"/>
      <c r="EQ2635" s="376"/>
      <c r="ER2635" s="377"/>
      <c r="ES2635" s="376"/>
      <c r="ET2635" s="376"/>
      <c r="EU2635" s="376"/>
    </row>
    <row r="2636" spans="2:151" x14ac:dyDescent="0.2">
      <c r="B2636" s="34"/>
      <c r="Z2636" s="20"/>
      <c r="AA2636" s="20"/>
      <c r="EO2636" s="375" t="str">
        <f t="shared" si="322"/>
        <v>_</v>
      </c>
      <c r="EP2636" s="376"/>
      <c r="EQ2636" s="376"/>
      <c r="ER2636" s="377"/>
      <c r="ES2636" s="376"/>
      <c r="ET2636" s="376"/>
      <c r="EU2636" s="376"/>
    </row>
    <row r="2637" spans="2:151" x14ac:dyDescent="0.2">
      <c r="B2637" s="34"/>
      <c r="Z2637" s="20"/>
      <c r="AA2637" s="20"/>
      <c r="EO2637" s="375" t="str">
        <f t="shared" si="322"/>
        <v>_</v>
      </c>
      <c r="EP2637" s="376"/>
      <c r="EQ2637" s="376"/>
      <c r="ER2637" s="377"/>
      <c r="ES2637" s="376"/>
      <c r="ET2637" s="376"/>
      <c r="EU2637" s="376"/>
    </row>
    <row r="2638" spans="2:151" x14ac:dyDescent="0.2">
      <c r="B2638" s="34"/>
      <c r="Z2638" s="20"/>
      <c r="AA2638" s="20"/>
      <c r="EO2638" s="375" t="str">
        <f t="shared" si="322"/>
        <v>_</v>
      </c>
      <c r="EP2638" s="376"/>
      <c r="EQ2638" s="376"/>
      <c r="ER2638" s="377"/>
      <c r="ES2638" s="376"/>
      <c r="ET2638" s="376"/>
      <c r="EU2638" s="376"/>
    </row>
    <row r="2639" spans="2:151" x14ac:dyDescent="0.2">
      <c r="B2639" s="34"/>
      <c r="Z2639" s="20"/>
      <c r="AA2639" s="20"/>
      <c r="EO2639" s="375" t="str">
        <f t="shared" si="322"/>
        <v>_</v>
      </c>
      <c r="EP2639" s="376"/>
      <c r="EQ2639" s="376"/>
      <c r="ER2639" s="377"/>
      <c r="ES2639" s="376"/>
      <c r="ET2639" s="376"/>
      <c r="EU2639" s="376"/>
    </row>
    <row r="2640" spans="2:151" x14ac:dyDescent="0.2">
      <c r="B2640" s="34"/>
      <c r="Z2640" s="20"/>
      <c r="AA2640" s="20"/>
      <c r="EO2640" s="375" t="str">
        <f t="shared" si="322"/>
        <v>_</v>
      </c>
      <c r="EP2640" s="376"/>
      <c r="EQ2640" s="376"/>
      <c r="ER2640" s="377"/>
      <c r="ES2640" s="376"/>
      <c r="ET2640" s="376"/>
      <c r="EU2640" s="376"/>
    </row>
    <row r="2641" spans="2:151" x14ac:dyDescent="0.2">
      <c r="B2641" s="34"/>
      <c r="Z2641" s="20"/>
      <c r="AA2641" s="20"/>
      <c r="EO2641" s="375" t="str">
        <f t="shared" si="322"/>
        <v>_</v>
      </c>
      <c r="EP2641" s="376"/>
      <c r="EQ2641" s="376"/>
      <c r="ER2641" s="377"/>
      <c r="ES2641" s="376"/>
      <c r="ET2641" s="376"/>
      <c r="EU2641" s="376"/>
    </row>
    <row r="2642" spans="2:151" x14ac:dyDescent="0.2">
      <c r="B2642" s="34"/>
      <c r="Z2642" s="20"/>
      <c r="AA2642" s="20"/>
      <c r="EO2642" s="375" t="str">
        <f t="shared" si="322"/>
        <v>_</v>
      </c>
      <c r="EP2642" s="376"/>
      <c r="EQ2642" s="376"/>
      <c r="ER2642" s="377"/>
      <c r="ES2642" s="376"/>
      <c r="ET2642" s="376"/>
      <c r="EU2642" s="376"/>
    </row>
    <row r="2643" spans="2:151" x14ac:dyDescent="0.2">
      <c r="B2643" s="34"/>
      <c r="Z2643" s="20"/>
      <c r="AA2643" s="20"/>
      <c r="EO2643" s="375" t="str">
        <f t="shared" si="322"/>
        <v>_</v>
      </c>
      <c r="EP2643" s="376"/>
      <c r="EQ2643" s="376"/>
      <c r="ER2643" s="377"/>
      <c r="ES2643" s="376"/>
      <c r="ET2643" s="376"/>
      <c r="EU2643" s="376"/>
    </row>
    <row r="2644" spans="2:151" x14ac:dyDescent="0.2">
      <c r="B2644" s="34"/>
      <c r="Z2644" s="20"/>
      <c r="AA2644" s="20"/>
      <c r="EO2644" s="375" t="str">
        <f t="shared" si="322"/>
        <v>_</v>
      </c>
      <c r="EP2644" s="376"/>
      <c r="EQ2644" s="376"/>
      <c r="ER2644" s="377"/>
      <c r="ES2644" s="376"/>
      <c r="ET2644" s="376"/>
      <c r="EU2644" s="376"/>
    </row>
    <row r="2645" spans="2:151" x14ac:dyDescent="0.2">
      <c r="B2645" s="34"/>
      <c r="Z2645" s="20"/>
      <c r="AA2645" s="20"/>
      <c r="EO2645" s="375" t="str">
        <f t="shared" si="322"/>
        <v>_</v>
      </c>
      <c r="EP2645" s="376"/>
      <c r="EQ2645" s="376"/>
      <c r="ER2645" s="377"/>
      <c r="ES2645" s="376"/>
      <c r="ET2645" s="376"/>
      <c r="EU2645" s="376"/>
    </row>
    <row r="2646" spans="2:151" x14ac:dyDescent="0.2">
      <c r="B2646" s="34"/>
      <c r="Z2646" s="20"/>
      <c r="AA2646" s="20"/>
      <c r="EO2646" s="375" t="str">
        <f t="shared" si="322"/>
        <v>_</v>
      </c>
      <c r="EP2646" s="376"/>
      <c r="EQ2646" s="376"/>
      <c r="ER2646" s="377"/>
      <c r="ES2646" s="376"/>
      <c r="ET2646" s="376"/>
      <c r="EU2646" s="376"/>
    </row>
    <row r="2647" spans="2:151" x14ac:dyDescent="0.2">
      <c r="B2647" s="34"/>
      <c r="Z2647" s="20"/>
      <c r="AA2647" s="20"/>
      <c r="EO2647" s="375" t="str">
        <f t="shared" si="322"/>
        <v>_</v>
      </c>
      <c r="EP2647" s="376"/>
      <c r="EQ2647" s="376"/>
      <c r="ER2647" s="377"/>
      <c r="ES2647" s="376"/>
      <c r="ET2647" s="376"/>
      <c r="EU2647" s="376"/>
    </row>
    <row r="2648" spans="2:151" x14ac:dyDescent="0.2">
      <c r="B2648" s="34"/>
      <c r="Z2648" s="20"/>
      <c r="AA2648" s="20"/>
      <c r="EO2648" s="375" t="str">
        <f t="shared" si="322"/>
        <v>_</v>
      </c>
      <c r="EP2648" s="376"/>
      <c r="EQ2648" s="376"/>
      <c r="ER2648" s="377"/>
      <c r="ES2648" s="376"/>
      <c r="ET2648" s="376"/>
      <c r="EU2648" s="376"/>
    </row>
    <row r="2649" spans="2:151" x14ac:dyDescent="0.2">
      <c r="B2649" s="34"/>
      <c r="Z2649" s="20"/>
      <c r="AA2649" s="20"/>
      <c r="EO2649" s="375" t="str">
        <f t="shared" si="322"/>
        <v>_</v>
      </c>
      <c r="EP2649" s="376"/>
      <c r="EQ2649" s="376"/>
      <c r="ER2649" s="377"/>
      <c r="ES2649" s="376"/>
      <c r="ET2649" s="376"/>
      <c r="EU2649" s="376"/>
    </row>
    <row r="2650" spans="2:151" x14ac:dyDescent="0.2">
      <c r="B2650" s="34"/>
      <c r="Z2650" s="20"/>
      <c r="AA2650" s="20"/>
      <c r="EO2650" s="375" t="str">
        <f t="shared" si="322"/>
        <v>_</v>
      </c>
      <c r="EP2650" s="376"/>
      <c r="EQ2650" s="376"/>
      <c r="ER2650" s="377"/>
      <c r="ES2650" s="376"/>
      <c r="ET2650" s="376"/>
      <c r="EU2650" s="376"/>
    </row>
    <row r="2651" spans="2:151" x14ac:dyDescent="0.2">
      <c r="B2651" s="34"/>
      <c r="Z2651" s="20"/>
      <c r="AA2651" s="20"/>
      <c r="EO2651" s="375" t="str">
        <f t="shared" si="322"/>
        <v>_</v>
      </c>
      <c r="EP2651" s="376"/>
      <c r="EQ2651" s="376"/>
      <c r="ER2651" s="377"/>
      <c r="ES2651" s="376"/>
      <c r="ET2651" s="376"/>
      <c r="EU2651" s="376"/>
    </row>
    <row r="2652" spans="2:151" x14ac:dyDescent="0.2">
      <c r="B2652" s="34"/>
      <c r="Z2652" s="20"/>
      <c r="AA2652" s="20"/>
      <c r="EO2652" s="375" t="str">
        <f t="shared" si="322"/>
        <v>_</v>
      </c>
      <c r="EP2652" s="376"/>
      <c r="EQ2652" s="376"/>
      <c r="ER2652" s="377"/>
      <c r="ES2652" s="376"/>
      <c r="ET2652" s="376"/>
      <c r="EU2652" s="376"/>
    </row>
    <row r="2653" spans="2:151" x14ac:dyDescent="0.2">
      <c r="B2653" s="34"/>
      <c r="Z2653" s="20"/>
      <c r="AA2653" s="20"/>
      <c r="EO2653" s="375" t="str">
        <f t="shared" ref="EO2653:EO2716" si="323">B2653&amp;"_"&amp;C2653</f>
        <v>_</v>
      </c>
      <c r="EP2653" s="376"/>
      <c r="EQ2653" s="376"/>
      <c r="ER2653" s="377"/>
      <c r="ES2653" s="376"/>
      <c r="ET2653" s="376"/>
      <c r="EU2653" s="376"/>
    </row>
    <row r="2654" spans="2:151" x14ac:dyDescent="0.2">
      <c r="B2654" s="34"/>
      <c r="Z2654" s="20"/>
      <c r="AA2654" s="20"/>
      <c r="EO2654" s="375" t="str">
        <f t="shared" si="323"/>
        <v>_</v>
      </c>
      <c r="EP2654" s="376"/>
      <c r="EQ2654" s="376"/>
      <c r="ER2654" s="377"/>
      <c r="ES2654" s="376"/>
      <c r="ET2654" s="376"/>
      <c r="EU2654" s="376"/>
    </row>
    <row r="2655" spans="2:151" x14ac:dyDescent="0.2">
      <c r="B2655" s="34"/>
      <c r="Z2655" s="20"/>
      <c r="AA2655" s="20"/>
      <c r="EO2655" s="375" t="str">
        <f t="shared" si="323"/>
        <v>_</v>
      </c>
      <c r="EP2655" s="376"/>
      <c r="EQ2655" s="376"/>
      <c r="ER2655" s="377"/>
      <c r="ES2655" s="376"/>
      <c r="ET2655" s="376"/>
      <c r="EU2655" s="376"/>
    </row>
    <row r="2656" spans="2:151" x14ac:dyDescent="0.2">
      <c r="B2656" s="34"/>
      <c r="Z2656" s="20"/>
      <c r="AA2656" s="20"/>
      <c r="EO2656" s="375" t="str">
        <f t="shared" si="323"/>
        <v>_</v>
      </c>
      <c r="EP2656" s="376"/>
      <c r="EQ2656" s="376"/>
      <c r="ER2656" s="377"/>
      <c r="ES2656" s="376"/>
      <c r="ET2656" s="376"/>
      <c r="EU2656" s="376"/>
    </row>
    <row r="2657" spans="2:151" x14ac:dyDescent="0.2">
      <c r="B2657" s="34"/>
      <c r="Z2657" s="20"/>
      <c r="AA2657" s="20"/>
      <c r="EO2657" s="375" t="str">
        <f t="shared" si="323"/>
        <v>_</v>
      </c>
      <c r="EP2657" s="376"/>
      <c r="EQ2657" s="376"/>
      <c r="ER2657" s="377"/>
      <c r="ES2657" s="376"/>
      <c r="ET2657" s="376"/>
      <c r="EU2657" s="376"/>
    </row>
    <row r="2658" spans="2:151" x14ac:dyDescent="0.2">
      <c r="B2658" s="34"/>
      <c r="Z2658" s="20"/>
      <c r="AA2658" s="20"/>
      <c r="EO2658" s="375" t="str">
        <f t="shared" si="323"/>
        <v>_</v>
      </c>
      <c r="EP2658" s="376"/>
      <c r="EQ2658" s="376"/>
      <c r="ER2658" s="377"/>
      <c r="ES2658" s="376"/>
      <c r="ET2658" s="376"/>
      <c r="EU2658" s="376"/>
    </row>
    <row r="2659" spans="2:151" x14ac:dyDescent="0.2">
      <c r="B2659" s="34"/>
      <c r="Z2659" s="20"/>
      <c r="AA2659" s="20"/>
      <c r="EO2659" s="375" t="str">
        <f t="shared" si="323"/>
        <v>_</v>
      </c>
      <c r="EP2659" s="376"/>
      <c r="EQ2659" s="376"/>
      <c r="ER2659" s="377"/>
      <c r="ES2659" s="376"/>
      <c r="ET2659" s="376"/>
      <c r="EU2659" s="376"/>
    </row>
    <row r="2660" spans="2:151" x14ac:dyDescent="0.2">
      <c r="B2660" s="34"/>
      <c r="Z2660" s="20"/>
      <c r="AA2660" s="20"/>
      <c r="EO2660" s="375" t="str">
        <f t="shared" si="323"/>
        <v>_</v>
      </c>
      <c r="EP2660" s="376"/>
      <c r="EQ2660" s="376"/>
      <c r="ER2660" s="377"/>
      <c r="ES2660" s="376"/>
      <c r="ET2660" s="376"/>
      <c r="EU2660" s="376"/>
    </row>
    <row r="2661" spans="2:151" x14ac:dyDescent="0.2">
      <c r="B2661" s="34"/>
      <c r="Z2661" s="20"/>
      <c r="AA2661" s="20"/>
      <c r="EO2661" s="375" t="str">
        <f t="shared" si="323"/>
        <v>_</v>
      </c>
      <c r="EP2661" s="376"/>
      <c r="EQ2661" s="376"/>
      <c r="ER2661" s="377"/>
      <c r="ES2661" s="376"/>
      <c r="ET2661" s="376"/>
      <c r="EU2661" s="376"/>
    </row>
    <row r="2662" spans="2:151" x14ac:dyDescent="0.2">
      <c r="B2662" s="34"/>
      <c r="Z2662" s="20"/>
      <c r="AA2662" s="20"/>
      <c r="EO2662" s="375" t="str">
        <f t="shared" si="323"/>
        <v>_</v>
      </c>
      <c r="EP2662" s="376"/>
      <c r="EQ2662" s="376"/>
      <c r="ER2662" s="377"/>
      <c r="ES2662" s="376"/>
      <c r="ET2662" s="376"/>
      <c r="EU2662" s="376"/>
    </row>
    <row r="2663" spans="2:151" x14ac:dyDescent="0.2">
      <c r="B2663" s="34"/>
      <c r="Z2663" s="20"/>
      <c r="AA2663" s="20"/>
      <c r="EO2663" s="375" t="str">
        <f t="shared" si="323"/>
        <v>_</v>
      </c>
      <c r="EP2663" s="376"/>
      <c r="EQ2663" s="376"/>
      <c r="ER2663" s="377"/>
      <c r="ES2663" s="376"/>
      <c r="ET2663" s="376"/>
      <c r="EU2663" s="376"/>
    </row>
    <row r="2664" spans="2:151" x14ac:dyDescent="0.2">
      <c r="B2664" s="34"/>
      <c r="Z2664" s="20"/>
      <c r="AA2664" s="20"/>
      <c r="EO2664" s="375" t="str">
        <f t="shared" si="323"/>
        <v>_</v>
      </c>
      <c r="EP2664" s="376"/>
      <c r="EQ2664" s="376"/>
      <c r="ER2664" s="377"/>
      <c r="ES2664" s="376"/>
      <c r="ET2664" s="376"/>
      <c r="EU2664" s="376"/>
    </row>
    <row r="2665" spans="2:151" x14ac:dyDescent="0.2">
      <c r="B2665" s="34"/>
      <c r="Z2665" s="20"/>
      <c r="AA2665" s="20"/>
      <c r="EO2665" s="375" t="str">
        <f t="shared" si="323"/>
        <v>_</v>
      </c>
      <c r="EP2665" s="376"/>
      <c r="EQ2665" s="376"/>
      <c r="ER2665" s="377"/>
      <c r="ES2665" s="376"/>
      <c r="ET2665" s="376"/>
      <c r="EU2665" s="376"/>
    </row>
    <row r="2666" spans="2:151" x14ac:dyDescent="0.2">
      <c r="B2666" s="34"/>
      <c r="Z2666" s="20"/>
      <c r="AA2666" s="20"/>
      <c r="EO2666" s="375" t="str">
        <f t="shared" si="323"/>
        <v>_</v>
      </c>
      <c r="EP2666" s="376"/>
      <c r="EQ2666" s="376"/>
      <c r="ER2666" s="377"/>
      <c r="ES2666" s="376"/>
      <c r="ET2666" s="376"/>
      <c r="EU2666" s="376"/>
    </row>
    <row r="2667" spans="2:151" x14ac:dyDescent="0.2">
      <c r="B2667" s="34"/>
      <c r="Z2667" s="20"/>
      <c r="AA2667" s="20"/>
      <c r="EO2667" s="375" t="str">
        <f t="shared" si="323"/>
        <v>_</v>
      </c>
      <c r="EP2667" s="376"/>
      <c r="EQ2667" s="376"/>
      <c r="ER2667" s="377"/>
      <c r="ES2667" s="376"/>
      <c r="ET2667" s="376"/>
      <c r="EU2667" s="376"/>
    </row>
    <row r="2668" spans="2:151" x14ac:dyDescent="0.2">
      <c r="B2668" s="34"/>
      <c r="Z2668" s="20"/>
      <c r="AA2668" s="20"/>
      <c r="EO2668" s="375" t="str">
        <f t="shared" si="323"/>
        <v>_</v>
      </c>
      <c r="EP2668" s="376"/>
      <c r="EQ2668" s="376"/>
      <c r="ER2668" s="377"/>
      <c r="ES2668" s="376"/>
      <c r="ET2668" s="376"/>
      <c r="EU2668" s="376"/>
    </row>
    <row r="2669" spans="2:151" x14ac:dyDescent="0.2">
      <c r="B2669" s="34"/>
      <c r="Z2669" s="20"/>
      <c r="AA2669" s="20"/>
      <c r="EO2669" s="375" t="str">
        <f t="shared" si="323"/>
        <v>_</v>
      </c>
      <c r="EP2669" s="376"/>
      <c r="EQ2669" s="376"/>
      <c r="ER2669" s="377"/>
      <c r="ES2669" s="376"/>
      <c r="ET2669" s="376"/>
      <c r="EU2669" s="376"/>
    </row>
    <row r="2670" spans="2:151" x14ac:dyDescent="0.2">
      <c r="B2670" s="34"/>
      <c r="Z2670" s="20"/>
      <c r="AA2670" s="20"/>
      <c r="EO2670" s="375" t="str">
        <f t="shared" si="323"/>
        <v>_</v>
      </c>
      <c r="EP2670" s="376"/>
      <c r="EQ2670" s="376"/>
      <c r="ER2670" s="377"/>
      <c r="ES2670" s="376"/>
      <c r="ET2670" s="376"/>
      <c r="EU2670" s="376"/>
    </row>
    <row r="2671" spans="2:151" x14ac:dyDescent="0.2">
      <c r="B2671" s="34"/>
      <c r="Z2671" s="20"/>
      <c r="AA2671" s="20"/>
      <c r="EO2671" s="375" t="str">
        <f t="shared" si="323"/>
        <v>_</v>
      </c>
      <c r="EP2671" s="376"/>
      <c r="EQ2671" s="376"/>
      <c r="ER2671" s="377"/>
      <c r="ES2671" s="376"/>
      <c r="ET2671" s="376"/>
      <c r="EU2671" s="376"/>
    </row>
    <row r="2672" spans="2:151" x14ac:dyDescent="0.2">
      <c r="B2672" s="34"/>
      <c r="Z2672" s="20"/>
      <c r="AA2672" s="20"/>
      <c r="EO2672" s="375" t="str">
        <f t="shared" si="323"/>
        <v>_</v>
      </c>
      <c r="EP2672" s="376"/>
      <c r="EQ2672" s="376"/>
      <c r="ER2672" s="377"/>
      <c r="ES2672" s="376"/>
      <c r="ET2672" s="376"/>
      <c r="EU2672" s="376"/>
    </row>
    <row r="2673" spans="2:151" x14ac:dyDescent="0.2">
      <c r="B2673" s="34"/>
      <c r="Z2673" s="20"/>
      <c r="AA2673" s="20"/>
      <c r="EO2673" s="375" t="str">
        <f t="shared" si="323"/>
        <v>_</v>
      </c>
      <c r="EP2673" s="376"/>
      <c r="EQ2673" s="376"/>
      <c r="ER2673" s="377"/>
      <c r="ES2673" s="376"/>
      <c r="ET2673" s="376"/>
      <c r="EU2673" s="376"/>
    </row>
    <row r="2674" spans="2:151" x14ac:dyDescent="0.2">
      <c r="B2674" s="34"/>
      <c r="Z2674" s="20"/>
      <c r="AA2674" s="20"/>
      <c r="EO2674" s="375" t="str">
        <f t="shared" si="323"/>
        <v>_</v>
      </c>
      <c r="EP2674" s="376"/>
      <c r="EQ2674" s="376"/>
      <c r="ER2674" s="377"/>
      <c r="ES2674" s="376"/>
      <c r="ET2674" s="376"/>
      <c r="EU2674" s="376"/>
    </row>
    <row r="2675" spans="2:151" x14ac:dyDescent="0.2">
      <c r="B2675" s="34"/>
      <c r="Z2675" s="20"/>
      <c r="AA2675" s="20"/>
      <c r="EO2675" s="375" t="str">
        <f t="shared" si="323"/>
        <v>_</v>
      </c>
      <c r="EP2675" s="376"/>
      <c r="EQ2675" s="376"/>
      <c r="ER2675" s="377"/>
      <c r="ES2675" s="376"/>
      <c r="ET2675" s="376"/>
      <c r="EU2675" s="376"/>
    </row>
    <row r="2676" spans="2:151" x14ac:dyDescent="0.2">
      <c r="B2676" s="34"/>
      <c r="Z2676" s="20"/>
      <c r="AA2676" s="20"/>
      <c r="EO2676" s="375" t="str">
        <f t="shared" si="323"/>
        <v>_</v>
      </c>
      <c r="EP2676" s="376"/>
      <c r="EQ2676" s="376"/>
      <c r="ER2676" s="377"/>
      <c r="ES2676" s="376"/>
      <c r="ET2676" s="376"/>
      <c r="EU2676" s="376"/>
    </row>
    <row r="2677" spans="2:151" x14ac:dyDescent="0.2">
      <c r="B2677" s="34"/>
      <c r="Z2677" s="20"/>
      <c r="AA2677" s="20"/>
      <c r="EO2677" s="375" t="str">
        <f t="shared" si="323"/>
        <v>_</v>
      </c>
      <c r="EP2677" s="376"/>
      <c r="EQ2677" s="376"/>
      <c r="ER2677" s="377"/>
      <c r="ES2677" s="376"/>
      <c r="ET2677" s="376"/>
      <c r="EU2677" s="376"/>
    </row>
    <row r="2678" spans="2:151" x14ac:dyDescent="0.2">
      <c r="B2678" s="34"/>
      <c r="Z2678" s="20"/>
      <c r="AA2678" s="20"/>
      <c r="EO2678" s="375" t="str">
        <f t="shared" si="323"/>
        <v>_</v>
      </c>
      <c r="EP2678" s="376"/>
      <c r="EQ2678" s="376"/>
      <c r="ER2678" s="377"/>
      <c r="ES2678" s="376"/>
      <c r="ET2678" s="376"/>
      <c r="EU2678" s="376"/>
    </row>
    <row r="2679" spans="2:151" x14ac:dyDescent="0.2">
      <c r="B2679" s="34"/>
      <c r="Z2679" s="20"/>
      <c r="AA2679" s="20"/>
      <c r="EO2679" s="375" t="str">
        <f t="shared" si="323"/>
        <v>_</v>
      </c>
      <c r="EP2679" s="376"/>
      <c r="EQ2679" s="376"/>
      <c r="ER2679" s="377"/>
      <c r="ES2679" s="376"/>
      <c r="ET2679" s="376"/>
      <c r="EU2679" s="376"/>
    </row>
    <row r="2680" spans="2:151" x14ac:dyDescent="0.2">
      <c r="B2680" s="34"/>
      <c r="Z2680" s="20"/>
      <c r="AA2680" s="20"/>
      <c r="EO2680" s="375" t="str">
        <f t="shared" si="323"/>
        <v>_</v>
      </c>
      <c r="EP2680" s="376"/>
      <c r="EQ2680" s="376"/>
      <c r="ER2680" s="377"/>
      <c r="ES2680" s="376"/>
      <c r="ET2680" s="376"/>
      <c r="EU2680" s="376"/>
    </row>
    <row r="2681" spans="2:151" x14ac:dyDescent="0.2">
      <c r="B2681" s="34"/>
      <c r="Z2681" s="20"/>
      <c r="AA2681" s="20"/>
      <c r="EO2681" s="375" t="str">
        <f t="shared" si="323"/>
        <v>_</v>
      </c>
      <c r="EP2681" s="376"/>
      <c r="EQ2681" s="376"/>
      <c r="ER2681" s="377"/>
      <c r="ES2681" s="376"/>
      <c r="ET2681" s="376"/>
      <c r="EU2681" s="376"/>
    </row>
    <row r="2682" spans="2:151" x14ac:dyDescent="0.2">
      <c r="B2682" s="34"/>
      <c r="Z2682" s="20"/>
      <c r="AA2682" s="20"/>
      <c r="EO2682" s="375" t="str">
        <f t="shared" si="323"/>
        <v>_</v>
      </c>
      <c r="EP2682" s="376"/>
      <c r="EQ2682" s="376"/>
      <c r="ER2682" s="377"/>
      <c r="ES2682" s="376"/>
      <c r="ET2682" s="376"/>
      <c r="EU2682" s="376"/>
    </row>
    <row r="2683" spans="2:151" x14ac:dyDescent="0.2">
      <c r="B2683" s="34"/>
      <c r="Z2683" s="20"/>
      <c r="AA2683" s="20"/>
      <c r="EO2683" s="375" t="str">
        <f t="shared" si="323"/>
        <v>_</v>
      </c>
      <c r="EP2683" s="376"/>
      <c r="EQ2683" s="376"/>
      <c r="ER2683" s="377"/>
      <c r="ES2683" s="376"/>
      <c r="ET2683" s="376"/>
      <c r="EU2683" s="376"/>
    </row>
    <row r="2684" spans="2:151" x14ac:dyDescent="0.2">
      <c r="B2684" s="34"/>
      <c r="Z2684" s="20"/>
      <c r="AA2684" s="20"/>
      <c r="EO2684" s="375" t="str">
        <f t="shared" si="323"/>
        <v>_</v>
      </c>
      <c r="EP2684" s="376"/>
      <c r="EQ2684" s="376"/>
      <c r="ER2684" s="377"/>
      <c r="ES2684" s="376"/>
      <c r="ET2684" s="376"/>
      <c r="EU2684" s="376"/>
    </row>
    <row r="2685" spans="2:151" x14ac:dyDescent="0.2">
      <c r="B2685" s="34"/>
      <c r="Z2685" s="20"/>
      <c r="AA2685" s="20"/>
      <c r="EO2685" s="375" t="str">
        <f t="shared" si="323"/>
        <v>_</v>
      </c>
      <c r="EP2685" s="376"/>
      <c r="EQ2685" s="376"/>
      <c r="ER2685" s="377"/>
      <c r="ES2685" s="376"/>
      <c r="ET2685" s="376"/>
      <c r="EU2685" s="376"/>
    </row>
    <row r="2686" spans="2:151" x14ac:dyDescent="0.2">
      <c r="B2686" s="34"/>
      <c r="Z2686" s="20"/>
      <c r="AA2686" s="20"/>
      <c r="EO2686" s="375" t="str">
        <f t="shared" si="323"/>
        <v>_</v>
      </c>
      <c r="EP2686" s="376"/>
      <c r="EQ2686" s="376"/>
      <c r="ER2686" s="377"/>
      <c r="ES2686" s="376"/>
      <c r="ET2686" s="376"/>
      <c r="EU2686" s="376"/>
    </row>
    <row r="2687" spans="2:151" x14ac:dyDescent="0.2">
      <c r="B2687" s="34"/>
      <c r="Z2687" s="20"/>
      <c r="AA2687" s="20"/>
      <c r="EO2687" s="375" t="str">
        <f t="shared" si="323"/>
        <v>_</v>
      </c>
      <c r="EP2687" s="376"/>
      <c r="EQ2687" s="376"/>
      <c r="ER2687" s="377"/>
      <c r="ES2687" s="376"/>
      <c r="ET2687" s="376"/>
      <c r="EU2687" s="376"/>
    </row>
    <row r="2688" spans="2:151" x14ac:dyDescent="0.2">
      <c r="B2688" s="34"/>
      <c r="Z2688" s="20"/>
      <c r="AA2688" s="20"/>
      <c r="EO2688" s="375" t="str">
        <f t="shared" si="323"/>
        <v>_</v>
      </c>
      <c r="EP2688" s="376"/>
      <c r="EQ2688" s="376"/>
      <c r="ER2688" s="377"/>
      <c r="ES2688" s="376"/>
      <c r="ET2688" s="376"/>
      <c r="EU2688" s="376"/>
    </row>
    <row r="2689" spans="2:151" x14ac:dyDescent="0.2">
      <c r="B2689" s="34"/>
      <c r="Z2689" s="20"/>
      <c r="AA2689" s="20"/>
      <c r="EO2689" s="375" t="str">
        <f t="shared" si="323"/>
        <v>_</v>
      </c>
      <c r="EP2689" s="376"/>
      <c r="EQ2689" s="376"/>
      <c r="ER2689" s="377"/>
      <c r="ES2689" s="376"/>
      <c r="ET2689" s="376"/>
      <c r="EU2689" s="376"/>
    </row>
    <row r="2690" spans="2:151" x14ac:dyDescent="0.2">
      <c r="B2690" s="34"/>
      <c r="Z2690" s="20"/>
      <c r="AA2690" s="20"/>
      <c r="EO2690" s="375" t="str">
        <f t="shared" si="323"/>
        <v>_</v>
      </c>
      <c r="EP2690" s="376"/>
      <c r="EQ2690" s="376"/>
      <c r="ER2690" s="377"/>
      <c r="ES2690" s="376"/>
      <c r="ET2690" s="376"/>
      <c r="EU2690" s="376"/>
    </row>
    <row r="2691" spans="2:151" x14ac:dyDescent="0.2">
      <c r="B2691" s="34"/>
      <c r="Z2691" s="20"/>
      <c r="AA2691" s="20"/>
      <c r="EO2691" s="375" t="str">
        <f t="shared" si="323"/>
        <v>_</v>
      </c>
      <c r="EP2691" s="376"/>
      <c r="EQ2691" s="376"/>
      <c r="ER2691" s="377"/>
      <c r="ES2691" s="376"/>
      <c r="ET2691" s="376"/>
      <c r="EU2691" s="376"/>
    </row>
    <row r="2692" spans="2:151" x14ac:dyDescent="0.2">
      <c r="B2692" s="34"/>
      <c r="Z2692" s="20"/>
      <c r="AA2692" s="20"/>
      <c r="EO2692" s="375" t="str">
        <f t="shared" si="323"/>
        <v>_</v>
      </c>
      <c r="EP2692" s="376"/>
      <c r="EQ2692" s="376"/>
      <c r="ER2692" s="377"/>
      <c r="ES2692" s="376"/>
      <c r="ET2692" s="376"/>
      <c r="EU2692" s="376"/>
    </row>
    <row r="2693" spans="2:151" x14ac:dyDescent="0.2">
      <c r="B2693" s="34"/>
      <c r="Z2693" s="20"/>
      <c r="AA2693" s="20"/>
      <c r="EO2693" s="375" t="str">
        <f t="shared" si="323"/>
        <v>_</v>
      </c>
      <c r="EP2693" s="376"/>
      <c r="EQ2693" s="376"/>
      <c r="ER2693" s="377"/>
      <c r="ES2693" s="376"/>
      <c r="ET2693" s="376"/>
      <c r="EU2693" s="376"/>
    </row>
    <row r="2694" spans="2:151" x14ac:dyDescent="0.2">
      <c r="B2694" s="34"/>
      <c r="Z2694" s="20"/>
      <c r="AA2694" s="20"/>
      <c r="EO2694" s="375" t="str">
        <f t="shared" si="323"/>
        <v>_</v>
      </c>
      <c r="EP2694" s="376"/>
      <c r="EQ2694" s="376"/>
      <c r="ER2694" s="377"/>
      <c r="ES2694" s="376"/>
      <c r="ET2694" s="376"/>
      <c r="EU2694" s="376"/>
    </row>
    <row r="2695" spans="2:151" x14ac:dyDescent="0.2">
      <c r="B2695" s="34"/>
      <c r="Z2695" s="20"/>
      <c r="AA2695" s="20"/>
      <c r="EO2695" s="375" t="str">
        <f t="shared" si="323"/>
        <v>_</v>
      </c>
      <c r="EP2695" s="376"/>
      <c r="EQ2695" s="376"/>
      <c r="ER2695" s="377"/>
      <c r="ES2695" s="376"/>
      <c r="ET2695" s="376"/>
      <c r="EU2695" s="376"/>
    </row>
    <row r="2696" spans="2:151" x14ac:dyDescent="0.2">
      <c r="B2696" s="34"/>
      <c r="Z2696" s="20"/>
      <c r="AA2696" s="20"/>
      <c r="EO2696" s="375" t="str">
        <f t="shared" si="323"/>
        <v>_</v>
      </c>
      <c r="EP2696" s="376"/>
      <c r="EQ2696" s="376"/>
      <c r="ER2696" s="377"/>
      <c r="ES2696" s="376"/>
      <c r="ET2696" s="376"/>
      <c r="EU2696" s="376"/>
    </row>
    <row r="2697" spans="2:151" x14ac:dyDescent="0.2">
      <c r="B2697" s="34"/>
      <c r="Z2697" s="20"/>
      <c r="AA2697" s="20"/>
      <c r="EO2697" s="375" t="str">
        <f t="shared" si="323"/>
        <v>_</v>
      </c>
      <c r="EP2697" s="376"/>
      <c r="EQ2697" s="376"/>
      <c r="ER2697" s="377"/>
      <c r="ES2697" s="376"/>
      <c r="ET2697" s="376"/>
      <c r="EU2697" s="376"/>
    </row>
    <row r="2698" spans="2:151" x14ac:dyDescent="0.2">
      <c r="B2698" s="34"/>
      <c r="Z2698" s="20"/>
      <c r="AA2698" s="20"/>
      <c r="EO2698" s="375" t="str">
        <f t="shared" si="323"/>
        <v>_</v>
      </c>
      <c r="EP2698" s="376"/>
      <c r="EQ2698" s="376"/>
      <c r="ER2698" s="377"/>
      <c r="ES2698" s="376"/>
      <c r="ET2698" s="376"/>
      <c r="EU2698" s="376"/>
    </row>
    <row r="2699" spans="2:151" x14ac:dyDescent="0.2">
      <c r="B2699" s="34"/>
      <c r="Z2699" s="20"/>
      <c r="AA2699" s="20"/>
      <c r="EO2699" s="375" t="str">
        <f t="shared" si="323"/>
        <v>_</v>
      </c>
      <c r="EP2699" s="376"/>
      <c r="EQ2699" s="376"/>
      <c r="ER2699" s="377"/>
      <c r="ES2699" s="376"/>
      <c r="ET2699" s="376"/>
      <c r="EU2699" s="376"/>
    </row>
    <row r="2700" spans="2:151" x14ac:dyDescent="0.2">
      <c r="B2700" s="34"/>
      <c r="Z2700" s="20"/>
      <c r="AA2700" s="20"/>
      <c r="EO2700" s="375" t="str">
        <f t="shared" si="323"/>
        <v>_</v>
      </c>
      <c r="EP2700" s="376"/>
      <c r="EQ2700" s="376"/>
      <c r="ER2700" s="377"/>
      <c r="ES2700" s="376"/>
      <c r="ET2700" s="376"/>
      <c r="EU2700" s="376"/>
    </row>
    <row r="2701" spans="2:151" x14ac:dyDescent="0.2">
      <c r="B2701" s="34"/>
      <c r="Z2701" s="20"/>
      <c r="AA2701" s="20"/>
      <c r="EO2701" s="375" t="str">
        <f t="shared" si="323"/>
        <v>_</v>
      </c>
      <c r="EP2701" s="376"/>
      <c r="EQ2701" s="376"/>
      <c r="ER2701" s="377"/>
      <c r="ES2701" s="376"/>
      <c r="ET2701" s="376"/>
      <c r="EU2701" s="376"/>
    </row>
    <row r="2702" spans="2:151" x14ac:dyDescent="0.2">
      <c r="B2702" s="34"/>
      <c r="Z2702" s="20"/>
      <c r="AA2702" s="20"/>
      <c r="EO2702" s="375" t="str">
        <f t="shared" si="323"/>
        <v>_</v>
      </c>
      <c r="EP2702" s="376"/>
      <c r="EQ2702" s="376"/>
      <c r="ER2702" s="377"/>
      <c r="ES2702" s="376"/>
      <c r="ET2702" s="376"/>
      <c r="EU2702" s="376"/>
    </row>
    <row r="2703" spans="2:151" x14ac:dyDescent="0.2">
      <c r="B2703" s="34"/>
      <c r="Z2703" s="20"/>
      <c r="AA2703" s="20"/>
      <c r="EO2703" s="375" t="str">
        <f t="shared" si="323"/>
        <v>_</v>
      </c>
      <c r="EP2703" s="376"/>
      <c r="EQ2703" s="376"/>
      <c r="ER2703" s="377"/>
      <c r="ES2703" s="376"/>
      <c r="ET2703" s="376"/>
      <c r="EU2703" s="376"/>
    </row>
    <row r="2704" spans="2:151" x14ac:dyDescent="0.2">
      <c r="B2704" s="34"/>
      <c r="Z2704" s="20"/>
      <c r="AA2704" s="20"/>
      <c r="EO2704" s="375" t="str">
        <f t="shared" si="323"/>
        <v>_</v>
      </c>
      <c r="EP2704" s="376"/>
      <c r="EQ2704" s="376"/>
      <c r="ER2704" s="377"/>
      <c r="ES2704" s="376"/>
      <c r="ET2704" s="376"/>
      <c r="EU2704" s="376"/>
    </row>
    <row r="2705" spans="2:151" x14ac:dyDescent="0.2">
      <c r="B2705" s="34"/>
      <c r="Z2705" s="20"/>
      <c r="AA2705" s="20"/>
      <c r="EO2705" s="375" t="str">
        <f t="shared" si="323"/>
        <v>_</v>
      </c>
      <c r="EP2705" s="376"/>
      <c r="EQ2705" s="376"/>
      <c r="ER2705" s="377"/>
      <c r="ES2705" s="376"/>
      <c r="ET2705" s="376"/>
      <c r="EU2705" s="376"/>
    </row>
    <row r="2706" spans="2:151" x14ac:dyDescent="0.2">
      <c r="B2706" s="34"/>
      <c r="Z2706" s="20"/>
      <c r="AA2706" s="20"/>
      <c r="EO2706" s="375" t="str">
        <f t="shared" si="323"/>
        <v>_</v>
      </c>
      <c r="EP2706" s="376"/>
      <c r="EQ2706" s="376"/>
      <c r="ER2706" s="377"/>
      <c r="ES2706" s="376"/>
      <c r="ET2706" s="376"/>
      <c r="EU2706" s="376"/>
    </row>
    <row r="2707" spans="2:151" x14ac:dyDescent="0.2">
      <c r="B2707" s="34"/>
      <c r="Z2707" s="20"/>
      <c r="AA2707" s="20"/>
      <c r="EO2707" s="375" t="str">
        <f t="shared" si="323"/>
        <v>_</v>
      </c>
      <c r="EP2707" s="376"/>
      <c r="EQ2707" s="376"/>
      <c r="ER2707" s="377"/>
      <c r="ES2707" s="376"/>
      <c r="ET2707" s="376"/>
      <c r="EU2707" s="376"/>
    </row>
    <row r="2708" spans="2:151" x14ac:dyDescent="0.2">
      <c r="B2708" s="34"/>
      <c r="Z2708" s="20"/>
      <c r="AA2708" s="20"/>
      <c r="EO2708" s="375" t="str">
        <f t="shared" si="323"/>
        <v>_</v>
      </c>
      <c r="EP2708" s="376"/>
      <c r="EQ2708" s="376"/>
      <c r="ER2708" s="377"/>
      <c r="ES2708" s="376"/>
      <c r="ET2708" s="376"/>
      <c r="EU2708" s="376"/>
    </row>
    <row r="2709" spans="2:151" x14ac:dyDescent="0.2">
      <c r="B2709" s="34"/>
      <c r="Z2709" s="20"/>
      <c r="AA2709" s="20"/>
      <c r="EO2709" s="375" t="str">
        <f t="shared" si="323"/>
        <v>_</v>
      </c>
      <c r="EP2709" s="376"/>
      <c r="EQ2709" s="376"/>
      <c r="ER2709" s="377"/>
      <c r="ES2709" s="376"/>
      <c r="ET2709" s="376"/>
      <c r="EU2709" s="376"/>
    </row>
    <row r="2710" spans="2:151" x14ac:dyDescent="0.2">
      <c r="B2710" s="34"/>
      <c r="Z2710" s="20"/>
      <c r="AA2710" s="20"/>
      <c r="EO2710" s="375" t="str">
        <f t="shared" si="323"/>
        <v>_</v>
      </c>
      <c r="EP2710" s="376"/>
      <c r="EQ2710" s="376"/>
      <c r="ER2710" s="377"/>
      <c r="ES2710" s="376"/>
      <c r="ET2710" s="376"/>
      <c r="EU2710" s="376"/>
    </row>
    <row r="2711" spans="2:151" x14ac:dyDescent="0.2">
      <c r="B2711" s="34"/>
      <c r="Z2711" s="20"/>
      <c r="AA2711" s="20"/>
      <c r="EO2711" s="375" t="str">
        <f t="shared" si="323"/>
        <v>_</v>
      </c>
      <c r="EP2711" s="376"/>
      <c r="EQ2711" s="376"/>
      <c r="ER2711" s="377"/>
      <c r="ES2711" s="376"/>
      <c r="ET2711" s="376"/>
      <c r="EU2711" s="376"/>
    </row>
    <row r="2712" spans="2:151" x14ac:dyDescent="0.2">
      <c r="B2712" s="34"/>
      <c r="Z2712" s="20"/>
      <c r="AA2712" s="20"/>
      <c r="EO2712" s="375" t="str">
        <f t="shared" si="323"/>
        <v>_</v>
      </c>
      <c r="EP2712" s="376"/>
      <c r="EQ2712" s="376"/>
      <c r="ER2712" s="377"/>
      <c r="ES2712" s="376"/>
      <c r="ET2712" s="376"/>
      <c r="EU2712" s="376"/>
    </row>
    <row r="2713" spans="2:151" x14ac:dyDescent="0.2">
      <c r="B2713" s="34"/>
      <c r="Z2713" s="20"/>
      <c r="AA2713" s="20"/>
      <c r="EO2713" s="375" t="str">
        <f t="shared" si="323"/>
        <v>_</v>
      </c>
      <c r="EP2713" s="376"/>
      <c r="EQ2713" s="376"/>
      <c r="ER2713" s="377"/>
      <c r="ES2713" s="376"/>
      <c r="ET2713" s="376"/>
      <c r="EU2713" s="376"/>
    </row>
    <row r="2714" spans="2:151" x14ac:dyDescent="0.2">
      <c r="B2714" s="34"/>
      <c r="Z2714" s="20"/>
      <c r="AA2714" s="20"/>
      <c r="EO2714" s="375" t="str">
        <f t="shared" si="323"/>
        <v>_</v>
      </c>
      <c r="EP2714" s="376"/>
      <c r="EQ2714" s="376"/>
      <c r="ER2714" s="377"/>
      <c r="ES2714" s="376"/>
      <c r="ET2714" s="376"/>
      <c r="EU2714" s="376"/>
    </row>
    <row r="2715" spans="2:151" x14ac:dyDescent="0.2">
      <c r="B2715" s="34"/>
      <c r="Z2715" s="20"/>
      <c r="AA2715" s="20"/>
      <c r="EO2715" s="375" t="str">
        <f t="shared" si="323"/>
        <v>_</v>
      </c>
      <c r="EP2715" s="376"/>
      <c r="EQ2715" s="376"/>
      <c r="ER2715" s="377"/>
      <c r="ES2715" s="376"/>
      <c r="ET2715" s="376"/>
      <c r="EU2715" s="376"/>
    </row>
    <row r="2716" spans="2:151" x14ac:dyDescent="0.2">
      <c r="B2716" s="34"/>
      <c r="Z2716" s="20"/>
      <c r="AA2716" s="20"/>
      <c r="EO2716" s="375" t="str">
        <f t="shared" si="323"/>
        <v>_</v>
      </c>
      <c r="EP2716" s="376"/>
      <c r="EQ2716" s="376"/>
      <c r="ER2716" s="377"/>
      <c r="ES2716" s="376"/>
      <c r="ET2716" s="376"/>
      <c r="EU2716" s="376"/>
    </row>
    <row r="2717" spans="2:151" x14ac:dyDescent="0.2">
      <c r="B2717" s="34"/>
      <c r="Z2717" s="20"/>
      <c r="AA2717" s="20"/>
      <c r="EO2717" s="375" t="str">
        <f t="shared" ref="EO2717:EO2780" si="324">B2717&amp;"_"&amp;C2717</f>
        <v>_</v>
      </c>
      <c r="EP2717" s="376"/>
      <c r="EQ2717" s="376"/>
      <c r="ER2717" s="377"/>
      <c r="ES2717" s="376"/>
      <c r="ET2717" s="376"/>
      <c r="EU2717" s="376"/>
    </row>
    <row r="2718" spans="2:151" x14ac:dyDescent="0.2">
      <c r="B2718" s="34"/>
      <c r="Z2718" s="20"/>
      <c r="AA2718" s="20"/>
      <c r="EO2718" s="375" t="str">
        <f t="shared" si="324"/>
        <v>_</v>
      </c>
      <c r="EP2718" s="376"/>
      <c r="EQ2718" s="376"/>
      <c r="ER2718" s="377"/>
      <c r="ES2718" s="376"/>
      <c r="ET2718" s="376"/>
      <c r="EU2718" s="376"/>
    </row>
    <row r="2719" spans="2:151" x14ac:dyDescent="0.2">
      <c r="B2719" s="34"/>
      <c r="Z2719" s="20"/>
      <c r="AA2719" s="20"/>
      <c r="EO2719" s="375" t="str">
        <f t="shared" si="324"/>
        <v>_</v>
      </c>
      <c r="EP2719" s="376"/>
      <c r="EQ2719" s="376"/>
      <c r="ER2719" s="377"/>
      <c r="ES2719" s="376"/>
      <c r="ET2719" s="376"/>
      <c r="EU2719" s="376"/>
    </row>
    <row r="2720" spans="2:151" x14ac:dyDescent="0.2">
      <c r="B2720" s="34"/>
      <c r="Z2720" s="20"/>
      <c r="AA2720" s="20"/>
      <c r="EO2720" s="375" t="str">
        <f t="shared" si="324"/>
        <v>_</v>
      </c>
      <c r="EP2720" s="376"/>
      <c r="EQ2720" s="376"/>
      <c r="ER2720" s="377"/>
      <c r="ES2720" s="376"/>
      <c r="ET2720" s="376"/>
      <c r="EU2720" s="376"/>
    </row>
    <row r="2721" spans="2:151" x14ac:dyDescent="0.2">
      <c r="B2721" s="34"/>
      <c r="Z2721" s="20"/>
      <c r="AA2721" s="20"/>
      <c r="EO2721" s="375" t="str">
        <f t="shared" si="324"/>
        <v>_</v>
      </c>
      <c r="EP2721" s="376"/>
      <c r="EQ2721" s="376"/>
      <c r="ER2721" s="377"/>
      <c r="ES2721" s="376"/>
      <c r="ET2721" s="376"/>
      <c r="EU2721" s="376"/>
    </row>
    <row r="2722" spans="2:151" x14ac:dyDescent="0.2">
      <c r="B2722" s="34"/>
      <c r="Z2722" s="20"/>
      <c r="AA2722" s="20"/>
      <c r="EO2722" s="375" t="str">
        <f t="shared" si="324"/>
        <v>_</v>
      </c>
      <c r="EP2722" s="376"/>
      <c r="EQ2722" s="376"/>
      <c r="ER2722" s="377"/>
      <c r="ES2722" s="376"/>
      <c r="ET2722" s="376"/>
      <c r="EU2722" s="376"/>
    </row>
    <row r="2723" spans="2:151" x14ac:dyDescent="0.2">
      <c r="B2723" s="34"/>
      <c r="Z2723" s="20"/>
      <c r="AA2723" s="20"/>
      <c r="EO2723" s="375" t="str">
        <f t="shared" si="324"/>
        <v>_</v>
      </c>
      <c r="EP2723" s="376"/>
      <c r="EQ2723" s="376"/>
      <c r="ER2723" s="377"/>
      <c r="ES2723" s="376"/>
      <c r="ET2723" s="376"/>
      <c r="EU2723" s="376"/>
    </row>
    <row r="2724" spans="2:151" x14ac:dyDescent="0.2">
      <c r="B2724" s="34"/>
      <c r="Z2724" s="20"/>
      <c r="AA2724" s="20"/>
      <c r="EO2724" s="375" t="str">
        <f t="shared" si="324"/>
        <v>_</v>
      </c>
      <c r="EP2724" s="376"/>
      <c r="EQ2724" s="376"/>
      <c r="ER2724" s="377"/>
      <c r="ES2724" s="376"/>
      <c r="ET2724" s="376"/>
      <c r="EU2724" s="376"/>
    </row>
    <row r="2725" spans="2:151" x14ac:dyDescent="0.2">
      <c r="B2725" s="34"/>
      <c r="Z2725" s="20"/>
      <c r="AA2725" s="20"/>
      <c r="EO2725" s="375" t="str">
        <f t="shared" si="324"/>
        <v>_</v>
      </c>
      <c r="EP2725" s="376"/>
      <c r="EQ2725" s="376"/>
      <c r="ER2725" s="377"/>
      <c r="ES2725" s="376"/>
      <c r="ET2725" s="376"/>
      <c r="EU2725" s="376"/>
    </row>
    <row r="2726" spans="2:151" x14ac:dyDescent="0.2">
      <c r="B2726" s="34"/>
      <c r="Z2726" s="20"/>
      <c r="AA2726" s="20"/>
      <c r="EO2726" s="375" t="str">
        <f t="shared" si="324"/>
        <v>_</v>
      </c>
      <c r="EP2726" s="376"/>
      <c r="EQ2726" s="376"/>
      <c r="ER2726" s="377"/>
      <c r="ES2726" s="376"/>
      <c r="ET2726" s="376"/>
      <c r="EU2726" s="376"/>
    </row>
    <row r="2727" spans="2:151" x14ac:dyDescent="0.2">
      <c r="B2727" s="34"/>
      <c r="Z2727" s="20"/>
      <c r="AA2727" s="20"/>
      <c r="EO2727" s="375" t="str">
        <f t="shared" si="324"/>
        <v>_</v>
      </c>
      <c r="EP2727" s="376"/>
      <c r="EQ2727" s="376"/>
      <c r="ER2727" s="377"/>
      <c r="ES2727" s="376"/>
      <c r="ET2727" s="376"/>
      <c r="EU2727" s="376"/>
    </row>
    <row r="2728" spans="2:151" x14ac:dyDescent="0.2">
      <c r="B2728" s="34"/>
      <c r="Z2728" s="20"/>
      <c r="AA2728" s="20"/>
      <c r="EO2728" s="375" t="str">
        <f t="shared" si="324"/>
        <v>_</v>
      </c>
      <c r="EP2728" s="376"/>
      <c r="EQ2728" s="376"/>
      <c r="ER2728" s="377"/>
      <c r="ES2728" s="376"/>
      <c r="ET2728" s="376"/>
      <c r="EU2728" s="376"/>
    </row>
    <row r="2729" spans="2:151" x14ac:dyDescent="0.2">
      <c r="B2729" s="34"/>
      <c r="Z2729" s="20"/>
      <c r="AA2729" s="20"/>
      <c r="EO2729" s="375" t="str">
        <f t="shared" si="324"/>
        <v>_</v>
      </c>
      <c r="EP2729" s="376"/>
      <c r="EQ2729" s="376"/>
      <c r="ER2729" s="377"/>
      <c r="ES2729" s="376"/>
      <c r="ET2729" s="376"/>
      <c r="EU2729" s="376"/>
    </row>
    <row r="2730" spans="2:151" x14ac:dyDescent="0.2">
      <c r="B2730" s="34"/>
      <c r="Z2730" s="20"/>
      <c r="AA2730" s="20"/>
      <c r="EO2730" s="375" t="str">
        <f t="shared" si="324"/>
        <v>_</v>
      </c>
      <c r="EP2730" s="376"/>
      <c r="EQ2730" s="376"/>
      <c r="ER2730" s="377"/>
      <c r="ES2730" s="376"/>
      <c r="ET2730" s="376"/>
      <c r="EU2730" s="376"/>
    </row>
    <row r="2731" spans="2:151" x14ac:dyDescent="0.2">
      <c r="B2731" s="34"/>
      <c r="Z2731" s="20"/>
      <c r="AA2731" s="20"/>
      <c r="EO2731" s="375" t="str">
        <f t="shared" si="324"/>
        <v>_</v>
      </c>
      <c r="EP2731" s="376"/>
      <c r="EQ2731" s="376"/>
      <c r="ER2731" s="377"/>
      <c r="ES2731" s="376"/>
      <c r="ET2731" s="376"/>
      <c r="EU2731" s="376"/>
    </row>
    <row r="2732" spans="2:151" x14ac:dyDescent="0.2">
      <c r="B2732" s="34"/>
      <c r="Z2732" s="20"/>
      <c r="AA2732" s="20"/>
      <c r="EO2732" s="375" t="str">
        <f t="shared" si="324"/>
        <v>_</v>
      </c>
      <c r="EP2732" s="376"/>
      <c r="EQ2732" s="376"/>
      <c r="ER2732" s="377"/>
      <c r="ES2732" s="376"/>
      <c r="ET2732" s="376"/>
      <c r="EU2732" s="376"/>
    </row>
    <row r="2733" spans="2:151" x14ac:dyDescent="0.2">
      <c r="B2733" s="34"/>
      <c r="Z2733" s="20"/>
      <c r="AA2733" s="20"/>
      <c r="EO2733" s="375" t="str">
        <f t="shared" si="324"/>
        <v>_</v>
      </c>
      <c r="EP2733" s="376"/>
      <c r="EQ2733" s="376"/>
      <c r="ER2733" s="377"/>
      <c r="ES2733" s="376"/>
      <c r="ET2733" s="376"/>
      <c r="EU2733" s="376"/>
    </row>
    <row r="2734" spans="2:151" x14ac:dyDescent="0.2">
      <c r="B2734" s="34"/>
      <c r="Z2734" s="20"/>
      <c r="AA2734" s="20"/>
      <c r="EO2734" s="375" t="str">
        <f t="shared" si="324"/>
        <v>_</v>
      </c>
      <c r="EP2734" s="376"/>
      <c r="EQ2734" s="376"/>
      <c r="ER2734" s="377"/>
      <c r="ES2734" s="376"/>
      <c r="ET2734" s="376"/>
      <c r="EU2734" s="376"/>
    </row>
    <row r="2735" spans="2:151" x14ac:dyDescent="0.2">
      <c r="B2735" s="34"/>
      <c r="Z2735" s="20"/>
      <c r="AA2735" s="20"/>
      <c r="EO2735" s="375" t="str">
        <f t="shared" si="324"/>
        <v>_</v>
      </c>
      <c r="EP2735" s="376"/>
      <c r="EQ2735" s="376"/>
      <c r="ER2735" s="377"/>
      <c r="ES2735" s="376"/>
      <c r="ET2735" s="376"/>
      <c r="EU2735" s="376"/>
    </row>
    <row r="2736" spans="2:151" x14ac:dyDescent="0.2">
      <c r="B2736" s="34"/>
      <c r="Z2736" s="20"/>
      <c r="AA2736" s="20"/>
      <c r="EO2736" s="375" t="str">
        <f t="shared" si="324"/>
        <v>_</v>
      </c>
      <c r="EP2736" s="376"/>
      <c r="EQ2736" s="376"/>
      <c r="ER2736" s="377"/>
      <c r="ES2736" s="376"/>
      <c r="ET2736" s="376"/>
      <c r="EU2736" s="376"/>
    </row>
    <row r="2737" spans="2:151" x14ac:dyDescent="0.2">
      <c r="B2737" s="34"/>
      <c r="Z2737" s="20"/>
      <c r="AA2737" s="20"/>
      <c r="EO2737" s="375" t="str">
        <f t="shared" si="324"/>
        <v>_</v>
      </c>
      <c r="EP2737" s="376"/>
      <c r="EQ2737" s="376"/>
      <c r="ER2737" s="377"/>
      <c r="ES2737" s="376"/>
      <c r="ET2737" s="376"/>
      <c r="EU2737" s="376"/>
    </row>
    <row r="2738" spans="2:151" x14ac:dyDescent="0.2">
      <c r="B2738" s="34"/>
      <c r="Z2738" s="20"/>
      <c r="AA2738" s="20"/>
      <c r="EO2738" s="375" t="str">
        <f t="shared" si="324"/>
        <v>_</v>
      </c>
      <c r="EP2738" s="376"/>
      <c r="EQ2738" s="376"/>
      <c r="ER2738" s="377"/>
      <c r="ES2738" s="376"/>
      <c r="ET2738" s="376"/>
      <c r="EU2738" s="376"/>
    </row>
    <row r="2739" spans="2:151" x14ac:dyDescent="0.2">
      <c r="B2739" s="34"/>
      <c r="Z2739" s="20"/>
      <c r="AA2739" s="20"/>
      <c r="EO2739" s="375" t="str">
        <f t="shared" si="324"/>
        <v>_</v>
      </c>
      <c r="EP2739" s="376"/>
      <c r="EQ2739" s="376"/>
      <c r="ER2739" s="377"/>
      <c r="ES2739" s="376"/>
      <c r="ET2739" s="376"/>
      <c r="EU2739" s="376"/>
    </row>
    <row r="2740" spans="2:151" x14ac:dyDescent="0.2">
      <c r="B2740" s="34"/>
      <c r="Z2740" s="20"/>
      <c r="AA2740" s="20"/>
      <c r="EO2740" s="375" t="str">
        <f t="shared" si="324"/>
        <v>_</v>
      </c>
      <c r="EP2740" s="376"/>
      <c r="EQ2740" s="376"/>
      <c r="ER2740" s="377"/>
      <c r="ES2740" s="376"/>
      <c r="ET2740" s="376"/>
      <c r="EU2740" s="376"/>
    </row>
    <row r="2741" spans="2:151" x14ac:dyDescent="0.2">
      <c r="B2741" s="34"/>
      <c r="Z2741" s="20"/>
      <c r="AA2741" s="20"/>
      <c r="EO2741" s="375" t="str">
        <f t="shared" si="324"/>
        <v>_</v>
      </c>
      <c r="EP2741" s="376"/>
      <c r="EQ2741" s="376"/>
      <c r="ER2741" s="377"/>
      <c r="ES2741" s="376"/>
      <c r="ET2741" s="376"/>
      <c r="EU2741" s="376"/>
    </row>
    <row r="2742" spans="2:151" x14ac:dyDescent="0.2">
      <c r="B2742" s="34"/>
      <c r="Z2742" s="20"/>
      <c r="AA2742" s="20"/>
      <c r="EO2742" s="375" t="str">
        <f t="shared" si="324"/>
        <v>_</v>
      </c>
      <c r="EP2742" s="376"/>
      <c r="EQ2742" s="376"/>
      <c r="ER2742" s="377"/>
      <c r="ES2742" s="376"/>
      <c r="ET2742" s="376"/>
      <c r="EU2742" s="376"/>
    </row>
    <row r="2743" spans="2:151" x14ac:dyDescent="0.2">
      <c r="B2743" s="34"/>
      <c r="Z2743" s="20"/>
      <c r="AA2743" s="20"/>
      <c r="EO2743" s="375" t="str">
        <f t="shared" si="324"/>
        <v>_</v>
      </c>
      <c r="EP2743" s="376"/>
      <c r="EQ2743" s="376"/>
      <c r="ER2743" s="377"/>
      <c r="ES2743" s="376"/>
      <c r="ET2743" s="376"/>
      <c r="EU2743" s="376"/>
    </row>
    <row r="2744" spans="2:151" x14ac:dyDescent="0.2">
      <c r="B2744" s="34"/>
      <c r="Z2744" s="20"/>
      <c r="AA2744" s="20"/>
      <c r="EO2744" s="375" t="str">
        <f t="shared" si="324"/>
        <v>_</v>
      </c>
      <c r="EP2744" s="376"/>
      <c r="EQ2744" s="376"/>
      <c r="ER2744" s="377"/>
      <c r="ES2744" s="376"/>
      <c r="ET2744" s="376"/>
      <c r="EU2744" s="376"/>
    </row>
    <row r="2745" spans="2:151" x14ac:dyDescent="0.2">
      <c r="B2745" s="34"/>
      <c r="Z2745" s="20"/>
      <c r="AA2745" s="20"/>
      <c r="EO2745" s="375" t="str">
        <f t="shared" si="324"/>
        <v>_</v>
      </c>
      <c r="EP2745" s="376"/>
      <c r="EQ2745" s="376"/>
      <c r="ER2745" s="377"/>
      <c r="ES2745" s="376"/>
      <c r="ET2745" s="376"/>
      <c r="EU2745" s="376"/>
    </row>
    <row r="2746" spans="2:151" x14ac:dyDescent="0.2">
      <c r="B2746" s="34"/>
      <c r="Z2746" s="20"/>
      <c r="AA2746" s="20"/>
      <c r="EO2746" s="375" t="str">
        <f t="shared" si="324"/>
        <v>_</v>
      </c>
      <c r="EP2746" s="376"/>
      <c r="EQ2746" s="376"/>
      <c r="ER2746" s="377"/>
      <c r="ES2746" s="376"/>
      <c r="ET2746" s="376"/>
      <c r="EU2746" s="376"/>
    </row>
    <row r="2747" spans="2:151" x14ac:dyDescent="0.2">
      <c r="B2747" s="34"/>
      <c r="Z2747" s="20"/>
      <c r="AA2747" s="20"/>
      <c r="EO2747" s="375" t="str">
        <f t="shared" si="324"/>
        <v>_</v>
      </c>
      <c r="EP2747" s="376"/>
      <c r="EQ2747" s="376"/>
      <c r="ER2747" s="377"/>
      <c r="ES2747" s="376"/>
      <c r="ET2747" s="376"/>
      <c r="EU2747" s="376"/>
    </row>
    <row r="2748" spans="2:151" x14ac:dyDescent="0.2">
      <c r="B2748" s="34"/>
      <c r="Z2748" s="20"/>
      <c r="AA2748" s="20"/>
      <c r="EO2748" s="375" t="str">
        <f t="shared" si="324"/>
        <v>_</v>
      </c>
      <c r="EP2748" s="376"/>
      <c r="EQ2748" s="376"/>
      <c r="ER2748" s="377"/>
      <c r="ES2748" s="376"/>
      <c r="ET2748" s="376"/>
      <c r="EU2748" s="376"/>
    </row>
    <row r="2749" spans="2:151" x14ac:dyDescent="0.2">
      <c r="B2749" s="34"/>
      <c r="Z2749" s="20"/>
      <c r="AA2749" s="20"/>
      <c r="EO2749" s="375" t="str">
        <f t="shared" si="324"/>
        <v>_</v>
      </c>
      <c r="EP2749" s="376"/>
      <c r="EQ2749" s="376"/>
      <c r="ER2749" s="377"/>
      <c r="ES2749" s="376"/>
      <c r="ET2749" s="376"/>
      <c r="EU2749" s="376"/>
    </row>
    <row r="2750" spans="2:151" x14ac:dyDescent="0.2">
      <c r="B2750" s="34"/>
      <c r="Z2750" s="20"/>
      <c r="AA2750" s="20"/>
      <c r="EO2750" s="375" t="str">
        <f t="shared" si="324"/>
        <v>_</v>
      </c>
      <c r="EP2750" s="376"/>
      <c r="EQ2750" s="376"/>
      <c r="ER2750" s="377"/>
      <c r="ES2750" s="376"/>
      <c r="ET2750" s="376"/>
      <c r="EU2750" s="376"/>
    </row>
    <row r="2751" spans="2:151" x14ac:dyDescent="0.2">
      <c r="B2751" s="34"/>
      <c r="Z2751" s="20"/>
      <c r="AA2751" s="20"/>
      <c r="EO2751" s="375" t="str">
        <f t="shared" si="324"/>
        <v>_</v>
      </c>
      <c r="EP2751" s="376"/>
      <c r="EQ2751" s="376"/>
      <c r="ER2751" s="377"/>
      <c r="ES2751" s="376"/>
      <c r="ET2751" s="376"/>
      <c r="EU2751" s="376"/>
    </row>
    <row r="2752" spans="2:151" x14ac:dyDescent="0.2">
      <c r="B2752" s="34"/>
      <c r="Z2752" s="20"/>
      <c r="AA2752" s="20"/>
      <c r="EO2752" s="375" t="str">
        <f t="shared" si="324"/>
        <v>_</v>
      </c>
      <c r="EP2752" s="376"/>
      <c r="EQ2752" s="376"/>
      <c r="ER2752" s="377"/>
      <c r="ES2752" s="376"/>
      <c r="ET2752" s="376"/>
      <c r="EU2752" s="376"/>
    </row>
    <row r="2753" spans="2:151" x14ac:dyDescent="0.2">
      <c r="B2753" s="34"/>
      <c r="Z2753" s="20"/>
      <c r="AA2753" s="20"/>
      <c r="EO2753" s="375" t="str">
        <f t="shared" si="324"/>
        <v>_</v>
      </c>
      <c r="EP2753" s="376"/>
      <c r="EQ2753" s="376"/>
      <c r="ER2753" s="377"/>
      <c r="ES2753" s="376"/>
      <c r="ET2753" s="376"/>
      <c r="EU2753" s="376"/>
    </row>
    <row r="2754" spans="2:151" x14ac:dyDescent="0.2">
      <c r="B2754" s="34"/>
      <c r="Z2754" s="20"/>
      <c r="AA2754" s="20"/>
      <c r="EO2754" s="375" t="str">
        <f t="shared" si="324"/>
        <v>_</v>
      </c>
      <c r="EP2754" s="376"/>
      <c r="EQ2754" s="376"/>
      <c r="ER2754" s="377"/>
      <c r="ES2754" s="376"/>
      <c r="ET2754" s="376"/>
      <c r="EU2754" s="376"/>
    </row>
    <row r="2755" spans="2:151" x14ac:dyDescent="0.2">
      <c r="B2755" s="34"/>
      <c r="Z2755" s="20"/>
      <c r="AA2755" s="20"/>
      <c r="EO2755" s="375" t="str">
        <f t="shared" si="324"/>
        <v>_</v>
      </c>
      <c r="EP2755" s="376"/>
      <c r="EQ2755" s="376"/>
      <c r="ER2755" s="377"/>
      <c r="ES2755" s="376"/>
      <c r="ET2755" s="376"/>
      <c r="EU2755" s="376"/>
    </row>
    <row r="2756" spans="2:151" x14ac:dyDescent="0.2">
      <c r="B2756" s="34"/>
      <c r="Z2756" s="20"/>
      <c r="AA2756" s="20"/>
      <c r="EO2756" s="375" t="str">
        <f t="shared" si="324"/>
        <v>_</v>
      </c>
      <c r="EP2756" s="376"/>
      <c r="EQ2756" s="376"/>
      <c r="ER2756" s="377"/>
      <c r="ES2756" s="376"/>
      <c r="ET2756" s="376"/>
      <c r="EU2756" s="376"/>
    </row>
    <row r="2757" spans="2:151" x14ac:dyDescent="0.2">
      <c r="B2757" s="34"/>
      <c r="Z2757" s="20"/>
      <c r="AA2757" s="20"/>
      <c r="EO2757" s="375" t="str">
        <f t="shared" si="324"/>
        <v>_</v>
      </c>
      <c r="EP2757" s="376"/>
      <c r="EQ2757" s="376"/>
      <c r="ER2757" s="377"/>
      <c r="ES2757" s="376"/>
      <c r="ET2757" s="376"/>
      <c r="EU2757" s="376"/>
    </row>
    <row r="2758" spans="2:151" x14ac:dyDescent="0.2">
      <c r="B2758" s="34"/>
      <c r="Z2758" s="20"/>
      <c r="AA2758" s="20"/>
      <c r="EO2758" s="375" t="str">
        <f t="shared" si="324"/>
        <v>_</v>
      </c>
      <c r="EP2758" s="376"/>
      <c r="EQ2758" s="376"/>
      <c r="ER2758" s="377"/>
      <c r="ES2758" s="376"/>
      <c r="ET2758" s="376"/>
      <c r="EU2758" s="376"/>
    </row>
    <row r="2759" spans="2:151" x14ac:dyDescent="0.2">
      <c r="B2759" s="34"/>
      <c r="Z2759" s="20"/>
      <c r="AA2759" s="20"/>
      <c r="EO2759" s="375" t="str">
        <f t="shared" si="324"/>
        <v>_</v>
      </c>
      <c r="EP2759" s="376"/>
      <c r="EQ2759" s="376"/>
      <c r="ER2759" s="377"/>
      <c r="ES2759" s="376"/>
      <c r="ET2759" s="376"/>
      <c r="EU2759" s="376"/>
    </row>
    <row r="2760" spans="2:151" x14ac:dyDescent="0.2">
      <c r="B2760" s="34"/>
      <c r="Z2760" s="20"/>
      <c r="AA2760" s="20"/>
      <c r="EO2760" s="375" t="str">
        <f t="shared" si="324"/>
        <v>_</v>
      </c>
      <c r="EP2760" s="376"/>
      <c r="EQ2760" s="376"/>
      <c r="ER2760" s="377"/>
      <c r="ES2760" s="376"/>
      <c r="ET2760" s="376"/>
      <c r="EU2760" s="376"/>
    </row>
    <row r="2761" spans="2:151" x14ac:dyDescent="0.2">
      <c r="B2761" s="34"/>
      <c r="Z2761" s="20"/>
      <c r="AA2761" s="20"/>
      <c r="EO2761" s="375" t="str">
        <f t="shared" si="324"/>
        <v>_</v>
      </c>
      <c r="EP2761" s="376"/>
      <c r="EQ2761" s="376"/>
      <c r="ER2761" s="377"/>
      <c r="ES2761" s="376"/>
      <c r="ET2761" s="376"/>
      <c r="EU2761" s="376"/>
    </row>
    <row r="2762" spans="2:151" x14ac:dyDescent="0.2">
      <c r="B2762" s="34"/>
      <c r="Z2762" s="20"/>
      <c r="AA2762" s="20"/>
      <c r="EO2762" s="375" t="str">
        <f t="shared" si="324"/>
        <v>_</v>
      </c>
      <c r="EP2762" s="376"/>
      <c r="EQ2762" s="376"/>
      <c r="ER2762" s="377"/>
      <c r="ES2762" s="376"/>
      <c r="ET2762" s="376"/>
      <c r="EU2762" s="376"/>
    </row>
    <row r="2763" spans="2:151" x14ac:dyDescent="0.2">
      <c r="B2763" s="34"/>
      <c r="Z2763" s="20"/>
      <c r="AA2763" s="20"/>
      <c r="EO2763" s="375" t="str">
        <f t="shared" si="324"/>
        <v>_</v>
      </c>
      <c r="EP2763" s="376"/>
      <c r="EQ2763" s="376"/>
      <c r="ER2763" s="377"/>
      <c r="ES2763" s="376"/>
      <c r="ET2763" s="376"/>
      <c r="EU2763" s="376"/>
    </row>
    <row r="2764" spans="2:151" x14ac:dyDescent="0.2">
      <c r="B2764" s="34"/>
      <c r="Z2764" s="20"/>
      <c r="AA2764" s="20"/>
      <c r="EO2764" s="375" t="str">
        <f t="shared" si="324"/>
        <v>_</v>
      </c>
      <c r="EP2764" s="376"/>
      <c r="EQ2764" s="376"/>
      <c r="ER2764" s="377"/>
      <c r="ES2764" s="376"/>
      <c r="ET2764" s="376"/>
      <c r="EU2764" s="376"/>
    </row>
    <row r="2765" spans="2:151" x14ac:dyDescent="0.2">
      <c r="B2765" s="34"/>
      <c r="Z2765" s="20"/>
      <c r="AA2765" s="20"/>
      <c r="EO2765" s="375" t="str">
        <f t="shared" si="324"/>
        <v>_</v>
      </c>
      <c r="EP2765" s="376"/>
      <c r="EQ2765" s="376"/>
      <c r="ER2765" s="377"/>
      <c r="ES2765" s="376"/>
      <c r="ET2765" s="376"/>
      <c r="EU2765" s="376"/>
    </row>
    <row r="2766" spans="2:151" x14ac:dyDescent="0.2">
      <c r="B2766" s="34"/>
      <c r="Z2766" s="20"/>
      <c r="AA2766" s="20"/>
      <c r="EO2766" s="375" t="str">
        <f t="shared" si="324"/>
        <v>_</v>
      </c>
      <c r="EP2766" s="376"/>
      <c r="EQ2766" s="376"/>
      <c r="ER2766" s="377"/>
      <c r="ES2766" s="376"/>
      <c r="ET2766" s="376"/>
      <c r="EU2766" s="376"/>
    </row>
    <row r="2767" spans="2:151" x14ac:dyDescent="0.2">
      <c r="B2767" s="34"/>
      <c r="Z2767" s="20"/>
      <c r="AA2767" s="20"/>
      <c r="EO2767" s="375" t="str">
        <f t="shared" si="324"/>
        <v>_</v>
      </c>
      <c r="EP2767" s="376"/>
      <c r="EQ2767" s="376"/>
      <c r="ER2767" s="377"/>
      <c r="ES2767" s="376"/>
      <c r="ET2767" s="376"/>
      <c r="EU2767" s="376"/>
    </row>
    <row r="2768" spans="2:151" x14ac:dyDescent="0.2">
      <c r="B2768" s="34"/>
      <c r="Z2768" s="20"/>
      <c r="AA2768" s="20"/>
      <c r="EO2768" s="375" t="str">
        <f t="shared" si="324"/>
        <v>_</v>
      </c>
      <c r="EP2768" s="376"/>
      <c r="EQ2768" s="376"/>
      <c r="ER2768" s="377"/>
      <c r="ES2768" s="376"/>
      <c r="ET2768" s="376"/>
      <c r="EU2768" s="376"/>
    </row>
    <row r="2769" spans="2:151" x14ac:dyDescent="0.2">
      <c r="B2769" s="34"/>
      <c r="Z2769" s="20"/>
      <c r="AA2769" s="20"/>
      <c r="EO2769" s="375" t="str">
        <f t="shared" si="324"/>
        <v>_</v>
      </c>
      <c r="EP2769" s="376"/>
      <c r="EQ2769" s="376"/>
      <c r="ER2769" s="377"/>
      <c r="ES2769" s="376"/>
      <c r="ET2769" s="376"/>
      <c r="EU2769" s="376"/>
    </row>
    <row r="2770" spans="2:151" x14ac:dyDescent="0.2">
      <c r="B2770" s="34"/>
      <c r="Z2770" s="20"/>
      <c r="AA2770" s="20"/>
      <c r="EO2770" s="375" t="str">
        <f t="shared" si="324"/>
        <v>_</v>
      </c>
      <c r="EP2770" s="376"/>
      <c r="EQ2770" s="376"/>
      <c r="ER2770" s="377"/>
      <c r="ES2770" s="376"/>
      <c r="ET2770" s="376"/>
      <c r="EU2770" s="376"/>
    </row>
    <row r="2771" spans="2:151" x14ac:dyDescent="0.2">
      <c r="B2771" s="34"/>
      <c r="Z2771" s="20"/>
      <c r="AA2771" s="20"/>
      <c r="EO2771" s="375" t="str">
        <f t="shared" si="324"/>
        <v>_</v>
      </c>
      <c r="EP2771" s="376"/>
      <c r="EQ2771" s="376"/>
      <c r="ER2771" s="377"/>
      <c r="ES2771" s="376"/>
      <c r="ET2771" s="376"/>
      <c r="EU2771" s="376"/>
    </row>
    <row r="2772" spans="2:151" x14ac:dyDescent="0.2">
      <c r="B2772" s="34"/>
      <c r="Z2772" s="20"/>
      <c r="AA2772" s="20"/>
      <c r="EO2772" s="375" t="str">
        <f t="shared" si="324"/>
        <v>_</v>
      </c>
      <c r="EP2772" s="376"/>
      <c r="EQ2772" s="376"/>
      <c r="ER2772" s="377"/>
      <c r="ES2772" s="376"/>
      <c r="ET2772" s="376"/>
      <c r="EU2772" s="376"/>
    </row>
    <row r="2773" spans="2:151" x14ac:dyDescent="0.2">
      <c r="B2773" s="34"/>
      <c r="Z2773" s="20"/>
      <c r="AA2773" s="20"/>
      <c r="EO2773" s="375" t="str">
        <f t="shared" si="324"/>
        <v>_</v>
      </c>
      <c r="EP2773" s="376"/>
      <c r="EQ2773" s="376"/>
      <c r="ER2773" s="377"/>
      <c r="ES2773" s="376"/>
      <c r="ET2773" s="376"/>
      <c r="EU2773" s="376"/>
    </row>
    <row r="2774" spans="2:151" x14ac:dyDescent="0.2">
      <c r="B2774" s="34"/>
      <c r="Z2774" s="20"/>
      <c r="AA2774" s="20"/>
      <c r="EO2774" s="375" t="str">
        <f t="shared" si="324"/>
        <v>_</v>
      </c>
      <c r="EP2774" s="376"/>
      <c r="EQ2774" s="376"/>
      <c r="ER2774" s="377"/>
      <c r="ES2774" s="376"/>
      <c r="ET2774" s="376"/>
      <c r="EU2774" s="376"/>
    </row>
    <row r="2775" spans="2:151" x14ac:dyDescent="0.2">
      <c r="B2775" s="34"/>
      <c r="Z2775" s="20"/>
      <c r="AA2775" s="20"/>
      <c r="EO2775" s="375" t="str">
        <f t="shared" si="324"/>
        <v>_</v>
      </c>
      <c r="EP2775" s="376"/>
      <c r="EQ2775" s="376"/>
      <c r="ER2775" s="377"/>
      <c r="ES2775" s="376"/>
      <c r="ET2775" s="376"/>
      <c r="EU2775" s="376"/>
    </row>
    <row r="2776" spans="2:151" x14ac:dyDescent="0.2">
      <c r="B2776" s="34"/>
      <c r="Z2776" s="20"/>
      <c r="AA2776" s="20"/>
      <c r="EO2776" s="375" t="str">
        <f t="shared" si="324"/>
        <v>_</v>
      </c>
      <c r="EP2776" s="376"/>
      <c r="EQ2776" s="376"/>
      <c r="ER2776" s="377"/>
      <c r="ES2776" s="376"/>
      <c r="ET2776" s="376"/>
      <c r="EU2776" s="376"/>
    </row>
    <row r="2777" spans="2:151" x14ac:dyDescent="0.2">
      <c r="B2777" s="34"/>
      <c r="Z2777" s="20"/>
      <c r="AA2777" s="20"/>
      <c r="EO2777" s="375" t="str">
        <f t="shared" si="324"/>
        <v>_</v>
      </c>
      <c r="EP2777" s="376"/>
      <c r="EQ2777" s="376"/>
      <c r="ER2777" s="377"/>
      <c r="ES2777" s="376"/>
      <c r="ET2777" s="376"/>
      <c r="EU2777" s="376"/>
    </row>
    <row r="2778" spans="2:151" x14ac:dyDescent="0.2">
      <c r="B2778" s="34"/>
      <c r="Z2778" s="20"/>
      <c r="AA2778" s="20"/>
      <c r="EO2778" s="375" t="str">
        <f t="shared" si="324"/>
        <v>_</v>
      </c>
      <c r="EP2778" s="376"/>
      <c r="EQ2778" s="376"/>
      <c r="ER2778" s="377"/>
      <c r="ES2778" s="376"/>
      <c r="ET2778" s="376"/>
      <c r="EU2778" s="376"/>
    </row>
    <row r="2779" spans="2:151" x14ac:dyDescent="0.2">
      <c r="B2779" s="34"/>
      <c r="Z2779" s="20"/>
      <c r="AA2779" s="20"/>
      <c r="EO2779" s="375" t="str">
        <f t="shared" si="324"/>
        <v>_</v>
      </c>
      <c r="EP2779" s="376"/>
      <c r="EQ2779" s="376"/>
      <c r="ER2779" s="377"/>
      <c r="ES2779" s="376"/>
      <c r="ET2779" s="376"/>
      <c r="EU2779" s="376"/>
    </row>
    <row r="2780" spans="2:151" x14ac:dyDescent="0.2">
      <c r="B2780" s="34"/>
      <c r="EO2780" s="375" t="str">
        <f t="shared" si="324"/>
        <v>_</v>
      </c>
      <c r="EP2780" s="376"/>
      <c r="EQ2780" s="376"/>
      <c r="ER2780" s="377"/>
      <c r="ES2780" s="376"/>
      <c r="ET2780" s="376"/>
      <c r="EU2780" s="376"/>
    </row>
    <row r="2781" spans="2:151" x14ac:dyDescent="0.2">
      <c r="B2781" s="34"/>
      <c r="EO2781" s="375" t="str">
        <f t="shared" ref="EO2781:EO2844" si="325">B2781&amp;"_"&amp;C2781</f>
        <v>_</v>
      </c>
      <c r="EP2781" s="376"/>
      <c r="EQ2781" s="376"/>
      <c r="ER2781" s="377"/>
      <c r="ES2781" s="376"/>
      <c r="ET2781" s="376"/>
      <c r="EU2781" s="376"/>
    </row>
    <row r="2782" spans="2:151" x14ac:dyDescent="0.2">
      <c r="B2782" s="34"/>
      <c r="EO2782" s="375" t="str">
        <f t="shared" si="325"/>
        <v>_</v>
      </c>
      <c r="EP2782" s="376"/>
      <c r="EQ2782" s="376"/>
      <c r="ER2782" s="377"/>
      <c r="ES2782" s="376"/>
      <c r="ET2782" s="376"/>
      <c r="EU2782" s="376"/>
    </row>
    <row r="2783" spans="2:151" x14ac:dyDescent="0.2">
      <c r="B2783" s="34"/>
      <c r="EO2783" s="375" t="str">
        <f t="shared" si="325"/>
        <v>_</v>
      </c>
      <c r="EP2783" s="376"/>
      <c r="EQ2783" s="376"/>
      <c r="ER2783" s="377"/>
      <c r="ES2783" s="376"/>
      <c r="ET2783" s="376"/>
      <c r="EU2783" s="376"/>
    </row>
    <row r="2784" spans="2:151" x14ac:dyDescent="0.2">
      <c r="B2784" s="34"/>
      <c r="EO2784" s="375" t="str">
        <f t="shared" si="325"/>
        <v>_</v>
      </c>
      <c r="EP2784" s="376"/>
      <c r="EQ2784" s="376"/>
      <c r="ER2784" s="377"/>
      <c r="ES2784" s="376"/>
      <c r="ET2784" s="376"/>
      <c r="EU2784" s="376"/>
    </row>
    <row r="2785" spans="2:151" x14ac:dyDescent="0.2">
      <c r="B2785" s="34"/>
      <c r="EO2785" s="375" t="str">
        <f t="shared" si="325"/>
        <v>_</v>
      </c>
      <c r="EP2785" s="376"/>
      <c r="EQ2785" s="376"/>
      <c r="ER2785" s="377"/>
      <c r="ES2785" s="376"/>
      <c r="ET2785" s="376"/>
      <c r="EU2785" s="376"/>
    </row>
    <row r="2786" spans="2:151" x14ac:dyDescent="0.2">
      <c r="B2786" s="34"/>
      <c r="EO2786" s="375" t="str">
        <f t="shared" si="325"/>
        <v>_</v>
      </c>
      <c r="EP2786" s="376"/>
      <c r="EQ2786" s="376"/>
      <c r="ER2786" s="377"/>
      <c r="ES2786" s="376"/>
      <c r="ET2786" s="376"/>
      <c r="EU2786" s="376"/>
    </row>
    <row r="2787" spans="2:151" x14ac:dyDescent="0.2">
      <c r="B2787" s="34"/>
      <c r="EO2787" s="375" t="str">
        <f t="shared" si="325"/>
        <v>_</v>
      </c>
      <c r="EP2787" s="376"/>
      <c r="EQ2787" s="376"/>
      <c r="ER2787" s="377"/>
      <c r="ES2787" s="376"/>
      <c r="ET2787" s="376"/>
      <c r="EU2787" s="376"/>
    </row>
    <row r="2788" spans="2:151" x14ac:dyDescent="0.2">
      <c r="B2788" s="34"/>
      <c r="EO2788" s="375" t="str">
        <f t="shared" si="325"/>
        <v>_</v>
      </c>
      <c r="EP2788" s="376"/>
      <c r="EQ2788" s="376"/>
      <c r="ER2788" s="377"/>
      <c r="ES2788" s="376"/>
      <c r="ET2788" s="376"/>
      <c r="EU2788" s="376"/>
    </row>
    <row r="2789" spans="2:151" x14ac:dyDescent="0.2">
      <c r="B2789" s="34"/>
      <c r="EO2789" s="375" t="str">
        <f t="shared" si="325"/>
        <v>_</v>
      </c>
      <c r="EP2789" s="376"/>
      <c r="EQ2789" s="376"/>
      <c r="ER2789" s="377"/>
      <c r="ES2789" s="376"/>
      <c r="ET2789" s="376"/>
      <c r="EU2789" s="376"/>
    </row>
    <row r="2790" spans="2:151" x14ac:dyDescent="0.2">
      <c r="B2790" s="34"/>
      <c r="EO2790" s="375" t="str">
        <f t="shared" si="325"/>
        <v>_</v>
      </c>
      <c r="EP2790" s="376"/>
      <c r="EQ2790" s="376"/>
      <c r="ER2790" s="377"/>
      <c r="ES2790" s="376"/>
      <c r="ET2790" s="376"/>
      <c r="EU2790" s="376"/>
    </row>
    <row r="2791" spans="2:151" x14ac:dyDescent="0.2">
      <c r="B2791" s="34"/>
      <c r="EO2791" s="375" t="str">
        <f t="shared" si="325"/>
        <v>_</v>
      </c>
      <c r="EP2791" s="376"/>
      <c r="EQ2791" s="376"/>
      <c r="ER2791" s="377"/>
      <c r="ES2791" s="376"/>
      <c r="ET2791" s="376"/>
      <c r="EU2791" s="376"/>
    </row>
    <row r="2792" spans="2:151" x14ac:dyDescent="0.2">
      <c r="B2792" s="34"/>
      <c r="EO2792" s="375" t="str">
        <f t="shared" si="325"/>
        <v>_</v>
      </c>
      <c r="EP2792" s="376"/>
      <c r="EQ2792" s="376"/>
      <c r="ER2792" s="377"/>
      <c r="ES2792" s="376"/>
      <c r="ET2792" s="376"/>
      <c r="EU2792" s="376"/>
    </row>
    <row r="2793" spans="2:151" x14ac:dyDescent="0.2">
      <c r="B2793" s="34"/>
      <c r="EO2793" s="375" t="str">
        <f t="shared" si="325"/>
        <v>_</v>
      </c>
      <c r="EP2793" s="376"/>
      <c r="EQ2793" s="376"/>
      <c r="ER2793" s="377"/>
      <c r="ES2793" s="376"/>
      <c r="ET2793" s="376"/>
      <c r="EU2793" s="376"/>
    </row>
    <row r="2794" spans="2:151" x14ac:dyDescent="0.2">
      <c r="B2794" s="34"/>
      <c r="EO2794" s="375" t="str">
        <f t="shared" si="325"/>
        <v>_</v>
      </c>
      <c r="EP2794" s="376"/>
      <c r="EQ2794" s="376"/>
      <c r="ER2794" s="377"/>
      <c r="ES2794" s="376"/>
      <c r="ET2794" s="376"/>
      <c r="EU2794" s="376"/>
    </row>
    <row r="2795" spans="2:151" x14ac:dyDescent="0.2">
      <c r="B2795" s="34"/>
      <c r="EO2795" s="375" t="str">
        <f t="shared" si="325"/>
        <v>_</v>
      </c>
      <c r="EP2795" s="376"/>
      <c r="EQ2795" s="376"/>
      <c r="ER2795" s="377"/>
      <c r="ES2795" s="376"/>
      <c r="ET2795" s="376"/>
      <c r="EU2795" s="376"/>
    </row>
    <row r="2796" spans="2:151" x14ac:dyDescent="0.2">
      <c r="B2796" s="34"/>
      <c r="EO2796" s="375" t="str">
        <f t="shared" si="325"/>
        <v>_</v>
      </c>
      <c r="EP2796" s="376"/>
      <c r="EQ2796" s="376"/>
      <c r="ER2796" s="377"/>
      <c r="ES2796" s="376"/>
      <c r="ET2796" s="376"/>
      <c r="EU2796" s="376"/>
    </row>
    <row r="2797" spans="2:151" x14ac:dyDescent="0.2">
      <c r="B2797" s="34"/>
      <c r="EO2797" s="375" t="str">
        <f t="shared" si="325"/>
        <v>_</v>
      </c>
      <c r="EP2797" s="376"/>
      <c r="EQ2797" s="376"/>
      <c r="ER2797" s="377"/>
      <c r="ES2797" s="376"/>
      <c r="ET2797" s="376"/>
      <c r="EU2797" s="376"/>
    </row>
    <row r="2798" spans="2:151" x14ac:dyDescent="0.2">
      <c r="B2798" s="34"/>
      <c r="EO2798" s="375" t="str">
        <f t="shared" si="325"/>
        <v>_</v>
      </c>
      <c r="EP2798" s="376"/>
      <c r="EQ2798" s="376"/>
      <c r="ER2798" s="377"/>
      <c r="ES2798" s="376"/>
      <c r="ET2798" s="376"/>
      <c r="EU2798" s="376"/>
    </row>
    <row r="2799" spans="2:151" x14ac:dyDescent="0.2">
      <c r="B2799" s="34"/>
      <c r="EO2799" s="375" t="str">
        <f t="shared" si="325"/>
        <v>_</v>
      </c>
      <c r="EP2799" s="376"/>
      <c r="EQ2799" s="376"/>
      <c r="ER2799" s="377"/>
      <c r="ES2799" s="376"/>
      <c r="ET2799" s="376"/>
      <c r="EU2799" s="376"/>
    </row>
    <row r="2800" spans="2:151" x14ac:dyDescent="0.2">
      <c r="B2800" s="34"/>
      <c r="EO2800" s="375" t="str">
        <f t="shared" si="325"/>
        <v>_</v>
      </c>
      <c r="EP2800" s="376"/>
      <c r="EQ2800" s="376"/>
      <c r="ER2800" s="377"/>
      <c r="ES2800" s="376"/>
      <c r="ET2800" s="376"/>
      <c r="EU2800" s="376"/>
    </row>
    <row r="2801" spans="2:151" x14ac:dyDescent="0.2">
      <c r="B2801" s="34"/>
      <c r="EO2801" s="375" t="str">
        <f t="shared" si="325"/>
        <v>_</v>
      </c>
      <c r="EP2801" s="376"/>
      <c r="EQ2801" s="376"/>
      <c r="ER2801" s="377"/>
      <c r="ES2801" s="376"/>
      <c r="ET2801" s="376"/>
      <c r="EU2801" s="376"/>
    </row>
    <row r="2802" spans="2:151" x14ac:dyDescent="0.2">
      <c r="B2802" s="34"/>
      <c r="EO2802" s="375" t="str">
        <f t="shared" si="325"/>
        <v>_</v>
      </c>
      <c r="EP2802" s="376"/>
      <c r="EQ2802" s="376"/>
      <c r="ER2802" s="377"/>
      <c r="ES2802" s="376"/>
      <c r="ET2802" s="376"/>
      <c r="EU2802" s="376"/>
    </row>
    <row r="2803" spans="2:151" x14ac:dyDescent="0.2">
      <c r="B2803" s="34"/>
      <c r="EO2803" s="375" t="str">
        <f t="shared" si="325"/>
        <v>_</v>
      </c>
      <c r="EP2803" s="376"/>
      <c r="EQ2803" s="376"/>
      <c r="ER2803" s="377"/>
      <c r="ES2803" s="376"/>
      <c r="ET2803" s="376"/>
      <c r="EU2803" s="376"/>
    </row>
    <row r="2804" spans="2:151" x14ac:dyDescent="0.2">
      <c r="B2804" s="34"/>
      <c r="EO2804" s="375" t="str">
        <f t="shared" si="325"/>
        <v>_</v>
      </c>
      <c r="EP2804" s="376"/>
      <c r="EQ2804" s="376"/>
      <c r="ER2804" s="377"/>
      <c r="ES2804" s="376"/>
      <c r="ET2804" s="376"/>
      <c r="EU2804" s="376"/>
    </row>
    <row r="2805" spans="2:151" x14ac:dyDescent="0.2">
      <c r="B2805" s="34"/>
      <c r="EO2805" s="375" t="str">
        <f t="shared" si="325"/>
        <v>_</v>
      </c>
      <c r="EP2805" s="376"/>
      <c r="EQ2805" s="376"/>
      <c r="ER2805" s="377"/>
      <c r="ES2805" s="376"/>
      <c r="ET2805" s="376"/>
      <c r="EU2805" s="376"/>
    </row>
    <row r="2806" spans="2:151" x14ac:dyDescent="0.2">
      <c r="B2806" s="34"/>
      <c r="EO2806" s="375" t="str">
        <f t="shared" si="325"/>
        <v>_</v>
      </c>
      <c r="EP2806" s="376"/>
      <c r="EQ2806" s="376"/>
      <c r="ER2806" s="377"/>
      <c r="ES2806" s="376"/>
      <c r="ET2806" s="376"/>
      <c r="EU2806" s="376"/>
    </row>
    <row r="2807" spans="2:151" x14ac:dyDescent="0.2">
      <c r="B2807" s="34"/>
      <c r="EO2807" s="375" t="str">
        <f t="shared" si="325"/>
        <v>_</v>
      </c>
      <c r="EP2807" s="376"/>
      <c r="EQ2807" s="376"/>
      <c r="ER2807" s="377"/>
      <c r="ES2807" s="376"/>
      <c r="ET2807" s="376"/>
      <c r="EU2807" s="376"/>
    </row>
    <row r="2808" spans="2:151" x14ac:dyDescent="0.2">
      <c r="B2808" s="34"/>
      <c r="EO2808" s="375" t="str">
        <f t="shared" si="325"/>
        <v>_</v>
      </c>
      <c r="EP2808" s="376"/>
      <c r="EQ2808" s="376"/>
      <c r="ER2808" s="377"/>
      <c r="ES2808" s="376"/>
      <c r="ET2808" s="376"/>
      <c r="EU2808" s="376"/>
    </row>
    <row r="2809" spans="2:151" x14ac:dyDescent="0.2">
      <c r="B2809" s="34"/>
      <c r="EO2809" s="375" t="str">
        <f t="shared" si="325"/>
        <v>_</v>
      </c>
      <c r="EP2809" s="376"/>
      <c r="EQ2809" s="376"/>
      <c r="ER2809" s="377"/>
      <c r="ES2809" s="376"/>
      <c r="ET2809" s="376"/>
      <c r="EU2809" s="376"/>
    </row>
    <row r="2810" spans="2:151" x14ac:dyDescent="0.2">
      <c r="B2810" s="34"/>
      <c r="EO2810" s="375" t="str">
        <f t="shared" si="325"/>
        <v>_</v>
      </c>
      <c r="EP2810" s="376"/>
      <c r="EQ2810" s="376"/>
      <c r="ER2810" s="377"/>
      <c r="ES2810" s="376"/>
      <c r="ET2810" s="376"/>
      <c r="EU2810" s="376"/>
    </row>
    <row r="2811" spans="2:151" x14ac:dyDescent="0.2">
      <c r="B2811" s="34"/>
      <c r="EO2811" s="375" t="str">
        <f t="shared" si="325"/>
        <v>_</v>
      </c>
      <c r="EP2811" s="376"/>
      <c r="EQ2811" s="376"/>
      <c r="ER2811" s="377"/>
      <c r="ES2811" s="376"/>
      <c r="ET2811" s="376"/>
      <c r="EU2811" s="376"/>
    </row>
    <row r="2812" spans="2:151" x14ac:dyDescent="0.2">
      <c r="B2812" s="34"/>
      <c r="EO2812" s="375" t="str">
        <f t="shared" si="325"/>
        <v>_</v>
      </c>
      <c r="EP2812" s="376"/>
      <c r="EQ2812" s="376"/>
      <c r="ER2812" s="377"/>
      <c r="ES2812" s="376"/>
      <c r="ET2812" s="376"/>
      <c r="EU2812" s="376"/>
    </row>
    <row r="2813" spans="2:151" x14ac:dyDescent="0.2">
      <c r="B2813" s="34"/>
      <c r="EO2813" s="375" t="str">
        <f t="shared" si="325"/>
        <v>_</v>
      </c>
      <c r="EP2813" s="376"/>
      <c r="EQ2813" s="376"/>
      <c r="ER2813" s="377"/>
      <c r="ES2813" s="376"/>
      <c r="ET2813" s="376"/>
      <c r="EU2813" s="376"/>
    </row>
    <row r="2814" spans="2:151" x14ac:dyDescent="0.2">
      <c r="B2814" s="34"/>
      <c r="EO2814" s="375" t="str">
        <f t="shared" si="325"/>
        <v>_</v>
      </c>
      <c r="EP2814" s="376"/>
      <c r="EQ2814" s="376"/>
      <c r="ER2814" s="377"/>
      <c r="ES2814" s="376"/>
      <c r="ET2814" s="376"/>
      <c r="EU2814" s="376"/>
    </row>
    <row r="2815" spans="2:151" x14ac:dyDescent="0.2">
      <c r="B2815" s="34"/>
      <c r="EO2815" s="375" t="str">
        <f t="shared" si="325"/>
        <v>_</v>
      </c>
      <c r="EP2815" s="376"/>
      <c r="EQ2815" s="376"/>
      <c r="ER2815" s="377"/>
      <c r="ES2815" s="376"/>
      <c r="ET2815" s="376"/>
      <c r="EU2815" s="376"/>
    </row>
    <row r="2816" spans="2:151" x14ac:dyDescent="0.2">
      <c r="B2816" s="34"/>
      <c r="EO2816" s="375" t="str">
        <f t="shared" si="325"/>
        <v>_</v>
      </c>
      <c r="EP2816" s="376"/>
      <c r="EQ2816" s="376"/>
      <c r="ER2816" s="377"/>
      <c r="ES2816" s="376"/>
      <c r="ET2816" s="376"/>
      <c r="EU2816" s="376"/>
    </row>
    <row r="2817" spans="2:151" x14ac:dyDescent="0.2">
      <c r="B2817" s="34"/>
      <c r="EO2817" s="375" t="str">
        <f t="shared" si="325"/>
        <v>_</v>
      </c>
      <c r="EP2817" s="376"/>
      <c r="EQ2817" s="376"/>
      <c r="ER2817" s="377"/>
      <c r="ES2817" s="376"/>
      <c r="ET2817" s="376"/>
      <c r="EU2817" s="376"/>
    </row>
    <row r="2818" spans="2:151" x14ac:dyDescent="0.2">
      <c r="B2818" s="34"/>
      <c r="EO2818" s="375" t="str">
        <f t="shared" si="325"/>
        <v>_</v>
      </c>
      <c r="EP2818" s="376"/>
      <c r="EQ2818" s="376"/>
      <c r="ER2818" s="377"/>
      <c r="ES2818" s="376"/>
      <c r="ET2818" s="376"/>
      <c r="EU2818" s="376"/>
    </row>
    <row r="2819" spans="2:151" x14ac:dyDescent="0.2">
      <c r="B2819" s="34"/>
      <c r="EO2819" s="375" t="str">
        <f t="shared" si="325"/>
        <v>_</v>
      </c>
      <c r="EP2819" s="376"/>
      <c r="EQ2819" s="376"/>
      <c r="ER2819" s="377"/>
      <c r="ES2819" s="376"/>
      <c r="ET2819" s="376"/>
      <c r="EU2819" s="376"/>
    </row>
    <row r="2820" spans="2:151" x14ac:dyDescent="0.2">
      <c r="B2820" s="34"/>
      <c r="EO2820" s="375" t="str">
        <f t="shared" si="325"/>
        <v>_</v>
      </c>
      <c r="EP2820" s="376"/>
      <c r="EQ2820" s="376"/>
      <c r="ER2820" s="377"/>
      <c r="ES2820" s="376"/>
      <c r="ET2820" s="376"/>
      <c r="EU2820" s="376"/>
    </row>
    <row r="2821" spans="2:151" x14ac:dyDescent="0.2">
      <c r="B2821" s="34"/>
      <c r="EO2821" s="375" t="str">
        <f t="shared" si="325"/>
        <v>_</v>
      </c>
      <c r="EP2821" s="376"/>
      <c r="EQ2821" s="376"/>
      <c r="ER2821" s="377"/>
      <c r="ES2821" s="376"/>
      <c r="ET2821" s="376"/>
      <c r="EU2821" s="376"/>
    </row>
    <row r="2822" spans="2:151" x14ac:dyDescent="0.2">
      <c r="B2822" s="34"/>
      <c r="EO2822" s="375" t="str">
        <f t="shared" si="325"/>
        <v>_</v>
      </c>
      <c r="EP2822" s="376"/>
      <c r="EQ2822" s="376"/>
      <c r="ER2822" s="377"/>
      <c r="ES2822" s="376"/>
      <c r="ET2822" s="376"/>
      <c r="EU2822" s="376"/>
    </row>
    <row r="2823" spans="2:151" x14ac:dyDescent="0.2">
      <c r="B2823" s="34"/>
      <c r="EO2823" s="375" t="str">
        <f t="shared" si="325"/>
        <v>_</v>
      </c>
      <c r="EP2823" s="376"/>
      <c r="EQ2823" s="376"/>
      <c r="ER2823" s="377"/>
      <c r="ES2823" s="376"/>
      <c r="ET2823" s="376"/>
      <c r="EU2823" s="376"/>
    </row>
    <row r="2824" spans="2:151" x14ac:dyDescent="0.2">
      <c r="B2824" s="34"/>
      <c r="EO2824" s="375" t="str">
        <f t="shared" si="325"/>
        <v>_</v>
      </c>
      <c r="EP2824" s="376"/>
      <c r="EQ2824" s="376"/>
      <c r="ER2824" s="377"/>
      <c r="ES2824" s="376"/>
      <c r="ET2824" s="376"/>
      <c r="EU2824" s="376"/>
    </row>
    <row r="2825" spans="2:151" x14ac:dyDescent="0.2">
      <c r="B2825" s="34"/>
      <c r="EO2825" s="375" t="str">
        <f t="shared" si="325"/>
        <v>_</v>
      </c>
      <c r="EP2825" s="376"/>
      <c r="EQ2825" s="376"/>
      <c r="ER2825" s="377"/>
      <c r="ES2825" s="376"/>
      <c r="ET2825" s="376"/>
      <c r="EU2825" s="376"/>
    </row>
    <row r="2826" spans="2:151" x14ac:dyDescent="0.2">
      <c r="B2826" s="34"/>
      <c r="EO2826" s="375" t="str">
        <f t="shared" si="325"/>
        <v>_</v>
      </c>
      <c r="EP2826" s="376"/>
      <c r="EQ2826" s="376"/>
      <c r="ER2826" s="377"/>
      <c r="ES2826" s="376"/>
      <c r="ET2826" s="376"/>
      <c r="EU2826" s="376"/>
    </row>
    <row r="2827" spans="2:151" x14ac:dyDescent="0.2">
      <c r="B2827" s="34"/>
      <c r="EO2827" s="375" t="str">
        <f t="shared" si="325"/>
        <v>_</v>
      </c>
      <c r="EP2827" s="376"/>
      <c r="EQ2827" s="376"/>
      <c r="ER2827" s="377"/>
      <c r="ES2827" s="376"/>
      <c r="ET2827" s="376"/>
      <c r="EU2827" s="376"/>
    </row>
    <row r="2828" spans="2:151" x14ac:dyDescent="0.2">
      <c r="B2828" s="34"/>
      <c r="EO2828" s="375" t="str">
        <f t="shared" si="325"/>
        <v>_</v>
      </c>
      <c r="EP2828" s="376"/>
      <c r="EQ2828" s="376"/>
      <c r="ER2828" s="377"/>
      <c r="ES2828" s="376"/>
      <c r="ET2828" s="376"/>
      <c r="EU2828" s="376"/>
    </row>
    <row r="2829" spans="2:151" x14ac:dyDescent="0.2">
      <c r="B2829" s="34"/>
      <c r="EO2829" s="375" t="str">
        <f t="shared" si="325"/>
        <v>_</v>
      </c>
      <c r="EP2829" s="376"/>
      <c r="EQ2829" s="376"/>
      <c r="ER2829" s="377"/>
      <c r="ES2829" s="376"/>
      <c r="ET2829" s="376"/>
      <c r="EU2829" s="376"/>
    </row>
    <row r="2830" spans="2:151" x14ac:dyDescent="0.2">
      <c r="B2830" s="34"/>
      <c r="EO2830" s="375" t="str">
        <f t="shared" si="325"/>
        <v>_</v>
      </c>
      <c r="EP2830" s="376"/>
      <c r="EQ2830" s="376"/>
      <c r="ER2830" s="377"/>
      <c r="ES2830" s="376"/>
      <c r="ET2830" s="376"/>
      <c r="EU2830" s="376"/>
    </row>
    <row r="2831" spans="2:151" x14ac:dyDescent="0.2">
      <c r="B2831" s="34"/>
      <c r="EO2831" s="375" t="str">
        <f t="shared" si="325"/>
        <v>_</v>
      </c>
      <c r="EP2831" s="376"/>
      <c r="EQ2831" s="376"/>
      <c r="ER2831" s="377"/>
      <c r="ES2831" s="376"/>
      <c r="ET2831" s="376"/>
      <c r="EU2831" s="376"/>
    </row>
    <row r="2832" spans="2:151" x14ac:dyDescent="0.2">
      <c r="B2832" s="34"/>
      <c r="EO2832" s="375" t="str">
        <f t="shared" si="325"/>
        <v>_</v>
      </c>
      <c r="EP2832" s="376"/>
      <c r="EQ2832" s="376"/>
      <c r="ER2832" s="377"/>
      <c r="ES2832" s="376"/>
      <c r="ET2832" s="376"/>
      <c r="EU2832" s="376"/>
    </row>
    <row r="2833" spans="2:151" x14ac:dyDescent="0.2">
      <c r="B2833" s="34"/>
      <c r="EO2833" s="375" t="str">
        <f t="shared" si="325"/>
        <v>_</v>
      </c>
      <c r="EP2833" s="376"/>
      <c r="EQ2833" s="376"/>
      <c r="ER2833" s="377"/>
      <c r="ES2833" s="376"/>
      <c r="ET2833" s="376"/>
      <c r="EU2833" s="376"/>
    </row>
    <row r="2834" spans="2:151" x14ac:dyDescent="0.2">
      <c r="B2834" s="34"/>
      <c r="EO2834" s="375" t="str">
        <f t="shared" si="325"/>
        <v>_</v>
      </c>
      <c r="EP2834" s="376"/>
      <c r="EQ2834" s="376"/>
      <c r="ER2834" s="377"/>
      <c r="ES2834" s="376"/>
      <c r="ET2834" s="376"/>
      <c r="EU2834" s="376"/>
    </row>
    <row r="2835" spans="2:151" x14ac:dyDescent="0.2">
      <c r="B2835" s="34"/>
      <c r="EO2835" s="375" t="str">
        <f t="shared" si="325"/>
        <v>_</v>
      </c>
      <c r="EP2835" s="376"/>
      <c r="EQ2835" s="376"/>
      <c r="ER2835" s="377"/>
      <c r="ES2835" s="376"/>
      <c r="ET2835" s="376"/>
      <c r="EU2835" s="376"/>
    </row>
    <row r="2836" spans="2:151" x14ac:dyDescent="0.2">
      <c r="B2836" s="34"/>
      <c r="EO2836" s="375" t="str">
        <f t="shared" si="325"/>
        <v>_</v>
      </c>
      <c r="EP2836" s="376"/>
      <c r="EQ2836" s="376"/>
      <c r="ER2836" s="377"/>
      <c r="ES2836" s="376"/>
      <c r="ET2836" s="376"/>
      <c r="EU2836" s="376"/>
    </row>
    <row r="2837" spans="2:151" x14ac:dyDescent="0.2">
      <c r="B2837" s="34"/>
      <c r="EO2837" s="375" t="str">
        <f t="shared" si="325"/>
        <v>_</v>
      </c>
      <c r="EP2837" s="376"/>
      <c r="EQ2837" s="376"/>
      <c r="ER2837" s="377"/>
      <c r="ES2837" s="376"/>
      <c r="ET2837" s="376"/>
      <c r="EU2837" s="376"/>
    </row>
    <row r="2838" spans="2:151" x14ac:dyDescent="0.2">
      <c r="B2838" s="34"/>
      <c r="EO2838" s="375" t="str">
        <f t="shared" si="325"/>
        <v>_</v>
      </c>
      <c r="EP2838" s="376"/>
      <c r="EQ2838" s="376"/>
      <c r="ER2838" s="377"/>
      <c r="ES2838" s="376"/>
      <c r="ET2838" s="376"/>
      <c r="EU2838" s="376"/>
    </row>
    <row r="2839" spans="2:151" x14ac:dyDescent="0.2">
      <c r="B2839" s="34"/>
      <c r="EO2839" s="375" t="str">
        <f t="shared" si="325"/>
        <v>_</v>
      </c>
      <c r="EP2839" s="376"/>
      <c r="EQ2839" s="376"/>
      <c r="ER2839" s="377"/>
      <c r="ES2839" s="376"/>
      <c r="ET2839" s="376"/>
      <c r="EU2839" s="376"/>
    </row>
    <row r="2840" spans="2:151" x14ac:dyDescent="0.2">
      <c r="B2840" s="34"/>
      <c r="EO2840" s="375" t="str">
        <f t="shared" si="325"/>
        <v>_</v>
      </c>
      <c r="EP2840" s="376"/>
      <c r="EQ2840" s="376"/>
      <c r="ER2840" s="377"/>
      <c r="ES2840" s="376"/>
      <c r="ET2840" s="376"/>
      <c r="EU2840" s="376"/>
    </row>
    <row r="2841" spans="2:151" x14ac:dyDescent="0.2">
      <c r="B2841" s="34"/>
      <c r="EO2841" s="375" t="str">
        <f t="shared" si="325"/>
        <v>_</v>
      </c>
      <c r="EP2841" s="376"/>
      <c r="EQ2841" s="376"/>
      <c r="ER2841" s="377"/>
      <c r="ES2841" s="376"/>
      <c r="ET2841" s="376"/>
      <c r="EU2841" s="376"/>
    </row>
    <row r="2842" spans="2:151" x14ac:dyDescent="0.2">
      <c r="B2842" s="34"/>
      <c r="EO2842" s="375" t="str">
        <f t="shared" si="325"/>
        <v>_</v>
      </c>
      <c r="EP2842" s="376"/>
      <c r="EQ2842" s="376"/>
      <c r="ER2842" s="377"/>
      <c r="ES2842" s="376"/>
      <c r="ET2842" s="376"/>
      <c r="EU2842" s="376"/>
    </row>
    <row r="2843" spans="2:151" x14ac:dyDescent="0.2">
      <c r="B2843" s="34"/>
      <c r="EO2843" s="375" t="str">
        <f t="shared" si="325"/>
        <v>_</v>
      </c>
      <c r="EP2843" s="376"/>
      <c r="EQ2843" s="376"/>
      <c r="ER2843" s="377"/>
      <c r="ES2843" s="376"/>
      <c r="ET2843" s="376"/>
      <c r="EU2843" s="376"/>
    </row>
    <row r="2844" spans="2:151" x14ac:dyDescent="0.2">
      <c r="B2844" s="34"/>
      <c r="EO2844" s="375" t="str">
        <f t="shared" si="325"/>
        <v>_</v>
      </c>
      <c r="EP2844" s="376"/>
      <c r="EQ2844" s="376"/>
      <c r="ER2844" s="377"/>
      <c r="ES2844" s="376"/>
      <c r="ET2844" s="376"/>
      <c r="EU2844" s="376"/>
    </row>
    <row r="2845" spans="2:151" x14ac:dyDescent="0.2">
      <c r="B2845" s="34"/>
      <c r="EO2845" s="375" t="str">
        <f t="shared" ref="EO2845:EO2908" si="326">B2845&amp;"_"&amp;C2845</f>
        <v>_</v>
      </c>
      <c r="EP2845" s="376"/>
      <c r="EQ2845" s="376"/>
      <c r="ER2845" s="377"/>
      <c r="ES2845" s="376"/>
      <c r="ET2845" s="376"/>
      <c r="EU2845" s="376"/>
    </row>
    <row r="2846" spans="2:151" x14ac:dyDescent="0.2">
      <c r="B2846" s="34"/>
      <c r="EO2846" s="375" t="str">
        <f t="shared" si="326"/>
        <v>_</v>
      </c>
      <c r="EP2846" s="376"/>
      <c r="EQ2846" s="376"/>
      <c r="ER2846" s="377"/>
      <c r="ES2846" s="376"/>
      <c r="ET2846" s="376"/>
      <c r="EU2846" s="376"/>
    </row>
    <row r="2847" spans="2:151" x14ac:dyDescent="0.2">
      <c r="B2847" s="34"/>
      <c r="EO2847" s="375" t="str">
        <f t="shared" si="326"/>
        <v>_</v>
      </c>
      <c r="EP2847" s="376"/>
      <c r="EQ2847" s="376"/>
      <c r="ER2847" s="377"/>
      <c r="ES2847" s="376"/>
      <c r="ET2847" s="376"/>
      <c r="EU2847" s="376"/>
    </row>
    <row r="2848" spans="2:151" x14ac:dyDescent="0.2">
      <c r="B2848" s="34"/>
      <c r="EO2848" s="375" t="str">
        <f t="shared" si="326"/>
        <v>_</v>
      </c>
      <c r="EP2848" s="376"/>
      <c r="EQ2848" s="376"/>
      <c r="ER2848" s="377"/>
      <c r="ES2848" s="376"/>
      <c r="ET2848" s="376"/>
      <c r="EU2848" s="376"/>
    </row>
    <row r="2849" spans="2:151" x14ac:dyDescent="0.2">
      <c r="B2849" s="34"/>
      <c r="EO2849" s="375" t="str">
        <f t="shared" si="326"/>
        <v>_</v>
      </c>
      <c r="EP2849" s="376"/>
      <c r="EQ2849" s="376"/>
      <c r="ER2849" s="377"/>
      <c r="ES2849" s="376"/>
      <c r="ET2849" s="376"/>
      <c r="EU2849" s="376"/>
    </row>
    <row r="2850" spans="2:151" x14ac:dyDescent="0.2">
      <c r="B2850" s="34"/>
      <c r="EO2850" s="375" t="str">
        <f t="shared" si="326"/>
        <v>_</v>
      </c>
      <c r="EP2850" s="376"/>
      <c r="EQ2850" s="376"/>
      <c r="ER2850" s="377"/>
      <c r="ES2850" s="376"/>
      <c r="ET2850" s="376"/>
      <c r="EU2850" s="376"/>
    </row>
    <row r="2851" spans="2:151" x14ac:dyDescent="0.2">
      <c r="B2851" s="34"/>
      <c r="EO2851" s="375" t="str">
        <f t="shared" si="326"/>
        <v>_</v>
      </c>
      <c r="EP2851" s="376"/>
      <c r="EQ2851" s="376"/>
      <c r="ER2851" s="377"/>
      <c r="ES2851" s="376"/>
      <c r="ET2851" s="376"/>
      <c r="EU2851" s="376"/>
    </row>
    <row r="2852" spans="2:151" x14ac:dyDescent="0.2">
      <c r="B2852" s="34"/>
      <c r="EO2852" s="375" t="str">
        <f t="shared" si="326"/>
        <v>_</v>
      </c>
      <c r="EP2852" s="376"/>
      <c r="EQ2852" s="376"/>
      <c r="ER2852" s="377"/>
      <c r="ES2852" s="376"/>
      <c r="ET2852" s="376"/>
      <c r="EU2852" s="376"/>
    </row>
    <row r="2853" spans="2:151" x14ac:dyDescent="0.2">
      <c r="B2853" s="34"/>
      <c r="EO2853" s="375" t="str">
        <f t="shared" si="326"/>
        <v>_</v>
      </c>
      <c r="EP2853" s="376"/>
      <c r="EQ2853" s="376"/>
      <c r="ER2853" s="377"/>
      <c r="ES2853" s="376"/>
      <c r="ET2853" s="376"/>
      <c r="EU2853" s="376"/>
    </row>
    <row r="2854" spans="2:151" x14ac:dyDescent="0.2">
      <c r="B2854" s="34"/>
      <c r="EO2854" s="375" t="str">
        <f t="shared" si="326"/>
        <v>_</v>
      </c>
      <c r="EP2854" s="376"/>
      <c r="EQ2854" s="376"/>
      <c r="ER2854" s="377"/>
      <c r="ES2854" s="376"/>
      <c r="ET2854" s="376"/>
      <c r="EU2854" s="376"/>
    </row>
    <row r="2855" spans="2:151" x14ac:dyDescent="0.2">
      <c r="B2855" s="34"/>
      <c r="EO2855" s="375" t="str">
        <f t="shared" si="326"/>
        <v>_</v>
      </c>
      <c r="EP2855" s="376"/>
      <c r="EQ2855" s="376"/>
      <c r="ER2855" s="377"/>
      <c r="ES2855" s="376"/>
      <c r="ET2855" s="376"/>
      <c r="EU2855" s="376"/>
    </row>
    <row r="2856" spans="2:151" x14ac:dyDescent="0.2">
      <c r="B2856" s="34"/>
      <c r="EO2856" s="375" t="str">
        <f t="shared" si="326"/>
        <v>_</v>
      </c>
      <c r="EP2856" s="376"/>
      <c r="EQ2856" s="376"/>
      <c r="ER2856" s="377"/>
      <c r="ES2856" s="376"/>
      <c r="ET2856" s="376"/>
      <c r="EU2856" s="376"/>
    </row>
    <row r="2857" spans="2:151" x14ac:dyDescent="0.2">
      <c r="B2857" s="34"/>
      <c r="EO2857" s="375" t="str">
        <f t="shared" si="326"/>
        <v>_</v>
      </c>
      <c r="EP2857" s="376"/>
      <c r="EQ2857" s="376"/>
      <c r="ER2857" s="377"/>
      <c r="ES2857" s="376"/>
      <c r="ET2857" s="376"/>
      <c r="EU2857" s="376"/>
    </row>
    <row r="2858" spans="2:151" x14ac:dyDescent="0.2">
      <c r="B2858" s="34"/>
      <c r="EO2858" s="375" t="str">
        <f t="shared" si="326"/>
        <v>_</v>
      </c>
      <c r="EP2858" s="376"/>
      <c r="EQ2858" s="376"/>
      <c r="ER2858" s="377"/>
      <c r="ES2858" s="376"/>
      <c r="ET2858" s="376"/>
      <c r="EU2858" s="376"/>
    </row>
    <row r="2859" spans="2:151" x14ac:dyDescent="0.2">
      <c r="B2859" s="34"/>
      <c r="EO2859" s="375" t="str">
        <f t="shared" si="326"/>
        <v>_</v>
      </c>
      <c r="EP2859" s="376"/>
      <c r="EQ2859" s="376"/>
      <c r="ER2859" s="377"/>
      <c r="ES2859" s="376"/>
      <c r="ET2859" s="376"/>
      <c r="EU2859" s="376"/>
    </row>
    <row r="2860" spans="2:151" x14ac:dyDescent="0.2">
      <c r="B2860" s="34"/>
      <c r="EO2860" s="375" t="str">
        <f t="shared" si="326"/>
        <v>_</v>
      </c>
      <c r="EP2860" s="376"/>
      <c r="EQ2860" s="376"/>
      <c r="ER2860" s="377"/>
      <c r="ES2860" s="376"/>
      <c r="ET2860" s="376"/>
      <c r="EU2860" s="376"/>
    </row>
    <row r="2861" spans="2:151" x14ac:dyDescent="0.2">
      <c r="B2861" s="34"/>
      <c r="EO2861" s="375" t="str">
        <f t="shared" si="326"/>
        <v>_</v>
      </c>
      <c r="EP2861" s="376"/>
      <c r="EQ2861" s="376"/>
      <c r="ER2861" s="377"/>
      <c r="ES2861" s="376"/>
      <c r="ET2861" s="376"/>
      <c r="EU2861" s="376"/>
    </row>
    <row r="2862" spans="2:151" x14ac:dyDescent="0.2">
      <c r="B2862" s="34"/>
      <c r="EO2862" s="375" t="str">
        <f t="shared" si="326"/>
        <v>_</v>
      </c>
      <c r="EP2862" s="376"/>
      <c r="EQ2862" s="376"/>
      <c r="ER2862" s="377"/>
      <c r="ES2862" s="376"/>
      <c r="ET2862" s="376"/>
      <c r="EU2862" s="376"/>
    </row>
    <row r="2863" spans="2:151" x14ac:dyDescent="0.2">
      <c r="B2863" s="34"/>
      <c r="EO2863" s="375" t="str">
        <f t="shared" si="326"/>
        <v>_</v>
      </c>
      <c r="EP2863" s="376"/>
      <c r="EQ2863" s="376"/>
      <c r="ER2863" s="377"/>
      <c r="ES2863" s="376"/>
      <c r="ET2863" s="376"/>
      <c r="EU2863" s="376"/>
    </row>
    <row r="2864" spans="2:151" x14ac:dyDescent="0.2">
      <c r="B2864" s="34"/>
      <c r="EO2864" s="375" t="str">
        <f t="shared" si="326"/>
        <v>_</v>
      </c>
      <c r="EP2864" s="376"/>
      <c r="EQ2864" s="376"/>
      <c r="ER2864" s="377"/>
      <c r="ES2864" s="376"/>
      <c r="ET2864" s="376"/>
      <c r="EU2864" s="376"/>
    </row>
    <row r="2865" spans="2:151" x14ac:dyDescent="0.2">
      <c r="B2865" s="34"/>
      <c r="EO2865" s="375" t="str">
        <f t="shared" si="326"/>
        <v>_</v>
      </c>
      <c r="EP2865" s="376"/>
      <c r="EQ2865" s="376"/>
      <c r="ER2865" s="377"/>
      <c r="ES2865" s="376"/>
      <c r="ET2865" s="376"/>
      <c r="EU2865" s="376"/>
    </row>
    <row r="2866" spans="2:151" x14ac:dyDescent="0.2">
      <c r="B2866" s="34"/>
      <c r="EO2866" s="375" t="str">
        <f t="shared" si="326"/>
        <v>_</v>
      </c>
      <c r="EP2866" s="376"/>
      <c r="EQ2866" s="376"/>
      <c r="ER2866" s="377"/>
      <c r="ES2866" s="376"/>
      <c r="ET2866" s="376"/>
      <c r="EU2866" s="376"/>
    </row>
    <row r="2867" spans="2:151" x14ac:dyDescent="0.2">
      <c r="B2867" s="34"/>
      <c r="EO2867" s="375" t="str">
        <f t="shared" si="326"/>
        <v>_</v>
      </c>
      <c r="EP2867" s="376"/>
      <c r="EQ2867" s="376"/>
      <c r="ER2867" s="377"/>
      <c r="ES2867" s="376"/>
      <c r="ET2867" s="376"/>
      <c r="EU2867" s="376"/>
    </row>
    <row r="2868" spans="2:151" x14ac:dyDescent="0.2">
      <c r="B2868" s="34"/>
      <c r="EO2868" s="375" t="str">
        <f t="shared" si="326"/>
        <v>_</v>
      </c>
      <c r="EP2868" s="376"/>
      <c r="EQ2868" s="376"/>
      <c r="ER2868" s="377"/>
      <c r="ES2868" s="376"/>
      <c r="ET2868" s="376"/>
      <c r="EU2868" s="376"/>
    </row>
    <row r="2869" spans="2:151" x14ac:dyDescent="0.2">
      <c r="B2869" s="34"/>
      <c r="EO2869" s="375" t="str">
        <f t="shared" si="326"/>
        <v>_</v>
      </c>
      <c r="EP2869" s="376"/>
      <c r="EQ2869" s="376"/>
      <c r="ER2869" s="377"/>
      <c r="ES2869" s="376"/>
      <c r="ET2869" s="376"/>
      <c r="EU2869" s="376"/>
    </row>
    <row r="2870" spans="2:151" x14ac:dyDescent="0.2">
      <c r="B2870" s="34"/>
      <c r="EO2870" s="375" t="str">
        <f t="shared" si="326"/>
        <v>_</v>
      </c>
      <c r="EP2870" s="376"/>
      <c r="EQ2870" s="376"/>
      <c r="ER2870" s="377"/>
      <c r="ES2870" s="376"/>
      <c r="ET2870" s="376"/>
      <c r="EU2870" s="376"/>
    </row>
    <row r="2871" spans="2:151" x14ac:dyDescent="0.2">
      <c r="B2871" s="34"/>
      <c r="EO2871" s="375" t="str">
        <f t="shared" si="326"/>
        <v>_</v>
      </c>
      <c r="EP2871" s="376"/>
      <c r="EQ2871" s="376"/>
      <c r="ER2871" s="377"/>
      <c r="ES2871" s="376"/>
      <c r="ET2871" s="376"/>
      <c r="EU2871" s="376"/>
    </row>
    <row r="2872" spans="2:151" x14ac:dyDescent="0.2">
      <c r="B2872" s="34"/>
      <c r="EO2872" s="375" t="str">
        <f t="shared" si="326"/>
        <v>_</v>
      </c>
      <c r="EP2872" s="376"/>
      <c r="EQ2872" s="376"/>
      <c r="ER2872" s="377"/>
      <c r="ES2872" s="376"/>
      <c r="ET2872" s="376"/>
      <c r="EU2872" s="376"/>
    </row>
    <row r="2873" spans="2:151" x14ac:dyDescent="0.2">
      <c r="B2873" s="34"/>
      <c r="EO2873" s="375" t="str">
        <f t="shared" si="326"/>
        <v>_</v>
      </c>
      <c r="EP2873" s="376"/>
      <c r="EQ2873" s="376"/>
      <c r="ER2873" s="377"/>
      <c r="ES2873" s="376"/>
      <c r="ET2873" s="376"/>
      <c r="EU2873" s="376"/>
    </row>
    <row r="2874" spans="2:151" x14ac:dyDescent="0.2">
      <c r="B2874" s="34"/>
      <c r="EO2874" s="375" t="str">
        <f t="shared" si="326"/>
        <v>_</v>
      </c>
      <c r="EP2874" s="376"/>
      <c r="EQ2874" s="376"/>
      <c r="ER2874" s="377"/>
      <c r="ES2874" s="376"/>
      <c r="ET2874" s="376"/>
      <c r="EU2874" s="376"/>
    </row>
    <row r="2875" spans="2:151" x14ac:dyDescent="0.2">
      <c r="B2875" s="34"/>
      <c r="EO2875" s="375" t="str">
        <f t="shared" si="326"/>
        <v>_</v>
      </c>
      <c r="EP2875" s="376"/>
      <c r="EQ2875" s="376"/>
      <c r="ER2875" s="377"/>
      <c r="ES2875" s="376"/>
      <c r="ET2875" s="376"/>
      <c r="EU2875" s="376"/>
    </row>
    <row r="2876" spans="2:151" x14ac:dyDescent="0.2">
      <c r="B2876" s="34"/>
      <c r="EO2876" s="375" t="str">
        <f t="shared" si="326"/>
        <v>_</v>
      </c>
      <c r="EP2876" s="376"/>
      <c r="EQ2876" s="376"/>
      <c r="ER2876" s="377"/>
      <c r="ES2876" s="376"/>
      <c r="ET2876" s="376"/>
      <c r="EU2876" s="376"/>
    </row>
    <row r="2877" spans="2:151" x14ac:dyDescent="0.2">
      <c r="B2877" s="34"/>
      <c r="EO2877" s="375" t="str">
        <f t="shared" si="326"/>
        <v>_</v>
      </c>
      <c r="EP2877" s="376"/>
      <c r="EQ2877" s="376"/>
      <c r="ER2877" s="377"/>
      <c r="ES2877" s="376"/>
      <c r="ET2877" s="376"/>
      <c r="EU2877" s="376"/>
    </row>
    <row r="2878" spans="2:151" x14ac:dyDescent="0.2">
      <c r="B2878" s="34"/>
      <c r="EO2878" s="375" t="str">
        <f t="shared" si="326"/>
        <v>_</v>
      </c>
      <c r="EP2878" s="376"/>
      <c r="EQ2878" s="376"/>
      <c r="ER2878" s="377"/>
      <c r="ES2878" s="376"/>
      <c r="ET2878" s="376"/>
      <c r="EU2878" s="376"/>
    </row>
    <row r="2879" spans="2:151" x14ac:dyDescent="0.2">
      <c r="B2879" s="34"/>
      <c r="EO2879" s="375" t="str">
        <f t="shared" si="326"/>
        <v>_</v>
      </c>
      <c r="EP2879" s="376"/>
      <c r="EQ2879" s="376"/>
      <c r="ER2879" s="377"/>
      <c r="ES2879" s="376"/>
      <c r="ET2879" s="376"/>
      <c r="EU2879" s="376"/>
    </row>
    <row r="2880" spans="2:151" x14ac:dyDescent="0.2">
      <c r="B2880" s="34"/>
      <c r="EO2880" s="375" t="str">
        <f t="shared" si="326"/>
        <v>_</v>
      </c>
      <c r="EP2880" s="376"/>
      <c r="EQ2880" s="376"/>
      <c r="ER2880" s="377"/>
      <c r="ES2880" s="376"/>
      <c r="ET2880" s="376"/>
      <c r="EU2880" s="376"/>
    </row>
    <row r="2881" spans="2:151" x14ac:dyDescent="0.2">
      <c r="B2881" s="34"/>
      <c r="EO2881" s="375" t="str">
        <f t="shared" si="326"/>
        <v>_</v>
      </c>
      <c r="EP2881" s="376"/>
      <c r="EQ2881" s="376"/>
      <c r="ER2881" s="377"/>
      <c r="ES2881" s="376"/>
      <c r="ET2881" s="376"/>
      <c r="EU2881" s="376"/>
    </row>
    <row r="2882" spans="2:151" x14ac:dyDescent="0.2">
      <c r="B2882" s="34"/>
      <c r="EO2882" s="375" t="str">
        <f t="shared" si="326"/>
        <v>_</v>
      </c>
      <c r="EP2882" s="376"/>
      <c r="EQ2882" s="376"/>
      <c r="ER2882" s="377"/>
      <c r="ES2882" s="376"/>
      <c r="ET2882" s="376"/>
      <c r="EU2882" s="376"/>
    </row>
    <row r="2883" spans="2:151" x14ac:dyDescent="0.2">
      <c r="B2883" s="34"/>
      <c r="EO2883" s="375" t="str">
        <f t="shared" si="326"/>
        <v>_</v>
      </c>
      <c r="EP2883" s="376"/>
      <c r="EQ2883" s="376"/>
      <c r="ER2883" s="377"/>
      <c r="ES2883" s="376"/>
      <c r="ET2883" s="376"/>
      <c r="EU2883" s="376"/>
    </row>
    <row r="2884" spans="2:151" x14ac:dyDescent="0.2">
      <c r="B2884" s="34"/>
      <c r="EO2884" s="375" t="str">
        <f t="shared" si="326"/>
        <v>_</v>
      </c>
      <c r="EP2884" s="376"/>
      <c r="EQ2884" s="376"/>
      <c r="ER2884" s="377"/>
      <c r="ES2884" s="376"/>
      <c r="ET2884" s="376"/>
      <c r="EU2884" s="376"/>
    </row>
    <row r="2885" spans="2:151" x14ac:dyDescent="0.2">
      <c r="B2885" s="34"/>
      <c r="EO2885" s="375" t="str">
        <f t="shared" si="326"/>
        <v>_</v>
      </c>
      <c r="EP2885" s="376"/>
      <c r="EQ2885" s="376"/>
      <c r="ER2885" s="377"/>
      <c r="ES2885" s="376"/>
      <c r="ET2885" s="376"/>
      <c r="EU2885" s="376"/>
    </row>
    <row r="2886" spans="2:151" x14ac:dyDescent="0.2">
      <c r="B2886" s="34"/>
      <c r="EO2886" s="375" t="str">
        <f t="shared" si="326"/>
        <v>_</v>
      </c>
      <c r="EP2886" s="376"/>
      <c r="EQ2886" s="376"/>
      <c r="ER2886" s="377"/>
      <c r="ES2886" s="376"/>
      <c r="ET2886" s="376"/>
      <c r="EU2886" s="376"/>
    </row>
    <row r="2887" spans="2:151" x14ac:dyDescent="0.2">
      <c r="B2887" s="34"/>
      <c r="EO2887" s="375" t="str">
        <f t="shared" si="326"/>
        <v>_</v>
      </c>
      <c r="EP2887" s="376"/>
      <c r="EQ2887" s="376"/>
      <c r="ER2887" s="377"/>
      <c r="ES2887" s="376"/>
      <c r="ET2887" s="376"/>
      <c r="EU2887" s="376"/>
    </row>
    <row r="2888" spans="2:151" x14ac:dyDescent="0.2">
      <c r="B2888" s="34"/>
      <c r="EO2888" s="375" t="str">
        <f t="shared" si="326"/>
        <v>_</v>
      </c>
      <c r="EP2888" s="376"/>
      <c r="EQ2888" s="376"/>
      <c r="ER2888" s="377"/>
      <c r="ES2888" s="376"/>
      <c r="ET2888" s="376"/>
      <c r="EU2888" s="376"/>
    </row>
    <row r="2889" spans="2:151" x14ac:dyDescent="0.2">
      <c r="B2889" s="34"/>
      <c r="EO2889" s="375" t="str">
        <f t="shared" si="326"/>
        <v>_</v>
      </c>
      <c r="EP2889" s="376"/>
      <c r="EQ2889" s="376"/>
      <c r="ER2889" s="377"/>
      <c r="ES2889" s="376"/>
      <c r="ET2889" s="376"/>
      <c r="EU2889" s="376"/>
    </row>
    <row r="2890" spans="2:151" x14ac:dyDescent="0.2">
      <c r="B2890" s="34"/>
      <c r="EO2890" s="375" t="str">
        <f t="shared" si="326"/>
        <v>_</v>
      </c>
      <c r="EP2890" s="376"/>
      <c r="EQ2890" s="376"/>
      <c r="ER2890" s="377"/>
      <c r="ES2890" s="376"/>
      <c r="ET2890" s="376"/>
      <c r="EU2890" s="376"/>
    </row>
    <row r="2891" spans="2:151" x14ac:dyDescent="0.2">
      <c r="B2891" s="34"/>
      <c r="EO2891" s="375" t="str">
        <f t="shared" si="326"/>
        <v>_</v>
      </c>
      <c r="EP2891" s="376"/>
      <c r="EQ2891" s="376"/>
      <c r="ER2891" s="377"/>
      <c r="ES2891" s="376"/>
      <c r="ET2891" s="376"/>
      <c r="EU2891" s="376"/>
    </row>
    <row r="2892" spans="2:151" x14ac:dyDescent="0.2">
      <c r="B2892" s="34"/>
      <c r="EO2892" s="375" t="str">
        <f t="shared" si="326"/>
        <v>_</v>
      </c>
      <c r="EP2892" s="376"/>
      <c r="EQ2892" s="376"/>
      <c r="ER2892" s="377"/>
      <c r="ES2892" s="376"/>
      <c r="ET2892" s="376"/>
      <c r="EU2892" s="376"/>
    </row>
    <row r="2893" spans="2:151" x14ac:dyDescent="0.2">
      <c r="B2893" s="34"/>
      <c r="EO2893" s="375" t="str">
        <f t="shared" si="326"/>
        <v>_</v>
      </c>
      <c r="EP2893" s="376"/>
      <c r="EQ2893" s="376"/>
      <c r="ER2893" s="377"/>
      <c r="ES2893" s="376"/>
      <c r="ET2893" s="376"/>
      <c r="EU2893" s="376"/>
    </row>
    <row r="2894" spans="2:151" x14ac:dyDescent="0.2">
      <c r="B2894" s="34"/>
      <c r="EO2894" s="375" t="str">
        <f t="shared" si="326"/>
        <v>_</v>
      </c>
      <c r="EP2894" s="376"/>
      <c r="EQ2894" s="376"/>
      <c r="ER2894" s="377"/>
      <c r="ES2894" s="376"/>
      <c r="ET2894" s="376"/>
      <c r="EU2894" s="376"/>
    </row>
    <row r="2895" spans="2:151" x14ac:dyDescent="0.2">
      <c r="B2895" s="34"/>
      <c r="EO2895" s="375" t="str">
        <f t="shared" si="326"/>
        <v>_</v>
      </c>
      <c r="EP2895" s="376"/>
      <c r="EQ2895" s="376"/>
      <c r="ER2895" s="377"/>
      <c r="ES2895" s="376"/>
      <c r="ET2895" s="376"/>
      <c r="EU2895" s="376"/>
    </row>
    <row r="2896" spans="2:151" x14ac:dyDescent="0.2">
      <c r="B2896" s="34"/>
      <c r="EO2896" s="375" t="str">
        <f t="shared" si="326"/>
        <v>_</v>
      </c>
      <c r="EP2896" s="376"/>
      <c r="EQ2896" s="376"/>
      <c r="ER2896" s="377"/>
      <c r="ES2896" s="376"/>
      <c r="ET2896" s="376"/>
      <c r="EU2896" s="376"/>
    </row>
    <row r="2897" spans="2:151" x14ac:dyDescent="0.2">
      <c r="B2897" s="34"/>
      <c r="EO2897" s="375" t="str">
        <f t="shared" si="326"/>
        <v>_</v>
      </c>
      <c r="EP2897" s="376"/>
      <c r="EQ2897" s="376"/>
      <c r="ER2897" s="377"/>
      <c r="ES2897" s="376"/>
      <c r="ET2897" s="376"/>
      <c r="EU2897" s="376"/>
    </row>
    <row r="2898" spans="2:151" x14ac:dyDescent="0.2">
      <c r="B2898" s="34"/>
      <c r="EO2898" s="375" t="str">
        <f t="shared" si="326"/>
        <v>_</v>
      </c>
      <c r="EP2898" s="376"/>
      <c r="EQ2898" s="376"/>
      <c r="ER2898" s="377"/>
      <c r="ES2898" s="376"/>
      <c r="ET2898" s="376"/>
      <c r="EU2898" s="376"/>
    </row>
    <row r="2899" spans="2:151" x14ac:dyDescent="0.2">
      <c r="B2899" s="34"/>
      <c r="EO2899" s="375" t="str">
        <f t="shared" si="326"/>
        <v>_</v>
      </c>
      <c r="EP2899" s="376"/>
      <c r="EQ2899" s="376"/>
      <c r="ER2899" s="377"/>
      <c r="ES2899" s="376"/>
      <c r="ET2899" s="376"/>
      <c r="EU2899" s="376"/>
    </row>
    <row r="2900" spans="2:151" x14ac:dyDescent="0.2">
      <c r="B2900" s="34"/>
      <c r="EO2900" s="375" t="str">
        <f t="shared" si="326"/>
        <v>_</v>
      </c>
      <c r="EP2900" s="376"/>
      <c r="EQ2900" s="376"/>
      <c r="ER2900" s="377"/>
      <c r="ES2900" s="376"/>
      <c r="ET2900" s="376"/>
      <c r="EU2900" s="376"/>
    </row>
    <row r="2901" spans="2:151" x14ac:dyDescent="0.2">
      <c r="B2901" s="34"/>
      <c r="EO2901" s="375" t="str">
        <f t="shared" si="326"/>
        <v>_</v>
      </c>
      <c r="EP2901" s="376"/>
      <c r="EQ2901" s="376"/>
      <c r="ER2901" s="377"/>
      <c r="ES2901" s="376"/>
      <c r="ET2901" s="376"/>
      <c r="EU2901" s="376"/>
    </row>
    <row r="2902" spans="2:151" x14ac:dyDescent="0.2">
      <c r="B2902" s="34"/>
      <c r="EO2902" s="375" t="str">
        <f t="shared" si="326"/>
        <v>_</v>
      </c>
      <c r="EP2902" s="376"/>
      <c r="EQ2902" s="376"/>
      <c r="ER2902" s="377"/>
      <c r="ES2902" s="376"/>
      <c r="ET2902" s="376"/>
      <c r="EU2902" s="376"/>
    </row>
    <row r="2903" spans="2:151" x14ac:dyDescent="0.2">
      <c r="B2903" s="34"/>
      <c r="EO2903" s="375" t="str">
        <f t="shared" si="326"/>
        <v>_</v>
      </c>
      <c r="EP2903" s="376"/>
      <c r="EQ2903" s="376"/>
      <c r="ER2903" s="377"/>
      <c r="ES2903" s="376"/>
      <c r="ET2903" s="376"/>
      <c r="EU2903" s="376"/>
    </row>
    <row r="2904" spans="2:151" x14ac:dyDescent="0.2">
      <c r="B2904" s="34"/>
      <c r="EO2904" s="375" t="str">
        <f t="shared" si="326"/>
        <v>_</v>
      </c>
      <c r="EP2904" s="376"/>
      <c r="EQ2904" s="376"/>
      <c r="ER2904" s="377"/>
      <c r="ES2904" s="376"/>
      <c r="ET2904" s="376"/>
      <c r="EU2904" s="376"/>
    </row>
    <row r="2905" spans="2:151" x14ac:dyDescent="0.2">
      <c r="B2905" s="34"/>
      <c r="EO2905" s="375" t="str">
        <f t="shared" si="326"/>
        <v>_</v>
      </c>
      <c r="EP2905" s="376"/>
      <c r="EQ2905" s="376"/>
      <c r="ER2905" s="377"/>
      <c r="ES2905" s="376"/>
      <c r="ET2905" s="376"/>
      <c r="EU2905" s="376"/>
    </row>
    <row r="2906" spans="2:151" x14ac:dyDescent="0.2">
      <c r="B2906" s="34"/>
      <c r="EO2906" s="375" t="str">
        <f t="shared" si="326"/>
        <v>_</v>
      </c>
      <c r="EP2906" s="376"/>
      <c r="EQ2906" s="376"/>
      <c r="ER2906" s="377"/>
      <c r="ES2906" s="376"/>
      <c r="ET2906" s="376"/>
      <c r="EU2906" s="376"/>
    </row>
    <row r="2907" spans="2:151" x14ac:dyDescent="0.2">
      <c r="B2907" s="34"/>
      <c r="EO2907" s="375" t="str">
        <f t="shared" si="326"/>
        <v>_</v>
      </c>
      <c r="EP2907" s="376"/>
      <c r="EQ2907" s="376"/>
      <c r="ER2907" s="377"/>
      <c r="ES2907" s="376"/>
      <c r="ET2907" s="376"/>
      <c r="EU2907" s="376"/>
    </row>
    <row r="2908" spans="2:151" x14ac:dyDescent="0.2">
      <c r="B2908" s="34"/>
      <c r="EO2908" s="375" t="str">
        <f t="shared" si="326"/>
        <v>_</v>
      </c>
      <c r="EP2908" s="376"/>
      <c r="EQ2908" s="376"/>
      <c r="ER2908" s="377"/>
      <c r="ES2908" s="376"/>
      <c r="ET2908" s="376"/>
      <c r="EU2908" s="376"/>
    </row>
    <row r="2909" spans="2:151" x14ac:dyDescent="0.2">
      <c r="B2909" s="34"/>
      <c r="EO2909" s="375" t="str">
        <f t="shared" ref="EO2909:EO2972" si="327">B2909&amp;"_"&amp;C2909</f>
        <v>_</v>
      </c>
      <c r="EP2909" s="376"/>
      <c r="EQ2909" s="376"/>
      <c r="ER2909" s="377"/>
      <c r="ES2909" s="376"/>
      <c r="ET2909" s="376"/>
      <c r="EU2909" s="376"/>
    </row>
    <row r="2910" spans="2:151" x14ac:dyDescent="0.2">
      <c r="B2910" s="34"/>
      <c r="EO2910" s="375" t="str">
        <f t="shared" si="327"/>
        <v>_</v>
      </c>
      <c r="EP2910" s="376"/>
      <c r="EQ2910" s="376"/>
      <c r="ER2910" s="377"/>
      <c r="ES2910" s="376"/>
      <c r="ET2910" s="376"/>
      <c r="EU2910" s="376"/>
    </row>
    <row r="2911" spans="2:151" x14ac:dyDescent="0.2">
      <c r="B2911" s="34"/>
      <c r="EO2911" s="375" t="str">
        <f t="shared" si="327"/>
        <v>_</v>
      </c>
      <c r="EP2911" s="376"/>
      <c r="EQ2911" s="376"/>
      <c r="ER2911" s="377"/>
      <c r="ES2911" s="376"/>
      <c r="ET2911" s="376"/>
      <c r="EU2911" s="376"/>
    </row>
    <row r="2912" spans="2:151" x14ac:dyDescent="0.2">
      <c r="B2912" s="34"/>
      <c r="EO2912" s="375" t="str">
        <f t="shared" si="327"/>
        <v>_</v>
      </c>
      <c r="EP2912" s="376"/>
      <c r="EQ2912" s="376"/>
      <c r="ER2912" s="377"/>
      <c r="ES2912" s="376"/>
      <c r="ET2912" s="376"/>
      <c r="EU2912" s="376"/>
    </row>
    <row r="2913" spans="2:151" x14ac:dyDescent="0.2">
      <c r="B2913" s="34"/>
      <c r="EO2913" s="375" t="str">
        <f t="shared" si="327"/>
        <v>_</v>
      </c>
      <c r="EP2913" s="376"/>
      <c r="EQ2913" s="376"/>
      <c r="ER2913" s="377"/>
      <c r="ES2913" s="376"/>
      <c r="ET2913" s="376"/>
      <c r="EU2913" s="376"/>
    </row>
    <row r="2914" spans="2:151" x14ac:dyDescent="0.2">
      <c r="B2914" s="34"/>
      <c r="EO2914" s="375" t="str">
        <f t="shared" si="327"/>
        <v>_</v>
      </c>
      <c r="EP2914" s="376"/>
      <c r="EQ2914" s="376"/>
      <c r="ER2914" s="377"/>
      <c r="ES2914" s="376"/>
      <c r="ET2914" s="376"/>
      <c r="EU2914" s="376"/>
    </row>
    <row r="2915" spans="2:151" x14ac:dyDescent="0.2">
      <c r="B2915" s="34"/>
      <c r="EO2915" s="375" t="str">
        <f t="shared" si="327"/>
        <v>_</v>
      </c>
      <c r="EP2915" s="376"/>
      <c r="EQ2915" s="376"/>
      <c r="ER2915" s="377"/>
      <c r="ES2915" s="376"/>
      <c r="ET2915" s="376"/>
      <c r="EU2915" s="376"/>
    </row>
    <row r="2916" spans="2:151" x14ac:dyDescent="0.2">
      <c r="B2916" s="34"/>
      <c r="EO2916" s="375" t="str">
        <f t="shared" si="327"/>
        <v>_</v>
      </c>
      <c r="EP2916" s="376"/>
      <c r="EQ2916" s="376"/>
      <c r="ER2916" s="377"/>
      <c r="ES2916" s="376"/>
      <c r="ET2916" s="376"/>
      <c r="EU2916" s="376"/>
    </row>
    <row r="2917" spans="2:151" x14ac:dyDescent="0.2">
      <c r="B2917" s="34"/>
      <c r="EO2917" s="375" t="str">
        <f t="shared" si="327"/>
        <v>_</v>
      </c>
      <c r="EP2917" s="376"/>
      <c r="EQ2917" s="376"/>
      <c r="ER2917" s="377"/>
      <c r="ES2917" s="376"/>
      <c r="ET2917" s="376"/>
      <c r="EU2917" s="376"/>
    </row>
    <row r="2918" spans="2:151" x14ac:dyDescent="0.2">
      <c r="B2918" s="34"/>
      <c r="EO2918" s="375" t="str">
        <f t="shared" si="327"/>
        <v>_</v>
      </c>
      <c r="EP2918" s="376"/>
      <c r="EQ2918" s="376"/>
      <c r="ER2918" s="377"/>
      <c r="ES2918" s="376"/>
      <c r="ET2918" s="376"/>
      <c r="EU2918" s="376"/>
    </row>
    <row r="2919" spans="2:151" x14ac:dyDescent="0.2">
      <c r="B2919" s="34"/>
      <c r="EO2919" s="375" t="str">
        <f t="shared" si="327"/>
        <v>_</v>
      </c>
      <c r="EP2919" s="376"/>
      <c r="EQ2919" s="376"/>
      <c r="ER2919" s="377"/>
      <c r="ES2919" s="376"/>
      <c r="ET2919" s="376"/>
      <c r="EU2919" s="376"/>
    </row>
    <row r="2920" spans="2:151" x14ac:dyDescent="0.2">
      <c r="B2920" s="34"/>
      <c r="EO2920" s="375" t="str">
        <f t="shared" si="327"/>
        <v>_</v>
      </c>
      <c r="EP2920" s="376"/>
      <c r="EQ2920" s="376"/>
      <c r="ER2920" s="377"/>
      <c r="ES2920" s="376"/>
      <c r="ET2920" s="376"/>
      <c r="EU2920" s="376"/>
    </row>
    <row r="2921" spans="2:151" x14ac:dyDescent="0.2">
      <c r="B2921" s="34"/>
      <c r="EO2921" s="375" t="str">
        <f t="shared" si="327"/>
        <v>_</v>
      </c>
      <c r="EP2921" s="376"/>
      <c r="EQ2921" s="376"/>
      <c r="ER2921" s="377"/>
      <c r="ES2921" s="376"/>
      <c r="ET2921" s="376"/>
      <c r="EU2921" s="376"/>
    </row>
    <row r="2922" spans="2:151" x14ac:dyDescent="0.2">
      <c r="B2922" s="34"/>
      <c r="EO2922" s="375" t="str">
        <f t="shared" si="327"/>
        <v>_</v>
      </c>
      <c r="EP2922" s="376"/>
      <c r="EQ2922" s="376"/>
      <c r="ER2922" s="377"/>
      <c r="ES2922" s="376"/>
      <c r="ET2922" s="376"/>
      <c r="EU2922" s="376"/>
    </row>
    <row r="2923" spans="2:151" x14ac:dyDescent="0.2">
      <c r="B2923" s="34"/>
      <c r="EO2923" s="375" t="str">
        <f t="shared" si="327"/>
        <v>_</v>
      </c>
      <c r="EP2923" s="376"/>
      <c r="EQ2923" s="376"/>
      <c r="ER2923" s="377"/>
      <c r="ES2923" s="376"/>
      <c r="ET2923" s="376"/>
      <c r="EU2923" s="376"/>
    </row>
    <row r="2924" spans="2:151" x14ac:dyDescent="0.2">
      <c r="B2924" s="34"/>
      <c r="EO2924" s="375" t="str">
        <f t="shared" si="327"/>
        <v>_</v>
      </c>
      <c r="EP2924" s="376"/>
      <c r="EQ2924" s="376"/>
      <c r="ER2924" s="377"/>
      <c r="ES2924" s="376"/>
      <c r="ET2924" s="376"/>
      <c r="EU2924" s="376"/>
    </row>
    <row r="2925" spans="2:151" x14ac:dyDescent="0.2">
      <c r="B2925" s="34"/>
      <c r="EO2925" s="375" t="str">
        <f t="shared" si="327"/>
        <v>_</v>
      </c>
      <c r="EP2925" s="376"/>
      <c r="EQ2925" s="376"/>
      <c r="ER2925" s="377"/>
      <c r="ES2925" s="376"/>
      <c r="ET2925" s="376"/>
      <c r="EU2925" s="376"/>
    </row>
    <row r="2926" spans="2:151" x14ac:dyDescent="0.2">
      <c r="B2926" s="34"/>
      <c r="EO2926" s="375" t="str">
        <f t="shared" si="327"/>
        <v>_</v>
      </c>
      <c r="EP2926" s="376"/>
      <c r="EQ2926" s="376"/>
      <c r="ER2926" s="377"/>
      <c r="ES2926" s="376"/>
      <c r="ET2926" s="376"/>
      <c r="EU2926" s="376"/>
    </row>
    <row r="2927" spans="2:151" x14ac:dyDescent="0.2">
      <c r="B2927" s="34"/>
      <c r="EO2927" s="375" t="str">
        <f t="shared" si="327"/>
        <v>_</v>
      </c>
      <c r="EP2927" s="376"/>
      <c r="EQ2927" s="376"/>
      <c r="ER2927" s="377"/>
      <c r="ES2927" s="376"/>
      <c r="ET2927" s="376"/>
      <c r="EU2927" s="376"/>
    </row>
    <row r="2928" spans="2:151" x14ac:dyDescent="0.2">
      <c r="B2928" s="34"/>
      <c r="EO2928" s="375" t="str">
        <f t="shared" si="327"/>
        <v>_</v>
      </c>
      <c r="EP2928" s="376"/>
      <c r="EQ2928" s="376"/>
      <c r="ER2928" s="377"/>
      <c r="ES2928" s="376"/>
      <c r="ET2928" s="376"/>
      <c r="EU2928" s="376"/>
    </row>
    <row r="2929" spans="2:151" x14ac:dyDescent="0.2">
      <c r="B2929" s="34"/>
      <c r="EO2929" s="375" t="str">
        <f t="shared" si="327"/>
        <v>_</v>
      </c>
      <c r="EP2929" s="376"/>
      <c r="EQ2929" s="376"/>
      <c r="ER2929" s="377"/>
      <c r="ES2929" s="376"/>
      <c r="ET2929" s="376"/>
      <c r="EU2929" s="376"/>
    </row>
    <row r="2930" spans="2:151" x14ac:dyDescent="0.2">
      <c r="B2930" s="34"/>
      <c r="EO2930" s="375" t="str">
        <f t="shared" si="327"/>
        <v>_</v>
      </c>
      <c r="EP2930" s="376"/>
      <c r="EQ2930" s="376"/>
      <c r="ER2930" s="377"/>
      <c r="ES2930" s="376"/>
      <c r="ET2930" s="376"/>
      <c r="EU2930" s="376"/>
    </row>
    <row r="2931" spans="2:151" x14ac:dyDescent="0.2">
      <c r="B2931" s="34"/>
      <c r="EO2931" s="375" t="str">
        <f t="shared" si="327"/>
        <v>_</v>
      </c>
      <c r="EP2931" s="376"/>
      <c r="EQ2931" s="376"/>
      <c r="ER2931" s="377"/>
      <c r="ES2931" s="376"/>
      <c r="ET2931" s="376"/>
      <c r="EU2931" s="376"/>
    </row>
    <row r="2932" spans="2:151" x14ac:dyDescent="0.2">
      <c r="B2932" s="34"/>
      <c r="EO2932" s="375" t="str">
        <f t="shared" si="327"/>
        <v>_</v>
      </c>
      <c r="EP2932" s="376"/>
      <c r="EQ2932" s="376"/>
      <c r="ER2932" s="377"/>
      <c r="ES2932" s="376"/>
      <c r="ET2932" s="376"/>
      <c r="EU2932" s="376"/>
    </row>
    <row r="2933" spans="2:151" x14ac:dyDescent="0.2">
      <c r="B2933" s="34"/>
      <c r="EO2933" s="375" t="str">
        <f t="shared" si="327"/>
        <v>_</v>
      </c>
      <c r="EP2933" s="376"/>
      <c r="EQ2933" s="376"/>
      <c r="ER2933" s="377"/>
      <c r="ES2933" s="376"/>
      <c r="ET2933" s="376"/>
      <c r="EU2933" s="376"/>
    </row>
    <row r="2934" spans="2:151" x14ac:dyDescent="0.2">
      <c r="B2934" s="34"/>
      <c r="EO2934" s="375" t="str">
        <f t="shared" si="327"/>
        <v>_</v>
      </c>
      <c r="EP2934" s="376"/>
      <c r="EQ2934" s="376"/>
      <c r="ER2934" s="377"/>
      <c r="ES2934" s="376"/>
      <c r="ET2934" s="376"/>
      <c r="EU2934" s="376"/>
    </row>
    <row r="2935" spans="2:151" x14ac:dyDescent="0.2">
      <c r="B2935" s="34"/>
      <c r="EO2935" s="375" t="str">
        <f t="shared" si="327"/>
        <v>_</v>
      </c>
      <c r="EP2935" s="376"/>
      <c r="EQ2935" s="376"/>
      <c r="ER2935" s="377"/>
      <c r="ES2935" s="376"/>
      <c r="ET2935" s="376"/>
      <c r="EU2935" s="376"/>
    </row>
    <row r="2936" spans="2:151" x14ac:dyDescent="0.2">
      <c r="B2936" s="34"/>
      <c r="EO2936" s="375" t="str">
        <f t="shared" si="327"/>
        <v>_</v>
      </c>
      <c r="EP2936" s="376"/>
      <c r="EQ2936" s="376"/>
      <c r="ER2936" s="377"/>
      <c r="ES2936" s="376"/>
      <c r="ET2936" s="376"/>
      <c r="EU2936" s="376"/>
    </row>
    <row r="2937" spans="2:151" x14ac:dyDescent="0.2">
      <c r="B2937" s="34"/>
      <c r="EO2937" s="375" t="str">
        <f t="shared" si="327"/>
        <v>_</v>
      </c>
      <c r="EP2937" s="376"/>
      <c r="EQ2937" s="376"/>
      <c r="ER2937" s="377"/>
      <c r="ES2937" s="376"/>
      <c r="ET2937" s="376"/>
      <c r="EU2937" s="376"/>
    </row>
    <row r="2938" spans="2:151" x14ac:dyDescent="0.2">
      <c r="B2938" s="34"/>
      <c r="EO2938" s="375" t="str">
        <f t="shared" si="327"/>
        <v>_</v>
      </c>
      <c r="EP2938" s="376"/>
      <c r="EQ2938" s="376"/>
      <c r="ER2938" s="377"/>
      <c r="ES2938" s="376"/>
      <c r="ET2938" s="376"/>
      <c r="EU2938" s="376"/>
    </row>
    <row r="2939" spans="2:151" x14ac:dyDescent="0.2">
      <c r="B2939" s="34"/>
      <c r="EO2939" s="375" t="str">
        <f t="shared" si="327"/>
        <v>_</v>
      </c>
      <c r="EP2939" s="376"/>
      <c r="EQ2939" s="376"/>
      <c r="ER2939" s="377"/>
      <c r="ES2939" s="376"/>
      <c r="ET2939" s="376"/>
      <c r="EU2939" s="376"/>
    </row>
    <row r="2940" spans="2:151" x14ac:dyDescent="0.2">
      <c r="B2940" s="34"/>
      <c r="EO2940" s="375" t="str">
        <f t="shared" si="327"/>
        <v>_</v>
      </c>
      <c r="EP2940" s="376"/>
      <c r="EQ2940" s="376"/>
      <c r="ER2940" s="377"/>
      <c r="ES2940" s="376"/>
      <c r="ET2940" s="376"/>
      <c r="EU2940" s="376"/>
    </row>
    <row r="2941" spans="2:151" x14ac:dyDescent="0.2">
      <c r="B2941" s="34"/>
      <c r="EO2941" s="375" t="str">
        <f t="shared" si="327"/>
        <v>_</v>
      </c>
      <c r="EP2941" s="376"/>
      <c r="EQ2941" s="376"/>
      <c r="ER2941" s="377"/>
      <c r="ES2941" s="376"/>
      <c r="ET2941" s="376"/>
      <c r="EU2941" s="376"/>
    </row>
    <row r="2942" spans="2:151" x14ac:dyDescent="0.2">
      <c r="B2942" s="34"/>
      <c r="EO2942" s="375" t="str">
        <f t="shared" si="327"/>
        <v>_</v>
      </c>
      <c r="EP2942" s="376"/>
      <c r="EQ2942" s="376"/>
      <c r="ER2942" s="377"/>
      <c r="ES2942" s="376"/>
      <c r="ET2942" s="376"/>
      <c r="EU2942" s="376"/>
    </row>
    <row r="2943" spans="2:151" x14ac:dyDescent="0.2">
      <c r="B2943" s="34"/>
      <c r="EO2943" s="375" t="str">
        <f t="shared" si="327"/>
        <v>_</v>
      </c>
      <c r="EP2943" s="376"/>
      <c r="EQ2943" s="376"/>
      <c r="ER2943" s="377"/>
      <c r="ES2943" s="376"/>
      <c r="ET2943" s="376"/>
      <c r="EU2943" s="376"/>
    </row>
    <row r="2944" spans="2:151" x14ac:dyDescent="0.2">
      <c r="B2944" s="34"/>
      <c r="EO2944" s="375" t="str">
        <f t="shared" si="327"/>
        <v>_</v>
      </c>
      <c r="EP2944" s="376"/>
      <c r="EQ2944" s="376"/>
      <c r="ER2944" s="377"/>
      <c r="ES2944" s="376"/>
      <c r="ET2944" s="376"/>
      <c r="EU2944" s="376"/>
    </row>
    <row r="2945" spans="2:151" x14ac:dyDescent="0.2">
      <c r="B2945" s="34"/>
      <c r="EO2945" s="375" t="str">
        <f t="shared" si="327"/>
        <v>_</v>
      </c>
      <c r="EP2945" s="376"/>
      <c r="EQ2945" s="376"/>
      <c r="ER2945" s="377"/>
      <c r="ES2945" s="376"/>
      <c r="ET2945" s="376"/>
      <c r="EU2945" s="376"/>
    </row>
    <row r="2946" spans="2:151" x14ac:dyDescent="0.2">
      <c r="B2946" s="34"/>
      <c r="EO2946" s="375" t="str">
        <f t="shared" si="327"/>
        <v>_</v>
      </c>
      <c r="EP2946" s="376"/>
      <c r="EQ2946" s="376"/>
      <c r="ER2946" s="377"/>
      <c r="ES2946" s="376"/>
      <c r="ET2946" s="376"/>
      <c r="EU2946" s="376"/>
    </row>
    <row r="2947" spans="2:151" x14ac:dyDescent="0.2">
      <c r="B2947" s="34"/>
      <c r="EO2947" s="375" t="str">
        <f t="shared" si="327"/>
        <v>_</v>
      </c>
      <c r="EP2947" s="376"/>
      <c r="EQ2947" s="376"/>
      <c r="ER2947" s="377"/>
      <c r="ES2947" s="376"/>
      <c r="ET2947" s="376"/>
      <c r="EU2947" s="376"/>
    </row>
    <row r="2948" spans="2:151" x14ac:dyDescent="0.2">
      <c r="B2948" s="34"/>
      <c r="EO2948" s="375" t="str">
        <f t="shared" si="327"/>
        <v>_</v>
      </c>
      <c r="EP2948" s="376"/>
      <c r="EQ2948" s="376"/>
      <c r="ER2948" s="377"/>
      <c r="ES2948" s="376"/>
      <c r="ET2948" s="376"/>
      <c r="EU2948" s="376"/>
    </row>
    <row r="2949" spans="2:151" x14ac:dyDescent="0.2">
      <c r="B2949" s="34"/>
      <c r="EO2949" s="375" t="str">
        <f t="shared" si="327"/>
        <v>_</v>
      </c>
      <c r="EP2949" s="376"/>
      <c r="EQ2949" s="376"/>
      <c r="ER2949" s="377"/>
      <c r="ES2949" s="376"/>
      <c r="ET2949" s="376"/>
      <c r="EU2949" s="376"/>
    </row>
    <row r="2950" spans="2:151" x14ac:dyDescent="0.2">
      <c r="B2950" s="34"/>
      <c r="EO2950" s="375" t="str">
        <f t="shared" si="327"/>
        <v>_</v>
      </c>
      <c r="EP2950" s="376"/>
      <c r="EQ2950" s="376"/>
      <c r="ER2950" s="377"/>
      <c r="ES2950" s="376"/>
      <c r="ET2950" s="376"/>
      <c r="EU2950" s="376"/>
    </row>
    <row r="2951" spans="2:151" x14ac:dyDescent="0.2">
      <c r="B2951" s="34"/>
      <c r="EO2951" s="375" t="str">
        <f t="shared" si="327"/>
        <v>_</v>
      </c>
      <c r="EP2951" s="376"/>
      <c r="EQ2951" s="376"/>
      <c r="ER2951" s="377"/>
      <c r="ES2951" s="376"/>
      <c r="ET2951" s="376"/>
      <c r="EU2951" s="376"/>
    </row>
    <row r="2952" spans="2:151" x14ac:dyDescent="0.2">
      <c r="B2952" s="34"/>
      <c r="EO2952" s="375" t="str">
        <f t="shared" si="327"/>
        <v>_</v>
      </c>
      <c r="EP2952" s="376"/>
      <c r="EQ2952" s="376"/>
      <c r="ER2952" s="377"/>
      <c r="ES2952" s="376"/>
      <c r="ET2952" s="376"/>
      <c r="EU2952" s="376"/>
    </row>
    <row r="2953" spans="2:151" x14ac:dyDescent="0.2">
      <c r="B2953" s="34"/>
      <c r="EO2953" s="375" t="str">
        <f t="shared" si="327"/>
        <v>_</v>
      </c>
      <c r="EP2953" s="376"/>
      <c r="EQ2953" s="376"/>
      <c r="ER2953" s="377"/>
      <c r="ES2953" s="376"/>
      <c r="ET2953" s="376"/>
      <c r="EU2953" s="376"/>
    </row>
    <row r="2954" spans="2:151" x14ac:dyDescent="0.2">
      <c r="B2954" s="34"/>
      <c r="EO2954" s="375" t="str">
        <f t="shared" si="327"/>
        <v>_</v>
      </c>
      <c r="EP2954" s="376"/>
      <c r="EQ2954" s="376"/>
      <c r="ER2954" s="377"/>
      <c r="ES2954" s="376"/>
      <c r="ET2954" s="376"/>
      <c r="EU2954" s="376"/>
    </row>
    <row r="2955" spans="2:151" x14ac:dyDescent="0.2">
      <c r="B2955" s="34"/>
      <c r="EO2955" s="375" t="str">
        <f t="shared" si="327"/>
        <v>_</v>
      </c>
      <c r="EP2955" s="376"/>
      <c r="EQ2955" s="376"/>
      <c r="ER2955" s="377"/>
      <c r="ES2955" s="376"/>
      <c r="ET2955" s="376"/>
      <c r="EU2955" s="376"/>
    </row>
    <row r="2956" spans="2:151" x14ac:dyDescent="0.2">
      <c r="B2956" s="34"/>
      <c r="EO2956" s="375" t="str">
        <f t="shared" si="327"/>
        <v>_</v>
      </c>
      <c r="EP2956" s="376"/>
      <c r="EQ2956" s="376"/>
      <c r="ER2956" s="377"/>
      <c r="ES2956" s="376"/>
      <c r="ET2956" s="376"/>
      <c r="EU2956" s="376"/>
    </row>
    <row r="2957" spans="2:151" x14ac:dyDescent="0.2">
      <c r="B2957" s="34"/>
      <c r="EO2957" s="375" t="str">
        <f t="shared" si="327"/>
        <v>_</v>
      </c>
      <c r="EP2957" s="376"/>
      <c r="EQ2957" s="376"/>
      <c r="ER2957" s="377"/>
      <c r="ES2957" s="376"/>
      <c r="ET2957" s="376"/>
      <c r="EU2957" s="376"/>
    </row>
    <row r="2958" spans="2:151" x14ac:dyDescent="0.2">
      <c r="B2958" s="34"/>
      <c r="EO2958" s="375" t="str">
        <f t="shared" si="327"/>
        <v>_</v>
      </c>
      <c r="EP2958" s="376"/>
      <c r="EQ2958" s="376"/>
      <c r="ER2958" s="377"/>
      <c r="ES2958" s="376"/>
      <c r="ET2958" s="376"/>
      <c r="EU2958" s="376"/>
    </row>
    <row r="2959" spans="2:151" x14ac:dyDescent="0.2">
      <c r="B2959" s="34"/>
      <c r="EO2959" s="375" t="str">
        <f t="shared" si="327"/>
        <v>_</v>
      </c>
      <c r="EP2959" s="376"/>
      <c r="EQ2959" s="376"/>
      <c r="ER2959" s="377"/>
      <c r="ES2959" s="376"/>
      <c r="ET2959" s="376"/>
      <c r="EU2959" s="376"/>
    </row>
    <row r="2960" spans="2:151" x14ac:dyDescent="0.2">
      <c r="B2960" s="34"/>
      <c r="EO2960" s="375" t="str">
        <f t="shared" si="327"/>
        <v>_</v>
      </c>
      <c r="EP2960" s="376"/>
      <c r="EQ2960" s="376"/>
      <c r="ER2960" s="377"/>
      <c r="ES2960" s="376"/>
      <c r="ET2960" s="376"/>
      <c r="EU2960" s="376"/>
    </row>
    <row r="2961" spans="2:151" x14ac:dyDescent="0.2">
      <c r="B2961" s="34"/>
      <c r="EO2961" s="375" t="str">
        <f t="shared" si="327"/>
        <v>_</v>
      </c>
      <c r="EP2961" s="376"/>
      <c r="EQ2961" s="376"/>
      <c r="ER2961" s="377"/>
      <c r="ES2961" s="376"/>
      <c r="ET2961" s="376"/>
      <c r="EU2961" s="376"/>
    </row>
    <row r="2962" spans="2:151" x14ac:dyDescent="0.2">
      <c r="B2962" s="34"/>
      <c r="EO2962" s="375" t="str">
        <f t="shared" si="327"/>
        <v>_</v>
      </c>
      <c r="EP2962" s="376"/>
      <c r="EQ2962" s="376"/>
      <c r="ER2962" s="377"/>
      <c r="ES2962" s="376"/>
      <c r="ET2962" s="376"/>
      <c r="EU2962" s="376"/>
    </row>
    <row r="2963" spans="2:151" x14ac:dyDescent="0.2">
      <c r="B2963" s="34"/>
      <c r="EO2963" s="375" t="str">
        <f t="shared" si="327"/>
        <v>_</v>
      </c>
      <c r="EP2963" s="376"/>
      <c r="EQ2963" s="376"/>
      <c r="ER2963" s="377"/>
      <c r="ES2963" s="376"/>
      <c r="ET2963" s="376"/>
      <c r="EU2963" s="376"/>
    </row>
    <row r="2964" spans="2:151" x14ac:dyDescent="0.2">
      <c r="B2964" s="34"/>
      <c r="EO2964" s="375" t="str">
        <f t="shared" si="327"/>
        <v>_</v>
      </c>
      <c r="EP2964" s="376"/>
      <c r="EQ2964" s="376"/>
      <c r="ER2964" s="377"/>
      <c r="ES2964" s="376"/>
      <c r="ET2964" s="376"/>
      <c r="EU2964" s="376"/>
    </row>
    <row r="2965" spans="2:151" x14ac:dyDescent="0.2">
      <c r="B2965" s="34"/>
      <c r="EO2965" s="375" t="str">
        <f t="shared" si="327"/>
        <v>_</v>
      </c>
      <c r="EP2965" s="376"/>
      <c r="EQ2965" s="376"/>
      <c r="ER2965" s="377"/>
      <c r="ES2965" s="376"/>
      <c r="ET2965" s="376"/>
      <c r="EU2965" s="376"/>
    </row>
    <row r="2966" spans="2:151" x14ac:dyDescent="0.2">
      <c r="B2966" s="34"/>
      <c r="EO2966" s="375" t="str">
        <f t="shared" si="327"/>
        <v>_</v>
      </c>
      <c r="EP2966" s="376"/>
      <c r="EQ2966" s="376"/>
      <c r="ER2966" s="377"/>
      <c r="ES2966" s="376"/>
      <c r="ET2966" s="376"/>
      <c r="EU2966" s="376"/>
    </row>
    <row r="2967" spans="2:151" x14ac:dyDescent="0.2">
      <c r="B2967" s="34"/>
      <c r="EO2967" s="375" t="str">
        <f t="shared" si="327"/>
        <v>_</v>
      </c>
      <c r="EP2967" s="376"/>
      <c r="EQ2967" s="376"/>
      <c r="ER2967" s="377"/>
      <c r="ES2967" s="376"/>
      <c r="ET2967" s="376"/>
      <c r="EU2967" s="376"/>
    </row>
    <row r="2968" spans="2:151" x14ac:dyDescent="0.2">
      <c r="B2968" s="34"/>
      <c r="EO2968" s="375" t="str">
        <f t="shared" si="327"/>
        <v>_</v>
      </c>
      <c r="EP2968" s="376"/>
      <c r="EQ2968" s="376"/>
      <c r="ER2968" s="377"/>
      <c r="ES2968" s="376"/>
      <c r="ET2968" s="376"/>
      <c r="EU2968" s="376"/>
    </row>
    <row r="2969" spans="2:151" x14ac:dyDescent="0.2">
      <c r="B2969" s="34"/>
      <c r="EO2969" s="375" t="str">
        <f t="shared" si="327"/>
        <v>_</v>
      </c>
      <c r="EP2969" s="376"/>
      <c r="EQ2969" s="376"/>
      <c r="ER2969" s="377"/>
      <c r="ES2969" s="376"/>
      <c r="ET2969" s="376"/>
      <c r="EU2969" s="376"/>
    </row>
    <row r="2970" spans="2:151" x14ac:dyDescent="0.2">
      <c r="B2970" s="34"/>
      <c r="EO2970" s="375" t="str">
        <f t="shared" si="327"/>
        <v>_</v>
      </c>
      <c r="EP2970" s="376"/>
      <c r="EQ2970" s="376"/>
      <c r="ER2970" s="377"/>
      <c r="ES2970" s="376"/>
      <c r="ET2970" s="376"/>
      <c r="EU2970" s="376"/>
    </row>
    <row r="2971" spans="2:151" x14ac:dyDescent="0.2">
      <c r="B2971" s="34"/>
      <c r="EO2971" s="375" t="str">
        <f t="shared" si="327"/>
        <v>_</v>
      </c>
      <c r="EP2971" s="376"/>
      <c r="EQ2971" s="376"/>
      <c r="ER2971" s="377"/>
      <c r="ES2971" s="376"/>
      <c r="ET2971" s="376"/>
      <c r="EU2971" s="376"/>
    </row>
    <row r="2972" spans="2:151" x14ac:dyDescent="0.2">
      <c r="B2972" s="34"/>
      <c r="EO2972" s="375" t="str">
        <f t="shared" si="327"/>
        <v>_</v>
      </c>
      <c r="EP2972" s="376"/>
      <c r="EQ2972" s="376"/>
      <c r="ER2972" s="377"/>
      <c r="ES2972" s="376"/>
      <c r="ET2972" s="376"/>
      <c r="EU2972" s="376"/>
    </row>
    <row r="2973" spans="2:151" x14ac:dyDescent="0.2">
      <c r="B2973" s="34"/>
      <c r="EO2973" s="375" t="str">
        <f t="shared" ref="EO2973:EO3036" si="328">B2973&amp;"_"&amp;C2973</f>
        <v>_</v>
      </c>
      <c r="EP2973" s="376"/>
      <c r="EQ2973" s="376"/>
      <c r="ER2973" s="377"/>
      <c r="ES2973" s="376"/>
      <c r="ET2973" s="376"/>
      <c r="EU2973" s="376"/>
    </row>
    <row r="2974" spans="2:151" x14ac:dyDescent="0.2">
      <c r="B2974" s="34"/>
      <c r="EO2974" s="375" t="str">
        <f t="shared" si="328"/>
        <v>_</v>
      </c>
      <c r="EP2974" s="376"/>
      <c r="EQ2974" s="376"/>
      <c r="ER2974" s="377"/>
      <c r="ES2974" s="376"/>
      <c r="ET2974" s="376"/>
      <c r="EU2974" s="376"/>
    </row>
    <row r="2975" spans="2:151" x14ac:dyDescent="0.2">
      <c r="B2975" s="34"/>
      <c r="EO2975" s="375" t="str">
        <f t="shared" si="328"/>
        <v>_</v>
      </c>
      <c r="EP2975" s="376"/>
      <c r="EQ2975" s="376"/>
      <c r="ER2975" s="377"/>
      <c r="ES2975" s="376"/>
      <c r="ET2975" s="376"/>
      <c r="EU2975" s="376"/>
    </row>
    <row r="2976" spans="2:151" x14ac:dyDescent="0.2">
      <c r="B2976" s="34"/>
      <c r="EO2976" s="375" t="str">
        <f t="shared" si="328"/>
        <v>_</v>
      </c>
      <c r="EP2976" s="376"/>
      <c r="EQ2976" s="376"/>
      <c r="ER2976" s="377"/>
      <c r="ES2976" s="376"/>
      <c r="ET2976" s="376"/>
      <c r="EU2976" s="376"/>
    </row>
    <row r="2977" spans="2:151" x14ac:dyDescent="0.2">
      <c r="B2977" s="34"/>
      <c r="EO2977" s="375" t="str">
        <f t="shared" si="328"/>
        <v>_</v>
      </c>
      <c r="EP2977" s="376"/>
      <c r="EQ2977" s="376"/>
      <c r="ER2977" s="377"/>
      <c r="ES2977" s="376"/>
      <c r="ET2977" s="376"/>
      <c r="EU2977" s="376"/>
    </row>
    <row r="2978" spans="2:151" x14ac:dyDescent="0.2">
      <c r="B2978" s="34"/>
      <c r="AM2978" s="174">
        <v>0</v>
      </c>
      <c r="EO2978" s="375" t="str">
        <f t="shared" si="328"/>
        <v>_</v>
      </c>
      <c r="EP2978" s="376"/>
      <c r="EQ2978" s="376"/>
      <c r="ER2978" s="377"/>
      <c r="ES2978" s="376"/>
      <c r="ET2978" s="376"/>
      <c r="EU2978" s="376"/>
    </row>
    <row r="2979" spans="2:151" x14ac:dyDescent="0.2">
      <c r="B2979" s="34"/>
      <c r="EO2979" s="375" t="str">
        <f t="shared" si="328"/>
        <v>_</v>
      </c>
      <c r="EP2979" s="376"/>
      <c r="EQ2979" s="376"/>
      <c r="ER2979" s="377"/>
      <c r="ES2979" s="376"/>
      <c r="ET2979" s="376"/>
      <c r="EU2979" s="376"/>
    </row>
    <row r="2980" spans="2:151" x14ac:dyDescent="0.2">
      <c r="B2980" s="34"/>
      <c r="EO2980" s="375" t="str">
        <f t="shared" si="328"/>
        <v>_</v>
      </c>
      <c r="EP2980" s="376"/>
      <c r="EQ2980" s="376"/>
      <c r="ER2980" s="377"/>
      <c r="ES2980" s="376"/>
      <c r="ET2980" s="376"/>
      <c r="EU2980" s="376"/>
    </row>
    <row r="2981" spans="2:151" x14ac:dyDescent="0.2">
      <c r="B2981" s="34"/>
      <c r="EO2981" s="375" t="str">
        <f t="shared" si="328"/>
        <v>_</v>
      </c>
      <c r="EP2981" s="376"/>
      <c r="EQ2981" s="376"/>
      <c r="ER2981" s="377"/>
      <c r="ES2981" s="376"/>
      <c r="ET2981" s="376"/>
      <c r="EU2981" s="376"/>
    </row>
    <row r="2982" spans="2:151" x14ac:dyDescent="0.2">
      <c r="B2982" s="34"/>
      <c r="EO2982" s="375" t="str">
        <f t="shared" si="328"/>
        <v>_</v>
      </c>
      <c r="EP2982" s="376"/>
      <c r="EQ2982" s="376"/>
      <c r="ER2982" s="377"/>
      <c r="ES2982" s="376"/>
      <c r="ET2982" s="376"/>
      <c r="EU2982" s="376"/>
    </row>
    <row r="2983" spans="2:151" x14ac:dyDescent="0.2">
      <c r="B2983" s="34"/>
      <c r="EO2983" s="375" t="str">
        <f t="shared" si="328"/>
        <v>_</v>
      </c>
      <c r="EP2983" s="376"/>
      <c r="EQ2983" s="376"/>
      <c r="ER2983" s="377"/>
      <c r="ES2983" s="376"/>
      <c r="ET2983" s="376"/>
      <c r="EU2983" s="376"/>
    </row>
    <row r="2984" spans="2:151" x14ac:dyDescent="0.2">
      <c r="B2984" s="34"/>
      <c r="EO2984" s="375" t="str">
        <f t="shared" si="328"/>
        <v>_</v>
      </c>
      <c r="EP2984" s="376"/>
      <c r="EQ2984" s="376"/>
      <c r="ER2984" s="377"/>
      <c r="ES2984" s="376"/>
      <c r="ET2984" s="376"/>
      <c r="EU2984" s="376"/>
    </row>
    <row r="2985" spans="2:151" x14ac:dyDescent="0.2">
      <c r="B2985" s="34"/>
      <c r="EO2985" s="375" t="str">
        <f t="shared" si="328"/>
        <v>_</v>
      </c>
      <c r="EP2985" s="376"/>
      <c r="EQ2985" s="376"/>
      <c r="ER2985" s="377"/>
      <c r="ES2985" s="376"/>
      <c r="ET2985" s="376"/>
      <c r="EU2985" s="376"/>
    </row>
    <row r="2986" spans="2:151" x14ac:dyDescent="0.2">
      <c r="B2986" s="34"/>
      <c r="EO2986" s="375" t="str">
        <f t="shared" si="328"/>
        <v>_</v>
      </c>
      <c r="EP2986" s="376"/>
      <c r="EQ2986" s="376"/>
      <c r="ER2986" s="377"/>
      <c r="ES2986" s="376"/>
      <c r="ET2986" s="376"/>
      <c r="EU2986" s="376"/>
    </row>
    <row r="2987" spans="2:151" x14ac:dyDescent="0.2">
      <c r="B2987" s="34"/>
      <c r="EO2987" s="375" t="str">
        <f t="shared" si="328"/>
        <v>_</v>
      </c>
      <c r="EP2987" s="376"/>
      <c r="EQ2987" s="376"/>
      <c r="ER2987" s="377"/>
      <c r="ES2987" s="376"/>
      <c r="ET2987" s="376"/>
      <c r="EU2987" s="376"/>
    </row>
    <row r="2988" spans="2:151" x14ac:dyDescent="0.2">
      <c r="B2988" s="34"/>
      <c r="EO2988" s="375" t="str">
        <f t="shared" si="328"/>
        <v>_</v>
      </c>
      <c r="EP2988" s="376"/>
      <c r="EQ2988" s="376"/>
      <c r="ER2988" s="377"/>
      <c r="ES2988" s="376"/>
      <c r="ET2988" s="376"/>
      <c r="EU2988" s="376"/>
    </row>
    <row r="2989" spans="2:151" x14ac:dyDescent="0.2">
      <c r="B2989" s="34"/>
      <c r="EO2989" s="375" t="str">
        <f t="shared" si="328"/>
        <v>_</v>
      </c>
      <c r="EP2989" s="376"/>
      <c r="EQ2989" s="376"/>
      <c r="ER2989" s="377"/>
      <c r="ES2989" s="376"/>
      <c r="ET2989" s="376"/>
      <c r="EU2989" s="376"/>
    </row>
    <row r="2990" spans="2:151" x14ac:dyDescent="0.2">
      <c r="B2990" s="34"/>
      <c r="EO2990" s="375" t="str">
        <f t="shared" si="328"/>
        <v>_</v>
      </c>
      <c r="EP2990" s="376"/>
      <c r="EQ2990" s="376"/>
      <c r="ER2990" s="377"/>
      <c r="ES2990" s="376"/>
      <c r="ET2990" s="376"/>
      <c r="EU2990" s="376"/>
    </row>
    <row r="2991" spans="2:151" x14ac:dyDescent="0.2">
      <c r="B2991" s="34"/>
      <c r="EO2991" s="375" t="str">
        <f t="shared" si="328"/>
        <v>_</v>
      </c>
      <c r="EP2991" s="376"/>
      <c r="EQ2991" s="376"/>
      <c r="ER2991" s="377"/>
      <c r="ES2991" s="376"/>
      <c r="ET2991" s="376"/>
      <c r="EU2991" s="376"/>
    </row>
    <row r="2992" spans="2:151" x14ac:dyDescent="0.2">
      <c r="B2992" s="34"/>
      <c r="EO2992" s="375" t="str">
        <f t="shared" si="328"/>
        <v>_</v>
      </c>
      <c r="EP2992" s="376"/>
      <c r="EQ2992" s="376"/>
      <c r="ER2992" s="377"/>
      <c r="ES2992" s="376"/>
      <c r="ET2992" s="376"/>
      <c r="EU2992" s="376"/>
    </row>
    <row r="2993" spans="2:151" x14ac:dyDescent="0.2">
      <c r="B2993" s="34"/>
      <c r="EO2993" s="375" t="str">
        <f t="shared" si="328"/>
        <v>_</v>
      </c>
      <c r="EP2993" s="376"/>
      <c r="EQ2993" s="376"/>
      <c r="ER2993" s="377"/>
      <c r="ES2993" s="376"/>
      <c r="ET2993" s="376"/>
      <c r="EU2993" s="376"/>
    </row>
    <row r="2994" spans="2:151" x14ac:dyDescent="0.2">
      <c r="B2994" s="34"/>
      <c r="EO2994" s="375" t="str">
        <f t="shared" si="328"/>
        <v>_</v>
      </c>
      <c r="EP2994" s="376"/>
      <c r="EQ2994" s="376"/>
      <c r="ER2994" s="377"/>
      <c r="ES2994" s="376"/>
      <c r="ET2994" s="376"/>
      <c r="EU2994" s="376"/>
    </row>
    <row r="2995" spans="2:151" x14ac:dyDescent="0.2">
      <c r="B2995" s="34"/>
      <c r="EO2995" s="375" t="str">
        <f t="shared" si="328"/>
        <v>_</v>
      </c>
      <c r="EP2995" s="376"/>
      <c r="EQ2995" s="376"/>
      <c r="ER2995" s="377"/>
      <c r="ES2995" s="376"/>
      <c r="ET2995" s="376"/>
      <c r="EU2995" s="376"/>
    </row>
    <row r="2996" spans="2:151" x14ac:dyDescent="0.2">
      <c r="B2996" s="34"/>
      <c r="EO2996" s="375" t="str">
        <f t="shared" si="328"/>
        <v>_</v>
      </c>
      <c r="EP2996" s="376"/>
      <c r="EQ2996" s="376"/>
      <c r="ER2996" s="377"/>
      <c r="ES2996" s="376"/>
      <c r="ET2996" s="376"/>
      <c r="EU2996" s="376"/>
    </row>
    <row r="2997" spans="2:151" x14ac:dyDescent="0.2">
      <c r="B2997" s="34"/>
      <c r="EO2997" s="375" t="str">
        <f t="shared" si="328"/>
        <v>_</v>
      </c>
      <c r="EP2997" s="376"/>
      <c r="EQ2997" s="376"/>
      <c r="ER2997" s="377"/>
      <c r="ES2997" s="376"/>
      <c r="ET2997" s="376"/>
      <c r="EU2997" s="376"/>
    </row>
    <row r="2998" spans="2:151" x14ac:dyDescent="0.2">
      <c r="B2998" s="34"/>
      <c r="EO2998" s="375" t="str">
        <f t="shared" si="328"/>
        <v>_</v>
      </c>
      <c r="EP2998" s="376"/>
      <c r="EQ2998" s="376"/>
      <c r="ER2998" s="377"/>
      <c r="ES2998" s="376"/>
      <c r="ET2998" s="376"/>
      <c r="EU2998" s="376"/>
    </row>
    <row r="2999" spans="2:151" x14ac:dyDescent="0.2">
      <c r="B2999" s="34"/>
      <c r="EO2999" s="375" t="str">
        <f t="shared" si="328"/>
        <v>_</v>
      </c>
      <c r="EP2999" s="376"/>
      <c r="EQ2999" s="376"/>
      <c r="ER2999" s="377"/>
      <c r="ES2999" s="376"/>
      <c r="ET2999" s="376"/>
      <c r="EU2999" s="376"/>
    </row>
    <row r="3000" spans="2:151" x14ac:dyDescent="0.2">
      <c r="B3000" s="34"/>
      <c r="EO3000" s="375" t="str">
        <f t="shared" si="328"/>
        <v>_</v>
      </c>
      <c r="EP3000" s="376"/>
      <c r="EQ3000" s="376"/>
      <c r="ER3000" s="377"/>
      <c r="ES3000" s="376"/>
      <c r="ET3000" s="376"/>
      <c r="EU3000" s="376"/>
    </row>
    <row r="3001" spans="2:151" x14ac:dyDescent="0.2">
      <c r="B3001" s="34"/>
      <c r="EO3001" s="375" t="str">
        <f t="shared" si="328"/>
        <v>_</v>
      </c>
      <c r="EP3001" s="376"/>
      <c r="EQ3001" s="376"/>
      <c r="ER3001" s="377"/>
      <c r="ES3001" s="376"/>
      <c r="ET3001" s="376"/>
      <c r="EU3001" s="376"/>
    </row>
    <row r="3002" spans="2:151" x14ac:dyDescent="0.2">
      <c r="B3002" s="34"/>
      <c r="EO3002" s="375" t="str">
        <f t="shared" si="328"/>
        <v>_</v>
      </c>
      <c r="EP3002" s="376"/>
      <c r="EQ3002" s="376"/>
      <c r="ER3002" s="377"/>
      <c r="ES3002" s="376"/>
      <c r="ET3002" s="376"/>
      <c r="EU3002" s="376"/>
    </row>
    <row r="3003" spans="2:151" x14ac:dyDescent="0.2">
      <c r="B3003" s="34"/>
      <c r="EO3003" s="375" t="str">
        <f t="shared" si="328"/>
        <v>_</v>
      </c>
      <c r="EP3003" s="376"/>
      <c r="EQ3003" s="376"/>
      <c r="ER3003" s="377"/>
      <c r="ES3003" s="376"/>
      <c r="ET3003" s="376"/>
      <c r="EU3003" s="376"/>
    </row>
    <row r="3004" spans="2:151" x14ac:dyDescent="0.2">
      <c r="B3004" s="34"/>
      <c r="EO3004" s="375" t="str">
        <f t="shared" si="328"/>
        <v>_</v>
      </c>
      <c r="EP3004" s="376"/>
      <c r="EQ3004" s="376"/>
      <c r="ER3004" s="377"/>
      <c r="ES3004" s="376"/>
      <c r="ET3004" s="376"/>
      <c r="EU3004" s="376"/>
    </row>
    <row r="3005" spans="2:151" x14ac:dyDescent="0.2">
      <c r="B3005" s="34"/>
      <c r="EO3005" s="375" t="str">
        <f t="shared" si="328"/>
        <v>_</v>
      </c>
      <c r="EP3005" s="376"/>
      <c r="EQ3005" s="376"/>
      <c r="ER3005" s="377"/>
      <c r="ES3005" s="376"/>
      <c r="ET3005" s="376"/>
      <c r="EU3005" s="376"/>
    </row>
    <row r="3006" spans="2:151" x14ac:dyDescent="0.2">
      <c r="B3006" s="34"/>
      <c r="EO3006" s="375" t="str">
        <f t="shared" si="328"/>
        <v>_</v>
      </c>
      <c r="EP3006" s="376"/>
      <c r="EQ3006" s="376"/>
      <c r="ER3006" s="377"/>
      <c r="ES3006" s="376"/>
      <c r="ET3006" s="376"/>
      <c r="EU3006" s="376"/>
    </row>
    <row r="3007" spans="2:151" x14ac:dyDescent="0.2">
      <c r="B3007" s="34"/>
      <c r="EO3007" s="375" t="str">
        <f t="shared" si="328"/>
        <v>_</v>
      </c>
      <c r="EP3007" s="376"/>
      <c r="EQ3007" s="376"/>
      <c r="ER3007" s="377"/>
      <c r="ES3007" s="376"/>
      <c r="ET3007" s="376"/>
      <c r="EU3007" s="376"/>
    </row>
    <row r="3008" spans="2:151" x14ac:dyDescent="0.2">
      <c r="B3008" s="34"/>
      <c r="EO3008" s="375" t="str">
        <f t="shared" si="328"/>
        <v>_</v>
      </c>
      <c r="EP3008" s="376"/>
      <c r="EQ3008" s="376"/>
      <c r="ER3008" s="377"/>
      <c r="ES3008" s="376"/>
      <c r="ET3008" s="376"/>
      <c r="EU3008" s="376"/>
    </row>
    <row r="3009" spans="2:151" x14ac:dyDescent="0.2">
      <c r="B3009" s="34"/>
      <c r="EO3009" s="375" t="str">
        <f t="shared" si="328"/>
        <v>_</v>
      </c>
      <c r="EP3009" s="376"/>
      <c r="EQ3009" s="376"/>
      <c r="ER3009" s="377"/>
      <c r="ES3009" s="376"/>
      <c r="ET3009" s="376"/>
      <c r="EU3009" s="376"/>
    </row>
    <row r="3010" spans="2:151" x14ac:dyDescent="0.2">
      <c r="B3010" s="34"/>
      <c r="EO3010" s="375" t="str">
        <f t="shared" si="328"/>
        <v>_</v>
      </c>
      <c r="EP3010" s="376"/>
      <c r="EQ3010" s="376"/>
      <c r="ER3010" s="377"/>
      <c r="ES3010" s="376"/>
      <c r="ET3010" s="376"/>
      <c r="EU3010" s="376"/>
    </row>
    <row r="3011" spans="2:151" x14ac:dyDescent="0.2">
      <c r="B3011" s="34"/>
      <c r="EO3011" s="375" t="str">
        <f t="shared" si="328"/>
        <v>_</v>
      </c>
      <c r="EP3011" s="376"/>
      <c r="EQ3011" s="376"/>
      <c r="ER3011" s="377"/>
      <c r="ES3011" s="376"/>
      <c r="ET3011" s="376"/>
      <c r="EU3011" s="376"/>
    </row>
    <row r="3012" spans="2:151" x14ac:dyDescent="0.2">
      <c r="B3012" s="34"/>
      <c r="EO3012" s="375" t="str">
        <f t="shared" si="328"/>
        <v>_</v>
      </c>
      <c r="EP3012" s="376"/>
      <c r="EQ3012" s="376"/>
      <c r="ER3012" s="377"/>
      <c r="ES3012" s="376"/>
      <c r="ET3012" s="376"/>
      <c r="EU3012" s="376"/>
    </row>
    <row r="3013" spans="2:151" x14ac:dyDescent="0.2">
      <c r="B3013" s="34"/>
      <c r="EO3013" s="375" t="str">
        <f t="shared" si="328"/>
        <v>_</v>
      </c>
      <c r="EP3013" s="376"/>
      <c r="EQ3013" s="376"/>
      <c r="ER3013" s="377"/>
      <c r="ES3013" s="376"/>
      <c r="ET3013" s="376"/>
      <c r="EU3013" s="376"/>
    </row>
    <row r="3014" spans="2:151" x14ac:dyDescent="0.2">
      <c r="B3014" s="34"/>
      <c r="EO3014" s="375" t="str">
        <f t="shared" si="328"/>
        <v>_</v>
      </c>
      <c r="EP3014" s="376"/>
      <c r="EQ3014" s="376"/>
      <c r="ER3014" s="377"/>
      <c r="ES3014" s="376"/>
      <c r="ET3014" s="376"/>
      <c r="EU3014" s="376"/>
    </row>
    <row r="3015" spans="2:151" x14ac:dyDescent="0.2">
      <c r="B3015" s="34"/>
      <c r="EO3015" s="375" t="str">
        <f t="shared" si="328"/>
        <v>_</v>
      </c>
      <c r="EP3015" s="376"/>
      <c r="EQ3015" s="376"/>
      <c r="ER3015" s="377"/>
      <c r="ES3015" s="376"/>
      <c r="ET3015" s="376"/>
      <c r="EU3015" s="376"/>
    </row>
    <row r="3016" spans="2:151" x14ac:dyDescent="0.2">
      <c r="B3016" s="34"/>
      <c r="EO3016" s="375" t="str">
        <f t="shared" si="328"/>
        <v>_</v>
      </c>
      <c r="EP3016" s="376"/>
      <c r="EQ3016" s="376"/>
      <c r="ER3016" s="377"/>
      <c r="ES3016" s="376"/>
      <c r="ET3016" s="376"/>
      <c r="EU3016" s="376"/>
    </row>
    <row r="3017" spans="2:151" x14ac:dyDescent="0.2">
      <c r="B3017" s="34"/>
      <c r="EO3017" s="375" t="str">
        <f t="shared" si="328"/>
        <v>_</v>
      </c>
      <c r="EP3017" s="376"/>
      <c r="EQ3017" s="376"/>
      <c r="ER3017" s="377"/>
      <c r="ES3017" s="376"/>
      <c r="ET3017" s="376"/>
      <c r="EU3017" s="376"/>
    </row>
    <row r="3018" spans="2:151" x14ac:dyDescent="0.2">
      <c r="B3018" s="34"/>
      <c r="EO3018" s="375" t="str">
        <f t="shared" si="328"/>
        <v>_</v>
      </c>
      <c r="EP3018" s="376"/>
      <c r="EQ3018" s="376"/>
      <c r="ER3018" s="377"/>
      <c r="ES3018" s="376"/>
      <c r="ET3018" s="376"/>
      <c r="EU3018" s="376"/>
    </row>
    <row r="3019" spans="2:151" x14ac:dyDescent="0.2">
      <c r="B3019" s="34"/>
      <c r="EO3019" s="375" t="str">
        <f t="shared" si="328"/>
        <v>_</v>
      </c>
      <c r="EP3019" s="376"/>
      <c r="EQ3019" s="376"/>
      <c r="ER3019" s="377"/>
      <c r="ES3019" s="376"/>
      <c r="ET3019" s="376"/>
      <c r="EU3019" s="376"/>
    </row>
    <row r="3020" spans="2:151" x14ac:dyDescent="0.2">
      <c r="B3020" s="34"/>
      <c r="EO3020" s="375" t="str">
        <f t="shared" si="328"/>
        <v>_</v>
      </c>
      <c r="EP3020" s="376"/>
      <c r="EQ3020" s="376"/>
      <c r="ER3020" s="377"/>
      <c r="ES3020" s="376"/>
      <c r="ET3020" s="376"/>
      <c r="EU3020" s="376"/>
    </row>
    <row r="3021" spans="2:151" x14ac:dyDescent="0.2">
      <c r="B3021" s="34"/>
      <c r="EO3021" s="375" t="str">
        <f t="shared" si="328"/>
        <v>_</v>
      </c>
      <c r="EP3021" s="376"/>
      <c r="EQ3021" s="376"/>
      <c r="ER3021" s="377"/>
      <c r="ES3021" s="376"/>
      <c r="ET3021" s="376"/>
      <c r="EU3021" s="376"/>
    </row>
    <row r="3022" spans="2:151" x14ac:dyDescent="0.2">
      <c r="B3022" s="34"/>
      <c r="EO3022" s="375" t="str">
        <f t="shared" si="328"/>
        <v>_</v>
      </c>
      <c r="EP3022" s="376"/>
      <c r="EQ3022" s="376"/>
      <c r="ER3022" s="377"/>
      <c r="ES3022" s="376"/>
      <c r="ET3022" s="376"/>
      <c r="EU3022" s="376"/>
    </row>
    <row r="3023" spans="2:151" x14ac:dyDescent="0.2">
      <c r="B3023" s="34"/>
      <c r="EO3023" s="375" t="str">
        <f t="shared" si="328"/>
        <v>_</v>
      </c>
      <c r="EP3023" s="376"/>
      <c r="EQ3023" s="376"/>
      <c r="ER3023" s="377"/>
      <c r="ES3023" s="376"/>
      <c r="ET3023" s="376"/>
      <c r="EU3023" s="376"/>
    </row>
    <row r="3024" spans="2:151" x14ac:dyDescent="0.2">
      <c r="B3024" s="34"/>
      <c r="EO3024" s="375" t="str">
        <f t="shared" si="328"/>
        <v>_</v>
      </c>
      <c r="EP3024" s="376"/>
      <c r="EQ3024" s="376"/>
      <c r="ER3024" s="377"/>
      <c r="ES3024" s="376"/>
      <c r="ET3024" s="376"/>
      <c r="EU3024" s="376"/>
    </row>
    <row r="3025" spans="2:151" x14ac:dyDescent="0.2">
      <c r="B3025" s="34"/>
      <c r="EO3025" s="375" t="str">
        <f t="shared" si="328"/>
        <v>_</v>
      </c>
      <c r="EP3025" s="376"/>
      <c r="EQ3025" s="376"/>
      <c r="ER3025" s="377"/>
      <c r="ES3025" s="376"/>
      <c r="ET3025" s="376"/>
      <c r="EU3025" s="376"/>
    </row>
    <row r="3026" spans="2:151" x14ac:dyDescent="0.2">
      <c r="B3026" s="34"/>
      <c r="EO3026" s="375" t="str">
        <f t="shared" si="328"/>
        <v>_</v>
      </c>
      <c r="EP3026" s="376"/>
      <c r="EQ3026" s="376"/>
      <c r="ER3026" s="377"/>
      <c r="ES3026" s="376"/>
      <c r="ET3026" s="376"/>
      <c r="EU3026" s="376"/>
    </row>
    <row r="3027" spans="2:151" x14ac:dyDescent="0.2">
      <c r="B3027" s="34"/>
      <c r="EO3027" s="375" t="str">
        <f t="shared" si="328"/>
        <v>_</v>
      </c>
      <c r="EP3027" s="376"/>
      <c r="EQ3027" s="376"/>
      <c r="ER3027" s="377"/>
      <c r="ES3027" s="376"/>
      <c r="ET3027" s="376"/>
      <c r="EU3027" s="376"/>
    </row>
    <row r="3028" spans="2:151" x14ac:dyDescent="0.2">
      <c r="B3028" s="34"/>
      <c r="EO3028" s="375" t="str">
        <f t="shared" si="328"/>
        <v>_</v>
      </c>
      <c r="EP3028" s="376"/>
      <c r="EQ3028" s="376"/>
      <c r="ER3028" s="377"/>
      <c r="ES3028" s="376"/>
      <c r="ET3028" s="376"/>
      <c r="EU3028" s="376"/>
    </row>
    <row r="3029" spans="2:151" x14ac:dyDescent="0.2">
      <c r="B3029" s="34"/>
      <c r="EO3029" s="375" t="str">
        <f t="shared" si="328"/>
        <v>_</v>
      </c>
      <c r="EP3029" s="376"/>
      <c r="EQ3029" s="376"/>
      <c r="ER3029" s="377"/>
      <c r="ES3029" s="376"/>
      <c r="ET3029" s="376"/>
      <c r="EU3029" s="376"/>
    </row>
    <row r="3030" spans="2:151" x14ac:dyDescent="0.2">
      <c r="B3030" s="34"/>
      <c r="EO3030" s="375" t="str">
        <f t="shared" si="328"/>
        <v>_</v>
      </c>
      <c r="EP3030" s="376"/>
      <c r="EQ3030" s="376"/>
      <c r="ER3030" s="377"/>
      <c r="ES3030" s="376"/>
      <c r="ET3030" s="376"/>
      <c r="EU3030" s="376"/>
    </row>
    <row r="3031" spans="2:151" x14ac:dyDescent="0.2">
      <c r="B3031" s="34"/>
      <c r="EO3031" s="375" t="str">
        <f t="shared" si="328"/>
        <v>_</v>
      </c>
      <c r="EP3031" s="376"/>
      <c r="EQ3031" s="376"/>
      <c r="ER3031" s="377"/>
      <c r="ES3031" s="376"/>
      <c r="ET3031" s="376"/>
      <c r="EU3031" s="376"/>
    </row>
    <row r="3032" spans="2:151" x14ac:dyDescent="0.2">
      <c r="B3032" s="34"/>
      <c r="EO3032" s="375" t="str">
        <f t="shared" si="328"/>
        <v>_</v>
      </c>
      <c r="EP3032" s="376"/>
      <c r="EQ3032" s="376"/>
      <c r="ER3032" s="377"/>
      <c r="ES3032" s="376"/>
      <c r="ET3032" s="376"/>
      <c r="EU3032" s="376"/>
    </row>
    <row r="3033" spans="2:151" x14ac:dyDescent="0.2">
      <c r="B3033" s="34"/>
      <c r="EO3033" s="375" t="str">
        <f t="shared" si="328"/>
        <v>_</v>
      </c>
      <c r="EP3033" s="376"/>
      <c r="EQ3033" s="376"/>
      <c r="ER3033" s="377"/>
      <c r="ES3033" s="376"/>
      <c r="ET3033" s="376"/>
      <c r="EU3033" s="376"/>
    </row>
    <row r="3034" spans="2:151" x14ac:dyDescent="0.2">
      <c r="B3034" s="34"/>
      <c r="EO3034" s="375" t="str">
        <f t="shared" si="328"/>
        <v>_</v>
      </c>
      <c r="EP3034" s="376"/>
      <c r="EQ3034" s="376"/>
      <c r="ER3034" s="377"/>
      <c r="ES3034" s="376"/>
      <c r="ET3034" s="376"/>
      <c r="EU3034" s="376"/>
    </row>
    <row r="3035" spans="2:151" x14ac:dyDescent="0.2">
      <c r="B3035" s="34"/>
      <c r="EO3035" s="375" t="str">
        <f t="shared" si="328"/>
        <v>_</v>
      </c>
      <c r="EP3035" s="376"/>
      <c r="EQ3035" s="376"/>
      <c r="ER3035" s="377"/>
      <c r="ES3035" s="376"/>
      <c r="ET3035" s="376"/>
      <c r="EU3035" s="376"/>
    </row>
    <row r="3036" spans="2:151" x14ac:dyDescent="0.2">
      <c r="B3036" s="34"/>
      <c r="EO3036" s="375" t="str">
        <f t="shared" si="328"/>
        <v>_</v>
      </c>
      <c r="EP3036" s="376"/>
      <c r="EQ3036" s="376"/>
      <c r="ER3036" s="377"/>
      <c r="ES3036" s="376"/>
      <c r="ET3036" s="376"/>
      <c r="EU3036" s="376"/>
    </row>
    <row r="3037" spans="2:151" x14ac:dyDescent="0.2">
      <c r="B3037" s="34"/>
      <c r="EO3037" s="375" t="str">
        <f t="shared" ref="EO3037:EO3100" si="329">B3037&amp;"_"&amp;C3037</f>
        <v>_</v>
      </c>
      <c r="EP3037" s="376"/>
      <c r="EQ3037" s="376"/>
      <c r="ER3037" s="377"/>
      <c r="ES3037" s="376"/>
      <c r="ET3037" s="376"/>
      <c r="EU3037" s="376"/>
    </row>
    <row r="3038" spans="2:151" x14ac:dyDescent="0.2">
      <c r="B3038" s="34"/>
      <c r="EO3038" s="375" t="str">
        <f t="shared" si="329"/>
        <v>_</v>
      </c>
      <c r="EP3038" s="376"/>
      <c r="EQ3038" s="376"/>
      <c r="ER3038" s="377"/>
      <c r="ES3038" s="376"/>
      <c r="ET3038" s="376"/>
      <c r="EU3038" s="376"/>
    </row>
    <row r="3039" spans="2:151" x14ac:dyDescent="0.2">
      <c r="B3039" s="34"/>
      <c r="EO3039" s="375" t="str">
        <f t="shared" si="329"/>
        <v>_</v>
      </c>
      <c r="EP3039" s="376"/>
      <c r="EQ3039" s="376"/>
      <c r="ER3039" s="377"/>
      <c r="ES3039" s="376"/>
      <c r="ET3039" s="376"/>
      <c r="EU3039" s="376"/>
    </row>
    <row r="3040" spans="2:151" x14ac:dyDescent="0.2">
      <c r="B3040" s="34"/>
      <c r="EO3040" s="375" t="str">
        <f t="shared" si="329"/>
        <v>_</v>
      </c>
      <c r="EP3040" s="376"/>
      <c r="EQ3040" s="376"/>
      <c r="ER3040" s="377"/>
      <c r="ES3040" s="376"/>
      <c r="ET3040" s="376"/>
      <c r="EU3040" s="376"/>
    </row>
    <row r="3041" spans="2:151" x14ac:dyDescent="0.2">
      <c r="B3041" s="34"/>
      <c r="EO3041" s="375" t="str">
        <f t="shared" si="329"/>
        <v>_</v>
      </c>
      <c r="EP3041" s="376"/>
      <c r="EQ3041" s="376"/>
      <c r="ER3041" s="377"/>
      <c r="ES3041" s="376"/>
      <c r="ET3041" s="376"/>
      <c r="EU3041" s="376"/>
    </row>
    <row r="3042" spans="2:151" x14ac:dyDescent="0.2">
      <c r="B3042" s="34"/>
      <c r="EO3042" s="375" t="str">
        <f t="shared" si="329"/>
        <v>_</v>
      </c>
      <c r="EP3042" s="376"/>
      <c r="EQ3042" s="376"/>
      <c r="ER3042" s="377"/>
      <c r="ES3042" s="376"/>
      <c r="ET3042" s="376"/>
      <c r="EU3042" s="376"/>
    </row>
    <row r="3043" spans="2:151" x14ac:dyDescent="0.2">
      <c r="B3043" s="34"/>
      <c r="EO3043" s="375" t="str">
        <f t="shared" si="329"/>
        <v>_</v>
      </c>
      <c r="EP3043" s="376"/>
      <c r="EQ3043" s="376"/>
      <c r="ER3043" s="377"/>
      <c r="ES3043" s="376"/>
      <c r="ET3043" s="376"/>
      <c r="EU3043" s="376"/>
    </row>
    <row r="3044" spans="2:151" x14ac:dyDescent="0.2">
      <c r="B3044" s="34"/>
      <c r="EO3044" s="375" t="str">
        <f t="shared" si="329"/>
        <v>_</v>
      </c>
      <c r="EP3044" s="376"/>
      <c r="EQ3044" s="376"/>
      <c r="ER3044" s="377"/>
      <c r="ES3044" s="376"/>
      <c r="ET3044" s="376"/>
      <c r="EU3044" s="376"/>
    </row>
    <row r="3045" spans="2:151" x14ac:dyDescent="0.2">
      <c r="B3045" s="34"/>
      <c r="EO3045" s="375" t="str">
        <f t="shared" si="329"/>
        <v>_</v>
      </c>
      <c r="EP3045" s="376"/>
      <c r="EQ3045" s="376"/>
      <c r="ER3045" s="377"/>
      <c r="ES3045" s="376"/>
      <c r="ET3045" s="376"/>
      <c r="EU3045" s="376"/>
    </row>
    <row r="3046" spans="2:151" x14ac:dyDescent="0.2">
      <c r="B3046" s="34"/>
      <c r="EO3046" s="375" t="str">
        <f t="shared" si="329"/>
        <v>_</v>
      </c>
      <c r="EP3046" s="376"/>
      <c r="EQ3046" s="376"/>
      <c r="ER3046" s="377"/>
      <c r="ES3046" s="376"/>
      <c r="ET3046" s="376"/>
      <c r="EU3046" s="376"/>
    </row>
    <row r="3047" spans="2:151" x14ac:dyDescent="0.2">
      <c r="B3047" s="34"/>
      <c r="EO3047" s="375" t="str">
        <f t="shared" si="329"/>
        <v>_</v>
      </c>
      <c r="EP3047" s="376"/>
      <c r="EQ3047" s="376"/>
      <c r="ER3047" s="377"/>
      <c r="ES3047" s="376"/>
      <c r="ET3047" s="376"/>
      <c r="EU3047" s="376"/>
    </row>
    <row r="3048" spans="2:151" x14ac:dyDescent="0.2">
      <c r="B3048" s="34"/>
      <c r="EO3048" s="375" t="str">
        <f t="shared" si="329"/>
        <v>_</v>
      </c>
      <c r="EP3048" s="376"/>
      <c r="EQ3048" s="376"/>
      <c r="ER3048" s="377"/>
      <c r="ES3048" s="376"/>
      <c r="ET3048" s="376"/>
      <c r="EU3048" s="376"/>
    </row>
    <row r="3049" spans="2:151" x14ac:dyDescent="0.2">
      <c r="B3049" s="34"/>
      <c r="EO3049" s="375" t="str">
        <f t="shared" si="329"/>
        <v>_</v>
      </c>
      <c r="EP3049" s="376"/>
      <c r="EQ3049" s="376"/>
      <c r="ER3049" s="377"/>
      <c r="ES3049" s="376"/>
      <c r="ET3049" s="376"/>
      <c r="EU3049" s="376"/>
    </row>
    <row r="3050" spans="2:151" x14ac:dyDescent="0.2">
      <c r="B3050" s="34"/>
      <c r="EO3050" s="375" t="str">
        <f t="shared" si="329"/>
        <v>_</v>
      </c>
      <c r="EP3050" s="376"/>
      <c r="EQ3050" s="376"/>
      <c r="ER3050" s="377"/>
      <c r="ES3050" s="376"/>
      <c r="ET3050" s="376"/>
      <c r="EU3050" s="376"/>
    </row>
    <row r="3051" spans="2:151" x14ac:dyDescent="0.2">
      <c r="B3051" s="34"/>
      <c r="EO3051" s="375" t="str">
        <f t="shared" si="329"/>
        <v>_</v>
      </c>
      <c r="EP3051" s="376"/>
      <c r="EQ3051" s="376"/>
      <c r="ER3051" s="377"/>
      <c r="ES3051" s="376"/>
      <c r="ET3051" s="376"/>
      <c r="EU3051" s="376"/>
    </row>
    <row r="3052" spans="2:151" x14ac:dyDescent="0.2">
      <c r="B3052" s="34"/>
      <c r="EO3052" s="375" t="str">
        <f t="shared" si="329"/>
        <v>_</v>
      </c>
      <c r="EP3052" s="376"/>
      <c r="EQ3052" s="376"/>
      <c r="ER3052" s="377"/>
      <c r="ES3052" s="376"/>
      <c r="ET3052" s="376"/>
      <c r="EU3052" s="376"/>
    </row>
    <row r="3053" spans="2:151" x14ac:dyDescent="0.2">
      <c r="B3053" s="34"/>
      <c r="EO3053" s="375" t="str">
        <f t="shared" si="329"/>
        <v>_</v>
      </c>
      <c r="EP3053" s="376"/>
      <c r="EQ3053" s="376"/>
      <c r="ER3053" s="377"/>
      <c r="ES3053" s="376"/>
      <c r="ET3053" s="376"/>
      <c r="EU3053" s="376"/>
    </row>
    <row r="3054" spans="2:151" x14ac:dyDescent="0.2">
      <c r="B3054" s="34"/>
      <c r="EO3054" s="375" t="str">
        <f t="shared" si="329"/>
        <v>_</v>
      </c>
      <c r="EP3054" s="376"/>
      <c r="EQ3054" s="376"/>
      <c r="ER3054" s="377"/>
      <c r="ES3054" s="376"/>
      <c r="ET3054" s="376"/>
      <c r="EU3054" s="376"/>
    </row>
    <row r="3055" spans="2:151" x14ac:dyDescent="0.2">
      <c r="B3055" s="34"/>
      <c r="EO3055" s="375" t="str">
        <f t="shared" si="329"/>
        <v>_</v>
      </c>
      <c r="EP3055" s="376"/>
      <c r="EQ3055" s="376"/>
      <c r="ER3055" s="377"/>
      <c r="ES3055" s="376"/>
      <c r="ET3055" s="376"/>
      <c r="EU3055" s="376"/>
    </row>
    <row r="3056" spans="2:151" x14ac:dyDescent="0.2">
      <c r="B3056" s="34"/>
      <c r="EO3056" s="375" t="str">
        <f t="shared" si="329"/>
        <v>_</v>
      </c>
      <c r="EP3056" s="376"/>
      <c r="EQ3056" s="376"/>
      <c r="ER3056" s="377"/>
      <c r="ES3056" s="376"/>
      <c r="ET3056" s="376"/>
      <c r="EU3056" s="376"/>
    </row>
    <row r="3057" spans="2:151" x14ac:dyDescent="0.2">
      <c r="B3057" s="34"/>
      <c r="EO3057" s="375" t="str">
        <f t="shared" si="329"/>
        <v>_</v>
      </c>
      <c r="EP3057" s="376"/>
      <c r="EQ3057" s="376"/>
      <c r="ER3057" s="377"/>
      <c r="ES3057" s="376"/>
      <c r="ET3057" s="376"/>
      <c r="EU3057" s="376"/>
    </row>
    <row r="3058" spans="2:151" x14ac:dyDescent="0.2">
      <c r="B3058" s="34"/>
      <c r="EO3058" s="375" t="str">
        <f t="shared" si="329"/>
        <v>_</v>
      </c>
      <c r="EP3058" s="376"/>
      <c r="EQ3058" s="376"/>
      <c r="ER3058" s="377"/>
      <c r="ES3058" s="376"/>
      <c r="ET3058" s="376"/>
      <c r="EU3058" s="376"/>
    </row>
    <row r="3059" spans="2:151" x14ac:dyDescent="0.2">
      <c r="B3059" s="34"/>
      <c r="EO3059" s="375" t="str">
        <f t="shared" si="329"/>
        <v>_</v>
      </c>
      <c r="EP3059" s="376"/>
      <c r="EQ3059" s="376"/>
      <c r="ER3059" s="377"/>
      <c r="ES3059" s="376"/>
      <c r="ET3059" s="376"/>
      <c r="EU3059" s="376"/>
    </row>
    <row r="3060" spans="2:151" x14ac:dyDescent="0.2">
      <c r="B3060" s="34"/>
      <c r="EO3060" s="375" t="str">
        <f t="shared" si="329"/>
        <v>_</v>
      </c>
      <c r="EP3060" s="376"/>
      <c r="EQ3060" s="376"/>
      <c r="ER3060" s="377"/>
      <c r="ES3060" s="376"/>
      <c r="ET3060" s="376"/>
      <c r="EU3060" s="376"/>
    </row>
    <row r="3061" spans="2:151" x14ac:dyDescent="0.2">
      <c r="B3061" s="34"/>
      <c r="EO3061" s="375" t="str">
        <f t="shared" si="329"/>
        <v>_</v>
      </c>
      <c r="EP3061" s="376"/>
      <c r="EQ3061" s="376"/>
      <c r="ER3061" s="377"/>
      <c r="ES3061" s="376"/>
      <c r="ET3061" s="376"/>
      <c r="EU3061" s="376"/>
    </row>
    <row r="3062" spans="2:151" x14ac:dyDescent="0.2">
      <c r="B3062" s="34"/>
      <c r="EO3062" s="375" t="str">
        <f t="shared" si="329"/>
        <v>_</v>
      </c>
      <c r="EP3062" s="376"/>
      <c r="EQ3062" s="376"/>
      <c r="ER3062" s="377"/>
      <c r="ES3062" s="376"/>
      <c r="ET3062" s="376"/>
      <c r="EU3062" s="376"/>
    </row>
    <row r="3063" spans="2:151" x14ac:dyDescent="0.2">
      <c r="B3063" s="34"/>
      <c r="EO3063" s="375" t="str">
        <f t="shared" si="329"/>
        <v>_</v>
      </c>
      <c r="EP3063" s="376"/>
      <c r="EQ3063" s="376"/>
      <c r="ER3063" s="377"/>
      <c r="ES3063" s="376"/>
      <c r="ET3063" s="376"/>
      <c r="EU3063" s="376"/>
    </row>
    <row r="3064" spans="2:151" x14ac:dyDescent="0.2">
      <c r="B3064" s="34"/>
      <c r="EO3064" s="375" t="str">
        <f t="shared" si="329"/>
        <v>_</v>
      </c>
      <c r="EP3064" s="376"/>
      <c r="EQ3064" s="376"/>
      <c r="ER3064" s="377"/>
      <c r="ES3064" s="376"/>
      <c r="ET3064" s="376"/>
      <c r="EU3064" s="376"/>
    </row>
    <row r="3065" spans="2:151" x14ac:dyDescent="0.2">
      <c r="B3065" s="34"/>
      <c r="EO3065" s="375" t="str">
        <f t="shared" si="329"/>
        <v>_</v>
      </c>
      <c r="EP3065" s="376"/>
      <c r="EQ3065" s="376"/>
      <c r="ER3065" s="377"/>
      <c r="ES3065" s="376"/>
      <c r="ET3065" s="376"/>
      <c r="EU3065" s="376"/>
    </row>
    <row r="3066" spans="2:151" x14ac:dyDescent="0.2">
      <c r="B3066" s="34"/>
      <c r="EO3066" s="375" t="str">
        <f t="shared" si="329"/>
        <v>_</v>
      </c>
      <c r="EP3066" s="376"/>
      <c r="EQ3066" s="376"/>
      <c r="ER3066" s="377"/>
      <c r="ES3066" s="376"/>
      <c r="ET3066" s="376"/>
      <c r="EU3066" s="376"/>
    </row>
    <row r="3067" spans="2:151" x14ac:dyDescent="0.2">
      <c r="B3067" s="34"/>
      <c r="EO3067" s="375" t="str">
        <f t="shared" si="329"/>
        <v>_</v>
      </c>
      <c r="EP3067" s="376"/>
      <c r="EQ3067" s="376"/>
      <c r="ER3067" s="377"/>
      <c r="ES3067" s="376"/>
      <c r="ET3067" s="376"/>
      <c r="EU3067" s="376"/>
    </row>
    <row r="3068" spans="2:151" x14ac:dyDescent="0.2">
      <c r="B3068" s="34"/>
      <c r="EO3068" s="375" t="str">
        <f t="shared" si="329"/>
        <v>_</v>
      </c>
      <c r="EP3068" s="376"/>
      <c r="EQ3068" s="376"/>
      <c r="ER3068" s="377"/>
      <c r="ES3068" s="376"/>
      <c r="ET3068" s="376"/>
      <c r="EU3068" s="376"/>
    </row>
    <row r="3069" spans="2:151" x14ac:dyDescent="0.2">
      <c r="B3069" s="34"/>
      <c r="EO3069" s="375" t="str">
        <f t="shared" si="329"/>
        <v>_</v>
      </c>
      <c r="EP3069" s="376"/>
      <c r="EQ3069" s="376"/>
      <c r="ER3069" s="377"/>
      <c r="ES3069" s="376"/>
      <c r="ET3069" s="376"/>
      <c r="EU3069" s="376"/>
    </row>
    <row r="3070" spans="2:151" x14ac:dyDescent="0.2">
      <c r="B3070" s="34"/>
      <c r="EO3070" s="375" t="str">
        <f t="shared" si="329"/>
        <v>_</v>
      </c>
      <c r="EP3070" s="376"/>
      <c r="EQ3070" s="376"/>
      <c r="ER3070" s="377"/>
      <c r="ES3070" s="376"/>
      <c r="ET3070" s="376"/>
      <c r="EU3070" s="376"/>
    </row>
    <row r="3071" spans="2:151" x14ac:dyDescent="0.2">
      <c r="B3071" s="34"/>
      <c r="EO3071" s="375" t="str">
        <f t="shared" si="329"/>
        <v>_</v>
      </c>
      <c r="EP3071" s="376"/>
      <c r="EQ3071" s="376"/>
      <c r="ER3071" s="377"/>
      <c r="ES3071" s="376"/>
      <c r="ET3071" s="376"/>
      <c r="EU3071" s="376"/>
    </row>
    <row r="3072" spans="2:151" x14ac:dyDescent="0.2">
      <c r="B3072" s="34"/>
      <c r="EO3072" s="375" t="str">
        <f t="shared" si="329"/>
        <v>_</v>
      </c>
      <c r="EP3072" s="376"/>
      <c r="EQ3072" s="376"/>
      <c r="ER3072" s="377"/>
      <c r="ES3072" s="376"/>
      <c r="ET3072" s="376"/>
      <c r="EU3072" s="376"/>
    </row>
    <row r="3073" spans="2:151" x14ac:dyDescent="0.2">
      <c r="B3073" s="34"/>
      <c r="Y3073" s="2" t="s">
        <v>254</v>
      </c>
      <c r="EO3073" s="375" t="str">
        <f t="shared" si="329"/>
        <v>_</v>
      </c>
      <c r="EP3073" s="376"/>
      <c r="EQ3073" s="376"/>
      <c r="ER3073" s="377"/>
      <c r="ES3073" s="376"/>
      <c r="ET3073" s="376"/>
      <c r="EU3073" s="376"/>
    </row>
    <row r="3074" spans="2:151" x14ac:dyDescent="0.2">
      <c r="B3074" s="34"/>
      <c r="Y3074" s="2" t="s">
        <v>254</v>
      </c>
      <c r="EO3074" s="375" t="str">
        <f t="shared" si="329"/>
        <v>_</v>
      </c>
      <c r="EP3074" s="376"/>
      <c r="EQ3074" s="376"/>
      <c r="ER3074" s="377"/>
      <c r="ES3074" s="376"/>
      <c r="ET3074" s="376"/>
      <c r="EU3074" s="376"/>
    </row>
    <row r="3075" spans="2:151" x14ac:dyDescent="0.2">
      <c r="B3075" s="34"/>
      <c r="EO3075" s="375" t="str">
        <f t="shared" si="329"/>
        <v>_</v>
      </c>
      <c r="EP3075" s="376"/>
      <c r="EQ3075" s="376"/>
      <c r="ER3075" s="377"/>
      <c r="ES3075" s="376"/>
      <c r="ET3075" s="376"/>
      <c r="EU3075" s="376"/>
    </row>
    <row r="3076" spans="2:151" x14ac:dyDescent="0.2">
      <c r="B3076" s="34"/>
      <c r="EO3076" s="375" t="str">
        <f t="shared" si="329"/>
        <v>_</v>
      </c>
      <c r="EP3076" s="376"/>
      <c r="EQ3076" s="376"/>
      <c r="ER3076" s="377"/>
      <c r="ES3076" s="376"/>
      <c r="ET3076" s="376"/>
      <c r="EU3076" s="376"/>
    </row>
    <row r="3077" spans="2:151" x14ac:dyDescent="0.2">
      <c r="B3077" s="34"/>
      <c r="EO3077" s="375" t="str">
        <f t="shared" si="329"/>
        <v>_</v>
      </c>
      <c r="EP3077" s="376"/>
      <c r="EQ3077" s="376"/>
      <c r="ER3077" s="377"/>
      <c r="ES3077" s="376"/>
      <c r="ET3077" s="376"/>
      <c r="EU3077" s="376"/>
    </row>
    <row r="3078" spans="2:151" x14ac:dyDescent="0.2">
      <c r="B3078" s="34"/>
      <c r="EO3078" s="375" t="str">
        <f t="shared" si="329"/>
        <v>_</v>
      </c>
      <c r="EP3078" s="376"/>
      <c r="EQ3078" s="376"/>
      <c r="ER3078" s="377"/>
      <c r="ES3078" s="376"/>
      <c r="ET3078" s="376"/>
      <c r="EU3078" s="376"/>
    </row>
    <row r="3079" spans="2:151" x14ac:dyDescent="0.2">
      <c r="B3079" s="34"/>
      <c r="EO3079" s="375" t="str">
        <f t="shared" si="329"/>
        <v>_</v>
      </c>
      <c r="EP3079" s="376"/>
      <c r="EQ3079" s="376"/>
      <c r="ER3079" s="377"/>
      <c r="ES3079" s="376"/>
      <c r="ET3079" s="376"/>
      <c r="EU3079" s="376"/>
    </row>
    <row r="3080" spans="2:151" x14ac:dyDescent="0.2">
      <c r="B3080" s="34"/>
      <c r="EO3080" s="375" t="str">
        <f t="shared" si="329"/>
        <v>_</v>
      </c>
      <c r="EP3080" s="376"/>
      <c r="EQ3080" s="376"/>
      <c r="ER3080" s="377"/>
      <c r="ES3080" s="376"/>
      <c r="ET3080" s="376"/>
      <c r="EU3080" s="376"/>
    </row>
    <row r="3081" spans="2:151" x14ac:dyDescent="0.2">
      <c r="B3081" s="34"/>
      <c r="EO3081" s="375" t="str">
        <f t="shared" si="329"/>
        <v>_</v>
      </c>
      <c r="EP3081" s="376"/>
      <c r="EQ3081" s="376"/>
      <c r="ER3081" s="377"/>
      <c r="ES3081" s="376"/>
      <c r="ET3081" s="376"/>
      <c r="EU3081" s="376"/>
    </row>
    <row r="3082" spans="2:151" x14ac:dyDescent="0.2">
      <c r="B3082" s="34"/>
      <c r="EO3082" s="375" t="str">
        <f t="shared" si="329"/>
        <v>_</v>
      </c>
      <c r="EP3082" s="376"/>
      <c r="EQ3082" s="376"/>
      <c r="ER3082" s="377"/>
      <c r="ES3082" s="376"/>
      <c r="ET3082" s="376"/>
      <c r="EU3082" s="376"/>
    </row>
    <row r="3083" spans="2:151" x14ac:dyDescent="0.2">
      <c r="B3083" s="34"/>
      <c r="EO3083" s="375" t="str">
        <f t="shared" si="329"/>
        <v>_</v>
      </c>
      <c r="EP3083" s="376"/>
      <c r="EQ3083" s="376"/>
      <c r="ER3083" s="377"/>
      <c r="ES3083" s="376"/>
      <c r="ET3083" s="376"/>
      <c r="EU3083" s="376"/>
    </row>
    <row r="3084" spans="2:151" x14ac:dyDescent="0.2">
      <c r="B3084" s="34"/>
      <c r="EO3084" s="375" t="str">
        <f t="shared" si="329"/>
        <v>_</v>
      </c>
      <c r="EP3084" s="376"/>
      <c r="EQ3084" s="376"/>
      <c r="ER3084" s="377"/>
      <c r="ES3084" s="376"/>
      <c r="ET3084" s="376"/>
      <c r="EU3084" s="376"/>
    </row>
    <row r="3085" spans="2:151" x14ac:dyDescent="0.2">
      <c r="B3085" s="34"/>
      <c r="EO3085" s="375" t="str">
        <f t="shared" si="329"/>
        <v>_</v>
      </c>
      <c r="EP3085" s="376"/>
      <c r="EQ3085" s="376"/>
      <c r="ER3085" s="377"/>
      <c r="ES3085" s="376"/>
      <c r="ET3085" s="376"/>
      <c r="EU3085" s="376"/>
    </row>
    <row r="3086" spans="2:151" x14ac:dyDescent="0.2">
      <c r="B3086" s="34"/>
      <c r="EO3086" s="375" t="str">
        <f t="shared" si="329"/>
        <v>_</v>
      </c>
      <c r="EP3086" s="376"/>
      <c r="EQ3086" s="376"/>
      <c r="ER3086" s="377"/>
      <c r="ES3086" s="376"/>
      <c r="ET3086" s="376"/>
      <c r="EU3086" s="376"/>
    </row>
    <row r="3087" spans="2:151" x14ac:dyDescent="0.2">
      <c r="B3087" s="34"/>
      <c r="EO3087" s="375" t="str">
        <f t="shared" si="329"/>
        <v>_</v>
      </c>
      <c r="EP3087" s="376"/>
      <c r="EQ3087" s="376"/>
      <c r="ER3087" s="377"/>
      <c r="ES3087" s="376"/>
      <c r="ET3087" s="376"/>
      <c r="EU3087" s="376"/>
    </row>
    <row r="3088" spans="2:151" x14ac:dyDescent="0.2">
      <c r="B3088" s="34"/>
      <c r="EO3088" s="375" t="str">
        <f t="shared" si="329"/>
        <v>_</v>
      </c>
      <c r="EP3088" s="376"/>
      <c r="EQ3088" s="376"/>
      <c r="ER3088" s="377"/>
      <c r="ES3088" s="376"/>
      <c r="ET3088" s="376"/>
      <c r="EU3088" s="376"/>
    </row>
    <row r="3089" spans="2:151" x14ac:dyDescent="0.2">
      <c r="B3089" s="34"/>
      <c r="EO3089" s="375" t="str">
        <f t="shared" si="329"/>
        <v>_</v>
      </c>
      <c r="EP3089" s="376"/>
      <c r="EQ3089" s="376"/>
      <c r="ER3089" s="377"/>
      <c r="ES3089" s="376"/>
      <c r="ET3089" s="376"/>
      <c r="EU3089" s="376"/>
    </row>
    <row r="3090" spans="2:151" x14ac:dyDescent="0.2">
      <c r="B3090" s="34"/>
      <c r="EO3090" s="375" t="str">
        <f t="shared" si="329"/>
        <v>_</v>
      </c>
      <c r="EP3090" s="376"/>
      <c r="EQ3090" s="376"/>
      <c r="ER3090" s="377"/>
      <c r="ES3090" s="376"/>
      <c r="ET3090" s="376"/>
      <c r="EU3090" s="376"/>
    </row>
    <row r="3091" spans="2:151" x14ac:dyDescent="0.2">
      <c r="B3091" s="34"/>
      <c r="EO3091" s="375" t="str">
        <f t="shared" si="329"/>
        <v>_</v>
      </c>
      <c r="EP3091" s="376"/>
      <c r="EQ3091" s="376"/>
      <c r="ER3091" s="377"/>
      <c r="ES3091" s="376"/>
      <c r="ET3091" s="376"/>
      <c r="EU3091" s="376"/>
    </row>
    <row r="3092" spans="2:151" x14ac:dyDescent="0.2">
      <c r="B3092" s="34"/>
      <c r="EO3092" s="375" t="str">
        <f t="shared" si="329"/>
        <v>_</v>
      </c>
      <c r="EP3092" s="376"/>
      <c r="EQ3092" s="376"/>
      <c r="ER3092" s="377"/>
      <c r="ES3092" s="376"/>
      <c r="ET3092" s="376"/>
      <c r="EU3092" s="376"/>
    </row>
    <row r="3093" spans="2:151" x14ac:dyDescent="0.2">
      <c r="B3093" s="34"/>
      <c r="EO3093" s="375" t="str">
        <f t="shared" si="329"/>
        <v>_</v>
      </c>
      <c r="EP3093" s="376"/>
      <c r="EQ3093" s="376"/>
      <c r="ER3093" s="377"/>
      <c r="ES3093" s="376"/>
      <c r="ET3093" s="376"/>
      <c r="EU3093" s="376"/>
    </row>
    <row r="3094" spans="2:151" x14ac:dyDescent="0.2">
      <c r="B3094" s="34"/>
      <c r="EO3094" s="375" t="str">
        <f t="shared" si="329"/>
        <v>_</v>
      </c>
      <c r="EP3094" s="376"/>
      <c r="EQ3094" s="376"/>
      <c r="ER3094" s="377"/>
      <c r="ES3094" s="376"/>
      <c r="ET3094" s="376"/>
      <c r="EU3094" s="376"/>
    </row>
    <row r="3095" spans="2:151" x14ac:dyDescent="0.2">
      <c r="B3095" s="34"/>
      <c r="W3095" s="208" t="s">
        <v>254</v>
      </c>
      <c r="EO3095" s="375" t="str">
        <f t="shared" si="329"/>
        <v>_</v>
      </c>
      <c r="EP3095" s="376"/>
      <c r="EQ3095" s="376"/>
      <c r="ER3095" s="377"/>
      <c r="ES3095" s="376"/>
      <c r="ET3095" s="376"/>
      <c r="EU3095" s="376"/>
    </row>
    <row r="3096" spans="2:151" x14ac:dyDescent="0.2">
      <c r="B3096" s="34"/>
      <c r="EO3096" s="375" t="str">
        <f t="shared" si="329"/>
        <v>_</v>
      </c>
      <c r="EP3096" s="376"/>
      <c r="EQ3096" s="376"/>
      <c r="ER3096" s="377"/>
      <c r="ES3096" s="376"/>
      <c r="ET3096" s="376"/>
      <c r="EU3096" s="376"/>
    </row>
    <row r="3097" spans="2:151" x14ac:dyDescent="0.2">
      <c r="B3097" s="34"/>
      <c r="EO3097" s="375" t="str">
        <f t="shared" si="329"/>
        <v>_</v>
      </c>
      <c r="EP3097" s="376"/>
      <c r="EQ3097" s="376"/>
      <c r="ER3097" s="377"/>
      <c r="ES3097" s="376"/>
      <c r="ET3097" s="376"/>
      <c r="EU3097" s="376"/>
    </row>
    <row r="3098" spans="2:151" x14ac:dyDescent="0.2">
      <c r="B3098" s="34"/>
      <c r="EO3098" s="375" t="str">
        <f t="shared" si="329"/>
        <v>_</v>
      </c>
      <c r="EP3098" s="376"/>
      <c r="EQ3098" s="376"/>
      <c r="ER3098" s="377"/>
      <c r="ES3098" s="376"/>
      <c r="ET3098" s="376"/>
      <c r="EU3098" s="376"/>
    </row>
    <row r="3099" spans="2:151" x14ac:dyDescent="0.2">
      <c r="B3099" s="34"/>
      <c r="EO3099" s="375" t="str">
        <f t="shared" si="329"/>
        <v>_</v>
      </c>
      <c r="EP3099" s="376"/>
      <c r="EQ3099" s="376"/>
      <c r="ER3099" s="377"/>
      <c r="ES3099" s="376"/>
      <c r="ET3099" s="376"/>
      <c r="EU3099" s="376"/>
    </row>
    <row r="3100" spans="2:151" x14ac:dyDescent="0.2">
      <c r="B3100" s="34"/>
      <c r="EO3100" s="375" t="str">
        <f t="shared" si="329"/>
        <v>_</v>
      </c>
      <c r="EP3100" s="376"/>
      <c r="EQ3100" s="376"/>
      <c r="ER3100" s="377"/>
      <c r="ES3100" s="376"/>
      <c r="ET3100" s="376"/>
      <c r="EU3100" s="376"/>
    </row>
    <row r="3101" spans="2:151" x14ac:dyDescent="0.2">
      <c r="B3101" s="34"/>
      <c r="EO3101" s="375" t="str">
        <f t="shared" ref="EO3101:EO3164" si="330">B3101&amp;"_"&amp;C3101</f>
        <v>_</v>
      </c>
      <c r="EP3101" s="376"/>
      <c r="EQ3101" s="376"/>
      <c r="ER3101" s="377"/>
      <c r="ES3101" s="376"/>
      <c r="ET3101" s="376"/>
      <c r="EU3101" s="376"/>
    </row>
    <row r="3102" spans="2:151" x14ac:dyDescent="0.2">
      <c r="B3102" s="34"/>
      <c r="EO3102" s="375" t="str">
        <f t="shared" si="330"/>
        <v>_</v>
      </c>
      <c r="EP3102" s="376"/>
      <c r="EQ3102" s="376"/>
      <c r="ER3102" s="377"/>
      <c r="ES3102" s="376"/>
      <c r="ET3102" s="376"/>
      <c r="EU3102" s="376"/>
    </row>
    <row r="3103" spans="2:151" x14ac:dyDescent="0.2">
      <c r="B3103" s="34"/>
      <c r="EO3103" s="375" t="str">
        <f t="shared" si="330"/>
        <v>_</v>
      </c>
      <c r="EP3103" s="376"/>
      <c r="EQ3103" s="376"/>
      <c r="ER3103" s="377"/>
      <c r="ES3103" s="376"/>
      <c r="ET3103" s="376"/>
      <c r="EU3103" s="376"/>
    </row>
    <row r="3104" spans="2:151" x14ac:dyDescent="0.2">
      <c r="B3104" s="34"/>
      <c r="EO3104" s="375" t="str">
        <f t="shared" si="330"/>
        <v>_</v>
      </c>
      <c r="EP3104" s="376"/>
      <c r="EQ3104" s="376"/>
      <c r="ER3104" s="377"/>
      <c r="ES3104" s="376"/>
      <c r="ET3104" s="376"/>
      <c r="EU3104" s="376"/>
    </row>
    <row r="3105" spans="2:151" x14ac:dyDescent="0.2">
      <c r="B3105" s="34"/>
      <c r="EO3105" s="375" t="str">
        <f t="shared" si="330"/>
        <v>_</v>
      </c>
      <c r="EP3105" s="376"/>
      <c r="EQ3105" s="376"/>
      <c r="ER3105" s="377"/>
      <c r="ES3105" s="376"/>
      <c r="ET3105" s="376"/>
      <c r="EU3105" s="376"/>
    </row>
    <row r="3106" spans="2:151" x14ac:dyDescent="0.2">
      <c r="B3106" s="34"/>
      <c r="EO3106" s="375" t="str">
        <f t="shared" si="330"/>
        <v>_</v>
      </c>
      <c r="EP3106" s="376"/>
      <c r="EQ3106" s="376"/>
      <c r="ER3106" s="377"/>
      <c r="ES3106" s="376"/>
      <c r="ET3106" s="376"/>
      <c r="EU3106" s="376"/>
    </row>
    <row r="3107" spans="2:151" x14ac:dyDescent="0.2">
      <c r="B3107" s="34"/>
      <c r="EO3107" s="375" t="str">
        <f t="shared" si="330"/>
        <v>_</v>
      </c>
      <c r="EP3107" s="376"/>
      <c r="EQ3107" s="376"/>
      <c r="ER3107" s="377"/>
      <c r="ES3107" s="376"/>
      <c r="ET3107" s="376"/>
      <c r="EU3107" s="376"/>
    </row>
    <row r="3108" spans="2:151" x14ac:dyDescent="0.2">
      <c r="B3108" s="34"/>
      <c r="EO3108" s="375" t="str">
        <f t="shared" si="330"/>
        <v>_</v>
      </c>
      <c r="EP3108" s="376"/>
      <c r="EQ3108" s="376"/>
      <c r="ER3108" s="377"/>
      <c r="ES3108" s="376"/>
      <c r="ET3108" s="376"/>
      <c r="EU3108" s="376"/>
    </row>
    <row r="3109" spans="2:151" x14ac:dyDescent="0.2">
      <c r="B3109" s="34"/>
      <c r="EO3109" s="375" t="str">
        <f t="shared" si="330"/>
        <v>_</v>
      </c>
      <c r="EP3109" s="376"/>
      <c r="EQ3109" s="376"/>
      <c r="ER3109" s="377"/>
      <c r="ES3109" s="376"/>
      <c r="ET3109" s="376"/>
      <c r="EU3109" s="376"/>
    </row>
    <row r="3110" spans="2:151" x14ac:dyDescent="0.2">
      <c r="B3110" s="34"/>
      <c r="EO3110" s="375" t="str">
        <f t="shared" si="330"/>
        <v>_</v>
      </c>
      <c r="EP3110" s="376"/>
      <c r="EQ3110" s="376"/>
      <c r="ER3110" s="377"/>
      <c r="ES3110" s="376"/>
      <c r="ET3110" s="376"/>
      <c r="EU3110" s="376"/>
    </row>
    <row r="3111" spans="2:151" x14ac:dyDescent="0.2">
      <c r="B3111" s="34"/>
      <c r="EO3111" s="375" t="str">
        <f t="shared" si="330"/>
        <v>_</v>
      </c>
      <c r="EP3111" s="376"/>
      <c r="EQ3111" s="376"/>
      <c r="ER3111" s="377"/>
      <c r="ES3111" s="376"/>
      <c r="ET3111" s="376"/>
      <c r="EU3111" s="376"/>
    </row>
    <row r="3112" spans="2:151" x14ac:dyDescent="0.2">
      <c r="B3112" s="34"/>
      <c r="EO3112" s="375" t="str">
        <f t="shared" si="330"/>
        <v>_</v>
      </c>
      <c r="EP3112" s="376"/>
      <c r="EQ3112" s="376"/>
      <c r="ER3112" s="377"/>
      <c r="ES3112" s="376"/>
      <c r="ET3112" s="376"/>
      <c r="EU3112" s="376"/>
    </row>
    <row r="3113" spans="2:151" x14ac:dyDescent="0.2">
      <c r="B3113" s="34"/>
      <c r="EO3113" s="375" t="str">
        <f t="shared" si="330"/>
        <v>_</v>
      </c>
      <c r="EP3113" s="376"/>
      <c r="EQ3113" s="376"/>
      <c r="ER3113" s="377"/>
      <c r="ES3113" s="376"/>
      <c r="ET3113" s="376"/>
      <c r="EU3113" s="376"/>
    </row>
    <row r="3114" spans="2:151" x14ac:dyDescent="0.2">
      <c r="B3114" s="34"/>
      <c r="EO3114" s="375" t="str">
        <f t="shared" si="330"/>
        <v>_</v>
      </c>
      <c r="EP3114" s="376"/>
      <c r="EQ3114" s="376"/>
      <c r="ER3114" s="377"/>
      <c r="ES3114" s="376"/>
      <c r="ET3114" s="376"/>
      <c r="EU3114" s="376"/>
    </row>
    <row r="3115" spans="2:151" x14ac:dyDescent="0.2">
      <c r="B3115" s="34"/>
      <c r="EO3115" s="375" t="str">
        <f t="shared" si="330"/>
        <v>_</v>
      </c>
      <c r="EP3115" s="376"/>
      <c r="EQ3115" s="376"/>
      <c r="ER3115" s="377"/>
      <c r="ES3115" s="376"/>
      <c r="ET3115" s="376"/>
      <c r="EU3115" s="376"/>
    </row>
    <row r="3116" spans="2:151" x14ac:dyDescent="0.2">
      <c r="B3116" s="34"/>
      <c r="EO3116" s="375" t="str">
        <f t="shared" si="330"/>
        <v>_</v>
      </c>
      <c r="EP3116" s="376"/>
      <c r="EQ3116" s="376"/>
      <c r="ER3116" s="377"/>
      <c r="ES3116" s="376"/>
      <c r="ET3116" s="376"/>
      <c r="EU3116" s="376"/>
    </row>
    <row r="3117" spans="2:151" x14ac:dyDescent="0.2">
      <c r="B3117" s="34"/>
      <c r="EO3117" s="375" t="str">
        <f t="shared" si="330"/>
        <v>_</v>
      </c>
      <c r="EP3117" s="376"/>
      <c r="EQ3117" s="376"/>
      <c r="ER3117" s="377"/>
      <c r="ES3117" s="376"/>
      <c r="ET3117" s="376"/>
      <c r="EU3117" s="376"/>
    </row>
    <row r="3118" spans="2:151" x14ac:dyDescent="0.2">
      <c r="B3118" s="34"/>
      <c r="EO3118" s="375" t="str">
        <f t="shared" si="330"/>
        <v>_</v>
      </c>
      <c r="EP3118" s="376"/>
      <c r="EQ3118" s="376"/>
      <c r="ER3118" s="377"/>
      <c r="ES3118" s="376"/>
      <c r="ET3118" s="376"/>
      <c r="EU3118" s="376"/>
    </row>
    <row r="3119" spans="2:151" x14ac:dyDescent="0.2">
      <c r="B3119" s="34"/>
      <c r="EO3119" s="375" t="str">
        <f t="shared" si="330"/>
        <v>_</v>
      </c>
      <c r="EP3119" s="376"/>
      <c r="EQ3119" s="376"/>
      <c r="ER3119" s="377"/>
      <c r="ES3119" s="376"/>
      <c r="ET3119" s="376"/>
      <c r="EU3119" s="376"/>
    </row>
    <row r="3120" spans="2:151" x14ac:dyDescent="0.2">
      <c r="B3120" s="34"/>
      <c r="EO3120" s="375" t="str">
        <f t="shared" si="330"/>
        <v>_</v>
      </c>
      <c r="EP3120" s="376"/>
      <c r="EQ3120" s="376"/>
      <c r="ER3120" s="377"/>
      <c r="ES3120" s="376"/>
      <c r="ET3120" s="376"/>
      <c r="EU3120" s="376"/>
    </row>
    <row r="3121" spans="2:151" x14ac:dyDescent="0.2">
      <c r="B3121" s="34"/>
      <c r="EO3121" s="375" t="str">
        <f t="shared" si="330"/>
        <v>_</v>
      </c>
      <c r="EP3121" s="376"/>
      <c r="EQ3121" s="376"/>
      <c r="ER3121" s="377"/>
      <c r="ES3121" s="376"/>
      <c r="ET3121" s="376"/>
      <c r="EU3121" s="376"/>
    </row>
    <row r="3122" spans="2:151" x14ac:dyDescent="0.2">
      <c r="B3122" s="34"/>
      <c r="EO3122" s="375" t="str">
        <f t="shared" si="330"/>
        <v>_</v>
      </c>
      <c r="EP3122" s="376"/>
      <c r="EQ3122" s="376"/>
      <c r="ER3122" s="377"/>
      <c r="ES3122" s="376"/>
      <c r="ET3122" s="376"/>
      <c r="EU3122" s="376"/>
    </row>
    <row r="3123" spans="2:151" x14ac:dyDescent="0.2">
      <c r="B3123" s="34"/>
      <c r="EO3123" s="375" t="str">
        <f t="shared" si="330"/>
        <v>_</v>
      </c>
      <c r="EP3123" s="376"/>
      <c r="EQ3123" s="376"/>
      <c r="ER3123" s="377"/>
      <c r="ES3123" s="376"/>
      <c r="ET3123" s="376"/>
      <c r="EU3123" s="376"/>
    </row>
    <row r="3124" spans="2:151" x14ac:dyDescent="0.2">
      <c r="B3124" s="34"/>
      <c r="EO3124" s="375" t="str">
        <f t="shared" si="330"/>
        <v>_</v>
      </c>
      <c r="EP3124" s="376"/>
      <c r="EQ3124" s="376"/>
      <c r="ER3124" s="377"/>
      <c r="ES3124" s="376"/>
      <c r="ET3124" s="376"/>
      <c r="EU3124" s="376"/>
    </row>
    <row r="3125" spans="2:151" x14ac:dyDescent="0.2">
      <c r="B3125" s="34"/>
      <c r="EO3125" s="375" t="str">
        <f t="shared" si="330"/>
        <v>_</v>
      </c>
      <c r="EP3125" s="376"/>
      <c r="EQ3125" s="376"/>
      <c r="ER3125" s="377"/>
      <c r="ES3125" s="376"/>
      <c r="ET3125" s="376"/>
      <c r="EU3125" s="376"/>
    </row>
    <row r="3126" spans="2:151" x14ac:dyDescent="0.2">
      <c r="B3126" s="34"/>
      <c r="EO3126" s="375" t="str">
        <f t="shared" si="330"/>
        <v>_</v>
      </c>
      <c r="EP3126" s="376"/>
      <c r="EQ3126" s="376"/>
      <c r="ER3126" s="377"/>
      <c r="ES3126" s="376"/>
      <c r="ET3126" s="376"/>
      <c r="EU3126" s="376"/>
    </row>
    <row r="3127" spans="2:151" x14ac:dyDescent="0.2">
      <c r="B3127" s="34"/>
      <c r="EO3127" s="375" t="str">
        <f t="shared" si="330"/>
        <v>_</v>
      </c>
      <c r="EP3127" s="376"/>
      <c r="EQ3127" s="376"/>
      <c r="ER3127" s="377"/>
      <c r="ES3127" s="376"/>
      <c r="ET3127" s="376"/>
      <c r="EU3127" s="376"/>
    </row>
    <row r="3128" spans="2:151" x14ac:dyDescent="0.2">
      <c r="B3128" s="34"/>
      <c r="EO3128" s="375" t="str">
        <f t="shared" si="330"/>
        <v>_</v>
      </c>
      <c r="EP3128" s="376"/>
      <c r="EQ3128" s="376"/>
      <c r="ER3128" s="377"/>
      <c r="ES3128" s="376"/>
      <c r="ET3128" s="376"/>
      <c r="EU3128" s="376"/>
    </row>
    <row r="3129" spans="2:151" x14ac:dyDescent="0.2">
      <c r="B3129" s="34"/>
      <c r="EO3129" s="375" t="str">
        <f t="shared" si="330"/>
        <v>_</v>
      </c>
      <c r="EP3129" s="376"/>
      <c r="EQ3129" s="376"/>
      <c r="ER3129" s="377"/>
      <c r="ES3129" s="376"/>
      <c r="ET3129" s="376"/>
      <c r="EU3129" s="376"/>
    </row>
    <row r="3130" spans="2:151" x14ac:dyDescent="0.2">
      <c r="B3130" s="34"/>
      <c r="EO3130" s="375" t="str">
        <f t="shared" si="330"/>
        <v>_</v>
      </c>
      <c r="EP3130" s="376"/>
      <c r="EQ3130" s="376"/>
      <c r="ER3130" s="377"/>
      <c r="ES3130" s="376"/>
      <c r="ET3130" s="376"/>
      <c r="EU3130" s="376"/>
    </row>
    <row r="3131" spans="2:151" x14ac:dyDescent="0.2">
      <c r="B3131" s="34"/>
      <c r="EO3131" s="375" t="str">
        <f t="shared" si="330"/>
        <v>_</v>
      </c>
      <c r="EP3131" s="376"/>
      <c r="EQ3131" s="376"/>
      <c r="ER3131" s="377"/>
      <c r="ES3131" s="376"/>
      <c r="ET3131" s="376"/>
      <c r="EU3131" s="376"/>
    </row>
    <row r="3132" spans="2:151" x14ac:dyDescent="0.2">
      <c r="B3132" s="34"/>
      <c r="EO3132" s="375" t="str">
        <f t="shared" si="330"/>
        <v>_</v>
      </c>
      <c r="EP3132" s="376"/>
      <c r="EQ3132" s="376"/>
      <c r="ER3132" s="377"/>
      <c r="ES3132" s="376"/>
      <c r="ET3132" s="376"/>
      <c r="EU3132" s="376"/>
    </row>
    <row r="3133" spans="2:151" x14ac:dyDescent="0.2">
      <c r="B3133" s="34"/>
      <c r="EO3133" s="375" t="str">
        <f t="shared" si="330"/>
        <v>_</v>
      </c>
      <c r="EP3133" s="376"/>
      <c r="EQ3133" s="376"/>
      <c r="ER3133" s="377"/>
      <c r="ES3133" s="376"/>
      <c r="ET3133" s="376"/>
      <c r="EU3133" s="376"/>
    </row>
    <row r="3134" spans="2:151" x14ac:dyDescent="0.2">
      <c r="B3134" s="34"/>
      <c r="EO3134" s="375" t="str">
        <f t="shared" si="330"/>
        <v>_</v>
      </c>
      <c r="EP3134" s="376"/>
      <c r="EQ3134" s="376"/>
      <c r="ER3134" s="377"/>
      <c r="ES3134" s="376"/>
      <c r="ET3134" s="376"/>
      <c r="EU3134" s="376"/>
    </row>
    <row r="3135" spans="2:151" x14ac:dyDescent="0.2">
      <c r="B3135" s="34"/>
      <c r="EO3135" s="375" t="str">
        <f t="shared" si="330"/>
        <v>_</v>
      </c>
      <c r="EP3135" s="376"/>
      <c r="EQ3135" s="376"/>
      <c r="ER3135" s="377"/>
      <c r="ES3135" s="376"/>
      <c r="ET3135" s="376"/>
      <c r="EU3135" s="376"/>
    </row>
    <row r="3136" spans="2:151" x14ac:dyDescent="0.2">
      <c r="B3136" s="34"/>
      <c r="EO3136" s="375" t="str">
        <f t="shared" si="330"/>
        <v>_</v>
      </c>
      <c r="EP3136" s="376"/>
      <c r="EQ3136" s="376"/>
      <c r="ER3136" s="377"/>
      <c r="ES3136" s="376"/>
      <c r="ET3136" s="376"/>
      <c r="EU3136" s="376"/>
    </row>
    <row r="3137" spans="2:151" x14ac:dyDescent="0.2">
      <c r="B3137" s="34"/>
      <c r="EO3137" s="375" t="str">
        <f t="shared" si="330"/>
        <v>_</v>
      </c>
      <c r="EP3137" s="376"/>
      <c r="EQ3137" s="376"/>
      <c r="ER3137" s="377"/>
      <c r="ES3137" s="376"/>
      <c r="ET3137" s="376"/>
      <c r="EU3137" s="376"/>
    </row>
    <row r="3138" spans="2:151" x14ac:dyDescent="0.2">
      <c r="B3138" s="34"/>
      <c r="EO3138" s="375" t="str">
        <f t="shared" si="330"/>
        <v>_</v>
      </c>
      <c r="EP3138" s="376"/>
      <c r="EQ3138" s="376"/>
      <c r="ER3138" s="377"/>
      <c r="ES3138" s="376"/>
      <c r="ET3138" s="376"/>
      <c r="EU3138" s="376"/>
    </row>
    <row r="3139" spans="2:151" x14ac:dyDescent="0.2">
      <c r="B3139" s="34"/>
      <c r="EO3139" s="375" t="str">
        <f t="shared" si="330"/>
        <v>_</v>
      </c>
      <c r="EP3139" s="376"/>
      <c r="EQ3139" s="376"/>
      <c r="ER3139" s="377"/>
      <c r="ES3139" s="376"/>
      <c r="ET3139" s="376"/>
      <c r="EU3139" s="376"/>
    </row>
    <row r="3140" spans="2:151" x14ac:dyDescent="0.2">
      <c r="B3140" s="34"/>
      <c r="EO3140" s="375" t="str">
        <f t="shared" si="330"/>
        <v>_</v>
      </c>
      <c r="EP3140" s="376"/>
      <c r="EQ3140" s="376"/>
      <c r="ER3140" s="377"/>
      <c r="ES3140" s="376"/>
      <c r="ET3140" s="376"/>
      <c r="EU3140" s="376"/>
    </row>
    <row r="3141" spans="2:151" x14ac:dyDescent="0.2">
      <c r="B3141" s="34"/>
      <c r="EO3141" s="375" t="str">
        <f t="shared" si="330"/>
        <v>_</v>
      </c>
      <c r="EP3141" s="376"/>
      <c r="EQ3141" s="376"/>
      <c r="ER3141" s="377"/>
      <c r="ES3141" s="376"/>
      <c r="ET3141" s="376"/>
      <c r="EU3141" s="376"/>
    </row>
    <row r="3142" spans="2:151" x14ac:dyDescent="0.2">
      <c r="B3142" s="34"/>
      <c r="EO3142" s="375" t="str">
        <f t="shared" si="330"/>
        <v>_</v>
      </c>
      <c r="EP3142" s="376"/>
      <c r="EQ3142" s="376"/>
      <c r="ER3142" s="377"/>
      <c r="ES3142" s="376"/>
      <c r="ET3142" s="376"/>
      <c r="EU3142" s="376"/>
    </row>
    <row r="3143" spans="2:151" x14ac:dyDescent="0.2">
      <c r="B3143" s="34"/>
      <c r="EO3143" s="375" t="str">
        <f t="shared" si="330"/>
        <v>_</v>
      </c>
      <c r="EP3143" s="376"/>
      <c r="EQ3143" s="376"/>
      <c r="ER3143" s="377"/>
      <c r="ES3143" s="376"/>
      <c r="ET3143" s="376"/>
      <c r="EU3143" s="376"/>
    </row>
    <row r="3144" spans="2:151" x14ac:dyDescent="0.2">
      <c r="B3144" s="34"/>
      <c r="EO3144" s="375" t="str">
        <f t="shared" si="330"/>
        <v>_</v>
      </c>
      <c r="EP3144" s="376"/>
      <c r="EQ3144" s="376"/>
      <c r="ER3144" s="377"/>
      <c r="ES3144" s="376"/>
      <c r="ET3144" s="376"/>
      <c r="EU3144" s="376"/>
    </row>
    <row r="3145" spans="2:151" x14ac:dyDescent="0.2">
      <c r="B3145" s="34"/>
      <c r="EO3145" s="375" t="str">
        <f t="shared" si="330"/>
        <v>_</v>
      </c>
      <c r="EP3145" s="376"/>
      <c r="EQ3145" s="376"/>
      <c r="ER3145" s="377"/>
      <c r="ES3145" s="376"/>
      <c r="ET3145" s="376"/>
      <c r="EU3145" s="376"/>
    </row>
    <row r="3146" spans="2:151" x14ac:dyDescent="0.2">
      <c r="B3146" s="34"/>
      <c r="EO3146" s="375" t="str">
        <f t="shared" si="330"/>
        <v>_</v>
      </c>
      <c r="EP3146" s="376"/>
      <c r="EQ3146" s="376"/>
      <c r="ER3146" s="377"/>
      <c r="ES3146" s="376"/>
      <c r="ET3146" s="376"/>
      <c r="EU3146" s="376"/>
    </row>
    <row r="3147" spans="2:151" x14ac:dyDescent="0.2">
      <c r="B3147" s="34"/>
      <c r="EO3147" s="375" t="str">
        <f t="shared" si="330"/>
        <v>_</v>
      </c>
      <c r="EP3147" s="376"/>
      <c r="EQ3147" s="376"/>
      <c r="ER3147" s="377"/>
      <c r="ES3147" s="376"/>
      <c r="ET3147" s="376"/>
      <c r="EU3147" s="376"/>
    </row>
    <row r="3148" spans="2:151" x14ac:dyDescent="0.2">
      <c r="B3148" s="34"/>
      <c r="EO3148" s="375" t="str">
        <f t="shared" si="330"/>
        <v>_</v>
      </c>
      <c r="EP3148" s="376"/>
      <c r="EQ3148" s="376"/>
      <c r="ER3148" s="377"/>
      <c r="ES3148" s="376"/>
      <c r="ET3148" s="376"/>
      <c r="EU3148" s="376"/>
    </row>
    <row r="3149" spans="2:151" x14ac:dyDescent="0.2">
      <c r="B3149" s="34"/>
      <c r="EO3149" s="375" t="str">
        <f t="shared" si="330"/>
        <v>_</v>
      </c>
      <c r="EP3149" s="376"/>
      <c r="EQ3149" s="376"/>
      <c r="ER3149" s="377"/>
      <c r="ES3149" s="376"/>
      <c r="ET3149" s="376"/>
      <c r="EU3149" s="376"/>
    </row>
    <row r="3150" spans="2:151" x14ac:dyDescent="0.2">
      <c r="B3150" s="34"/>
      <c r="EO3150" s="375" t="str">
        <f t="shared" si="330"/>
        <v>_</v>
      </c>
      <c r="EP3150" s="376"/>
      <c r="EQ3150" s="376"/>
      <c r="ER3150" s="377"/>
      <c r="ES3150" s="376"/>
      <c r="ET3150" s="376"/>
      <c r="EU3150" s="376"/>
    </row>
    <row r="3151" spans="2:151" x14ac:dyDescent="0.2">
      <c r="B3151" s="34"/>
      <c r="EO3151" s="375" t="str">
        <f t="shared" si="330"/>
        <v>_</v>
      </c>
      <c r="EP3151" s="376"/>
      <c r="EQ3151" s="376"/>
      <c r="ER3151" s="377"/>
      <c r="ES3151" s="376"/>
      <c r="ET3151" s="376"/>
      <c r="EU3151" s="376"/>
    </row>
    <row r="3152" spans="2:151" x14ac:dyDescent="0.2">
      <c r="B3152" s="34"/>
      <c r="EO3152" s="375" t="str">
        <f t="shared" si="330"/>
        <v>_</v>
      </c>
      <c r="EP3152" s="376"/>
      <c r="EQ3152" s="376"/>
      <c r="ER3152" s="377"/>
      <c r="ES3152" s="376"/>
      <c r="ET3152" s="376"/>
      <c r="EU3152" s="376"/>
    </row>
    <row r="3153" spans="2:151" x14ac:dyDescent="0.2">
      <c r="B3153" s="34"/>
      <c r="EO3153" s="375" t="str">
        <f t="shared" si="330"/>
        <v>_</v>
      </c>
      <c r="EP3153" s="376"/>
      <c r="EQ3153" s="376"/>
      <c r="ER3153" s="377"/>
      <c r="ES3153" s="376"/>
      <c r="ET3153" s="376"/>
      <c r="EU3153" s="376"/>
    </row>
    <row r="3154" spans="2:151" x14ac:dyDescent="0.2">
      <c r="B3154" s="34"/>
      <c r="EO3154" s="375" t="str">
        <f t="shared" si="330"/>
        <v>_</v>
      </c>
      <c r="EP3154" s="376"/>
      <c r="EQ3154" s="376"/>
      <c r="ER3154" s="377"/>
      <c r="ES3154" s="376"/>
      <c r="ET3154" s="376"/>
      <c r="EU3154" s="376"/>
    </row>
    <row r="3155" spans="2:151" x14ac:dyDescent="0.2">
      <c r="B3155" s="34"/>
      <c r="EO3155" s="375" t="str">
        <f t="shared" si="330"/>
        <v>_</v>
      </c>
      <c r="EP3155" s="376"/>
      <c r="EQ3155" s="376"/>
      <c r="ER3155" s="377"/>
      <c r="ES3155" s="376"/>
      <c r="ET3155" s="376"/>
      <c r="EU3155" s="376"/>
    </row>
    <row r="3156" spans="2:151" x14ac:dyDescent="0.2">
      <c r="B3156" s="34"/>
      <c r="EO3156" s="375" t="str">
        <f t="shared" si="330"/>
        <v>_</v>
      </c>
      <c r="EP3156" s="376"/>
      <c r="EQ3156" s="376"/>
      <c r="ER3156" s="377"/>
      <c r="ES3156" s="376"/>
      <c r="ET3156" s="376"/>
      <c r="EU3156" s="376"/>
    </row>
    <row r="3157" spans="2:151" x14ac:dyDescent="0.2">
      <c r="B3157" s="34"/>
      <c r="EO3157" s="375" t="str">
        <f t="shared" si="330"/>
        <v>_</v>
      </c>
      <c r="EP3157" s="376"/>
      <c r="EQ3157" s="376"/>
      <c r="ER3157" s="377"/>
      <c r="ES3157" s="376"/>
      <c r="ET3157" s="376"/>
      <c r="EU3157" s="376"/>
    </row>
    <row r="3158" spans="2:151" x14ac:dyDescent="0.2">
      <c r="B3158" s="34"/>
      <c r="EO3158" s="375" t="str">
        <f t="shared" si="330"/>
        <v>_</v>
      </c>
      <c r="EP3158" s="376"/>
      <c r="EQ3158" s="376"/>
      <c r="ER3158" s="377"/>
      <c r="ES3158" s="376"/>
      <c r="ET3158" s="376"/>
      <c r="EU3158" s="376"/>
    </row>
    <row r="3159" spans="2:151" x14ac:dyDescent="0.2">
      <c r="B3159" s="34"/>
      <c r="EO3159" s="375" t="str">
        <f t="shared" si="330"/>
        <v>_</v>
      </c>
      <c r="EP3159" s="376"/>
      <c r="EQ3159" s="376"/>
      <c r="ER3159" s="377"/>
      <c r="ES3159" s="376"/>
      <c r="ET3159" s="376"/>
      <c r="EU3159" s="376"/>
    </row>
    <row r="3160" spans="2:151" x14ac:dyDescent="0.2">
      <c r="B3160" s="34"/>
      <c r="EO3160" s="375" t="str">
        <f t="shared" si="330"/>
        <v>_</v>
      </c>
      <c r="EP3160" s="376"/>
      <c r="EQ3160" s="376"/>
      <c r="ER3160" s="377"/>
      <c r="ES3160" s="376"/>
      <c r="ET3160" s="376"/>
      <c r="EU3160" s="376"/>
    </row>
    <row r="3161" spans="2:151" x14ac:dyDescent="0.2">
      <c r="B3161" s="34"/>
      <c r="EO3161" s="375" t="str">
        <f t="shared" si="330"/>
        <v>_</v>
      </c>
      <c r="EP3161" s="376"/>
      <c r="EQ3161" s="376"/>
      <c r="ER3161" s="377"/>
      <c r="ES3161" s="376"/>
      <c r="ET3161" s="376"/>
      <c r="EU3161" s="376"/>
    </row>
    <row r="3162" spans="2:151" x14ac:dyDescent="0.2">
      <c r="B3162" s="34"/>
      <c r="EO3162" s="375" t="str">
        <f t="shared" si="330"/>
        <v>_</v>
      </c>
      <c r="EP3162" s="376"/>
      <c r="EQ3162" s="376"/>
      <c r="ER3162" s="377"/>
      <c r="ES3162" s="376"/>
      <c r="ET3162" s="376"/>
      <c r="EU3162" s="376"/>
    </row>
    <row r="3163" spans="2:151" x14ac:dyDescent="0.2">
      <c r="B3163" s="34"/>
      <c r="EO3163" s="375" t="str">
        <f t="shared" si="330"/>
        <v>_</v>
      </c>
      <c r="EP3163" s="376"/>
      <c r="EQ3163" s="376"/>
      <c r="ER3163" s="377"/>
      <c r="ES3163" s="376"/>
      <c r="ET3163" s="376"/>
      <c r="EU3163" s="376"/>
    </row>
    <row r="3164" spans="2:151" x14ac:dyDescent="0.2">
      <c r="B3164" s="34"/>
      <c r="EO3164" s="375" t="str">
        <f t="shared" si="330"/>
        <v>_</v>
      </c>
      <c r="EP3164" s="376"/>
      <c r="EQ3164" s="376"/>
      <c r="ER3164" s="377"/>
      <c r="ES3164" s="376"/>
      <c r="ET3164" s="376"/>
      <c r="EU3164" s="376"/>
    </row>
    <row r="3165" spans="2:151" x14ac:dyDescent="0.2">
      <c r="B3165" s="34"/>
      <c r="EO3165" s="375" t="str">
        <f t="shared" ref="EO3165:EO3228" si="331">B3165&amp;"_"&amp;C3165</f>
        <v>_</v>
      </c>
      <c r="EP3165" s="376"/>
      <c r="EQ3165" s="376"/>
      <c r="ER3165" s="377"/>
      <c r="ES3165" s="376"/>
      <c r="ET3165" s="376"/>
      <c r="EU3165" s="376"/>
    </row>
    <row r="3166" spans="2:151" x14ac:dyDescent="0.2">
      <c r="B3166" s="34"/>
      <c r="EO3166" s="375" t="str">
        <f t="shared" si="331"/>
        <v>_</v>
      </c>
      <c r="EP3166" s="376"/>
      <c r="EQ3166" s="376"/>
      <c r="ER3166" s="377"/>
      <c r="ES3166" s="376"/>
      <c r="ET3166" s="376"/>
      <c r="EU3166" s="376"/>
    </row>
    <row r="3167" spans="2:151" x14ac:dyDescent="0.2">
      <c r="B3167" s="34"/>
      <c r="EO3167" s="375" t="str">
        <f t="shared" si="331"/>
        <v>_</v>
      </c>
      <c r="EP3167" s="376"/>
      <c r="EQ3167" s="376"/>
      <c r="ER3167" s="377"/>
      <c r="ES3167" s="376"/>
      <c r="ET3167" s="376"/>
      <c r="EU3167" s="376"/>
    </row>
    <row r="3168" spans="2:151" x14ac:dyDescent="0.2">
      <c r="B3168" s="34"/>
      <c r="EO3168" s="375" t="str">
        <f t="shared" si="331"/>
        <v>_</v>
      </c>
      <c r="EP3168" s="376"/>
      <c r="EQ3168" s="376"/>
      <c r="ER3168" s="377"/>
      <c r="ES3168" s="376"/>
      <c r="ET3168" s="376"/>
      <c r="EU3168" s="376"/>
    </row>
    <row r="3169" spans="2:151" x14ac:dyDescent="0.2">
      <c r="B3169" s="34"/>
      <c r="EO3169" s="375" t="str">
        <f t="shared" si="331"/>
        <v>_</v>
      </c>
      <c r="EP3169" s="376"/>
      <c r="EQ3169" s="376"/>
      <c r="ER3169" s="377"/>
      <c r="ES3169" s="376"/>
      <c r="ET3169" s="376"/>
      <c r="EU3169" s="376"/>
    </row>
    <row r="3170" spans="2:151" x14ac:dyDescent="0.2">
      <c r="B3170" s="34"/>
      <c r="EO3170" s="375" t="str">
        <f t="shared" si="331"/>
        <v>_</v>
      </c>
      <c r="EP3170" s="376"/>
      <c r="EQ3170" s="376"/>
      <c r="ER3170" s="377"/>
      <c r="ES3170" s="376"/>
      <c r="ET3170" s="376"/>
      <c r="EU3170" s="376"/>
    </row>
    <row r="3171" spans="2:151" x14ac:dyDescent="0.2">
      <c r="B3171" s="34"/>
      <c r="EO3171" s="375" t="str">
        <f t="shared" si="331"/>
        <v>_</v>
      </c>
      <c r="EP3171" s="376"/>
      <c r="EQ3171" s="376"/>
      <c r="ER3171" s="377"/>
      <c r="ES3171" s="376"/>
      <c r="ET3171" s="376"/>
      <c r="EU3171" s="376"/>
    </row>
    <row r="3172" spans="2:151" x14ac:dyDescent="0.2">
      <c r="B3172" s="34"/>
      <c r="EO3172" s="375" t="str">
        <f t="shared" si="331"/>
        <v>_</v>
      </c>
      <c r="EP3172" s="376"/>
      <c r="EQ3172" s="376"/>
      <c r="ER3172" s="377"/>
      <c r="ES3172" s="376"/>
      <c r="ET3172" s="376"/>
      <c r="EU3172" s="376"/>
    </row>
    <row r="3173" spans="2:151" x14ac:dyDescent="0.2">
      <c r="B3173" s="34"/>
      <c r="EO3173" s="375" t="str">
        <f t="shared" si="331"/>
        <v>_</v>
      </c>
      <c r="EP3173" s="376"/>
      <c r="EQ3173" s="376"/>
      <c r="ER3173" s="377"/>
      <c r="ES3173" s="376"/>
      <c r="ET3173" s="376"/>
      <c r="EU3173" s="376"/>
    </row>
    <row r="3174" spans="2:151" x14ac:dyDescent="0.2">
      <c r="B3174" s="34"/>
      <c r="EO3174" s="375" t="str">
        <f t="shared" si="331"/>
        <v>_</v>
      </c>
      <c r="EP3174" s="376"/>
      <c r="EQ3174" s="376"/>
      <c r="ER3174" s="377"/>
      <c r="ES3174" s="376"/>
      <c r="ET3174" s="376"/>
      <c r="EU3174" s="376"/>
    </row>
    <row r="3175" spans="2:151" x14ac:dyDescent="0.2">
      <c r="B3175" s="34"/>
      <c r="EO3175" s="375" t="str">
        <f t="shared" si="331"/>
        <v>_</v>
      </c>
      <c r="EP3175" s="376"/>
      <c r="EQ3175" s="376"/>
      <c r="ER3175" s="377"/>
      <c r="ES3175" s="376"/>
      <c r="ET3175" s="376"/>
      <c r="EU3175" s="376"/>
    </row>
    <row r="3176" spans="2:151" x14ac:dyDescent="0.2">
      <c r="B3176" s="34"/>
      <c r="EO3176" s="375" t="str">
        <f t="shared" si="331"/>
        <v>_</v>
      </c>
      <c r="EP3176" s="376"/>
      <c r="EQ3176" s="376"/>
      <c r="ER3176" s="377"/>
      <c r="ES3176" s="376"/>
      <c r="ET3176" s="376"/>
      <c r="EU3176" s="376"/>
    </row>
    <row r="3177" spans="2:151" x14ac:dyDescent="0.2">
      <c r="B3177" s="34"/>
      <c r="EO3177" s="375" t="str">
        <f t="shared" si="331"/>
        <v>_</v>
      </c>
      <c r="EP3177" s="376"/>
      <c r="EQ3177" s="376"/>
      <c r="ER3177" s="377"/>
      <c r="ES3177" s="376"/>
      <c r="ET3177" s="376"/>
      <c r="EU3177" s="376"/>
    </row>
    <row r="3178" spans="2:151" x14ac:dyDescent="0.2">
      <c r="B3178" s="34"/>
      <c r="EO3178" s="375" t="str">
        <f t="shared" si="331"/>
        <v>_</v>
      </c>
      <c r="EP3178" s="376"/>
      <c r="EQ3178" s="376"/>
      <c r="ER3178" s="377"/>
      <c r="ES3178" s="376"/>
      <c r="ET3178" s="376"/>
      <c r="EU3178" s="376"/>
    </row>
    <row r="3179" spans="2:151" x14ac:dyDescent="0.2">
      <c r="B3179" s="34"/>
      <c r="EO3179" s="375" t="str">
        <f t="shared" si="331"/>
        <v>_</v>
      </c>
      <c r="EP3179" s="376"/>
      <c r="EQ3179" s="376"/>
      <c r="ER3179" s="377"/>
      <c r="ES3179" s="376"/>
      <c r="ET3179" s="376"/>
      <c r="EU3179" s="376"/>
    </row>
    <row r="3180" spans="2:151" x14ac:dyDescent="0.2">
      <c r="B3180" s="34"/>
      <c r="EO3180" s="375" t="str">
        <f t="shared" si="331"/>
        <v>_</v>
      </c>
      <c r="EP3180" s="376"/>
      <c r="EQ3180" s="376"/>
      <c r="ER3180" s="377"/>
      <c r="ES3180" s="376"/>
      <c r="ET3180" s="376"/>
      <c r="EU3180" s="376"/>
    </row>
    <row r="3181" spans="2:151" x14ac:dyDescent="0.2">
      <c r="B3181" s="34"/>
      <c r="EO3181" s="375" t="str">
        <f t="shared" si="331"/>
        <v>_</v>
      </c>
      <c r="EP3181" s="376"/>
      <c r="EQ3181" s="376"/>
      <c r="ER3181" s="377"/>
      <c r="ES3181" s="376"/>
      <c r="ET3181" s="376"/>
      <c r="EU3181" s="376"/>
    </row>
    <row r="3182" spans="2:151" x14ac:dyDescent="0.2">
      <c r="B3182" s="34"/>
      <c r="EO3182" s="375" t="str">
        <f t="shared" si="331"/>
        <v>_</v>
      </c>
      <c r="EP3182" s="376"/>
      <c r="EQ3182" s="376"/>
      <c r="ER3182" s="377"/>
      <c r="ES3182" s="376"/>
      <c r="ET3182" s="376"/>
      <c r="EU3182" s="376"/>
    </row>
    <row r="3183" spans="2:151" x14ac:dyDescent="0.2">
      <c r="B3183" s="34"/>
      <c r="EO3183" s="375" t="str">
        <f t="shared" si="331"/>
        <v>_</v>
      </c>
      <c r="EP3183" s="376"/>
      <c r="EQ3183" s="376"/>
      <c r="ER3183" s="377"/>
      <c r="ES3183" s="376"/>
      <c r="ET3183" s="376"/>
      <c r="EU3183" s="376"/>
    </row>
    <row r="3184" spans="2:151" x14ac:dyDescent="0.2">
      <c r="B3184" s="34"/>
      <c r="EO3184" s="375" t="str">
        <f t="shared" si="331"/>
        <v>_</v>
      </c>
      <c r="EP3184" s="376"/>
      <c r="EQ3184" s="376"/>
      <c r="ER3184" s="377"/>
      <c r="ES3184" s="376"/>
      <c r="ET3184" s="376"/>
      <c r="EU3184" s="376"/>
    </row>
    <row r="3185" spans="2:151" x14ac:dyDescent="0.2">
      <c r="B3185" s="34"/>
      <c r="EO3185" s="375" t="str">
        <f t="shared" si="331"/>
        <v>_</v>
      </c>
      <c r="EP3185" s="376"/>
      <c r="EQ3185" s="376"/>
      <c r="ER3185" s="377"/>
      <c r="ES3185" s="376"/>
      <c r="ET3185" s="376"/>
      <c r="EU3185" s="376"/>
    </row>
    <row r="3186" spans="2:151" x14ac:dyDescent="0.2">
      <c r="B3186" s="34"/>
      <c r="EO3186" s="375" t="str">
        <f t="shared" si="331"/>
        <v>_</v>
      </c>
      <c r="EP3186" s="376"/>
      <c r="EQ3186" s="376"/>
      <c r="ER3186" s="377"/>
      <c r="ES3186" s="376"/>
      <c r="ET3186" s="376"/>
      <c r="EU3186" s="376"/>
    </row>
    <row r="3187" spans="2:151" x14ac:dyDescent="0.2">
      <c r="B3187" s="34"/>
      <c r="EO3187" s="375" t="str">
        <f t="shared" si="331"/>
        <v>_</v>
      </c>
      <c r="EP3187" s="376"/>
      <c r="EQ3187" s="376"/>
      <c r="ER3187" s="377"/>
      <c r="ES3187" s="376"/>
      <c r="ET3187" s="376"/>
      <c r="EU3187" s="376"/>
    </row>
    <row r="3188" spans="2:151" x14ac:dyDescent="0.2">
      <c r="B3188" s="34"/>
      <c r="EO3188" s="375" t="str">
        <f t="shared" si="331"/>
        <v>_</v>
      </c>
      <c r="EP3188" s="376"/>
      <c r="EQ3188" s="376"/>
      <c r="ER3188" s="377"/>
      <c r="ES3188" s="376"/>
      <c r="ET3188" s="376"/>
      <c r="EU3188" s="376"/>
    </row>
    <row r="3189" spans="2:151" x14ac:dyDescent="0.2">
      <c r="B3189" s="34"/>
      <c r="EO3189" s="375" t="str">
        <f t="shared" si="331"/>
        <v>_</v>
      </c>
      <c r="EP3189" s="376"/>
      <c r="EQ3189" s="376"/>
      <c r="ER3189" s="377"/>
      <c r="ES3189" s="376"/>
      <c r="ET3189" s="376"/>
      <c r="EU3189" s="376"/>
    </row>
    <row r="3190" spans="2:151" x14ac:dyDescent="0.2">
      <c r="B3190" s="34"/>
      <c r="EO3190" s="375" t="str">
        <f t="shared" si="331"/>
        <v>_</v>
      </c>
      <c r="EP3190" s="376"/>
      <c r="EQ3190" s="376"/>
      <c r="ER3190" s="377"/>
      <c r="ES3190" s="376"/>
      <c r="ET3190" s="376"/>
      <c r="EU3190" s="376"/>
    </row>
    <row r="3191" spans="2:151" x14ac:dyDescent="0.2">
      <c r="B3191" s="34"/>
      <c r="EO3191" s="375" t="str">
        <f t="shared" si="331"/>
        <v>_</v>
      </c>
      <c r="EP3191" s="376"/>
      <c r="EQ3191" s="376"/>
      <c r="ER3191" s="377"/>
      <c r="ES3191" s="376"/>
      <c r="ET3191" s="376"/>
      <c r="EU3191" s="376"/>
    </row>
    <row r="3192" spans="2:151" x14ac:dyDescent="0.2">
      <c r="B3192" s="34"/>
      <c r="EO3192" s="375" t="str">
        <f t="shared" si="331"/>
        <v>_</v>
      </c>
      <c r="EP3192" s="376"/>
      <c r="EQ3192" s="376"/>
      <c r="ER3192" s="377"/>
      <c r="ES3192" s="376"/>
      <c r="ET3192" s="376"/>
      <c r="EU3192" s="376"/>
    </row>
    <row r="3193" spans="2:151" x14ac:dyDescent="0.2">
      <c r="B3193" s="34"/>
      <c r="EO3193" s="375" t="str">
        <f t="shared" si="331"/>
        <v>_</v>
      </c>
      <c r="EP3193" s="376"/>
      <c r="EQ3193" s="376"/>
      <c r="ER3193" s="377"/>
      <c r="ES3193" s="376"/>
      <c r="ET3193" s="376"/>
      <c r="EU3193" s="376"/>
    </row>
    <row r="3194" spans="2:151" x14ac:dyDescent="0.2">
      <c r="B3194" s="34"/>
      <c r="EO3194" s="375" t="str">
        <f t="shared" si="331"/>
        <v>_</v>
      </c>
      <c r="EP3194" s="376"/>
      <c r="EQ3194" s="376"/>
      <c r="ER3194" s="377"/>
      <c r="ES3194" s="376"/>
      <c r="ET3194" s="376"/>
      <c r="EU3194" s="376"/>
    </row>
    <row r="3195" spans="2:151" x14ac:dyDescent="0.2">
      <c r="B3195" s="34"/>
      <c r="EO3195" s="375" t="str">
        <f t="shared" si="331"/>
        <v>_</v>
      </c>
      <c r="EP3195" s="376"/>
      <c r="EQ3195" s="376"/>
      <c r="ER3195" s="377"/>
      <c r="ES3195" s="376"/>
      <c r="ET3195" s="376"/>
      <c r="EU3195" s="376"/>
    </row>
    <row r="3196" spans="2:151" x14ac:dyDescent="0.2">
      <c r="B3196" s="34"/>
      <c r="EO3196" s="375" t="str">
        <f t="shared" si="331"/>
        <v>_</v>
      </c>
      <c r="EP3196" s="376"/>
      <c r="EQ3196" s="376"/>
      <c r="ER3196" s="377"/>
      <c r="ES3196" s="376"/>
      <c r="ET3196" s="376"/>
      <c r="EU3196" s="376"/>
    </row>
    <row r="3197" spans="2:151" x14ac:dyDescent="0.2">
      <c r="B3197" s="34"/>
      <c r="EO3197" s="375" t="str">
        <f t="shared" si="331"/>
        <v>_</v>
      </c>
      <c r="EP3197" s="376"/>
      <c r="EQ3197" s="376"/>
      <c r="ER3197" s="377"/>
      <c r="ES3197" s="376"/>
      <c r="ET3197" s="376"/>
      <c r="EU3197" s="376"/>
    </row>
    <row r="3198" spans="2:151" x14ac:dyDescent="0.2">
      <c r="B3198" s="34"/>
      <c r="EO3198" s="375" t="str">
        <f t="shared" si="331"/>
        <v>_</v>
      </c>
      <c r="EP3198" s="376"/>
      <c r="EQ3198" s="376"/>
      <c r="ER3198" s="377"/>
      <c r="ES3198" s="376"/>
      <c r="ET3198" s="376"/>
      <c r="EU3198" s="376"/>
    </row>
    <row r="3199" spans="2:151" x14ac:dyDescent="0.2">
      <c r="B3199" s="34"/>
      <c r="EO3199" s="375" t="str">
        <f t="shared" si="331"/>
        <v>_</v>
      </c>
      <c r="EP3199" s="376"/>
      <c r="EQ3199" s="376"/>
      <c r="ER3199" s="377"/>
      <c r="ES3199" s="376"/>
      <c r="ET3199" s="376"/>
      <c r="EU3199" s="376"/>
    </row>
    <row r="3200" spans="2:151" x14ac:dyDescent="0.2">
      <c r="B3200" s="34"/>
      <c r="EO3200" s="375" t="str">
        <f t="shared" si="331"/>
        <v>_</v>
      </c>
      <c r="EP3200" s="376"/>
      <c r="EQ3200" s="376"/>
      <c r="ER3200" s="377"/>
      <c r="ES3200" s="376"/>
      <c r="ET3200" s="376"/>
      <c r="EU3200" s="376"/>
    </row>
    <row r="3201" spans="2:151" x14ac:dyDescent="0.2">
      <c r="B3201" s="34"/>
      <c r="EO3201" s="375" t="str">
        <f t="shared" si="331"/>
        <v>_</v>
      </c>
      <c r="EP3201" s="376"/>
      <c r="EQ3201" s="376"/>
      <c r="ER3201" s="377"/>
      <c r="ES3201" s="376"/>
      <c r="ET3201" s="376"/>
      <c r="EU3201" s="376"/>
    </row>
    <row r="3202" spans="2:151" x14ac:dyDescent="0.2">
      <c r="B3202" s="34"/>
      <c r="EO3202" s="375" t="str">
        <f t="shared" si="331"/>
        <v>_</v>
      </c>
      <c r="EP3202" s="376"/>
      <c r="EQ3202" s="376"/>
      <c r="ER3202" s="377"/>
      <c r="ES3202" s="376"/>
      <c r="ET3202" s="376"/>
      <c r="EU3202" s="376"/>
    </row>
    <row r="3203" spans="2:151" x14ac:dyDescent="0.2">
      <c r="B3203" s="34"/>
      <c r="EO3203" s="375" t="str">
        <f t="shared" si="331"/>
        <v>_</v>
      </c>
      <c r="EP3203" s="376"/>
      <c r="EQ3203" s="376"/>
      <c r="ER3203" s="377"/>
      <c r="ES3203" s="376"/>
      <c r="ET3203" s="376"/>
      <c r="EU3203" s="376"/>
    </row>
    <row r="3204" spans="2:151" x14ac:dyDescent="0.2">
      <c r="B3204" s="34"/>
      <c r="EO3204" s="375" t="str">
        <f t="shared" si="331"/>
        <v>_</v>
      </c>
      <c r="EP3204" s="376"/>
      <c r="EQ3204" s="376"/>
      <c r="ER3204" s="377"/>
      <c r="ES3204" s="376"/>
      <c r="ET3204" s="376"/>
      <c r="EU3204" s="376"/>
    </row>
    <row r="3205" spans="2:151" x14ac:dyDescent="0.2">
      <c r="B3205" s="34"/>
      <c r="EO3205" s="375" t="str">
        <f t="shared" si="331"/>
        <v>_</v>
      </c>
      <c r="EP3205" s="376"/>
      <c r="EQ3205" s="376"/>
      <c r="ER3205" s="377"/>
      <c r="ES3205" s="376"/>
      <c r="ET3205" s="376"/>
      <c r="EU3205" s="376"/>
    </row>
    <row r="3206" spans="2:151" x14ac:dyDescent="0.2">
      <c r="B3206" s="34"/>
      <c r="EO3206" s="375" t="str">
        <f t="shared" si="331"/>
        <v>_</v>
      </c>
      <c r="EP3206" s="376"/>
      <c r="EQ3206" s="376"/>
      <c r="ER3206" s="377"/>
      <c r="ES3206" s="376"/>
      <c r="ET3206" s="376"/>
      <c r="EU3206" s="376"/>
    </row>
    <row r="3207" spans="2:151" x14ac:dyDescent="0.2">
      <c r="B3207" s="34"/>
      <c r="EO3207" s="375" t="str">
        <f t="shared" si="331"/>
        <v>_</v>
      </c>
      <c r="EP3207" s="376"/>
      <c r="EQ3207" s="376"/>
      <c r="ER3207" s="377"/>
      <c r="ES3207" s="376"/>
      <c r="ET3207" s="376"/>
      <c r="EU3207" s="376"/>
    </row>
    <row r="3208" spans="2:151" x14ac:dyDescent="0.2">
      <c r="B3208" s="34"/>
      <c r="EO3208" s="375" t="str">
        <f t="shared" si="331"/>
        <v>_</v>
      </c>
      <c r="EP3208" s="376"/>
      <c r="EQ3208" s="376"/>
      <c r="ER3208" s="377"/>
      <c r="ES3208" s="376"/>
      <c r="ET3208" s="376"/>
      <c r="EU3208" s="376"/>
    </row>
    <row r="3209" spans="2:151" x14ac:dyDescent="0.2">
      <c r="B3209" s="34"/>
      <c r="EO3209" s="375" t="str">
        <f t="shared" si="331"/>
        <v>_</v>
      </c>
      <c r="EP3209" s="376"/>
      <c r="EQ3209" s="376"/>
      <c r="ER3209" s="377"/>
      <c r="ES3209" s="376"/>
      <c r="ET3209" s="376"/>
      <c r="EU3209" s="376"/>
    </row>
    <row r="3210" spans="2:151" x14ac:dyDescent="0.2">
      <c r="B3210" s="34"/>
      <c r="EO3210" s="375" t="str">
        <f t="shared" si="331"/>
        <v>_</v>
      </c>
      <c r="EP3210" s="376"/>
      <c r="EQ3210" s="376"/>
      <c r="ER3210" s="377"/>
      <c r="ES3210" s="376"/>
      <c r="ET3210" s="376"/>
      <c r="EU3210" s="376"/>
    </row>
    <row r="3211" spans="2:151" x14ac:dyDescent="0.2">
      <c r="B3211" s="34"/>
      <c r="EO3211" s="375" t="str">
        <f t="shared" si="331"/>
        <v>_</v>
      </c>
      <c r="EP3211" s="376"/>
      <c r="EQ3211" s="376"/>
      <c r="ER3211" s="377"/>
      <c r="ES3211" s="376"/>
      <c r="ET3211" s="376"/>
      <c r="EU3211" s="376"/>
    </row>
    <row r="3212" spans="2:151" x14ac:dyDescent="0.2">
      <c r="B3212" s="34"/>
      <c r="EO3212" s="375" t="str">
        <f t="shared" si="331"/>
        <v>_</v>
      </c>
      <c r="EP3212" s="376"/>
      <c r="EQ3212" s="376"/>
      <c r="ER3212" s="377"/>
      <c r="ES3212" s="376"/>
      <c r="ET3212" s="376"/>
      <c r="EU3212" s="376"/>
    </row>
    <row r="3213" spans="2:151" x14ac:dyDescent="0.2">
      <c r="B3213" s="34"/>
      <c r="EO3213" s="375" t="str">
        <f t="shared" si="331"/>
        <v>_</v>
      </c>
      <c r="EP3213" s="376"/>
      <c r="EQ3213" s="376"/>
      <c r="ER3213" s="377"/>
      <c r="ES3213" s="376"/>
      <c r="ET3213" s="376"/>
      <c r="EU3213" s="376"/>
    </row>
    <row r="3214" spans="2:151" x14ac:dyDescent="0.2">
      <c r="B3214" s="34"/>
      <c r="EO3214" s="375" t="str">
        <f t="shared" si="331"/>
        <v>_</v>
      </c>
      <c r="EP3214" s="376"/>
      <c r="EQ3214" s="376"/>
      <c r="ER3214" s="377"/>
      <c r="ES3214" s="376"/>
      <c r="ET3214" s="376"/>
      <c r="EU3214" s="376"/>
    </row>
    <row r="3215" spans="2:151" x14ac:dyDescent="0.2">
      <c r="B3215" s="34"/>
      <c r="EO3215" s="375" t="str">
        <f t="shared" si="331"/>
        <v>_</v>
      </c>
      <c r="EP3215" s="376"/>
      <c r="EQ3215" s="376"/>
      <c r="ER3215" s="377"/>
      <c r="ES3215" s="376"/>
      <c r="ET3215" s="376"/>
      <c r="EU3215" s="376"/>
    </row>
    <row r="3216" spans="2:151" x14ac:dyDescent="0.2">
      <c r="B3216" s="34"/>
      <c r="EO3216" s="375" t="str">
        <f t="shared" si="331"/>
        <v>_</v>
      </c>
      <c r="EP3216" s="376"/>
      <c r="EQ3216" s="376"/>
      <c r="ER3216" s="377"/>
      <c r="ES3216" s="376"/>
      <c r="ET3216" s="376"/>
      <c r="EU3216" s="376"/>
    </row>
    <row r="3217" spans="2:151" x14ac:dyDescent="0.2">
      <c r="B3217" s="34"/>
      <c r="EO3217" s="375" t="str">
        <f t="shared" si="331"/>
        <v>_</v>
      </c>
      <c r="EP3217" s="376"/>
      <c r="EQ3217" s="376"/>
      <c r="ER3217" s="377"/>
      <c r="ES3217" s="376"/>
      <c r="ET3217" s="376"/>
      <c r="EU3217" s="376"/>
    </row>
    <row r="3218" spans="2:151" x14ac:dyDescent="0.2">
      <c r="B3218" s="34"/>
      <c r="EO3218" s="375" t="str">
        <f t="shared" si="331"/>
        <v>_</v>
      </c>
      <c r="EP3218" s="376"/>
      <c r="EQ3218" s="376"/>
      <c r="ER3218" s="377"/>
      <c r="ES3218" s="376"/>
      <c r="ET3218" s="376"/>
      <c r="EU3218" s="376"/>
    </row>
    <row r="3219" spans="2:151" x14ac:dyDescent="0.2">
      <c r="B3219" s="34"/>
      <c r="EO3219" s="375" t="str">
        <f t="shared" si="331"/>
        <v>_</v>
      </c>
      <c r="EP3219" s="376"/>
      <c r="EQ3219" s="376"/>
      <c r="ER3219" s="377"/>
      <c r="ES3219" s="376"/>
      <c r="ET3219" s="376"/>
      <c r="EU3219" s="376"/>
    </row>
    <row r="3220" spans="2:151" x14ac:dyDescent="0.2">
      <c r="B3220" s="34"/>
      <c r="EO3220" s="375" t="str">
        <f t="shared" si="331"/>
        <v>_</v>
      </c>
      <c r="EP3220" s="376"/>
      <c r="EQ3220" s="376"/>
      <c r="ER3220" s="377"/>
      <c r="ES3220" s="376"/>
      <c r="ET3220" s="376"/>
      <c r="EU3220" s="376"/>
    </row>
    <row r="3221" spans="2:151" x14ac:dyDescent="0.2">
      <c r="B3221" s="34"/>
      <c r="EO3221" s="375" t="str">
        <f t="shared" si="331"/>
        <v>_</v>
      </c>
      <c r="EP3221" s="376"/>
      <c r="EQ3221" s="376"/>
      <c r="ER3221" s="377"/>
      <c r="ES3221" s="376"/>
      <c r="ET3221" s="376"/>
      <c r="EU3221" s="376"/>
    </row>
    <row r="3222" spans="2:151" x14ac:dyDescent="0.2">
      <c r="B3222" s="34"/>
      <c r="EO3222" s="375" t="str">
        <f t="shared" si="331"/>
        <v>_</v>
      </c>
      <c r="EP3222" s="376"/>
      <c r="EQ3222" s="376"/>
      <c r="ER3222" s="377"/>
      <c r="ES3222" s="376"/>
      <c r="ET3222" s="376"/>
      <c r="EU3222" s="376"/>
    </row>
    <row r="3223" spans="2:151" x14ac:dyDescent="0.2">
      <c r="B3223" s="34"/>
      <c r="EO3223" s="375" t="str">
        <f t="shared" si="331"/>
        <v>_</v>
      </c>
      <c r="EP3223" s="376"/>
      <c r="EQ3223" s="376"/>
      <c r="ER3223" s="377"/>
      <c r="ES3223" s="376"/>
      <c r="ET3223" s="376"/>
      <c r="EU3223" s="376"/>
    </row>
    <row r="3224" spans="2:151" x14ac:dyDescent="0.2">
      <c r="B3224" s="34"/>
      <c r="EO3224" s="375" t="str">
        <f t="shared" si="331"/>
        <v>_</v>
      </c>
      <c r="EP3224" s="376"/>
      <c r="EQ3224" s="376"/>
      <c r="ER3224" s="377"/>
      <c r="ES3224" s="376"/>
      <c r="ET3224" s="376"/>
      <c r="EU3224" s="376"/>
    </row>
    <row r="3225" spans="2:151" x14ac:dyDescent="0.2">
      <c r="B3225" s="34"/>
      <c r="EO3225" s="375" t="str">
        <f t="shared" si="331"/>
        <v>_</v>
      </c>
      <c r="EP3225" s="376"/>
      <c r="EQ3225" s="376"/>
      <c r="ER3225" s="377"/>
      <c r="ES3225" s="376"/>
      <c r="ET3225" s="376"/>
      <c r="EU3225" s="376"/>
    </row>
    <row r="3226" spans="2:151" x14ac:dyDescent="0.2">
      <c r="B3226" s="34"/>
      <c r="EO3226" s="375" t="str">
        <f t="shared" si="331"/>
        <v>_</v>
      </c>
      <c r="EP3226" s="376"/>
      <c r="EQ3226" s="376"/>
      <c r="ER3226" s="377"/>
      <c r="ES3226" s="376"/>
      <c r="ET3226" s="376"/>
      <c r="EU3226" s="376"/>
    </row>
    <row r="3227" spans="2:151" x14ac:dyDescent="0.2">
      <c r="B3227" s="34"/>
      <c r="EO3227" s="375" t="str">
        <f t="shared" si="331"/>
        <v>_</v>
      </c>
      <c r="EP3227" s="376"/>
      <c r="EQ3227" s="376"/>
      <c r="ER3227" s="377"/>
      <c r="ES3227" s="376"/>
      <c r="ET3227" s="376"/>
      <c r="EU3227" s="376"/>
    </row>
    <row r="3228" spans="2:151" x14ac:dyDescent="0.2">
      <c r="B3228" s="34"/>
      <c r="EO3228" s="375" t="str">
        <f t="shared" si="331"/>
        <v>_</v>
      </c>
      <c r="EP3228" s="376"/>
      <c r="EQ3228" s="376"/>
      <c r="ER3228" s="377"/>
      <c r="ES3228" s="376"/>
      <c r="ET3228" s="376"/>
      <c r="EU3228" s="376"/>
    </row>
    <row r="3229" spans="2:151" x14ac:dyDescent="0.2">
      <c r="B3229" s="34"/>
      <c r="EO3229" s="375" t="str">
        <f t="shared" ref="EO3229:EO3292" si="332">B3229&amp;"_"&amp;C3229</f>
        <v>_</v>
      </c>
      <c r="EP3229" s="376"/>
      <c r="EQ3229" s="376"/>
      <c r="ER3229" s="377"/>
      <c r="ES3229" s="376"/>
      <c r="ET3229" s="376"/>
      <c r="EU3229" s="376"/>
    </row>
    <row r="3230" spans="2:151" x14ac:dyDescent="0.2">
      <c r="B3230" s="34"/>
      <c r="EO3230" s="375" t="str">
        <f t="shared" si="332"/>
        <v>_</v>
      </c>
      <c r="EP3230" s="376"/>
      <c r="EQ3230" s="376"/>
      <c r="ER3230" s="377"/>
      <c r="ES3230" s="376"/>
      <c r="ET3230" s="376"/>
      <c r="EU3230" s="376"/>
    </row>
    <row r="3231" spans="2:151" x14ac:dyDescent="0.2">
      <c r="B3231" s="34"/>
      <c r="EO3231" s="375" t="str">
        <f t="shared" si="332"/>
        <v>_</v>
      </c>
      <c r="EP3231" s="376"/>
      <c r="EQ3231" s="376"/>
      <c r="ER3231" s="377"/>
      <c r="ES3231" s="376"/>
      <c r="ET3231" s="376"/>
      <c r="EU3231" s="376"/>
    </row>
    <row r="3232" spans="2:151" x14ac:dyDescent="0.2">
      <c r="B3232" s="34"/>
      <c r="EO3232" s="375" t="str">
        <f t="shared" si="332"/>
        <v>_</v>
      </c>
      <c r="EP3232" s="376"/>
      <c r="EQ3232" s="376"/>
      <c r="ER3232" s="377"/>
      <c r="ES3232" s="376"/>
      <c r="ET3232" s="376"/>
      <c r="EU3232" s="376"/>
    </row>
    <row r="3233" spans="2:151" x14ac:dyDescent="0.2">
      <c r="B3233" s="34"/>
      <c r="EO3233" s="375" t="str">
        <f t="shared" si="332"/>
        <v>_</v>
      </c>
      <c r="EP3233" s="376"/>
      <c r="EQ3233" s="376"/>
      <c r="ER3233" s="377"/>
      <c r="ES3233" s="376"/>
      <c r="ET3233" s="376"/>
      <c r="EU3233" s="376"/>
    </row>
    <row r="3234" spans="2:151" x14ac:dyDescent="0.2">
      <c r="B3234" s="34"/>
      <c r="EO3234" s="375" t="str">
        <f t="shared" si="332"/>
        <v>_</v>
      </c>
      <c r="EP3234" s="376"/>
      <c r="EQ3234" s="376"/>
      <c r="ER3234" s="377"/>
      <c r="ES3234" s="376"/>
      <c r="ET3234" s="376"/>
      <c r="EU3234" s="376"/>
    </row>
    <row r="3235" spans="2:151" x14ac:dyDescent="0.2">
      <c r="B3235" s="34"/>
      <c r="EO3235" s="375" t="str">
        <f t="shared" si="332"/>
        <v>_</v>
      </c>
      <c r="EP3235" s="376"/>
      <c r="EQ3235" s="376"/>
      <c r="ER3235" s="377"/>
      <c r="ES3235" s="376"/>
      <c r="ET3235" s="376"/>
      <c r="EU3235" s="376"/>
    </row>
    <row r="3236" spans="2:151" x14ac:dyDescent="0.2">
      <c r="B3236" s="34"/>
      <c r="EO3236" s="375" t="str">
        <f t="shared" si="332"/>
        <v>_</v>
      </c>
      <c r="EP3236" s="376"/>
      <c r="EQ3236" s="376"/>
      <c r="ER3236" s="377"/>
      <c r="ES3236" s="376"/>
      <c r="ET3236" s="376"/>
      <c r="EU3236" s="376"/>
    </row>
    <row r="3237" spans="2:151" x14ac:dyDescent="0.2">
      <c r="B3237" s="34"/>
      <c r="EO3237" s="375" t="str">
        <f t="shared" si="332"/>
        <v>_</v>
      </c>
      <c r="EP3237" s="376"/>
      <c r="EQ3237" s="376"/>
      <c r="ER3237" s="377"/>
      <c r="ES3237" s="376"/>
      <c r="ET3237" s="376"/>
      <c r="EU3237" s="376"/>
    </row>
    <row r="3238" spans="2:151" x14ac:dyDescent="0.2">
      <c r="B3238" s="34"/>
      <c r="EO3238" s="375" t="str">
        <f t="shared" si="332"/>
        <v>_</v>
      </c>
      <c r="EP3238" s="376"/>
      <c r="EQ3238" s="376"/>
      <c r="ER3238" s="377"/>
      <c r="ES3238" s="376"/>
      <c r="ET3238" s="376"/>
      <c r="EU3238" s="376"/>
    </row>
    <row r="3239" spans="2:151" x14ac:dyDescent="0.2">
      <c r="B3239" s="34"/>
      <c r="EO3239" s="375" t="str">
        <f t="shared" si="332"/>
        <v>_</v>
      </c>
      <c r="EP3239" s="376"/>
      <c r="EQ3239" s="376"/>
      <c r="ER3239" s="377"/>
      <c r="ES3239" s="376"/>
      <c r="ET3239" s="376"/>
      <c r="EU3239" s="376"/>
    </row>
    <row r="3240" spans="2:151" x14ac:dyDescent="0.2">
      <c r="B3240" s="34"/>
      <c r="EO3240" s="375" t="str">
        <f t="shared" si="332"/>
        <v>_</v>
      </c>
      <c r="EP3240" s="376"/>
      <c r="EQ3240" s="376"/>
      <c r="ER3240" s="377"/>
      <c r="ES3240" s="376"/>
      <c r="ET3240" s="376"/>
      <c r="EU3240" s="376"/>
    </row>
    <row r="3241" spans="2:151" x14ac:dyDescent="0.2">
      <c r="B3241" s="34"/>
      <c r="EO3241" s="375" t="str">
        <f t="shared" si="332"/>
        <v>_</v>
      </c>
      <c r="EP3241" s="376"/>
      <c r="EQ3241" s="376"/>
      <c r="ER3241" s="377"/>
      <c r="ES3241" s="376"/>
      <c r="ET3241" s="376"/>
      <c r="EU3241" s="376"/>
    </row>
    <row r="3242" spans="2:151" x14ac:dyDescent="0.2">
      <c r="B3242" s="34"/>
      <c r="EO3242" s="375" t="str">
        <f t="shared" si="332"/>
        <v>_</v>
      </c>
      <c r="EP3242" s="376"/>
      <c r="EQ3242" s="376"/>
      <c r="ER3242" s="377"/>
      <c r="ES3242" s="376"/>
      <c r="ET3242" s="376"/>
      <c r="EU3242" s="376"/>
    </row>
    <row r="3243" spans="2:151" x14ac:dyDescent="0.2">
      <c r="B3243" s="34"/>
      <c r="EO3243" s="375" t="str">
        <f t="shared" si="332"/>
        <v>_</v>
      </c>
      <c r="EP3243" s="376"/>
      <c r="EQ3243" s="376"/>
      <c r="ER3243" s="377"/>
      <c r="ES3243" s="376"/>
      <c r="ET3243" s="376"/>
      <c r="EU3243" s="376"/>
    </row>
    <row r="3244" spans="2:151" x14ac:dyDescent="0.2">
      <c r="B3244" s="34"/>
      <c r="EO3244" s="375" t="str">
        <f t="shared" si="332"/>
        <v>_</v>
      </c>
      <c r="EP3244" s="376"/>
      <c r="EQ3244" s="376"/>
      <c r="ER3244" s="377"/>
      <c r="ES3244" s="376"/>
      <c r="ET3244" s="376"/>
      <c r="EU3244" s="376"/>
    </row>
    <row r="3245" spans="2:151" x14ac:dyDescent="0.2">
      <c r="B3245" s="34"/>
      <c r="EO3245" s="375" t="str">
        <f t="shared" si="332"/>
        <v>_</v>
      </c>
      <c r="EP3245" s="376"/>
      <c r="EQ3245" s="376"/>
      <c r="ER3245" s="377"/>
      <c r="ES3245" s="376"/>
      <c r="ET3245" s="376"/>
      <c r="EU3245" s="376"/>
    </row>
    <row r="3246" spans="2:151" x14ac:dyDescent="0.2">
      <c r="B3246" s="34"/>
      <c r="EO3246" s="375" t="str">
        <f t="shared" si="332"/>
        <v>_</v>
      </c>
      <c r="EP3246" s="376"/>
      <c r="EQ3246" s="376"/>
      <c r="ER3246" s="377"/>
      <c r="ES3246" s="376"/>
      <c r="ET3246" s="376"/>
      <c r="EU3246" s="376"/>
    </row>
    <row r="3247" spans="2:151" x14ac:dyDescent="0.2">
      <c r="B3247" s="34"/>
      <c r="EO3247" s="375" t="str">
        <f t="shared" si="332"/>
        <v>_</v>
      </c>
      <c r="EP3247" s="376"/>
      <c r="EQ3247" s="376"/>
      <c r="ER3247" s="377"/>
      <c r="ES3247" s="376"/>
      <c r="ET3247" s="376"/>
      <c r="EU3247" s="376"/>
    </row>
    <row r="3248" spans="2:151" x14ac:dyDescent="0.2">
      <c r="B3248" s="34"/>
      <c r="EO3248" s="375" t="str">
        <f t="shared" si="332"/>
        <v>_</v>
      </c>
      <c r="EP3248" s="376"/>
      <c r="EQ3248" s="376"/>
      <c r="ER3248" s="377"/>
      <c r="ES3248" s="376"/>
      <c r="ET3248" s="376"/>
      <c r="EU3248" s="376"/>
    </row>
    <row r="3249" spans="2:151" x14ac:dyDescent="0.2">
      <c r="B3249" s="34"/>
      <c r="EO3249" s="375" t="str">
        <f t="shared" si="332"/>
        <v>_</v>
      </c>
      <c r="EP3249" s="376"/>
      <c r="EQ3249" s="376"/>
      <c r="ER3249" s="377"/>
      <c r="ES3249" s="376"/>
      <c r="ET3249" s="376"/>
      <c r="EU3249" s="376"/>
    </row>
    <row r="3250" spans="2:151" x14ac:dyDescent="0.2">
      <c r="B3250" s="34"/>
      <c r="EO3250" s="375" t="str">
        <f t="shared" si="332"/>
        <v>_</v>
      </c>
      <c r="EP3250" s="376"/>
      <c r="EQ3250" s="376"/>
      <c r="ER3250" s="377"/>
      <c r="ES3250" s="376"/>
      <c r="ET3250" s="376"/>
      <c r="EU3250" s="376"/>
    </row>
    <row r="3251" spans="2:151" x14ac:dyDescent="0.2">
      <c r="B3251" s="34"/>
      <c r="EO3251" s="375" t="str">
        <f t="shared" si="332"/>
        <v>_</v>
      </c>
      <c r="EP3251" s="376"/>
      <c r="EQ3251" s="376"/>
      <c r="ER3251" s="377"/>
      <c r="ES3251" s="376"/>
      <c r="ET3251" s="376"/>
      <c r="EU3251" s="376"/>
    </row>
    <row r="3252" spans="2:151" x14ac:dyDescent="0.2">
      <c r="B3252" s="34"/>
      <c r="EO3252" s="375" t="str">
        <f t="shared" si="332"/>
        <v>_</v>
      </c>
      <c r="EP3252" s="376"/>
      <c r="EQ3252" s="376"/>
      <c r="ER3252" s="377"/>
      <c r="ES3252" s="376"/>
      <c r="ET3252" s="376"/>
      <c r="EU3252" s="376"/>
    </row>
    <row r="3253" spans="2:151" x14ac:dyDescent="0.2">
      <c r="B3253" s="34"/>
      <c r="EO3253" s="375" t="str">
        <f t="shared" si="332"/>
        <v>_</v>
      </c>
      <c r="EP3253" s="376"/>
      <c r="EQ3253" s="376"/>
      <c r="ER3253" s="377"/>
      <c r="ES3253" s="376"/>
      <c r="ET3253" s="376"/>
      <c r="EU3253" s="376"/>
    </row>
    <row r="3254" spans="2:151" x14ac:dyDescent="0.2">
      <c r="B3254" s="34"/>
      <c r="EO3254" s="375" t="str">
        <f t="shared" si="332"/>
        <v>_</v>
      </c>
      <c r="EP3254" s="376"/>
      <c r="EQ3254" s="376"/>
      <c r="ER3254" s="377"/>
      <c r="ES3254" s="376"/>
      <c r="ET3254" s="376"/>
      <c r="EU3254" s="376"/>
    </row>
    <row r="3255" spans="2:151" x14ac:dyDescent="0.2">
      <c r="B3255" s="34"/>
      <c r="EO3255" s="375" t="str">
        <f t="shared" si="332"/>
        <v>_</v>
      </c>
      <c r="EP3255" s="376"/>
      <c r="EQ3255" s="376"/>
      <c r="ER3255" s="377"/>
      <c r="ES3255" s="376"/>
      <c r="ET3255" s="376"/>
      <c r="EU3255" s="376"/>
    </row>
    <row r="3256" spans="2:151" x14ac:dyDescent="0.2">
      <c r="B3256" s="34"/>
      <c r="EO3256" s="375" t="str">
        <f t="shared" si="332"/>
        <v>_</v>
      </c>
      <c r="EP3256" s="376"/>
      <c r="EQ3256" s="376"/>
      <c r="ER3256" s="377"/>
      <c r="ES3256" s="376"/>
      <c r="ET3256" s="376"/>
      <c r="EU3256" s="376"/>
    </row>
    <row r="3257" spans="2:151" x14ac:dyDescent="0.2">
      <c r="B3257" s="34"/>
      <c r="EO3257" s="375" t="str">
        <f t="shared" si="332"/>
        <v>_</v>
      </c>
      <c r="EP3257" s="376"/>
      <c r="EQ3257" s="376"/>
      <c r="ER3257" s="377"/>
      <c r="ES3257" s="376"/>
      <c r="ET3257" s="376"/>
      <c r="EU3257" s="376"/>
    </row>
    <row r="3258" spans="2:151" x14ac:dyDescent="0.2">
      <c r="B3258" s="34"/>
      <c r="EO3258" s="375" t="str">
        <f t="shared" si="332"/>
        <v>_</v>
      </c>
      <c r="EP3258" s="376"/>
      <c r="EQ3258" s="376"/>
      <c r="ER3258" s="377"/>
      <c r="ES3258" s="376"/>
      <c r="ET3258" s="376"/>
      <c r="EU3258" s="376"/>
    </row>
    <row r="3259" spans="2:151" x14ac:dyDescent="0.2">
      <c r="B3259" s="34"/>
      <c r="EO3259" s="375" t="str">
        <f t="shared" si="332"/>
        <v>_</v>
      </c>
      <c r="EP3259" s="376"/>
      <c r="EQ3259" s="376"/>
      <c r="ER3259" s="377"/>
      <c r="ES3259" s="376"/>
      <c r="ET3259" s="376"/>
      <c r="EU3259" s="376"/>
    </row>
    <row r="3260" spans="2:151" x14ac:dyDescent="0.2">
      <c r="B3260" s="34"/>
      <c r="EO3260" s="375" t="str">
        <f t="shared" si="332"/>
        <v>_</v>
      </c>
      <c r="EP3260" s="376"/>
      <c r="EQ3260" s="376"/>
      <c r="ER3260" s="377"/>
      <c r="ES3260" s="376"/>
      <c r="ET3260" s="376"/>
      <c r="EU3260" s="376"/>
    </row>
    <row r="3261" spans="2:151" x14ac:dyDescent="0.2">
      <c r="B3261" s="34"/>
      <c r="EO3261" s="375" t="str">
        <f t="shared" si="332"/>
        <v>_</v>
      </c>
      <c r="EP3261" s="376"/>
      <c r="EQ3261" s="376"/>
      <c r="ER3261" s="377"/>
      <c r="ES3261" s="376"/>
      <c r="ET3261" s="376"/>
      <c r="EU3261" s="376"/>
    </row>
    <row r="3262" spans="2:151" x14ac:dyDescent="0.2">
      <c r="B3262" s="34"/>
      <c r="EO3262" s="375" t="str">
        <f t="shared" si="332"/>
        <v>_</v>
      </c>
      <c r="EP3262" s="376"/>
      <c r="EQ3262" s="376"/>
      <c r="ER3262" s="377"/>
      <c r="ES3262" s="376"/>
      <c r="ET3262" s="376"/>
      <c r="EU3262" s="376"/>
    </row>
    <row r="3263" spans="2:151" x14ac:dyDescent="0.2">
      <c r="B3263" s="34"/>
      <c r="EO3263" s="375" t="str">
        <f t="shared" si="332"/>
        <v>_</v>
      </c>
      <c r="EP3263" s="376"/>
      <c r="EQ3263" s="376"/>
      <c r="ER3263" s="377"/>
      <c r="ES3263" s="376"/>
      <c r="ET3263" s="376"/>
      <c r="EU3263" s="376"/>
    </row>
    <row r="3264" spans="2:151" x14ac:dyDescent="0.2">
      <c r="B3264" s="34"/>
      <c r="EO3264" s="375" t="str">
        <f t="shared" si="332"/>
        <v>_</v>
      </c>
      <c r="EP3264" s="376"/>
      <c r="EQ3264" s="376"/>
      <c r="ER3264" s="377"/>
      <c r="ES3264" s="376"/>
      <c r="ET3264" s="376"/>
      <c r="EU3264" s="376"/>
    </row>
    <row r="3265" spans="2:151" x14ac:dyDescent="0.2">
      <c r="B3265" s="34"/>
      <c r="EO3265" s="375" t="str">
        <f t="shared" si="332"/>
        <v>_</v>
      </c>
      <c r="EP3265" s="376"/>
      <c r="EQ3265" s="376"/>
      <c r="ER3265" s="377"/>
      <c r="ES3265" s="376"/>
      <c r="ET3265" s="376"/>
      <c r="EU3265" s="376"/>
    </row>
    <row r="3266" spans="2:151" x14ac:dyDescent="0.2">
      <c r="B3266" s="34"/>
      <c r="EO3266" s="375" t="str">
        <f t="shared" si="332"/>
        <v>_</v>
      </c>
      <c r="EP3266" s="376"/>
      <c r="EQ3266" s="376"/>
      <c r="ER3266" s="377"/>
      <c r="ES3266" s="376"/>
      <c r="ET3266" s="376"/>
      <c r="EU3266" s="376"/>
    </row>
    <row r="3267" spans="2:151" x14ac:dyDescent="0.2">
      <c r="B3267" s="34"/>
      <c r="EO3267" s="375" t="str">
        <f t="shared" si="332"/>
        <v>_</v>
      </c>
      <c r="EP3267" s="376"/>
      <c r="EQ3267" s="376"/>
      <c r="ER3267" s="377"/>
      <c r="ES3267" s="376"/>
      <c r="ET3267" s="376"/>
      <c r="EU3267" s="376"/>
    </row>
    <row r="3268" spans="2:151" x14ac:dyDescent="0.2">
      <c r="B3268" s="34"/>
      <c r="EO3268" s="375" t="str">
        <f t="shared" si="332"/>
        <v>_</v>
      </c>
      <c r="EP3268" s="376"/>
      <c r="EQ3268" s="376"/>
      <c r="ER3268" s="377"/>
      <c r="ES3268" s="376"/>
      <c r="ET3268" s="376"/>
      <c r="EU3268" s="376"/>
    </row>
    <row r="3269" spans="2:151" x14ac:dyDescent="0.2">
      <c r="B3269" s="34"/>
      <c r="EO3269" s="375" t="str">
        <f t="shared" si="332"/>
        <v>_</v>
      </c>
      <c r="EP3269" s="376"/>
      <c r="EQ3269" s="376"/>
      <c r="ER3269" s="377"/>
      <c r="ES3269" s="376"/>
      <c r="ET3269" s="376"/>
      <c r="EU3269" s="376"/>
    </row>
    <row r="3270" spans="2:151" x14ac:dyDescent="0.2">
      <c r="B3270" s="34"/>
      <c r="EO3270" s="375" t="str">
        <f t="shared" si="332"/>
        <v>_</v>
      </c>
      <c r="EP3270" s="376"/>
      <c r="EQ3270" s="376"/>
      <c r="ER3270" s="377"/>
      <c r="ES3270" s="376"/>
      <c r="ET3270" s="376"/>
      <c r="EU3270" s="376"/>
    </row>
    <row r="3271" spans="2:151" x14ac:dyDescent="0.2">
      <c r="B3271" s="34"/>
      <c r="EO3271" s="375" t="str">
        <f t="shared" si="332"/>
        <v>_</v>
      </c>
      <c r="EP3271" s="376"/>
      <c r="EQ3271" s="376"/>
      <c r="ER3271" s="377"/>
      <c r="ES3271" s="376"/>
      <c r="ET3271" s="376"/>
      <c r="EU3271" s="376"/>
    </row>
    <row r="3272" spans="2:151" x14ac:dyDescent="0.2">
      <c r="B3272" s="34"/>
      <c r="EO3272" s="375" t="str">
        <f t="shared" si="332"/>
        <v>_</v>
      </c>
      <c r="EP3272" s="376"/>
      <c r="EQ3272" s="376"/>
      <c r="ER3272" s="377"/>
      <c r="ES3272" s="376"/>
      <c r="ET3272" s="376"/>
      <c r="EU3272" s="376"/>
    </row>
    <row r="3273" spans="2:151" x14ac:dyDescent="0.2">
      <c r="B3273" s="34"/>
      <c r="EO3273" s="375" t="str">
        <f t="shared" si="332"/>
        <v>_</v>
      </c>
      <c r="EP3273" s="376"/>
      <c r="EQ3273" s="376"/>
      <c r="ER3273" s="377"/>
      <c r="ES3273" s="376"/>
      <c r="ET3273" s="376"/>
      <c r="EU3273" s="376"/>
    </row>
    <row r="3274" spans="2:151" x14ac:dyDescent="0.2">
      <c r="B3274" s="34"/>
      <c r="EO3274" s="375" t="str">
        <f t="shared" si="332"/>
        <v>_</v>
      </c>
      <c r="EP3274" s="376"/>
      <c r="EQ3274" s="376"/>
      <c r="ER3274" s="377"/>
      <c r="ES3274" s="376"/>
      <c r="ET3274" s="376"/>
      <c r="EU3274" s="376"/>
    </row>
    <row r="3275" spans="2:151" x14ac:dyDescent="0.2">
      <c r="B3275" s="34"/>
      <c r="EO3275" s="375" t="str">
        <f t="shared" si="332"/>
        <v>_</v>
      </c>
      <c r="EP3275" s="376"/>
      <c r="EQ3275" s="376"/>
      <c r="ER3275" s="377"/>
      <c r="ES3275" s="376"/>
      <c r="ET3275" s="376"/>
      <c r="EU3275" s="376"/>
    </row>
    <row r="3276" spans="2:151" x14ac:dyDescent="0.2">
      <c r="B3276" s="34"/>
      <c r="EO3276" s="375" t="str">
        <f t="shared" si="332"/>
        <v>_</v>
      </c>
      <c r="EP3276" s="376"/>
      <c r="EQ3276" s="376"/>
      <c r="ER3276" s="377"/>
      <c r="ES3276" s="376"/>
      <c r="ET3276" s="376"/>
      <c r="EU3276" s="376"/>
    </row>
    <row r="3277" spans="2:151" x14ac:dyDescent="0.2">
      <c r="B3277" s="34"/>
      <c r="EO3277" s="375" t="str">
        <f t="shared" si="332"/>
        <v>_</v>
      </c>
      <c r="EP3277" s="376"/>
      <c r="EQ3277" s="376"/>
      <c r="ER3277" s="377"/>
      <c r="ES3277" s="376"/>
      <c r="ET3277" s="376"/>
      <c r="EU3277" s="376"/>
    </row>
    <row r="3278" spans="2:151" x14ac:dyDescent="0.2">
      <c r="B3278" s="34"/>
      <c r="EO3278" s="375" t="str">
        <f t="shared" si="332"/>
        <v>_</v>
      </c>
      <c r="EP3278" s="376"/>
      <c r="EQ3278" s="376"/>
      <c r="ER3278" s="377"/>
      <c r="ES3278" s="376"/>
      <c r="ET3278" s="376"/>
      <c r="EU3278" s="376"/>
    </row>
    <row r="3279" spans="2:151" x14ac:dyDescent="0.2">
      <c r="B3279" s="34"/>
      <c r="EO3279" s="375" t="str">
        <f t="shared" si="332"/>
        <v>_</v>
      </c>
      <c r="EP3279" s="376"/>
      <c r="EQ3279" s="376"/>
      <c r="ER3279" s="377"/>
      <c r="ES3279" s="376"/>
      <c r="ET3279" s="376"/>
      <c r="EU3279" s="376"/>
    </row>
    <row r="3280" spans="2:151" x14ac:dyDescent="0.2">
      <c r="B3280" s="34"/>
      <c r="EO3280" s="375" t="str">
        <f t="shared" si="332"/>
        <v>_</v>
      </c>
      <c r="EP3280" s="376"/>
      <c r="EQ3280" s="376"/>
      <c r="ER3280" s="377"/>
      <c r="ES3280" s="376"/>
      <c r="ET3280" s="376"/>
      <c r="EU3280" s="376"/>
    </row>
    <row r="3281" spans="2:151" x14ac:dyDescent="0.2">
      <c r="B3281" s="34"/>
      <c r="EO3281" s="375" t="str">
        <f t="shared" si="332"/>
        <v>_</v>
      </c>
      <c r="EP3281" s="376"/>
      <c r="EQ3281" s="376"/>
      <c r="ER3281" s="377"/>
      <c r="ES3281" s="376"/>
      <c r="ET3281" s="376"/>
      <c r="EU3281" s="376"/>
    </row>
    <row r="3282" spans="2:151" x14ac:dyDescent="0.2">
      <c r="B3282" s="34"/>
      <c r="EO3282" s="375" t="str">
        <f t="shared" si="332"/>
        <v>_</v>
      </c>
      <c r="EP3282" s="376"/>
      <c r="EQ3282" s="376"/>
      <c r="ER3282" s="377"/>
      <c r="ES3282" s="376"/>
      <c r="ET3282" s="376"/>
      <c r="EU3282" s="376"/>
    </row>
    <row r="3283" spans="2:151" x14ac:dyDescent="0.2">
      <c r="B3283" s="34"/>
      <c r="EO3283" s="375" t="str">
        <f t="shared" si="332"/>
        <v>_</v>
      </c>
      <c r="EP3283" s="376"/>
      <c r="EQ3283" s="376"/>
      <c r="ER3283" s="377"/>
      <c r="ES3283" s="376"/>
      <c r="ET3283" s="376"/>
      <c r="EU3283" s="376"/>
    </row>
    <row r="3284" spans="2:151" x14ac:dyDescent="0.2">
      <c r="B3284" s="34"/>
      <c r="EO3284" s="375" t="str">
        <f t="shared" si="332"/>
        <v>_</v>
      </c>
      <c r="EP3284" s="376"/>
      <c r="EQ3284" s="376"/>
      <c r="ER3284" s="377"/>
      <c r="ES3284" s="376"/>
      <c r="ET3284" s="376"/>
      <c r="EU3284" s="376"/>
    </row>
    <row r="3285" spans="2:151" x14ac:dyDescent="0.2">
      <c r="B3285" s="34"/>
      <c r="EO3285" s="375" t="str">
        <f t="shared" si="332"/>
        <v>_</v>
      </c>
      <c r="EP3285" s="376"/>
      <c r="EQ3285" s="376"/>
      <c r="ER3285" s="377"/>
      <c r="ES3285" s="376"/>
      <c r="ET3285" s="376"/>
      <c r="EU3285" s="376"/>
    </row>
    <row r="3286" spans="2:151" x14ac:dyDescent="0.2">
      <c r="B3286" s="34"/>
      <c r="EO3286" s="375" t="str">
        <f t="shared" si="332"/>
        <v>_</v>
      </c>
      <c r="EP3286" s="376"/>
      <c r="EQ3286" s="376"/>
      <c r="ER3286" s="377"/>
      <c r="ES3286" s="376"/>
      <c r="ET3286" s="376"/>
      <c r="EU3286" s="376"/>
    </row>
    <row r="3287" spans="2:151" x14ac:dyDescent="0.2">
      <c r="B3287" s="34"/>
      <c r="EO3287" s="375" t="str">
        <f t="shared" si="332"/>
        <v>_</v>
      </c>
      <c r="EP3287" s="376"/>
      <c r="EQ3287" s="376"/>
      <c r="ER3287" s="377"/>
      <c r="ES3287" s="376"/>
      <c r="ET3287" s="376"/>
      <c r="EU3287" s="376"/>
    </row>
    <row r="3288" spans="2:151" x14ac:dyDescent="0.2">
      <c r="B3288" s="34"/>
      <c r="EO3288" s="375" t="str">
        <f t="shared" si="332"/>
        <v>_</v>
      </c>
      <c r="EP3288" s="376"/>
      <c r="EQ3288" s="376"/>
      <c r="ER3288" s="377"/>
      <c r="ES3288" s="376"/>
      <c r="ET3288" s="376"/>
      <c r="EU3288" s="376"/>
    </row>
    <row r="3289" spans="2:151" x14ac:dyDescent="0.2">
      <c r="B3289" s="34"/>
      <c r="EO3289" s="375" t="str">
        <f t="shared" si="332"/>
        <v>_</v>
      </c>
      <c r="EP3289" s="376"/>
      <c r="EQ3289" s="376"/>
      <c r="ER3289" s="377"/>
      <c r="ES3289" s="376"/>
      <c r="ET3289" s="376"/>
      <c r="EU3289" s="376"/>
    </row>
    <row r="3290" spans="2:151" x14ac:dyDescent="0.2">
      <c r="B3290" s="34"/>
      <c r="EO3290" s="375" t="str">
        <f t="shared" si="332"/>
        <v>_</v>
      </c>
      <c r="EP3290" s="376"/>
      <c r="EQ3290" s="376"/>
      <c r="ER3290" s="377"/>
      <c r="ES3290" s="376"/>
      <c r="ET3290" s="376"/>
      <c r="EU3290" s="376"/>
    </row>
    <row r="3291" spans="2:151" x14ac:dyDescent="0.2">
      <c r="B3291" s="34"/>
      <c r="EO3291" s="375" t="str">
        <f t="shared" si="332"/>
        <v>_</v>
      </c>
      <c r="EP3291" s="376"/>
      <c r="EQ3291" s="376"/>
      <c r="ER3291" s="377"/>
      <c r="ES3291" s="376"/>
      <c r="ET3291" s="376"/>
      <c r="EU3291" s="376"/>
    </row>
    <row r="3292" spans="2:151" x14ac:dyDescent="0.2">
      <c r="B3292" s="34"/>
      <c r="EO3292" s="375" t="str">
        <f t="shared" si="332"/>
        <v>_</v>
      </c>
      <c r="EP3292" s="376"/>
      <c r="EQ3292" s="376"/>
      <c r="ER3292" s="377"/>
      <c r="ES3292" s="376"/>
      <c r="ET3292" s="376"/>
      <c r="EU3292" s="376"/>
    </row>
    <row r="3293" spans="2:151" x14ac:dyDescent="0.2">
      <c r="B3293" s="34"/>
      <c r="EO3293" s="375" t="str">
        <f t="shared" ref="EO3293:EO3356" si="333">B3293&amp;"_"&amp;C3293</f>
        <v>_</v>
      </c>
      <c r="EP3293" s="376"/>
      <c r="EQ3293" s="376"/>
      <c r="ER3293" s="377"/>
      <c r="ES3293" s="376"/>
      <c r="ET3293" s="376"/>
      <c r="EU3293" s="376"/>
    </row>
    <row r="3294" spans="2:151" x14ac:dyDescent="0.2">
      <c r="B3294" s="34"/>
      <c r="EO3294" s="375" t="str">
        <f t="shared" si="333"/>
        <v>_</v>
      </c>
      <c r="EP3294" s="376"/>
      <c r="EQ3294" s="376"/>
      <c r="ER3294" s="377"/>
      <c r="ES3294" s="376"/>
      <c r="ET3294" s="376"/>
      <c r="EU3294" s="376"/>
    </row>
    <row r="3295" spans="2:151" x14ac:dyDescent="0.2">
      <c r="B3295" s="34"/>
      <c r="EO3295" s="375" t="str">
        <f t="shared" si="333"/>
        <v>_</v>
      </c>
      <c r="EP3295" s="376"/>
      <c r="EQ3295" s="376"/>
      <c r="ER3295" s="377"/>
      <c r="ES3295" s="376"/>
      <c r="ET3295" s="376"/>
      <c r="EU3295" s="376"/>
    </row>
    <row r="3296" spans="2:151" x14ac:dyDescent="0.2">
      <c r="B3296" s="34"/>
      <c r="EO3296" s="375" t="str">
        <f t="shared" si="333"/>
        <v>_</v>
      </c>
      <c r="EP3296" s="376"/>
      <c r="EQ3296" s="376"/>
      <c r="ER3296" s="377"/>
      <c r="ES3296" s="376"/>
      <c r="ET3296" s="376"/>
      <c r="EU3296" s="376"/>
    </row>
    <row r="3297" spans="2:151" x14ac:dyDescent="0.2">
      <c r="B3297" s="34"/>
      <c r="EO3297" s="375" t="str">
        <f t="shared" si="333"/>
        <v>_</v>
      </c>
      <c r="EP3297" s="376"/>
      <c r="EQ3297" s="376"/>
      <c r="ER3297" s="377"/>
      <c r="ES3297" s="376"/>
      <c r="ET3297" s="376"/>
      <c r="EU3297" s="376"/>
    </row>
    <row r="3298" spans="2:151" x14ac:dyDescent="0.2">
      <c r="B3298" s="34"/>
      <c r="EO3298" s="375" t="str">
        <f t="shared" si="333"/>
        <v>_</v>
      </c>
      <c r="EP3298" s="376"/>
      <c r="EQ3298" s="376"/>
      <c r="ER3298" s="377"/>
      <c r="ES3298" s="376"/>
      <c r="ET3298" s="376"/>
      <c r="EU3298" s="376"/>
    </row>
    <row r="3299" spans="2:151" x14ac:dyDescent="0.2">
      <c r="B3299" s="34"/>
      <c r="EO3299" s="375" t="str">
        <f t="shared" si="333"/>
        <v>_</v>
      </c>
      <c r="EP3299" s="376"/>
      <c r="EQ3299" s="376"/>
      <c r="ER3299" s="377"/>
      <c r="ES3299" s="376"/>
      <c r="ET3299" s="376"/>
      <c r="EU3299" s="376"/>
    </row>
    <row r="3300" spans="2:151" x14ac:dyDescent="0.2">
      <c r="B3300" s="34"/>
      <c r="EO3300" s="375" t="str">
        <f t="shared" si="333"/>
        <v>_</v>
      </c>
      <c r="EP3300" s="376"/>
      <c r="EQ3300" s="376"/>
      <c r="ER3300" s="377"/>
      <c r="ES3300" s="376"/>
      <c r="ET3300" s="376"/>
      <c r="EU3300" s="376"/>
    </row>
    <row r="3301" spans="2:151" x14ac:dyDescent="0.2">
      <c r="B3301" s="34"/>
      <c r="EO3301" s="375" t="str">
        <f t="shared" si="333"/>
        <v>_</v>
      </c>
      <c r="EP3301" s="376"/>
      <c r="EQ3301" s="376"/>
      <c r="ER3301" s="377"/>
      <c r="ES3301" s="376"/>
      <c r="ET3301" s="376"/>
      <c r="EU3301" s="376"/>
    </row>
    <row r="3302" spans="2:151" x14ac:dyDescent="0.2">
      <c r="B3302" s="34"/>
      <c r="EO3302" s="375" t="str">
        <f t="shared" si="333"/>
        <v>_</v>
      </c>
      <c r="EP3302" s="376"/>
      <c r="EQ3302" s="376"/>
      <c r="ER3302" s="377"/>
      <c r="ES3302" s="376"/>
      <c r="ET3302" s="376"/>
      <c r="EU3302" s="376"/>
    </row>
    <row r="3303" spans="2:151" x14ac:dyDescent="0.2">
      <c r="B3303" s="34"/>
      <c r="EO3303" s="375" t="str">
        <f t="shared" si="333"/>
        <v>_</v>
      </c>
      <c r="EP3303" s="376"/>
      <c r="EQ3303" s="376"/>
      <c r="ER3303" s="377"/>
      <c r="ES3303" s="376"/>
      <c r="ET3303" s="376"/>
      <c r="EU3303" s="376"/>
    </row>
    <row r="3304" spans="2:151" x14ac:dyDescent="0.2">
      <c r="B3304" s="34"/>
      <c r="EO3304" s="375" t="str">
        <f t="shared" si="333"/>
        <v>_</v>
      </c>
      <c r="EP3304" s="376"/>
      <c r="EQ3304" s="376"/>
      <c r="ER3304" s="377"/>
      <c r="ES3304" s="376"/>
      <c r="ET3304" s="376"/>
      <c r="EU3304" s="376"/>
    </row>
    <row r="3305" spans="2:151" x14ac:dyDescent="0.2">
      <c r="B3305" s="34"/>
      <c r="EO3305" s="375" t="str">
        <f t="shared" si="333"/>
        <v>_</v>
      </c>
      <c r="EP3305" s="376"/>
      <c r="EQ3305" s="376"/>
      <c r="ER3305" s="377"/>
      <c r="ES3305" s="376"/>
      <c r="ET3305" s="376"/>
      <c r="EU3305" s="376"/>
    </row>
    <row r="3306" spans="2:151" x14ac:dyDescent="0.2">
      <c r="B3306" s="34"/>
      <c r="EO3306" s="375" t="str">
        <f t="shared" si="333"/>
        <v>_</v>
      </c>
      <c r="EP3306" s="376"/>
      <c r="EQ3306" s="376"/>
      <c r="ER3306" s="377"/>
      <c r="ES3306" s="376"/>
      <c r="ET3306" s="376"/>
      <c r="EU3306" s="376"/>
    </row>
    <row r="3307" spans="2:151" x14ac:dyDescent="0.2">
      <c r="B3307" s="34"/>
      <c r="EO3307" s="375" t="str">
        <f t="shared" si="333"/>
        <v>_</v>
      </c>
      <c r="EP3307" s="376"/>
      <c r="EQ3307" s="376"/>
      <c r="ER3307" s="377"/>
      <c r="ES3307" s="376"/>
      <c r="ET3307" s="376"/>
      <c r="EU3307" s="376"/>
    </row>
    <row r="3308" spans="2:151" x14ac:dyDescent="0.2">
      <c r="B3308" s="34"/>
      <c r="EO3308" s="375" t="str">
        <f t="shared" si="333"/>
        <v>_</v>
      </c>
      <c r="EP3308" s="376"/>
      <c r="EQ3308" s="376"/>
      <c r="ER3308" s="377"/>
      <c r="ES3308" s="376"/>
      <c r="ET3308" s="376"/>
      <c r="EU3308" s="376"/>
    </row>
    <row r="3309" spans="2:151" x14ac:dyDescent="0.2">
      <c r="B3309" s="34"/>
      <c r="EO3309" s="375" t="str">
        <f t="shared" si="333"/>
        <v>_</v>
      </c>
      <c r="EP3309" s="376"/>
      <c r="EQ3309" s="376"/>
      <c r="ER3309" s="377"/>
      <c r="ES3309" s="376"/>
      <c r="ET3309" s="376"/>
      <c r="EU3309" s="376"/>
    </row>
    <row r="3310" spans="2:151" x14ac:dyDescent="0.2">
      <c r="B3310" s="34"/>
      <c r="EO3310" s="375" t="str">
        <f t="shared" si="333"/>
        <v>_</v>
      </c>
      <c r="EP3310" s="376"/>
      <c r="EQ3310" s="376"/>
      <c r="ER3310" s="377"/>
      <c r="ES3310" s="376"/>
      <c r="ET3310" s="376"/>
      <c r="EU3310" s="376"/>
    </row>
    <row r="3311" spans="2:151" x14ac:dyDescent="0.2">
      <c r="B3311" s="34"/>
      <c r="EO3311" s="375" t="str">
        <f t="shared" si="333"/>
        <v>_</v>
      </c>
      <c r="EP3311" s="376"/>
      <c r="EQ3311" s="376"/>
      <c r="ER3311" s="377"/>
      <c r="ES3311" s="376"/>
      <c r="ET3311" s="376"/>
      <c r="EU3311" s="376"/>
    </row>
    <row r="3312" spans="2:151" x14ac:dyDescent="0.2">
      <c r="B3312" s="34"/>
      <c r="EO3312" s="375" t="str">
        <f t="shared" si="333"/>
        <v>_</v>
      </c>
      <c r="EP3312" s="376"/>
      <c r="EQ3312" s="376"/>
      <c r="ER3312" s="377"/>
      <c r="ES3312" s="376"/>
      <c r="ET3312" s="376"/>
      <c r="EU3312" s="376"/>
    </row>
    <row r="3313" spans="2:151" x14ac:dyDescent="0.2">
      <c r="B3313" s="34"/>
      <c r="EO3313" s="375" t="str">
        <f t="shared" si="333"/>
        <v>_</v>
      </c>
      <c r="EP3313" s="376"/>
      <c r="EQ3313" s="376"/>
      <c r="ER3313" s="377"/>
      <c r="ES3313" s="376"/>
      <c r="ET3313" s="376"/>
      <c r="EU3313" s="376"/>
    </row>
    <row r="3314" spans="2:151" x14ac:dyDescent="0.2">
      <c r="B3314" s="34"/>
      <c r="EO3314" s="375" t="str">
        <f t="shared" si="333"/>
        <v>_</v>
      </c>
      <c r="EP3314" s="376"/>
      <c r="EQ3314" s="376"/>
      <c r="ER3314" s="377"/>
      <c r="ES3314" s="376"/>
      <c r="ET3314" s="376"/>
      <c r="EU3314" s="376"/>
    </row>
    <row r="3315" spans="2:151" x14ac:dyDescent="0.2">
      <c r="B3315" s="34"/>
      <c r="EO3315" s="375" t="str">
        <f t="shared" si="333"/>
        <v>_</v>
      </c>
      <c r="EP3315" s="376"/>
      <c r="EQ3315" s="376"/>
      <c r="ER3315" s="377"/>
      <c r="ES3315" s="376"/>
      <c r="ET3315" s="376"/>
      <c r="EU3315" s="376"/>
    </row>
    <row r="3316" spans="2:151" x14ac:dyDescent="0.2">
      <c r="B3316" s="34"/>
      <c r="EO3316" s="375" t="str">
        <f t="shared" si="333"/>
        <v>_</v>
      </c>
      <c r="EP3316" s="376"/>
      <c r="EQ3316" s="376"/>
      <c r="ER3316" s="377"/>
      <c r="ES3316" s="376"/>
      <c r="ET3316" s="376"/>
      <c r="EU3316" s="376"/>
    </row>
    <row r="3317" spans="2:151" x14ac:dyDescent="0.2">
      <c r="B3317" s="34"/>
      <c r="EO3317" s="375" t="str">
        <f t="shared" si="333"/>
        <v>_</v>
      </c>
      <c r="EP3317" s="376"/>
      <c r="EQ3317" s="376"/>
      <c r="ER3317" s="377"/>
      <c r="ES3317" s="376"/>
      <c r="ET3317" s="376"/>
      <c r="EU3317" s="376"/>
    </row>
    <row r="3318" spans="2:151" x14ac:dyDescent="0.2">
      <c r="B3318" s="34"/>
      <c r="EO3318" s="375" t="str">
        <f t="shared" si="333"/>
        <v>_</v>
      </c>
      <c r="EP3318" s="376"/>
      <c r="EQ3318" s="376"/>
      <c r="ER3318" s="377"/>
      <c r="ES3318" s="376"/>
      <c r="ET3318" s="376"/>
      <c r="EU3318" s="376"/>
    </row>
    <row r="3319" spans="2:151" x14ac:dyDescent="0.2">
      <c r="B3319" s="34"/>
      <c r="EO3319" s="375" t="str">
        <f t="shared" si="333"/>
        <v>_</v>
      </c>
      <c r="EP3319" s="376"/>
      <c r="EQ3319" s="376"/>
      <c r="ER3319" s="377"/>
      <c r="ES3319" s="376"/>
      <c r="ET3319" s="376"/>
      <c r="EU3319" s="376"/>
    </row>
    <row r="3320" spans="2:151" x14ac:dyDescent="0.2">
      <c r="B3320" s="34"/>
      <c r="EO3320" s="375" t="str">
        <f t="shared" si="333"/>
        <v>_</v>
      </c>
      <c r="EP3320" s="376"/>
      <c r="EQ3320" s="376"/>
      <c r="ER3320" s="377"/>
      <c r="ES3320" s="376"/>
      <c r="ET3320" s="376"/>
      <c r="EU3320" s="376"/>
    </row>
    <row r="3321" spans="2:151" x14ac:dyDescent="0.2">
      <c r="B3321" s="34"/>
      <c r="EO3321" s="375" t="str">
        <f t="shared" si="333"/>
        <v>_</v>
      </c>
      <c r="EP3321" s="376"/>
      <c r="EQ3321" s="376"/>
      <c r="ER3321" s="377"/>
      <c r="ES3321" s="376"/>
      <c r="ET3321" s="376"/>
      <c r="EU3321" s="376"/>
    </row>
    <row r="3322" spans="2:151" x14ac:dyDescent="0.2">
      <c r="B3322" s="34"/>
      <c r="EO3322" s="375" t="str">
        <f t="shared" si="333"/>
        <v>_</v>
      </c>
      <c r="EP3322" s="376"/>
      <c r="EQ3322" s="376"/>
      <c r="ER3322" s="377"/>
      <c r="ES3322" s="376"/>
      <c r="ET3322" s="376"/>
      <c r="EU3322" s="376"/>
    </row>
    <row r="3323" spans="2:151" x14ac:dyDescent="0.2">
      <c r="B3323" s="34"/>
      <c r="EO3323" s="375" t="str">
        <f t="shared" si="333"/>
        <v>_</v>
      </c>
      <c r="EP3323" s="376"/>
      <c r="EQ3323" s="376"/>
      <c r="ER3323" s="377"/>
      <c r="ES3323" s="376"/>
      <c r="ET3323" s="376"/>
      <c r="EU3323" s="376"/>
    </row>
    <row r="3324" spans="2:151" x14ac:dyDescent="0.2">
      <c r="B3324" s="34"/>
      <c r="EO3324" s="375" t="str">
        <f t="shared" si="333"/>
        <v>_</v>
      </c>
      <c r="EP3324" s="376"/>
      <c r="EQ3324" s="376"/>
      <c r="ER3324" s="377"/>
      <c r="ES3324" s="376"/>
      <c r="ET3324" s="376"/>
      <c r="EU3324" s="376"/>
    </row>
    <row r="3325" spans="2:151" x14ac:dyDescent="0.2">
      <c r="B3325" s="34"/>
      <c r="EO3325" s="375" t="str">
        <f t="shared" si="333"/>
        <v>_</v>
      </c>
      <c r="EP3325" s="376"/>
      <c r="EQ3325" s="376"/>
      <c r="ER3325" s="377"/>
      <c r="ES3325" s="376"/>
      <c r="ET3325" s="376"/>
      <c r="EU3325" s="376"/>
    </row>
    <row r="3326" spans="2:151" x14ac:dyDescent="0.2">
      <c r="B3326" s="34"/>
      <c r="EO3326" s="375" t="str">
        <f t="shared" si="333"/>
        <v>_</v>
      </c>
      <c r="EP3326" s="376"/>
      <c r="EQ3326" s="376"/>
      <c r="ER3326" s="377"/>
      <c r="ES3326" s="376"/>
      <c r="ET3326" s="376"/>
      <c r="EU3326" s="376"/>
    </row>
    <row r="3327" spans="2:151" x14ac:dyDescent="0.2">
      <c r="B3327" s="34"/>
      <c r="EO3327" s="375" t="str">
        <f t="shared" si="333"/>
        <v>_</v>
      </c>
      <c r="EP3327" s="376"/>
      <c r="EQ3327" s="376"/>
      <c r="ER3327" s="377"/>
      <c r="ES3327" s="376"/>
      <c r="ET3327" s="376"/>
      <c r="EU3327" s="376"/>
    </row>
    <row r="3328" spans="2:151" x14ac:dyDescent="0.2">
      <c r="B3328" s="34"/>
      <c r="EO3328" s="375" t="str">
        <f t="shared" si="333"/>
        <v>_</v>
      </c>
      <c r="EP3328" s="376"/>
      <c r="EQ3328" s="376"/>
      <c r="ER3328" s="377"/>
      <c r="ES3328" s="376"/>
      <c r="ET3328" s="376"/>
      <c r="EU3328" s="376"/>
    </row>
    <row r="3329" spans="2:151" x14ac:dyDescent="0.2">
      <c r="B3329" s="34"/>
      <c r="EO3329" s="375" t="str">
        <f t="shared" si="333"/>
        <v>_</v>
      </c>
      <c r="EP3329" s="376"/>
      <c r="EQ3329" s="376"/>
      <c r="ER3329" s="377"/>
      <c r="ES3329" s="376"/>
      <c r="ET3329" s="376"/>
      <c r="EU3329" s="376"/>
    </row>
    <row r="3330" spans="2:151" x14ac:dyDescent="0.2">
      <c r="B3330" s="34"/>
      <c r="EO3330" s="375" t="str">
        <f t="shared" si="333"/>
        <v>_</v>
      </c>
      <c r="EP3330" s="376"/>
      <c r="EQ3330" s="376"/>
      <c r="ER3330" s="377"/>
      <c r="ES3330" s="376"/>
      <c r="ET3330" s="376"/>
      <c r="EU3330" s="376"/>
    </row>
    <row r="3331" spans="2:151" x14ac:dyDescent="0.2">
      <c r="B3331" s="34"/>
      <c r="EO3331" s="375" t="str">
        <f t="shared" si="333"/>
        <v>_</v>
      </c>
      <c r="EP3331" s="376"/>
      <c r="EQ3331" s="376"/>
      <c r="ER3331" s="377"/>
      <c r="ES3331" s="376"/>
      <c r="ET3331" s="376"/>
      <c r="EU3331" s="376"/>
    </row>
    <row r="3332" spans="2:151" x14ac:dyDescent="0.2">
      <c r="B3332" s="34"/>
      <c r="EO3332" s="375" t="str">
        <f t="shared" si="333"/>
        <v>_</v>
      </c>
      <c r="EP3332" s="376"/>
      <c r="EQ3332" s="376"/>
      <c r="ER3332" s="377"/>
      <c r="ES3332" s="376"/>
      <c r="ET3332" s="376"/>
      <c r="EU3332" s="376"/>
    </row>
    <row r="3333" spans="2:151" x14ac:dyDescent="0.2">
      <c r="B3333" s="34"/>
      <c r="EO3333" s="375" t="str">
        <f t="shared" si="333"/>
        <v>_</v>
      </c>
      <c r="EP3333" s="376"/>
      <c r="EQ3333" s="376"/>
      <c r="ER3333" s="377"/>
      <c r="ES3333" s="376"/>
      <c r="ET3333" s="376"/>
      <c r="EU3333" s="376"/>
    </row>
    <row r="3334" spans="2:151" x14ac:dyDescent="0.2">
      <c r="B3334" s="34"/>
      <c r="EO3334" s="375" t="str">
        <f t="shared" si="333"/>
        <v>_</v>
      </c>
      <c r="EP3334" s="376"/>
      <c r="EQ3334" s="376"/>
      <c r="ER3334" s="377"/>
      <c r="ES3334" s="376"/>
      <c r="ET3334" s="376"/>
      <c r="EU3334" s="376"/>
    </row>
    <row r="3335" spans="2:151" x14ac:dyDescent="0.2">
      <c r="B3335" s="34"/>
      <c r="EO3335" s="375" t="str">
        <f t="shared" si="333"/>
        <v>_</v>
      </c>
      <c r="EP3335" s="376"/>
      <c r="EQ3335" s="376"/>
      <c r="ER3335" s="377"/>
      <c r="ES3335" s="376"/>
      <c r="ET3335" s="376"/>
      <c r="EU3335" s="376"/>
    </row>
    <row r="3336" spans="2:151" x14ac:dyDescent="0.2">
      <c r="B3336" s="34"/>
      <c r="EO3336" s="375" t="str">
        <f t="shared" si="333"/>
        <v>_</v>
      </c>
      <c r="EP3336" s="376"/>
      <c r="EQ3336" s="376"/>
      <c r="ER3336" s="377"/>
      <c r="ES3336" s="376"/>
      <c r="ET3336" s="376"/>
      <c r="EU3336" s="376"/>
    </row>
    <row r="3337" spans="2:151" x14ac:dyDescent="0.2">
      <c r="B3337" s="34"/>
      <c r="EO3337" s="375" t="str">
        <f t="shared" si="333"/>
        <v>_</v>
      </c>
      <c r="EP3337" s="376"/>
      <c r="EQ3337" s="376"/>
      <c r="ER3337" s="377"/>
      <c r="ES3337" s="376"/>
      <c r="ET3337" s="376"/>
      <c r="EU3337" s="376"/>
    </row>
    <row r="3338" spans="2:151" x14ac:dyDescent="0.2">
      <c r="B3338" s="34"/>
      <c r="EO3338" s="375" t="str">
        <f t="shared" si="333"/>
        <v>_</v>
      </c>
      <c r="EP3338" s="376"/>
      <c r="EQ3338" s="376"/>
      <c r="ER3338" s="377"/>
      <c r="ES3338" s="376"/>
      <c r="ET3338" s="376"/>
      <c r="EU3338" s="376"/>
    </row>
    <row r="3339" spans="2:151" x14ac:dyDescent="0.2">
      <c r="B3339" s="34"/>
      <c r="EO3339" s="375" t="str">
        <f t="shared" si="333"/>
        <v>_</v>
      </c>
      <c r="EP3339" s="376"/>
      <c r="EQ3339" s="376"/>
      <c r="ER3339" s="377"/>
      <c r="ES3339" s="376"/>
      <c r="ET3339" s="376"/>
      <c r="EU3339" s="376"/>
    </row>
    <row r="3340" spans="2:151" x14ac:dyDescent="0.2">
      <c r="B3340" s="34"/>
      <c r="EO3340" s="375" t="str">
        <f t="shared" si="333"/>
        <v>_</v>
      </c>
      <c r="EP3340" s="376"/>
      <c r="EQ3340" s="376"/>
      <c r="ER3340" s="377"/>
      <c r="ES3340" s="376"/>
      <c r="ET3340" s="376"/>
      <c r="EU3340" s="376"/>
    </row>
    <row r="3341" spans="2:151" x14ac:dyDescent="0.2">
      <c r="B3341" s="34"/>
      <c r="EO3341" s="375" t="str">
        <f t="shared" si="333"/>
        <v>_</v>
      </c>
      <c r="EP3341" s="376"/>
      <c r="EQ3341" s="376"/>
      <c r="ER3341" s="377"/>
      <c r="ES3341" s="376"/>
      <c r="ET3341" s="376"/>
      <c r="EU3341" s="376"/>
    </row>
    <row r="3342" spans="2:151" x14ac:dyDescent="0.2">
      <c r="B3342" s="34"/>
      <c r="EO3342" s="375" t="str">
        <f t="shared" si="333"/>
        <v>_</v>
      </c>
      <c r="EP3342" s="376"/>
      <c r="EQ3342" s="376"/>
      <c r="ER3342" s="377"/>
      <c r="ES3342" s="376"/>
      <c r="ET3342" s="376"/>
      <c r="EU3342" s="376"/>
    </row>
    <row r="3343" spans="2:151" x14ac:dyDescent="0.2">
      <c r="B3343" s="34"/>
      <c r="EO3343" s="375" t="str">
        <f t="shared" si="333"/>
        <v>_</v>
      </c>
      <c r="EP3343" s="376"/>
      <c r="EQ3343" s="376"/>
      <c r="ER3343" s="377"/>
      <c r="ES3343" s="376"/>
      <c r="ET3343" s="376"/>
      <c r="EU3343" s="376"/>
    </row>
    <row r="3344" spans="2:151" x14ac:dyDescent="0.2">
      <c r="B3344" s="34"/>
      <c r="EO3344" s="375" t="str">
        <f t="shared" si="333"/>
        <v>_</v>
      </c>
      <c r="EP3344" s="376"/>
      <c r="EQ3344" s="376"/>
      <c r="ER3344" s="377"/>
      <c r="ES3344" s="376"/>
      <c r="ET3344" s="376"/>
      <c r="EU3344" s="376"/>
    </row>
    <row r="3345" spans="2:151" x14ac:dyDescent="0.2">
      <c r="B3345" s="34"/>
      <c r="EO3345" s="375" t="str">
        <f t="shared" si="333"/>
        <v>_</v>
      </c>
      <c r="EP3345" s="376"/>
      <c r="EQ3345" s="376"/>
      <c r="ER3345" s="377"/>
      <c r="ES3345" s="376"/>
      <c r="ET3345" s="376"/>
      <c r="EU3345" s="376"/>
    </row>
    <row r="3346" spans="2:151" x14ac:dyDescent="0.2">
      <c r="B3346" s="34"/>
      <c r="EO3346" s="375" t="str">
        <f t="shared" si="333"/>
        <v>_</v>
      </c>
      <c r="EP3346" s="376"/>
      <c r="EQ3346" s="376"/>
      <c r="ER3346" s="377"/>
      <c r="ES3346" s="376"/>
      <c r="ET3346" s="376"/>
      <c r="EU3346" s="376"/>
    </row>
    <row r="3347" spans="2:151" x14ac:dyDescent="0.2">
      <c r="B3347" s="34"/>
      <c r="EO3347" s="375" t="str">
        <f t="shared" si="333"/>
        <v>_</v>
      </c>
      <c r="EP3347" s="376"/>
      <c r="EQ3347" s="376"/>
      <c r="ER3347" s="377"/>
      <c r="ES3347" s="376"/>
      <c r="ET3347" s="376"/>
      <c r="EU3347" s="376"/>
    </row>
    <row r="3348" spans="2:151" x14ac:dyDescent="0.2">
      <c r="B3348" s="34"/>
      <c r="EO3348" s="375" t="str">
        <f t="shared" si="333"/>
        <v>_</v>
      </c>
      <c r="EP3348" s="376"/>
      <c r="EQ3348" s="376"/>
      <c r="ER3348" s="377"/>
      <c r="ES3348" s="376"/>
      <c r="ET3348" s="376"/>
      <c r="EU3348" s="376"/>
    </row>
    <row r="3349" spans="2:151" x14ac:dyDescent="0.2">
      <c r="B3349" s="34"/>
      <c r="EO3349" s="375" t="str">
        <f t="shared" si="333"/>
        <v>_</v>
      </c>
      <c r="EP3349" s="376"/>
      <c r="EQ3349" s="376"/>
      <c r="ER3349" s="377"/>
      <c r="ES3349" s="376"/>
      <c r="ET3349" s="376"/>
      <c r="EU3349" s="376"/>
    </row>
    <row r="3350" spans="2:151" x14ac:dyDescent="0.2">
      <c r="B3350" s="34"/>
      <c r="EO3350" s="375" t="str">
        <f t="shared" si="333"/>
        <v>_</v>
      </c>
      <c r="EP3350" s="376"/>
      <c r="EQ3350" s="376"/>
      <c r="ER3350" s="377"/>
      <c r="ES3350" s="376"/>
      <c r="ET3350" s="376"/>
      <c r="EU3350" s="376"/>
    </row>
    <row r="3351" spans="2:151" x14ac:dyDescent="0.2">
      <c r="B3351" s="34"/>
      <c r="EO3351" s="375" t="str">
        <f t="shared" si="333"/>
        <v>_</v>
      </c>
      <c r="EP3351" s="376"/>
      <c r="EQ3351" s="376"/>
      <c r="ER3351" s="377"/>
      <c r="ES3351" s="376"/>
      <c r="ET3351" s="376"/>
      <c r="EU3351" s="376"/>
    </row>
    <row r="3352" spans="2:151" x14ac:dyDescent="0.2">
      <c r="B3352" s="34"/>
      <c r="EO3352" s="375" t="str">
        <f t="shared" si="333"/>
        <v>_</v>
      </c>
      <c r="EP3352" s="376"/>
      <c r="EQ3352" s="376"/>
      <c r="ER3352" s="377"/>
      <c r="ES3352" s="376"/>
      <c r="ET3352" s="376"/>
      <c r="EU3352" s="376"/>
    </row>
    <row r="3353" spans="2:151" x14ac:dyDescent="0.2">
      <c r="B3353" s="34"/>
      <c r="EO3353" s="375" t="str">
        <f t="shared" si="333"/>
        <v>_</v>
      </c>
      <c r="EP3353" s="376"/>
      <c r="EQ3353" s="376"/>
      <c r="ER3353" s="377"/>
      <c r="ES3353" s="376"/>
      <c r="ET3353" s="376"/>
      <c r="EU3353" s="376"/>
    </row>
    <row r="3354" spans="2:151" x14ac:dyDescent="0.2">
      <c r="B3354" s="34"/>
      <c r="EO3354" s="375" t="str">
        <f t="shared" si="333"/>
        <v>_</v>
      </c>
      <c r="EP3354" s="376"/>
      <c r="EQ3354" s="376"/>
      <c r="ER3354" s="377"/>
      <c r="ES3354" s="376"/>
      <c r="ET3354" s="376"/>
      <c r="EU3354" s="376"/>
    </row>
    <row r="3355" spans="2:151" x14ac:dyDescent="0.2">
      <c r="B3355" s="34"/>
      <c r="EO3355" s="375" t="str">
        <f t="shared" si="333"/>
        <v>_</v>
      </c>
      <c r="EP3355" s="376"/>
      <c r="EQ3355" s="376"/>
      <c r="ER3355" s="377"/>
      <c r="ES3355" s="376"/>
      <c r="ET3355" s="376"/>
      <c r="EU3355" s="376"/>
    </row>
    <row r="3356" spans="2:151" x14ac:dyDescent="0.2">
      <c r="B3356" s="34"/>
      <c r="EO3356" s="375" t="str">
        <f t="shared" si="333"/>
        <v>_</v>
      </c>
      <c r="EP3356" s="376"/>
      <c r="EQ3356" s="376"/>
      <c r="ER3356" s="377"/>
      <c r="ES3356" s="376"/>
      <c r="ET3356" s="376"/>
      <c r="EU3356" s="376"/>
    </row>
    <row r="3357" spans="2:151" x14ac:dyDescent="0.2">
      <c r="B3357" s="34"/>
      <c r="EO3357" s="375" t="str">
        <f t="shared" ref="EO3357:EO3420" si="334">B3357&amp;"_"&amp;C3357</f>
        <v>_</v>
      </c>
      <c r="EP3357" s="376"/>
      <c r="EQ3357" s="376"/>
      <c r="ER3357" s="377"/>
      <c r="ES3357" s="376"/>
      <c r="ET3357" s="376"/>
      <c r="EU3357" s="376"/>
    </row>
    <row r="3358" spans="2:151" x14ac:dyDescent="0.2">
      <c r="B3358" s="34"/>
      <c r="EO3358" s="375" t="str">
        <f t="shared" si="334"/>
        <v>_</v>
      </c>
      <c r="EP3358" s="376"/>
      <c r="EQ3358" s="376"/>
      <c r="ER3358" s="377"/>
      <c r="ES3358" s="376"/>
      <c r="ET3358" s="376"/>
      <c r="EU3358" s="376"/>
    </row>
    <row r="3359" spans="2:151" x14ac:dyDescent="0.2">
      <c r="B3359" s="34"/>
      <c r="EO3359" s="375" t="str">
        <f t="shared" si="334"/>
        <v>_</v>
      </c>
      <c r="EP3359" s="376"/>
      <c r="EQ3359" s="376"/>
      <c r="ER3359" s="377"/>
      <c r="ES3359" s="376"/>
      <c r="ET3359" s="376"/>
      <c r="EU3359" s="376"/>
    </row>
    <row r="3360" spans="2:151" x14ac:dyDescent="0.2">
      <c r="B3360" s="34"/>
      <c r="EO3360" s="375" t="str">
        <f t="shared" si="334"/>
        <v>_</v>
      </c>
      <c r="EP3360" s="376"/>
      <c r="EQ3360" s="376"/>
      <c r="ER3360" s="377"/>
      <c r="ES3360" s="376"/>
      <c r="ET3360" s="376"/>
      <c r="EU3360" s="376"/>
    </row>
    <row r="3361" spans="2:151" x14ac:dyDescent="0.2">
      <c r="B3361" s="34"/>
      <c r="EO3361" s="375" t="str">
        <f t="shared" si="334"/>
        <v>_</v>
      </c>
      <c r="EP3361" s="376"/>
      <c r="EQ3361" s="376"/>
      <c r="ER3361" s="377"/>
      <c r="ES3361" s="376"/>
      <c r="ET3361" s="376"/>
      <c r="EU3361" s="376"/>
    </row>
    <row r="3362" spans="2:151" x14ac:dyDescent="0.2">
      <c r="B3362" s="34"/>
      <c r="EO3362" s="381" t="str">
        <f t="shared" si="334"/>
        <v>_</v>
      </c>
      <c r="EP3362" s="382"/>
      <c r="EQ3362" s="376"/>
      <c r="ER3362" s="377"/>
      <c r="ES3362" s="376"/>
      <c r="ET3362" s="376"/>
      <c r="EU3362" s="376"/>
    </row>
    <row r="3363" spans="2:151" x14ac:dyDescent="0.2">
      <c r="B3363" s="34"/>
      <c r="EO3363" s="375" t="str">
        <f t="shared" si="334"/>
        <v>_</v>
      </c>
      <c r="EP3363" s="376"/>
      <c r="EQ3363" s="376"/>
      <c r="ER3363" s="377"/>
      <c r="ES3363" s="376"/>
      <c r="ET3363" s="376"/>
      <c r="EU3363" s="376"/>
    </row>
    <row r="3364" spans="2:151" x14ac:dyDescent="0.2">
      <c r="B3364" s="34"/>
      <c r="EO3364" s="375" t="str">
        <f t="shared" si="334"/>
        <v>_</v>
      </c>
      <c r="EP3364" s="376"/>
      <c r="EQ3364" s="376"/>
      <c r="ER3364" s="377"/>
      <c r="ES3364" s="376"/>
      <c r="ET3364" s="376"/>
      <c r="EU3364" s="376"/>
    </row>
    <row r="3365" spans="2:151" x14ac:dyDescent="0.2">
      <c r="B3365" s="34"/>
      <c r="EO3365" s="375" t="str">
        <f t="shared" si="334"/>
        <v>_</v>
      </c>
      <c r="EP3365" s="376"/>
      <c r="EQ3365" s="376"/>
      <c r="ER3365" s="377"/>
      <c r="ES3365" s="376"/>
      <c r="ET3365" s="376"/>
      <c r="EU3365" s="376"/>
    </row>
    <row r="3366" spans="2:151" x14ac:dyDescent="0.2">
      <c r="B3366" s="34"/>
      <c r="EO3366" s="375" t="str">
        <f t="shared" si="334"/>
        <v>_</v>
      </c>
      <c r="EP3366" s="376"/>
      <c r="EQ3366" s="382"/>
      <c r="ER3366" s="383"/>
      <c r="ES3366" s="382"/>
      <c r="ET3366" s="382"/>
      <c r="EU3366" s="382"/>
    </row>
    <row r="3367" spans="2:151" x14ac:dyDescent="0.2">
      <c r="B3367" s="34"/>
      <c r="EO3367" s="375" t="str">
        <f t="shared" si="334"/>
        <v>_</v>
      </c>
      <c r="EP3367" s="376"/>
      <c r="EQ3367" s="376"/>
      <c r="ER3367" s="377"/>
      <c r="ES3367" s="376"/>
      <c r="ET3367" s="376"/>
      <c r="EU3367" s="376"/>
    </row>
    <row r="3368" spans="2:151" x14ac:dyDescent="0.2">
      <c r="B3368" s="34"/>
      <c r="EO3368" s="375" t="str">
        <f t="shared" si="334"/>
        <v>_</v>
      </c>
      <c r="EP3368" s="376"/>
      <c r="EQ3368" s="376"/>
      <c r="ER3368" s="377"/>
      <c r="ES3368" s="376"/>
      <c r="ET3368" s="376"/>
      <c r="EU3368" s="376"/>
    </row>
    <row r="3369" spans="2:151" x14ac:dyDescent="0.2">
      <c r="B3369" s="34"/>
      <c r="EO3369" s="375" t="str">
        <f t="shared" si="334"/>
        <v>_</v>
      </c>
      <c r="EP3369" s="376"/>
      <c r="EQ3369" s="376"/>
      <c r="ER3369" s="377"/>
      <c r="ES3369" s="376"/>
      <c r="ET3369" s="376"/>
      <c r="EU3369" s="376"/>
    </row>
    <row r="3370" spans="2:151" x14ac:dyDescent="0.2">
      <c r="B3370" s="34"/>
      <c r="EO3370" s="375" t="str">
        <f t="shared" si="334"/>
        <v>_</v>
      </c>
      <c r="EP3370" s="376"/>
      <c r="EQ3370" s="376"/>
      <c r="ER3370" s="377"/>
      <c r="ES3370" s="376"/>
      <c r="ET3370" s="376"/>
      <c r="EU3370" s="376"/>
    </row>
    <row r="3371" spans="2:151" x14ac:dyDescent="0.2">
      <c r="B3371" s="34"/>
      <c r="EO3371" s="375" t="str">
        <f t="shared" si="334"/>
        <v>_</v>
      </c>
      <c r="EP3371" s="376"/>
      <c r="EQ3371" s="376"/>
      <c r="ER3371" s="377"/>
      <c r="ES3371" s="376"/>
      <c r="ET3371" s="376"/>
      <c r="EU3371" s="376"/>
    </row>
    <row r="3372" spans="2:151" x14ac:dyDescent="0.2">
      <c r="B3372" s="34"/>
      <c r="EO3372" s="375" t="str">
        <f t="shared" si="334"/>
        <v>_</v>
      </c>
      <c r="EP3372" s="376"/>
      <c r="EQ3372" s="376"/>
      <c r="ER3372" s="377"/>
      <c r="ES3372" s="376"/>
      <c r="ET3372" s="376"/>
      <c r="EU3372" s="376"/>
    </row>
    <row r="3373" spans="2:151" x14ac:dyDescent="0.2">
      <c r="B3373" s="34"/>
      <c r="EO3373" s="375" t="str">
        <f t="shared" si="334"/>
        <v>_</v>
      </c>
      <c r="EP3373" s="376"/>
      <c r="EQ3373" s="376"/>
      <c r="ER3373" s="377"/>
      <c r="ES3373" s="376"/>
      <c r="ET3373" s="376"/>
      <c r="EU3373" s="376"/>
    </row>
    <row r="3374" spans="2:151" x14ac:dyDescent="0.2">
      <c r="B3374" s="34"/>
      <c r="EO3374" s="375" t="str">
        <f t="shared" si="334"/>
        <v>_</v>
      </c>
      <c r="EP3374" s="376"/>
      <c r="EQ3374" s="376"/>
      <c r="ER3374" s="377"/>
      <c r="ES3374" s="376"/>
      <c r="ET3374" s="376"/>
      <c r="EU3374" s="376"/>
    </row>
    <row r="3375" spans="2:151" x14ac:dyDescent="0.2">
      <c r="B3375" s="34"/>
      <c r="EO3375" s="375" t="str">
        <f t="shared" si="334"/>
        <v>_</v>
      </c>
      <c r="EP3375" s="376"/>
      <c r="EQ3375" s="376"/>
      <c r="ER3375" s="377"/>
      <c r="ES3375" s="376"/>
      <c r="ET3375" s="376"/>
      <c r="EU3375" s="376"/>
    </row>
    <row r="3376" spans="2:151" x14ac:dyDescent="0.2">
      <c r="B3376" s="34"/>
      <c r="EO3376" s="375" t="str">
        <f t="shared" si="334"/>
        <v>_</v>
      </c>
      <c r="EP3376" s="376"/>
      <c r="EQ3376" s="376"/>
      <c r="ER3376" s="377"/>
      <c r="ES3376" s="376"/>
      <c r="ET3376" s="376"/>
      <c r="EU3376" s="376"/>
    </row>
    <row r="3377" spans="2:151" x14ac:dyDescent="0.2">
      <c r="B3377" s="34"/>
      <c r="EO3377" s="375" t="str">
        <f t="shared" si="334"/>
        <v>_</v>
      </c>
      <c r="EP3377" s="376"/>
      <c r="EQ3377" s="376"/>
      <c r="ER3377" s="377"/>
      <c r="ES3377" s="376"/>
      <c r="ET3377" s="376"/>
      <c r="EU3377" s="376"/>
    </row>
    <row r="3378" spans="2:151" x14ac:dyDescent="0.2">
      <c r="B3378" s="34"/>
      <c r="EO3378" s="375" t="str">
        <f t="shared" si="334"/>
        <v>_</v>
      </c>
      <c r="EP3378" s="376"/>
      <c r="EQ3378" s="376"/>
      <c r="ER3378" s="377"/>
      <c r="ES3378" s="376"/>
      <c r="ET3378" s="376"/>
      <c r="EU3378" s="376"/>
    </row>
    <row r="3379" spans="2:151" x14ac:dyDescent="0.2">
      <c r="B3379" s="34"/>
      <c r="EO3379" s="375" t="str">
        <f t="shared" si="334"/>
        <v>_</v>
      </c>
      <c r="EP3379" s="376"/>
      <c r="EQ3379" s="376"/>
      <c r="ER3379" s="377"/>
      <c r="ES3379" s="376"/>
      <c r="ET3379" s="376"/>
      <c r="EU3379" s="376"/>
    </row>
    <row r="3380" spans="2:151" x14ac:dyDescent="0.2">
      <c r="B3380" s="34"/>
      <c r="EO3380" s="375" t="str">
        <f t="shared" si="334"/>
        <v>_</v>
      </c>
      <c r="EP3380" s="376"/>
      <c r="EQ3380" s="376"/>
      <c r="ER3380" s="377"/>
      <c r="ES3380" s="376"/>
      <c r="ET3380" s="376"/>
      <c r="EU3380" s="376"/>
    </row>
    <row r="3381" spans="2:151" x14ac:dyDescent="0.2">
      <c r="B3381" s="34"/>
      <c r="AL3381" s="189"/>
      <c r="EO3381" s="375" t="str">
        <f t="shared" si="334"/>
        <v>_</v>
      </c>
      <c r="EP3381" s="376"/>
      <c r="EQ3381" s="376"/>
      <c r="ER3381" s="377"/>
      <c r="ES3381" s="376"/>
      <c r="ET3381" s="376"/>
      <c r="EU3381" s="376"/>
    </row>
    <row r="3382" spans="2:151" x14ac:dyDescent="0.2">
      <c r="B3382" s="34"/>
      <c r="EO3382" s="375" t="str">
        <f t="shared" si="334"/>
        <v>_</v>
      </c>
      <c r="EP3382" s="376"/>
      <c r="EQ3382" s="376"/>
      <c r="ER3382" s="377"/>
      <c r="ES3382" s="376"/>
      <c r="ET3382" s="376"/>
      <c r="EU3382" s="376"/>
    </row>
    <row r="3383" spans="2:151" x14ac:dyDescent="0.2">
      <c r="B3383" s="34"/>
      <c r="EO3383" s="375" t="str">
        <f t="shared" si="334"/>
        <v>_</v>
      </c>
      <c r="EP3383" s="376"/>
      <c r="EQ3383" s="376"/>
      <c r="ER3383" s="377"/>
      <c r="ES3383" s="376"/>
      <c r="ET3383" s="376"/>
      <c r="EU3383" s="376"/>
    </row>
    <row r="3384" spans="2:151" x14ac:dyDescent="0.2">
      <c r="B3384" s="34"/>
      <c r="EO3384" s="375" t="str">
        <f t="shared" si="334"/>
        <v>_</v>
      </c>
      <c r="EP3384" s="376"/>
      <c r="EQ3384" s="376"/>
      <c r="ER3384" s="377"/>
      <c r="ES3384" s="376"/>
      <c r="ET3384" s="376"/>
      <c r="EU3384" s="376"/>
    </row>
    <row r="3385" spans="2:151" x14ac:dyDescent="0.2">
      <c r="B3385" s="34"/>
      <c r="EO3385" s="375" t="str">
        <f t="shared" si="334"/>
        <v>_</v>
      </c>
      <c r="EP3385" s="376"/>
      <c r="EQ3385" s="376"/>
      <c r="ER3385" s="377"/>
      <c r="ES3385" s="376"/>
      <c r="ET3385" s="376"/>
      <c r="EU3385" s="376"/>
    </row>
    <row r="3386" spans="2:151" x14ac:dyDescent="0.2">
      <c r="B3386" s="34"/>
      <c r="EO3386" s="375" t="str">
        <f t="shared" si="334"/>
        <v>_</v>
      </c>
      <c r="EP3386" s="376"/>
      <c r="EQ3386" s="376"/>
      <c r="ER3386" s="377"/>
      <c r="ES3386" s="376"/>
      <c r="ET3386" s="376"/>
      <c r="EU3386" s="376"/>
    </row>
    <row r="3387" spans="2:151" x14ac:dyDescent="0.2">
      <c r="B3387" s="34"/>
      <c r="EO3387" s="375" t="str">
        <f t="shared" si="334"/>
        <v>_</v>
      </c>
      <c r="EP3387" s="376"/>
      <c r="EQ3387" s="376"/>
      <c r="ER3387" s="377"/>
      <c r="ES3387" s="376"/>
      <c r="ET3387" s="376"/>
      <c r="EU3387" s="376"/>
    </row>
    <row r="3388" spans="2:151" x14ac:dyDescent="0.2">
      <c r="B3388" s="34"/>
      <c r="EO3388" s="375" t="str">
        <f t="shared" si="334"/>
        <v>_</v>
      </c>
      <c r="EP3388" s="376"/>
      <c r="EQ3388" s="376"/>
      <c r="ER3388" s="377"/>
      <c r="ES3388" s="376"/>
      <c r="ET3388" s="376"/>
      <c r="EU3388" s="376"/>
    </row>
    <row r="3389" spans="2:151" x14ac:dyDescent="0.2">
      <c r="B3389" s="34"/>
      <c r="EO3389" s="375" t="str">
        <f t="shared" si="334"/>
        <v>_</v>
      </c>
      <c r="EP3389" s="376"/>
      <c r="EQ3389" s="376"/>
      <c r="ER3389" s="377"/>
      <c r="ES3389" s="376"/>
      <c r="ET3389" s="376"/>
      <c r="EU3389" s="376"/>
    </row>
    <row r="3390" spans="2:151" x14ac:dyDescent="0.2">
      <c r="B3390" s="34"/>
      <c r="EO3390" s="375" t="str">
        <f t="shared" si="334"/>
        <v>_</v>
      </c>
      <c r="EP3390" s="376"/>
      <c r="EQ3390" s="376"/>
      <c r="ER3390" s="377"/>
      <c r="ES3390" s="376"/>
      <c r="ET3390" s="376"/>
      <c r="EU3390" s="376"/>
    </row>
    <row r="3391" spans="2:151" x14ac:dyDescent="0.2">
      <c r="B3391" s="34"/>
      <c r="EO3391" s="375" t="str">
        <f t="shared" si="334"/>
        <v>_</v>
      </c>
      <c r="EP3391" s="376"/>
      <c r="EQ3391" s="376"/>
      <c r="ER3391" s="377"/>
      <c r="ES3391" s="376"/>
      <c r="ET3391" s="376"/>
      <c r="EU3391" s="376"/>
    </row>
    <row r="3392" spans="2:151" x14ac:dyDescent="0.2">
      <c r="B3392" s="34"/>
      <c r="EO3392" s="375" t="str">
        <f t="shared" si="334"/>
        <v>_</v>
      </c>
      <c r="EP3392" s="376"/>
      <c r="EQ3392" s="376"/>
      <c r="ER3392" s="377"/>
      <c r="ES3392" s="376"/>
      <c r="ET3392" s="376"/>
      <c r="EU3392" s="376"/>
    </row>
    <row r="3393" spans="2:151" x14ac:dyDescent="0.2">
      <c r="B3393" s="34"/>
      <c r="EO3393" s="375" t="str">
        <f t="shared" si="334"/>
        <v>_</v>
      </c>
      <c r="EP3393" s="376"/>
      <c r="EQ3393" s="376"/>
      <c r="ER3393" s="377"/>
      <c r="ES3393" s="376"/>
      <c r="ET3393" s="376"/>
      <c r="EU3393" s="376"/>
    </row>
    <row r="3394" spans="2:151" x14ac:dyDescent="0.2">
      <c r="B3394" s="34"/>
      <c r="EO3394" s="375" t="str">
        <f t="shared" si="334"/>
        <v>_</v>
      </c>
      <c r="EP3394" s="376"/>
      <c r="EQ3394" s="376"/>
      <c r="ER3394" s="377"/>
      <c r="ES3394" s="376"/>
      <c r="ET3394" s="376"/>
      <c r="EU3394" s="376"/>
    </row>
    <row r="3395" spans="2:151" x14ac:dyDescent="0.2">
      <c r="B3395" s="34"/>
      <c r="EO3395" s="375" t="str">
        <f t="shared" si="334"/>
        <v>_</v>
      </c>
      <c r="EP3395" s="376"/>
      <c r="EQ3395" s="376"/>
      <c r="ER3395" s="377"/>
      <c r="ES3395" s="376"/>
      <c r="ET3395" s="376"/>
      <c r="EU3395" s="376"/>
    </row>
    <row r="3396" spans="2:151" x14ac:dyDescent="0.2">
      <c r="B3396" s="34"/>
      <c r="EO3396" s="375" t="str">
        <f t="shared" si="334"/>
        <v>_</v>
      </c>
      <c r="EP3396" s="376"/>
      <c r="EQ3396" s="376"/>
      <c r="ER3396" s="377"/>
      <c r="ES3396" s="376"/>
      <c r="ET3396" s="376"/>
      <c r="EU3396" s="376"/>
    </row>
    <row r="3397" spans="2:151" x14ac:dyDescent="0.2">
      <c r="B3397" s="34"/>
      <c r="EO3397" s="375" t="str">
        <f t="shared" si="334"/>
        <v>_</v>
      </c>
      <c r="EP3397" s="376"/>
      <c r="EQ3397" s="376"/>
      <c r="ER3397" s="377"/>
      <c r="ES3397" s="376"/>
      <c r="ET3397" s="376"/>
      <c r="EU3397" s="376"/>
    </row>
    <row r="3398" spans="2:151" x14ac:dyDescent="0.2">
      <c r="B3398" s="34"/>
      <c r="EO3398" s="375" t="str">
        <f t="shared" si="334"/>
        <v>_</v>
      </c>
      <c r="EP3398" s="376"/>
      <c r="EQ3398" s="376"/>
      <c r="ER3398" s="377"/>
      <c r="ES3398" s="376"/>
      <c r="ET3398" s="376"/>
      <c r="EU3398" s="376"/>
    </row>
    <row r="3399" spans="2:151" x14ac:dyDescent="0.2">
      <c r="B3399" s="34"/>
      <c r="EO3399" s="375" t="str">
        <f t="shared" si="334"/>
        <v>_</v>
      </c>
      <c r="EP3399" s="376"/>
      <c r="EQ3399" s="376"/>
      <c r="ER3399" s="377"/>
      <c r="ES3399" s="376"/>
      <c r="ET3399" s="376"/>
      <c r="EU3399" s="376"/>
    </row>
    <row r="3400" spans="2:151" x14ac:dyDescent="0.2">
      <c r="B3400" s="34"/>
      <c r="EO3400" s="375" t="str">
        <f t="shared" si="334"/>
        <v>_</v>
      </c>
      <c r="EP3400" s="376"/>
      <c r="EQ3400" s="376"/>
      <c r="ER3400" s="377"/>
      <c r="ES3400" s="376"/>
      <c r="ET3400" s="376"/>
      <c r="EU3400" s="376"/>
    </row>
    <row r="3401" spans="2:151" x14ac:dyDescent="0.2">
      <c r="B3401" s="34"/>
      <c r="EO3401" s="375" t="str">
        <f t="shared" si="334"/>
        <v>_</v>
      </c>
      <c r="EP3401" s="376"/>
      <c r="EQ3401" s="376"/>
      <c r="ER3401" s="377"/>
      <c r="ES3401" s="376"/>
      <c r="ET3401" s="376"/>
      <c r="EU3401" s="376"/>
    </row>
    <row r="3402" spans="2:151" x14ac:dyDescent="0.2">
      <c r="B3402" s="34"/>
      <c r="EO3402" s="375" t="str">
        <f t="shared" si="334"/>
        <v>_</v>
      </c>
      <c r="EP3402" s="376"/>
      <c r="EQ3402" s="376"/>
      <c r="ER3402" s="377"/>
      <c r="ES3402" s="376"/>
      <c r="ET3402" s="376"/>
      <c r="EU3402" s="376"/>
    </row>
    <row r="3403" spans="2:151" x14ac:dyDescent="0.2">
      <c r="B3403" s="34"/>
      <c r="EO3403" s="375" t="str">
        <f t="shared" si="334"/>
        <v>_</v>
      </c>
      <c r="EP3403" s="376"/>
      <c r="EQ3403" s="376"/>
      <c r="ER3403" s="377"/>
      <c r="ES3403" s="376"/>
      <c r="ET3403" s="376"/>
      <c r="EU3403" s="376"/>
    </row>
    <row r="3404" spans="2:151" x14ac:dyDescent="0.2">
      <c r="B3404" s="34"/>
      <c r="EO3404" s="375" t="str">
        <f t="shared" si="334"/>
        <v>_</v>
      </c>
      <c r="EP3404" s="376"/>
      <c r="EQ3404" s="376"/>
      <c r="ER3404" s="377"/>
      <c r="ES3404" s="376"/>
      <c r="ET3404" s="376"/>
      <c r="EU3404" s="376"/>
    </row>
    <row r="3405" spans="2:151" x14ac:dyDescent="0.2">
      <c r="B3405" s="34"/>
      <c r="EO3405" s="375" t="str">
        <f t="shared" si="334"/>
        <v>_</v>
      </c>
      <c r="EP3405" s="376"/>
      <c r="EQ3405" s="376"/>
      <c r="ER3405" s="377"/>
      <c r="ES3405" s="376"/>
      <c r="ET3405" s="376"/>
      <c r="EU3405" s="376"/>
    </row>
    <row r="3406" spans="2:151" x14ac:dyDescent="0.2">
      <c r="B3406" s="34"/>
      <c r="EO3406" s="375" t="str">
        <f t="shared" si="334"/>
        <v>_</v>
      </c>
      <c r="EP3406" s="376"/>
      <c r="EQ3406" s="376"/>
      <c r="ER3406" s="377"/>
      <c r="ES3406" s="376"/>
      <c r="ET3406" s="376"/>
      <c r="EU3406" s="376"/>
    </row>
    <row r="3407" spans="2:151" x14ac:dyDescent="0.2">
      <c r="B3407" s="34"/>
      <c r="EO3407" s="375" t="str">
        <f t="shared" si="334"/>
        <v>_</v>
      </c>
      <c r="EP3407" s="376"/>
      <c r="EQ3407" s="376"/>
      <c r="ER3407" s="377"/>
      <c r="ES3407" s="376"/>
      <c r="ET3407" s="376"/>
      <c r="EU3407" s="376"/>
    </row>
    <row r="3408" spans="2:151" x14ac:dyDescent="0.2">
      <c r="B3408" s="34"/>
      <c r="EO3408" s="375" t="str">
        <f t="shared" si="334"/>
        <v>_</v>
      </c>
      <c r="EP3408" s="376"/>
      <c r="EQ3408" s="376"/>
      <c r="ER3408" s="377"/>
      <c r="ES3408" s="376"/>
      <c r="ET3408" s="376"/>
      <c r="EU3408" s="376"/>
    </row>
    <row r="3409" spans="2:151" x14ac:dyDescent="0.2">
      <c r="B3409" s="34"/>
      <c r="EO3409" s="375" t="str">
        <f t="shared" si="334"/>
        <v>_</v>
      </c>
      <c r="EP3409" s="376"/>
      <c r="EQ3409" s="376"/>
      <c r="ER3409" s="377"/>
      <c r="ES3409" s="376"/>
      <c r="ET3409" s="376"/>
      <c r="EU3409" s="376"/>
    </row>
    <row r="3410" spans="2:151" x14ac:dyDescent="0.2">
      <c r="B3410" s="34"/>
      <c r="EO3410" s="375" t="str">
        <f t="shared" si="334"/>
        <v>_</v>
      </c>
      <c r="EP3410" s="376"/>
      <c r="EQ3410" s="376"/>
      <c r="ER3410" s="377"/>
      <c r="ES3410" s="376"/>
      <c r="ET3410" s="376"/>
      <c r="EU3410" s="376"/>
    </row>
    <row r="3411" spans="2:151" x14ac:dyDescent="0.2">
      <c r="B3411" s="34"/>
      <c r="EO3411" s="375" t="str">
        <f t="shared" si="334"/>
        <v>_</v>
      </c>
      <c r="EP3411" s="376"/>
      <c r="EQ3411" s="376"/>
      <c r="ER3411" s="377"/>
      <c r="ES3411" s="376"/>
      <c r="ET3411" s="376"/>
      <c r="EU3411" s="376"/>
    </row>
    <row r="3412" spans="2:151" x14ac:dyDescent="0.2">
      <c r="B3412" s="34"/>
      <c r="EO3412" s="375" t="str">
        <f t="shared" si="334"/>
        <v>_</v>
      </c>
      <c r="EP3412" s="376"/>
      <c r="EQ3412" s="376"/>
      <c r="ER3412" s="377"/>
      <c r="ES3412" s="376"/>
      <c r="ET3412" s="376"/>
      <c r="EU3412" s="376"/>
    </row>
    <row r="3413" spans="2:151" x14ac:dyDescent="0.2">
      <c r="B3413" s="34"/>
      <c r="EO3413" s="375" t="str">
        <f t="shared" si="334"/>
        <v>_</v>
      </c>
      <c r="EP3413" s="376"/>
      <c r="EQ3413" s="376"/>
      <c r="ER3413" s="377"/>
      <c r="ES3413" s="376"/>
      <c r="ET3413" s="376"/>
      <c r="EU3413" s="376"/>
    </row>
    <row r="3414" spans="2:151" x14ac:dyDescent="0.2">
      <c r="B3414" s="34"/>
      <c r="EO3414" s="375" t="str">
        <f t="shared" si="334"/>
        <v>_</v>
      </c>
      <c r="EP3414" s="376"/>
      <c r="EQ3414" s="376"/>
      <c r="ER3414" s="377"/>
      <c r="ES3414" s="376"/>
      <c r="ET3414" s="376"/>
      <c r="EU3414" s="376"/>
    </row>
    <row r="3415" spans="2:151" x14ac:dyDescent="0.2">
      <c r="B3415" s="34"/>
      <c r="EO3415" s="375" t="str">
        <f t="shared" si="334"/>
        <v>_</v>
      </c>
      <c r="EP3415" s="376"/>
      <c r="EQ3415" s="376"/>
      <c r="ER3415" s="377"/>
      <c r="ES3415" s="376"/>
      <c r="ET3415" s="376"/>
      <c r="EU3415" s="376"/>
    </row>
    <row r="3416" spans="2:151" x14ac:dyDescent="0.2">
      <c r="B3416" s="34"/>
      <c r="EO3416" s="375" t="str">
        <f t="shared" si="334"/>
        <v>_</v>
      </c>
      <c r="EP3416" s="376"/>
      <c r="EQ3416" s="376"/>
      <c r="ER3416" s="377"/>
      <c r="ES3416" s="376"/>
      <c r="ET3416" s="376"/>
      <c r="EU3416" s="376"/>
    </row>
    <row r="3417" spans="2:151" x14ac:dyDescent="0.2">
      <c r="B3417" s="34"/>
      <c r="EO3417" s="375" t="str">
        <f t="shared" si="334"/>
        <v>_</v>
      </c>
      <c r="EP3417" s="376"/>
      <c r="EQ3417" s="376"/>
      <c r="ER3417" s="377"/>
      <c r="ES3417" s="376"/>
      <c r="ET3417" s="376"/>
      <c r="EU3417" s="376"/>
    </row>
    <row r="3418" spans="2:151" x14ac:dyDescent="0.2">
      <c r="B3418" s="34"/>
      <c r="EO3418" s="375" t="str">
        <f t="shared" si="334"/>
        <v>_</v>
      </c>
      <c r="EP3418" s="376"/>
      <c r="EQ3418" s="376"/>
      <c r="ER3418" s="377"/>
      <c r="ES3418" s="376"/>
      <c r="ET3418" s="376"/>
      <c r="EU3418" s="376"/>
    </row>
    <row r="3419" spans="2:151" x14ac:dyDescent="0.2">
      <c r="B3419" s="34"/>
      <c r="EO3419" s="375" t="str">
        <f t="shared" si="334"/>
        <v>_</v>
      </c>
      <c r="EP3419" s="376"/>
      <c r="EQ3419" s="376"/>
      <c r="ER3419" s="377"/>
      <c r="ES3419" s="376"/>
      <c r="ET3419" s="376"/>
      <c r="EU3419" s="376"/>
    </row>
    <row r="3420" spans="2:151" x14ac:dyDescent="0.2">
      <c r="B3420" s="34"/>
      <c r="EO3420" s="375" t="str">
        <f t="shared" si="334"/>
        <v>_</v>
      </c>
      <c r="EP3420" s="376"/>
      <c r="EQ3420" s="376"/>
      <c r="ER3420" s="377"/>
      <c r="ES3420" s="376"/>
      <c r="ET3420" s="376"/>
      <c r="EU3420" s="376"/>
    </row>
    <row r="3421" spans="2:151" x14ac:dyDescent="0.2">
      <c r="EO3421" s="375" t="str">
        <f t="shared" ref="EO3421:EO3484" si="335">B3421&amp;"_"&amp;C3421</f>
        <v>_</v>
      </c>
      <c r="EP3421" s="376"/>
      <c r="EQ3421" s="376"/>
      <c r="ER3421" s="377"/>
      <c r="ES3421" s="376"/>
      <c r="ET3421" s="376"/>
      <c r="EU3421" s="376"/>
    </row>
    <row r="3422" spans="2:151" x14ac:dyDescent="0.2">
      <c r="EO3422" s="375" t="str">
        <f t="shared" si="335"/>
        <v>_</v>
      </c>
      <c r="EP3422" s="376"/>
      <c r="EQ3422" s="376"/>
      <c r="ER3422" s="377"/>
      <c r="ES3422" s="376"/>
      <c r="ET3422" s="376"/>
      <c r="EU3422" s="376"/>
    </row>
    <row r="3423" spans="2:151" x14ac:dyDescent="0.2">
      <c r="EO3423" s="375" t="str">
        <f t="shared" si="335"/>
        <v>_</v>
      </c>
      <c r="EP3423" s="376"/>
      <c r="EQ3423" s="376"/>
      <c r="ER3423" s="377"/>
      <c r="ES3423" s="376"/>
      <c r="ET3423" s="376"/>
      <c r="EU3423" s="376"/>
    </row>
    <row r="3424" spans="2:151" x14ac:dyDescent="0.2">
      <c r="EO3424" s="375" t="str">
        <f t="shared" si="335"/>
        <v>_</v>
      </c>
      <c r="EP3424" s="376"/>
      <c r="EQ3424" s="376"/>
      <c r="ER3424" s="377"/>
      <c r="ES3424" s="376"/>
      <c r="ET3424" s="376"/>
      <c r="EU3424" s="376"/>
    </row>
    <row r="3425" spans="145:151" x14ac:dyDescent="0.2">
      <c r="EO3425" s="375" t="str">
        <f t="shared" si="335"/>
        <v>_</v>
      </c>
      <c r="EP3425" s="376"/>
      <c r="EQ3425" s="376"/>
      <c r="ER3425" s="377"/>
      <c r="ES3425" s="376"/>
      <c r="ET3425" s="376"/>
      <c r="EU3425" s="376"/>
    </row>
    <row r="3426" spans="145:151" x14ac:dyDescent="0.2">
      <c r="EO3426" s="375" t="str">
        <f t="shared" si="335"/>
        <v>_</v>
      </c>
      <c r="EP3426" s="376"/>
      <c r="EQ3426" s="376"/>
      <c r="ER3426" s="377"/>
      <c r="ES3426" s="376"/>
      <c r="ET3426" s="376"/>
      <c r="EU3426" s="376"/>
    </row>
    <row r="3427" spans="145:151" x14ac:dyDescent="0.2">
      <c r="EO3427" s="375" t="str">
        <f t="shared" si="335"/>
        <v>_</v>
      </c>
      <c r="EP3427" s="376"/>
      <c r="EQ3427" s="376"/>
      <c r="ER3427" s="377"/>
      <c r="ES3427" s="376"/>
      <c r="ET3427" s="376"/>
      <c r="EU3427" s="376"/>
    </row>
    <row r="3428" spans="145:151" x14ac:dyDescent="0.2">
      <c r="EO3428" s="375" t="str">
        <f t="shared" si="335"/>
        <v>_</v>
      </c>
      <c r="EP3428" s="376"/>
      <c r="EQ3428" s="376"/>
      <c r="ER3428" s="377"/>
      <c r="ES3428" s="376"/>
      <c r="ET3428" s="376"/>
      <c r="EU3428" s="376"/>
    </row>
    <row r="3429" spans="145:151" x14ac:dyDescent="0.2">
      <c r="EO3429" s="375" t="str">
        <f t="shared" si="335"/>
        <v>_</v>
      </c>
      <c r="EP3429" s="376"/>
      <c r="EQ3429" s="376"/>
      <c r="ER3429" s="377"/>
      <c r="ES3429" s="376"/>
      <c r="ET3429" s="376"/>
      <c r="EU3429" s="376"/>
    </row>
    <row r="3430" spans="145:151" x14ac:dyDescent="0.2">
      <c r="EO3430" s="375" t="str">
        <f t="shared" si="335"/>
        <v>_</v>
      </c>
      <c r="EP3430" s="376"/>
      <c r="EQ3430" s="376"/>
      <c r="ER3430" s="377"/>
      <c r="ES3430" s="376"/>
      <c r="ET3430" s="376"/>
      <c r="EU3430" s="376"/>
    </row>
    <row r="3431" spans="145:151" x14ac:dyDescent="0.2">
      <c r="EO3431" s="375" t="str">
        <f t="shared" si="335"/>
        <v>_</v>
      </c>
      <c r="EP3431" s="376"/>
      <c r="EQ3431" s="376"/>
      <c r="ER3431" s="377"/>
      <c r="ES3431" s="376"/>
      <c r="ET3431" s="376"/>
      <c r="EU3431" s="376"/>
    </row>
    <row r="3432" spans="145:151" x14ac:dyDescent="0.2">
      <c r="EO3432" s="375" t="str">
        <f t="shared" si="335"/>
        <v>_</v>
      </c>
      <c r="EP3432" s="376"/>
      <c r="EQ3432" s="376"/>
      <c r="ER3432" s="377"/>
      <c r="ES3432" s="376"/>
      <c r="ET3432" s="376"/>
      <c r="EU3432" s="376"/>
    </row>
    <row r="3433" spans="145:151" x14ac:dyDescent="0.2">
      <c r="EO3433" s="375" t="str">
        <f t="shared" si="335"/>
        <v>_</v>
      </c>
      <c r="EP3433" s="376"/>
      <c r="EQ3433" s="376"/>
      <c r="ER3433" s="377"/>
      <c r="ES3433" s="376"/>
      <c r="ET3433" s="376"/>
      <c r="EU3433" s="376"/>
    </row>
    <row r="3434" spans="145:151" x14ac:dyDescent="0.2">
      <c r="EO3434" s="375" t="str">
        <f t="shared" si="335"/>
        <v>_</v>
      </c>
      <c r="EP3434" s="376"/>
      <c r="EQ3434" s="376"/>
      <c r="ER3434" s="377"/>
      <c r="ES3434" s="376"/>
      <c r="ET3434" s="376"/>
      <c r="EU3434" s="376"/>
    </row>
    <row r="3435" spans="145:151" x14ac:dyDescent="0.2">
      <c r="EO3435" s="375" t="str">
        <f t="shared" si="335"/>
        <v>_</v>
      </c>
      <c r="EP3435" s="376"/>
      <c r="EQ3435" s="376"/>
      <c r="ER3435" s="377"/>
      <c r="ES3435" s="376"/>
      <c r="ET3435" s="376"/>
      <c r="EU3435" s="376"/>
    </row>
    <row r="3436" spans="145:151" x14ac:dyDescent="0.2">
      <c r="EO3436" s="375" t="str">
        <f t="shared" si="335"/>
        <v>_</v>
      </c>
      <c r="EP3436" s="376"/>
      <c r="EQ3436" s="376"/>
      <c r="ER3436" s="377"/>
      <c r="ES3436" s="376"/>
      <c r="ET3436" s="376"/>
      <c r="EU3436" s="376"/>
    </row>
    <row r="3437" spans="145:151" x14ac:dyDescent="0.2">
      <c r="EO3437" s="375" t="str">
        <f t="shared" si="335"/>
        <v>_</v>
      </c>
      <c r="EP3437" s="376"/>
      <c r="EQ3437" s="376"/>
      <c r="ER3437" s="377"/>
      <c r="ES3437" s="376"/>
      <c r="ET3437" s="376"/>
      <c r="EU3437" s="376"/>
    </row>
    <row r="3438" spans="145:151" x14ac:dyDescent="0.2">
      <c r="EO3438" s="375" t="str">
        <f t="shared" si="335"/>
        <v>_</v>
      </c>
      <c r="EP3438" s="376"/>
      <c r="EQ3438" s="376"/>
      <c r="ER3438" s="377"/>
      <c r="ES3438" s="376"/>
      <c r="ET3438" s="376"/>
      <c r="EU3438" s="376"/>
    </row>
    <row r="3439" spans="145:151" x14ac:dyDescent="0.2">
      <c r="EO3439" s="375" t="str">
        <f t="shared" si="335"/>
        <v>_</v>
      </c>
      <c r="EP3439" s="376"/>
      <c r="EQ3439" s="376"/>
      <c r="ER3439" s="377"/>
      <c r="ES3439" s="376"/>
      <c r="ET3439" s="376"/>
      <c r="EU3439" s="376"/>
    </row>
    <row r="3440" spans="145:151" x14ac:dyDescent="0.2">
      <c r="EO3440" s="375" t="str">
        <f t="shared" si="335"/>
        <v>_</v>
      </c>
      <c r="EP3440" s="376"/>
      <c r="EQ3440" s="376"/>
      <c r="ER3440" s="377"/>
      <c r="ES3440" s="376"/>
      <c r="ET3440" s="376"/>
      <c r="EU3440" s="376"/>
    </row>
    <row r="3441" spans="145:151" x14ac:dyDescent="0.2">
      <c r="EO3441" s="375" t="str">
        <f t="shared" si="335"/>
        <v>_</v>
      </c>
      <c r="EP3441" s="376"/>
      <c r="EQ3441" s="376"/>
      <c r="ER3441" s="377"/>
      <c r="ES3441" s="376"/>
      <c r="ET3441" s="376"/>
      <c r="EU3441" s="376"/>
    </row>
    <row r="3442" spans="145:151" x14ac:dyDescent="0.2">
      <c r="EO3442" s="375" t="str">
        <f t="shared" si="335"/>
        <v>_</v>
      </c>
      <c r="EP3442" s="376"/>
      <c r="EQ3442" s="376"/>
      <c r="ER3442" s="377"/>
      <c r="ES3442" s="376"/>
      <c r="ET3442" s="376"/>
      <c r="EU3442" s="376"/>
    </row>
    <row r="3443" spans="145:151" x14ac:dyDescent="0.2">
      <c r="EO3443" s="375" t="str">
        <f t="shared" si="335"/>
        <v>_</v>
      </c>
      <c r="EP3443" s="376"/>
      <c r="EQ3443" s="376"/>
      <c r="ER3443" s="377"/>
      <c r="ES3443" s="376"/>
      <c r="ET3443" s="376"/>
      <c r="EU3443" s="376"/>
    </row>
    <row r="3444" spans="145:151" x14ac:dyDescent="0.2">
      <c r="EO3444" s="375" t="str">
        <f t="shared" si="335"/>
        <v>_</v>
      </c>
      <c r="EP3444" s="376"/>
      <c r="EQ3444" s="376"/>
      <c r="ER3444" s="377"/>
      <c r="ES3444" s="376"/>
      <c r="ET3444" s="376"/>
      <c r="EU3444" s="376"/>
    </row>
    <row r="3445" spans="145:151" x14ac:dyDescent="0.2">
      <c r="EO3445" s="375" t="str">
        <f t="shared" si="335"/>
        <v>_</v>
      </c>
      <c r="EP3445" s="376"/>
      <c r="EQ3445" s="376"/>
      <c r="ER3445" s="377"/>
      <c r="ES3445" s="376"/>
      <c r="ET3445" s="376"/>
      <c r="EU3445" s="376"/>
    </row>
    <row r="3446" spans="145:151" x14ac:dyDescent="0.2">
      <c r="EO3446" s="375" t="str">
        <f t="shared" si="335"/>
        <v>_</v>
      </c>
      <c r="EP3446" s="376"/>
      <c r="EQ3446" s="376"/>
      <c r="ER3446" s="377"/>
      <c r="ES3446" s="376"/>
      <c r="ET3446" s="376"/>
      <c r="EU3446" s="376"/>
    </row>
    <row r="3447" spans="145:151" x14ac:dyDescent="0.2">
      <c r="EO3447" s="375" t="str">
        <f t="shared" si="335"/>
        <v>_</v>
      </c>
      <c r="EP3447" s="376"/>
      <c r="EQ3447" s="376"/>
      <c r="ER3447" s="377"/>
      <c r="ES3447" s="376"/>
      <c r="ET3447" s="376"/>
      <c r="EU3447" s="376"/>
    </row>
    <row r="3448" spans="145:151" x14ac:dyDescent="0.2">
      <c r="EO3448" s="375" t="str">
        <f t="shared" si="335"/>
        <v>_</v>
      </c>
      <c r="EP3448" s="376"/>
      <c r="EQ3448" s="376"/>
      <c r="ER3448" s="377"/>
      <c r="ES3448" s="376"/>
      <c r="ET3448" s="376"/>
      <c r="EU3448" s="376"/>
    </row>
    <row r="3449" spans="145:151" x14ac:dyDescent="0.2">
      <c r="EO3449" s="375" t="str">
        <f t="shared" si="335"/>
        <v>_</v>
      </c>
      <c r="EP3449" s="376"/>
      <c r="EQ3449" s="376"/>
      <c r="ER3449" s="377"/>
      <c r="ES3449" s="376"/>
      <c r="ET3449" s="376"/>
      <c r="EU3449" s="376"/>
    </row>
    <row r="3450" spans="145:151" x14ac:dyDescent="0.2">
      <c r="EO3450" s="375" t="str">
        <f t="shared" si="335"/>
        <v>_</v>
      </c>
      <c r="EP3450" s="376"/>
      <c r="EQ3450" s="376"/>
      <c r="ER3450" s="377"/>
      <c r="ES3450" s="376"/>
      <c r="ET3450" s="376"/>
      <c r="EU3450" s="376"/>
    </row>
    <row r="3451" spans="145:151" x14ac:dyDescent="0.2">
      <c r="EO3451" s="375" t="str">
        <f t="shared" si="335"/>
        <v>_</v>
      </c>
      <c r="EP3451" s="376"/>
      <c r="EQ3451" s="376"/>
      <c r="ER3451" s="377"/>
      <c r="ES3451" s="376"/>
      <c r="ET3451" s="376"/>
      <c r="EU3451" s="376"/>
    </row>
    <row r="3452" spans="145:151" x14ac:dyDescent="0.2">
      <c r="EO3452" s="375" t="str">
        <f t="shared" si="335"/>
        <v>_</v>
      </c>
      <c r="EP3452" s="376"/>
      <c r="EQ3452" s="376"/>
      <c r="ER3452" s="377"/>
      <c r="ES3452" s="376"/>
      <c r="ET3452" s="376"/>
      <c r="EU3452" s="376"/>
    </row>
    <row r="3453" spans="145:151" x14ac:dyDescent="0.2">
      <c r="EO3453" s="375" t="str">
        <f t="shared" si="335"/>
        <v>_</v>
      </c>
      <c r="EP3453" s="376"/>
      <c r="EQ3453" s="376"/>
      <c r="ER3453" s="377"/>
      <c r="ES3453" s="376"/>
      <c r="ET3453" s="376"/>
      <c r="EU3453" s="376"/>
    </row>
    <row r="3454" spans="145:151" x14ac:dyDescent="0.2">
      <c r="EO3454" s="375" t="str">
        <f t="shared" si="335"/>
        <v>_</v>
      </c>
      <c r="EP3454" s="376"/>
      <c r="EQ3454" s="376"/>
      <c r="ER3454" s="377"/>
      <c r="ES3454" s="376"/>
      <c r="ET3454" s="376"/>
      <c r="EU3454" s="376"/>
    </row>
    <row r="3455" spans="145:151" x14ac:dyDescent="0.2">
      <c r="EO3455" s="375" t="str">
        <f t="shared" si="335"/>
        <v>_</v>
      </c>
      <c r="EP3455" s="376"/>
      <c r="EQ3455" s="376"/>
      <c r="ER3455" s="377"/>
      <c r="ES3455" s="376"/>
      <c r="ET3455" s="376"/>
      <c r="EU3455" s="376"/>
    </row>
    <row r="3456" spans="145:151" x14ac:dyDescent="0.2">
      <c r="EO3456" s="375" t="str">
        <f t="shared" si="335"/>
        <v>_</v>
      </c>
      <c r="EP3456" s="376"/>
      <c r="EQ3456" s="376"/>
      <c r="ER3456" s="377"/>
      <c r="ES3456" s="376"/>
      <c r="ET3456" s="376"/>
      <c r="EU3456" s="376"/>
    </row>
    <row r="3457" spans="145:151" x14ac:dyDescent="0.2">
      <c r="EO3457" s="375" t="str">
        <f t="shared" si="335"/>
        <v>_</v>
      </c>
      <c r="EP3457" s="376"/>
      <c r="EQ3457" s="376"/>
      <c r="ER3457" s="377"/>
      <c r="ES3457" s="376"/>
      <c r="ET3457" s="376"/>
      <c r="EU3457" s="376"/>
    </row>
    <row r="3458" spans="145:151" x14ac:dyDescent="0.2">
      <c r="EO3458" s="375" t="str">
        <f t="shared" si="335"/>
        <v>_</v>
      </c>
      <c r="EP3458" s="376"/>
      <c r="EQ3458" s="376"/>
      <c r="ER3458" s="377"/>
      <c r="ES3458" s="376"/>
      <c r="ET3458" s="376"/>
      <c r="EU3458" s="376"/>
    </row>
    <row r="3459" spans="145:151" x14ac:dyDescent="0.2">
      <c r="EO3459" s="375" t="str">
        <f t="shared" si="335"/>
        <v>_</v>
      </c>
      <c r="EP3459" s="376"/>
      <c r="EQ3459" s="376"/>
      <c r="ER3459" s="377"/>
      <c r="ES3459" s="376"/>
      <c r="ET3459" s="376"/>
      <c r="EU3459" s="376"/>
    </row>
    <row r="3460" spans="145:151" x14ac:dyDescent="0.2">
      <c r="EO3460" s="375" t="str">
        <f t="shared" si="335"/>
        <v>_</v>
      </c>
      <c r="EP3460" s="376"/>
      <c r="EQ3460" s="376"/>
      <c r="ER3460" s="377"/>
      <c r="ES3460" s="376"/>
      <c r="ET3460" s="376"/>
      <c r="EU3460" s="376"/>
    </row>
    <row r="3461" spans="145:151" x14ac:dyDescent="0.2">
      <c r="EO3461" s="375" t="str">
        <f t="shared" si="335"/>
        <v>_</v>
      </c>
      <c r="EP3461" s="376"/>
      <c r="EQ3461" s="376"/>
      <c r="ER3461" s="377"/>
      <c r="ES3461" s="376"/>
      <c r="ET3461" s="376"/>
      <c r="EU3461" s="376"/>
    </row>
    <row r="3462" spans="145:151" x14ac:dyDescent="0.2">
      <c r="EO3462" s="375" t="str">
        <f t="shared" si="335"/>
        <v>_</v>
      </c>
      <c r="EP3462" s="376"/>
      <c r="EQ3462" s="376"/>
      <c r="ER3462" s="377"/>
      <c r="ES3462" s="376"/>
      <c r="ET3462" s="376"/>
      <c r="EU3462" s="376"/>
    </row>
    <row r="3463" spans="145:151" x14ac:dyDescent="0.2">
      <c r="EO3463" s="375" t="str">
        <f t="shared" si="335"/>
        <v>_</v>
      </c>
      <c r="EP3463" s="376"/>
      <c r="EQ3463" s="376"/>
      <c r="ER3463" s="377"/>
      <c r="ES3463" s="376"/>
      <c r="ET3463" s="376"/>
      <c r="EU3463" s="376"/>
    </row>
    <row r="3464" spans="145:151" x14ac:dyDescent="0.2">
      <c r="EO3464" s="375" t="str">
        <f t="shared" si="335"/>
        <v>_</v>
      </c>
      <c r="EP3464" s="376"/>
      <c r="EQ3464" s="376"/>
      <c r="ER3464" s="377"/>
      <c r="ES3464" s="376"/>
      <c r="ET3464" s="376"/>
      <c r="EU3464" s="376"/>
    </row>
    <row r="3465" spans="145:151" x14ac:dyDescent="0.2">
      <c r="EO3465" s="375" t="str">
        <f t="shared" si="335"/>
        <v>_</v>
      </c>
      <c r="EP3465" s="376"/>
      <c r="EQ3465" s="376"/>
      <c r="ER3465" s="377"/>
      <c r="ES3465" s="376"/>
      <c r="ET3465" s="376"/>
      <c r="EU3465" s="376"/>
    </row>
    <row r="3466" spans="145:151" x14ac:dyDescent="0.2">
      <c r="EO3466" s="375" t="str">
        <f t="shared" si="335"/>
        <v>_</v>
      </c>
      <c r="EP3466" s="376"/>
      <c r="EQ3466" s="376"/>
      <c r="ER3466" s="377"/>
      <c r="ES3466" s="376"/>
      <c r="ET3466" s="376"/>
      <c r="EU3466" s="376"/>
    </row>
    <row r="3467" spans="145:151" x14ac:dyDescent="0.2">
      <c r="EO3467" s="375" t="str">
        <f t="shared" si="335"/>
        <v>_</v>
      </c>
      <c r="EP3467" s="376"/>
      <c r="EQ3467" s="376"/>
      <c r="ER3467" s="377"/>
      <c r="ES3467" s="376"/>
      <c r="ET3467" s="376"/>
      <c r="EU3467" s="376"/>
    </row>
    <row r="3468" spans="145:151" x14ac:dyDescent="0.2">
      <c r="EO3468" s="375" t="str">
        <f t="shared" si="335"/>
        <v>_</v>
      </c>
      <c r="EP3468" s="376"/>
      <c r="EQ3468" s="376"/>
      <c r="ER3468" s="377"/>
      <c r="ES3468" s="376"/>
      <c r="ET3468" s="376"/>
      <c r="EU3468" s="376"/>
    </row>
    <row r="3469" spans="145:151" x14ac:dyDescent="0.2">
      <c r="EO3469" s="375" t="str">
        <f t="shared" si="335"/>
        <v>_</v>
      </c>
      <c r="EP3469" s="376"/>
      <c r="EQ3469" s="376"/>
      <c r="ER3469" s="377"/>
      <c r="ES3469" s="376"/>
      <c r="ET3469" s="376"/>
      <c r="EU3469" s="376"/>
    </row>
    <row r="3470" spans="145:151" x14ac:dyDescent="0.2">
      <c r="EO3470" s="375" t="str">
        <f t="shared" si="335"/>
        <v>_</v>
      </c>
      <c r="EP3470" s="376"/>
      <c r="EQ3470" s="376"/>
      <c r="ER3470" s="377"/>
      <c r="ES3470" s="376"/>
      <c r="ET3470" s="376"/>
      <c r="EU3470" s="376"/>
    </row>
    <row r="3471" spans="145:151" x14ac:dyDescent="0.2">
      <c r="EO3471" s="375" t="str">
        <f t="shared" si="335"/>
        <v>_</v>
      </c>
      <c r="EP3471" s="376"/>
      <c r="EQ3471" s="376"/>
      <c r="ER3471" s="377"/>
      <c r="ES3471" s="376"/>
      <c r="ET3471" s="376"/>
      <c r="EU3471" s="376"/>
    </row>
    <row r="3472" spans="145:151" x14ac:dyDescent="0.2">
      <c r="EO3472" s="375" t="str">
        <f t="shared" si="335"/>
        <v>_</v>
      </c>
      <c r="EP3472" s="376"/>
      <c r="EQ3472" s="376"/>
      <c r="ER3472" s="377"/>
      <c r="ES3472" s="376"/>
      <c r="ET3472" s="376"/>
      <c r="EU3472" s="376"/>
    </row>
    <row r="3473" spans="145:151" x14ac:dyDescent="0.2">
      <c r="EO3473" s="375" t="str">
        <f t="shared" si="335"/>
        <v>_</v>
      </c>
      <c r="EP3473" s="376"/>
      <c r="EQ3473" s="376"/>
      <c r="ER3473" s="377"/>
      <c r="ES3473" s="376"/>
      <c r="ET3473" s="376"/>
      <c r="EU3473" s="376"/>
    </row>
    <row r="3474" spans="145:151" x14ac:dyDescent="0.2">
      <c r="EO3474" s="375" t="str">
        <f t="shared" si="335"/>
        <v>_</v>
      </c>
      <c r="EP3474" s="376"/>
      <c r="EQ3474" s="376"/>
      <c r="ER3474" s="377"/>
      <c r="ES3474" s="376"/>
      <c r="ET3474" s="376"/>
      <c r="EU3474" s="376"/>
    </row>
    <row r="3475" spans="145:151" x14ac:dyDescent="0.2">
      <c r="EO3475" s="375" t="str">
        <f t="shared" si="335"/>
        <v>_</v>
      </c>
      <c r="EP3475" s="376"/>
      <c r="EQ3475" s="376"/>
      <c r="ER3475" s="377"/>
      <c r="ES3475" s="376"/>
      <c r="ET3475" s="376"/>
      <c r="EU3475" s="376"/>
    </row>
    <row r="3476" spans="145:151" x14ac:dyDescent="0.2">
      <c r="EO3476" s="375" t="str">
        <f t="shared" si="335"/>
        <v>_</v>
      </c>
      <c r="EP3476" s="376"/>
      <c r="EQ3476" s="376"/>
      <c r="ER3476" s="377"/>
      <c r="ES3476" s="376"/>
      <c r="ET3476" s="376"/>
      <c r="EU3476" s="376"/>
    </row>
    <row r="3477" spans="145:151" x14ac:dyDescent="0.2">
      <c r="EO3477" s="375" t="str">
        <f t="shared" si="335"/>
        <v>_</v>
      </c>
      <c r="EP3477" s="376"/>
      <c r="EQ3477" s="376"/>
      <c r="ER3477" s="377"/>
      <c r="ES3477" s="376"/>
      <c r="ET3477" s="376"/>
      <c r="EU3477" s="376"/>
    </row>
    <row r="3478" spans="145:151" x14ac:dyDescent="0.2">
      <c r="EO3478" s="375" t="str">
        <f t="shared" si="335"/>
        <v>_</v>
      </c>
      <c r="EP3478" s="376"/>
      <c r="EQ3478" s="376"/>
      <c r="ER3478" s="377"/>
      <c r="ES3478" s="376"/>
      <c r="ET3478" s="376"/>
      <c r="EU3478" s="376"/>
    </row>
    <row r="3479" spans="145:151" x14ac:dyDescent="0.2">
      <c r="EO3479" s="375" t="str">
        <f t="shared" si="335"/>
        <v>_</v>
      </c>
      <c r="EP3479" s="376"/>
      <c r="EQ3479" s="376"/>
      <c r="ER3479" s="377"/>
      <c r="ES3479" s="376"/>
      <c r="ET3479" s="376"/>
      <c r="EU3479" s="376"/>
    </row>
    <row r="3480" spans="145:151" x14ac:dyDescent="0.2">
      <c r="EO3480" s="375" t="str">
        <f t="shared" si="335"/>
        <v>_</v>
      </c>
      <c r="EP3480" s="376"/>
      <c r="EQ3480" s="376"/>
      <c r="ER3480" s="377"/>
      <c r="ES3480" s="376"/>
      <c r="ET3480" s="376"/>
      <c r="EU3480" s="376"/>
    </row>
    <row r="3481" spans="145:151" x14ac:dyDescent="0.2">
      <c r="EO3481" s="375" t="str">
        <f t="shared" si="335"/>
        <v>_</v>
      </c>
      <c r="EP3481" s="376"/>
      <c r="EQ3481" s="376"/>
      <c r="ER3481" s="377"/>
      <c r="ES3481" s="376"/>
      <c r="ET3481" s="376"/>
      <c r="EU3481" s="376"/>
    </row>
    <row r="3482" spans="145:151" x14ac:dyDescent="0.2">
      <c r="EO3482" s="375" t="str">
        <f t="shared" si="335"/>
        <v>_</v>
      </c>
      <c r="EP3482" s="376"/>
      <c r="EQ3482" s="376"/>
      <c r="ER3482" s="377"/>
      <c r="ES3482" s="376"/>
      <c r="ET3482" s="376"/>
      <c r="EU3482" s="376"/>
    </row>
    <row r="3483" spans="145:151" x14ac:dyDescent="0.2">
      <c r="EO3483" s="375" t="str">
        <f t="shared" si="335"/>
        <v>_</v>
      </c>
      <c r="EP3483" s="376"/>
      <c r="EQ3483" s="376"/>
      <c r="ER3483" s="377"/>
      <c r="ES3483" s="376"/>
      <c r="ET3483" s="376"/>
      <c r="EU3483" s="376"/>
    </row>
    <row r="3484" spans="145:151" x14ac:dyDescent="0.2">
      <c r="EO3484" s="375" t="str">
        <f t="shared" si="335"/>
        <v>_</v>
      </c>
      <c r="EP3484" s="376"/>
      <c r="EQ3484" s="376"/>
      <c r="ER3484" s="377"/>
      <c r="ES3484" s="376"/>
      <c r="ET3484" s="376"/>
      <c r="EU3484" s="376"/>
    </row>
    <row r="3485" spans="145:151" x14ac:dyDescent="0.2">
      <c r="EO3485" s="375" t="str">
        <f t="shared" ref="EO3485:EO3548" si="336">B3485&amp;"_"&amp;C3485</f>
        <v>_</v>
      </c>
      <c r="EP3485" s="376"/>
      <c r="EQ3485" s="376"/>
      <c r="ER3485" s="377"/>
      <c r="ES3485" s="376"/>
      <c r="ET3485" s="376"/>
      <c r="EU3485" s="376"/>
    </row>
    <row r="3486" spans="145:151" x14ac:dyDescent="0.2">
      <c r="EO3486" s="375" t="str">
        <f t="shared" si="336"/>
        <v>_</v>
      </c>
      <c r="EP3486" s="376"/>
      <c r="EQ3486" s="376"/>
      <c r="ER3486" s="377"/>
      <c r="ES3486" s="376"/>
      <c r="ET3486" s="376"/>
      <c r="EU3486" s="376"/>
    </row>
    <row r="3487" spans="145:151" x14ac:dyDescent="0.2">
      <c r="EO3487" s="375" t="str">
        <f t="shared" si="336"/>
        <v>_</v>
      </c>
      <c r="EP3487" s="376"/>
      <c r="EQ3487" s="376"/>
      <c r="ER3487" s="377"/>
      <c r="ES3487" s="376"/>
      <c r="ET3487" s="376"/>
      <c r="EU3487" s="376"/>
    </row>
    <row r="3488" spans="145:151" x14ac:dyDescent="0.2">
      <c r="EO3488" s="375" t="str">
        <f t="shared" si="336"/>
        <v>_</v>
      </c>
      <c r="EP3488" s="376"/>
      <c r="EQ3488" s="376"/>
      <c r="ER3488" s="377"/>
      <c r="ES3488" s="376"/>
      <c r="ET3488" s="376"/>
      <c r="EU3488" s="376"/>
    </row>
    <row r="3489" spans="145:151" x14ac:dyDescent="0.2">
      <c r="EO3489" s="375" t="str">
        <f t="shared" si="336"/>
        <v>_</v>
      </c>
      <c r="EP3489" s="376"/>
      <c r="EQ3489" s="376"/>
      <c r="ER3489" s="377"/>
      <c r="ES3489" s="376"/>
      <c r="ET3489" s="376"/>
      <c r="EU3489" s="376"/>
    </row>
    <row r="3490" spans="145:151" x14ac:dyDescent="0.2">
      <c r="EO3490" s="375" t="str">
        <f t="shared" si="336"/>
        <v>_</v>
      </c>
      <c r="EP3490" s="376"/>
      <c r="EQ3490" s="376"/>
      <c r="ER3490" s="377"/>
      <c r="ES3490" s="376"/>
      <c r="ET3490" s="376"/>
      <c r="EU3490" s="376"/>
    </row>
    <row r="3491" spans="145:151" x14ac:dyDescent="0.2">
      <c r="EO3491" s="375" t="str">
        <f t="shared" si="336"/>
        <v>_</v>
      </c>
      <c r="EP3491" s="376"/>
      <c r="EQ3491" s="376"/>
      <c r="ER3491" s="377"/>
      <c r="ES3491" s="376"/>
      <c r="ET3491" s="376"/>
      <c r="EU3491" s="376"/>
    </row>
    <row r="3492" spans="145:151" x14ac:dyDescent="0.2">
      <c r="EO3492" s="375" t="str">
        <f t="shared" si="336"/>
        <v>_</v>
      </c>
      <c r="EP3492" s="376"/>
      <c r="EQ3492" s="376"/>
      <c r="ER3492" s="377"/>
      <c r="ES3492" s="376"/>
      <c r="ET3492" s="376"/>
      <c r="EU3492" s="376"/>
    </row>
    <row r="3493" spans="145:151" x14ac:dyDescent="0.2">
      <c r="EO3493" s="375" t="str">
        <f t="shared" si="336"/>
        <v>_</v>
      </c>
      <c r="EP3493" s="376"/>
      <c r="EQ3493" s="376"/>
      <c r="ER3493" s="377"/>
      <c r="ES3493" s="376"/>
      <c r="ET3493" s="376"/>
      <c r="EU3493" s="376"/>
    </row>
    <row r="3494" spans="145:151" x14ac:dyDescent="0.2">
      <c r="EO3494" s="375" t="str">
        <f t="shared" si="336"/>
        <v>_</v>
      </c>
      <c r="EP3494" s="376"/>
      <c r="EQ3494" s="376"/>
      <c r="ER3494" s="377"/>
      <c r="ES3494" s="376"/>
      <c r="ET3494" s="376"/>
      <c r="EU3494" s="376"/>
    </row>
    <row r="3495" spans="145:151" x14ac:dyDescent="0.2">
      <c r="EO3495" s="375" t="str">
        <f t="shared" si="336"/>
        <v>_</v>
      </c>
      <c r="EP3495" s="376"/>
      <c r="EQ3495" s="376"/>
      <c r="ER3495" s="377"/>
      <c r="ES3495" s="376"/>
      <c r="ET3495" s="376"/>
      <c r="EU3495" s="376"/>
    </row>
    <row r="3496" spans="145:151" x14ac:dyDescent="0.2">
      <c r="EO3496" s="375" t="str">
        <f t="shared" si="336"/>
        <v>_</v>
      </c>
      <c r="EP3496" s="376"/>
      <c r="EQ3496" s="376"/>
      <c r="ER3496" s="377"/>
      <c r="ES3496" s="376"/>
      <c r="ET3496" s="376"/>
      <c r="EU3496" s="376"/>
    </row>
    <row r="3497" spans="145:151" x14ac:dyDescent="0.2">
      <c r="EO3497" s="375" t="str">
        <f t="shared" si="336"/>
        <v>_</v>
      </c>
      <c r="EP3497" s="376"/>
      <c r="EQ3497" s="376"/>
      <c r="ER3497" s="377"/>
      <c r="ES3497" s="376"/>
      <c r="ET3497" s="376"/>
      <c r="EU3497" s="376"/>
    </row>
    <row r="3498" spans="145:151" x14ac:dyDescent="0.2">
      <c r="EO3498" s="375" t="str">
        <f t="shared" si="336"/>
        <v>_</v>
      </c>
      <c r="EP3498" s="376"/>
      <c r="EQ3498" s="376"/>
      <c r="ER3498" s="377"/>
      <c r="ES3498" s="376"/>
      <c r="ET3498" s="376"/>
      <c r="EU3498" s="376"/>
    </row>
    <row r="3499" spans="145:151" x14ac:dyDescent="0.2">
      <c r="EO3499" s="375" t="str">
        <f t="shared" si="336"/>
        <v>_</v>
      </c>
      <c r="EP3499" s="376"/>
      <c r="EQ3499" s="376"/>
      <c r="ER3499" s="377"/>
      <c r="ES3499" s="376"/>
      <c r="ET3499" s="376"/>
      <c r="EU3499" s="376"/>
    </row>
    <row r="3500" spans="145:151" x14ac:dyDescent="0.2">
      <c r="EO3500" s="375" t="str">
        <f t="shared" si="336"/>
        <v>_</v>
      </c>
      <c r="EP3500" s="376"/>
      <c r="EQ3500" s="376"/>
      <c r="ER3500" s="377"/>
      <c r="ES3500" s="376"/>
      <c r="ET3500" s="376"/>
      <c r="EU3500" s="376"/>
    </row>
    <row r="3501" spans="145:151" x14ac:dyDescent="0.2">
      <c r="EO3501" s="375" t="str">
        <f t="shared" si="336"/>
        <v>_</v>
      </c>
      <c r="EP3501" s="376"/>
      <c r="EQ3501" s="376"/>
      <c r="ER3501" s="377"/>
      <c r="ES3501" s="376"/>
      <c r="ET3501" s="376"/>
      <c r="EU3501" s="376"/>
    </row>
    <row r="3502" spans="145:151" x14ac:dyDescent="0.2">
      <c r="EO3502" s="375" t="str">
        <f t="shared" si="336"/>
        <v>_</v>
      </c>
      <c r="EP3502" s="376"/>
      <c r="EQ3502" s="376"/>
      <c r="ER3502" s="377"/>
      <c r="ES3502" s="376"/>
      <c r="ET3502" s="376"/>
      <c r="EU3502" s="376"/>
    </row>
    <row r="3503" spans="145:151" x14ac:dyDescent="0.2">
      <c r="EO3503" s="375" t="str">
        <f t="shared" si="336"/>
        <v>_</v>
      </c>
      <c r="EP3503" s="376"/>
      <c r="EQ3503" s="376"/>
      <c r="ER3503" s="377"/>
      <c r="ES3503" s="376"/>
      <c r="ET3503" s="376"/>
      <c r="EU3503" s="376"/>
    </row>
    <row r="3504" spans="145:151" x14ac:dyDescent="0.2">
      <c r="EO3504" s="375" t="str">
        <f t="shared" si="336"/>
        <v>_</v>
      </c>
      <c r="EP3504" s="376"/>
      <c r="EQ3504" s="376"/>
      <c r="ER3504" s="377"/>
      <c r="ES3504" s="376"/>
      <c r="ET3504" s="376"/>
      <c r="EU3504" s="376"/>
    </row>
    <row r="3505" spans="145:151" x14ac:dyDescent="0.2">
      <c r="EO3505" s="375" t="str">
        <f t="shared" si="336"/>
        <v>_</v>
      </c>
      <c r="EP3505" s="376"/>
      <c r="EQ3505" s="376"/>
      <c r="ER3505" s="377"/>
      <c r="ES3505" s="376"/>
      <c r="ET3505" s="376"/>
      <c r="EU3505" s="376"/>
    </row>
    <row r="3506" spans="145:151" x14ac:dyDescent="0.2">
      <c r="EO3506" s="375" t="str">
        <f t="shared" si="336"/>
        <v>_</v>
      </c>
      <c r="EP3506" s="376"/>
      <c r="EQ3506" s="376"/>
      <c r="ER3506" s="377"/>
      <c r="ES3506" s="376"/>
      <c r="ET3506" s="376"/>
      <c r="EU3506" s="376"/>
    </row>
    <row r="3507" spans="145:151" x14ac:dyDescent="0.2">
      <c r="EO3507" s="375" t="str">
        <f t="shared" si="336"/>
        <v>_</v>
      </c>
      <c r="EP3507" s="376"/>
      <c r="EQ3507" s="376"/>
      <c r="ER3507" s="377"/>
      <c r="ES3507" s="376"/>
      <c r="ET3507" s="376"/>
      <c r="EU3507" s="376"/>
    </row>
    <row r="3508" spans="145:151" x14ac:dyDescent="0.2">
      <c r="EO3508" s="375" t="str">
        <f t="shared" si="336"/>
        <v>_</v>
      </c>
      <c r="EP3508" s="376"/>
      <c r="EQ3508" s="376"/>
      <c r="ER3508" s="377"/>
      <c r="ES3508" s="376"/>
      <c r="ET3508" s="376"/>
      <c r="EU3508" s="376"/>
    </row>
    <row r="3509" spans="145:151" x14ac:dyDescent="0.2">
      <c r="EO3509" s="375" t="str">
        <f t="shared" si="336"/>
        <v>_</v>
      </c>
      <c r="EP3509" s="376"/>
      <c r="EQ3509" s="376"/>
      <c r="ER3509" s="377"/>
      <c r="ES3509" s="376"/>
      <c r="ET3509" s="376"/>
      <c r="EU3509" s="376"/>
    </row>
    <row r="3510" spans="145:151" x14ac:dyDescent="0.2">
      <c r="EO3510" s="375" t="str">
        <f t="shared" si="336"/>
        <v>_</v>
      </c>
      <c r="EP3510" s="376"/>
      <c r="EQ3510" s="376"/>
      <c r="ER3510" s="377"/>
      <c r="ES3510" s="376"/>
      <c r="ET3510" s="376"/>
      <c r="EU3510" s="376"/>
    </row>
    <row r="3511" spans="145:151" x14ac:dyDescent="0.2">
      <c r="EO3511" s="375" t="str">
        <f t="shared" si="336"/>
        <v>_</v>
      </c>
      <c r="EP3511" s="376"/>
      <c r="EQ3511" s="376"/>
      <c r="ER3511" s="377"/>
      <c r="ES3511" s="376"/>
      <c r="ET3511" s="376"/>
      <c r="EU3511" s="376"/>
    </row>
    <row r="3512" spans="145:151" x14ac:dyDescent="0.2">
      <c r="EO3512" s="375" t="str">
        <f t="shared" si="336"/>
        <v>_</v>
      </c>
      <c r="EP3512" s="376"/>
      <c r="EQ3512" s="376"/>
      <c r="ER3512" s="377"/>
      <c r="ES3512" s="376"/>
      <c r="ET3512" s="376"/>
      <c r="EU3512" s="376"/>
    </row>
    <row r="3513" spans="145:151" x14ac:dyDescent="0.2">
      <c r="EO3513" s="375" t="str">
        <f t="shared" si="336"/>
        <v>_</v>
      </c>
      <c r="EP3513" s="376"/>
      <c r="EQ3513" s="376"/>
      <c r="ER3513" s="377"/>
      <c r="ES3513" s="376"/>
      <c r="ET3513" s="376"/>
      <c r="EU3513" s="376"/>
    </row>
    <row r="3514" spans="145:151" x14ac:dyDescent="0.2">
      <c r="EO3514" s="375" t="str">
        <f t="shared" si="336"/>
        <v>_</v>
      </c>
      <c r="EP3514" s="376"/>
      <c r="EQ3514" s="376"/>
      <c r="ER3514" s="377"/>
      <c r="ES3514" s="376"/>
      <c r="ET3514" s="376"/>
      <c r="EU3514" s="376"/>
    </row>
    <row r="3515" spans="145:151" x14ac:dyDescent="0.2">
      <c r="EO3515" s="375" t="str">
        <f t="shared" si="336"/>
        <v>_</v>
      </c>
      <c r="EP3515" s="376"/>
      <c r="EQ3515" s="376"/>
      <c r="ER3515" s="377"/>
      <c r="ES3515" s="376"/>
      <c r="ET3515" s="376"/>
      <c r="EU3515" s="376"/>
    </row>
    <row r="3516" spans="145:151" x14ac:dyDescent="0.2">
      <c r="EO3516" s="375" t="str">
        <f t="shared" si="336"/>
        <v>_</v>
      </c>
      <c r="EP3516" s="376"/>
      <c r="EQ3516" s="376"/>
      <c r="ER3516" s="377"/>
      <c r="ES3516" s="376"/>
      <c r="ET3516" s="376"/>
      <c r="EU3516" s="376"/>
    </row>
    <row r="3517" spans="145:151" x14ac:dyDescent="0.2">
      <c r="EO3517" s="375" t="str">
        <f t="shared" si="336"/>
        <v>_</v>
      </c>
      <c r="EP3517" s="376"/>
      <c r="EQ3517" s="376"/>
      <c r="ER3517" s="377"/>
      <c r="ES3517" s="376"/>
      <c r="ET3517" s="376"/>
      <c r="EU3517" s="376"/>
    </row>
    <row r="3518" spans="145:151" x14ac:dyDescent="0.2">
      <c r="EO3518" s="375" t="str">
        <f t="shared" si="336"/>
        <v>_</v>
      </c>
      <c r="EP3518" s="376"/>
      <c r="EQ3518" s="376"/>
      <c r="ER3518" s="377"/>
      <c r="ES3518" s="376"/>
      <c r="ET3518" s="376"/>
      <c r="EU3518" s="376"/>
    </row>
    <row r="3519" spans="145:151" x14ac:dyDescent="0.2">
      <c r="EO3519" s="375" t="str">
        <f t="shared" si="336"/>
        <v>_</v>
      </c>
      <c r="EP3519" s="376"/>
      <c r="EQ3519" s="376"/>
      <c r="ER3519" s="377"/>
      <c r="ES3519" s="376"/>
      <c r="ET3519" s="376"/>
      <c r="EU3519" s="376"/>
    </row>
    <row r="3520" spans="145:151" x14ac:dyDescent="0.2">
      <c r="EO3520" s="375" t="str">
        <f t="shared" si="336"/>
        <v>_</v>
      </c>
      <c r="EP3520" s="376"/>
      <c r="EQ3520" s="376"/>
      <c r="ER3520" s="377"/>
      <c r="ES3520" s="376"/>
      <c r="ET3520" s="376"/>
      <c r="EU3520" s="376"/>
    </row>
    <row r="3521" spans="145:151" x14ac:dyDescent="0.2">
      <c r="EO3521" s="384" t="str">
        <f t="shared" si="336"/>
        <v>_</v>
      </c>
      <c r="EP3521" s="385"/>
      <c r="EQ3521" s="376"/>
      <c r="ER3521" s="377"/>
      <c r="ES3521" s="376"/>
      <c r="ET3521" s="376"/>
      <c r="EU3521" s="376"/>
    </row>
    <row r="3522" spans="145:151" x14ac:dyDescent="0.2">
      <c r="EO3522" s="384" t="str">
        <f t="shared" si="336"/>
        <v>_</v>
      </c>
      <c r="EP3522" s="385"/>
      <c r="EQ3522" s="376"/>
      <c r="ER3522" s="377"/>
      <c r="ES3522" s="376"/>
      <c r="ET3522" s="376"/>
      <c r="EU3522" s="376"/>
    </row>
    <row r="3523" spans="145:151" x14ac:dyDescent="0.2">
      <c r="EO3523" s="384" t="str">
        <f t="shared" si="336"/>
        <v>_</v>
      </c>
      <c r="EP3523" s="385"/>
      <c r="EQ3523" s="376"/>
      <c r="ER3523" s="377"/>
      <c r="ES3523" s="376"/>
      <c r="ET3523" s="376"/>
      <c r="EU3523" s="376"/>
    </row>
    <row r="3524" spans="145:151" x14ac:dyDescent="0.2">
      <c r="EO3524" s="384" t="str">
        <f t="shared" si="336"/>
        <v>_</v>
      </c>
      <c r="EP3524" s="385"/>
      <c r="EQ3524" s="376"/>
      <c r="ER3524" s="377"/>
      <c r="ES3524" s="376"/>
      <c r="ET3524" s="376"/>
      <c r="EU3524" s="376"/>
    </row>
    <row r="3525" spans="145:151" x14ac:dyDescent="0.2">
      <c r="EO3525" s="375" t="str">
        <f t="shared" si="336"/>
        <v>_</v>
      </c>
      <c r="EP3525" s="376"/>
      <c r="EQ3525" s="385"/>
      <c r="ER3525" s="386"/>
      <c r="ES3525" s="385"/>
      <c r="ET3525" s="385"/>
      <c r="EU3525" s="385"/>
    </row>
    <row r="3526" spans="145:151" x14ac:dyDescent="0.2">
      <c r="EO3526" s="375" t="str">
        <f t="shared" si="336"/>
        <v>_</v>
      </c>
      <c r="EP3526" s="376"/>
      <c r="EQ3526" s="385"/>
      <c r="ER3526" s="386"/>
      <c r="ES3526" s="385"/>
      <c r="ET3526" s="385"/>
      <c r="EU3526" s="385"/>
    </row>
    <row r="3527" spans="145:151" x14ac:dyDescent="0.2">
      <c r="EO3527" s="375" t="str">
        <f t="shared" si="336"/>
        <v>_</v>
      </c>
      <c r="EP3527" s="376"/>
      <c r="EQ3527" s="385"/>
      <c r="ER3527" s="386"/>
      <c r="ES3527" s="385"/>
      <c r="ET3527" s="385"/>
      <c r="EU3527" s="385"/>
    </row>
    <row r="3528" spans="145:151" x14ac:dyDescent="0.2">
      <c r="EO3528" s="375" t="str">
        <f t="shared" si="336"/>
        <v>_</v>
      </c>
      <c r="EP3528" s="376"/>
      <c r="EQ3528" s="385"/>
      <c r="ER3528" s="386"/>
      <c r="ES3528" s="385"/>
      <c r="ET3528" s="385"/>
      <c r="EU3528" s="385"/>
    </row>
    <row r="3529" spans="145:151" x14ac:dyDescent="0.2">
      <c r="EO3529" s="375" t="str">
        <f t="shared" si="336"/>
        <v>_</v>
      </c>
      <c r="EP3529" s="376"/>
      <c r="EQ3529" s="376"/>
      <c r="ER3529" s="377"/>
      <c r="ES3529" s="376"/>
      <c r="ET3529" s="376"/>
      <c r="EU3529" s="376"/>
    </row>
    <row r="3530" spans="145:151" x14ac:dyDescent="0.2">
      <c r="EO3530" s="375" t="str">
        <f t="shared" si="336"/>
        <v>_</v>
      </c>
      <c r="EP3530" s="376"/>
      <c r="EQ3530" s="376"/>
      <c r="ER3530" s="377"/>
      <c r="ES3530" s="376"/>
      <c r="ET3530" s="376"/>
      <c r="EU3530" s="376"/>
    </row>
    <row r="3531" spans="145:151" x14ac:dyDescent="0.2">
      <c r="EO3531" s="375" t="str">
        <f t="shared" si="336"/>
        <v>_</v>
      </c>
      <c r="EP3531" s="376"/>
      <c r="EQ3531" s="376"/>
      <c r="ER3531" s="377"/>
      <c r="ES3531" s="376"/>
      <c r="ET3531" s="376"/>
      <c r="EU3531" s="376"/>
    </row>
    <row r="3532" spans="145:151" x14ac:dyDescent="0.2">
      <c r="EO3532" s="384" t="str">
        <f t="shared" si="336"/>
        <v>_</v>
      </c>
      <c r="EP3532" s="385"/>
      <c r="EQ3532" s="376"/>
      <c r="ER3532" s="377"/>
      <c r="ES3532" s="376"/>
      <c r="ET3532" s="376"/>
      <c r="EU3532" s="376"/>
    </row>
    <row r="3533" spans="145:151" x14ac:dyDescent="0.2">
      <c r="EO3533" s="384" t="str">
        <f t="shared" si="336"/>
        <v>_</v>
      </c>
      <c r="EP3533" s="385"/>
      <c r="EQ3533" s="376"/>
      <c r="ER3533" s="377"/>
      <c r="ES3533" s="376"/>
      <c r="ET3533" s="376"/>
      <c r="EU3533" s="376"/>
    </row>
    <row r="3534" spans="145:151" x14ac:dyDescent="0.2">
      <c r="EO3534" s="384" t="str">
        <f t="shared" si="336"/>
        <v>_</v>
      </c>
      <c r="EP3534" s="385"/>
      <c r="EQ3534" s="376"/>
      <c r="ER3534" s="377"/>
      <c r="ES3534" s="376"/>
      <c r="ET3534" s="376"/>
      <c r="EU3534" s="376"/>
    </row>
    <row r="3535" spans="145:151" x14ac:dyDescent="0.2">
      <c r="EO3535" s="375" t="str">
        <f t="shared" si="336"/>
        <v>_</v>
      </c>
      <c r="EP3535" s="376"/>
      <c r="EQ3535" s="376"/>
      <c r="ER3535" s="377"/>
      <c r="ES3535" s="376"/>
      <c r="ET3535" s="376"/>
      <c r="EU3535" s="376"/>
    </row>
    <row r="3536" spans="145:151" x14ac:dyDescent="0.2">
      <c r="EO3536" s="375" t="str">
        <f t="shared" si="336"/>
        <v>_</v>
      </c>
      <c r="EP3536" s="376"/>
      <c r="EQ3536" s="385"/>
      <c r="ER3536" s="386"/>
      <c r="ES3536" s="385"/>
      <c r="ET3536" s="385"/>
      <c r="EU3536" s="385"/>
    </row>
    <row r="3537" spans="145:151" x14ac:dyDescent="0.2">
      <c r="EO3537" s="375" t="str">
        <f t="shared" si="336"/>
        <v>_</v>
      </c>
      <c r="EP3537" s="376"/>
      <c r="EQ3537" s="385"/>
      <c r="ER3537" s="386"/>
      <c r="ES3537" s="385"/>
      <c r="ET3537" s="385"/>
      <c r="EU3537" s="385"/>
    </row>
    <row r="3538" spans="145:151" x14ac:dyDescent="0.2">
      <c r="EO3538" s="375" t="str">
        <f t="shared" si="336"/>
        <v>_</v>
      </c>
      <c r="EP3538" s="376"/>
      <c r="EQ3538" s="385"/>
      <c r="ER3538" s="386"/>
      <c r="ES3538" s="385"/>
      <c r="ET3538" s="385"/>
      <c r="EU3538" s="385"/>
    </row>
    <row r="3539" spans="145:151" x14ac:dyDescent="0.2">
      <c r="EO3539" s="384" t="str">
        <f t="shared" si="336"/>
        <v>_</v>
      </c>
      <c r="EP3539" s="385"/>
      <c r="EQ3539" s="376"/>
      <c r="ER3539" s="377"/>
      <c r="ES3539" s="376"/>
      <c r="ET3539" s="376"/>
      <c r="EU3539" s="376"/>
    </row>
    <row r="3540" spans="145:151" x14ac:dyDescent="0.2">
      <c r="EO3540" s="384" t="str">
        <f t="shared" si="336"/>
        <v>_</v>
      </c>
      <c r="EP3540" s="385"/>
      <c r="EQ3540" s="376"/>
      <c r="ER3540" s="377"/>
      <c r="ES3540" s="376"/>
      <c r="ET3540" s="376"/>
      <c r="EU3540" s="376"/>
    </row>
    <row r="3541" spans="145:151" x14ac:dyDescent="0.2">
      <c r="EO3541" s="384" t="str">
        <f t="shared" si="336"/>
        <v>_</v>
      </c>
      <c r="EP3541" s="385"/>
      <c r="EQ3541" s="376"/>
      <c r="ER3541" s="377"/>
      <c r="ES3541" s="376"/>
      <c r="ET3541" s="376"/>
      <c r="EU3541" s="376"/>
    </row>
    <row r="3542" spans="145:151" x14ac:dyDescent="0.2">
      <c r="EO3542" s="384" t="str">
        <f t="shared" si="336"/>
        <v>_</v>
      </c>
      <c r="EP3542" s="385"/>
      <c r="EQ3542" s="376"/>
      <c r="ER3542" s="377"/>
      <c r="ES3542" s="376"/>
      <c r="ET3542" s="376"/>
      <c r="EU3542" s="376"/>
    </row>
    <row r="3543" spans="145:151" x14ac:dyDescent="0.2">
      <c r="EO3543" s="384" t="str">
        <f t="shared" si="336"/>
        <v>_</v>
      </c>
      <c r="EP3543" s="385"/>
      <c r="EQ3543" s="385"/>
      <c r="ER3543" s="386"/>
      <c r="ES3543" s="385"/>
      <c r="ET3543" s="385"/>
      <c r="EU3543" s="385"/>
    </row>
    <row r="3544" spans="145:151" x14ac:dyDescent="0.2">
      <c r="EO3544" s="384" t="str">
        <f t="shared" si="336"/>
        <v>_</v>
      </c>
      <c r="EP3544" s="385"/>
      <c r="EQ3544" s="385"/>
      <c r="ER3544" s="386"/>
      <c r="ES3544" s="385"/>
      <c r="ET3544" s="385"/>
      <c r="EU3544" s="385"/>
    </row>
    <row r="3545" spans="145:151" x14ac:dyDescent="0.2">
      <c r="EO3545" s="384" t="str">
        <f t="shared" si="336"/>
        <v>_</v>
      </c>
      <c r="EP3545" s="385"/>
      <c r="EQ3545" s="385"/>
      <c r="ER3545" s="386"/>
      <c r="ES3545" s="385"/>
      <c r="ET3545" s="385"/>
      <c r="EU3545" s="385"/>
    </row>
    <row r="3546" spans="145:151" x14ac:dyDescent="0.2">
      <c r="EO3546" s="384" t="str">
        <f t="shared" si="336"/>
        <v>_</v>
      </c>
      <c r="EP3546" s="385"/>
      <c r="EQ3546" s="385"/>
      <c r="ER3546" s="386"/>
      <c r="ES3546" s="385"/>
      <c r="ET3546" s="385"/>
      <c r="EU3546" s="385"/>
    </row>
    <row r="3547" spans="145:151" x14ac:dyDescent="0.2">
      <c r="EO3547" s="375" t="str">
        <f t="shared" si="336"/>
        <v>_</v>
      </c>
      <c r="EP3547" s="376"/>
      <c r="EQ3547" s="385"/>
      <c r="ER3547" s="386"/>
      <c r="ES3547" s="385"/>
      <c r="ET3547" s="385"/>
      <c r="EU3547" s="385"/>
    </row>
    <row r="3548" spans="145:151" x14ac:dyDescent="0.2">
      <c r="EO3548" s="384" t="str">
        <f t="shared" si="336"/>
        <v>_</v>
      </c>
      <c r="EP3548" s="385"/>
      <c r="EQ3548" s="385"/>
      <c r="ER3548" s="386"/>
      <c r="ES3548" s="385"/>
      <c r="ET3548" s="385"/>
      <c r="EU3548" s="385"/>
    </row>
    <row r="3549" spans="145:151" x14ac:dyDescent="0.2">
      <c r="EO3549" s="384" t="str">
        <f t="shared" ref="EO3549:EO3612" si="337">B3549&amp;"_"&amp;C3549</f>
        <v>_</v>
      </c>
      <c r="EP3549" s="385"/>
      <c r="EQ3549" s="385"/>
      <c r="ER3549" s="386"/>
      <c r="ES3549" s="385"/>
      <c r="ET3549" s="385"/>
      <c r="EU3549" s="385"/>
    </row>
    <row r="3550" spans="145:151" x14ac:dyDescent="0.2">
      <c r="EO3550" s="384" t="str">
        <f t="shared" si="337"/>
        <v>_</v>
      </c>
      <c r="EP3550" s="385"/>
      <c r="EQ3550" s="385"/>
      <c r="ER3550" s="386"/>
      <c r="ES3550" s="385"/>
      <c r="ET3550" s="385"/>
      <c r="EU3550" s="385"/>
    </row>
    <row r="3551" spans="145:151" x14ac:dyDescent="0.2">
      <c r="EO3551" s="384" t="str">
        <f t="shared" si="337"/>
        <v>_</v>
      </c>
      <c r="EP3551" s="385"/>
      <c r="EQ3551" s="376"/>
      <c r="ER3551" s="377"/>
      <c r="ES3551" s="376"/>
      <c r="ET3551" s="376"/>
      <c r="EU3551" s="376"/>
    </row>
    <row r="3552" spans="145:151" x14ac:dyDescent="0.2">
      <c r="EO3552" s="384" t="str">
        <f t="shared" si="337"/>
        <v>_</v>
      </c>
      <c r="EP3552" s="385"/>
      <c r="EQ3552" s="385"/>
      <c r="ER3552" s="386"/>
      <c r="ES3552" s="385"/>
      <c r="ET3552" s="385"/>
      <c r="EU3552" s="385"/>
    </row>
    <row r="3553" spans="145:151" x14ac:dyDescent="0.2">
      <c r="EO3553" s="375" t="str">
        <f t="shared" si="337"/>
        <v>_</v>
      </c>
      <c r="EP3553" s="376"/>
      <c r="EQ3553" s="385"/>
      <c r="ER3553" s="386"/>
      <c r="ES3553" s="385"/>
      <c r="ET3553" s="385"/>
      <c r="EU3553" s="385"/>
    </row>
    <row r="3554" spans="145:151" x14ac:dyDescent="0.2">
      <c r="EO3554" s="375" t="str">
        <f t="shared" si="337"/>
        <v>_</v>
      </c>
      <c r="EP3554" s="376"/>
      <c r="EQ3554" s="385"/>
      <c r="ER3554" s="386"/>
      <c r="ES3554" s="385"/>
      <c r="ET3554" s="385"/>
      <c r="EU3554" s="385"/>
    </row>
    <row r="3555" spans="145:151" x14ac:dyDescent="0.2">
      <c r="EO3555" s="375" t="str">
        <f t="shared" si="337"/>
        <v>_</v>
      </c>
      <c r="EP3555" s="376"/>
      <c r="EQ3555" s="385"/>
      <c r="ER3555" s="386"/>
      <c r="ES3555" s="385"/>
      <c r="ET3555" s="385"/>
      <c r="EU3555" s="385"/>
    </row>
    <row r="3556" spans="145:151" x14ac:dyDescent="0.2">
      <c r="EO3556" s="384" t="str">
        <f t="shared" si="337"/>
        <v>_</v>
      </c>
      <c r="EP3556" s="385"/>
      <c r="EQ3556" s="385"/>
      <c r="ER3556" s="386"/>
      <c r="ES3556" s="385"/>
      <c r="ET3556" s="385"/>
      <c r="EU3556" s="385"/>
    </row>
    <row r="3557" spans="145:151" x14ac:dyDescent="0.2">
      <c r="EO3557" s="384" t="str">
        <f t="shared" si="337"/>
        <v>_</v>
      </c>
      <c r="EP3557" s="385"/>
      <c r="EQ3557" s="376"/>
      <c r="ER3557" s="377"/>
      <c r="ES3557" s="376"/>
      <c r="ET3557" s="376"/>
      <c r="EU3557" s="376"/>
    </row>
    <row r="3558" spans="145:151" x14ac:dyDescent="0.2">
      <c r="EO3558" s="384" t="str">
        <f t="shared" si="337"/>
        <v>_</v>
      </c>
      <c r="EP3558" s="385"/>
      <c r="EQ3558" s="376"/>
      <c r="ER3558" s="377"/>
      <c r="ES3558" s="376"/>
      <c r="ET3558" s="376"/>
      <c r="EU3558" s="376"/>
    </row>
    <row r="3559" spans="145:151" x14ac:dyDescent="0.2">
      <c r="EO3559" s="384" t="str">
        <f t="shared" si="337"/>
        <v>_</v>
      </c>
      <c r="EP3559" s="385"/>
      <c r="EQ3559" s="376"/>
      <c r="ER3559" s="377"/>
      <c r="ES3559" s="376"/>
      <c r="ET3559" s="376"/>
      <c r="EU3559" s="376"/>
    </row>
    <row r="3560" spans="145:151" x14ac:dyDescent="0.2">
      <c r="EO3560" s="375" t="str">
        <f t="shared" si="337"/>
        <v>_</v>
      </c>
      <c r="EP3560" s="376"/>
      <c r="EQ3560" s="385"/>
      <c r="ER3560" s="386"/>
      <c r="ES3560" s="385"/>
      <c r="ET3560" s="385"/>
      <c r="EU3560" s="385"/>
    </row>
    <row r="3561" spans="145:151" x14ac:dyDescent="0.2">
      <c r="EO3561" s="375" t="str">
        <f t="shared" si="337"/>
        <v>_</v>
      </c>
      <c r="EP3561" s="376"/>
      <c r="EQ3561" s="385"/>
      <c r="ER3561" s="386"/>
      <c r="ES3561" s="385"/>
      <c r="ET3561" s="385"/>
      <c r="EU3561" s="385"/>
    </row>
    <row r="3562" spans="145:151" x14ac:dyDescent="0.2">
      <c r="EO3562" s="375" t="str">
        <f t="shared" si="337"/>
        <v>_</v>
      </c>
      <c r="EP3562" s="376"/>
      <c r="EQ3562" s="385"/>
      <c r="ER3562" s="386"/>
      <c r="ES3562" s="385"/>
      <c r="ET3562" s="385"/>
      <c r="EU3562" s="385"/>
    </row>
    <row r="3563" spans="145:151" x14ac:dyDescent="0.2">
      <c r="EO3563" s="375" t="str">
        <f t="shared" si="337"/>
        <v>_</v>
      </c>
      <c r="EP3563" s="376"/>
      <c r="EQ3563" s="385"/>
      <c r="ER3563" s="386"/>
      <c r="ES3563" s="385"/>
      <c r="ET3563" s="385"/>
      <c r="EU3563" s="385"/>
    </row>
    <row r="3564" spans="145:151" x14ac:dyDescent="0.2">
      <c r="EO3564" s="375" t="str">
        <f t="shared" si="337"/>
        <v>_</v>
      </c>
      <c r="EP3564" s="376"/>
      <c r="EQ3564" s="376"/>
      <c r="ER3564" s="377"/>
      <c r="ES3564" s="376"/>
      <c r="ET3564" s="376"/>
      <c r="EU3564" s="376"/>
    </row>
    <row r="3565" spans="145:151" x14ac:dyDescent="0.2">
      <c r="EO3565" s="375" t="str">
        <f t="shared" si="337"/>
        <v>_</v>
      </c>
      <c r="EP3565" s="376"/>
      <c r="EQ3565" s="376"/>
      <c r="ER3565" s="377"/>
      <c r="ES3565" s="376"/>
      <c r="ET3565" s="376"/>
      <c r="EU3565" s="376"/>
    </row>
    <row r="3566" spans="145:151" x14ac:dyDescent="0.2">
      <c r="EO3566" s="375" t="str">
        <f t="shared" si="337"/>
        <v>_</v>
      </c>
      <c r="EP3566" s="376"/>
      <c r="EQ3566" s="376"/>
      <c r="ER3566" s="377"/>
      <c r="ES3566" s="376"/>
      <c r="ET3566" s="376"/>
      <c r="EU3566" s="376"/>
    </row>
    <row r="3567" spans="145:151" x14ac:dyDescent="0.2">
      <c r="EO3567" s="375" t="str">
        <f t="shared" si="337"/>
        <v>_</v>
      </c>
      <c r="EP3567" s="376"/>
      <c r="EQ3567" s="376"/>
      <c r="ER3567" s="377"/>
      <c r="ES3567" s="376"/>
      <c r="ET3567" s="376"/>
      <c r="EU3567" s="376"/>
    </row>
    <row r="3568" spans="145:151" x14ac:dyDescent="0.2">
      <c r="EO3568" s="375" t="str">
        <f t="shared" si="337"/>
        <v>_</v>
      </c>
      <c r="EP3568" s="376"/>
      <c r="EQ3568" s="376"/>
      <c r="ER3568" s="377"/>
      <c r="ES3568" s="376"/>
      <c r="ET3568" s="376"/>
      <c r="EU3568" s="376"/>
    </row>
    <row r="3569" spans="145:151" x14ac:dyDescent="0.2">
      <c r="EO3569" s="375" t="str">
        <f t="shared" si="337"/>
        <v>_</v>
      </c>
      <c r="EP3569" s="376"/>
      <c r="EQ3569" s="376"/>
      <c r="ER3569" s="377"/>
      <c r="ES3569" s="376"/>
      <c r="ET3569" s="376"/>
      <c r="EU3569" s="376"/>
    </row>
    <row r="3570" spans="145:151" x14ac:dyDescent="0.2">
      <c r="EO3570" s="375" t="str">
        <f t="shared" si="337"/>
        <v>_</v>
      </c>
      <c r="EP3570" s="376"/>
      <c r="EQ3570" s="376"/>
      <c r="ER3570" s="377"/>
      <c r="ES3570" s="376"/>
      <c r="ET3570" s="376"/>
      <c r="EU3570" s="376"/>
    </row>
    <row r="3571" spans="145:151" x14ac:dyDescent="0.2">
      <c r="EO3571" s="375" t="str">
        <f t="shared" si="337"/>
        <v>_</v>
      </c>
      <c r="EP3571" s="376"/>
      <c r="EQ3571" s="376"/>
      <c r="ER3571" s="377"/>
      <c r="ES3571" s="376"/>
      <c r="ET3571" s="376"/>
      <c r="EU3571" s="376"/>
    </row>
    <row r="3572" spans="145:151" x14ac:dyDescent="0.2">
      <c r="EO3572" s="375" t="str">
        <f t="shared" si="337"/>
        <v>_</v>
      </c>
      <c r="EP3572" s="376"/>
      <c r="EQ3572" s="376"/>
      <c r="ER3572" s="377"/>
      <c r="ES3572" s="376"/>
      <c r="ET3572" s="376"/>
      <c r="EU3572" s="376"/>
    </row>
    <row r="3573" spans="145:151" x14ac:dyDescent="0.2">
      <c r="EO3573" s="375" t="str">
        <f t="shared" si="337"/>
        <v>_</v>
      </c>
      <c r="EP3573" s="376"/>
      <c r="EQ3573" s="376"/>
      <c r="ER3573" s="377"/>
      <c r="ES3573" s="376"/>
      <c r="ET3573" s="376"/>
      <c r="EU3573" s="376"/>
    </row>
    <row r="3574" spans="145:151" x14ac:dyDescent="0.2">
      <c r="EO3574" s="375" t="str">
        <f t="shared" si="337"/>
        <v>_</v>
      </c>
      <c r="EP3574" s="376"/>
      <c r="EQ3574" s="376"/>
      <c r="ER3574" s="377"/>
      <c r="ES3574" s="376"/>
      <c r="ET3574" s="376"/>
      <c r="EU3574" s="376"/>
    </row>
    <row r="3575" spans="145:151" x14ac:dyDescent="0.2">
      <c r="EO3575" s="375" t="str">
        <f t="shared" si="337"/>
        <v>_</v>
      </c>
      <c r="EP3575" s="376"/>
      <c r="EQ3575" s="376"/>
      <c r="ER3575" s="377"/>
      <c r="ES3575" s="376"/>
      <c r="ET3575" s="376"/>
      <c r="EU3575" s="376"/>
    </row>
    <row r="3576" spans="145:151" x14ac:dyDescent="0.2">
      <c r="EO3576" s="375" t="str">
        <f t="shared" si="337"/>
        <v>_</v>
      </c>
      <c r="EP3576" s="376"/>
      <c r="EQ3576" s="376"/>
      <c r="ER3576" s="377"/>
      <c r="ES3576" s="376"/>
      <c r="ET3576" s="376"/>
      <c r="EU3576" s="376"/>
    </row>
    <row r="3577" spans="145:151" x14ac:dyDescent="0.2">
      <c r="EO3577" s="375" t="str">
        <f t="shared" si="337"/>
        <v>_</v>
      </c>
      <c r="EP3577" s="376"/>
      <c r="EQ3577" s="376"/>
      <c r="ER3577" s="377"/>
      <c r="ES3577" s="376"/>
      <c r="ET3577" s="376"/>
      <c r="EU3577" s="376"/>
    </row>
    <row r="3578" spans="145:151" x14ac:dyDescent="0.2">
      <c r="EO3578" s="375" t="str">
        <f t="shared" si="337"/>
        <v>_</v>
      </c>
      <c r="EP3578" s="376"/>
      <c r="EQ3578" s="376"/>
      <c r="ER3578" s="377"/>
      <c r="ES3578" s="376"/>
      <c r="ET3578" s="376"/>
      <c r="EU3578" s="376"/>
    </row>
    <row r="3579" spans="145:151" x14ac:dyDescent="0.2">
      <c r="EO3579" s="375" t="str">
        <f t="shared" si="337"/>
        <v>_</v>
      </c>
      <c r="EP3579" s="376"/>
      <c r="EQ3579" s="376"/>
      <c r="ER3579" s="377"/>
      <c r="ES3579" s="376"/>
      <c r="ET3579" s="376"/>
      <c r="EU3579" s="376"/>
    </row>
    <row r="3580" spans="145:151" x14ac:dyDescent="0.2">
      <c r="EO3580" s="375" t="str">
        <f t="shared" si="337"/>
        <v>_</v>
      </c>
      <c r="EP3580" s="376"/>
      <c r="EQ3580" s="376"/>
      <c r="ER3580" s="377"/>
      <c r="ES3580" s="376"/>
      <c r="ET3580" s="376"/>
      <c r="EU3580" s="376"/>
    </row>
    <row r="3581" spans="145:151" x14ac:dyDescent="0.2">
      <c r="EO3581" s="375" t="str">
        <f t="shared" si="337"/>
        <v>_</v>
      </c>
      <c r="EP3581" s="376"/>
      <c r="EQ3581" s="376"/>
      <c r="ER3581" s="377"/>
      <c r="ES3581" s="376"/>
      <c r="ET3581" s="376"/>
      <c r="EU3581" s="376"/>
    </row>
    <row r="3582" spans="145:151" x14ac:dyDescent="0.2">
      <c r="EO3582" s="375" t="str">
        <f t="shared" si="337"/>
        <v>_</v>
      </c>
      <c r="EP3582" s="376"/>
      <c r="EQ3582" s="376"/>
      <c r="ER3582" s="377"/>
      <c r="ES3582" s="376"/>
      <c r="ET3582" s="376"/>
      <c r="EU3582" s="376"/>
    </row>
    <row r="3583" spans="145:151" x14ac:dyDescent="0.2">
      <c r="EO3583" s="375" t="str">
        <f t="shared" si="337"/>
        <v>_</v>
      </c>
      <c r="EP3583" s="376"/>
      <c r="EQ3583" s="376"/>
      <c r="ER3583" s="377"/>
      <c r="ES3583" s="376"/>
      <c r="ET3583" s="376"/>
      <c r="EU3583" s="376"/>
    </row>
    <row r="3584" spans="145:151" x14ac:dyDescent="0.2">
      <c r="EO3584" s="375" t="str">
        <f t="shared" si="337"/>
        <v>_</v>
      </c>
      <c r="EP3584" s="376"/>
      <c r="EQ3584" s="376"/>
      <c r="ER3584" s="377"/>
      <c r="ES3584" s="376"/>
      <c r="ET3584" s="376"/>
      <c r="EU3584" s="376"/>
    </row>
    <row r="3585" spans="145:151" x14ac:dyDescent="0.2">
      <c r="EO3585" s="375" t="str">
        <f t="shared" si="337"/>
        <v>_</v>
      </c>
      <c r="EP3585" s="376"/>
      <c r="EQ3585" s="376"/>
      <c r="ER3585" s="377"/>
      <c r="ES3585" s="376"/>
      <c r="ET3585" s="376"/>
      <c r="EU3585" s="376"/>
    </row>
    <row r="3586" spans="145:151" x14ac:dyDescent="0.2">
      <c r="EO3586" s="375" t="str">
        <f t="shared" si="337"/>
        <v>_</v>
      </c>
      <c r="EP3586" s="376"/>
      <c r="EQ3586" s="376"/>
      <c r="ER3586" s="377"/>
      <c r="ES3586" s="376"/>
      <c r="ET3586" s="376"/>
      <c r="EU3586" s="376"/>
    </row>
    <row r="3587" spans="145:151" x14ac:dyDescent="0.2">
      <c r="EO3587" s="375" t="str">
        <f t="shared" si="337"/>
        <v>_</v>
      </c>
      <c r="EP3587" s="376"/>
      <c r="EQ3587" s="376"/>
      <c r="ER3587" s="377"/>
      <c r="ES3587" s="376"/>
      <c r="ET3587" s="376"/>
      <c r="EU3587" s="376"/>
    </row>
    <row r="3588" spans="145:151" x14ac:dyDescent="0.2">
      <c r="EO3588" s="375" t="str">
        <f t="shared" si="337"/>
        <v>_</v>
      </c>
      <c r="EP3588" s="376"/>
      <c r="EQ3588" s="376"/>
      <c r="ER3588" s="377"/>
      <c r="ES3588" s="376"/>
      <c r="ET3588" s="376"/>
      <c r="EU3588" s="376"/>
    </row>
    <row r="3589" spans="145:151" x14ac:dyDescent="0.2">
      <c r="EO3589" s="375" t="str">
        <f t="shared" si="337"/>
        <v>_</v>
      </c>
      <c r="EP3589" s="376"/>
      <c r="EQ3589" s="376"/>
      <c r="ER3589" s="377"/>
      <c r="ES3589" s="376"/>
      <c r="ET3589" s="376"/>
      <c r="EU3589" s="376"/>
    </row>
    <row r="3590" spans="145:151" x14ac:dyDescent="0.2">
      <c r="EO3590" s="375" t="str">
        <f t="shared" si="337"/>
        <v>_</v>
      </c>
      <c r="EP3590" s="376"/>
      <c r="EQ3590" s="376"/>
      <c r="ER3590" s="377"/>
      <c r="ES3590" s="376"/>
      <c r="ET3590" s="376"/>
      <c r="EU3590" s="376"/>
    </row>
    <row r="3591" spans="145:151" x14ac:dyDescent="0.2">
      <c r="EO3591" s="375" t="str">
        <f t="shared" si="337"/>
        <v>_</v>
      </c>
      <c r="EP3591" s="376"/>
      <c r="EQ3591" s="376"/>
      <c r="ER3591" s="377"/>
      <c r="ES3591" s="376"/>
      <c r="ET3591" s="376"/>
      <c r="EU3591" s="376"/>
    </row>
    <row r="3592" spans="145:151" x14ac:dyDescent="0.2">
      <c r="EO3592" s="375" t="str">
        <f t="shared" si="337"/>
        <v>_</v>
      </c>
      <c r="EP3592" s="376"/>
      <c r="EQ3592" s="376"/>
      <c r="ER3592" s="377"/>
      <c r="ES3592" s="376"/>
      <c r="ET3592" s="376"/>
      <c r="EU3592" s="376"/>
    </row>
    <row r="3593" spans="145:151" x14ac:dyDescent="0.2">
      <c r="EO3593" s="375" t="str">
        <f t="shared" si="337"/>
        <v>_</v>
      </c>
      <c r="EP3593" s="376"/>
      <c r="EQ3593" s="376"/>
      <c r="ER3593" s="377"/>
      <c r="ES3593" s="376"/>
      <c r="ET3593" s="376"/>
      <c r="EU3593" s="376"/>
    </row>
    <row r="3594" spans="145:151" x14ac:dyDescent="0.2">
      <c r="EO3594" s="375" t="str">
        <f t="shared" si="337"/>
        <v>_</v>
      </c>
      <c r="EP3594" s="376"/>
      <c r="EQ3594" s="376"/>
      <c r="ER3594" s="377"/>
      <c r="ES3594" s="376"/>
      <c r="ET3594" s="376"/>
      <c r="EU3594" s="376"/>
    </row>
    <row r="3595" spans="145:151" x14ac:dyDescent="0.2">
      <c r="EO3595" s="375" t="str">
        <f t="shared" si="337"/>
        <v>_</v>
      </c>
      <c r="EP3595" s="376"/>
      <c r="EQ3595" s="376"/>
      <c r="ER3595" s="377"/>
      <c r="ES3595" s="376"/>
      <c r="ET3595" s="376"/>
      <c r="EU3595" s="376"/>
    </row>
    <row r="3596" spans="145:151" x14ac:dyDescent="0.2">
      <c r="EO3596" s="375" t="str">
        <f t="shared" si="337"/>
        <v>_</v>
      </c>
      <c r="EP3596" s="376"/>
      <c r="EQ3596" s="376"/>
      <c r="ER3596" s="377"/>
      <c r="ES3596" s="376"/>
      <c r="ET3596" s="376"/>
      <c r="EU3596" s="376"/>
    </row>
    <row r="3597" spans="145:151" x14ac:dyDescent="0.2">
      <c r="EO3597" s="375" t="str">
        <f t="shared" si="337"/>
        <v>_</v>
      </c>
      <c r="EP3597" s="376"/>
      <c r="EQ3597" s="376"/>
      <c r="ER3597" s="377"/>
      <c r="ES3597" s="376"/>
      <c r="ET3597" s="376"/>
      <c r="EU3597" s="376"/>
    </row>
    <row r="3598" spans="145:151" x14ac:dyDescent="0.2">
      <c r="EO3598" s="375" t="str">
        <f t="shared" si="337"/>
        <v>_</v>
      </c>
      <c r="EP3598" s="376"/>
      <c r="EQ3598" s="376"/>
      <c r="ER3598" s="377"/>
      <c r="ES3598" s="376"/>
      <c r="ET3598" s="376"/>
      <c r="EU3598" s="376"/>
    </row>
    <row r="3599" spans="145:151" x14ac:dyDescent="0.2">
      <c r="EO3599" s="375" t="str">
        <f t="shared" si="337"/>
        <v>_</v>
      </c>
      <c r="EP3599" s="376"/>
      <c r="EQ3599" s="376"/>
      <c r="ER3599" s="377"/>
      <c r="ES3599" s="376"/>
      <c r="ET3599" s="376"/>
      <c r="EU3599" s="376"/>
    </row>
    <row r="3600" spans="145:151" x14ac:dyDescent="0.2">
      <c r="EO3600" s="375" t="str">
        <f t="shared" si="337"/>
        <v>_</v>
      </c>
      <c r="EP3600" s="376"/>
      <c r="EQ3600" s="376"/>
      <c r="ER3600" s="377"/>
      <c r="ES3600" s="376"/>
      <c r="ET3600" s="376"/>
      <c r="EU3600" s="376"/>
    </row>
    <row r="3601" spans="145:151" x14ac:dyDescent="0.2">
      <c r="EO3601" s="375" t="str">
        <f t="shared" si="337"/>
        <v>_</v>
      </c>
      <c r="EP3601" s="376"/>
      <c r="EQ3601" s="376"/>
      <c r="ER3601" s="377"/>
      <c r="ES3601" s="376"/>
      <c r="ET3601" s="376"/>
      <c r="EU3601" s="376"/>
    </row>
    <row r="3602" spans="145:151" x14ac:dyDescent="0.2">
      <c r="EO3602" s="375" t="str">
        <f t="shared" si="337"/>
        <v>_</v>
      </c>
      <c r="EP3602" s="376"/>
      <c r="EQ3602" s="376"/>
      <c r="ER3602" s="377"/>
      <c r="ES3602" s="376"/>
      <c r="ET3602" s="376"/>
      <c r="EU3602" s="376"/>
    </row>
    <row r="3603" spans="145:151" x14ac:dyDescent="0.2">
      <c r="EO3603" s="375" t="str">
        <f t="shared" si="337"/>
        <v>_</v>
      </c>
      <c r="EP3603" s="376"/>
      <c r="EQ3603" s="376"/>
      <c r="ER3603" s="377"/>
      <c r="ES3603" s="376"/>
      <c r="ET3603" s="376"/>
      <c r="EU3603" s="376"/>
    </row>
    <row r="3604" spans="145:151" x14ac:dyDescent="0.2">
      <c r="EO3604" s="375" t="str">
        <f t="shared" si="337"/>
        <v>_</v>
      </c>
      <c r="EP3604" s="376"/>
      <c r="EQ3604" s="376"/>
      <c r="ER3604" s="377"/>
      <c r="ES3604" s="376"/>
      <c r="ET3604" s="376"/>
      <c r="EU3604" s="376"/>
    </row>
    <row r="3605" spans="145:151" x14ac:dyDescent="0.2">
      <c r="EO3605" s="375" t="str">
        <f t="shared" si="337"/>
        <v>_</v>
      </c>
      <c r="EP3605" s="376"/>
      <c r="EQ3605" s="376"/>
      <c r="ER3605" s="377"/>
      <c r="ES3605" s="376"/>
      <c r="ET3605" s="376"/>
      <c r="EU3605" s="376"/>
    </row>
    <row r="3606" spans="145:151" x14ac:dyDescent="0.2">
      <c r="EO3606" s="375" t="str">
        <f t="shared" si="337"/>
        <v>_</v>
      </c>
      <c r="EP3606" s="376"/>
      <c r="EQ3606" s="376"/>
      <c r="ER3606" s="377"/>
      <c r="ES3606" s="376"/>
      <c r="ET3606" s="376"/>
      <c r="EU3606" s="376"/>
    </row>
    <row r="3607" spans="145:151" x14ac:dyDescent="0.2">
      <c r="EO3607" s="375" t="str">
        <f t="shared" si="337"/>
        <v>_</v>
      </c>
      <c r="EP3607" s="376"/>
      <c r="EQ3607" s="376"/>
      <c r="ER3607" s="377"/>
      <c r="ES3607" s="376"/>
      <c r="ET3607" s="376"/>
      <c r="EU3607" s="376"/>
    </row>
    <row r="3608" spans="145:151" x14ac:dyDescent="0.2">
      <c r="EO3608" s="375" t="str">
        <f t="shared" si="337"/>
        <v>_</v>
      </c>
      <c r="EP3608" s="376"/>
      <c r="EQ3608" s="376"/>
      <c r="ER3608" s="377"/>
      <c r="ES3608" s="376"/>
      <c r="ET3608" s="376"/>
      <c r="EU3608" s="376"/>
    </row>
    <row r="3609" spans="145:151" x14ac:dyDescent="0.2">
      <c r="EO3609" s="375" t="str">
        <f t="shared" si="337"/>
        <v>_</v>
      </c>
      <c r="EP3609" s="376"/>
      <c r="EQ3609" s="376"/>
      <c r="ER3609" s="377"/>
      <c r="ES3609" s="376"/>
      <c r="ET3609" s="376"/>
      <c r="EU3609" s="376"/>
    </row>
    <row r="3610" spans="145:151" x14ac:dyDescent="0.2">
      <c r="EO3610" s="375" t="str">
        <f t="shared" si="337"/>
        <v>_</v>
      </c>
      <c r="EP3610" s="376"/>
      <c r="EQ3610" s="376"/>
      <c r="ER3610" s="377"/>
      <c r="ES3610" s="376"/>
      <c r="ET3610" s="376"/>
      <c r="EU3610" s="376"/>
    </row>
    <row r="3611" spans="145:151" x14ac:dyDescent="0.2">
      <c r="EO3611" s="375" t="str">
        <f t="shared" si="337"/>
        <v>_</v>
      </c>
      <c r="EP3611" s="376"/>
      <c r="EQ3611" s="376"/>
      <c r="ER3611" s="377"/>
      <c r="ES3611" s="376"/>
      <c r="ET3611" s="376"/>
      <c r="EU3611" s="376"/>
    </row>
    <row r="3612" spans="145:151" x14ac:dyDescent="0.2">
      <c r="EO3612" s="375" t="str">
        <f t="shared" si="337"/>
        <v>_</v>
      </c>
      <c r="EP3612" s="376"/>
      <c r="EQ3612" s="376"/>
      <c r="ER3612" s="377"/>
      <c r="ES3612" s="376"/>
      <c r="ET3612" s="376"/>
      <c r="EU3612" s="376"/>
    </row>
    <row r="3613" spans="145:151" x14ac:dyDescent="0.2">
      <c r="EO3613" s="375" t="str">
        <f t="shared" ref="EO3613:EO3676" si="338">B3613&amp;"_"&amp;C3613</f>
        <v>_</v>
      </c>
      <c r="EP3613" s="376"/>
      <c r="EQ3613" s="376"/>
      <c r="ER3613" s="377"/>
      <c r="ES3613" s="376"/>
      <c r="ET3613" s="376"/>
      <c r="EU3613" s="376"/>
    </row>
    <row r="3614" spans="145:151" x14ac:dyDescent="0.2">
      <c r="EO3614" s="375" t="str">
        <f t="shared" si="338"/>
        <v>_</v>
      </c>
      <c r="EP3614" s="376"/>
      <c r="EQ3614" s="376"/>
      <c r="ER3614" s="377"/>
      <c r="ES3614" s="376"/>
      <c r="ET3614" s="376"/>
      <c r="EU3614" s="376"/>
    </row>
    <row r="3615" spans="145:151" x14ac:dyDescent="0.2">
      <c r="EO3615" s="375" t="str">
        <f t="shared" si="338"/>
        <v>_</v>
      </c>
      <c r="EP3615" s="376"/>
      <c r="EQ3615" s="376"/>
      <c r="ER3615" s="377"/>
      <c r="ES3615" s="376"/>
      <c r="ET3615" s="376"/>
      <c r="EU3615" s="376"/>
    </row>
    <row r="3616" spans="145:151" x14ac:dyDescent="0.2">
      <c r="EO3616" s="375" t="str">
        <f t="shared" si="338"/>
        <v>_</v>
      </c>
      <c r="EP3616" s="376"/>
      <c r="EQ3616" s="376"/>
      <c r="ER3616" s="377"/>
      <c r="ES3616" s="376"/>
      <c r="ET3616" s="376"/>
      <c r="EU3616" s="376"/>
    </row>
    <row r="3617" spans="145:151" x14ac:dyDescent="0.2">
      <c r="EO3617" s="375" t="str">
        <f t="shared" si="338"/>
        <v>_</v>
      </c>
      <c r="EP3617" s="376"/>
      <c r="EQ3617" s="376"/>
      <c r="ER3617" s="377"/>
      <c r="ES3617" s="376"/>
      <c r="ET3617" s="376"/>
      <c r="EU3617" s="376"/>
    </row>
    <row r="3618" spans="145:151" x14ac:dyDescent="0.2">
      <c r="EO3618" s="375" t="str">
        <f t="shared" si="338"/>
        <v>_</v>
      </c>
      <c r="EP3618" s="376"/>
      <c r="EQ3618" s="376"/>
      <c r="ER3618" s="377"/>
      <c r="ES3618" s="376"/>
      <c r="ET3618" s="376"/>
      <c r="EU3618" s="376"/>
    </row>
    <row r="3619" spans="145:151" x14ac:dyDescent="0.2">
      <c r="EO3619" s="375" t="str">
        <f t="shared" si="338"/>
        <v>_</v>
      </c>
      <c r="EP3619" s="376"/>
      <c r="EQ3619" s="376"/>
      <c r="ER3619" s="377"/>
      <c r="ES3619" s="376"/>
      <c r="ET3619" s="376"/>
      <c r="EU3619" s="376"/>
    </row>
    <row r="3620" spans="145:151" x14ac:dyDescent="0.2">
      <c r="EO3620" s="375" t="str">
        <f t="shared" si="338"/>
        <v>_</v>
      </c>
      <c r="EP3620" s="376"/>
      <c r="EQ3620" s="376"/>
      <c r="ER3620" s="377"/>
      <c r="ES3620" s="376"/>
      <c r="ET3620" s="376"/>
      <c r="EU3620" s="376"/>
    </row>
    <row r="3621" spans="145:151" x14ac:dyDescent="0.2">
      <c r="EO3621" s="375" t="str">
        <f t="shared" si="338"/>
        <v>_</v>
      </c>
      <c r="EP3621" s="376"/>
      <c r="EQ3621" s="376"/>
      <c r="ER3621" s="377"/>
      <c r="ES3621" s="376"/>
      <c r="ET3621" s="376"/>
      <c r="EU3621" s="376"/>
    </row>
    <row r="3622" spans="145:151" x14ac:dyDescent="0.2">
      <c r="EO3622" s="375" t="str">
        <f t="shared" si="338"/>
        <v>_</v>
      </c>
      <c r="EP3622" s="376"/>
      <c r="EQ3622" s="376"/>
      <c r="ER3622" s="377"/>
      <c r="ES3622" s="376"/>
      <c r="ET3622" s="376"/>
      <c r="EU3622" s="376"/>
    </row>
    <row r="3623" spans="145:151" x14ac:dyDescent="0.2">
      <c r="EO3623" s="375" t="str">
        <f t="shared" si="338"/>
        <v>_</v>
      </c>
      <c r="EP3623" s="376"/>
      <c r="EQ3623" s="376"/>
      <c r="ER3623" s="377"/>
      <c r="ES3623" s="376"/>
      <c r="ET3623" s="376"/>
      <c r="EU3623" s="376"/>
    </row>
    <row r="3624" spans="145:151" x14ac:dyDescent="0.2">
      <c r="EO3624" s="375" t="str">
        <f t="shared" si="338"/>
        <v>_</v>
      </c>
      <c r="EP3624" s="376"/>
      <c r="EQ3624" s="376"/>
      <c r="ER3624" s="377"/>
      <c r="ES3624" s="376"/>
      <c r="ET3624" s="376"/>
      <c r="EU3624" s="376"/>
    </row>
    <row r="3625" spans="145:151" x14ac:dyDescent="0.2">
      <c r="EO3625" s="375" t="str">
        <f t="shared" si="338"/>
        <v>_</v>
      </c>
      <c r="EP3625" s="376"/>
      <c r="EQ3625" s="376"/>
      <c r="ER3625" s="377"/>
      <c r="ES3625" s="376"/>
      <c r="ET3625" s="376"/>
      <c r="EU3625" s="376"/>
    </row>
    <row r="3626" spans="145:151" x14ac:dyDescent="0.2">
      <c r="EO3626" s="375" t="str">
        <f t="shared" si="338"/>
        <v>_</v>
      </c>
      <c r="EP3626" s="376"/>
      <c r="EQ3626" s="376"/>
      <c r="ER3626" s="377"/>
      <c r="ES3626" s="376"/>
      <c r="ET3626" s="376"/>
      <c r="EU3626" s="376"/>
    </row>
    <row r="3627" spans="145:151" x14ac:dyDescent="0.2">
      <c r="EO3627" s="375" t="str">
        <f t="shared" si="338"/>
        <v>_</v>
      </c>
      <c r="EP3627" s="376"/>
      <c r="EQ3627" s="376"/>
      <c r="ER3627" s="377"/>
      <c r="ES3627" s="376"/>
      <c r="ET3627" s="376"/>
      <c r="EU3627" s="376"/>
    </row>
    <row r="3628" spans="145:151" x14ac:dyDescent="0.2">
      <c r="EO3628" s="375" t="str">
        <f t="shared" si="338"/>
        <v>_</v>
      </c>
      <c r="EP3628" s="376"/>
      <c r="EQ3628" s="376"/>
      <c r="ER3628" s="377"/>
      <c r="ES3628" s="376"/>
      <c r="ET3628" s="376"/>
      <c r="EU3628" s="376"/>
    </row>
    <row r="3629" spans="145:151" x14ac:dyDescent="0.2">
      <c r="EO3629" s="375" t="str">
        <f t="shared" si="338"/>
        <v>_</v>
      </c>
      <c r="EP3629" s="376"/>
      <c r="EQ3629" s="376"/>
      <c r="ER3629" s="377"/>
      <c r="ES3629" s="376"/>
      <c r="ET3629" s="376"/>
      <c r="EU3629" s="376"/>
    </row>
    <row r="3630" spans="145:151" x14ac:dyDescent="0.2">
      <c r="EO3630" s="375" t="str">
        <f t="shared" si="338"/>
        <v>_</v>
      </c>
      <c r="EP3630" s="376"/>
      <c r="EQ3630" s="376"/>
      <c r="ER3630" s="377"/>
      <c r="ES3630" s="376"/>
      <c r="ET3630" s="376"/>
      <c r="EU3630" s="376"/>
    </row>
    <row r="3631" spans="145:151" x14ac:dyDescent="0.2">
      <c r="EO3631" s="375" t="str">
        <f t="shared" si="338"/>
        <v>_</v>
      </c>
      <c r="EP3631" s="376"/>
      <c r="EQ3631" s="376"/>
      <c r="ER3631" s="377"/>
      <c r="ES3631" s="376"/>
      <c r="ET3631" s="376"/>
      <c r="EU3631" s="376"/>
    </row>
    <row r="3632" spans="145:151" x14ac:dyDescent="0.2">
      <c r="EO3632" s="375" t="str">
        <f t="shared" si="338"/>
        <v>_</v>
      </c>
      <c r="EP3632" s="376"/>
      <c r="EQ3632" s="376"/>
      <c r="ER3632" s="377"/>
      <c r="ES3632" s="376"/>
      <c r="ET3632" s="376"/>
      <c r="EU3632" s="376"/>
    </row>
    <row r="3633" spans="145:151" x14ac:dyDescent="0.2">
      <c r="EO3633" s="375" t="str">
        <f t="shared" si="338"/>
        <v>_</v>
      </c>
      <c r="EP3633" s="376"/>
      <c r="EQ3633" s="376"/>
      <c r="ER3633" s="377"/>
      <c r="ES3633" s="376"/>
      <c r="ET3633" s="376"/>
      <c r="EU3633" s="376"/>
    </row>
    <row r="3634" spans="145:151" x14ac:dyDescent="0.2">
      <c r="EO3634" s="375" t="str">
        <f t="shared" si="338"/>
        <v>_</v>
      </c>
      <c r="EP3634" s="376"/>
      <c r="EQ3634" s="376"/>
      <c r="ER3634" s="377"/>
      <c r="ES3634" s="376"/>
      <c r="ET3634" s="376"/>
      <c r="EU3634" s="376"/>
    </row>
    <row r="3635" spans="145:151" x14ac:dyDescent="0.2">
      <c r="EO3635" s="375" t="str">
        <f t="shared" si="338"/>
        <v>_</v>
      </c>
      <c r="EP3635" s="376"/>
      <c r="EQ3635" s="376"/>
      <c r="ER3635" s="377"/>
      <c r="ES3635" s="376"/>
      <c r="ET3635" s="376"/>
      <c r="EU3635" s="376"/>
    </row>
    <row r="3636" spans="145:151" x14ac:dyDescent="0.2">
      <c r="EO3636" s="375" t="str">
        <f t="shared" si="338"/>
        <v>_</v>
      </c>
      <c r="EP3636" s="376"/>
      <c r="EQ3636" s="376"/>
      <c r="ER3636" s="377"/>
      <c r="ES3636" s="376"/>
      <c r="ET3636" s="376"/>
      <c r="EU3636" s="376"/>
    </row>
    <row r="3637" spans="145:151" x14ac:dyDescent="0.2">
      <c r="EO3637" s="375" t="str">
        <f t="shared" si="338"/>
        <v>_</v>
      </c>
      <c r="EP3637" s="376"/>
      <c r="EQ3637" s="376"/>
      <c r="ER3637" s="377"/>
      <c r="ES3637" s="376"/>
      <c r="ET3637" s="376"/>
      <c r="EU3637" s="376"/>
    </row>
    <row r="3638" spans="145:151" x14ac:dyDescent="0.2">
      <c r="EO3638" s="375" t="str">
        <f t="shared" si="338"/>
        <v>_</v>
      </c>
      <c r="EP3638" s="376"/>
      <c r="EQ3638" s="376"/>
      <c r="ER3638" s="377"/>
      <c r="ES3638" s="376"/>
      <c r="ET3638" s="376"/>
      <c r="EU3638" s="376"/>
    </row>
    <row r="3639" spans="145:151" x14ac:dyDescent="0.2">
      <c r="EO3639" s="375" t="str">
        <f t="shared" si="338"/>
        <v>_</v>
      </c>
      <c r="EP3639" s="376"/>
      <c r="EQ3639" s="376"/>
      <c r="ER3639" s="377"/>
      <c r="ES3639" s="376"/>
      <c r="ET3639" s="376"/>
      <c r="EU3639" s="376"/>
    </row>
    <row r="3640" spans="145:151" x14ac:dyDescent="0.2">
      <c r="EO3640" s="375" t="str">
        <f t="shared" si="338"/>
        <v>_</v>
      </c>
      <c r="EP3640" s="376"/>
      <c r="EQ3640" s="376"/>
      <c r="ER3640" s="377"/>
      <c r="ES3640" s="376"/>
      <c r="ET3640" s="376"/>
      <c r="EU3640" s="376"/>
    </row>
    <row r="3641" spans="145:151" x14ac:dyDescent="0.2">
      <c r="EO3641" s="375" t="str">
        <f t="shared" si="338"/>
        <v>_</v>
      </c>
      <c r="EP3641" s="376"/>
      <c r="EQ3641" s="376"/>
      <c r="ER3641" s="377"/>
      <c r="ES3641" s="376"/>
      <c r="ET3641" s="376"/>
      <c r="EU3641" s="376"/>
    </row>
    <row r="3642" spans="145:151" x14ac:dyDescent="0.2">
      <c r="EO3642" s="375" t="str">
        <f t="shared" si="338"/>
        <v>_</v>
      </c>
      <c r="EP3642" s="376"/>
      <c r="EQ3642" s="376"/>
      <c r="ER3642" s="377"/>
      <c r="ES3642" s="376"/>
      <c r="ET3642" s="376"/>
      <c r="EU3642" s="376"/>
    </row>
    <row r="3643" spans="145:151" x14ac:dyDescent="0.2">
      <c r="EO3643" s="375" t="str">
        <f t="shared" si="338"/>
        <v>_</v>
      </c>
      <c r="EP3643" s="376"/>
      <c r="EQ3643" s="376"/>
      <c r="ER3643" s="377"/>
      <c r="ES3643" s="376"/>
      <c r="ET3643" s="376"/>
      <c r="EU3643" s="376"/>
    </row>
    <row r="3644" spans="145:151" x14ac:dyDescent="0.2">
      <c r="EO3644" s="375" t="str">
        <f t="shared" si="338"/>
        <v>_</v>
      </c>
      <c r="EP3644" s="376"/>
      <c r="EQ3644" s="376"/>
      <c r="ER3644" s="377"/>
      <c r="ES3644" s="376"/>
      <c r="ET3644" s="376"/>
      <c r="EU3644" s="376"/>
    </row>
    <row r="3645" spans="145:151" x14ac:dyDescent="0.2">
      <c r="EO3645" s="375" t="str">
        <f t="shared" si="338"/>
        <v>_</v>
      </c>
      <c r="EP3645" s="376"/>
      <c r="EQ3645" s="376"/>
      <c r="ER3645" s="377"/>
      <c r="ES3645" s="376"/>
      <c r="ET3645" s="376"/>
      <c r="EU3645" s="376"/>
    </row>
    <row r="3646" spans="145:151" x14ac:dyDescent="0.2">
      <c r="EO3646" s="375" t="str">
        <f t="shared" si="338"/>
        <v>_</v>
      </c>
      <c r="EP3646" s="376"/>
      <c r="EQ3646" s="376"/>
      <c r="ER3646" s="377"/>
      <c r="ES3646" s="376"/>
      <c r="ET3646" s="376"/>
      <c r="EU3646" s="376"/>
    </row>
    <row r="3647" spans="145:151" x14ac:dyDescent="0.2">
      <c r="EO3647" s="375" t="str">
        <f t="shared" si="338"/>
        <v>_</v>
      </c>
      <c r="EP3647" s="376"/>
      <c r="EQ3647" s="376"/>
      <c r="ER3647" s="377"/>
      <c r="ES3647" s="376"/>
      <c r="ET3647" s="376"/>
      <c r="EU3647" s="376"/>
    </row>
    <row r="3648" spans="145:151" x14ac:dyDescent="0.2">
      <c r="EO3648" s="375" t="str">
        <f t="shared" si="338"/>
        <v>_</v>
      </c>
      <c r="EP3648" s="376"/>
      <c r="EQ3648" s="376"/>
      <c r="ER3648" s="377"/>
      <c r="ES3648" s="376"/>
      <c r="ET3648" s="376"/>
      <c r="EU3648" s="376"/>
    </row>
    <row r="3649" spans="145:151" x14ac:dyDescent="0.2">
      <c r="EO3649" s="375" t="str">
        <f t="shared" si="338"/>
        <v>_</v>
      </c>
      <c r="EP3649" s="376"/>
      <c r="EQ3649" s="376"/>
      <c r="ER3649" s="377"/>
      <c r="ES3649" s="376"/>
      <c r="ET3649" s="376"/>
      <c r="EU3649" s="376"/>
    </row>
    <row r="3650" spans="145:151" x14ac:dyDescent="0.2">
      <c r="EO3650" s="375" t="str">
        <f t="shared" si="338"/>
        <v>_</v>
      </c>
      <c r="EP3650" s="376"/>
      <c r="EQ3650" s="376"/>
      <c r="ER3650" s="377"/>
      <c r="ES3650" s="376"/>
      <c r="ET3650" s="376"/>
      <c r="EU3650" s="376"/>
    </row>
    <row r="3651" spans="145:151" x14ac:dyDescent="0.2">
      <c r="EO3651" s="375" t="str">
        <f t="shared" si="338"/>
        <v>_</v>
      </c>
      <c r="EP3651" s="376"/>
      <c r="EQ3651" s="376"/>
      <c r="ER3651" s="377"/>
      <c r="ES3651" s="376"/>
      <c r="ET3651" s="376"/>
      <c r="EU3651" s="376"/>
    </row>
    <row r="3652" spans="145:151" x14ac:dyDescent="0.2">
      <c r="EO3652" s="375" t="str">
        <f t="shared" si="338"/>
        <v>_</v>
      </c>
      <c r="EP3652" s="376"/>
      <c r="EQ3652" s="376"/>
      <c r="ER3652" s="377"/>
      <c r="ES3652" s="376"/>
      <c r="ET3652" s="376"/>
      <c r="EU3652" s="376"/>
    </row>
    <row r="3653" spans="145:151" x14ac:dyDescent="0.2">
      <c r="EO3653" s="375" t="str">
        <f t="shared" si="338"/>
        <v>_</v>
      </c>
      <c r="EP3653" s="376"/>
      <c r="EQ3653" s="376"/>
      <c r="ER3653" s="377"/>
      <c r="ES3653" s="376"/>
      <c r="ET3653" s="376"/>
      <c r="EU3653" s="376"/>
    </row>
    <row r="3654" spans="145:151" x14ac:dyDescent="0.2">
      <c r="EO3654" s="375" t="str">
        <f t="shared" si="338"/>
        <v>_</v>
      </c>
      <c r="EP3654" s="376"/>
      <c r="EQ3654" s="376"/>
      <c r="ER3654" s="377"/>
      <c r="ES3654" s="376"/>
      <c r="ET3654" s="376"/>
      <c r="EU3654" s="376"/>
    </row>
    <row r="3655" spans="145:151" x14ac:dyDescent="0.2">
      <c r="EO3655" s="375" t="str">
        <f t="shared" si="338"/>
        <v>_</v>
      </c>
      <c r="EP3655" s="376"/>
      <c r="EQ3655" s="376"/>
      <c r="ER3655" s="377"/>
      <c r="ES3655" s="376"/>
      <c r="ET3655" s="376"/>
      <c r="EU3655" s="376"/>
    </row>
    <row r="3656" spans="145:151" x14ac:dyDescent="0.2">
      <c r="EO3656" s="375" t="str">
        <f t="shared" si="338"/>
        <v>_</v>
      </c>
      <c r="EP3656" s="376"/>
      <c r="EQ3656" s="376"/>
      <c r="ER3656" s="377"/>
      <c r="ES3656" s="376"/>
      <c r="ET3656" s="376"/>
      <c r="EU3656" s="376"/>
    </row>
    <row r="3657" spans="145:151" x14ac:dyDescent="0.2">
      <c r="EO3657" s="375" t="str">
        <f t="shared" si="338"/>
        <v>_</v>
      </c>
      <c r="EP3657" s="376"/>
      <c r="EQ3657" s="376"/>
      <c r="ER3657" s="377"/>
      <c r="ES3657" s="376"/>
      <c r="ET3657" s="376"/>
      <c r="EU3657" s="376"/>
    </row>
    <row r="3658" spans="145:151" x14ac:dyDescent="0.2">
      <c r="EO3658" s="375" t="str">
        <f t="shared" si="338"/>
        <v>_</v>
      </c>
      <c r="EP3658" s="376"/>
      <c r="EQ3658" s="376"/>
      <c r="ER3658" s="377"/>
      <c r="ES3658" s="376"/>
      <c r="ET3658" s="376"/>
      <c r="EU3658" s="376"/>
    </row>
    <row r="3659" spans="145:151" x14ac:dyDescent="0.2">
      <c r="EO3659" s="375" t="str">
        <f t="shared" si="338"/>
        <v>_</v>
      </c>
      <c r="EP3659" s="376"/>
      <c r="EQ3659" s="376"/>
      <c r="ER3659" s="377"/>
      <c r="ES3659" s="376"/>
      <c r="ET3659" s="376"/>
      <c r="EU3659" s="376"/>
    </row>
    <row r="3660" spans="145:151" x14ac:dyDescent="0.2">
      <c r="EO3660" s="375" t="str">
        <f t="shared" si="338"/>
        <v>_</v>
      </c>
      <c r="EP3660" s="376"/>
      <c r="EQ3660" s="376"/>
      <c r="ER3660" s="377"/>
      <c r="ES3660" s="376"/>
      <c r="ET3660" s="376"/>
      <c r="EU3660" s="376"/>
    </row>
    <row r="3661" spans="145:151" x14ac:dyDescent="0.2">
      <c r="EO3661" s="375" t="str">
        <f t="shared" si="338"/>
        <v>_</v>
      </c>
      <c r="EP3661" s="376"/>
      <c r="EQ3661" s="376"/>
      <c r="ER3661" s="377"/>
      <c r="ES3661" s="376"/>
      <c r="ET3661" s="376"/>
      <c r="EU3661" s="376"/>
    </row>
    <row r="3662" spans="145:151" x14ac:dyDescent="0.2">
      <c r="EO3662" s="375" t="str">
        <f t="shared" si="338"/>
        <v>_</v>
      </c>
      <c r="EP3662" s="376"/>
      <c r="EQ3662" s="376"/>
      <c r="ER3662" s="377"/>
      <c r="ES3662" s="376"/>
      <c r="ET3662" s="376"/>
      <c r="EU3662" s="376"/>
    </row>
    <row r="3663" spans="145:151" x14ac:dyDescent="0.2">
      <c r="EO3663" s="375" t="str">
        <f t="shared" si="338"/>
        <v>_</v>
      </c>
      <c r="EP3663" s="376"/>
      <c r="EQ3663" s="376"/>
      <c r="ER3663" s="377"/>
      <c r="ES3663" s="376"/>
      <c r="ET3663" s="376"/>
      <c r="EU3663" s="376"/>
    </row>
    <row r="3664" spans="145:151" x14ac:dyDescent="0.2">
      <c r="EO3664" s="375" t="str">
        <f t="shared" si="338"/>
        <v>_</v>
      </c>
      <c r="EP3664" s="376"/>
      <c r="EQ3664" s="376"/>
      <c r="ER3664" s="377"/>
      <c r="ES3664" s="376"/>
      <c r="ET3664" s="376"/>
      <c r="EU3664" s="376"/>
    </row>
    <row r="3665" spans="145:151" x14ac:dyDescent="0.2">
      <c r="EO3665" s="375" t="str">
        <f t="shared" si="338"/>
        <v>_</v>
      </c>
      <c r="EP3665" s="376"/>
      <c r="EQ3665" s="376"/>
      <c r="ER3665" s="377"/>
      <c r="ES3665" s="376"/>
      <c r="ET3665" s="376"/>
      <c r="EU3665" s="376"/>
    </row>
    <row r="3666" spans="145:151" x14ac:dyDescent="0.2">
      <c r="EO3666" s="375" t="str">
        <f t="shared" si="338"/>
        <v>_</v>
      </c>
      <c r="EP3666" s="376"/>
      <c r="EQ3666" s="376"/>
      <c r="ER3666" s="377"/>
      <c r="ES3666" s="376"/>
      <c r="ET3666" s="376"/>
      <c r="EU3666" s="376"/>
    </row>
    <row r="3667" spans="145:151" x14ac:dyDescent="0.2">
      <c r="EO3667" s="375" t="str">
        <f t="shared" si="338"/>
        <v>_</v>
      </c>
      <c r="EP3667" s="376"/>
      <c r="EQ3667" s="376"/>
      <c r="ER3667" s="377"/>
      <c r="ES3667" s="376"/>
      <c r="ET3667" s="376"/>
      <c r="EU3667" s="376"/>
    </row>
    <row r="3668" spans="145:151" x14ac:dyDescent="0.2">
      <c r="EO3668" s="375" t="str">
        <f t="shared" si="338"/>
        <v>_</v>
      </c>
      <c r="EP3668" s="376"/>
      <c r="EQ3668" s="376"/>
      <c r="ER3668" s="377"/>
      <c r="ES3668" s="376"/>
      <c r="ET3668" s="376"/>
      <c r="EU3668" s="376"/>
    </row>
    <row r="3669" spans="145:151" x14ac:dyDescent="0.2">
      <c r="EO3669" s="375" t="str">
        <f t="shared" si="338"/>
        <v>_</v>
      </c>
      <c r="EP3669" s="376"/>
      <c r="EQ3669" s="376"/>
      <c r="ER3669" s="377"/>
      <c r="ES3669" s="376"/>
      <c r="ET3669" s="376"/>
      <c r="EU3669" s="376"/>
    </row>
    <row r="3670" spans="145:151" x14ac:dyDescent="0.2">
      <c r="EO3670" s="375" t="str">
        <f t="shared" si="338"/>
        <v>_</v>
      </c>
      <c r="EP3670" s="376"/>
      <c r="EQ3670" s="376"/>
      <c r="ER3670" s="377"/>
      <c r="ES3670" s="376"/>
      <c r="ET3670" s="376"/>
      <c r="EU3670" s="376"/>
    </row>
    <row r="3671" spans="145:151" x14ac:dyDescent="0.2">
      <c r="EO3671" s="375" t="str">
        <f t="shared" si="338"/>
        <v>_</v>
      </c>
      <c r="EP3671" s="376"/>
      <c r="EQ3671" s="376"/>
      <c r="ER3671" s="377"/>
      <c r="ES3671" s="376"/>
      <c r="ET3671" s="376"/>
      <c r="EU3671" s="376"/>
    </row>
    <row r="3672" spans="145:151" x14ac:dyDescent="0.2">
      <c r="EO3672" s="375" t="str">
        <f t="shared" si="338"/>
        <v>_</v>
      </c>
      <c r="EP3672" s="376"/>
      <c r="EQ3672" s="376"/>
      <c r="ER3672" s="377"/>
      <c r="ES3672" s="376"/>
      <c r="ET3672" s="376"/>
      <c r="EU3672" s="376"/>
    </row>
    <row r="3673" spans="145:151" x14ac:dyDescent="0.2">
      <c r="EO3673" s="375" t="str">
        <f t="shared" si="338"/>
        <v>_</v>
      </c>
      <c r="EP3673" s="376"/>
      <c r="EQ3673" s="376"/>
      <c r="ER3673" s="377"/>
      <c r="ES3673" s="376"/>
      <c r="ET3673" s="376"/>
      <c r="EU3673" s="376"/>
    </row>
    <row r="3674" spans="145:151" x14ac:dyDescent="0.2">
      <c r="EO3674" s="375" t="str">
        <f t="shared" si="338"/>
        <v>_</v>
      </c>
      <c r="EP3674" s="376"/>
      <c r="EQ3674" s="376"/>
      <c r="ER3674" s="377"/>
      <c r="ES3674" s="376"/>
      <c r="ET3674" s="376"/>
      <c r="EU3674" s="376"/>
    </row>
    <row r="3675" spans="145:151" x14ac:dyDescent="0.2">
      <c r="EO3675" s="375" t="str">
        <f t="shared" si="338"/>
        <v>_</v>
      </c>
      <c r="EP3675" s="376"/>
      <c r="EQ3675" s="376"/>
      <c r="ER3675" s="377"/>
      <c r="ES3675" s="376"/>
      <c r="ET3675" s="376"/>
      <c r="EU3675" s="376"/>
    </row>
    <row r="3676" spans="145:151" x14ac:dyDescent="0.2">
      <c r="EO3676" s="375" t="str">
        <f t="shared" si="338"/>
        <v>_</v>
      </c>
      <c r="EP3676" s="376"/>
      <c r="EQ3676" s="376"/>
      <c r="ER3676" s="377"/>
      <c r="ES3676" s="376"/>
      <c r="ET3676" s="376"/>
      <c r="EU3676" s="376"/>
    </row>
    <row r="3677" spans="145:151" x14ac:dyDescent="0.2">
      <c r="EO3677" s="375" t="str">
        <f t="shared" ref="EO3677:EO3740" si="339">B3677&amp;"_"&amp;C3677</f>
        <v>_</v>
      </c>
      <c r="EP3677" s="376"/>
      <c r="EQ3677" s="376"/>
      <c r="ER3677" s="377"/>
      <c r="ES3677" s="376"/>
      <c r="ET3677" s="376"/>
      <c r="EU3677" s="376"/>
    </row>
    <row r="3678" spans="145:151" x14ac:dyDescent="0.2">
      <c r="EO3678" s="375" t="str">
        <f t="shared" si="339"/>
        <v>_</v>
      </c>
      <c r="EP3678" s="376"/>
      <c r="EQ3678" s="376"/>
      <c r="ER3678" s="377"/>
      <c r="ES3678" s="376"/>
      <c r="ET3678" s="376"/>
      <c r="EU3678" s="376"/>
    </row>
    <row r="3679" spans="145:151" x14ac:dyDescent="0.2">
      <c r="EO3679" s="375" t="str">
        <f t="shared" si="339"/>
        <v>_</v>
      </c>
      <c r="EP3679" s="376"/>
      <c r="EQ3679" s="376"/>
      <c r="ER3679" s="377"/>
      <c r="ES3679" s="376"/>
      <c r="ET3679" s="376"/>
      <c r="EU3679" s="376"/>
    </row>
    <row r="3680" spans="145:151" x14ac:dyDescent="0.2">
      <c r="EO3680" s="375" t="str">
        <f t="shared" si="339"/>
        <v>_</v>
      </c>
      <c r="EP3680" s="376"/>
      <c r="EQ3680" s="376"/>
      <c r="ER3680" s="377"/>
      <c r="ES3680" s="376"/>
      <c r="ET3680" s="376"/>
      <c r="EU3680" s="376"/>
    </row>
    <row r="3681" spans="145:151" x14ac:dyDescent="0.2">
      <c r="EO3681" s="375" t="str">
        <f t="shared" si="339"/>
        <v>_</v>
      </c>
      <c r="EP3681" s="376"/>
      <c r="EQ3681" s="376"/>
      <c r="ER3681" s="377"/>
      <c r="ES3681" s="376"/>
      <c r="ET3681" s="376"/>
      <c r="EU3681" s="376"/>
    </row>
    <row r="3682" spans="145:151" x14ac:dyDescent="0.2">
      <c r="EO3682" s="375" t="str">
        <f t="shared" si="339"/>
        <v>_</v>
      </c>
      <c r="EP3682" s="376"/>
      <c r="EQ3682" s="376"/>
      <c r="ER3682" s="377"/>
      <c r="ES3682" s="376"/>
      <c r="ET3682" s="376"/>
      <c r="EU3682" s="376"/>
    </row>
    <row r="3683" spans="145:151" x14ac:dyDescent="0.2">
      <c r="EO3683" s="375" t="str">
        <f t="shared" si="339"/>
        <v>_</v>
      </c>
      <c r="EP3683" s="376"/>
      <c r="EQ3683" s="376"/>
      <c r="ER3683" s="377"/>
      <c r="ES3683" s="376"/>
      <c r="ET3683" s="376"/>
      <c r="EU3683" s="376"/>
    </row>
    <row r="3684" spans="145:151" x14ac:dyDescent="0.2">
      <c r="EO3684" s="375" t="str">
        <f t="shared" si="339"/>
        <v>_</v>
      </c>
      <c r="EP3684" s="376"/>
      <c r="EQ3684" s="376"/>
      <c r="ER3684" s="377"/>
      <c r="ES3684" s="376"/>
      <c r="ET3684" s="376"/>
      <c r="EU3684" s="376"/>
    </row>
    <row r="3685" spans="145:151" x14ac:dyDescent="0.2">
      <c r="EO3685" s="375" t="str">
        <f t="shared" si="339"/>
        <v>_</v>
      </c>
      <c r="EP3685" s="376"/>
      <c r="EQ3685" s="376"/>
      <c r="ER3685" s="377"/>
      <c r="ES3685" s="376"/>
      <c r="ET3685" s="376"/>
      <c r="EU3685" s="376"/>
    </row>
    <row r="3686" spans="145:151" x14ac:dyDescent="0.2">
      <c r="EO3686" s="375" t="str">
        <f t="shared" si="339"/>
        <v>_</v>
      </c>
      <c r="EP3686" s="376"/>
      <c r="EQ3686" s="376"/>
      <c r="ER3686" s="377"/>
      <c r="ES3686" s="376"/>
      <c r="ET3686" s="376"/>
      <c r="EU3686" s="376"/>
    </row>
    <row r="3687" spans="145:151" x14ac:dyDescent="0.2">
      <c r="EO3687" s="375" t="str">
        <f t="shared" si="339"/>
        <v>_</v>
      </c>
      <c r="EP3687" s="376"/>
      <c r="EQ3687" s="376"/>
      <c r="ER3687" s="377"/>
      <c r="ES3687" s="376"/>
      <c r="ET3687" s="376"/>
      <c r="EU3687" s="376"/>
    </row>
    <row r="3688" spans="145:151" x14ac:dyDescent="0.2">
      <c r="EO3688" s="375" t="str">
        <f t="shared" si="339"/>
        <v>_</v>
      </c>
      <c r="EP3688" s="376"/>
      <c r="EQ3688" s="376"/>
      <c r="ER3688" s="377"/>
      <c r="ES3688" s="376"/>
      <c r="ET3688" s="376"/>
      <c r="EU3688" s="376"/>
    </row>
    <row r="3689" spans="145:151" x14ac:dyDescent="0.2">
      <c r="EO3689" s="375" t="str">
        <f t="shared" si="339"/>
        <v>_</v>
      </c>
      <c r="EP3689" s="376"/>
      <c r="EQ3689" s="376"/>
      <c r="ER3689" s="377"/>
      <c r="ES3689" s="376"/>
      <c r="ET3689" s="376"/>
      <c r="EU3689" s="376"/>
    </row>
    <row r="3690" spans="145:151" x14ac:dyDescent="0.2">
      <c r="EO3690" s="375" t="str">
        <f t="shared" si="339"/>
        <v>_</v>
      </c>
      <c r="EP3690" s="376"/>
      <c r="EQ3690" s="376"/>
      <c r="ER3690" s="377"/>
      <c r="ES3690" s="376"/>
      <c r="ET3690" s="376"/>
      <c r="EU3690" s="376"/>
    </row>
    <row r="3691" spans="145:151" x14ac:dyDescent="0.2">
      <c r="EO3691" s="375" t="str">
        <f t="shared" si="339"/>
        <v>_</v>
      </c>
      <c r="EP3691" s="376"/>
      <c r="EQ3691" s="376"/>
      <c r="ER3691" s="377"/>
      <c r="ES3691" s="376"/>
      <c r="ET3691" s="376"/>
      <c r="EU3691" s="376"/>
    </row>
    <row r="3692" spans="145:151" x14ac:dyDescent="0.2">
      <c r="EO3692" s="375" t="str">
        <f t="shared" si="339"/>
        <v>_</v>
      </c>
      <c r="EP3692" s="376"/>
      <c r="EQ3692" s="376"/>
      <c r="ER3692" s="377"/>
      <c r="ES3692" s="376"/>
      <c r="ET3692" s="376"/>
      <c r="EU3692" s="376"/>
    </row>
    <row r="3693" spans="145:151" x14ac:dyDescent="0.2">
      <c r="EO3693" s="375" t="str">
        <f t="shared" si="339"/>
        <v>_</v>
      </c>
      <c r="EP3693" s="376"/>
      <c r="EQ3693" s="376"/>
      <c r="ER3693" s="377"/>
      <c r="ES3693" s="376"/>
      <c r="ET3693" s="376"/>
      <c r="EU3693" s="376"/>
    </row>
    <row r="3694" spans="145:151" x14ac:dyDescent="0.2">
      <c r="EO3694" s="375" t="str">
        <f t="shared" si="339"/>
        <v>_</v>
      </c>
      <c r="EP3694" s="376"/>
      <c r="EQ3694" s="376"/>
      <c r="ER3694" s="377"/>
      <c r="ES3694" s="376"/>
      <c r="ET3694" s="376"/>
      <c r="EU3694" s="376"/>
    </row>
    <row r="3695" spans="145:151" x14ac:dyDescent="0.2">
      <c r="EO3695" s="375" t="str">
        <f t="shared" si="339"/>
        <v>_</v>
      </c>
      <c r="EP3695" s="376"/>
      <c r="EQ3695" s="376"/>
      <c r="ER3695" s="377"/>
      <c r="ES3695" s="376"/>
      <c r="ET3695" s="376"/>
      <c r="EU3695" s="376"/>
    </row>
    <row r="3696" spans="145:151" x14ac:dyDescent="0.2">
      <c r="EO3696" s="375" t="str">
        <f t="shared" si="339"/>
        <v>_</v>
      </c>
      <c r="EP3696" s="376"/>
      <c r="EQ3696" s="376"/>
      <c r="ER3696" s="377"/>
      <c r="ES3696" s="376"/>
      <c r="ET3696" s="376"/>
      <c r="EU3696" s="376"/>
    </row>
    <row r="3697" spans="145:151" x14ac:dyDescent="0.2">
      <c r="EO3697" s="375" t="str">
        <f t="shared" si="339"/>
        <v>_</v>
      </c>
      <c r="EP3697" s="376"/>
      <c r="EQ3697" s="376"/>
      <c r="ER3697" s="377"/>
      <c r="ES3697" s="376"/>
      <c r="ET3697" s="376"/>
      <c r="EU3697" s="376"/>
    </row>
    <row r="3698" spans="145:151" x14ac:dyDescent="0.2">
      <c r="EO3698" s="375" t="str">
        <f t="shared" si="339"/>
        <v>_</v>
      </c>
      <c r="EP3698" s="376"/>
      <c r="EQ3698" s="376"/>
      <c r="ER3698" s="377"/>
      <c r="ES3698" s="376"/>
      <c r="ET3698" s="376"/>
      <c r="EU3698" s="376"/>
    </row>
    <row r="3699" spans="145:151" x14ac:dyDescent="0.2">
      <c r="EO3699" s="375" t="str">
        <f t="shared" si="339"/>
        <v>_</v>
      </c>
      <c r="EP3699" s="376"/>
      <c r="EQ3699" s="376"/>
      <c r="ER3699" s="377"/>
      <c r="ES3699" s="376"/>
      <c r="ET3699" s="376"/>
      <c r="EU3699" s="376"/>
    </row>
    <row r="3700" spans="145:151" x14ac:dyDescent="0.2">
      <c r="EO3700" s="375" t="str">
        <f t="shared" si="339"/>
        <v>_</v>
      </c>
      <c r="EP3700" s="376"/>
      <c r="EQ3700" s="376"/>
      <c r="ER3700" s="377"/>
      <c r="ES3700" s="376"/>
      <c r="ET3700" s="376"/>
      <c r="EU3700" s="376"/>
    </row>
    <row r="3701" spans="145:151" x14ac:dyDescent="0.2">
      <c r="EO3701" s="375" t="str">
        <f t="shared" si="339"/>
        <v>_</v>
      </c>
      <c r="EP3701" s="376"/>
      <c r="EQ3701" s="376"/>
      <c r="ER3701" s="377"/>
      <c r="ES3701" s="376"/>
      <c r="ET3701" s="376"/>
      <c r="EU3701" s="376"/>
    </row>
    <row r="3702" spans="145:151" x14ac:dyDescent="0.2">
      <c r="EO3702" s="375" t="str">
        <f t="shared" si="339"/>
        <v>_</v>
      </c>
      <c r="EP3702" s="376"/>
      <c r="EQ3702" s="376"/>
      <c r="ER3702" s="377"/>
      <c r="ES3702" s="376"/>
      <c r="ET3702" s="376"/>
      <c r="EU3702" s="376"/>
    </row>
    <row r="3703" spans="145:151" x14ac:dyDescent="0.2">
      <c r="EO3703" s="375" t="str">
        <f t="shared" si="339"/>
        <v>_</v>
      </c>
      <c r="EP3703" s="376"/>
      <c r="EQ3703" s="376"/>
      <c r="ER3703" s="377"/>
      <c r="ES3703" s="376"/>
      <c r="ET3703" s="376"/>
      <c r="EU3703" s="376"/>
    </row>
    <row r="3704" spans="145:151" x14ac:dyDescent="0.2">
      <c r="EO3704" s="375" t="str">
        <f t="shared" si="339"/>
        <v>_</v>
      </c>
      <c r="EP3704" s="376"/>
      <c r="EQ3704" s="376"/>
      <c r="ER3704" s="377"/>
      <c r="ES3704" s="376"/>
      <c r="ET3704" s="376"/>
      <c r="EU3704" s="376"/>
    </row>
    <row r="3705" spans="145:151" x14ac:dyDescent="0.2">
      <c r="EO3705" s="375" t="str">
        <f t="shared" si="339"/>
        <v>_</v>
      </c>
      <c r="EP3705" s="376"/>
      <c r="EQ3705" s="376"/>
      <c r="ER3705" s="377"/>
      <c r="ES3705" s="376"/>
      <c r="ET3705" s="376"/>
      <c r="EU3705" s="376"/>
    </row>
    <row r="3706" spans="145:151" x14ac:dyDescent="0.2">
      <c r="EO3706" s="375" t="str">
        <f t="shared" si="339"/>
        <v>_</v>
      </c>
      <c r="EP3706" s="376"/>
      <c r="EQ3706" s="376"/>
      <c r="ER3706" s="377"/>
      <c r="ES3706" s="376"/>
      <c r="ET3706" s="376"/>
      <c r="EU3706" s="376"/>
    </row>
    <row r="3707" spans="145:151" x14ac:dyDescent="0.2">
      <c r="EO3707" s="375" t="str">
        <f t="shared" si="339"/>
        <v>_</v>
      </c>
      <c r="EP3707" s="376"/>
      <c r="EQ3707" s="376"/>
      <c r="ER3707" s="377"/>
      <c r="ES3707" s="376"/>
      <c r="ET3707" s="376"/>
      <c r="EU3707" s="376"/>
    </row>
    <row r="3708" spans="145:151" x14ac:dyDescent="0.2">
      <c r="EO3708" s="375" t="str">
        <f t="shared" si="339"/>
        <v>_</v>
      </c>
      <c r="EP3708" s="376"/>
      <c r="EQ3708" s="376"/>
      <c r="ER3708" s="377"/>
      <c r="ES3708" s="376"/>
      <c r="ET3708" s="376"/>
      <c r="EU3708" s="376"/>
    </row>
    <row r="3709" spans="145:151" x14ac:dyDescent="0.2">
      <c r="EO3709" s="375" t="str">
        <f t="shared" si="339"/>
        <v>_</v>
      </c>
      <c r="EP3709" s="376"/>
      <c r="EQ3709" s="376"/>
      <c r="ER3709" s="377"/>
      <c r="ES3709" s="376"/>
      <c r="ET3709" s="376"/>
      <c r="EU3709" s="376"/>
    </row>
    <row r="3710" spans="145:151" x14ac:dyDescent="0.2">
      <c r="EO3710" s="375" t="str">
        <f t="shared" si="339"/>
        <v>_</v>
      </c>
      <c r="EP3710" s="376"/>
      <c r="EQ3710" s="376"/>
      <c r="ER3710" s="377"/>
      <c r="ES3710" s="376"/>
      <c r="ET3710" s="376"/>
      <c r="EU3710" s="376"/>
    </row>
    <row r="3711" spans="145:151" x14ac:dyDescent="0.2">
      <c r="EO3711" s="375" t="str">
        <f t="shared" si="339"/>
        <v>_</v>
      </c>
      <c r="EP3711" s="376"/>
      <c r="EQ3711" s="376"/>
      <c r="ER3711" s="377"/>
      <c r="ES3711" s="376"/>
      <c r="ET3711" s="376"/>
      <c r="EU3711" s="376"/>
    </row>
    <row r="3712" spans="145:151" x14ac:dyDescent="0.2">
      <c r="EO3712" s="375" t="str">
        <f t="shared" si="339"/>
        <v>_</v>
      </c>
      <c r="EP3712" s="376"/>
      <c r="EQ3712" s="376"/>
      <c r="ER3712" s="377"/>
      <c r="ES3712" s="376"/>
      <c r="ET3712" s="376"/>
      <c r="EU3712" s="376"/>
    </row>
    <row r="3713" spans="145:151" x14ac:dyDescent="0.2">
      <c r="EO3713" s="375" t="str">
        <f t="shared" si="339"/>
        <v>_</v>
      </c>
      <c r="EP3713" s="376"/>
      <c r="EQ3713" s="376"/>
      <c r="ER3713" s="377"/>
      <c r="ES3713" s="376"/>
      <c r="ET3713" s="376"/>
      <c r="EU3713" s="376"/>
    </row>
    <row r="3714" spans="145:151" x14ac:dyDescent="0.2">
      <c r="EO3714" s="375" t="str">
        <f t="shared" si="339"/>
        <v>_</v>
      </c>
      <c r="EP3714" s="376"/>
      <c r="EQ3714" s="376"/>
      <c r="ER3714" s="377"/>
      <c r="ES3714" s="376"/>
      <c r="ET3714" s="376"/>
      <c r="EU3714" s="376"/>
    </row>
    <row r="3715" spans="145:151" x14ac:dyDescent="0.2">
      <c r="EO3715" s="375" t="str">
        <f t="shared" si="339"/>
        <v>_</v>
      </c>
      <c r="EP3715" s="376"/>
      <c r="EQ3715" s="376"/>
      <c r="ER3715" s="377"/>
      <c r="ES3715" s="376"/>
      <c r="ET3715" s="376"/>
      <c r="EU3715" s="376"/>
    </row>
    <row r="3716" spans="145:151" x14ac:dyDescent="0.2">
      <c r="EO3716" s="375" t="str">
        <f t="shared" si="339"/>
        <v>_</v>
      </c>
      <c r="EP3716" s="376"/>
      <c r="EQ3716" s="376"/>
      <c r="ER3716" s="377"/>
      <c r="ES3716" s="376"/>
      <c r="ET3716" s="376"/>
      <c r="EU3716" s="376"/>
    </row>
    <row r="3717" spans="145:151" x14ac:dyDescent="0.2">
      <c r="EO3717" s="375" t="str">
        <f t="shared" si="339"/>
        <v>_</v>
      </c>
      <c r="EP3717" s="376"/>
      <c r="EQ3717" s="376"/>
      <c r="ER3717" s="377"/>
      <c r="ES3717" s="376"/>
      <c r="ET3717" s="376"/>
      <c r="EU3717" s="376"/>
    </row>
    <row r="3718" spans="145:151" x14ac:dyDescent="0.2">
      <c r="EO3718" s="375" t="str">
        <f t="shared" si="339"/>
        <v>_</v>
      </c>
      <c r="EP3718" s="376"/>
      <c r="EQ3718" s="376"/>
      <c r="ER3718" s="377"/>
      <c r="ES3718" s="376"/>
      <c r="ET3718" s="376"/>
      <c r="EU3718" s="376"/>
    </row>
    <row r="3719" spans="145:151" x14ac:dyDescent="0.2">
      <c r="EO3719" s="375" t="str">
        <f t="shared" si="339"/>
        <v>_</v>
      </c>
      <c r="EP3719" s="376"/>
      <c r="EQ3719" s="376"/>
      <c r="ER3719" s="377"/>
      <c r="ES3719" s="376"/>
      <c r="ET3719" s="376"/>
      <c r="EU3719" s="376"/>
    </row>
    <row r="3720" spans="145:151" x14ac:dyDescent="0.2">
      <c r="EO3720" s="375" t="str">
        <f t="shared" si="339"/>
        <v>_</v>
      </c>
      <c r="EP3720" s="376"/>
      <c r="EQ3720" s="376"/>
      <c r="ER3720" s="377"/>
      <c r="ES3720" s="376"/>
      <c r="ET3720" s="376"/>
      <c r="EU3720" s="376"/>
    </row>
    <row r="3721" spans="145:151" x14ac:dyDescent="0.2">
      <c r="EO3721" s="375" t="str">
        <f t="shared" si="339"/>
        <v>_</v>
      </c>
      <c r="EP3721" s="376"/>
      <c r="EQ3721" s="376"/>
      <c r="ER3721" s="377"/>
      <c r="ES3721" s="376"/>
      <c r="ET3721" s="376"/>
      <c r="EU3721" s="376"/>
    </row>
    <row r="3722" spans="145:151" x14ac:dyDescent="0.2">
      <c r="EO3722" s="375" t="str">
        <f t="shared" si="339"/>
        <v>_</v>
      </c>
      <c r="EP3722" s="376"/>
      <c r="EQ3722" s="376"/>
      <c r="ER3722" s="377"/>
      <c r="ES3722" s="376"/>
      <c r="ET3722" s="376"/>
      <c r="EU3722" s="376"/>
    </row>
    <row r="3723" spans="145:151" x14ac:dyDescent="0.2">
      <c r="EO3723" s="375" t="str">
        <f t="shared" si="339"/>
        <v>_</v>
      </c>
      <c r="EP3723" s="376"/>
      <c r="EQ3723" s="376"/>
      <c r="ER3723" s="377"/>
      <c r="ES3723" s="376"/>
      <c r="ET3723" s="376"/>
      <c r="EU3723" s="376"/>
    </row>
    <row r="3724" spans="145:151" x14ac:dyDescent="0.2">
      <c r="EO3724" s="375" t="str">
        <f t="shared" si="339"/>
        <v>_</v>
      </c>
      <c r="EP3724" s="376"/>
      <c r="EQ3724" s="376"/>
      <c r="ER3724" s="377"/>
      <c r="ES3724" s="376"/>
      <c r="ET3724" s="376"/>
      <c r="EU3724" s="376"/>
    </row>
    <row r="3725" spans="145:151" x14ac:dyDescent="0.2">
      <c r="EO3725" s="375" t="str">
        <f t="shared" si="339"/>
        <v>_</v>
      </c>
      <c r="EP3725" s="376"/>
      <c r="EQ3725" s="376"/>
      <c r="ER3725" s="377"/>
      <c r="ES3725" s="376"/>
      <c r="ET3725" s="376"/>
      <c r="EU3725" s="376"/>
    </row>
    <row r="3726" spans="145:151" x14ac:dyDescent="0.2">
      <c r="EO3726" s="375" t="str">
        <f t="shared" si="339"/>
        <v>_</v>
      </c>
      <c r="EP3726" s="376"/>
      <c r="EQ3726" s="376"/>
      <c r="ER3726" s="377"/>
      <c r="ES3726" s="376"/>
      <c r="ET3726" s="376"/>
      <c r="EU3726" s="376"/>
    </row>
    <row r="3727" spans="145:151" x14ac:dyDescent="0.2">
      <c r="EO3727" s="375" t="str">
        <f t="shared" si="339"/>
        <v>_</v>
      </c>
      <c r="EP3727" s="376"/>
      <c r="EQ3727" s="376"/>
      <c r="ER3727" s="377"/>
      <c r="ES3727" s="376"/>
      <c r="ET3727" s="376"/>
      <c r="EU3727" s="376"/>
    </row>
    <row r="3728" spans="145:151" x14ac:dyDescent="0.2">
      <c r="EO3728" s="375" t="str">
        <f t="shared" si="339"/>
        <v>_</v>
      </c>
      <c r="EP3728" s="376"/>
      <c r="EQ3728" s="376"/>
      <c r="ER3728" s="377"/>
      <c r="ES3728" s="376"/>
      <c r="ET3728" s="376"/>
      <c r="EU3728" s="376"/>
    </row>
    <row r="3729" spans="145:151" x14ac:dyDescent="0.2">
      <c r="EO3729" s="375" t="str">
        <f t="shared" si="339"/>
        <v>_</v>
      </c>
      <c r="EP3729" s="376"/>
      <c r="EQ3729" s="376"/>
      <c r="ER3729" s="377"/>
      <c r="ES3729" s="376"/>
      <c r="ET3729" s="376"/>
      <c r="EU3729" s="376"/>
    </row>
    <row r="3730" spans="145:151" x14ac:dyDescent="0.2">
      <c r="EO3730" s="375" t="str">
        <f t="shared" si="339"/>
        <v>_</v>
      </c>
      <c r="EP3730" s="376"/>
      <c r="EQ3730" s="376"/>
      <c r="ER3730" s="377"/>
      <c r="ES3730" s="376"/>
      <c r="ET3730" s="376"/>
      <c r="EU3730" s="376"/>
    </row>
    <row r="3731" spans="145:151" x14ac:dyDescent="0.2">
      <c r="EO3731" s="375" t="str">
        <f t="shared" si="339"/>
        <v>_</v>
      </c>
      <c r="EP3731" s="376"/>
      <c r="EQ3731" s="376"/>
      <c r="ER3731" s="377"/>
      <c r="ES3731" s="376"/>
      <c r="ET3731" s="376"/>
      <c r="EU3731" s="376"/>
    </row>
    <row r="3732" spans="145:151" x14ac:dyDescent="0.2">
      <c r="EO3732" s="375" t="str">
        <f t="shared" si="339"/>
        <v>_</v>
      </c>
      <c r="EP3732" s="376"/>
      <c r="EQ3732" s="376"/>
      <c r="ER3732" s="377"/>
      <c r="ES3732" s="376"/>
      <c r="ET3732" s="376"/>
      <c r="EU3732" s="376"/>
    </row>
    <row r="3733" spans="145:151" x14ac:dyDescent="0.2">
      <c r="EO3733" s="375" t="str">
        <f t="shared" si="339"/>
        <v>_</v>
      </c>
      <c r="EP3733" s="376"/>
      <c r="EQ3733" s="376"/>
      <c r="ER3733" s="377"/>
      <c r="ES3733" s="376"/>
      <c r="ET3733" s="376"/>
      <c r="EU3733" s="376"/>
    </row>
    <row r="3734" spans="145:151" x14ac:dyDescent="0.2">
      <c r="EO3734" s="375" t="str">
        <f t="shared" si="339"/>
        <v>_</v>
      </c>
      <c r="EP3734" s="376"/>
      <c r="EQ3734" s="376"/>
      <c r="ER3734" s="377"/>
      <c r="ES3734" s="376"/>
      <c r="ET3734" s="376"/>
      <c r="EU3734" s="376"/>
    </row>
    <row r="3735" spans="145:151" x14ac:dyDescent="0.2">
      <c r="EO3735" s="375" t="str">
        <f t="shared" si="339"/>
        <v>_</v>
      </c>
      <c r="EP3735" s="376"/>
      <c r="EQ3735" s="376"/>
      <c r="ER3735" s="377"/>
      <c r="ES3735" s="376"/>
      <c r="ET3735" s="376"/>
      <c r="EU3735" s="376"/>
    </row>
    <row r="3736" spans="145:151" x14ac:dyDescent="0.2">
      <c r="EO3736" s="375" t="str">
        <f t="shared" si="339"/>
        <v>_</v>
      </c>
      <c r="EP3736" s="376"/>
      <c r="EQ3736" s="376"/>
      <c r="ER3736" s="377"/>
      <c r="ES3736" s="376"/>
      <c r="ET3736" s="376"/>
      <c r="EU3736" s="376"/>
    </row>
    <row r="3737" spans="145:151" x14ac:dyDescent="0.2">
      <c r="EO3737" s="375" t="str">
        <f t="shared" si="339"/>
        <v>_</v>
      </c>
      <c r="EP3737" s="376"/>
      <c r="EQ3737" s="376"/>
      <c r="ER3737" s="377"/>
      <c r="ES3737" s="376"/>
      <c r="ET3737" s="376"/>
      <c r="EU3737" s="376"/>
    </row>
    <row r="3738" spans="145:151" x14ac:dyDescent="0.2">
      <c r="EO3738" s="375" t="str">
        <f t="shared" si="339"/>
        <v>_</v>
      </c>
      <c r="EP3738" s="376"/>
      <c r="EQ3738" s="376"/>
      <c r="ER3738" s="377"/>
      <c r="ES3738" s="376"/>
      <c r="ET3738" s="376"/>
      <c r="EU3738" s="376"/>
    </row>
    <row r="3739" spans="145:151" x14ac:dyDescent="0.2">
      <c r="EO3739" s="375" t="str">
        <f t="shared" si="339"/>
        <v>_</v>
      </c>
      <c r="EP3739" s="376"/>
      <c r="EQ3739" s="376"/>
      <c r="ER3739" s="377"/>
      <c r="ES3739" s="376"/>
      <c r="ET3739" s="376"/>
      <c r="EU3739" s="376"/>
    </row>
    <row r="3740" spans="145:151" x14ac:dyDescent="0.2">
      <c r="EO3740" s="375" t="str">
        <f t="shared" si="339"/>
        <v>_</v>
      </c>
      <c r="EP3740" s="376"/>
      <c r="EQ3740" s="376"/>
      <c r="ER3740" s="377"/>
      <c r="ES3740" s="376"/>
      <c r="ET3740" s="376"/>
      <c r="EU3740" s="376"/>
    </row>
    <row r="3741" spans="145:151" x14ac:dyDescent="0.2">
      <c r="EO3741" s="375" t="str">
        <f t="shared" ref="EO3741:EO3804" si="340">B3741&amp;"_"&amp;C3741</f>
        <v>_</v>
      </c>
      <c r="EP3741" s="376"/>
      <c r="EQ3741" s="376"/>
      <c r="ER3741" s="377"/>
      <c r="ES3741" s="376"/>
      <c r="ET3741" s="376"/>
      <c r="EU3741" s="376"/>
    </row>
    <row r="3742" spans="145:151" x14ac:dyDescent="0.2">
      <c r="EO3742" s="375" t="str">
        <f t="shared" si="340"/>
        <v>_</v>
      </c>
      <c r="EP3742" s="376"/>
      <c r="EQ3742" s="376"/>
      <c r="ER3742" s="377"/>
      <c r="ES3742" s="376"/>
      <c r="ET3742" s="376"/>
      <c r="EU3742" s="376"/>
    </row>
    <row r="3743" spans="145:151" x14ac:dyDescent="0.2">
      <c r="EO3743" s="375" t="str">
        <f t="shared" si="340"/>
        <v>_</v>
      </c>
      <c r="EP3743" s="376"/>
      <c r="EQ3743" s="376"/>
      <c r="ER3743" s="377"/>
      <c r="ES3743" s="376"/>
      <c r="ET3743" s="376"/>
      <c r="EU3743" s="376"/>
    </row>
    <row r="3744" spans="145:151" x14ac:dyDescent="0.2">
      <c r="EO3744" s="375" t="str">
        <f t="shared" si="340"/>
        <v>_</v>
      </c>
      <c r="EP3744" s="376"/>
      <c r="EQ3744" s="376"/>
      <c r="ER3744" s="377"/>
      <c r="ES3744" s="376"/>
      <c r="ET3744" s="376"/>
      <c r="EU3744" s="376"/>
    </row>
    <row r="3745" spans="145:151" x14ac:dyDescent="0.2">
      <c r="EO3745" s="375" t="str">
        <f t="shared" si="340"/>
        <v>_</v>
      </c>
      <c r="EP3745" s="376"/>
      <c r="EQ3745" s="376"/>
      <c r="ER3745" s="377"/>
      <c r="ES3745" s="376"/>
      <c r="ET3745" s="376"/>
      <c r="EU3745" s="376"/>
    </row>
    <row r="3746" spans="145:151" x14ac:dyDescent="0.2">
      <c r="EO3746" s="375" t="str">
        <f t="shared" si="340"/>
        <v>_</v>
      </c>
      <c r="EP3746" s="376"/>
      <c r="EQ3746" s="376"/>
      <c r="ER3746" s="377"/>
      <c r="ES3746" s="376"/>
      <c r="ET3746" s="376"/>
      <c r="EU3746" s="376"/>
    </row>
    <row r="3747" spans="145:151" x14ac:dyDescent="0.2">
      <c r="EO3747" s="375" t="str">
        <f t="shared" si="340"/>
        <v>_</v>
      </c>
      <c r="EP3747" s="376"/>
      <c r="EQ3747" s="376"/>
      <c r="ER3747" s="377"/>
      <c r="ES3747" s="376"/>
      <c r="ET3747" s="376"/>
      <c r="EU3747" s="376"/>
    </row>
    <row r="3748" spans="145:151" x14ac:dyDescent="0.2">
      <c r="EO3748" s="375" t="str">
        <f t="shared" si="340"/>
        <v>_</v>
      </c>
      <c r="EP3748" s="376"/>
      <c r="EQ3748" s="376"/>
      <c r="ER3748" s="377"/>
      <c r="ES3748" s="376"/>
      <c r="ET3748" s="376"/>
      <c r="EU3748" s="376"/>
    </row>
    <row r="3749" spans="145:151" x14ac:dyDescent="0.2">
      <c r="EO3749" s="375" t="str">
        <f t="shared" si="340"/>
        <v>_</v>
      </c>
      <c r="EP3749" s="376"/>
      <c r="EQ3749" s="376"/>
      <c r="ER3749" s="377"/>
      <c r="ES3749" s="376"/>
      <c r="ET3749" s="376"/>
      <c r="EU3749" s="376"/>
    </row>
    <row r="3750" spans="145:151" x14ac:dyDescent="0.2">
      <c r="EO3750" s="375" t="str">
        <f t="shared" si="340"/>
        <v>_</v>
      </c>
      <c r="EP3750" s="376"/>
      <c r="EQ3750" s="376"/>
      <c r="ER3750" s="377"/>
      <c r="ES3750" s="376"/>
      <c r="ET3750" s="376"/>
      <c r="EU3750" s="376"/>
    </row>
    <row r="3751" spans="145:151" x14ac:dyDescent="0.2">
      <c r="EO3751" s="375" t="str">
        <f t="shared" si="340"/>
        <v>_</v>
      </c>
      <c r="EP3751" s="376"/>
      <c r="EQ3751" s="376"/>
      <c r="ER3751" s="377"/>
      <c r="ES3751" s="376"/>
      <c r="ET3751" s="376"/>
      <c r="EU3751" s="376"/>
    </row>
    <row r="3752" spans="145:151" x14ac:dyDescent="0.2">
      <c r="EO3752" s="375" t="str">
        <f t="shared" si="340"/>
        <v>_</v>
      </c>
      <c r="EP3752" s="376"/>
      <c r="EQ3752" s="376"/>
      <c r="ER3752" s="377"/>
      <c r="ES3752" s="376"/>
      <c r="ET3752" s="376"/>
      <c r="EU3752" s="376"/>
    </row>
    <row r="3753" spans="145:151" x14ac:dyDescent="0.2">
      <c r="EO3753" s="375" t="str">
        <f t="shared" si="340"/>
        <v>_</v>
      </c>
      <c r="EP3753" s="376"/>
      <c r="EQ3753" s="376"/>
      <c r="ER3753" s="377"/>
      <c r="ES3753" s="376"/>
      <c r="ET3753" s="376"/>
      <c r="EU3753" s="376"/>
    </row>
    <row r="3754" spans="145:151" x14ac:dyDescent="0.2">
      <c r="EO3754" s="375" t="str">
        <f t="shared" si="340"/>
        <v>_</v>
      </c>
      <c r="EP3754" s="376"/>
      <c r="EQ3754" s="376"/>
      <c r="ER3754" s="377"/>
      <c r="ES3754" s="376"/>
      <c r="ET3754" s="376"/>
      <c r="EU3754" s="376"/>
    </row>
    <row r="3755" spans="145:151" x14ac:dyDescent="0.2">
      <c r="EO3755" s="375" t="str">
        <f t="shared" si="340"/>
        <v>_</v>
      </c>
      <c r="EP3755" s="376"/>
      <c r="EQ3755" s="376"/>
      <c r="ER3755" s="377"/>
      <c r="ES3755" s="376"/>
      <c r="ET3755" s="376"/>
      <c r="EU3755" s="376"/>
    </row>
    <row r="3756" spans="145:151" x14ac:dyDescent="0.2">
      <c r="EO3756" s="375" t="str">
        <f t="shared" si="340"/>
        <v>_</v>
      </c>
      <c r="EP3756" s="376"/>
      <c r="EQ3756" s="376"/>
      <c r="ER3756" s="377"/>
      <c r="ES3756" s="376"/>
      <c r="ET3756" s="376"/>
      <c r="EU3756" s="376"/>
    </row>
    <row r="3757" spans="145:151" x14ac:dyDescent="0.2">
      <c r="EO3757" s="375" t="str">
        <f t="shared" si="340"/>
        <v>_</v>
      </c>
      <c r="EP3757" s="376"/>
      <c r="EQ3757" s="376"/>
      <c r="ER3757" s="377"/>
      <c r="ES3757" s="376"/>
      <c r="ET3757" s="376"/>
      <c r="EU3757" s="376"/>
    </row>
    <row r="3758" spans="145:151" x14ac:dyDescent="0.2">
      <c r="EO3758" s="375" t="str">
        <f t="shared" si="340"/>
        <v>_</v>
      </c>
      <c r="EP3758" s="376"/>
      <c r="EQ3758" s="376"/>
      <c r="ER3758" s="377"/>
      <c r="ES3758" s="376"/>
      <c r="ET3758" s="376"/>
      <c r="EU3758" s="376"/>
    </row>
    <row r="3759" spans="145:151" x14ac:dyDescent="0.2">
      <c r="EO3759" s="375" t="str">
        <f t="shared" si="340"/>
        <v>_</v>
      </c>
      <c r="EP3759" s="376"/>
      <c r="EQ3759" s="376"/>
      <c r="ER3759" s="377"/>
      <c r="ES3759" s="376"/>
      <c r="ET3759" s="376"/>
      <c r="EU3759" s="376"/>
    </row>
    <row r="3760" spans="145:151" x14ac:dyDescent="0.2">
      <c r="EO3760" s="375" t="str">
        <f t="shared" si="340"/>
        <v>_</v>
      </c>
      <c r="EP3760" s="376"/>
      <c r="EQ3760" s="376"/>
      <c r="ER3760" s="377"/>
      <c r="ES3760" s="376"/>
      <c r="ET3760" s="376"/>
      <c r="EU3760" s="376"/>
    </row>
    <row r="3761" spans="145:151" x14ac:dyDescent="0.2">
      <c r="EO3761" s="375" t="str">
        <f t="shared" si="340"/>
        <v>_</v>
      </c>
      <c r="EP3761" s="376"/>
      <c r="EQ3761" s="376"/>
      <c r="ER3761" s="377"/>
      <c r="ES3761" s="376"/>
      <c r="ET3761" s="376"/>
      <c r="EU3761" s="376"/>
    </row>
    <row r="3762" spans="145:151" x14ac:dyDescent="0.2">
      <c r="EO3762" s="375" t="str">
        <f t="shared" si="340"/>
        <v>_</v>
      </c>
      <c r="EP3762" s="376"/>
      <c r="EQ3762" s="376"/>
      <c r="ER3762" s="377"/>
      <c r="ES3762" s="376"/>
      <c r="ET3762" s="376"/>
      <c r="EU3762" s="376"/>
    </row>
    <row r="3763" spans="145:151" x14ac:dyDescent="0.2">
      <c r="EO3763" s="375" t="str">
        <f t="shared" si="340"/>
        <v>_</v>
      </c>
      <c r="EP3763" s="376"/>
      <c r="EQ3763" s="376"/>
      <c r="ER3763" s="377"/>
      <c r="ES3763" s="376"/>
      <c r="ET3763" s="376"/>
      <c r="EU3763" s="376"/>
    </row>
    <row r="3764" spans="145:151" x14ac:dyDescent="0.2">
      <c r="EO3764" s="375" t="str">
        <f t="shared" si="340"/>
        <v>_</v>
      </c>
      <c r="EP3764" s="376"/>
      <c r="EQ3764" s="376"/>
      <c r="ER3764" s="377"/>
      <c r="ES3764" s="376"/>
      <c r="ET3764" s="376"/>
      <c r="EU3764" s="376"/>
    </row>
    <row r="3765" spans="145:151" x14ac:dyDescent="0.2">
      <c r="EO3765" s="375" t="str">
        <f t="shared" si="340"/>
        <v>_</v>
      </c>
      <c r="EP3765" s="376"/>
      <c r="EQ3765" s="376"/>
      <c r="ER3765" s="377"/>
      <c r="ES3765" s="376"/>
      <c r="ET3765" s="376"/>
      <c r="EU3765" s="376"/>
    </row>
    <row r="3766" spans="145:151" x14ac:dyDescent="0.2">
      <c r="EO3766" s="375" t="str">
        <f t="shared" si="340"/>
        <v>_</v>
      </c>
      <c r="EP3766" s="376"/>
      <c r="EQ3766" s="376"/>
      <c r="ER3766" s="377"/>
      <c r="ES3766" s="376"/>
      <c r="ET3766" s="376"/>
      <c r="EU3766" s="376"/>
    </row>
    <row r="3767" spans="145:151" x14ac:dyDescent="0.2">
      <c r="EO3767" s="375" t="str">
        <f t="shared" si="340"/>
        <v>_</v>
      </c>
      <c r="EP3767" s="376"/>
      <c r="EQ3767" s="376"/>
      <c r="ER3767" s="377"/>
      <c r="ES3767" s="376"/>
      <c r="ET3767" s="376"/>
      <c r="EU3767" s="376"/>
    </row>
    <row r="3768" spans="145:151" x14ac:dyDescent="0.2">
      <c r="EO3768" s="375" t="str">
        <f t="shared" si="340"/>
        <v>_</v>
      </c>
      <c r="EP3768" s="376"/>
      <c r="EQ3768" s="376"/>
      <c r="ER3768" s="377"/>
      <c r="ES3768" s="376"/>
      <c r="ET3768" s="376"/>
      <c r="EU3768" s="376"/>
    </row>
    <row r="3769" spans="145:151" x14ac:dyDescent="0.2">
      <c r="EO3769" s="375" t="str">
        <f t="shared" si="340"/>
        <v>_</v>
      </c>
      <c r="EP3769" s="376"/>
      <c r="EQ3769" s="376"/>
      <c r="ER3769" s="377"/>
      <c r="ES3769" s="376"/>
      <c r="ET3769" s="376"/>
      <c r="EU3769" s="376"/>
    </row>
    <row r="3770" spans="145:151" x14ac:dyDescent="0.2">
      <c r="EO3770" s="375" t="str">
        <f t="shared" si="340"/>
        <v>_</v>
      </c>
      <c r="EP3770" s="376"/>
      <c r="EQ3770" s="376"/>
      <c r="ER3770" s="377"/>
      <c r="ES3770" s="376"/>
      <c r="ET3770" s="376"/>
      <c r="EU3770" s="376"/>
    </row>
    <row r="3771" spans="145:151" x14ac:dyDescent="0.2">
      <c r="EO3771" s="375" t="str">
        <f t="shared" si="340"/>
        <v>_</v>
      </c>
      <c r="EP3771" s="376"/>
      <c r="EQ3771" s="376"/>
      <c r="ER3771" s="377"/>
      <c r="ES3771" s="376"/>
      <c r="ET3771" s="376"/>
      <c r="EU3771" s="376"/>
    </row>
    <row r="3772" spans="145:151" x14ac:dyDescent="0.2">
      <c r="EO3772" s="375" t="str">
        <f t="shared" si="340"/>
        <v>_</v>
      </c>
      <c r="EP3772" s="376"/>
      <c r="EQ3772" s="376"/>
      <c r="ER3772" s="377"/>
      <c r="ES3772" s="376"/>
      <c r="ET3772" s="376"/>
      <c r="EU3772" s="376"/>
    </row>
    <row r="3773" spans="145:151" x14ac:dyDescent="0.2">
      <c r="EO3773" s="375" t="str">
        <f t="shared" si="340"/>
        <v>_</v>
      </c>
      <c r="EP3773" s="376"/>
      <c r="EQ3773" s="376"/>
      <c r="ER3773" s="377"/>
      <c r="ES3773" s="376"/>
      <c r="ET3773" s="376"/>
      <c r="EU3773" s="376"/>
    </row>
    <row r="3774" spans="145:151" x14ac:dyDescent="0.2">
      <c r="EO3774" s="375" t="str">
        <f t="shared" si="340"/>
        <v>_</v>
      </c>
      <c r="EP3774" s="376"/>
      <c r="EQ3774" s="376"/>
      <c r="ER3774" s="377"/>
      <c r="ES3774" s="376"/>
      <c r="ET3774" s="376"/>
      <c r="EU3774" s="376"/>
    </row>
    <row r="3775" spans="145:151" x14ac:dyDescent="0.2">
      <c r="EO3775" s="375" t="str">
        <f t="shared" si="340"/>
        <v>_</v>
      </c>
      <c r="EP3775" s="376"/>
      <c r="EQ3775" s="376"/>
      <c r="ER3775" s="377"/>
      <c r="ES3775" s="376"/>
      <c r="ET3775" s="376"/>
      <c r="EU3775" s="376"/>
    </row>
    <row r="3776" spans="145:151" x14ac:dyDescent="0.2">
      <c r="EO3776" s="375" t="str">
        <f t="shared" si="340"/>
        <v>_</v>
      </c>
      <c r="EP3776" s="376"/>
      <c r="EQ3776" s="376"/>
      <c r="ER3776" s="377"/>
      <c r="ES3776" s="376"/>
      <c r="ET3776" s="376"/>
      <c r="EU3776" s="376"/>
    </row>
    <row r="3777" spans="145:151" x14ac:dyDescent="0.2">
      <c r="EO3777" s="375" t="str">
        <f t="shared" si="340"/>
        <v>_</v>
      </c>
      <c r="EP3777" s="376"/>
      <c r="EQ3777" s="376"/>
      <c r="ER3777" s="377"/>
      <c r="ES3777" s="376"/>
      <c r="ET3777" s="376"/>
      <c r="EU3777" s="376"/>
    </row>
    <row r="3778" spans="145:151" x14ac:dyDescent="0.2">
      <c r="EO3778" s="375" t="str">
        <f t="shared" si="340"/>
        <v>_</v>
      </c>
      <c r="EP3778" s="376"/>
      <c r="EQ3778" s="376"/>
      <c r="ER3778" s="377"/>
      <c r="ES3778" s="376"/>
      <c r="ET3778" s="376"/>
      <c r="EU3778" s="376"/>
    </row>
    <row r="3779" spans="145:151" x14ac:dyDescent="0.2">
      <c r="EO3779" s="375" t="str">
        <f t="shared" si="340"/>
        <v>_</v>
      </c>
      <c r="EP3779" s="376"/>
      <c r="EQ3779" s="376"/>
      <c r="ER3779" s="377"/>
      <c r="ES3779" s="376"/>
      <c r="ET3779" s="376"/>
      <c r="EU3779" s="376"/>
    </row>
    <row r="3780" spans="145:151" x14ac:dyDescent="0.2">
      <c r="EO3780" s="375" t="str">
        <f t="shared" si="340"/>
        <v>_</v>
      </c>
      <c r="EP3780" s="376"/>
      <c r="EQ3780" s="376"/>
      <c r="ER3780" s="377"/>
      <c r="ES3780" s="376"/>
      <c r="ET3780" s="376"/>
      <c r="EU3780" s="376"/>
    </row>
    <row r="3781" spans="145:151" x14ac:dyDescent="0.2">
      <c r="EO3781" s="375" t="str">
        <f t="shared" si="340"/>
        <v>_</v>
      </c>
      <c r="EP3781" s="376"/>
      <c r="EQ3781" s="376"/>
      <c r="ER3781" s="377"/>
      <c r="ES3781" s="376"/>
      <c r="ET3781" s="376"/>
      <c r="EU3781" s="376"/>
    </row>
    <row r="3782" spans="145:151" x14ac:dyDescent="0.2">
      <c r="EO3782" s="375" t="str">
        <f t="shared" si="340"/>
        <v>_</v>
      </c>
      <c r="EP3782" s="376"/>
      <c r="EQ3782" s="376"/>
      <c r="ER3782" s="377"/>
      <c r="ES3782" s="376"/>
      <c r="ET3782" s="376"/>
      <c r="EU3782" s="376"/>
    </row>
    <row r="3783" spans="145:151" x14ac:dyDescent="0.2">
      <c r="EO3783" s="375" t="str">
        <f t="shared" si="340"/>
        <v>_</v>
      </c>
      <c r="EP3783" s="376"/>
      <c r="EQ3783" s="376"/>
      <c r="ER3783" s="377"/>
      <c r="ES3783" s="376"/>
      <c r="ET3783" s="376"/>
      <c r="EU3783" s="376"/>
    </row>
    <row r="3784" spans="145:151" x14ac:dyDescent="0.2">
      <c r="EO3784" s="375" t="str">
        <f t="shared" si="340"/>
        <v>_</v>
      </c>
      <c r="EP3784" s="376"/>
      <c r="EQ3784" s="376"/>
      <c r="ER3784" s="377"/>
      <c r="ES3784" s="376"/>
      <c r="ET3784" s="376"/>
      <c r="EU3784" s="376"/>
    </row>
    <row r="3785" spans="145:151" x14ac:dyDescent="0.2">
      <c r="EO3785" s="375" t="str">
        <f t="shared" si="340"/>
        <v>_</v>
      </c>
      <c r="EP3785" s="376"/>
      <c r="EQ3785" s="376"/>
      <c r="ER3785" s="377"/>
      <c r="ES3785" s="376"/>
      <c r="ET3785" s="376"/>
      <c r="EU3785" s="376"/>
    </row>
    <row r="3786" spans="145:151" x14ac:dyDescent="0.2">
      <c r="EO3786" s="375" t="str">
        <f t="shared" si="340"/>
        <v>_</v>
      </c>
      <c r="EP3786" s="376"/>
      <c r="EQ3786" s="376"/>
      <c r="ER3786" s="377"/>
      <c r="ES3786" s="376"/>
      <c r="ET3786" s="376"/>
      <c r="EU3786" s="376"/>
    </row>
    <row r="3787" spans="145:151" x14ac:dyDescent="0.2">
      <c r="EO3787" s="375" t="str">
        <f t="shared" si="340"/>
        <v>_</v>
      </c>
      <c r="EP3787" s="376"/>
      <c r="EQ3787" s="376"/>
      <c r="ER3787" s="377"/>
      <c r="ES3787" s="376"/>
      <c r="ET3787" s="376"/>
      <c r="EU3787" s="376"/>
    </row>
    <row r="3788" spans="145:151" x14ac:dyDescent="0.2">
      <c r="EO3788" s="375" t="str">
        <f t="shared" si="340"/>
        <v>_</v>
      </c>
      <c r="EP3788" s="376"/>
      <c r="EQ3788" s="376"/>
      <c r="ER3788" s="377"/>
      <c r="ES3788" s="376"/>
      <c r="ET3788" s="376"/>
      <c r="EU3788" s="376"/>
    </row>
    <row r="3789" spans="145:151" x14ac:dyDescent="0.2">
      <c r="EO3789" s="375" t="str">
        <f t="shared" si="340"/>
        <v>_</v>
      </c>
      <c r="EP3789" s="376"/>
      <c r="EQ3789" s="376"/>
      <c r="ER3789" s="377"/>
      <c r="ES3789" s="376"/>
      <c r="ET3789" s="376"/>
      <c r="EU3789" s="376"/>
    </row>
    <row r="3790" spans="145:151" x14ac:dyDescent="0.2">
      <c r="EO3790" s="375" t="str">
        <f t="shared" si="340"/>
        <v>_</v>
      </c>
      <c r="EP3790" s="376"/>
      <c r="EQ3790" s="376"/>
      <c r="ER3790" s="377"/>
      <c r="ES3790" s="376"/>
      <c r="ET3790" s="376"/>
      <c r="EU3790" s="376"/>
    </row>
    <row r="3791" spans="145:151" x14ac:dyDescent="0.2">
      <c r="EO3791" s="375" t="str">
        <f t="shared" si="340"/>
        <v>_</v>
      </c>
      <c r="EP3791" s="376"/>
      <c r="EQ3791" s="376"/>
      <c r="ER3791" s="377"/>
      <c r="ES3791" s="376"/>
      <c r="ET3791" s="376"/>
      <c r="EU3791" s="376"/>
    </row>
    <row r="3792" spans="145:151" x14ac:dyDescent="0.2">
      <c r="EO3792" s="375" t="str">
        <f t="shared" si="340"/>
        <v>_</v>
      </c>
      <c r="EP3792" s="376"/>
      <c r="EQ3792" s="376"/>
      <c r="ER3792" s="377"/>
      <c r="ES3792" s="376"/>
      <c r="ET3792" s="376"/>
      <c r="EU3792" s="376"/>
    </row>
    <row r="3793" spans="145:151" x14ac:dyDescent="0.2">
      <c r="EO3793" s="375" t="str">
        <f t="shared" si="340"/>
        <v>_</v>
      </c>
      <c r="EP3793" s="376"/>
      <c r="EQ3793" s="376"/>
      <c r="ER3793" s="377"/>
      <c r="ES3793" s="376"/>
      <c r="ET3793" s="376"/>
      <c r="EU3793" s="376"/>
    </row>
    <row r="3794" spans="145:151" x14ac:dyDescent="0.2">
      <c r="EO3794" s="375" t="str">
        <f t="shared" si="340"/>
        <v>_</v>
      </c>
      <c r="EP3794" s="376"/>
      <c r="EQ3794" s="376"/>
      <c r="ER3794" s="377"/>
      <c r="ES3794" s="376"/>
      <c r="ET3794" s="376"/>
      <c r="EU3794" s="376"/>
    </row>
    <row r="3795" spans="145:151" x14ac:dyDescent="0.2">
      <c r="EO3795" s="375" t="str">
        <f t="shared" si="340"/>
        <v>_</v>
      </c>
      <c r="EP3795" s="376"/>
      <c r="EQ3795" s="376"/>
      <c r="ER3795" s="377"/>
      <c r="ES3795" s="376"/>
      <c r="ET3795" s="376"/>
      <c r="EU3795" s="376"/>
    </row>
    <row r="3796" spans="145:151" x14ac:dyDescent="0.2">
      <c r="EO3796" s="375" t="str">
        <f t="shared" si="340"/>
        <v>_</v>
      </c>
      <c r="EP3796" s="376"/>
      <c r="EQ3796" s="376"/>
      <c r="ER3796" s="377"/>
      <c r="ES3796" s="376"/>
      <c r="ET3796" s="376"/>
      <c r="EU3796" s="376"/>
    </row>
    <row r="3797" spans="145:151" x14ac:dyDescent="0.2">
      <c r="EO3797" s="375" t="str">
        <f t="shared" si="340"/>
        <v>_</v>
      </c>
      <c r="EP3797" s="376"/>
      <c r="EQ3797" s="376"/>
      <c r="ER3797" s="377"/>
      <c r="ES3797" s="376"/>
      <c r="ET3797" s="376"/>
      <c r="EU3797" s="376"/>
    </row>
    <row r="3798" spans="145:151" x14ac:dyDescent="0.2">
      <c r="EO3798" s="375" t="str">
        <f t="shared" si="340"/>
        <v>_</v>
      </c>
      <c r="EP3798" s="376"/>
      <c r="EQ3798" s="376"/>
      <c r="ER3798" s="377"/>
      <c r="ES3798" s="376"/>
      <c r="ET3798" s="376"/>
      <c r="EU3798" s="376"/>
    </row>
    <row r="3799" spans="145:151" x14ac:dyDescent="0.2">
      <c r="EO3799" s="375" t="str">
        <f t="shared" si="340"/>
        <v>_</v>
      </c>
      <c r="EP3799" s="376"/>
      <c r="EQ3799" s="376"/>
      <c r="ER3799" s="377"/>
      <c r="ES3799" s="376"/>
      <c r="ET3799" s="376"/>
      <c r="EU3799" s="376"/>
    </row>
    <row r="3800" spans="145:151" x14ac:dyDescent="0.2">
      <c r="EO3800" s="375" t="str">
        <f t="shared" si="340"/>
        <v>_</v>
      </c>
      <c r="EP3800" s="376"/>
      <c r="EQ3800" s="376"/>
      <c r="ER3800" s="377"/>
      <c r="ES3800" s="376"/>
      <c r="ET3800" s="376"/>
      <c r="EU3800" s="376"/>
    </row>
    <row r="3801" spans="145:151" x14ac:dyDescent="0.2">
      <c r="EO3801" s="375" t="str">
        <f t="shared" si="340"/>
        <v>_</v>
      </c>
      <c r="EP3801" s="376"/>
      <c r="EQ3801" s="376"/>
      <c r="ER3801" s="377"/>
      <c r="ES3801" s="376"/>
      <c r="ET3801" s="376"/>
      <c r="EU3801" s="376"/>
    </row>
    <row r="3802" spans="145:151" x14ac:dyDescent="0.2">
      <c r="EO3802" s="375" t="str">
        <f t="shared" si="340"/>
        <v>_</v>
      </c>
      <c r="EP3802" s="376"/>
      <c r="EQ3802" s="376"/>
      <c r="ER3802" s="377"/>
      <c r="ES3802" s="376"/>
      <c r="ET3802" s="376"/>
      <c r="EU3802" s="376"/>
    </row>
    <row r="3803" spans="145:151" x14ac:dyDescent="0.2">
      <c r="EO3803" s="375" t="str">
        <f t="shared" si="340"/>
        <v>_</v>
      </c>
      <c r="EP3803" s="376"/>
      <c r="EQ3803" s="376"/>
      <c r="ER3803" s="377"/>
      <c r="ES3803" s="376"/>
      <c r="ET3803" s="376"/>
      <c r="EU3803" s="376"/>
    </row>
    <row r="3804" spans="145:151" x14ac:dyDescent="0.2">
      <c r="EO3804" s="375" t="str">
        <f t="shared" si="340"/>
        <v>_</v>
      </c>
      <c r="EP3804" s="376"/>
      <c r="EQ3804" s="376"/>
      <c r="ER3804" s="377"/>
      <c r="ES3804" s="376"/>
      <c r="ET3804" s="376"/>
      <c r="EU3804" s="376"/>
    </row>
    <row r="3805" spans="145:151" x14ac:dyDescent="0.2">
      <c r="EO3805" s="375" t="str">
        <f t="shared" ref="EO3805:EO3868" si="341">B3805&amp;"_"&amp;C3805</f>
        <v>_</v>
      </c>
      <c r="EP3805" s="376"/>
      <c r="EQ3805" s="376"/>
      <c r="ER3805" s="377"/>
      <c r="ES3805" s="376"/>
      <c r="ET3805" s="376"/>
      <c r="EU3805" s="376"/>
    </row>
    <row r="3806" spans="145:151" x14ac:dyDescent="0.2">
      <c r="EO3806" s="375" t="str">
        <f t="shared" si="341"/>
        <v>_</v>
      </c>
      <c r="EP3806" s="376"/>
      <c r="EQ3806" s="376"/>
      <c r="ER3806" s="377"/>
      <c r="ES3806" s="376"/>
      <c r="ET3806" s="376"/>
      <c r="EU3806" s="376"/>
    </row>
    <row r="3807" spans="145:151" x14ac:dyDescent="0.2">
      <c r="EO3807" s="375" t="str">
        <f t="shared" si="341"/>
        <v>_</v>
      </c>
      <c r="EP3807" s="376"/>
      <c r="EQ3807" s="376"/>
      <c r="ER3807" s="377"/>
      <c r="ES3807" s="376"/>
      <c r="ET3807" s="376"/>
      <c r="EU3807" s="376"/>
    </row>
    <row r="3808" spans="145:151" x14ac:dyDescent="0.2">
      <c r="EO3808" s="375" t="str">
        <f t="shared" si="341"/>
        <v>_</v>
      </c>
      <c r="EP3808" s="376"/>
      <c r="EQ3808" s="376"/>
      <c r="ER3808" s="377"/>
      <c r="ES3808" s="376"/>
      <c r="ET3808" s="376"/>
      <c r="EU3808" s="376"/>
    </row>
    <row r="3809" spans="145:151" x14ac:dyDescent="0.2">
      <c r="EO3809" s="375" t="str">
        <f t="shared" si="341"/>
        <v>_</v>
      </c>
      <c r="EP3809" s="376"/>
      <c r="EQ3809" s="376"/>
      <c r="ER3809" s="377"/>
      <c r="ES3809" s="376"/>
      <c r="ET3809" s="376"/>
      <c r="EU3809" s="376"/>
    </row>
    <row r="3810" spans="145:151" x14ac:dyDescent="0.2">
      <c r="EO3810" s="375" t="str">
        <f t="shared" si="341"/>
        <v>_</v>
      </c>
      <c r="EP3810" s="376"/>
      <c r="EQ3810" s="376"/>
      <c r="ER3810" s="377"/>
      <c r="ES3810" s="376"/>
      <c r="ET3810" s="376"/>
      <c r="EU3810" s="376"/>
    </row>
    <row r="3811" spans="145:151" x14ac:dyDescent="0.2">
      <c r="EO3811" s="375" t="str">
        <f t="shared" si="341"/>
        <v>_</v>
      </c>
      <c r="EP3811" s="376"/>
      <c r="EQ3811" s="376"/>
      <c r="ER3811" s="377"/>
      <c r="ES3811" s="376"/>
      <c r="ET3811" s="376"/>
      <c r="EU3811" s="376"/>
    </row>
    <row r="3812" spans="145:151" x14ac:dyDescent="0.2">
      <c r="EO3812" s="375" t="str">
        <f t="shared" si="341"/>
        <v>_</v>
      </c>
      <c r="EP3812" s="376"/>
      <c r="EQ3812" s="376"/>
      <c r="ER3812" s="377"/>
      <c r="ES3812" s="376"/>
      <c r="ET3812" s="376"/>
      <c r="EU3812" s="376"/>
    </row>
    <row r="3813" spans="145:151" x14ac:dyDescent="0.2">
      <c r="EO3813" s="375" t="str">
        <f t="shared" si="341"/>
        <v>_</v>
      </c>
      <c r="EP3813" s="376"/>
      <c r="EQ3813" s="376"/>
      <c r="ER3813" s="377"/>
      <c r="ES3813" s="376"/>
      <c r="ET3813" s="376"/>
      <c r="EU3813" s="376"/>
    </row>
    <row r="3814" spans="145:151" x14ac:dyDescent="0.2">
      <c r="EO3814" s="375" t="str">
        <f t="shared" si="341"/>
        <v>_</v>
      </c>
      <c r="EP3814" s="376"/>
      <c r="EQ3814" s="376"/>
      <c r="ER3814" s="377"/>
      <c r="ES3814" s="376"/>
      <c r="ET3814" s="376"/>
      <c r="EU3814" s="376"/>
    </row>
    <row r="3815" spans="145:151" x14ac:dyDescent="0.2">
      <c r="EO3815" s="375" t="str">
        <f t="shared" si="341"/>
        <v>_</v>
      </c>
      <c r="EP3815" s="376"/>
      <c r="EQ3815" s="376"/>
      <c r="ER3815" s="377"/>
      <c r="ES3815" s="376"/>
      <c r="ET3815" s="376"/>
      <c r="EU3815" s="376"/>
    </row>
    <row r="3816" spans="145:151" x14ac:dyDescent="0.2">
      <c r="EO3816" s="375" t="str">
        <f t="shared" si="341"/>
        <v>_</v>
      </c>
      <c r="EP3816" s="376"/>
      <c r="EQ3816" s="376"/>
      <c r="ER3816" s="377"/>
      <c r="ES3816" s="376"/>
      <c r="ET3816" s="376"/>
      <c r="EU3816" s="376"/>
    </row>
    <row r="3817" spans="145:151" x14ac:dyDescent="0.2">
      <c r="EO3817" s="375" t="str">
        <f t="shared" si="341"/>
        <v>_</v>
      </c>
      <c r="EP3817" s="376"/>
      <c r="EQ3817" s="376"/>
      <c r="ER3817" s="377"/>
      <c r="ES3817" s="376"/>
      <c r="ET3817" s="376"/>
      <c r="EU3817" s="376"/>
    </row>
    <row r="3818" spans="145:151" x14ac:dyDescent="0.2">
      <c r="EO3818" s="375" t="str">
        <f t="shared" si="341"/>
        <v>_</v>
      </c>
      <c r="EP3818" s="376"/>
      <c r="EQ3818" s="376"/>
      <c r="ER3818" s="377"/>
      <c r="ES3818" s="376"/>
      <c r="ET3818" s="376"/>
      <c r="EU3818" s="376"/>
    </row>
    <row r="3819" spans="145:151" x14ac:dyDescent="0.2">
      <c r="EO3819" s="375" t="str">
        <f t="shared" si="341"/>
        <v>_</v>
      </c>
      <c r="EP3819" s="376"/>
      <c r="EQ3819" s="376"/>
      <c r="ER3819" s="377"/>
      <c r="ES3819" s="376"/>
      <c r="ET3819" s="376"/>
      <c r="EU3819" s="376"/>
    </row>
    <row r="3820" spans="145:151" x14ac:dyDescent="0.2">
      <c r="EO3820" s="375" t="str">
        <f t="shared" si="341"/>
        <v>_</v>
      </c>
      <c r="EP3820" s="376"/>
      <c r="EQ3820" s="376"/>
      <c r="ER3820" s="377"/>
      <c r="ES3820" s="376"/>
      <c r="ET3820" s="376"/>
      <c r="EU3820" s="376"/>
    </row>
    <row r="3821" spans="145:151" x14ac:dyDescent="0.2">
      <c r="EO3821" s="375" t="str">
        <f t="shared" si="341"/>
        <v>_</v>
      </c>
      <c r="EP3821" s="376"/>
      <c r="EQ3821" s="376"/>
      <c r="ER3821" s="377"/>
      <c r="ES3821" s="376"/>
      <c r="ET3821" s="376"/>
      <c r="EU3821" s="376"/>
    </row>
    <row r="3822" spans="145:151" x14ac:dyDescent="0.2">
      <c r="EO3822" s="375" t="str">
        <f t="shared" si="341"/>
        <v>_</v>
      </c>
      <c r="EP3822" s="376"/>
      <c r="EQ3822" s="376"/>
      <c r="ER3822" s="377"/>
      <c r="ES3822" s="376"/>
      <c r="ET3822" s="376"/>
      <c r="EU3822" s="376"/>
    </row>
    <row r="3823" spans="145:151" x14ac:dyDescent="0.2">
      <c r="EO3823" s="375" t="str">
        <f t="shared" si="341"/>
        <v>_</v>
      </c>
      <c r="EP3823" s="376"/>
      <c r="EQ3823" s="376"/>
      <c r="ER3823" s="377"/>
      <c r="ES3823" s="376"/>
      <c r="ET3823" s="376"/>
      <c r="EU3823" s="376"/>
    </row>
    <row r="3824" spans="145:151" x14ac:dyDescent="0.2">
      <c r="EO3824" s="375" t="str">
        <f t="shared" si="341"/>
        <v>_</v>
      </c>
      <c r="EP3824" s="376"/>
      <c r="EQ3824" s="376"/>
      <c r="ER3824" s="377"/>
      <c r="ES3824" s="376"/>
      <c r="ET3824" s="376"/>
      <c r="EU3824" s="376"/>
    </row>
    <row r="3825" spans="145:151" x14ac:dyDescent="0.2">
      <c r="EO3825" s="375" t="str">
        <f t="shared" si="341"/>
        <v>_</v>
      </c>
      <c r="EP3825" s="376"/>
      <c r="EQ3825" s="376"/>
      <c r="ER3825" s="377"/>
      <c r="ES3825" s="376"/>
      <c r="ET3825" s="376"/>
      <c r="EU3825" s="376"/>
    </row>
    <row r="3826" spans="145:151" x14ac:dyDescent="0.2">
      <c r="EO3826" s="375" t="str">
        <f t="shared" si="341"/>
        <v>_</v>
      </c>
      <c r="EP3826" s="376"/>
      <c r="EQ3826" s="376"/>
      <c r="ER3826" s="377"/>
      <c r="ES3826" s="376"/>
      <c r="ET3826" s="376"/>
      <c r="EU3826" s="376"/>
    </row>
    <row r="3827" spans="145:151" x14ac:dyDescent="0.2">
      <c r="EO3827" s="375" t="str">
        <f t="shared" si="341"/>
        <v>_</v>
      </c>
      <c r="EP3827" s="376"/>
      <c r="EQ3827" s="376"/>
      <c r="ER3827" s="377"/>
      <c r="ES3827" s="376"/>
      <c r="ET3827" s="376"/>
      <c r="EU3827" s="376"/>
    </row>
    <row r="3828" spans="145:151" x14ac:dyDescent="0.2">
      <c r="EO3828" s="375" t="str">
        <f t="shared" si="341"/>
        <v>_</v>
      </c>
      <c r="EP3828" s="376"/>
      <c r="EQ3828" s="376"/>
      <c r="ER3828" s="377"/>
      <c r="ES3828" s="376"/>
      <c r="ET3828" s="376"/>
      <c r="EU3828" s="376"/>
    </row>
    <row r="3829" spans="145:151" x14ac:dyDescent="0.2">
      <c r="EO3829" s="375" t="str">
        <f t="shared" si="341"/>
        <v>_</v>
      </c>
      <c r="EP3829" s="376"/>
      <c r="EQ3829" s="376"/>
      <c r="ER3829" s="377"/>
      <c r="ES3829" s="376"/>
      <c r="ET3829" s="376"/>
      <c r="EU3829" s="376"/>
    </row>
    <row r="3830" spans="145:151" x14ac:dyDescent="0.2">
      <c r="EO3830" s="375" t="str">
        <f t="shared" si="341"/>
        <v>_</v>
      </c>
      <c r="EP3830" s="376"/>
      <c r="EQ3830" s="376"/>
      <c r="ER3830" s="377"/>
      <c r="ES3830" s="376"/>
      <c r="ET3830" s="376"/>
      <c r="EU3830" s="376"/>
    </row>
    <row r="3831" spans="145:151" x14ac:dyDescent="0.2">
      <c r="EO3831" s="375" t="str">
        <f t="shared" si="341"/>
        <v>_</v>
      </c>
      <c r="EP3831" s="376"/>
      <c r="EQ3831" s="376"/>
      <c r="ER3831" s="377"/>
      <c r="ES3831" s="376"/>
      <c r="ET3831" s="376"/>
      <c r="EU3831" s="376"/>
    </row>
    <row r="3832" spans="145:151" x14ac:dyDescent="0.2">
      <c r="EO3832" s="375" t="str">
        <f t="shared" si="341"/>
        <v>_</v>
      </c>
      <c r="EP3832" s="376"/>
      <c r="EQ3832" s="376"/>
      <c r="ER3832" s="377"/>
      <c r="ES3832" s="376"/>
      <c r="ET3832" s="376"/>
      <c r="EU3832" s="376"/>
    </row>
    <row r="3833" spans="145:151" x14ac:dyDescent="0.2">
      <c r="EO3833" s="375" t="str">
        <f t="shared" si="341"/>
        <v>_</v>
      </c>
      <c r="EP3833" s="376"/>
      <c r="EQ3833" s="376"/>
      <c r="ER3833" s="377"/>
      <c r="ES3833" s="376"/>
      <c r="ET3833" s="376"/>
      <c r="EU3833" s="376"/>
    </row>
    <row r="3834" spans="145:151" x14ac:dyDescent="0.2">
      <c r="EO3834" s="375" t="str">
        <f t="shared" si="341"/>
        <v>_</v>
      </c>
      <c r="EP3834" s="376"/>
      <c r="EQ3834" s="376"/>
      <c r="ER3834" s="377"/>
      <c r="ES3834" s="376"/>
      <c r="ET3834" s="376"/>
      <c r="EU3834" s="376"/>
    </row>
    <row r="3835" spans="145:151" x14ac:dyDescent="0.2">
      <c r="EO3835" s="375" t="str">
        <f t="shared" si="341"/>
        <v>_</v>
      </c>
      <c r="EP3835" s="376"/>
      <c r="EQ3835" s="376"/>
      <c r="ER3835" s="377"/>
      <c r="ES3835" s="376"/>
      <c r="ET3835" s="376"/>
      <c r="EU3835" s="376"/>
    </row>
    <row r="3836" spans="145:151" x14ac:dyDescent="0.2">
      <c r="EO3836" s="375" t="str">
        <f t="shared" si="341"/>
        <v>_</v>
      </c>
      <c r="EP3836" s="376"/>
      <c r="EQ3836" s="376"/>
      <c r="ER3836" s="377"/>
      <c r="ES3836" s="376"/>
      <c r="ET3836" s="376"/>
      <c r="EU3836" s="376"/>
    </row>
    <row r="3837" spans="145:151" x14ac:dyDescent="0.2">
      <c r="EO3837" s="375" t="str">
        <f t="shared" si="341"/>
        <v>_</v>
      </c>
      <c r="EP3837" s="376"/>
      <c r="EQ3837" s="376"/>
      <c r="ER3837" s="377"/>
      <c r="ES3837" s="376"/>
      <c r="ET3837" s="376"/>
      <c r="EU3837" s="376"/>
    </row>
    <row r="3838" spans="145:151" x14ac:dyDescent="0.2">
      <c r="EO3838" s="375" t="str">
        <f t="shared" si="341"/>
        <v>_</v>
      </c>
      <c r="EP3838" s="376"/>
      <c r="EQ3838" s="376"/>
      <c r="ER3838" s="377"/>
      <c r="ES3838" s="376"/>
      <c r="ET3838" s="376"/>
      <c r="EU3838" s="376"/>
    </row>
    <row r="3839" spans="145:151" x14ac:dyDescent="0.2">
      <c r="EO3839" s="375" t="str">
        <f t="shared" si="341"/>
        <v>_</v>
      </c>
      <c r="EP3839" s="376"/>
      <c r="EQ3839" s="376"/>
      <c r="ER3839" s="377"/>
      <c r="ES3839" s="376"/>
      <c r="ET3839" s="376"/>
      <c r="EU3839" s="376"/>
    </row>
    <row r="3840" spans="145:151" x14ac:dyDescent="0.2">
      <c r="EO3840" s="375" t="str">
        <f t="shared" si="341"/>
        <v>_</v>
      </c>
      <c r="EP3840" s="376"/>
      <c r="EQ3840" s="376"/>
      <c r="ER3840" s="377"/>
      <c r="ES3840" s="376"/>
      <c r="ET3840" s="376"/>
      <c r="EU3840" s="376"/>
    </row>
    <row r="3841" spans="145:151" x14ac:dyDescent="0.2">
      <c r="EO3841" s="375" t="str">
        <f t="shared" si="341"/>
        <v>_</v>
      </c>
      <c r="EP3841" s="376"/>
      <c r="EQ3841" s="376"/>
      <c r="ER3841" s="377"/>
      <c r="ES3841" s="376"/>
      <c r="ET3841" s="376"/>
      <c r="EU3841" s="376"/>
    </row>
    <row r="3842" spans="145:151" x14ac:dyDescent="0.2">
      <c r="EO3842" s="375" t="str">
        <f t="shared" si="341"/>
        <v>_</v>
      </c>
      <c r="EP3842" s="376"/>
      <c r="EQ3842" s="376"/>
      <c r="ER3842" s="377"/>
      <c r="ES3842" s="376"/>
      <c r="ET3842" s="376"/>
      <c r="EU3842" s="376"/>
    </row>
    <row r="3843" spans="145:151" x14ac:dyDescent="0.2">
      <c r="EO3843" s="375" t="str">
        <f t="shared" si="341"/>
        <v>_</v>
      </c>
      <c r="EP3843" s="376"/>
      <c r="EQ3843" s="376"/>
      <c r="ER3843" s="377"/>
      <c r="ES3843" s="376"/>
      <c r="ET3843" s="376"/>
      <c r="EU3843" s="376"/>
    </row>
    <row r="3844" spans="145:151" x14ac:dyDescent="0.2">
      <c r="EO3844" s="375" t="str">
        <f t="shared" si="341"/>
        <v>_</v>
      </c>
      <c r="EP3844" s="376"/>
      <c r="EQ3844" s="376"/>
      <c r="ER3844" s="377"/>
      <c r="ES3844" s="376"/>
      <c r="ET3844" s="376"/>
      <c r="EU3844" s="376"/>
    </row>
    <row r="3845" spans="145:151" x14ac:dyDescent="0.2">
      <c r="EO3845" s="375" t="str">
        <f t="shared" si="341"/>
        <v>_</v>
      </c>
      <c r="EP3845" s="376"/>
      <c r="EQ3845" s="376"/>
      <c r="ER3845" s="377"/>
      <c r="ES3845" s="376"/>
      <c r="ET3845" s="376"/>
      <c r="EU3845" s="376"/>
    </row>
    <row r="3846" spans="145:151" x14ac:dyDescent="0.2">
      <c r="EO3846" s="375" t="str">
        <f t="shared" si="341"/>
        <v>_</v>
      </c>
      <c r="EP3846" s="376"/>
      <c r="EQ3846" s="376"/>
      <c r="ER3846" s="377"/>
      <c r="ES3846" s="376"/>
      <c r="ET3846" s="376"/>
      <c r="EU3846" s="376"/>
    </row>
    <row r="3847" spans="145:151" x14ac:dyDescent="0.2">
      <c r="EO3847" s="375" t="str">
        <f t="shared" si="341"/>
        <v>_</v>
      </c>
      <c r="EP3847" s="376"/>
      <c r="EQ3847" s="376"/>
      <c r="ER3847" s="377"/>
      <c r="ES3847" s="376"/>
      <c r="ET3847" s="376"/>
      <c r="EU3847" s="376"/>
    </row>
    <row r="3848" spans="145:151" x14ac:dyDescent="0.2">
      <c r="EO3848" s="375" t="str">
        <f t="shared" si="341"/>
        <v>_</v>
      </c>
      <c r="EP3848" s="376"/>
      <c r="EQ3848" s="376"/>
      <c r="ER3848" s="377"/>
      <c r="ES3848" s="376"/>
      <c r="ET3848" s="376"/>
      <c r="EU3848" s="376"/>
    </row>
    <row r="3849" spans="145:151" x14ac:dyDescent="0.2">
      <c r="EO3849" s="384" t="str">
        <f t="shared" si="341"/>
        <v>_</v>
      </c>
      <c r="EP3849" s="385"/>
      <c r="EQ3849" s="376"/>
      <c r="ER3849" s="377"/>
      <c r="ES3849" s="376"/>
      <c r="ET3849" s="376"/>
      <c r="EU3849" s="376"/>
    </row>
    <row r="3850" spans="145:151" x14ac:dyDescent="0.2">
      <c r="EO3850" s="384" t="str">
        <f t="shared" si="341"/>
        <v>_</v>
      </c>
      <c r="EP3850" s="385"/>
      <c r="EQ3850" s="376"/>
      <c r="ER3850" s="377"/>
      <c r="ES3850" s="376"/>
      <c r="ET3850" s="376"/>
      <c r="EU3850" s="376"/>
    </row>
    <row r="3851" spans="145:151" x14ac:dyDescent="0.2">
      <c r="EO3851" s="375" t="str">
        <f t="shared" si="341"/>
        <v>_</v>
      </c>
      <c r="EP3851" s="376"/>
      <c r="EQ3851" s="376"/>
      <c r="ER3851" s="377"/>
      <c r="ES3851" s="376"/>
      <c r="ET3851" s="376"/>
      <c r="EU3851" s="376"/>
    </row>
    <row r="3852" spans="145:151" x14ac:dyDescent="0.2">
      <c r="EO3852" s="375" t="str">
        <f t="shared" si="341"/>
        <v>_</v>
      </c>
      <c r="EP3852" s="376"/>
      <c r="EQ3852" s="376"/>
      <c r="ER3852" s="377"/>
      <c r="ES3852" s="376"/>
      <c r="ET3852" s="376"/>
      <c r="EU3852" s="376"/>
    </row>
    <row r="3853" spans="145:151" x14ac:dyDescent="0.2">
      <c r="EO3853" s="375" t="str">
        <f t="shared" si="341"/>
        <v>_</v>
      </c>
      <c r="EP3853" s="376"/>
      <c r="EQ3853" s="385"/>
      <c r="ER3853" s="386"/>
      <c r="ES3853" s="385"/>
      <c r="ET3853" s="385"/>
      <c r="EU3853" s="385"/>
    </row>
    <row r="3854" spans="145:151" x14ac:dyDescent="0.2">
      <c r="EO3854" s="375" t="str">
        <f t="shared" si="341"/>
        <v>_</v>
      </c>
      <c r="EP3854" s="376"/>
      <c r="EQ3854" s="385"/>
      <c r="ER3854" s="386"/>
      <c r="ES3854" s="385"/>
      <c r="ET3854" s="385"/>
      <c r="EU3854" s="385"/>
    </row>
    <row r="3855" spans="145:151" x14ac:dyDescent="0.2">
      <c r="EO3855" s="375" t="str">
        <f t="shared" si="341"/>
        <v>_</v>
      </c>
      <c r="EP3855" s="376"/>
      <c r="EQ3855" s="376"/>
      <c r="ER3855" s="377"/>
      <c r="ES3855" s="376"/>
      <c r="ET3855" s="376"/>
      <c r="EU3855" s="376"/>
    </row>
    <row r="3856" spans="145:151" x14ac:dyDescent="0.2">
      <c r="EO3856" s="375" t="str">
        <f t="shared" si="341"/>
        <v>_</v>
      </c>
      <c r="EP3856" s="376"/>
      <c r="EQ3856" s="376"/>
      <c r="ER3856" s="377"/>
      <c r="ES3856" s="376"/>
      <c r="ET3856" s="376"/>
      <c r="EU3856" s="376"/>
    </row>
    <row r="3857" spans="145:151" x14ac:dyDescent="0.2">
      <c r="EO3857" s="375" t="str">
        <f t="shared" si="341"/>
        <v>_</v>
      </c>
      <c r="EP3857" s="376"/>
      <c r="EQ3857" s="376"/>
      <c r="ER3857" s="377"/>
      <c r="ES3857" s="376"/>
      <c r="ET3857" s="376"/>
      <c r="EU3857" s="376"/>
    </row>
    <row r="3858" spans="145:151" x14ac:dyDescent="0.2">
      <c r="EO3858" s="375" t="str">
        <f t="shared" si="341"/>
        <v>_</v>
      </c>
      <c r="EP3858" s="376"/>
      <c r="EQ3858" s="376"/>
      <c r="ER3858" s="377"/>
      <c r="ES3858" s="376"/>
      <c r="ET3858" s="376"/>
      <c r="EU3858" s="376"/>
    </row>
    <row r="3859" spans="145:151" x14ac:dyDescent="0.2">
      <c r="EO3859" s="375" t="str">
        <f t="shared" si="341"/>
        <v>_</v>
      </c>
      <c r="EP3859" s="376"/>
      <c r="EQ3859" s="376"/>
      <c r="ER3859" s="377"/>
      <c r="ES3859" s="376"/>
      <c r="ET3859" s="376"/>
      <c r="EU3859" s="376"/>
    </row>
    <row r="3860" spans="145:151" x14ac:dyDescent="0.2">
      <c r="EO3860" s="375" t="str">
        <f t="shared" si="341"/>
        <v>_</v>
      </c>
      <c r="EP3860" s="376"/>
      <c r="EQ3860" s="376"/>
      <c r="ER3860" s="377"/>
      <c r="ES3860" s="376"/>
      <c r="ET3860" s="376"/>
      <c r="EU3860" s="376"/>
    </row>
    <row r="3861" spans="145:151" x14ac:dyDescent="0.2">
      <c r="EO3861" s="375" t="str">
        <f t="shared" si="341"/>
        <v>_</v>
      </c>
      <c r="EP3861" s="376"/>
      <c r="EQ3861" s="376"/>
      <c r="ER3861" s="377"/>
      <c r="ES3861" s="376"/>
      <c r="ET3861" s="376"/>
      <c r="EU3861" s="376"/>
    </row>
    <row r="3862" spans="145:151" x14ac:dyDescent="0.2">
      <c r="EO3862" s="375" t="str">
        <f t="shared" si="341"/>
        <v>_</v>
      </c>
      <c r="EP3862" s="376"/>
      <c r="EQ3862" s="376"/>
      <c r="ER3862" s="377"/>
      <c r="ES3862" s="376"/>
      <c r="ET3862" s="376"/>
      <c r="EU3862" s="376"/>
    </row>
    <row r="3863" spans="145:151" x14ac:dyDescent="0.2">
      <c r="EO3863" s="375" t="str">
        <f t="shared" si="341"/>
        <v>_</v>
      </c>
      <c r="EP3863" s="376"/>
      <c r="EQ3863" s="376"/>
      <c r="ER3863" s="377"/>
      <c r="ES3863" s="376"/>
      <c r="ET3863" s="376"/>
      <c r="EU3863" s="376"/>
    </row>
    <row r="3864" spans="145:151" x14ac:dyDescent="0.2">
      <c r="EO3864" s="375" t="str">
        <f t="shared" si="341"/>
        <v>_</v>
      </c>
      <c r="EP3864" s="376"/>
      <c r="EQ3864" s="376"/>
      <c r="ER3864" s="377"/>
      <c r="ES3864" s="376"/>
      <c r="ET3864" s="376"/>
      <c r="EU3864" s="376"/>
    </row>
    <row r="3865" spans="145:151" x14ac:dyDescent="0.2">
      <c r="EO3865" s="375" t="str">
        <f t="shared" si="341"/>
        <v>_</v>
      </c>
      <c r="EP3865" s="376"/>
      <c r="EQ3865" s="376"/>
      <c r="ER3865" s="377"/>
      <c r="ES3865" s="376"/>
      <c r="ET3865" s="376"/>
      <c r="EU3865" s="376"/>
    </row>
    <row r="3866" spans="145:151" x14ac:dyDescent="0.2">
      <c r="EO3866" s="375" t="str">
        <f t="shared" si="341"/>
        <v>_</v>
      </c>
      <c r="EP3866" s="376"/>
      <c r="EQ3866" s="376"/>
      <c r="ER3866" s="377"/>
      <c r="ES3866" s="376"/>
      <c r="ET3866" s="376"/>
      <c r="EU3866" s="376"/>
    </row>
    <row r="3867" spans="145:151" x14ac:dyDescent="0.2">
      <c r="EO3867" s="375" t="str">
        <f t="shared" si="341"/>
        <v>_</v>
      </c>
      <c r="EP3867" s="376"/>
      <c r="EQ3867" s="376"/>
      <c r="ER3867" s="377"/>
      <c r="ES3867" s="376"/>
      <c r="ET3867" s="376"/>
      <c r="EU3867" s="376"/>
    </row>
    <row r="3868" spans="145:151" x14ac:dyDescent="0.2">
      <c r="EO3868" s="375" t="str">
        <f t="shared" si="341"/>
        <v>_</v>
      </c>
      <c r="EP3868" s="376"/>
      <c r="EQ3868" s="376"/>
      <c r="ER3868" s="377"/>
      <c r="ES3868" s="376"/>
      <c r="ET3868" s="376"/>
      <c r="EU3868" s="376"/>
    </row>
    <row r="3869" spans="145:151" x14ac:dyDescent="0.2">
      <c r="EO3869" s="375" t="str">
        <f t="shared" ref="EO3869:EO3932" si="342">B3869&amp;"_"&amp;C3869</f>
        <v>_</v>
      </c>
      <c r="EP3869" s="376"/>
      <c r="EQ3869" s="376"/>
      <c r="ER3869" s="377"/>
      <c r="ES3869" s="376"/>
      <c r="ET3869" s="376"/>
      <c r="EU3869" s="376"/>
    </row>
    <row r="3870" spans="145:151" x14ac:dyDescent="0.2">
      <c r="EO3870" s="375" t="str">
        <f t="shared" si="342"/>
        <v>_</v>
      </c>
      <c r="EP3870" s="376"/>
      <c r="EQ3870" s="376"/>
      <c r="ER3870" s="377"/>
      <c r="ES3870" s="376"/>
      <c r="ET3870" s="376"/>
      <c r="EU3870" s="376"/>
    </row>
    <row r="3871" spans="145:151" x14ac:dyDescent="0.2">
      <c r="EO3871" s="375" t="str">
        <f t="shared" si="342"/>
        <v>_</v>
      </c>
      <c r="EP3871" s="376"/>
      <c r="EQ3871" s="376"/>
      <c r="ER3871" s="377"/>
      <c r="ES3871" s="376"/>
      <c r="ET3871" s="376"/>
      <c r="EU3871" s="376"/>
    </row>
    <row r="3872" spans="145:151" x14ac:dyDescent="0.2">
      <c r="EO3872" s="375" t="str">
        <f t="shared" si="342"/>
        <v>_</v>
      </c>
      <c r="EP3872" s="376"/>
      <c r="EQ3872" s="376"/>
      <c r="ER3872" s="377"/>
      <c r="ES3872" s="376"/>
      <c r="ET3872" s="376"/>
      <c r="EU3872" s="376"/>
    </row>
    <row r="3873" spans="145:151" x14ac:dyDescent="0.2">
      <c r="EO3873" s="375" t="str">
        <f t="shared" si="342"/>
        <v>_</v>
      </c>
      <c r="EP3873" s="376"/>
      <c r="EQ3873" s="376"/>
      <c r="ER3873" s="377"/>
      <c r="ES3873" s="376"/>
      <c r="ET3873" s="376"/>
      <c r="EU3873" s="376"/>
    </row>
    <row r="3874" spans="145:151" x14ac:dyDescent="0.2">
      <c r="EO3874" s="375" t="str">
        <f t="shared" si="342"/>
        <v>_</v>
      </c>
      <c r="EP3874" s="376"/>
      <c r="EQ3874" s="376"/>
      <c r="ER3874" s="377"/>
      <c r="ES3874" s="376"/>
      <c r="ET3874" s="376"/>
      <c r="EU3874" s="376"/>
    </row>
    <row r="3875" spans="145:151" x14ac:dyDescent="0.2">
      <c r="EO3875" s="375" t="str">
        <f t="shared" si="342"/>
        <v>_</v>
      </c>
      <c r="EP3875" s="376"/>
      <c r="EQ3875" s="376"/>
      <c r="ER3875" s="377"/>
      <c r="ES3875" s="376"/>
      <c r="ET3875" s="376"/>
      <c r="EU3875" s="376"/>
    </row>
    <row r="3876" spans="145:151" x14ac:dyDescent="0.2">
      <c r="EO3876" s="375" t="str">
        <f t="shared" si="342"/>
        <v>_</v>
      </c>
      <c r="EP3876" s="376"/>
      <c r="EQ3876" s="376"/>
      <c r="ER3876" s="377"/>
      <c r="ES3876" s="376"/>
      <c r="ET3876" s="376"/>
      <c r="EU3876" s="376"/>
    </row>
    <row r="3877" spans="145:151" x14ac:dyDescent="0.2">
      <c r="EO3877" s="375" t="str">
        <f t="shared" si="342"/>
        <v>_</v>
      </c>
      <c r="EP3877" s="376"/>
      <c r="EQ3877" s="376"/>
      <c r="ER3877" s="377"/>
      <c r="ES3877" s="376"/>
      <c r="ET3877" s="376"/>
      <c r="EU3877" s="376"/>
    </row>
    <row r="3878" spans="145:151" x14ac:dyDescent="0.2">
      <c r="EO3878" s="375" t="str">
        <f t="shared" si="342"/>
        <v>_</v>
      </c>
      <c r="EP3878" s="376"/>
      <c r="EQ3878" s="376"/>
      <c r="ER3878" s="377"/>
      <c r="ES3878" s="376"/>
      <c r="ET3878" s="376"/>
      <c r="EU3878" s="376"/>
    </row>
    <row r="3879" spans="145:151" x14ac:dyDescent="0.2">
      <c r="EO3879" s="375" t="str">
        <f t="shared" si="342"/>
        <v>_</v>
      </c>
      <c r="EP3879" s="376"/>
      <c r="EQ3879" s="376"/>
      <c r="ER3879" s="377"/>
      <c r="ES3879" s="376"/>
      <c r="ET3879" s="376"/>
      <c r="EU3879" s="376"/>
    </row>
    <row r="3880" spans="145:151" x14ac:dyDescent="0.2">
      <c r="EO3880" s="375" t="str">
        <f t="shared" si="342"/>
        <v>_</v>
      </c>
      <c r="EP3880" s="376"/>
      <c r="EQ3880" s="376"/>
      <c r="ER3880" s="377"/>
      <c r="ES3880" s="376"/>
      <c r="ET3880" s="376"/>
      <c r="EU3880" s="376"/>
    </row>
    <row r="3881" spans="145:151" x14ac:dyDescent="0.2">
      <c r="EO3881" s="375" t="str">
        <f t="shared" si="342"/>
        <v>_</v>
      </c>
      <c r="EP3881" s="376"/>
      <c r="EQ3881" s="376"/>
      <c r="ER3881" s="377"/>
      <c r="ES3881" s="376"/>
      <c r="ET3881" s="376"/>
      <c r="EU3881" s="376"/>
    </row>
    <row r="3882" spans="145:151" x14ac:dyDescent="0.2">
      <c r="EO3882" s="375" t="str">
        <f t="shared" si="342"/>
        <v>_</v>
      </c>
      <c r="EP3882" s="376"/>
      <c r="EQ3882" s="376"/>
      <c r="ER3882" s="377"/>
      <c r="ES3882" s="376"/>
      <c r="ET3882" s="376"/>
      <c r="EU3882" s="376"/>
    </row>
    <row r="3883" spans="145:151" x14ac:dyDescent="0.2">
      <c r="EO3883" s="375" t="str">
        <f t="shared" si="342"/>
        <v>_</v>
      </c>
      <c r="EP3883" s="376"/>
      <c r="EQ3883" s="376"/>
      <c r="ER3883" s="377"/>
      <c r="ES3883" s="376"/>
      <c r="ET3883" s="376"/>
      <c r="EU3883" s="376"/>
    </row>
    <row r="3884" spans="145:151" x14ac:dyDescent="0.2">
      <c r="EO3884" s="375" t="str">
        <f t="shared" si="342"/>
        <v>_</v>
      </c>
      <c r="EP3884" s="376"/>
      <c r="EQ3884" s="376"/>
      <c r="ER3884" s="377"/>
      <c r="ES3884" s="376"/>
      <c r="ET3884" s="376"/>
      <c r="EU3884" s="376"/>
    </row>
    <row r="3885" spans="145:151" x14ac:dyDescent="0.2">
      <c r="EO3885" s="375" t="str">
        <f t="shared" si="342"/>
        <v>_</v>
      </c>
      <c r="EP3885" s="376"/>
      <c r="EQ3885" s="376"/>
      <c r="ER3885" s="377"/>
      <c r="ES3885" s="376"/>
      <c r="ET3885" s="376"/>
      <c r="EU3885" s="376"/>
    </row>
    <row r="3886" spans="145:151" x14ac:dyDescent="0.2">
      <c r="EO3886" s="375" t="str">
        <f t="shared" si="342"/>
        <v>_</v>
      </c>
      <c r="EP3886" s="376"/>
      <c r="EQ3886" s="376"/>
      <c r="ER3886" s="377"/>
      <c r="ES3886" s="376"/>
      <c r="ET3886" s="376"/>
      <c r="EU3886" s="376"/>
    </row>
    <row r="3887" spans="145:151" x14ac:dyDescent="0.2">
      <c r="EO3887" s="375" t="str">
        <f t="shared" si="342"/>
        <v>_</v>
      </c>
      <c r="EP3887" s="376"/>
      <c r="EQ3887" s="376"/>
      <c r="ER3887" s="377"/>
      <c r="ES3887" s="376"/>
      <c r="ET3887" s="376"/>
      <c r="EU3887" s="376"/>
    </row>
    <row r="3888" spans="145:151" x14ac:dyDescent="0.2">
      <c r="EO3888" s="375" t="str">
        <f t="shared" si="342"/>
        <v>_</v>
      </c>
      <c r="EP3888" s="376"/>
      <c r="EQ3888" s="376"/>
      <c r="ER3888" s="377"/>
      <c r="ES3888" s="376"/>
      <c r="ET3888" s="376"/>
      <c r="EU3888" s="376"/>
    </row>
    <row r="3889" spans="145:151" x14ac:dyDescent="0.2">
      <c r="EO3889" s="375" t="str">
        <f t="shared" si="342"/>
        <v>_</v>
      </c>
      <c r="EP3889" s="376"/>
      <c r="EQ3889" s="376"/>
      <c r="ER3889" s="377"/>
      <c r="ES3889" s="376"/>
      <c r="ET3889" s="376"/>
      <c r="EU3889" s="376"/>
    </row>
    <row r="3890" spans="145:151" x14ac:dyDescent="0.2">
      <c r="EO3890" s="375" t="str">
        <f t="shared" si="342"/>
        <v>_</v>
      </c>
      <c r="EP3890" s="376"/>
      <c r="EQ3890" s="376"/>
      <c r="ER3890" s="377"/>
      <c r="ES3890" s="376"/>
      <c r="ET3890" s="376"/>
      <c r="EU3890" s="376"/>
    </row>
    <row r="3891" spans="145:151" x14ac:dyDescent="0.2">
      <c r="EO3891" s="375" t="str">
        <f t="shared" si="342"/>
        <v>_</v>
      </c>
      <c r="EP3891" s="376"/>
      <c r="EQ3891" s="376"/>
      <c r="ER3891" s="377"/>
      <c r="ES3891" s="376"/>
      <c r="ET3891" s="376"/>
      <c r="EU3891" s="376"/>
    </row>
    <row r="3892" spans="145:151" x14ac:dyDescent="0.2">
      <c r="EO3892" s="375" t="str">
        <f t="shared" si="342"/>
        <v>_</v>
      </c>
      <c r="EP3892" s="376"/>
      <c r="EQ3892" s="376"/>
      <c r="ER3892" s="377"/>
      <c r="ES3892" s="376"/>
      <c r="ET3892" s="376"/>
      <c r="EU3892" s="376"/>
    </row>
    <row r="3893" spans="145:151" x14ac:dyDescent="0.2">
      <c r="EO3893" s="375" t="str">
        <f t="shared" si="342"/>
        <v>_</v>
      </c>
      <c r="EP3893" s="376"/>
      <c r="EQ3893" s="376"/>
      <c r="ER3893" s="377"/>
      <c r="ES3893" s="376"/>
      <c r="ET3893" s="376"/>
      <c r="EU3893" s="376"/>
    </row>
    <row r="3894" spans="145:151" x14ac:dyDescent="0.2">
      <c r="EO3894" s="375" t="str">
        <f t="shared" si="342"/>
        <v>_</v>
      </c>
      <c r="EP3894" s="376"/>
      <c r="EQ3894" s="376"/>
      <c r="ER3894" s="377"/>
      <c r="ES3894" s="376"/>
      <c r="ET3894" s="376"/>
      <c r="EU3894" s="376"/>
    </row>
    <row r="3895" spans="145:151" x14ac:dyDescent="0.2">
      <c r="EO3895" s="375" t="str">
        <f t="shared" si="342"/>
        <v>_</v>
      </c>
      <c r="EP3895" s="376"/>
      <c r="EQ3895" s="376"/>
      <c r="ER3895" s="377"/>
      <c r="ES3895" s="376"/>
      <c r="ET3895" s="376"/>
      <c r="EU3895" s="376"/>
    </row>
    <row r="3896" spans="145:151" x14ac:dyDescent="0.2">
      <c r="EO3896" s="375" t="str">
        <f t="shared" si="342"/>
        <v>_</v>
      </c>
      <c r="EP3896" s="376"/>
      <c r="EQ3896" s="376"/>
      <c r="ER3896" s="377"/>
      <c r="ES3896" s="376"/>
      <c r="ET3896" s="376"/>
      <c r="EU3896" s="376"/>
    </row>
    <row r="3897" spans="145:151" x14ac:dyDescent="0.2">
      <c r="EO3897" s="375" t="str">
        <f t="shared" si="342"/>
        <v>_</v>
      </c>
      <c r="EP3897" s="376"/>
      <c r="EQ3897" s="376"/>
      <c r="ER3897" s="377"/>
      <c r="ES3897" s="376"/>
      <c r="ET3897" s="376"/>
      <c r="EU3897" s="376"/>
    </row>
    <row r="3898" spans="145:151" x14ac:dyDescent="0.2">
      <c r="EO3898" s="375" t="str">
        <f t="shared" si="342"/>
        <v>_</v>
      </c>
      <c r="EP3898" s="376"/>
      <c r="EQ3898" s="376"/>
      <c r="ER3898" s="377"/>
      <c r="ES3898" s="376"/>
      <c r="ET3898" s="376"/>
      <c r="EU3898" s="376"/>
    </row>
    <row r="3899" spans="145:151" x14ac:dyDescent="0.2">
      <c r="EO3899" s="375" t="str">
        <f t="shared" si="342"/>
        <v>_</v>
      </c>
      <c r="EP3899" s="376"/>
      <c r="EQ3899" s="376"/>
      <c r="ER3899" s="377"/>
      <c r="ES3899" s="376"/>
      <c r="ET3899" s="376"/>
      <c r="EU3899" s="376"/>
    </row>
    <row r="3900" spans="145:151" x14ac:dyDescent="0.2">
      <c r="EO3900" s="375" t="str">
        <f t="shared" si="342"/>
        <v>_</v>
      </c>
      <c r="EP3900" s="376"/>
      <c r="EQ3900" s="376"/>
      <c r="ER3900" s="377"/>
      <c r="ES3900" s="376"/>
      <c r="ET3900" s="376"/>
      <c r="EU3900" s="376"/>
    </row>
    <row r="3901" spans="145:151" x14ac:dyDescent="0.2">
      <c r="EO3901" s="375" t="str">
        <f t="shared" si="342"/>
        <v>_</v>
      </c>
      <c r="EP3901" s="376"/>
      <c r="EQ3901" s="376"/>
      <c r="ER3901" s="377"/>
      <c r="ES3901" s="376"/>
      <c r="ET3901" s="376"/>
      <c r="EU3901" s="376"/>
    </row>
    <row r="3902" spans="145:151" x14ac:dyDescent="0.2">
      <c r="EO3902" s="375" t="str">
        <f t="shared" si="342"/>
        <v>_</v>
      </c>
      <c r="EP3902" s="376"/>
      <c r="EQ3902" s="376"/>
      <c r="ER3902" s="377"/>
      <c r="ES3902" s="376"/>
      <c r="ET3902" s="376"/>
      <c r="EU3902" s="376"/>
    </row>
    <row r="3903" spans="145:151" x14ac:dyDescent="0.2">
      <c r="EO3903" s="375" t="str">
        <f t="shared" si="342"/>
        <v>_</v>
      </c>
      <c r="EP3903" s="376"/>
      <c r="EQ3903" s="376"/>
      <c r="ER3903" s="377"/>
      <c r="ES3903" s="376"/>
      <c r="ET3903" s="376"/>
      <c r="EU3903" s="376"/>
    </row>
    <row r="3904" spans="145:151" x14ac:dyDescent="0.2">
      <c r="EO3904" s="375" t="str">
        <f t="shared" si="342"/>
        <v>_</v>
      </c>
      <c r="EP3904" s="376"/>
      <c r="EQ3904" s="376"/>
      <c r="ER3904" s="377"/>
      <c r="ES3904" s="376"/>
      <c r="ET3904" s="376"/>
      <c r="EU3904" s="376"/>
    </row>
    <row r="3905" spans="51:151" x14ac:dyDescent="0.2">
      <c r="EO3905" s="375" t="str">
        <f t="shared" si="342"/>
        <v>_</v>
      </c>
      <c r="EP3905" s="376"/>
      <c r="EQ3905" s="376"/>
      <c r="ER3905" s="377"/>
      <c r="ES3905" s="376"/>
      <c r="ET3905" s="376"/>
      <c r="EU3905" s="376"/>
    </row>
    <row r="3906" spans="51:151" x14ac:dyDescent="0.2">
      <c r="EO3906" s="375" t="str">
        <f t="shared" si="342"/>
        <v>_</v>
      </c>
      <c r="EP3906" s="376"/>
      <c r="EQ3906" s="376"/>
      <c r="ER3906" s="377"/>
      <c r="ES3906" s="376"/>
      <c r="ET3906" s="376"/>
      <c r="EU3906" s="376"/>
    </row>
    <row r="3907" spans="51:151" x14ac:dyDescent="0.2">
      <c r="EO3907" s="375" t="str">
        <f t="shared" si="342"/>
        <v>_</v>
      </c>
      <c r="EP3907" s="376"/>
      <c r="EQ3907" s="376"/>
      <c r="ER3907" s="377"/>
      <c r="ES3907" s="376"/>
      <c r="ET3907" s="376"/>
      <c r="EU3907" s="376"/>
    </row>
    <row r="3908" spans="51:151" x14ac:dyDescent="0.2">
      <c r="EO3908" s="375" t="str">
        <f t="shared" si="342"/>
        <v>_</v>
      </c>
      <c r="EP3908" s="376"/>
      <c r="EQ3908" s="376"/>
      <c r="ER3908" s="377"/>
      <c r="ES3908" s="376"/>
      <c r="ET3908" s="376"/>
      <c r="EU3908" s="376"/>
    </row>
    <row r="3909" spans="51:151" x14ac:dyDescent="0.2">
      <c r="EO3909" s="375" t="str">
        <f t="shared" si="342"/>
        <v>_</v>
      </c>
      <c r="EP3909" s="376"/>
      <c r="EQ3909" s="376"/>
      <c r="ER3909" s="377"/>
      <c r="ES3909" s="376"/>
      <c r="ET3909" s="376"/>
      <c r="EU3909" s="376"/>
    </row>
    <row r="3910" spans="51:151" x14ac:dyDescent="0.2">
      <c r="EO3910" s="375" t="str">
        <f t="shared" si="342"/>
        <v>_</v>
      </c>
      <c r="EP3910" s="376"/>
      <c r="EQ3910" s="376"/>
      <c r="ER3910" s="377"/>
      <c r="ES3910" s="376"/>
      <c r="ET3910" s="376"/>
      <c r="EU3910" s="376"/>
    </row>
    <row r="3911" spans="51:151" x14ac:dyDescent="0.2">
      <c r="EO3911" s="375" t="str">
        <f t="shared" si="342"/>
        <v>_</v>
      </c>
      <c r="EP3911" s="376"/>
      <c r="EQ3911" s="376"/>
      <c r="ER3911" s="377"/>
      <c r="ES3911" s="376"/>
      <c r="ET3911" s="376"/>
      <c r="EU3911" s="376"/>
    </row>
    <row r="3912" spans="51:151" x14ac:dyDescent="0.2">
      <c r="EO3912" s="375" t="str">
        <f t="shared" si="342"/>
        <v>_</v>
      </c>
      <c r="EP3912" s="376"/>
      <c r="EQ3912" s="376"/>
      <c r="ER3912" s="377"/>
      <c r="ES3912" s="376"/>
      <c r="ET3912" s="376"/>
      <c r="EU3912" s="376"/>
    </row>
    <row r="3913" spans="51:151" x14ac:dyDescent="0.2">
      <c r="EO3913" s="375" t="str">
        <f t="shared" si="342"/>
        <v>_</v>
      </c>
      <c r="EP3913" s="376"/>
      <c r="EQ3913" s="376"/>
      <c r="ER3913" s="377"/>
      <c r="ES3913" s="376"/>
      <c r="ET3913" s="376"/>
      <c r="EU3913" s="376"/>
    </row>
    <row r="3914" spans="51:151" x14ac:dyDescent="0.2">
      <c r="EO3914" s="375" t="str">
        <f t="shared" si="342"/>
        <v>_</v>
      </c>
      <c r="EP3914" s="376"/>
      <c r="EQ3914" s="376"/>
      <c r="ER3914" s="377"/>
      <c r="ES3914" s="376"/>
      <c r="ET3914" s="376"/>
      <c r="EU3914" s="376"/>
    </row>
    <row r="3915" spans="51:151" x14ac:dyDescent="0.2">
      <c r="EO3915" s="375" t="str">
        <f t="shared" si="342"/>
        <v>_</v>
      </c>
      <c r="EP3915" s="376"/>
      <c r="EQ3915" s="376"/>
      <c r="ER3915" s="377"/>
      <c r="ES3915" s="376"/>
      <c r="ET3915" s="376"/>
      <c r="EU3915" s="376"/>
    </row>
    <row r="3916" spans="51:151" x14ac:dyDescent="0.2">
      <c r="EO3916" s="375" t="str">
        <f t="shared" si="342"/>
        <v>_</v>
      </c>
      <c r="EP3916" s="376"/>
      <c r="EQ3916" s="376"/>
      <c r="ER3916" s="377"/>
      <c r="ES3916" s="376"/>
      <c r="ET3916" s="376"/>
      <c r="EU3916" s="376"/>
    </row>
    <row r="3917" spans="51:151" x14ac:dyDescent="0.2">
      <c r="EO3917" s="375" t="str">
        <f t="shared" si="342"/>
        <v>_</v>
      </c>
      <c r="EP3917" s="376"/>
      <c r="EQ3917" s="376"/>
      <c r="ER3917" s="377"/>
      <c r="ES3917" s="376"/>
      <c r="ET3917" s="376"/>
      <c r="EU3917" s="376"/>
    </row>
    <row r="3918" spans="51:151" x14ac:dyDescent="0.2">
      <c r="AY3918" s="2">
        <v>0</v>
      </c>
      <c r="EO3918" s="375" t="str">
        <f t="shared" si="342"/>
        <v>_</v>
      </c>
      <c r="EP3918" s="376"/>
      <c r="EQ3918" s="376"/>
      <c r="ER3918" s="377"/>
      <c r="ES3918" s="376"/>
      <c r="ET3918" s="376"/>
      <c r="EU3918" s="376"/>
    </row>
    <row r="3919" spans="51:151" x14ac:dyDescent="0.2">
      <c r="AY3919" s="2">
        <v>0</v>
      </c>
      <c r="EO3919" s="375" t="str">
        <f t="shared" si="342"/>
        <v>_</v>
      </c>
      <c r="EP3919" s="376"/>
      <c r="EQ3919" s="376"/>
      <c r="ER3919" s="377"/>
      <c r="ES3919" s="376"/>
      <c r="ET3919" s="376"/>
      <c r="EU3919" s="376"/>
    </row>
    <row r="3920" spans="51:151" x14ac:dyDescent="0.2">
      <c r="EO3920" s="375" t="str">
        <f t="shared" si="342"/>
        <v>_</v>
      </c>
      <c r="EP3920" s="376"/>
      <c r="EQ3920" s="376"/>
      <c r="ER3920" s="377"/>
      <c r="ES3920" s="376"/>
      <c r="ET3920" s="376"/>
      <c r="EU3920" s="376"/>
    </row>
    <row r="3921" spans="145:151" x14ac:dyDescent="0.2">
      <c r="EO3921" s="375" t="str">
        <f t="shared" si="342"/>
        <v>_</v>
      </c>
      <c r="EP3921" s="376"/>
      <c r="EQ3921" s="376"/>
      <c r="ER3921" s="377"/>
      <c r="ES3921" s="376"/>
      <c r="ET3921" s="376"/>
      <c r="EU3921" s="376"/>
    </row>
    <row r="3922" spans="145:151" x14ac:dyDescent="0.2">
      <c r="EO3922" s="375" t="str">
        <f t="shared" si="342"/>
        <v>_</v>
      </c>
      <c r="EP3922" s="376"/>
      <c r="EQ3922" s="376"/>
      <c r="ER3922" s="377"/>
      <c r="ES3922" s="376"/>
      <c r="ET3922" s="376"/>
      <c r="EU3922" s="376"/>
    </row>
    <row r="3923" spans="145:151" x14ac:dyDescent="0.2">
      <c r="EO3923" s="375" t="str">
        <f t="shared" si="342"/>
        <v>_</v>
      </c>
      <c r="EP3923" s="376"/>
      <c r="EQ3923" s="376"/>
      <c r="ER3923" s="377"/>
      <c r="ES3923" s="376"/>
      <c r="ET3923" s="376"/>
      <c r="EU3923" s="376"/>
    </row>
    <row r="3924" spans="145:151" x14ac:dyDescent="0.2">
      <c r="EO3924" s="375" t="str">
        <f t="shared" si="342"/>
        <v>_</v>
      </c>
      <c r="EP3924" s="376"/>
      <c r="EQ3924" s="376"/>
      <c r="ER3924" s="377"/>
      <c r="ES3924" s="376"/>
      <c r="ET3924" s="376"/>
      <c r="EU3924" s="376"/>
    </row>
    <row r="3925" spans="145:151" x14ac:dyDescent="0.2">
      <c r="EO3925" s="375" t="str">
        <f t="shared" si="342"/>
        <v>_</v>
      </c>
      <c r="EP3925" s="376"/>
      <c r="EQ3925" s="376"/>
      <c r="ER3925" s="377"/>
      <c r="ES3925" s="376"/>
      <c r="ET3925" s="376"/>
      <c r="EU3925" s="376"/>
    </row>
    <row r="3926" spans="145:151" x14ac:dyDescent="0.2">
      <c r="EO3926" s="375" t="str">
        <f t="shared" si="342"/>
        <v>_</v>
      </c>
      <c r="EP3926" s="376"/>
      <c r="EQ3926" s="376"/>
      <c r="ER3926" s="377"/>
      <c r="ES3926" s="376"/>
      <c r="ET3926" s="376"/>
      <c r="EU3926" s="376"/>
    </row>
    <row r="3927" spans="145:151" x14ac:dyDescent="0.2">
      <c r="EO3927" s="375" t="str">
        <f t="shared" si="342"/>
        <v>_</v>
      </c>
      <c r="EP3927" s="376"/>
      <c r="EQ3927" s="376"/>
      <c r="ER3927" s="377"/>
      <c r="ES3927" s="376"/>
      <c r="ET3927" s="376"/>
      <c r="EU3927" s="376"/>
    </row>
    <row r="3928" spans="145:151" x14ac:dyDescent="0.2">
      <c r="EO3928" s="375" t="str">
        <f t="shared" si="342"/>
        <v>_</v>
      </c>
      <c r="EP3928" s="376"/>
      <c r="EQ3928" s="376"/>
      <c r="ER3928" s="377"/>
      <c r="ES3928" s="376"/>
      <c r="ET3928" s="376"/>
      <c r="EU3928" s="376"/>
    </row>
    <row r="3929" spans="145:151" x14ac:dyDescent="0.2">
      <c r="EO3929" s="375" t="str">
        <f t="shared" si="342"/>
        <v>_</v>
      </c>
      <c r="EP3929" s="376"/>
      <c r="EQ3929" s="376"/>
      <c r="ER3929" s="377"/>
      <c r="ES3929" s="376"/>
      <c r="ET3929" s="376"/>
      <c r="EU3929" s="376"/>
    </row>
    <row r="3930" spans="145:151" x14ac:dyDescent="0.2">
      <c r="EO3930" s="375" t="str">
        <f t="shared" si="342"/>
        <v>_</v>
      </c>
      <c r="EP3930" s="376"/>
      <c r="EQ3930" s="376"/>
      <c r="ER3930" s="377"/>
      <c r="ES3930" s="376"/>
      <c r="ET3930" s="376"/>
      <c r="EU3930" s="376"/>
    </row>
    <row r="3931" spans="145:151" x14ac:dyDescent="0.2">
      <c r="EO3931" s="375" t="str">
        <f t="shared" si="342"/>
        <v>_</v>
      </c>
      <c r="EP3931" s="376"/>
      <c r="EQ3931" s="376"/>
      <c r="ER3931" s="377"/>
      <c r="ES3931" s="376"/>
      <c r="ET3931" s="376"/>
      <c r="EU3931" s="376"/>
    </row>
    <row r="3932" spans="145:151" x14ac:dyDescent="0.2">
      <c r="EO3932" s="375" t="str">
        <f t="shared" si="342"/>
        <v>_</v>
      </c>
      <c r="EP3932" s="376"/>
      <c r="EQ3932" s="376"/>
      <c r="ER3932" s="377"/>
      <c r="ES3932" s="376"/>
      <c r="ET3932" s="376"/>
      <c r="EU3932" s="376"/>
    </row>
    <row r="3933" spans="145:151" x14ac:dyDescent="0.2">
      <c r="EO3933" s="375" t="str">
        <f t="shared" ref="EO3933:EO3963" si="343">B3933&amp;"_"&amp;C3933</f>
        <v>_</v>
      </c>
      <c r="EP3933" s="376"/>
      <c r="EQ3933" s="376"/>
      <c r="ER3933" s="377"/>
      <c r="ES3933" s="376"/>
      <c r="ET3933" s="376"/>
      <c r="EU3933" s="376"/>
    </row>
    <row r="3934" spans="145:151" x14ac:dyDescent="0.2">
      <c r="EO3934" s="375" t="str">
        <f t="shared" si="343"/>
        <v>_</v>
      </c>
      <c r="EP3934" s="376"/>
      <c r="EQ3934" s="376"/>
      <c r="ER3934" s="377"/>
      <c r="ES3934" s="376"/>
      <c r="ET3934" s="376"/>
      <c r="EU3934" s="376"/>
    </row>
    <row r="3935" spans="145:151" x14ac:dyDescent="0.2">
      <c r="EO3935" s="375" t="str">
        <f t="shared" si="343"/>
        <v>_</v>
      </c>
      <c r="EP3935" s="376"/>
      <c r="EQ3935" s="376"/>
      <c r="ER3935" s="377"/>
      <c r="ES3935" s="376"/>
      <c r="ET3935" s="376"/>
      <c r="EU3935" s="376"/>
    </row>
    <row r="3936" spans="145:151" x14ac:dyDescent="0.2">
      <c r="EO3936" s="375" t="str">
        <f t="shared" si="343"/>
        <v>_</v>
      </c>
      <c r="EP3936" s="376"/>
      <c r="EQ3936" s="376"/>
      <c r="ER3936" s="377"/>
      <c r="ES3936" s="376"/>
      <c r="ET3936" s="376"/>
      <c r="EU3936" s="376"/>
    </row>
    <row r="3937" spans="145:151" x14ac:dyDescent="0.2">
      <c r="EO3937" s="375" t="str">
        <f t="shared" si="343"/>
        <v>_</v>
      </c>
      <c r="EP3937" s="376"/>
      <c r="EQ3937" s="376"/>
      <c r="ER3937" s="377"/>
      <c r="ES3937" s="376"/>
      <c r="ET3937" s="376"/>
      <c r="EU3937" s="376"/>
    </row>
    <row r="3938" spans="145:151" x14ac:dyDescent="0.2">
      <c r="EO3938" s="375" t="str">
        <f t="shared" si="343"/>
        <v>_</v>
      </c>
      <c r="EP3938" s="376"/>
      <c r="EQ3938" s="376"/>
      <c r="ER3938" s="377"/>
      <c r="ES3938" s="376"/>
      <c r="ET3938" s="376"/>
      <c r="EU3938" s="376"/>
    </row>
    <row r="3939" spans="145:151" x14ac:dyDescent="0.2">
      <c r="EO3939" s="375" t="str">
        <f t="shared" si="343"/>
        <v>_</v>
      </c>
      <c r="EP3939" s="376"/>
      <c r="EQ3939" s="376"/>
      <c r="ER3939" s="377"/>
      <c r="ES3939" s="376"/>
      <c r="ET3939" s="376"/>
      <c r="EU3939" s="376"/>
    </row>
    <row r="3940" spans="145:151" x14ac:dyDescent="0.2">
      <c r="EO3940" s="375" t="str">
        <f t="shared" si="343"/>
        <v>_</v>
      </c>
      <c r="EP3940" s="376"/>
      <c r="EQ3940" s="376"/>
      <c r="ER3940" s="377"/>
      <c r="ES3940" s="376"/>
      <c r="ET3940" s="376"/>
      <c r="EU3940" s="376"/>
    </row>
    <row r="3941" spans="145:151" x14ac:dyDescent="0.2">
      <c r="EO3941" s="375" t="str">
        <f t="shared" si="343"/>
        <v>_</v>
      </c>
      <c r="EP3941" s="376"/>
      <c r="EQ3941" s="376"/>
      <c r="ER3941" s="377"/>
      <c r="ES3941" s="376"/>
      <c r="ET3941" s="376"/>
      <c r="EU3941" s="376"/>
    </row>
    <row r="3942" spans="145:151" x14ac:dyDescent="0.2">
      <c r="EO3942" s="375" t="str">
        <f t="shared" si="343"/>
        <v>_</v>
      </c>
      <c r="EP3942" s="376"/>
      <c r="EQ3942" s="376"/>
      <c r="ER3942" s="377"/>
      <c r="ES3942" s="376"/>
      <c r="ET3942" s="376"/>
      <c r="EU3942" s="376"/>
    </row>
    <row r="3943" spans="145:151" x14ac:dyDescent="0.2">
      <c r="EO3943" s="375" t="str">
        <f t="shared" si="343"/>
        <v>_</v>
      </c>
      <c r="EP3943" s="376"/>
      <c r="EQ3943" s="376"/>
      <c r="ER3943" s="377"/>
      <c r="ES3943" s="376"/>
      <c r="ET3943" s="376"/>
      <c r="EU3943" s="376"/>
    </row>
    <row r="3944" spans="145:151" x14ac:dyDescent="0.2">
      <c r="EO3944" s="375" t="str">
        <f t="shared" si="343"/>
        <v>_</v>
      </c>
      <c r="EP3944" s="376"/>
      <c r="EQ3944" s="376"/>
      <c r="ER3944" s="377"/>
      <c r="ES3944" s="376"/>
      <c r="ET3944" s="376"/>
      <c r="EU3944" s="376"/>
    </row>
    <row r="3945" spans="145:151" x14ac:dyDescent="0.2">
      <c r="EO3945" s="375" t="str">
        <f t="shared" si="343"/>
        <v>_</v>
      </c>
      <c r="EP3945" s="376"/>
      <c r="EQ3945" s="376"/>
      <c r="ER3945" s="377"/>
      <c r="ES3945" s="376"/>
      <c r="ET3945" s="376"/>
      <c r="EU3945" s="376"/>
    </row>
    <row r="3946" spans="145:151" x14ac:dyDescent="0.2">
      <c r="EO3946" s="375" t="str">
        <f t="shared" si="343"/>
        <v>_</v>
      </c>
      <c r="EP3946" s="376"/>
      <c r="EQ3946" s="376"/>
      <c r="ER3946" s="377"/>
      <c r="ES3946" s="376"/>
      <c r="ET3946" s="376"/>
      <c r="EU3946" s="376"/>
    </row>
    <row r="3947" spans="145:151" x14ac:dyDescent="0.2">
      <c r="EO3947" s="375" t="str">
        <f t="shared" si="343"/>
        <v>_</v>
      </c>
      <c r="EP3947" s="376"/>
      <c r="EQ3947" s="376"/>
      <c r="ER3947" s="377"/>
      <c r="ES3947" s="376"/>
      <c r="ET3947" s="376"/>
      <c r="EU3947" s="376"/>
    </row>
    <row r="3948" spans="145:151" x14ac:dyDescent="0.2">
      <c r="EO3948" s="375" t="str">
        <f t="shared" si="343"/>
        <v>_</v>
      </c>
      <c r="EP3948" s="376"/>
      <c r="EQ3948" s="376"/>
      <c r="ER3948" s="377"/>
      <c r="ES3948" s="376"/>
      <c r="ET3948" s="376"/>
      <c r="EU3948" s="376"/>
    </row>
    <row r="3949" spans="145:151" x14ac:dyDescent="0.2">
      <c r="EO3949" s="375" t="str">
        <f t="shared" si="343"/>
        <v>_</v>
      </c>
      <c r="EP3949" s="376"/>
      <c r="EQ3949" s="376"/>
      <c r="ER3949" s="377"/>
      <c r="ES3949" s="376"/>
      <c r="ET3949" s="376"/>
      <c r="EU3949" s="376"/>
    </row>
    <row r="3950" spans="145:151" x14ac:dyDescent="0.2">
      <c r="EO3950" s="375" t="str">
        <f t="shared" si="343"/>
        <v>_</v>
      </c>
      <c r="EP3950" s="376"/>
      <c r="EQ3950" s="376"/>
      <c r="ER3950" s="377"/>
      <c r="ES3950" s="376"/>
      <c r="ET3950" s="376"/>
      <c r="EU3950" s="376"/>
    </row>
    <row r="3951" spans="145:151" x14ac:dyDescent="0.2">
      <c r="EO3951" s="375" t="str">
        <f t="shared" si="343"/>
        <v>_</v>
      </c>
      <c r="EP3951" s="376"/>
      <c r="EQ3951" s="376"/>
      <c r="ER3951" s="377"/>
      <c r="ES3951" s="376"/>
      <c r="ET3951" s="376"/>
      <c r="EU3951" s="376"/>
    </row>
    <row r="3952" spans="145:151" x14ac:dyDescent="0.2">
      <c r="EO3952" s="375" t="str">
        <f t="shared" si="343"/>
        <v>_</v>
      </c>
      <c r="EP3952" s="376"/>
      <c r="EQ3952" s="376"/>
      <c r="ER3952" s="377"/>
      <c r="ES3952" s="376"/>
      <c r="ET3952" s="376"/>
      <c r="EU3952" s="376"/>
    </row>
    <row r="3953" spans="145:151" x14ac:dyDescent="0.2">
      <c r="EO3953" s="375" t="str">
        <f t="shared" si="343"/>
        <v>_</v>
      </c>
      <c r="EP3953" s="376"/>
      <c r="EQ3953" s="376"/>
      <c r="ER3953" s="377"/>
      <c r="ES3953" s="376"/>
      <c r="ET3953" s="376"/>
      <c r="EU3953" s="376"/>
    </row>
    <row r="3954" spans="145:151" x14ac:dyDescent="0.2">
      <c r="EO3954" s="375" t="str">
        <f t="shared" si="343"/>
        <v>_</v>
      </c>
      <c r="EP3954" s="376"/>
      <c r="EQ3954" s="376"/>
      <c r="ER3954" s="377"/>
      <c r="ES3954" s="376"/>
      <c r="ET3954" s="376"/>
      <c r="EU3954" s="376"/>
    </row>
    <row r="3955" spans="145:151" x14ac:dyDescent="0.2">
      <c r="EO3955" s="375" t="str">
        <f t="shared" si="343"/>
        <v>_</v>
      </c>
      <c r="EP3955" s="376"/>
      <c r="EQ3955" s="376"/>
      <c r="ER3955" s="377"/>
      <c r="ES3955" s="376"/>
      <c r="ET3955" s="376"/>
      <c r="EU3955" s="376"/>
    </row>
    <row r="3956" spans="145:151" x14ac:dyDescent="0.2">
      <c r="EO3956" s="375" t="str">
        <f t="shared" si="343"/>
        <v>_</v>
      </c>
      <c r="EP3956" s="376"/>
      <c r="EQ3956" s="376"/>
      <c r="ER3956" s="377"/>
      <c r="ES3956" s="376"/>
      <c r="ET3956" s="376"/>
      <c r="EU3956" s="376"/>
    </row>
    <row r="3957" spans="145:151" x14ac:dyDescent="0.2">
      <c r="EO3957" s="375" t="str">
        <f t="shared" si="343"/>
        <v>_</v>
      </c>
      <c r="EP3957" s="376"/>
      <c r="EQ3957" s="376"/>
      <c r="ER3957" s="377"/>
      <c r="ES3957" s="376"/>
      <c r="ET3957" s="376"/>
      <c r="EU3957" s="376"/>
    </row>
    <row r="3958" spans="145:151" x14ac:dyDescent="0.2">
      <c r="EO3958" s="375" t="str">
        <f t="shared" si="343"/>
        <v>_</v>
      </c>
      <c r="EP3958" s="376"/>
      <c r="EQ3958" s="376"/>
      <c r="ER3958" s="377"/>
      <c r="ES3958" s="376"/>
      <c r="ET3958" s="376"/>
      <c r="EU3958" s="376"/>
    </row>
    <row r="3959" spans="145:151" x14ac:dyDescent="0.2">
      <c r="EO3959" s="375" t="str">
        <f t="shared" si="343"/>
        <v>_</v>
      </c>
      <c r="EP3959" s="376"/>
      <c r="EQ3959" s="376"/>
      <c r="ER3959" s="377"/>
      <c r="ES3959" s="376"/>
      <c r="ET3959" s="376"/>
      <c r="EU3959" s="376"/>
    </row>
    <row r="3960" spans="145:151" x14ac:dyDescent="0.2">
      <c r="EO3960" s="375" t="str">
        <f t="shared" si="343"/>
        <v>_</v>
      </c>
      <c r="EP3960" s="376"/>
      <c r="EQ3960" s="376"/>
      <c r="ER3960" s="377"/>
      <c r="ES3960" s="376"/>
      <c r="ET3960" s="376"/>
      <c r="EU3960" s="376"/>
    </row>
    <row r="3961" spans="145:151" x14ac:dyDescent="0.2">
      <c r="EO3961" s="375" t="str">
        <f t="shared" si="343"/>
        <v>_</v>
      </c>
      <c r="EP3961" s="376"/>
      <c r="EQ3961" s="376"/>
      <c r="ER3961" s="377"/>
      <c r="ES3961" s="376"/>
      <c r="ET3961" s="376"/>
      <c r="EU3961" s="376"/>
    </row>
    <row r="3962" spans="145:151" x14ac:dyDescent="0.2">
      <c r="EO3962" s="375" t="str">
        <f t="shared" si="343"/>
        <v>_</v>
      </c>
      <c r="EP3962" s="376"/>
      <c r="EQ3962" s="376"/>
      <c r="ER3962" s="377"/>
      <c r="ES3962" s="376"/>
      <c r="ET3962" s="376"/>
      <c r="EU3962" s="376"/>
    </row>
    <row r="3963" spans="145:151" x14ac:dyDescent="0.2">
      <c r="EO3963" s="375" t="str">
        <f t="shared" si="343"/>
        <v>_</v>
      </c>
      <c r="EP3963" s="376"/>
      <c r="EQ3963" s="376"/>
      <c r="ER3963" s="377"/>
      <c r="ES3963" s="376"/>
      <c r="ET3963" s="376"/>
      <c r="EU3963" s="376"/>
    </row>
    <row r="4720" spans="30:30" x14ac:dyDescent="0.2">
      <c r="AD4720" s="2" t="s">
        <v>245</v>
      </c>
    </row>
    <row r="9740" spans="39:39" x14ac:dyDescent="0.2">
      <c r="AM9740" s="174" t="s">
        <v>245</v>
      </c>
    </row>
    <row r="9760" spans="39:39" x14ac:dyDescent="0.2">
      <c r="AM9760" s="174" t="s">
        <v>245</v>
      </c>
    </row>
  </sheetData>
  <autoFilter ref="A2:EU2447"/>
  <dataConsolidate/>
  <mergeCells count="40">
    <mergeCell ref="A2498:D2498"/>
    <mergeCell ref="A2496:D2496"/>
    <mergeCell ref="G1:W1"/>
    <mergeCell ref="BN1:BO1"/>
    <mergeCell ref="BD1:BE1"/>
    <mergeCell ref="BF1:BG1"/>
    <mergeCell ref="BL1:BM1"/>
    <mergeCell ref="BB1:BC1"/>
    <mergeCell ref="BJ1:BK1"/>
    <mergeCell ref="X1:AF1"/>
    <mergeCell ref="CN1:CO1"/>
    <mergeCell ref="CJ1:CK1"/>
    <mergeCell ref="BV1:BW1"/>
    <mergeCell ref="CL1:CM1"/>
    <mergeCell ref="BZ1:CA1"/>
    <mergeCell ref="CB1:CC1"/>
    <mergeCell ref="CH1:CI1"/>
    <mergeCell ref="DC1:DD1"/>
    <mergeCell ref="CR1:CS1"/>
    <mergeCell ref="CT1:CU1"/>
    <mergeCell ref="CW1:CX1"/>
    <mergeCell ref="CY1:CZ1"/>
    <mergeCell ref="DA1:DB1"/>
    <mergeCell ref="AN1:AO1"/>
    <mergeCell ref="AG1:AM1"/>
    <mergeCell ref="AP1:AQ1"/>
    <mergeCell ref="AX1:AY1"/>
    <mergeCell ref="BH1:BI1"/>
    <mergeCell ref="AR1:AS1"/>
    <mergeCell ref="AT1:AU1"/>
    <mergeCell ref="A1:E1"/>
    <mergeCell ref="CP1:CQ1"/>
    <mergeCell ref="BP1:BQ1"/>
    <mergeCell ref="BX1:BY1"/>
    <mergeCell ref="AV1:AW1"/>
    <mergeCell ref="AZ1:BA1"/>
    <mergeCell ref="CD1:CE1"/>
    <mergeCell ref="BR1:BS1"/>
    <mergeCell ref="BT1:BU1"/>
    <mergeCell ref="CF1:CG1"/>
  </mergeCells>
  <phoneticPr fontId="0" type="noConversion"/>
  <pageMargins left="1.0629921259842521" right="0.19685039370078741" top="1.1417322834645669" bottom="0.43307086614173229" header="0.35433070866141736" footer="0.15748031496062992"/>
  <pageSetup scale="62" orientation="landscape" horizontalDpi="4294967292" verticalDpi="300" r:id="rId1"/>
  <headerFooter alignWithMargins="0">
    <oddHeader xml:space="preserve">&amp;C&amp;"Arial,Negrita"&amp;14MINISTERIO DEL INTERIOR Y DE JUSTICIA&amp;"Arial,Negrita Cursiva"&amp;12
&amp;16DIRECCION DE GESTION DEL RIESGO&amp;12
REPORTE DE EMERGENCIAS Y APOYO DEL F.N.C.  AÑO 2010
</oddHeader>
    <oddFooter>&amp;R&amp;P,/ &amp;N, &amp;D,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Divipola</vt:lpstr>
      <vt:lpstr>REPORTE DE EMERGENCIAS</vt:lpstr>
      <vt:lpstr>'REPORTE DE EMERGENCIAS'!Área_de_impresión</vt:lpstr>
      <vt:lpstr>'REPORTE DE EMERGENCIAS'!Títulos_a_imprimir</vt:lpstr>
    </vt:vector>
  </TitlesOfParts>
  <Company>FNC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CUEVAS MARÍN - D.A.E.</dc:creator>
  <cp:lastModifiedBy>Jorge Neira</cp:lastModifiedBy>
  <cp:lastPrinted>2011-03-28T19:23:01Z</cp:lastPrinted>
  <dcterms:created xsi:type="dcterms:W3CDTF">1998-07-31T14:15:34Z</dcterms:created>
  <dcterms:modified xsi:type="dcterms:W3CDTF">2015-09-18T16:11:44Z</dcterms:modified>
</cp:coreProperties>
</file>